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bookViews>
    <workbookView xWindow="0" yWindow="0" windowWidth="38400" windowHeight="17730" activeTab="1"/>
  </bookViews>
  <sheets>
    <sheet name="Сводная_2025" sheetId="1" r:id="rId1"/>
    <sheet name="Белыничи_" sheetId="90" r:id="rId2"/>
    <sheet name="Бобруйск_" sheetId="79" r:id="rId3"/>
    <sheet name="Быхов_" sheetId="44" r:id="rId4"/>
    <sheet name="Глуск_" sheetId="66" r:id="rId5"/>
    <sheet name="Горки_" sheetId="14" r:id="rId6"/>
    <sheet name="Дрибин_" sheetId="71" r:id="rId7"/>
    <sheet name="Климовичи_" sheetId="60" r:id="rId8"/>
    <sheet name="Кировск_" sheetId="111" r:id="rId9"/>
    <sheet name="Кличев_" sheetId="51" r:id="rId10"/>
    <sheet name="Костюковичи_" sheetId="59" r:id="rId11"/>
    <sheet name="Краснополье_" sheetId="169" r:id="rId12"/>
    <sheet name="Кричев_" sheetId="61" r:id="rId13"/>
    <sheet name="Круглое_" sheetId="41" r:id="rId14"/>
    <sheet name="Могилев_" sheetId="86" r:id="rId15"/>
    <sheet name="Мстиславль_" sheetId="42" r:id="rId16"/>
    <sheet name="Осиповичи_" sheetId="62" r:id="rId17"/>
    <sheet name="Славгород_" sheetId="58" r:id="rId18"/>
    <sheet name="Хотимск_" sheetId="43" r:id="rId19"/>
    <sheet name="Чаусы_" sheetId="21" r:id="rId20"/>
    <sheet name="Чериков_" sheetId="101" r:id="rId21"/>
    <sheet name="Шклов_" sheetId="75" r:id="rId22"/>
  </sheets>
  <definedNames>
    <definedName name="_Regression_Int" localSheetId="0" hidden="1">1</definedName>
    <definedName name="_xlnm._FilterDatabase" localSheetId="1" hidden="1">Белыничи_!$A$29:$AB$415</definedName>
    <definedName name="_xlnm._FilterDatabase" localSheetId="2" hidden="1">Бобруйск_!$A$29:$AB$498</definedName>
    <definedName name="_xlnm._FilterDatabase" localSheetId="3" hidden="1">Быхов_!$A$29:$AB$442</definedName>
    <definedName name="_xlnm._FilterDatabase" localSheetId="4" hidden="1">Глуск_!$A$29:$AB$296</definedName>
    <definedName name="_xlnm._FilterDatabase" localSheetId="5" hidden="1">Горки_!$A$29:$AB$455</definedName>
    <definedName name="_xlnm._FilterDatabase" localSheetId="6" hidden="1">Дрибин_!$A$29:$AB$270</definedName>
    <definedName name="_xlnm._FilterDatabase" localSheetId="8" hidden="1">Кировск_!$A$29:$AB$260</definedName>
    <definedName name="_xlnm._FilterDatabase" localSheetId="7" hidden="1">Климовичи_!$A$29:$AB$440</definedName>
    <definedName name="_xlnm._FilterDatabase" localSheetId="9" hidden="1">Кличев_!$A$29:$AB$354</definedName>
    <definedName name="_xlnm._FilterDatabase" localSheetId="10" hidden="1">Костюковичи_!$A$29:$AB$362</definedName>
    <definedName name="_xlnm._FilterDatabase" localSheetId="11" hidden="1">Краснополье_!$A$29:$AB$302</definedName>
    <definedName name="_xlnm._FilterDatabase" localSheetId="12" hidden="1">Кричев_!$A$29:$AB$319</definedName>
    <definedName name="_xlnm._FilterDatabase" localSheetId="13" hidden="1">Круглое_!$A$29:$AB$309</definedName>
    <definedName name="_xlnm._FilterDatabase" localSheetId="14" hidden="1">Могилев_!$A$29:$AB$929</definedName>
    <definedName name="_xlnm._FilterDatabase" localSheetId="15" hidden="1">Мстиславль_!$A$29:$AB$486</definedName>
    <definedName name="_xlnm._FilterDatabase" localSheetId="16" hidden="1">Осиповичи_!$A$29:$AB$340</definedName>
    <definedName name="_xlnm._FilterDatabase" localSheetId="17" hidden="1">Славгород_!$A$29:$AB$262</definedName>
    <definedName name="_xlnm._FilterDatabase" localSheetId="18" hidden="1">Хотимск_!$A$29:$AB$240</definedName>
    <definedName name="_xlnm._FilterDatabase" localSheetId="19" hidden="1">Чаусы_!$A$29:$AB$434</definedName>
    <definedName name="_xlnm._FilterDatabase" localSheetId="20" hidden="1">Чериков_!$A$29:$AB$279</definedName>
    <definedName name="_xlnm._FilterDatabase" localSheetId="21" hidden="1">Шклов_!$A$29:$AB$533</definedName>
    <definedName name="_xlnm.Print_Titles" localSheetId="1">Белыничи_!$5:$9</definedName>
    <definedName name="_xlnm.Print_Titles" localSheetId="2">Бобруйск_!$5:$9</definedName>
    <definedName name="_xlnm.Print_Titles" localSheetId="3">Быхов_!$5:$9</definedName>
    <definedName name="_xlnm.Print_Titles" localSheetId="4">Глуск_!$5:$9</definedName>
    <definedName name="_xlnm.Print_Titles" localSheetId="5">Горки_!$5:$9</definedName>
    <definedName name="_xlnm.Print_Titles" localSheetId="6">Дрибин_!$5:$9</definedName>
    <definedName name="_xlnm.Print_Titles" localSheetId="8">Кировск_!$5:$9</definedName>
    <definedName name="_xlnm.Print_Titles" localSheetId="7">Климовичи_!$5:$9</definedName>
    <definedName name="_xlnm.Print_Titles" localSheetId="9">Кличев_!$5:$9</definedName>
    <definedName name="_xlnm.Print_Titles" localSheetId="10">Костюковичи_!$5:$9</definedName>
    <definedName name="_xlnm.Print_Titles" localSheetId="11">Краснополье_!$5:$9</definedName>
    <definedName name="_xlnm.Print_Titles" localSheetId="12">Кричев_!$5:$9</definedName>
    <definedName name="_xlnm.Print_Titles" localSheetId="13">Круглое_!$5:$9</definedName>
    <definedName name="_xlnm.Print_Titles" localSheetId="14">Могилев_!$5:$9</definedName>
    <definedName name="_xlnm.Print_Titles" localSheetId="15">Мстиславль_!$5:$9</definedName>
    <definedName name="_xlnm.Print_Titles" localSheetId="16">Осиповичи_!$5:$9</definedName>
    <definedName name="_xlnm.Print_Titles" localSheetId="0">#REF!</definedName>
    <definedName name="_xlnm.Print_Titles" localSheetId="17">Славгород_!$5:$9</definedName>
    <definedName name="_xlnm.Print_Titles" localSheetId="18">Хотимск_!$5:$9</definedName>
    <definedName name="_xlnm.Print_Titles" localSheetId="19">Чаусы_!$5:$9</definedName>
    <definedName name="_xlnm.Print_Titles" localSheetId="20">Чериков_!$5:$9</definedName>
    <definedName name="_xlnm.Print_Titles" localSheetId="21">Шклов_!$5:$9</definedName>
    <definedName name="_xlnm.Print_Area" localSheetId="1">Белыничи_!$A$1:$Z$415</definedName>
    <definedName name="_xlnm.Print_Area" localSheetId="2">Бобруйск_!$A$1:$Z$496</definedName>
    <definedName name="_xlnm.Print_Area" localSheetId="3">Быхов_!$A$1:$Z$442</definedName>
    <definedName name="_xlnm.Print_Area" localSheetId="4">Глуск_!$A$1:$Z$296</definedName>
    <definedName name="_xlnm.Print_Area" localSheetId="5">Горки_!$A$1:$Z$455</definedName>
    <definedName name="_xlnm.Print_Area" localSheetId="6">Дрибин_!$A$1:$Z$270</definedName>
    <definedName name="_xlnm.Print_Area" localSheetId="8">Кировск_!$A$1:$Z$260</definedName>
    <definedName name="_xlnm.Print_Area" localSheetId="7">Климовичи_!$A$1:$Z$440</definedName>
    <definedName name="_xlnm.Print_Area" localSheetId="9">Кличев_!$A$1:$Z$354</definedName>
    <definedName name="_xlnm.Print_Area" localSheetId="10">Костюковичи_!$A$1:$Z$350</definedName>
    <definedName name="_xlnm.Print_Area" localSheetId="11">Краснополье_!$A$1:$Z$302</definedName>
    <definedName name="_xlnm.Print_Area" localSheetId="12">Кричев_!$A$1:$Z$319</definedName>
    <definedName name="_xlnm.Print_Area" localSheetId="13">Круглое_!$A$1:$Z$309</definedName>
    <definedName name="_xlnm.Print_Area" localSheetId="14">Могилев_!$A$2:$Z$929</definedName>
    <definedName name="_xlnm.Print_Area" localSheetId="15">Мстиславль_!$A$1:$Z$485</definedName>
    <definedName name="_xlnm.Print_Area" localSheetId="16">Осиповичи_!$A$1:$Z$340</definedName>
    <definedName name="_xlnm.Print_Area" localSheetId="0">Сводная_2025!$C$1:$W$38</definedName>
    <definedName name="_xlnm.Print_Area" localSheetId="17">Славгород_!$A$1:$Z$262</definedName>
    <definedName name="_xlnm.Print_Area" localSheetId="18">Хотимск_!$A$1:$Z$240</definedName>
    <definedName name="_xlnm.Print_Area" localSheetId="19">Чаусы_!$A$1:$Z$434</definedName>
    <definedName name="_xlnm.Print_Area" localSheetId="20">Чериков_!$A$1:$Z$279</definedName>
    <definedName name="_xlnm.Print_Area" localSheetId="21">Шклов_!$A$1:$Z$533</definedName>
    <definedName name="Область_печати_ИМ" localSheetId="0">Сводная_2025!#REF!</definedName>
  </definedNames>
  <calcPr calcId="162913"/>
</workbook>
</file>

<file path=xl/calcChain.xml><?xml version="1.0" encoding="utf-8"?>
<calcChain xmlns="http://schemas.openxmlformats.org/spreadsheetml/2006/main">
  <c r="Z494" i="75" l="1"/>
  <c r="Y494" i="75"/>
  <c r="X494" i="75"/>
  <c r="W494" i="75"/>
  <c r="X537" i="86" l="1"/>
  <c r="W537" i="86"/>
  <c r="X126" i="62" l="1"/>
  <c r="W126" i="62"/>
  <c r="X31" i="62"/>
  <c r="W31" i="62"/>
  <c r="X129" i="90" l="1"/>
  <c r="W129" i="90"/>
  <c r="X162" i="90"/>
  <c r="W162" i="90"/>
  <c r="X227" i="90"/>
  <c r="W227" i="90"/>
  <c r="X258" i="90"/>
  <c r="W258" i="90"/>
  <c r="X213" i="41" l="1"/>
  <c r="X46" i="41"/>
  <c r="X48" i="101" l="1"/>
  <c r="W48" i="101"/>
  <c r="W88" i="101"/>
  <c r="X88" i="101"/>
  <c r="X54" i="101"/>
  <c r="W54" i="101"/>
  <c r="Q43" i="59" l="1"/>
  <c r="N42" i="59"/>
  <c r="Q41" i="59"/>
  <c r="N40" i="59"/>
  <c r="Q39" i="59"/>
  <c r="N38" i="59"/>
  <c r="Q37" i="59"/>
  <c r="N36" i="59"/>
  <c r="Q35" i="59"/>
  <c r="N34" i="59"/>
  <c r="N30" i="59" s="1"/>
  <c r="Q33" i="59"/>
  <c r="Q30" i="59" s="1"/>
  <c r="Q44" i="59" l="1"/>
  <c r="R44" i="59"/>
  <c r="J47" i="59"/>
  <c r="I47" i="59" s="1"/>
  <c r="J48" i="59"/>
  <c r="I48" i="59" s="1"/>
  <c r="J49" i="59"/>
  <c r="I49" i="59" s="1"/>
  <c r="W56" i="59"/>
  <c r="Q58" i="59"/>
  <c r="N59" i="59"/>
  <c r="N56" i="59" s="1"/>
  <c r="Q60" i="59"/>
  <c r="N61" i="59"/>
  <c r="Q61" i="59"/>
  <c r="J64" i="59"/>
  <c r="I64" i="59" s="1"/>
  <c r="J65" i="59"/>
  <c r="I65" i="59" s="1"/>
  <c r="Q66" i="59"/>
  <c r="R66" i="59"/>
  <c r="J69" i="59"/>
  <c r="I69" i="59" s="1"/>
  <c r="J70" i="59"/>
  <c r="I70" i="59" s="1"/>
  <c r="N71" i="59"/>
  <c r="T71" i="59"/>
  <c r="Q73" i="59"/>
  <c r="Q71" i="59" s="1"/>
  <c r="J86" i="59"/>
  <c r="I86" i="59" s="1"/>
  <c r="J87" i="59"/>
  <c r="I87" i="59" s="1"/>
  <c r="J88" i="59"/>
  <c r="I88" i="59" s="1"/>
  <c r="J89" i="59"/>
  <c r="I89" i="59" s="1"/>
  <c r="J90" i="59"/>
  <c r="I90" i="59" s="1"/>
  <c r="J91" i="59"/>
  <c r="I91" i="59" s="1"/>
  <c r="J92" i="59"/>
  <c r="I92" i="59" s="1"/>
  <c r="J93" i="59"/>
  <c r="I93" i="59" s="1"/>
  <c r="J94" i="59"/>
  <c r="I94" i="59" s="1"/>
  <c r="Q97" i="59"/>
  <c r="N98" i="59"/>
  <c r="Q99" i="59"/>
  <c r="N100" i="59"/>
  <c r="Q101" i="59"/>
  <c r="N102" i="59"/>
  <c r="Q103" i="59"/>
  <c r="J104" i="59"/>
  <c r="I104" i="59" s="1"/>
  <c r="Q106" i="59"/>
  <c r="N107" i="59"/>
  <c r="Q108" i="59"/>
  <c r="N109" i="59"/>
  <c r="I110" i="59"/>
  <c r="J110" i="59"/>
  <c r="Q113" i="59"/>
  <c r="Q111" i="59" s="1"/>
  <c r="N114" i="59"/>
  <c r="N111" i="59" s="1"/>
  <c r="J115" i="59"/>
  <c r="I115" i="59" s="1"/>
  <c r="J116" i="59"/>
  <c r="I116" i="59" s="1"/>
  <c r="J117" i="59"/>
  <c r="I117" i="59" s="1"/>
  <c r="N118" i="59"/>
  <c r="R118" i="59"/>
  <c r="J121" i="59"/>
  <c r="I121" i="59" s="1"/>
  <c r="J122" i="59"/>
  <c r="I122" i="59" s="1"/>
  <c r="Q125" i="59"/>
  <c r="Q123" i="59" s="1"/>
  <c r="N126" i="59"/>
  <c r="N123" i="59" s="1"/>
  <c r="N131" i="59"/>
  <c r="Q133" i="59"/>
  <c r="Q131" i="59" s="1"/>
  <c r="J134" i="59"/>
  <c r="I134" i="59" s="1"/>
  <c r="J135" i="59"/>
  <c r="I135" i="59" s="1"/>
  <c r="R136" i="59"/>
  <c r="J136" i="59" s="1"/>
  <c r="I136" i="59" s="1"/>
  <c r="N141" i="59"/>
  <c r="N142" i="59"/>
  <c r="J143" i="59"/>
  <c r="I143" i="59" s="1"/>
  <c r="J144" i="59"/>
  <c r="I144" i="59" s="1"/>
  <c r="J145" i="59"/>
  <c r="I145" i="59" s="1"/>
  <c r="J146" i="59"/>
  <c r="I146" i="59" s="1"/>
  <c r="J147" i="59"/>
  <c r="I147" i="59" s="1"/>
  <c r="J148" i="59"/>
  <c r="I148" i="59" s="1"/>
  <c r="J149" i="59"/>
  <c r="I149" i="59" s="1"/>
  <c r="J150" i="59"/>
  <c r="I150" i="59" s="1"/>
  <c r="J151" i="59"/>
  <c r="I151" i="59" s="1"/>
  <c r="J152" i="59"/>
  <c r="I152" i="59" s="1"/>
  <c r="Q155" i="59"/>
  <c r="Q153" i="59" s="1"/>
  <c r="N156" i="59"/>
  <c r="N153" i="59" s="1"/>
  <c r="J157" i="59"/>
  <c r="I157" i="59" s="1"/>
  <c r="J158" i="59"/>
  <c r="I158" i="59" s="1"/>
  <c r="J159" i="59"/>
  <c r="I159" i="59" s="1"/>
  <c r="J160" i="59"/>
  <c r="I160" i="59" s="1"/>
  <c r="J161" i="59"/>
  <c r="I161" i="59" s="1"/>
  <c r="Q164" i="59"/>
  <c r="Q162" i="59" s="1"/>
  <c r="N165" i="59"/>
  <c r="N162" i="59" s="1"/>
  <c r="J166" i="59"/>
  <c r="I166" i="59" s="1"/>
  <c r="J167" i="59"/>
  <c r="I167" i="59" s="1"/>
  <c r="J168" i="59"/>
  <c r="I168" i="59" s="1"/>
  <c r="J169" i="59"/>
  <c r="I169" i="59" s="1"/>
  <c r="N170" i="59"/>
  <c r="Q170" i="59"/>
  <c r="N175" i="59"/>
  <c r="Q175" i="59"/>
  <c r="J178" i="59"/>
  <c r="I178" i="59" s="1"/>
  <c r="J179" i="59"/>
  <c r="I179" i="59" s="1"/>
  <c r="J180" i="59"/>
  <c r="I180" i="59" s="1"/>
  <c r="J181" i="59"/>
  <c r="I181" i="59" s="1"/>
  <c r="N182" i="59"/>
  <c r="Q184" i="59"/>
  <c r="Q182" i="59" s="1"/>
  <c r="N185" i="59"/>
  <c r="R187" i="59"/>
  <c r="R188" i="59"/>
  <c r="J189" i="59"/>
  <c r="I189" i="59" s="1"/>
  <c r="N190" i="59"/>
  <c r="Q190" i="59"/>
  <c r="J193" i="59"/>
  <c r="I193" i="59" s="1"/>
  <c r="J194" i="59"/>
  <c r="I194" i="59" s="1"/>
  <c r="Q195" i="59"/>
  <c r="R198" i="59"/>
  <c r="R200" i="59"/>
  <c r="N201" i="59"/>
  <c r="Q201" i="59"/>
  <c r="J201" i="59" s="1"/>
  <c r="J204" i="59"/>
  <c r="I204" i="59" s="1"/>
  <c r="Q205" i="59"/>
  <c r="R205" i="59"/>
  <c r="J208" i="59"/>
  <c r="I208" i="59" s="1"/>
  <c r="N209" i="59"/>
  <c r="R211" i="59"/>
  <c r="R209" i="59" s="1"/>
  <c r="J212" i="59"/>
  <c r="I212" i="59" s="1"/>
  <c r="J213" i="59"/>
  <c r="I213" i="59" s="1"/>
  <c r="J214" i="59"/>
  <c r="I214" i="59" s="1"/>
  <c r="J215" i="59"/>
  <c r="I215" i="59" s="1"/>
  <c r="J216" i="59"/>
  <c r="I216" i="59" s="1"/>
  <c r="N217" i="59"/>
  <c r="Q219" i="59"/>
  <c r="Q217" i="59" s="1"/>
  <c r="N222" i="59"/>
  <c r="Q222" i="59"/>
  <c r="J225" i="59"/>
  <c r="I225" i="59" s="1"/>
  <c r="J226" i="59"/>
  <c r="I226" i="59" s="1"/>
  <c r="N227" i="59"/>
  <c r="R227" i="59"/>
  <c r="J230" i="59"/>
  <c r="I230" i="59" s="1"/>
  <c r="Q231" i="59"/>
  <c r="R231" i="59"/>
  <c r="Q234" i="59"/>
  <c r="R236" i="59"/>
  <c r="R234" i="59" s="1"/>
  <c r="J237" i="59"/>
  <c r="I237" i="59" s="1"/>
  <c r="Q238" i="59"/>
  <c r="R240" i="59"/>
  <c r="R238" i="59" s="1"/>
  <c r="J241" i="59"/>
  <c r="I241" i="59" s="1"/>
  <c r="N242" i="59"/>
  <c r="R242" i="59"/>
  <c r="J245" i="59"/>
  <c r="I245" i="59" s="1"/>
  <c r="J246" i="59"/>
  <c r="I246" i="59" s="1"/>
  <c r="J247" i="59"/>
  <c r="I247" i="59" s="1"/>
  <c r="J248" i="59"/>
  <c r="I248" i="59" s="1"/>
  <c r="N249" i="59"/>
  <c r="Q249" i="59"/>
  <c r="J252" i="59"/>
  <c r="I252" i="59" s="1"/>
  <c r="Q253" i="59"/>
  <c r="R253" i="59"/>
  <c r="J256" i="59"/>
  <c r="I256" i="59" s="1"/>
  <c r="J257" i="59"/>
  <c r="I257" i="59" s="1"/>
  <c r="J258" i="59"/>
  <c r="I258" i="59" s="1"/>
  <c r="Q259" i="59"/>
  <c r="R261" i="59"/>
  <c r="R259" i="59" s="1"/>
  <c r="J262" i="59"/>
  <c r="I262" i="59" s="1"/>
  <c r="J263" i="59"/>
  <c r="I263" i="59" s="1"/>
  <c r="J264" i="59"/>
  <c r="I264" i="59" s="1"/>
  <c r="J265" i="59"/>
  <c r="I265" i="59" s="1"/>
  <c r="J266" i="59"/>
  <c r="I266" i="59" s="1"/>
  <c r="J267" i="59"/>
  <c r="I267" i="59" s="1"/>
  <c r="N268" i="59"/>
  <c r="Q268" i="59"/>
  <c r="R268" i="59"/>
  <c r="J274" i="59"/>
  <c r="I274" i="59" s="1"/>
  <c r="J275" i="59"/>
  <c r="I275" i="59" s="1"/>
  <c r="J276" i="59"/>
  <c r="I276" i="59" s="1"/>
  <c r="J277" i="59"/>
  <c r="I277" i="59" s="1"/>
  <c r="N278" i="59"/>
  <c r="Q278" i="59"/>
  <c r="R278" i="59"/>
  <c r="J282" i="59"/>
  <c r="I282" i="59" s="1"/>
  <c r="Q283" i="59"/>
  <c r="R283" i="59"/>
  <c r="J286" i="59"/>
  <c r="I286" i="59" s="1"/>
  <c r="N287" i="59"/>
  <c r="R287" i="59"/>
  <c r="J291" i="59"/>
  <c r="I291" i="59" s="1"/>
  <c r="J292" i="59"/>
  <c r="I292" i="59" s="1"/>
  <c r="N295" i="59"/>
  <c r="N293" i="59" s="1"/>
  <c r="R296" i="59"/>
  <c r="R293" i="59" s="1"/>
  <c r="J297" i="59"/>
  <c r="I297" i="59" s="1"/>
  <c r="Q298" i="59"/>
  <c r="R298" i="59"/>
  <c r="J301" i="59"/>
  <c r="I301" i="59" s="1"/>
  <c r="J302" i="59"/>
  <c r="I302" i="59" s="1"/>
  <c r="J303" i="59"/>
  <c r="I303" i="59" s="1"/>
  <c r="Q304" i="59"/>
  <c r="R307" i="59"/>
  <c r="R304" i="59" s="1"/>
  <c r="J308" i="59"/>
  <c r="I308" i="59" s="1"/>
  <c r="J310" i="59"/>
  <c r="I310" i="59" s="1"/>
  <c r="J311" i="59"/>
  <c r="I311" i="59" s="1"/>
  <c r="J312" i="59"/>
  <c r="I312" i="59" s="1"/>
  <c r="Q314" i="59"/>
  <c r="R314" i="59"/>
  <c r="J317" i="59"/>
  <c r="I317" i="59" s="1"/>
  <c r="J318" i="59"/>
  <c r="I318" i="59" s="1"/>
  <c r="J320" i="59"/>
  <c r="I320" i="59" s="1"/>
  <c r="Q323" i="59"/>
  <c r="Q321" i="59" s="1"/>
  <c r="J321" i="59" s="1"/>
  <c r="J324" i="59"/>
  <c r="I324" i="59" s="1"/>
  <c r="J325" i="59"/>
  <c r="I325" i="59" s="1"/>
  <c r="J327" i="59"/>
  <c r="I327" i="59" s="1"/>
  <c r="J328" i="59"/>
  <c r="I328" i="59" s="1"/>
  <c r="J329" i="59"/>
  <c r="I329" i="59" s="1"/>
  <c r="J330" i="59"/>
  <c r="I330" i="59" s="1"/>
  <c r="Q332" i="59"/>
  <c r="R332" i="59"/>
  <c r="Q335" i="59"/>
  <c r="R335" i="59"/>
  <c r="J338" i="59"/>
  <c r="I338" i="59" s="1"/>
  <c r="J339" i="59"/>
  <c r="I339" i="59" s="1"/>
  <c r="Q340" i="59"/>
  <c r="R342" i="59"/>
  <c r="R343" i="59"/>
  <c r="J344" i="59"/>
  <c r="I344" i="59" s="1"/>
  <c r="J345" i="59"/>
  <c r="I345" i="59" s="1"/>
  <c r="J346" i="59"/>
  <c r="I346" i="59" s="1"/>
  <c r="Q347" i="59"/>
  <c r="R347" i="59"/>
  <c r="J350" i="59"/>
  <c r="I350" i="59" s="1"/>
  <c r="J351" i="59"/>
  <c r="I351" i="59" s="1"/>
  <c r="J352" i="59"/>
  <c r="I352" i="59" s="1"/>
  <c r="J353" i="59"/>
  <c r="I353" i="59" s="1"/>
  <c r="J354" i="59"/>
  <c r="I354" i="59" s="1"/>
  <c r="J355" i="59"/>
  <c r="I355" i="59" s="1"/>
  <c r="J356" i="59"/>
  <c r="I356" i="59" s="1"/>
  <c r="N358" i="59"/>
  <c r="Q358" i="59"/>
  <c r="N33" i="79"/>
  <c r="J227" i="59" l="1"/>
  <c r="J238" i="59"/>
  <c r="J162" i="59"/>
  <c r="J131" i="59"/>
  <c r="J71" i="59"/>
  <c r="I71" i="59" s="1"/>
  <c r="J234" i="59"/>
  <c r="J231" i="59"/>
  <c r="R340" i="59"/>
  <c r="R185" i="59"/>
  <c r="J185" i="59" s="1"/>
  <c r="I185" i="59" s="1"/>
  <c r="J66" i="59"/>
  <c r="J314" i="59"/>
  <c r="I314" i="59" s="1"/>
  <c r="J287" i="59"/>
  <c r="I287" i="59" s="1"/>
  <c r="J283" i="59"/>
  <c r="J153" i="59"/>
  <c r="I153" i="59" s="1"/>
  <c r="J347" i="59"/>
  <c r="J335" i="59"/>
  <c r="I335" i="59" s="1"/>
  <c r="J332" i="59"/>
  <c r="J298" i="59"/>
  <c r="J268" i="59"/>
  <c r="J170" i="59"/>
  <c r="I170" i="59" s="1"/>
  <c r="J358" i="59"/>
  <c r="I358" i="59" s="1"/>
  <c r="J304" i="59"/>
  <c r="I304" i="59" s="1"/>
  <c r="J278" i="59"/>
  <c r="I278" i="59" s="1"/>
  <c r="J253" i="59"/>
  <c r="I253" i="59" s="1"/>
  <c r="J249" i="59"/>
  <c r="J242" i="59"/>
  <c r="I242" i="59" s="1"/>
  <c r="J222" i="59"/>
  <c r="J217" i="59"/>
  <c r="I217" i="59" s="1"/>
  <c r="J209" i="59"/>
  <c r="J205" i="59"/>
  <c r="I205" i="59" s="1"/>
  <c r="R195" i="59"/>
  <c r="J195" i="59" s="1"/>
  <c r="J190" i="59"/>
  <c r="I190" i="59" s="1"/>
  <c r="J175" i="59"/>
  <c r="I175" i="59" s="1"/>
  <c r="N139" i="59"/>
  <c r="J139" i="59" s="1"/>
  <c r="I139" i="59" s="1"/>
  <c r="J118" i="59"/>
  <c r="I118" i="59" s="1"/>
  <c r="N105" i="59"/>
  <c r="J105" i="59" s="1"/>
  <c r="N95" i="59"/>
  <c r="J61" i="59"/>
  <c r="I61" i="59" s="1"/>
  <c r="Q56" i="59"/>
  <c r="J44" i="59"/>
  <c r="I44" i="59" s="1"/>
  <c r="Q105" i="59"/>
  <c r="Q95" i="59"/>
  <c r="I347" i="59"/>
  <c r="I332" i="59"/>
  <c r="I268" i="59"/>
  <c r="I234" i="59"/>
  <c r="I227" i="59"/>
  <c r="I209" i="59"/>
  <c r="I321" i="59"/>
  <c r="I283" i="59"/>
  <c r="I238" i="59"/>
  <c r="I222" i="59"/>
  <c r="I201" i="59"/>
  <c r="I131" i="59"/>
  <c r="I66" i="59"/>
  <c r="J340" i="59"/>
  <c r="J293" i="59"/>
  <c r="J259" i="59"/>
  <c r="J182" i="59"/>
  <c r="J123" i="59"/>
  <c r="J111" i="59"/>
  <c r="J56" i="59"/>
  <c r="I298" i="59"/>
  <c r="I249" i="59"/>
  <c r="I231" i="59"/>
  <c r="I162" i="59"/>
  <c r="N212" i="111"/>
  <c r="Q111" i="44"/>
  <c r="N112" i="44"/>
  <c r="Q79" i="79"/>
  <c r="N64" i="51"/>
  <c r="N102" i="51"/>
  <c r="T115" i="62"/>
  <c r="J95" i="59" l="1"/>
  <c r="I95" i="59" s="1"/>
  <c r="I56" i="59"/>
  <c r="I111" i="59"/>
  <c r="I182" i="59"/>
  <c r="I259" i="59"/>
  <c r="I340" i="59"/>
  <c r="I105" i="59"/>
  <c r="I123" i="59"/>
  <c r="I195" i="59"/>
  <c r="I293" i="59"/>
  <c r="Q102" i="58" l="1"/>
  <c r="Q101" i="58"/>
  <c r="Q100" i="58"/>
  <c r="N123" i="101"/>
  <c r="R122" i="101"/>
  <c r="R745" i="86" l="1"/>
  <c r="L743" i="86"/>
  <c r="R743" i="86"/>
  <c r="T45" i="60" l="1"/>
  <c r="N496" i="75" l="1"/>
  <c r="N108" i="58"/>
  <c r="N394" i="86"/>
  <c r="Q214" i="111" l="1"/>
  <c r="R452" i="86" l="1"/>
  <c r="L474" i="79" l="1"/>
  <c r="Q473" i="79"/>
  <c r="N472" i="79"/>
  <c r="L471" i="79"/>
  <c r="L470" i="79" s="1"/>
  <c r="N470" i="79"/>
  <c r="Q177" i="79"/>
  <c r="Q176" i="79"/>
  <c r="Q175" i="79"/>
  <c r="Q470" i="79" l="1"/>
  <c r="Q178" i="79" l="1"/>
  <c r="Q740" i="86" l="1"/>
  <c r="Q739" i="86"/>
  <c r="Q737" i="86" s="1"/>
  <c r="N41" i="44" l="1"/>
  <c r="N40" i="44"/>
  <c r="N39" i="44" s="1"/>
  <c r="Q48" i="58" l="1"/>
  <c r="N261" i="58"/>
  <c r="N260" i="58"/>
  <c r="N259" i="58"/>
  <c r="L257" i="58"/>
  <c r="N257" i="58" l="1"/>
  <c r="L45" i="58"/>
  <c r="L43" i="58"/>
  <c r="N43" i="58"/>
  <c r="Q375" i="44" l="1"/>
  <c r="Q373" i="44" s="1"/>
  <c r="Q218" i="111" l="1"/>
  <c r="Q216" i="111"/>
  <c r="N127" i="66" l="1"/>
  <c r="N333" i="62"/>
  <c r="Q135" i="86"/>
  <c r="N134" i="86"/>
  <c r="N133" i="86"/>
  <c r="Q267" i="41" l="1"/>
  <c r="Q195" i="41"/>
  <c r="Q194" i="41"/>
  <c r="N193" i="41"/>
  <c r="N192" i="41"/>
  <c r="Q191" i="41"/>
  <c r="R251" i="101" l="1"/>
  <c r="N251" i="101"/>
  <c r="Q253" i="101"/>
  <c r="Q251" i="101" s="1"/>
  <c r="R750" i="86" l="1"/>
  <c r="L749" i="86"/>
  <c r="R748" i="86"/>
  <c r="L748" i="86"/>
  <c r="Q440" i="86" l="1"/>
  <c r="N441" i="86"/>
  <c r="Q277" i="21" l="1"/>
  <c r="Q187" i="86" l="1"/>
  <c r="Q110" i="58" l="1"/>
  <c r="Q314" i="79" l="1"/>
  <c r="Q422" i="75" l="1"/>
  <c r="Q420" i="75" s="1"/>
  <c r="N283" i="14" l="1"/>
  <c r="Q282" i="14"/>
  <c r="N281" i="14"/>
  <c r="Q280" i="14"/>
  <c r="Q88" i="61" l="1"/>
  <c r="Q48" i="61"/>
  <c r="R194" i="101"/>
  <c r="R192" i="101"/>
  <c r="Q192" i="101"/>
  <c r="R376" i="44"/>
  <c r="R373" i="44" s="1"/>
  <c r="R487" i="79"/>
  <c r="N170" i="71" l="1"/>
  <c r="N171" i="71"/>
  <c r="N85" i="75"/>
  <c r="N84" i="75"/>
  <c r="Q83" i="75"/>
  <c r="Q237" i="58" l="1"/>
  <c r="N236" i="58"/>
  <c r="N234" i="58" s="1"/>
  <c r="Q234" i="58"/>
  <c r="L234" i="58"/>
  <c r="L231" i="58" l="1"/>
  <c r="Q233" i="58"/>
  <c r="Q231" i="58" s="1"/>
  <c r="Q157" i="58" l="1"/>
  <c r="N156" i="58"/>
  <c r="N693" i="86" l="1"/>
  <c r="R140" i="75" l="1"/>
  <c r="R164" i="58" l="1"/>
  <c r="N163" i="58"/>
  <c r="Q162" i="58"/>
  <c r="L327" i="90" l="1"/>
  <c r="L325" i="90" s="1"/>
  <c r="R328" i="90"/>
  <c r="R326" i="90"/>
  <c r="R325" i="90" s="1"/>
  <c r="Q205" i="43" l="1"/>
  <c r="Q433" i="86" l="1"/>
  <c r="N432" i="86"/>
  <c r="Q431" i="86"/>
  <c r="N188" i="86" l="1"/>
  <c r="N190" i="86"/>
  <c r="Q189" i="86"/>
  <c r="Q223" i="41"/>
  <c r="Q221" i="41" s="1"/>
  <c r="N222" i="41"/>
  <c r="N221" i="41" s="1"/>
  <c r="Q138" i="41"/>
  <c r="Q135" i="41" s="1"/>
  <c r="N137" i="41"/>
  <c r="R162" i="43" l="1"/>
  <c r="Q371" i="60"/>
  <c r="Q368" i="60" s="1"/>
  <c r="Q112" i="14" l="1"/>
  <c r="Q401" i="14"/>
  <c r="L39" i="58" l="1"/>
  <c r="N38" i="58"/>
  <c r="Q37" i="58"/>
  <c r="N36" i="58"/>
  <c r="Q35" i="58"/>
  <c r="N34" i="58"/>
  <c r="Q33" i="58"/>
  <c r="N32" i="58"/>
  <c r="L31" i="58"/>
  <c r="L30" i="58" s="1"/>
  <c r="T30" i="58" l="1"/>
  <c r="Q131" i="111" l="1"/>
  <c r="N128" i="58" l="1"/>
  <c r="L127" i="58"/>
  <c r="Q126" i="58"/>
  <c r="L124" i="58"/>
  <c r="Q143" i="58" l="1"/>
  <c r="Q142" i="58"/>
  <c r="Q139" i="58" s="1"/>
  <c r="N141" i="58"/>
  <c r="L139" i="58"/>
  <c r="R585" i="86" l="1"/>
  <c r="Q97" i="62"/>
  <c r="Q96" i="62"/>
  <c r="N85" i="41" l="1"/>
  <c r="N84" i="41"/>
  <c r="Q83" i="41"/>
  <c r="N82" i="41"/>
  <c r="L79" i="41"/>
  <c r="N79" i="41"/>
  <c r="N209" i="41" l="1"/>
  <c r="N207" i="41" s="1"/>
  <c r="L207" i="41"/>
  <c r="R267" i="51"/>
  <c r="N420" i="75"/>
  <c r="O141" i="41"/>
  <c r="O135" i="41" s="1"/>
  <c r="N140" i="41"/>
  <c r="N135" i="41" s="1"/>
  <c r="L139" i="41"/>
  <c r="L135" i="41" s="1"/>
  <c r="R403" i="21"/>
  <c r="L401" i="21"/>
  <c r="R401" i="21"/>
  <c r="J401" i="21" s="1"/>
  <c r="J135" i="41" l="1"/>
  <c r="I401" i="21"/>
  <c r="N34" i="169"/>
  <c r="Q33" i="169"/>
  <c r="L365" i="90"/>
  <c r="L363" i="90"/>
  <c r="Q220" i="62"/>
  <c r="AL14" i="41"/>
  <c r="AL15" i="41"/>
  <c r="AL16" i="41"/>
  <c r="AL17" i="41"/>
  <c r="AL18" i="41"/>
  <c r="AL20" i="41"/>
  <c r="AL21" i="41"/>
  <c r="AL22" i="41"/>
  <c r="AL23" i="41"/>
  <c r="AL24" i="41"/>
  <c r="AL26" i="41"/>
  <c r="AL27" i="41"/>
  <c r="AL28" i="41"/>
  <c r="AL29" i="41"/>
  <c r="AL30" i="41"/>
  <c r="AL35" i="41"/>
  <c r="AL37" i="41"/>
  <c r="AL39" i="41"/>
  <c r="AL41" i="41"/>
  <c r="AL43" i="41"/>
  <c r="AL45" i="41"/>
  <c r="AL47" i="41"/>
  <c r="AL49" i="41"/>
  <c r="AL50" i="41"/>
  <c r="AL56" i="41"/>
  <c r="AL58" i="41"/>
  <c r="AL60" i="41"/>
  <c r="AL62" i="41"/>
  <c r="AL66" i="41"/>
  <c r="AL68" i="41"/>
  <c r="AL69" i="41"/>
  <c r="AL70" i="41"/>
  <c r="AL71" i="41"/>
  <c r="AL19" i="41" l="1"/>
  <c r="AL25" i="41"/>
  <c r="AL13" i="41"/>
  <c r="AL11" i="41" l="1"/>
  <c r="X343" i="90" l="1"/>
  <c r="W343" i="90"/>
  <c r="Z79" i="62" l="1"/>
  <c r="X79" i="62"/>
  <c r="Z191" i="62" l="1"/>
  <c r="X191" i="62"/>
  <c r="T48" i="43" l="1"/>
  <c r="Q155" i="79" l="1"/>
  <c r="Q422" i="79"/>
  <c r="R421" i="79"/>
  <c r="Q350" i="79" l="1"/>
  <c r="Q122" i="51"/>
  <c r="N121" i="51"/>
  <c r="L65" i="79"/>
  <c r="Q429" i="42" l="1"/>
  <c r="Q427" i="42"/>
  <c r="R90" i="41" l="1"/>
  <c r="AL51" i="41" s="1"/>
  <c r="Q89" i="41"/>
  <c r="AL44" i="41" s="1"/>
  <c r="Q88" i="41"/>
  <c r="Q86" i="41" s="1"/>
  <c r="J328" i="62" l="1"/>
  <c r="N113" i="60"/>
  <c r="Q112" i="60"/>
  <c r="Q110" i="60"/>
  <c r="Q212" i="60"/>
  <c r="N213" i="60"/>
  <c r="Q356" i="14"/>
  <c r="Q355" i="14"/>
  <c r="I328" i="62" l="1"/>
  <c r="Q514" i="86"/>
  <c r="Q372" i="21" l="1"/>
  <c r="L370" i="21"/>
  <c r="Q370" i="21"/>
  <c r="Q113" i="44" l="1"/>
  <c r="Q416" i="75" l="1"/>
  <c r="Q414" i="75"/>
  <c r="N414" i="75"/>
  <c r="Q224" i="75" l="1"/>
  <c r="Q198" i="62" l="1"/>
  <c r="N197" i="62"/>
  <c r="Q107" i="111" l="1"/>
  <c r="N108" i="111"/>
  <c r="Q331" i="62" l="1"/>
  <c r="Q811" i="86"/>
  <c r="Q809" i="86" s="1"/>
  <c r="L891" i="86" l="1"/>
  <c r="R893" i="86"/>
  <c r="R891" i="86" s="1"/>
  <c r="AL70" i="169" l="1"/>
  <c r="AL69" i="169"/>
  <c r="AL68" i="169"/>
  <c r="AL64" i="169"/>
  <c r="AL62" i="169"/>
  <c r="AL60" i="169"/>
  <c r="AL58" i="169"/>
  <c r="AL56" i="169"/>
  <c r="AL51" i="169"/>
  <c r="AL50" i="169"/>
  <c r="AL49" i="169"/>
  <c r="AL48" i="169"/>
  <c r="AL47" i="169"/>
  <c r="AL45" i="169"/>
  <c r="AL44" i="169"/>
  <c r="AL43" i="169"/>
  <c r="AL42" i="169"/>
  <c r="AL41" i="169"/>
  <c r="AL39" i="169"/>
  <c r="AL37" i="169"/>
  <c r="AL35" i="169"/>
  <c r="AL30" i="169"/>
  <c r="AL29" i="169"/>
  <c r="AL28" i="169"/>
  <c r="AL27" i="169"/>
  <c r="AL26" i="169"/>
  <c r="AL24" i="169"/>
  <c r="AL23" i="169"/>
  <c r="AL22" i="169"/>
  <c r="AL21" i="169"/>
  <c r="AL20" i="169"/>
  <c r="AL18" i="169"/>
  <c r="AL17" i="169"/>
  <c r="AL16" i="169"/>
  <c r="AL15" i="169"/>
  <c r="AL14" i="169"/>
  <c r="AE31" i="44"/>
  <c r="AJ30" i="44"/>
  <c r="AI30" i="44"/>
  <c r="AH30" i="44"/>
  <c r="AE30" i="44"/>
  <c r="AJ29" i="44"/>
  <c r="AI29" i="44"/>
  <c r="AH29" i="44"/>
  <c r="AG29" i="44"/>
  <c r="AE29" i="44"/>
  <c r="AL72" i="44"/>
  <c r="AL71" i="44"/>
  <c r="AL70" i="44"/>
  <c r="AL68" i="44"/>
  <c r="AL66" i="44"/>
  <c r="AL64" i="44"/>
  <c r="AL62" i="44"/>
  <c r="AL60" i="44"/>
  <c r="AL58" i="44"/>
  <c r="AL53" i="44"/>
  <c r="AL52" i="44"/>
  <c r="AL51" i="44"/>
  <c r="AL50" i="44"/>
  <c r="AL49" i="44"/>
  <c r="AL45" i="44"/>
  <c r="AL43" i="44"/>
  <c r="AL39" i="44"/>
  <c r="AL37" i="44"/>
  <c r="AL35" i="44"/>
  <c r="AL30" i="44"/>
  <c r="AL29" i="44"/>
  <c r="AL28" i="44"/>
  <c r="AL27" i="44"/>
  <c r="AL26" i="44"/>
  <c r="AL24" i="44"/>
  <c r="AL23" i="44"/>
  <c r="AL22" i="44"/>
  <c r="AL21" i="44"/>
  <c r="AL20" i="44"/>
  <c r="AL18" i="44"/>
  <c r="AL17" i="44"/>
  <c r="AL16" i="44"/>
  <c r="AL70" i="66"/>
  <c r="AL68" i="66"/>
  <c r="AL66" i="66"/>
  <c r="AL64" i="66"/>
  <c r="AL62" i="66"/>
  <c r="AL60" i="66"/>
  <c r="AL58" i="66"/>
  <c r="AL56" i="66"/>
  <c r="AL51" i="66"/>
  <c r="AL50" i="66"/>
  <c r="AL49" i="66"/>
  <c r="AL48" i="66"/>
  <c r="AL47" i="66"/>
  <c r="AL43" i="66"/>
  <c r="AL41" i="66"/>
  <c r="AL39" i="66"/>
  <c r="AL37" i="66"/>
  <c r="AL35" i="66"/>
  <c r="AL30" i="66"/>
  <c r="AL29" i="66"/>
  <c r="AL28" i="66"/>
  <c r="AL27" i="66"/>
  <c r="AL26" i="66"/>
  <c r="AL24" i="66"/>
  <c r="AL23" i="66"/>
  <c r="AL22" i="66"/>
  <c r="AL21" i="66"/>
  <c r="AL20" i="66"/>
  <c r="AL18" i="66"/>
  <c r="AL17" i="66"/>
  <c r="AL16" i="66"/>
  <c r="AL15" i="66"/>
  <c r="AL14" i="66"/>
  <c r="N32" i="169"/>
  <c r="AL57" i="169" s="1"/>
  <c r="Q235" i="41"/>
  <c r="N234" i="41"/>
  <c r="Q233" i="41"/>
  <c r="AL46" i="66" l="1"/>
  <c r="AL25" i="169"/>
  <c r="AL19" i="169"/>
  <c r="AL40" i="169"/>
  <c r="AL46" i="169"/>
  <c r="AL25" i="66"/>
  <c r="AL13" i="66"/>
  <c r="AL19" i="66"/>
  <c r="AL11" i="66" s="1"/>
  <c r="AL13" i="169"/>
  <c r="AL19" i="44"/>
  <c r="AM19" i="44" s="1"/>
  <c r="AL25" i="44"/>
  <c r="AM25" i="44" s="1"/>
  <c r="AL48" i="44"/>
  <c r="AM48" i="44" s="1"/>
  <c r="AL11" i="169" l="1"/>
  <c r="N127" i="101" l="1"/>
  <c r="Q126" i="101"/>
  <c r="Q626" i="86"/>
  <c r="Q87" i="61"/>
  <c r="N86" i="61"/>
  <c r="Q85" i="61"/>
  <c r="N34" i="41" l="1"/>
  <c r="Q32" i="41"/>
  <c r="Q33" i="41"/>
  <c r="N31" i="41"/>
  <c r="N159" i="41" l="1"/>
  <c r="Q158" i="41"/>
  <c r="N157" i="41"/>
  <c r="N154" i="41" s="1"/>
  <c r="Q156" i="41"/>
  <c r="Q154" i="41" s="1"/>
  <c r="Q279" i="51"/>
  <c r="N277" i="51"/>
  <c r="Q277" i="51"/>
  <c r="Q97" i="44"/>
  <c r="Q95" i="44" s="1"/>
  <c r="N95" i="44"/>
  <c r="J95" i="44" l="1"/>
  <c r="I95" i="44"/>
  <c r="R851" i="86"/>
  <c r="N174" i="41"/>
  <c r="L172" i="41"/>
  <c r="N172" i="41"/>
  <c r="N178" i="41"/>
  <c r="Q177" i="41"/>
  <c r="Q122" i="41"/>
  <c r="Q124" i="41"/>
  <c r="N125" i="41"/>
  <c r="N123" i="41"/>
  <c r="N121" i="41"/>
  <c r="Q120" i="41"/>
  <c r="L237" i="41" l="1"/>
  <c r="L231" i="41" s="1"/>
  <c r="N236" i="41"/>
  <c r="N85" i="86"/>
  <c r="R61" i="66"/>
  <c r="L59" i="66"/>
  <c r="R59" i="66"/>
  <c r="Q67" i="66"/>
  <c r="N66" i="66"/>
  <c r="N62" i="66" s="1"/>
  <c r="N65" i="66"/>
  <c r="L64" i="66"/>
  <c r="L62" i="66" s="1"/>
  <c r="Q62" i="66"/>
  <c r="L255" i="41" l="1"/>
  <c r="Q254" i="41"/>
  <c r="Q253" i="41"/>
  <c r="Q252" i="41"/>
  <c r="Q251" i="41"/>
  <c r="Q250" i="41"/>
  <c r="L248" i="41"/>
  <c r="N67" i="79"/>
  <c r="AL67" i="79"/>
  <c r="Q248" i="41" l="1"/>
  <c r="AF31" i="21"/>
  <c r="AE31" i="21"/>
  <c r="AJ31" i="111"/>
  <c r="AE31" i="111"/>
  <c r="AL70" i="75"/>
  <c r="AL68" i="75"/>
  <c r="AL64" i="75"/>
  <c r="AL62" i="75"/>
  <c r="AL60" i="75"/>
  <c r="AL58" i="75"/>
  <c r="AL56" i="75"/>
  <c r="AL49" i="75"/>
  <c r="AL47" i="75"/>
  <c r="AL45" i="75"/>
  <c r="AL43" i="75"/>
  <c r="AL41" i="75"/>
  <c r="AL39" i="75"/>
  <c r="AL37" i="75"/>
  <c r="AL35" i="75"/>
  <c r="AL30" i="75"/>
  <c r="AL29" i="75"/>
  <c r="AL28" i="75"/>
  <c r="AL27" i="75"/>
  <c r="AL26" i="75"/>
  <c r="AL24" i="75"/>
  <c r="AL23" i="75"/>
  <c r="AL22" i="75"/>
  <c r="AL21" i="75"/>
  <c r="AL20" i="75"/>
  <c r="AL18" i="75"/>
  <c r="AL16" i="75"/>
  <c r="AL14" i="75"/>
  <c r="AL70" i="101"/>
  <c r="AL68" i="101"/>
  <c r="AL65" i="101"/>
  <c r="AL64" i="101"/>
  <c r="AL63" i="101"/>
  <c r="AL62" i="101"/>
  <c r="AL60" i="101"/>
  <c r="AL58" i="101"/>
  <c r="AL56" i="101"/>
  <c r="AL51" i="101"/>
  <c r="AL50" i="101"/>
  <c r="AL49" i="101"/>
  <c r="AL48" i="101"/>
  <c r="AL47" i="101"/>
  <c r="AL45" i="101"/>
  <c r="AL44" i="101"/>
  <c r="AL43" i="101"/>
  <c r="AL42" i="101"/>
  <c r="AL41" i="101"/>
  <c r="AL39" i="101"/>
  <c r="AL37" i="101"/>
  <c r="AL35" i="101"/>
  <c r="AL30" i="101"/>
  <c r="AL29" i="101"/>
  <c r="AL28" i="101"/>
  <c r="AL27" i="101"/>
  <c r="AL26" i="101"/>
  <c r="AL24" i="101"/>
  <c r="AL23" i="101"/>
  <c r="AL22" i="101"/>
  <c r="AL21" i="101"/>
  <c r="AL20" i="101"/>
  <c r="AL18" i="101"/>
  <c r="AL17" i="101"/>
  <c r="AL16" i="101"/>
  <c r="AL15" i="101"/>
  <c r="AL14" i="101"/>
  <c r="AL70" i="21"/>
  <c r="AL68" i="21"/>
  <c r="AL66" i="21"/>
  <c r="AL64" i="21"/>
  <c r="AL62" i="21"/>
  <c r="AL60" i="21"/>
  <c r="AL59" i="21"/>
  <c r="AL58" i="21"/>
  <c r="AL57" i="21"/>
  <c r="AL56" i="21"/>
  <c r="AL49" i="21"/>
  <c r="AL47" i="21"/>
  <c r="AL43" i="21"/>
  <c r="AL41" i="21"/>
  <c r="AL39" i="21"/>
  <c r="AL37" i="21"/>
  <c r="AL30" i="21"/>
  <c r="AL29" i="21"/>
  <c r="AL28" i="21"/>
  <c r="AL27" i="21"/>
  <c r="AL26" i="21"/>
  <c r="AL24" i="21"/>
  <c r="AL23" i="21"/>
  <c r="AL22" i="21"/>
  <c r="AL21" i="21"/>
  <c r="AL20" i="21"/>
  <c r="AL18" i="21"/>
  <c r="AL17" i="21"/>
  <c r="AL16" i="21"/>
  <c r="AL15" i="21"/>
  <c r="AL14" i="21"/>
  <c r="AL70" i="43"/>
  <c r="AL69" i="43"/>
  <c r="AL68" i="43"/>
  <c r="AL64" i="43"/>
  <c r="AL62" i="43"/>
  <c r="AL60" i="43"/>
  <c r="AL58" i="43"/>
  <c r="AL56" i="43"/>
  <c r="AL51" i="43"/>
  <c r="AL50" i="43"/>
  <c r="AL49" i="43"/>
  <c r="AL48" i="43"/>
  <c r="AL47" i="43"/>
  <c r="AL45" i="43"/>
  <c r="AL44" i="43"/>
  <c r="AL43" i="43"/>
  <c r="AL42" i="43"/>
  <c r="AL41" i="43"/>
  <c r="AL39" i="43"/>
  <c r="AL37" i="43"/>
  <c r="AL30" i="43"/>
  <c r="AL29" i="43"/>
  <c r="AL28" i="43"/>
  <c r="AL27" i="43"/>
  <c r="AL26" i="43"/>
  <c r="AL24" i="43"/>
  <c r="AL23" i="43"/>
  <c r="AL22" i="43"/>
  <c r="AL21" i="43"/>
  <c r="AL20" i="43"/>
  <c r="AL18" i="43"/>
  <c r="AL17" i="43"/>
  <c r="AL16" i="43"/>
  <c r="AL15" i="43"/>
  <c r="AL14" i="43"/>
  <c r="AL72" i="58"/>
  <c r="AL71" i="58"/>
  <c r="AL70" i="58"/>
  <c r="AL68" i="58"/>
  <c r="AL66" i="58"/>
  <c r="AL64" i="58"/>
  <c r="AL62" i="58"/>
  <c r="AL60" i="58"/>
  <c r="AL58" i="58"/>
  <c r="AL52" i="58"/>
  <c r="AL51" i="58"/>
  <c r="AL49" i="58"/>
  <c r="AL43" i="58"/>
  <c r="AL41" i="58"/>
  <c r="AL39" i="58"/>
  <c r="AL37" i="58"/>
  <c r="AL35" i="58"/>
  <c r="AL30" i="58"/>
  <c r="AL29" i="58"/>
  <c r="AL28" i="58"/>
  <c r="AL27" i="58"/>
  <c r="AL26" i="58"/>
  <c r="AL24" i="58"/>
  <c r="AL23" i="58"/>
  <c r="AL22" i="58"/>
  <c r="AL21" i="58"/>
  <c r="AL20" i="58"/>
  <c r="AL18" i="58"/>
  <c r="AL17" i="58"/>
  <c r="AL16" i="58"/>
  <c r="AL15" i="58"/>
  <c r="AL14" i="58"/>
  <c r="AL70" i="62"/>
  <c r="AL64" i="62"/>
  <c r="AL62" i="62"/>
  <c r="AL60" i="62"/>
  <c r="AL58" i="62"/>
  <c r="AL56" i="62"/>
  <c r="AL49" i="62"/>
  <c r="AL47" i="62"/>
  <c r="AL43" i="62"/>
  <c r="AL41" i="62"/>
  <c r="AL39" i="62"/>
  <c r="AL37" i="62"/>
  <c r="AL35" i="62"/>
  <c r="AL30" i="62"/>
  <c r="AL29" i="62"/>
  <c r="AL28" i="62"/>
  <c r="AL27" i="62"/>
  <c r="AL26" i="62"/>
  <c r="AL24" i="62"/>
  <c r="AL23" i="62"/>
  <c r="AL22" i="62"/>
  <c r="AL21" i="62"/>
  <c r="AL20" i="62"/>
  <c r="AL18" i="62"/>
  <c r="AL17" i="62"/>
  <c r="AL16" i="62"/>
  <c r="AL14" i="62"/>
  <c r="AL70" i="42"/>
  <c r="AL68" i="42"/>
  <c r="AL64" i="42"/>
  <c r="AL62" i="42"/>
  <c r="AL60" i="42"/>
  <c r="AL58" i="42"/>
  <c r="AL56" i="42"/>
  <c r="AL51" i="42"/>
  <c r="AL50" i="42"/>
  <c r="AL49" i="42"/>
  <c r="AL47" i="42"/>
  <c r="AL43" i="42"/>
  <c r="AL42" i="42"/>
  <c r="AL41" i="42"/>
  <c r="AL39" i="42"/>
  <c r="AL37" i="42"/>
  <c r="AL35" i="42"/>
  <c r="AL30" i="42"/>
  <c r="AL29" i="42"/>
  <c r="AL28" i="42"/>
  <c r="AL27" i="42"/>
  <c r="AL26" i="42"/>
  <c r="AL24" i="42"/>
  <c r="AL23" i="42"/>
  <c r="AL22" i="42"/>
  <c r="AL21" i="42"/>
  <c r="AL20" i="42"/>
  <c r="AL18" i="42"/>
  <c r="AL17" i="42"/>
  <c r="AL16" i="42"/>
  <c r="AL15" i="42"/>
  <c r="AL14" i="42"/>
  <c r="AL70" i="86"/>
  <c r="AL68" i="86"/>
  <c r="AL64" i="86"/>
  <c r="AL60" i="86"/>
  <c r="AL58" i="86"/>
  <c r="AL50" i="86"/>
  <c r="AL49" i="86"/>
  <c r="AL48" i="86"/>
  <c r="AL47" i="86"/>
  <c r="AL43" i="86"/>
  <c r="AL42" i="86"/>
  <c r="AL41" i="86"/>
  <c r="AL39" i="86"/>
  <c r="AL37" i="86"/>
  <c r="AL30" i="86"/>
  <c r="AL29" i="86"/>
  <c r="AL28" i="86"/>
  <c r="AL27" i="86"/>
  <c r="AL26" i="86"/>
  <c r="AL24" i="86"/>
  <c r="AL23" i="86"/>
  <c r="AL22" i="86"/>
  <c r="AL21" i="86"/>
  <c r="AL20" i="86"/>
  <c r="AL18" i="86"/>
  <c r="AL17" i="86"/>
  <c r="AL16" i="86"/>
  <c r="AL70" i="61"/>
  <c r="AL68" i="61"/>
  <c r="AL64" i="61"/>
  <c r="AL62" i="61"/>
  <c r="AL60" i="61"/>
  <c r="AL58" i="61"/>
  <c r="AL56" i="61"/>
  <c r="AL51" i="61"/>
  <c r="AL49" i="61"/>
  <c r="AL48" i="61"/>
  <c r="AL47" i="61"/>
  <c r="AL45" i="61"/>
  <c r="AL44" i="61"/>
  <c r="AL43" i="61"/>
  <c r="AL42" i="61"/>
  <c r="AL41" i="61"/>
  <c r="AL39" i="61"/>
  <c r="AL37" i="61"/>
  <c r="AL36" i="61"/>
  <c r="AL35" i="61"/>
  <c r="AL30" i="61"/>
  <c r="AL29" i="61"/>
  <c r="AL28" i="61"/>
  <c r="AL27" i="61"/>
  <c r="AL26" i="61"/>
  <c r="AL24" i="61"/>
  <c r="AL23" i="61"/>
  <c r="AL22" i="61"/>
  <c r="AL21" i="61"/>
  <c r="AL20" i="61"/>
  <c r="AL18" i="61"/>
  <c r="AL17" i="61"/>
  <c r="AL16" i="61"/>
  <c r="AL15" i="61"/>
  <c r="AL14" i="61"/>
  <c r="AL70" i="59"/>
  <c r="AL69" i="59"/>
  <c r="AL68" i="59"/>
  <c r="AL65" i="59"/>
  <c r="AL64" i="59"/>
  <c r="AL63" i="59"/>
  <c r="AL62" i="59"/>
  <c r="AL60" i="59"/>
  <c r="AL58" i="59"/>
  <c r="AL56" i="59"/>
  <c r="AL50" i="59"/>
  <c r="AL49" i="59"/>
  <c r="AL48" i="59"/>
  <c r="AL47" i="59"/>
  <c r="AL45" i="59"/>
  <c r="AL43" i="59"/>
  <c r="AL42" i="59"/>
  <c r="AL41" i="59"/>
  <c r="AL39" i="59"/>
  <c r="AL37" i="59"/>
  <c r="AL35" i="59"/>
  <c r="AL30" i="59"/>
  <c r="AL29" i="59"/>
  <c r="AL28" i="59"/>
  <c r="AL27" i="59"/>
  <c r="AL26" i="59"/>
  <c r="AL24" i="59"/>
  <c r="AL23" i="59"/>
  <c r="AL22" i="59"/>
  <c r="AL21" i="59"/>
  <c r="AL20" i="59"/>
  <c r="AL18" i="59"/>
  <c r="AL17" i="59"/>
  <c r="AL16" i="59"/>
  <c r="AL15" i="59"/>
  <c r="AL14" i="59"/>
  <c r="AL70" i="51"/>
  <c r="AL68" i="51"/>
  <c r="AL66" i="51"/>
  <c r="AL64" i="51"/>
  <c r="AL62" i="51"/>
  <c r="AL60" i="51"/>
  <c r="AL58" i="51"/>
  <c r="AL56" i="51"/>
  <c r="AL51" i="51"/>
  <c r="AL50" i="51"/>
  <c r="AL49" i="51"/>
  <c r="AL48" i="51"/>
  <c r="AL47" i="51"/>
  <c r="AL45" i="51"/>
  <c r="AL43" i="51"/>
  <c r="AL41" i="51"/>
  <c r="AL39" i="51"/>
  <c r="AL37" i="51"/>
  <c r="AL35" i="51"/>
  <c r="AL30" i="51"/>
  <c r="AL29" i="51"/>
  <c r="AL28" i="51"/>
  <c r="AL27" i="51"/>
  <c r="AL26" i="51"/>
  <c r="AL24" i="51"/>
  <c r="AL23" i="51"/>
  <c r="AL22" i="51"/>
  <c r="AL21" i="51"/>
  <c r="AL20" i="51"/>
  <c r="AL18" i="51"/>
  <c r="AL17" i="51"/>
  <c r="AL16" i="51"/>
  <c r="AL14" i="51"/>
  <c r="AL70" i="111"/>
  <c r="AL68" i="111"/>
  <c r="AL64" i="111"/>
  <c r="AL62" i="111"/>
  <c r="AL60" i="111"/>
  <c r="AL58" i="111"/>
  <c r="AL56" i="111"/>
  <c r="AL51" i="111"/>
  <c r="AL50" i="111"/>
  <c r="AL49" i="111"/>
  <c r="AL48" i="111"/>
  <c r="AL47" i="111"/>
  <c r="AL45" i="111"/>
  <c r="AL44" i="111"/>
  <c r="AL43" i="111"/>
  <c r="AL42" i="111"/>
  <c r="AL41" i="111"/>
  <c r="AL39" i="111"/>
  <c r="AL37" i="111"/>
  <c r="AL35" i="111"/>
  <c r="AL30" i="111"/>
  <c r="AL29" i="111"/>
  <c r="AL28" i="111"/>
  <c r="AL27" i="111"/>
  <c r="AL26" i="111"/>
  <c r="AL24" i="111"/>
  <c r="AL23" i="111"/>
  <c r="AL22" i="111"/>
  <c r="AL21" i="111"/>
  <c r="AL20" i="111"/>
  <c r="AL18" i="111"/>
  <c r="AL17" i="111"/>
  <c r="AL16" i="111"/>
  <c r="AL15" i="111"/>
  <c r="AL14" i="111"/>
  <c r="AL70" i="60"/>
  <c r="AL68" i="60"/>
  <c r="AL64" i="60"/>
  <c r="AL62" i="60"/>
  <c r="AL60" i="60"/>
  <c r="AL58" i="60"/>
  <c r="AL56" i="60"/>
  <c r="AL51" i="60"/>
  <c r="AL50" i="60"/>
  <c r="AL49" i="60"/>
  <c r="AL48" i="60"/>
  <c r="AL47" i="60"/>
  <c r="AL45" i="60"/>
  <c r="AL44" i="60"/>
  <c r="AL43" i="60"/>
  <c r="AL41" i="60"/>
  <c r="AL39" i="60"/>
  <c r="AL37" i="60"/>
  <c r="AL35" i="60"/>
  <c r="AL30" i="60"/>
  <c r="AL29" i="60"/>
  <c r="AL28" i="60"/>
  <c r="AL27" i="60"/>
  <c r="AL26" i="60"/>
  <c r="AL24" i="60"/>
  <c r="AL23" i="60"/>
  <c r="AL22" i="60"/>
  <c r="AL21" i="60"/>
  <c r="AL20" i="60"/>
  <c r="AL18" i="60"/>
  <c r="AL17" i="60"/>
  <c r="AL16" i="60"/>
  <c r="AL15" i="60"/>
  <c r="AL14" i="60"/>
  <c r="AL71" i="71"/>
  <c r="AL70" i="71"/>
  <c r="AL68" i="71"/>
  <c r="AL64" i="71"/>
  <c r="AL62" i="71"/>
  <c r="AL60" i="71"/>
  <c r="AL58" i="71"/>
  <c r="AL56" i="71"/>
  <c r="AL51" i="71"/>
  <c r="AL50" i="71"/>
  <c r="AL49" i="71"/>
  <c r="AL48" i="71"/>
  <c r="AL47" i="71"/>
  <c r="AL45" i="71"/>
  <c r="AL44" i="71"/>
  <c r="AL43" i="71"/>
  <c r="AL42" i="71"/>
  <c r="AL41" i="71"/>
  <c r="AL39" i="71"/>
  <c r="AL37" i="71"/>
  <c r="AL35" i="71"/>
  <c r="AL30" i="71"/>
  <c r="AL29" i="71"/>
  <c r="AL28" i="71"/>
  <c r="AL27" i="71"/>
  <c r="AL26" i="71"/>
  <c r="AL24" i="71"/>
  <c r="AL23" i="71"/>
  <c r="AL22" i="71"/>
  <c r="AL21" i="71"/>
  <c r="AL20" i="71"/>
  <c r="AL18" i="71"/>
  <c r="AL17" i="71"/>
  <c r="AL16" i="71"/>
  <c r="AL15" i="71"/>
  <c r="AL14" i="71"/>
  <c r="AL70" i="14"/>
  <c r="AL68" i="14"/>
  <c r="AL64" i="14"/>
  <c r="AL62" i="14"/>
  <c r="AL60" i="14"/>
  <c r="AL58" i="14"/>
  <c r="AL56" i="14"/>
  <c r="AL50" i="14"/>
  <c r="AL49" i="14"/>
  <c r="AL48" i="14"/>
  <c r="AL47" i="14"/>
  <c r="AL43" i="14"/>
  <c r="AL41" i="14"/>
  <c r="AL39" i="14"/>
  <c r="AL35" i="14"/>
  <c r="AL30" i="14"/>
  <c r="AL29" i="14"/>
  <c r="AL28" i="14"/>
  <c r="AL27" i="14"/>
  <c r="AL26" i="14"/>
  <c r="AL24" i="14"/>
  <c r="AL23" i="14"/>
  <c r="AL22" i="14"/>
  <c r="AL21" i="14"/>
  <c r="AL20" i="14"/>
  <c r="AL18" i="14"/>
  <c r="AL17" i="14"/>
  <c r="AL16" i="14"/>
  <c r="AL15" i="14"/>
  <c r="AL14" i="14"/>
  <c r="AL71" i="79"/>
  <c r="AL69" i="79"/>
  <c r="AL66" i="79"/>
  <c r="AL64" i="79"/>
  <c r="AL62" i="79"/>
  <c r="AL60" i="79"/>
  <c r="AL58" i="79"/>
  <c r="AL56" i="79"/>
  <c r="AL51" i="79"/>
  <c r="AL50" i="79"/>
  <c r="AL49" i="79"/>
  <c r="AL48" i="79"/>
  <c r="AL47" i="79"/>
  <c r="AL45" i="79"/>
  <c r="AL43" i="79"/>
  <c r="AL41" i="79"/>
  <c r="AL39" i="79"/>
  <c r="AL35" i="79"/>
  <c r="AL30" i="79"/>
  <c r="AL29" i="79"/>
  <c r="AL28" i="79"/>
  <c r="AL27" i="79"/>
  <c r="AL26" i="79"/>
  <c r="AL24" i="79"/>
  <c r="AL23" i="79"/>
  <c r="AL22" i="79"/>
  <c r="AL21" i="79"/>
  <c r="AL20" i="79"/>
  <c r="AL18" i="79"/>
  <c r="AL17" i="79"/>
  <c r="AL16" i="79"/>
  <c r="AL15" i="79"/>
  <c r="AL14" i="79"/>
  <c r="AL70" i="90"/>
  <c r="AL68" i="90"/>
  <c r="AL66" i="90"/>
  <c r="AL64" i="90"/>
  <c r="AL62" i="90"/>
  <c r="AL60" i="90"/>
  <c r="AL58" i="90"/>
  <c r="AL56" i="90"/>
  <c r="AL51" i="90"/>
  <c r="AL50" i="90"/>
  <c r="AL49" i="90"/>
  <c r="AL48" i="90"/>
  <c r="AL47" i="90"/>
  <c r="AL45" i="90"/>
  <c r="AL44" i="90"/>
  <c r="AL43" i="90"/>
  <c r="AL41" i="90"/>
  <c r="AL39" i="90"/>
  <c r="AL37" i="90"/>
  <c r="AL35" i="90"/>
  <c r="AL30" i="90"/>
  <c r="AL29" i="90"/>
  <c r="AL28" i="90"/>
  <c r="AL27" i="90"/>
  <c r="AL26" i="90"/>
  <c r="AL24" i="90"/>
  <c r="AL23" i="90"/>
  <c r="AL22" i="90"/>
  <c r="AL21" i="90"/>
  <c r="AL20" i="90"/>
  <c r="AL18" i="90"/>
  <c r="AL16" i="90"/>
  <c r="AL14" i="90"/>
  <c r="AL40" i="43" l="1"/>
  <c r="AL13" i="43"/>
  <c r="AL40" i="111"/>
  <c r="AL13" i="71"/>
  <c r="AL11" i="71" s="1"/>
  <c r="AL40" i="71"/>
  <c r="AL46" i="71"/>
  <c r="AL46" i="79"/>
  <c r="AL19" i="60"/>
  <c r="AL46" i="60"/>
  <c r="AL19" i="75"/>
  <c r="AL25" i="59"/>
  <c r="AL46" i="111"/>
  <c r="AL25" i="101"/>
  <c r="AL40" i="101"/>
  <c r="AL46" i="101"/>
  <c r="AL19" i="21"/>
  <c r="AL55" i="21"/>
  <c r="AM55" i="21" s="1"/>
  <c r="AL25" i="43"/>
  <c r="AL19" i="43"/>
  <c r="AL46" i="43"/>
  <c r="AL25" i="42"/>
  <c r="AL13" i="111"/>
  <c r="AL19" i="111"/>
  <c r="AL25" i="111"/>
  <c r="AL25" i="71"/>
  <c r="AL19" i="71"/>
  <c r="AL46" i="90"/>
  <c r="AL25" i="90"/>
  <c r="AL25" i="75"/>
  <c r="AL19" i="101"/>
  <c r="AL25" i="21"/>
  <c r="AL13" i="21"/>
  <c r="AL25" i="58"/>
  <c r="AL13" i="58"/>
  <c r="AL19" i="58"/>
  <c r="AL13" i="42"/>
  <c r="AL19" i="42"/>
  <c r="AL13" i="59"/>
  <c r="AL19" i="59"/>
  <c r="AL46" i="51"/>
  <c r="AL25" i="60"/>
  <c r="AL13" i="60"/>
  <c r="AL19" i="14"/>
  <c r="AL25" i="14"/>
  <c r="AL13" i="14"/>
  <c r="AL19" i="90"/>
  <c r="AL13" i="101"/>
  <c r="AL25" i="61"/>
  <c r="AL13" i="61"/>
  <c r="AL19" i="61"/>
  <c r="AL40" i="61"/>
  <c r="AL19" i="62"/>
  <c r="AL25" i="51"/>
  <c r="AL19" i="51"/>
  <c r="AL25" i="86"/>
  <c r="AL19" i="86"/>
  <c r="AL25" i="62"/>
  <c r="AL13" i="79"/>
  <c r="AL19" i="79"/>
  <c r="AL25" i="79"/>
  <c r="AL11" i="61" l="1"/>
  <c r="AL11" i="101"/>
  <c r="AL11" i="111"/>
  <c r="AL11" i="43"/>
  <c r="AL11" i="60"/>
  <c r="AL11" i="14"/>
  <c r="AL11" i="59"/>
  <c r="AL11" i="21"/>
  <c r="AL11" i="42"/>
  <c r="AL11" i="58"/>
  <c r="AL11" i="79"/>
  <c r="N133" i="66"/>
  <c r="N132" i="66"/>
  <c r="N131" i="66"/>
  <c r="L45" i="66"/>
  <c r="L41" i="66" s="1"/>
  <c r="N44" i="66"/>
  <c r="N41" i="66" s="1"/>
  <c r="L43" i="66"/>
  <c r="N92" i="21" l="1"/>
  <c r="N91" i="21"/>
  <c r="N90" i="21"/>
  <c r="L93" i="21"/>
  <c r="L88" i="21" s="1"/>
  <c r="N202" i="66"/>
  <c r="N201" i="66"/>
  <c r="L199" i="66"/>
  <c r="X30" i="111"/>
  <c r="Q121" i="66"/>
  <c r="Q352" i="79"/>
  <c r="R354" i="79"/>
  <c r="R352" i="79" s="1"/>
  <c r="N86" i="86"/>
  <c r="N84" i="86"/>
  <c r="Q343" i="86"/>
  <c r="N296" i="86"/>
  <c r="N322" i="75"/>
  <c r="R73" i="51" l="1"/>
  <c r="J71" i="51"/>
  <c r="I71" i="51" s="1"/>
  <c r="R205" i="66"/>
  <c r="R203" i="66" s="1"/>
  <c r="N203" i="66"/>
  <c r="J203" i="66" l="1"/>
  <c r="I203" i="66" s="1"/>
  <c r="R180" i="66"/>
  <c r="R178" i="66" s="1"/>
  <c r="N178" i="66"/>
  <c r="J178" i="66" l="1"/>
  <c r="I178" i="66" s="1"/>
  <c r="Q118" i="79"/>
  <c r="R120" i="79"/>
  <c r="R118" i="79" l="1"/>
  <c r="L515" i="75"/>
  <c r="N517" i="75"/>
  <c r="N515" i="75" s="1"/>
  <c r="T30" i="51" l="1"/>
  <c r="J515" i="75" l="1"/>
  <c r="I515" i="75" s="1"/>
  <c r="N232" i="21"/>
  <c r="N230" i="21" s="1"/>
  <c r="Q429" i="86" l="1"/>
  <c r="N429" i="86"/>
  <c r="R324" i="21" l="1"/>
  <c r="N377" i="21" l="1"/>
  <c r="N376" i="21"/>
  <c r="R165" i="51"/>
  <c r="R160" i="51" s="1"/>
  <c r="Q164" i="51"/>
  <c r="N163" i="51"/>
  <c r="Q162" i="51"/>
  <c r="N160" i="51"/>
  <c r="Q160" i="51"/>
  <c r="L171" i="101" l="1"/>
  <c r="L168" i="101" s="1"/>
  <c r="Q170" i="101"/>
  <c r="Q168" i="101" s="1"/>
  <c r="N168" i="101"/>
  <c r="Q315" i="75"/>
  <c r="N158" i="86" l="1"/>
  <c r="Q287" i="62" l="1"/>
  <c r="L285" i="62"/>
  <c r="Q285" i="62"/>
  <c r="J285" i="62" s="1"/>
  <c r="J165" i="62"/>
  <c r="J430" i="21"/>
  <c r="N278" i="14"/>
  <c r="Q278" i="14"/>
  <c r="Q289" i="21"/>
  <c r="N287" i="21"/>
  <c r="Q287" i="21"/>
  <c r="I285" i="62" l="1"/>
  <c r="I165" i="62"/>
  <c r="I430" i="21"/>
  <c r="AL71" i="59"/>
  <c r="N170" i="58" l="1"/>
  <c r="N169" i="58"/>
  <c r="AL42" i="58" s="1"/>
  <c r="N168" i="58"/>
  <c r="AL50" i="58" s="1"/>
  <c r="N165" i="58" l="1"/>
  <c r="R192" i="111" l="1"/>
  <c r="Q191" i="111"/>
  <c r="R195" i="71" l="1"/>
  <c r="R192" i="71"/>
  <c r="N194" i="71"/>
  <c r="N192" i="71" s="1"/>
  <c r="N244" i="62" l="1"/>
  <c r="R171" i="42" l="1"/>
  <c r="Q169" i="42"/>
  <c r="R169" i="42"/>
  <c r="R273" i="90" l="1"/>
  <c r="Q272" i="90"/>
  <c r="L271" i="90"/>
  <c r="Q335" i="42" l="1"/>
  <c r="Q269" i="90" l="1"/>
  <c r="R269" i="90"/>
  <c r="L269" i="90"/>
  <c r="J269" i="90" l="1"/>
  <c r="N439" i="86"/>
  <c r="N436" i="86" s="1"/>
  <c r="Q438" i="86"/>
  <c r="N128" i="66"/>
  <c r="Q124" i="66"/>
  <c r="N126" i="66"/>
  <c r="N124" i="66" s="1"/>
  <c r="I269" i="90" l="1"/>
  <c r="L84" i="21"/>
  <c r="L79" i="21" s="1"/>
  <c r="N83" i="21"/>
  <c r="M82" i="21"/>
  <c r="M79" i="21" s="1"/>
  <c r="Q81" i="21"/>
  <c r="Q79" i="21" s="1"/>
  <c r="N79" i="21"/>
  <c r="L376" i="90" l="1"/>
  <c r="R378" i="90"/>
  <c r="R376" i="90" s="1"/>
  <c r="N769" i="86"/>
  <c r="L767" i="86"/>
  <c r="N767" i="86"/>
  <c r="N481" i="79"/>
  <c r="R483" i="79"/>
  <c r="R481" i="79"/>
  <c r="L809" i="86"/>
  <c r="Q173" i="79"/>
  <c r="Q348" i="79"/>
  <c r="Q82" i="79"/>
  <c r="Q673" i="86"/>
  <c r="Q671" i="86"/>
  <c r="N672" i="86"/>
  <c r="N670" i="86" s="1"/>
  <c r="R218" i="90"/>
  <c r="N217" i="90"/>
  <c r="N215" i="90" s="1"/>
  <c r="R215" i="90"/>
  <c r="Q316" i="75"/>
  <c r="Q386" i="75"/>
  <c r="Q384" i="75" s="1"/>
  <c r="Q258" i="75"/>
  <c r="N259" i="75"/>
  <c r="Q256" i="75"/>
  <c r="N256" i="75"/>
  <c r="N410" i="75"/>
  <c r="Q409" i="75"/>
  <c r="Q423" i="75"/>
  <c r="R380" i="75"/>
  <c r="R378" i="75" s="1"/>
  <c r="L378" i="75"/>
  <c r="R413" i="75"/>
  <c r="R411" i="75" s="1"/>
  <c r="N411" i="75"/>
  <c r="Q89" i="58"/>
  <c r="N142" i="62"/>
  <c r="Q141" i="62"/>
  <c r="N269" i="62"/>
  <c r="N267" i="62" s="1"/>
  <c r="L267" i="62"/>
  <c r="Q195" i="62"/>
  <c r="Q193" i="62"/>
  <c r="L196" i="62"/>
  <c r="L191" i="62"/>
  <c r="Q341" i="86"/>
  <c r="N341" i="86"/>
  <c r="Q850" i="86"/>
  <c r="Q848" i="86"/>
  <c r="L709" i="86"/>
  <c r="R247" i="86"/>
  <c r="Q114" i="41"/>
  <c r="Q190" i="111"/>
  <c r="Q124" i="111"/>
  <c r="Q122" i="111"/>
  <c r="N123" i="111"/>
  <c r="N122" i="66"/>
  <c r="Q119" i="66"/>
  <c r="N119" i="66"/>
  <c r="N33" i="66"/>
  <c r="N110" i="44"/>
  <c r="N237" i="79"/>
  <c r="L236" i="79"/>
  <c r="N404" i="79"/>
  <c r="N402" i="79" s="1"/>
  <c r="L402" i="79"/>
  <c r="R359" i="79"/>
  <c r="L358" i="79"/>
  <c r="L356" i="79" s="1"/>
  <c r="N191" i="79"/>
  <c r="L189" i="79"/>
  <c r="N53" i="79"/>
  <c r="L415" i="79"/>
  <c r="N417" i="79"/>
  <c r="N415" i="79" s="1"/>
  <c r="N282" i="90"/>
  <c r="L227" i="90"/>
  <c r="N229" i="90"/>
  <c r="N227" i="90" s="1"/>
  <c r="L384" i="75"/>
  <c r="J421" i="86"/>
  <c r="N117" i="21"/>
  <c r="L115" i="21"/>
  <c r="N115" i="21"/>
  <c r="Q112" i="41" l="1"/>
  <c r="Q670" i="86"/>
  <c r="I421" i="86"/>
  <c r="R323" i="21"/>
  <c r="R325" i="21"/>
  <c r="Q62" i="21"/>
  <c r="R63" i="21"/>
  <c r="Q61" i="21"/>
  <c r="Q60" i="21"/>
  <c r="Q59" i="21"/>
  <c r="N58" i="21"/>
  <c r="Q57" i="21"/>
  <c r="N56" i="21"/>
  <c r="R54" i="21" l="1"/>
  <c r="N36" i="21"/>
  <c r="M35" i="21"/>
  <c r="N34" i="21"/>
  <c r="M33" i="21"/>
  <c r="N32" i="21"/>
  <c r="L37" i="21"/>
  <c r="L30" i="21" s="1"/>
  <c r="N30" i="21" l="1"/>
  <c r="M30" i="21"/>
  <c r="Q116" i="90"/>
  <c r="N115" i="90"/>
  <c r="L45" i="21" l="1"/>
  <c r="L41" i="21" s="1"/>
  <c r="N44" i="21"/>
  <c r="R326" i="21"/>
  <c r="Q322" i="21"/>
  <c r="N321" i="21"/>
  <c r="Q320" i="21"/>
  <c r="Q319" i="21"/>
  <c r="N317" i="21"/>
  <c r="L318" i="21"/>
  <c r="L315" i="21" s="1"/>
  <c r="R315" i="21" l="1"/>
  <c r="AL51" i="21"/>
  <c r="Q43" i="21"/>
  <c r="N409" i="90" l="1"/>
  <c r="N407" i="90" s="1"/>
  <c r="J407" i="90" s="1"/>
  <c r="L407" i="90"/>
  <c r="I407" i="90" l="1"/>
  <c r="Q104" i="90"/>
  <c r="N103" i="90"/>
  <c r="Q102" i="90"/>
  <c r="N101" i="90"/>
  <c r="Q99" i="90"/>
  <c r="N99" i="90"/>
  <c r="L99" i="90"/>
  <c r="T99" i="90"/>
  <c r="Q74" i="90" l="1"/>
  <c r="N73" i="90"/>
  <c r="AL36" i="90" s="1"/>
  <c r="Q85" i="66" l="1"/>
  <c r="N84" i="66"/>
  <c r="N82" i="66" l="1"/>
  <c r="N117" i="66"/>
  <c r="W30" i="111" l="1"/>
  <c r="Q132" i="58" l="1"/>
  <c r="Q131" i="58"/>
  <c r="N90" i="101"/>
  <c r="T95" i="66" l="1"/>
  <c r="L129" i="90"/>
  <c r="N131" i="90"/>
  <c r="N129" i="90" s="1"/>
  <c r="N101" i="66" l="1"/>
  <c r="N97" i="66" l="1"/>
  <c r="L95" i="66"/>
  <c r="N109" i="66"/>
  <c r="Q108" i="66"/>
  <c r="N107" i="66"/>
  <c r="Q106" i="66"/>
  <c r="N105" i="66"/>
  <c r="Q104" i="66"/>
  <c r="N103" i="66"/>
  <c r="Q102" i="66"/>
  <c r="Q100" i="66"/>
  <c r="Q98" i="66"/>
  <c r="Q95" i="66" s="1"/>
  <c r="N99" i="66"/>
  <c r="N95" i="66" l="1"/>
  <c r="Q95" i="61"/>
  <c r="R104" i="61"/>
  <c r="Q103" i="61"/>
  <c r="Q102" i="61"/>
  <c r="Q101" i="61"/>
  <c r="Q100" i="61"/>
  <c r="N99" i="61"/>
  <c r="Q98" i="61"/>
  <c r="N97" i="61"/>
  <c r="Q96" i="61"/>
  <c r="Q94" i="61"/>
  <c r="N93" i="61"/>
  <c r="Q92" i="61"/>
  <c r="N91" i="61"/>
  <c r="Q204" i="43" l="1"/>
  <c r="N185" i="62" l="1"/>
  <c r="Q203" i="79" l="1"/>
  <c r="N204" i="79"/>
  <c r="Q201" i="79"/>
  <c r="N201" i="79"/>
  <c r="N276" i="42" l="1"/>
  <c r="Q275" i="42"/>
  <c r="R182" i="111"/>
  <c r="N181" i="111"/>
  <c r="N241" i="75"/>
  <c r="N145" i="79"/>
  <c r="N725" i="86"/>
  <c r="N723" i="86" s="1"/>
  <c r="Q544" i="86"/>
  <c r="N543" i="86"/>
  <c r="N541" i="86" s="1"/>
  <c r="N100" i="51"/>
  <c r="Q89" i="51"/>
  <c r="N88" i="51"/>
  <c r="AL69" i="111" l="1"/>
  <c r="Q179" i="90"/>
  <c r="Q178" i="90"/>
  <c r="Q177" i="90"/>
  <c r="N176" i="90"/>
  <c r="Q175" i="90"/>
  <c r="N174" i="90"/>
  <c r="Q173" i="90"/>
  <c r="N310" i="14" l="1"/>
  <c r="R309" i="14"/>
  <c r="J404" i="90"/>
  <c r="I404" i="90" s="1"/>
  <c r="J401" i="90"/>
  <c r="I401" i="90" s="1"/>
  <c r="J174" i="42"/>
  <c r="L374" i="21"/>
  <c r="I174" i="42" l="1"/>
  <c r="N374" i="21"/>
  <c r="J374" i="21" s="1"/>
  <c r="I374" i="21" l="1"/>
  <c r="J635" i="86"/>
  <c r="N243" i="90"/>
  <c r="Q242" i="90"/>
  <c r="N241" i="90"/>
  <c r="Q240" i="90"/>
  <c r="Q239" i="90"/>
  <c r="Q238" i="90"/>
  <c r="Q237" i="90"/>
  <c r="L236" i="90"/>
  <c r="Q235" i="90"/>
  <c r="Q234" i="90"/>
  <c r="N233" i="90"/>
  <c r="Q318" i="90"/>
  <c r="R319" i="90"/>
  <c r="R321" i="90"/>
  <c r="R320" i="90"/>
  <c r="L317" i="90"/>
  <c r="L315" i="90" s="1"/>
  <c r="N315" i="90"/>
  <c r="N150" i="90"/>
  <c r="N149" i="90"/>
  <c r="N147" i="90"/>
  <c r="N231" i="90" l="1"/>
  <c r="I635" i="86"/>
  <c r="L148" i="90"/>
  <c r="L143" i="66"/>
  <c r="N142" i="66"/>
  <c r="L140" i="66"/>
  <c r="N140" i="66"/>
  <c r="J140" i="66" s="1"/>
  <c r="N33" i="111"/>
  <c r="L31" i="111"/>
  <c r="L30" i="111"/>
  <c r="N30" i="111"/>
  <c r="T30" i="111"/>
  <c r="Q209" i="66"/>
  <c r="Q118" i="66"/>
  <c r="I140" i="66" l="1"/>
  <c r="Q115" i="66"/>
  <c r="L115" i="66"/>
  <c r="N115" i="66"/>
  <c r="T115" i="66" l="1"/>
  <c r="N167" i="90" l="1"/>
  <c r="L166" i="90"/>
  <c r="L163" i="90" s="1"/>
  <c r="N165" i="90"/>
  <c r="N163" i="90" s="1"/>
  <c r="N250" i="90"/>
  <c r="Q249" i="90"/>
  <c r="N248" i="90"/>
  <c r="N246" i="90" s="1"/>
  <c r="L246" i="90"/>
  <c r="N138" i="90"/>
  <c r="N137" i="90"/>
  <c r="N136" i="90"/>
  <c r="N135" i="90"/>
  <c r="L133" i="90" l="1"/>
  <c r="N133" i="90"/>
  <c r="N91" i="90"/>
  <c r="Q90" i="90"/>
  <c r="N89" i="90"/>
  <c r="L92" i="90"/>
  <c r="L87" i="90" s="1"/>
  <c r="L122" i="90"/>
  <c r="N124" i="90"/>
  <c r="N122" i="90" s="1"/>
  <c r="X85" i="21"/>
  <c r="W85" i="21"/>
  <c r="L466" i="75"/>
  <c r="R468" i="75"/>
  <c r="R466" i="75" s="1"/>
  <c r="Q287" i="75"/>
  <c r="Q286" i="75"/>
  <c r="Q285" i="75"/>
  <c r="Q284" i="75"/>
  <c r="Q283" i="75"/>
  <c r="T78" i="58"/>
  <c r="L84" i="58"/>
  <c r="L78" i="58" s="1"/>
  <c r="N83" i="58"/>
  <c r="N80" i="58"/>
  <c r="R186" i="58"/>
  <c r="R185" i="58"/>
  <c r="Q87" i="90" l="1"/>
  <c r="N87" i="90"/>
  <c r="R182" i="58"/>
  <c r="Q135" i="58"/>
  <c r="AL46" i="58" s="1"/>
  <c r="R136" i="58"/>
  <c r="R134" i="58" s="1"/>
  <c r="Q134" i="58"/>
  <c r="Q199" i="71"/>
  <c r="Q197" i="71" s="1"/>
  <c r="R177" i="71"/>
  <c r="R176" i="71"/>
  <c r="N175" i="71"/>
  <c r="R133" i="58"/>
  <c r="Q129" i="58"/>
  <c r="N129" i="58"/>
  <c r="Q226" i="58"/>
  <c r="Q225" i="58"/>
  <c r="N224" i="58"/>
  <c r="N222" i="58" s="1"/>
  <c r="Q71" i="58"/>
  <c r="Q68" i="58" s="1"/>
  <c r="N70" i="58"/>
  <c r="N68" i="58" s="1"/>
  <c r="T189" i="58"/>
  <c r="N89" i="61"/>
  <c r="R129" i="58" l="1"/>
  <c r="AL47" i="58"/>
  <c r="AL40" i="58" s="1"/>
  <c r="J134" i="58"/>
  <c r="I134" i="58" s="1"/>
  <c r="L90" i="61"/>
  <c r="L83" i="61" s="1"/>
  <c r="Q184" i="58"/>
  <c r="L182" i="58"/>
  <c r="N182" i="58"/>
  <c r="Q182" i="58" l="1"/>
  <c r="L169" i="66" l="1"/>
  <c r="Q172" i="66"/>
  <c r="N175" i="66"/>
  <c r="Q174" i="66"/>
  <c r="N173" i="66"/>
  <c r="N171" i="66"/>
  <c r="Q170" i="66"/>
  <c r="Q168" i="66"/>
  <c r="Q166" i="66" s="1"/>
  <c r="L166" i="66"/>
  <c r="N166" i="66"/>
  <c r="J166" i="66" l="1"/>
  <c r="I166" i="66" s="1"/>
  <c r="Q222" i="58"/>
  <c r="L222" i="58"/>
  <c r="Q197" i="58"/>
  <c r="Q196" i="58"/>
  <c r="Q195" i="58"/>
  <c r="Q193" i="58"/>
  <c r="N194" i="58"/>
  <c r="N192" i="58"/>
  <c r="Q191" i="58"/>
  <c r="Q189" i="58" s="1"/>
  <c r="L189" i="58"/>
  <c r="Q119" i="58"/>
  <c r="Q118" i="58"/>
  <c r="Q117" i="58"/>
  <c r="L122" i="58"/>
  <c r="Q121" i="58"/>
  <c r="N120" i="58"/>
  <c r="N116" i="58"/>
  <c r="AL65" i="58" s="1"/>
  <c r="L114" i="58"/>
  <c r="Q114" i="58" l="1"/>
  <c r="AL73" i="58"/>
  <c r="N189" i="58"/>
  <c r="N114" i="58"/>
  <c r="J114" i="58" s="1"/>
  <c r="I114" i="58" s="1"/>
  <c r="N858" i="86" l="1"/>
  <c r="N857" i="86"/>
  <c r="L855" i="86"/>
  <c r="Q307" i="51"/>
  <c r="R306" i="51"/>
  <c r="R303" i="51" s="1"/>
  <c r="N305" i="51"/>
  <c r="Q303" i="51"/>
  <c r="L303" i="51"/>
  <c r="R44" i="51"/>
  <c r="Q42" i="51"/>
  <c r="R42" i="51"/>
  <c r="R137" i="71"/>
  <c r="R136" i="71"/>
  <c r="Q135" i="71"/>
  <c r="Q133" i="71"/>
  <c r="L139" i="71"/>
  <c r="L131" i="71"/>
  <c r="N138" i="71"/>
  <c r="N134" i="71"/>
  <c r="N303" i="51" l="1"/>
  <c r="AL69" i="51"/>
  <c r="N855" i="86"/>
  <c r="L41" i="51"/>
  <c r="Q40" i="51" l="1"/>
  <c r="N39" i="51"/>
  <c r="Q38" i="51"/>
  <c r="N37" i="51"/>
  <c r="L36" i="51"/>
  <c r="L30" i="51" s="1"/>
  <c r="N35" i="51"/>
  <c r="N34" i="51"/>
  <c r="AL15" i="51" s="1"/>
  <c r="AL13" i="51" s="1"/>
  <c r="AL11" i="51" s="1"/>
  <c r="K32" i="51"/>
  <c r="K30" i="51" s="1"/>
  <c r="L314" i="51"/>
  <c r="L308" i="51" s="1"/>
  <c r="N313" i="51"/>
  <c r="Q312" i="51"/>
  <c r="Q311" i="51"/>
  <c r="Q310" i="51"/>
  <c r="Z276" i="51"/>
  <c r="X276" i="51"/>
  <c r="Z140" i="51"/>
  <c r="X140" i="51"/>
  <c r="X118" i="51"/>
  <c r="N323" i="86"/>
  <c r="Q322" i="86"/>
  <c r="N328" i="86"/>
  <c r="M327" i="86"/>
  <c r="Q326" i="86"/>
  <c r="N325" i="86"/>
  <c r="Q324" i="86"/>
  <c r="M321" i="86"/>
  <c r="N320" i="86"/>
  <c r="L318" i="86"/>
  <c r="I166" i="44"/>
  <c r="J166" i="44"/>
  <c r="R182" i="44"/>
  <c r="Q181" i="44"/>
  <c r="R180" i="44"/>
  <c r="R176" i="44" s="1"/>
  <c r="Q179" i="44"/>
  <c r="Q176" i="44" s="1"/>
  <c r="N178" i="44"/>
  <c r="N176" i="44" s="1"/>
  <c r="L176" i="44"/>
  <c r="Q30" i="51" l="1"/>
  <c r="Q318" i="86"/>
  <c r="N318" i="86"/>
  <c r="J176" i="44"/>
  <c r="I176" i="44"/>
  <c r="N30" i="51"/>
  <c r="N320" i="75"/>
  <c r="Q407" i="75"/>
  <c r="N407" i="75"/>
  <c r="N216" i="75"/>
  <c r="Q215" i="75"/>
  <c r="Q213" i="75" s="1"/>
  <c r="J30" i="51" l="1"/>
  <c r="L337" i="14"/>
  <c r="L335" i="14" s="1"/>
  <c r="R278" i="86" l="1"/>
  <c r="Q277" i="86"/>
  <c r="Q130" i="111" l="1"/>
  <c r="N128" i="111"/>
  <c r="Q128" i="111"/>
  <c r="L213" i="58"/>
  <c r="N215" i="58"/>
  <c r="N213" i="58" s="1"/>
  <c r="Q243" i="14" l="1"/>
  <c r="T267" i="86" l="1"/>
  <c r="Q219" i="71" l="1"/>
  <c r="N91" i="101"/>
  <c r="N150" i="101"/>
  <c r="N63" i="51"/>
  <c r="N59" i="51"/>
  <c r="AL59" i="58" l="1"/>
  <c r="Q66" i="61"/>
  <c r="N184" i="14"/>
  <c r="AL57" i="14" s="1"/>
  <c r="Q185" i="14"/>
  <c r="Q182" i="14" s="1"/>
  <c r="Q111" i="14"/>
  <c r="N175" i="41"/>
  <c r="Q175" i="41"/>
  <c r="AL61" i="58"/>
  <c r="N127" i="14"/>
  <c r="Q128" i="14"/>
  <c r="Q126" i="14"/>
  <c r="N280" i="90"/>
  <c r="Q280" i="90"/>
  <c r="Q230" i="90"/>
  <c r="Q227" i="90" s="1"/>
  <c r="Q62" i="61"/>
  <c r="Q205" i="42"/>
  <c r="N204" i="42"/>
  <c r="AL57" i="42" s="1"/>
  <c r="Q272" i="42"/>
  <c r="N271" i="42"/>
  <c r="Q131" i="79"/>
  <c r="N325" i="79"/>
  <c r="Q323" i="79"/>
  <c r="N323" i="79"/>
  <c r="Q55" i="111"/>
  <c r="Q246" i="71"/>
  <c r="N357" i="44"/>
  <c r="Q356" i="44"/>
  <c r="N355" i="44"/>
  <c r="N352" i="44" s="1"/>
  <c r="Q354" i="44"/>
  <c r="Q352" i="44" s="1"/>
  <c r="N384" i="90"/>
  <c r="Q382" i="90"/>
  <c r="N382" i="90"/>
  <c r="N707" i="86"/>
  <c r="Q706" i="86"/>
  <c r="N705" i="86"/>
  <c r="Q704" i="86"/>
  <c r="N154" i="44"/>
  <c r="Q153" i="44"/>
  <c r="Q124" i="14" l="1"/>
  <c r="N124" i="14"/>
  <c r="AL42" i="14"/>
  <c r="AL57" i="58"/>
  <c r="Q201" i="42"/>
  <c r="N64" i="44"/>
  <c r="Q63" i="44"/>
  <c r="N62" i="44"/>
  <c r="Q61" i="44"/>
  <c r="N60" i="44"/>
  <c r="L58" i="44"/>
  <c r="N58" i="44"/>
  <c r="J124" i="14" l="1"/>
  <c r="R86" i="44"/>
  <c r="AL47" i="44" s="1"/>
  <c r="Q85" i="44"/>
  <c r="N88" i="44"/>
  <c r="Q87" i="44"/>
  <c r="Q83" i="44"/>
  <c r="AL46" i="44" s="1"/>
  <c r="N82" i="44"/>
  <c r="N80" i="44"/>
  <c r="N79" i="44"/>
  <c r="N78" i="44"/>
  <c r="AG30" i="44" s="1"/>
  <c r="N77" i="44"/>
  <c r="L89" i="44"/>
  <c r="N84" i="44"/>
  <c r="L81" i="44"/>
  <c r="L76" i="44"/>
  <c r="R75" i="44"/>
  <c r="T75" i="44"/>
  <c r="Q75" i="44" l="1"/>
  <c r="L75" i="44"/>
  <c r="N75" i="44"/>
  <c r="AL44" i="44"/>
  <c r="AL42" i="44" s="1"/>
  <c r="J75" i="44"/>
  <c r="L197" i="44"/>
  <c r="N199" i="44"/>
  <c r="Q202" i="44"/>
  <c r="N201" i="44"/>
  <c r="Q200" i="44"/>
  <c r="Q197" i="44" s="1"/>
  <c r="I75" i="44" l="1"/>
  <c r="AM42" i="44"/>
  <c r="N197" i="44"/>
  <c r="J197" i="44" s="1"/>
  <c r="I197" i="44" s="1"/>
  <c r="Q228" i="44"/>
  <c r="Q227" i="44"/>
  <c r="Q226" i="44"/>
  <c r="Q225" i="44"/>
  <c r="AL61" i="44" s="1"/>
  <c r="Q224" i="44"/>
  <c r="Q222" i="44"/>
  <c r="N221" i="44"/>
  <c r="N220" i="44"/>
  <c r="N223" i="44"/>
  <c r="L218" i="44"/>
  <c r="R218" i="44"/>
  <c r="Q193" i="75"/>
  <c r="R239" i="14"/>
  <c r="AL73" i="44" l="1"/>
  <c r="AF31" i="44"/>
  <c r="AL59" i="44"/>
  <c r="AL57" i="44" s="1"/>
  <c r="N218" i="44"/>
  <c r="Q218" i="44"/>
  <c r="L496" i="79"/>
  <c r="R498" i="79"/>
  <c r="R496" i="79" s="1"/>
  <c r="J496" i="79" s="1"/>
  <c r="R219" i="86"/>
  <c r="R218" i="86"/>
  <c r="R648" i="86"/>
  <c r="R647" i="86"/>
  <c r="R646" i="86"/>
  <c r="AM57" i="44" l="1"/>
  <c r="J218" i="44"/>
  <c r="I218" i="44" s="1"/>
  <c r="I496" i="79"/>
  <c r="L66" i="44"/>
  <c r="N72" i="44"/>
  <c r="Q71" i="44"/>
  <c r="N70" i="44"/>
  <c r="Q69" i="44"/>
  <c r="Q66" i="44" s="1"/>
  <c r="N68" i="44"/>
  <c r="N66" i="44" s="1"/>
  <c r="J65" i="44"/>
  <c r="I65" i="44" s="1"/>
  <c r="T66" i="44"/>
  <c r="L203" i="86" l="1"/>
  <c r="L193" i="86" s="1"/>
  <c r="N202" i="86"/>
  <c r="M201" i="86"/>
  <c r="N200" i="86"/>
  <c r="N199" i="86"/>
  <c r="M198" i="86"/>
  <c r="N197" i="86"/>
  <c r="N196" i="86"/>
  <c r="Q195" i="86"/>
  <c r="R181" i="86"/>
  <c r="Q180" i="86"/>
  <c r="N179" i="86"/>
  <c r="N178" i="86"/>
  <c r="L176" i="86"/>
  <c r="Q568" i="86" l="1"/>
  <c r="Q563" i="86" s="1"/>
  <c r="R567" i="86"/>
  <c r="N566" i="86"/>
  <c r="L565" i="86"/>
  <c r="Q410" i="86"/>
  <c r="N407" i="86"/>
  <c r="R411" i="86"/>
  <c r="R407" i="86" s="1"/>
  <c r="Q409" i="86"/>
  <c r="R217" i="86"/>
  <c r="R151" i="86"/>
  <c r="R150" i="86"/>
  <c r="AL45" i="86" s="1"/>
  <c r="Q149" i="86"/>
  <c r="N148" i="86"/>
  <c r="Q147" i="86"/>
  <c r="R644" i="86"/>
  <c r="Q462" i="86"/>
  <c r="M213" i="86"/>
  <c r="AL62" i="86" s="1"/>
  <c r="N212" i="86"/>
  <c r="Q211" i="86"/>
  <c r="R210" i="86"/>
  <c r="R209" i="86"/>
  <c r="R208" i="86"/>
  <c r="R478" i="86" l="1"/>
  <c r="R477" i="86"/>
  <c r="R476" i="86"/>
  <c r="R475" i="86"/>
  <c r="R474" i="86"/>
  <c r="Q473" i="86"/>
  <c r="N472" i="86"/>
  <c r="Q208" i="44" l="1"/>
  <c r="Q206" i="44"/>
  <c r="Q204" i="44" s="1"/>
  <c r="N207" i="44"/>
  <c r="J203" i="44"/>
  <c r="I203" i="44" s="1"/>
  <c r="L209" i="44"/>
  <c r="L204" i="44" s="1"/>
  <c r="N204" i="44"/>
  <c r="J204" i="44" l="1"/>
  <c r="I204" i="44" s="1"/>
  <c r="N163" i="44"/>
  <c r="L164" i="44"/>
  <c r="L157" i="44" s="1"/>
  <c r="N165" i="44"/>
  <c r="Q162" i="44"/>
  <c r="N161" i="44"/>
  <c r="Q160" i="44"/>
  <c r="Q157" i="44" s="1"/>
  <c r="N159" i="44"/>
  <c r="M272" i="86"/>
  <c r="M270" i="86"/>
  <c r="N271" i="86"/>
  <c r="N32" i="44"/>
  <c r="L30" i="44"/>
  <c r="N33" i="44"/>
  <c r="Q37" i="44"/>
  <c r="N36" i="44"/>
  <c r="Q35" i="44"/>
  <c r="N34" i="44"/>
  <c r="Q30" i="44" l="1"/>
  <c r="N30" i="44"/>
  <c r="N157" i="44"/>
  <c r="J157" i="44" s="1"/>
  <c r="I157" i="44" s="1"/>
  <c r="I30" i="44"/>
  <c r="L269" i="86"/>
  <c r="N267" i="86"/>
  <c r="L267" i="86"/>
  <c r="Q447" i="86" l="1"/>
  <c r="Q444" i="86" s="1"/>
  <c r="N448" i="86"/>
  <c r="N446" i="86"/>
  <c r="L449" i="86"/>
  <c r="L444" i="86" s="1"/>
  <c r="N339" i="86"/>
  <c r="L340" i="86"/>
  <c r="L335" i="86" s="1"/>
  <c r="N337" i="86"/>
  <c r="N335" i="86" s="1"/>
  <c r="Q338" i="86"/>
  <c r="Q335" i="86" s="1"/>
  <c r="R327" i="75"/>
  <c r="N444" i="86" l="1"/>
  <c r="J335" i="86"/>
  <c r="J123" i="44" l="1"/>
  <c r="I123" i="44" s="1"/>
  <c r="AE31" i="86" l="1"/>
  <c r="AI30" i="86"/>
  <c r="AH30" i="86"/>
  <c r="AE30" i="86"/>
  <c r="AJ29" i="86"/>
  <c r="AI29" i="86"/>
  <c r="AH29" i="86"/>
  <c r="AG29" i="86"/>
  <c r="AE29" i="86"/>
  <c r="AE31" i="75"/>
  <c r="AJ30" i="75"/>
  <c r="AE30" i="75"/>
  <c r="AJ29" i="75"/>
  <c r="AI29" i="75"/>
  <c r="AH29" i="75"/>
  <c r="AG29" i="75"/>
  <c r="AE29" i="75"/>
  <c r="AI31" i="101"/>
  <c r="AE31" i="101"/>
  <c r="AJ30" i="101"/>
  <c r="AI30" i="101"/>
  <c r="AH30" i="101"/>
  <c r="AG30" i="101"/>
  <c r="AE30" i="101"/>
  <c r="AJ29" i="101"/>
  <c r="AI29" i="101"/>
  <c r="AH29" i="101"/>
  <c r="AG29" i="101"/>
  <c r="AF29" i="101"/>
  <c r="AE29" i="101"/>
  <c r="AJ30" i="21"/>
  <c r="AE30" i="21"/>
  <c r="AJ29" i="21"/>
  <c r="AI29" i="21"/>
  <c r="AH29" i="21"/>
  <c r="AG29" i="21"/>
  <c r="AF29" i="21"/>
  <c r="AE29" i="21"/>
  <c r="AE31" i="43"/>
  <c r="AJ30" i="43"/>
  <c r="AI30" i="43"/>
  <c r="AH30" i="43"/>
  <c r="AG30" i="43"/>
  <c r="AE30" i="43"/>
  <c r="AJ29" i="43"/>
  <c r="AI29" i="43"/>
  <c r="AH29" i="43"/>
  <c r="AG29" i="43"/>
  <c r="AF29" i="43"/>
  <c r="AE29" i="43"/>
  <c r="AF31" i="58"/>
  <c r="AE31" i="58"/>
  <c r="AJ30" i="58"/>
  <c r="AI30" i="58"/>
  <c r="AG30" i="58"/>
  <c r="AE30" i="58"/>
  <c r="AJ29" i="58"/>
  <c r="AI29" i="58"/>
  <c r="AH29" i="58"/>
  <c r="AG29" i="58"/>
  <c r="AF29" i="58"/>
  <c r="AE29" i="58"/>
  <c r="AJ31" i="62"/>
  <c r="AE31" i="62"/>
  <c r="AJ30" i="62"/>
  <c r="AE30" i="62"/>
  <c r="AJ29" i="62"/>
  <c r="AI29" i="62"/>
  <c r="AH29" i="62"/>
  <c r="AG29" i="62"/>
  <c r="AE29" i="62"/>
  <c r="AI31" i="42"/>
  <c r="AE31" i="42"/>
  <c r="AJ30" i="42"/>
  <c r="AI30" i="42"/>
  <c r="AE30" i="42"/>
  <c r="AJ29" i="42"/>
  <c r="AI29" i="42"/>
  <c r="AH29" i="42"/>
  <c r="AG29" i="42"/>
  <c r="AF29" i="42"/>
  <c r="AE29" i="42"/>
  <c r="AJ31" i="41"/>
  <c r="AH31" i="41"/>
  <c r="AE31" i="41"/>
  <c r="AJ30" i="41"/>
  <c r="AE30" i="41"/>
  <c r="AJ29" i="41"/>
  <c r="AI29" i="41"/>
  <c r="AH29" i="41"/>
  <c r="AG29" i="41"/>
  <c r="AM19" i="41" s="1"/>
  <c r="AF29" i="41"/>
  <c r="AM13" i="41" s="1"/>
  <c r="AE29" i="41"/>
  <c r="AE31" i="61"/>
  <c r="AJ30" i="61"/>
  <c r="AI30" i="61"/>
  <c r="AG30" i="61"/>
  <c r="AE30" i="61"/>
  <c r="AJ29" i="61"/>
  <c r="AI29" i="61"/>
  <c r="AH29" i="61"/>
  <c r="AG29" i="61"/>
  <c r="AF29" i="61"/>
  <c r="AE29" i="61"/>
  <c r="AE31" i="169"/>
  <c r="AJ30" i="169"/>
  <c r="AI30" i="169"/>
  <c r="AH30" i="169"/>
  <c r="AG30" i="169"/>
  <c r="AM40" i="169" s="1"/>
  <c r="AE30" i="169"/>
  <c r="AJ29" i="169"/>
  <c r="AI29" i="169"/>
  <c r="AH29" i="169"/>
  <c r="AG29" i="169"/>
  <c r="AM19" i="169" s="1"/>
  <c r="AF29" i="169"/>
  <c r="AM13" i="169" s="1"/>
  <c r="AE29" i="169"/>
  <c r="AE31" i="59"/>
  <c r="AI30" i="59"/>
  <c r="AH30" i="59"/>
  <c r="AE30" i="59"/>
  <c r="AJ29" i="59"/>
  <c r="AI29" i="59"/>
  <c r="AH29" i="59"/>
  <c r="AG29" i="59"/>
  <c r="AF29" i="59"/>
  <c r="AE29" i="59"/>
  <c r="AE31" i="51"/>
  <c r="AJ30" i="51"/>
  <c r="AI30" i="51"/>
  <c r="AH30" i="51"/>
  <c r="AE30" i="51"/>
  <c r="AJ29" i="51"/>
  <c r="AI29" i="51"/>
  <c r="AH29" i="51"/>
  <c r="AG29" i="51"/>
  <c r="AF29" i="51"/>
  <c r="AE29" i="51"/>
  <c r="AJ30" i="111"/>
  <c r="AI30" i="111"/>
  <c r="AH30" i="111"/>
  <c r="AG30" i="111"/>
  <c r="AE30" i="111"/>
  <c r="AJ29" i="111"/>
  <c r="AI29" i="111"/>
  <c r="AH29" i="111"/>
  <c r="AG29" i="111"/>
  <c r="AF29" i="111"/>
  <c r="AE29" i="111"/>
  <c r="AE31" i="60"/>
  <c r="AJ30" i="60"/>
  <c r="AI30" i="60"/>
  <c r="AH30" i="60"/>
  <c r="AE30" i="60"/>
  <c r="AJ29" i="60"/>
  <c r="AI29" i="60"/>
  <c r="AH29" i="60"/>
  <c r="AG29" i="60"/>
  <c r="AF29" i="60"/>
  <c r="AE29" i="60"/>
  <c r="AE31" i="71"/>
  <c r="AJ30" i="71"/>
  <c r="AI30" i="71"/>
  <c r="AH30" i="71"/>
  <c r="AG30" i="71"/>
  <c r="AE30" i="71"/>
  <c r="AJ29" i="71"/>
  <c r="AI29" i="71"/>
  <c r="AH29" i="71"/>
  <c r="AG29" i="71"/>
  <c r="AF29" i="71"/>
  <c r="AE29" i="71"/>
  <c r="AE31" i="14"/>
  <c r="AJ30" i="14"/>
  <c r="AI30" i="14"/>
  <c r="AE30" i="14"/>
  <c r="AJ29" i="14"/>
  <c r="AI29" i="14"/>
  <c r="AH29" i="14"/>
  <c r="AG29" i="14"/>
  <c r="AF29" i="14"/>
  <c r="AE29" i="14"/>
  <c r="AJ31" i="66"/>
  <c r="AE31" i="66"/>
  <c r="AJ30" i="66"/>
  <c r="AI30" i="66"/>
  <c r="AH30" i="66"/>
  <c r="AE30" i="66"/>
  <c r="AJ29" i="66"/>
  <c r="AI29" i="66"/>
  <c r="AH29" i="66"/>
  <c r="AG29" i="66"/>
  <c r="AM19" i="66" s="1"/>
  <c r="AF29" i="66"/>
  <c r="AM13" i="66" s="1"/>
  <c r="AE29" i="66"/>
  <c r="AE31" i="79"/>
  <c r="AJ30" i="79"/>
  <c r="AI30" i="79"/>
  <c r="AH30" i="79"/>
  <c r="AE30" i="79"/>
  <c r="AJ29" i="79"/>
  <c r="AI29" i="79"/>
  <c r="AH29" i="79"/>
  <c r="AG29" i="79"/>
  <c r="AF29" i="79"/>
  <c r="AM13" i="79" s="1"/>
  <c r="AE29" i="79"/>
  <c r="AJ30" i="90"/>
  <c r="AI30" i="90"/>
  <c r="AH30" i="90"/>
  <c r="AE31" i="90"/>
  <c r="AE30" i="90"/>
  <c r="AJ29" i="90"/>
  <c r="AI29" i="90"/>
  <c r="AH29" i="90"/>
  <c r="AG29" i="90"/>
  <c r="AE29" i="90"/>
  <c r="AB10" i="58"/>
  <c r="K37" i="62"/>
  <c r="N39" i="62"/>
  <c r="N37" i="62" s="1"/>
  <c r="J37" i="62" s="1"/>
  <c r="J373" i="21"/>
  <c r="I373" i="21" s="1"/>
  <c r="J370" i="21"/>
  <c r="I370" i="21" s="1"/>
  <c r="N94" i="21"/>
  <c r="R96" i="21"/>
  <c r="J289" i="41"/>
  <c r="J215" i="41"/>
  <c r="R145" i="41"/>
  <c r="R142" i="41" s="1"/>
  <c r="J111" i="41"/>
  <c r="Q98" i="41"/>
  <c r="R98" i="41"/>
  <c r="J101" i="41"/>
  <c r="R71" i="41"/>
  <c r="R69" i="41" s="1"/>
  <c r="R24" i="41" s="1"/>
  <c r="L69" i="41"/>
  <c r="L24" i="41" s="1"/>
  <c r="N306" i="61"/>
  <c r="N303" i="61" s="1"/>
  <c r="L305" i="61"/>
  <c r="L303" i="61" s="1"/>
  <c r="J307" i="61"/>
  <c r="R236" i="61"/>
  <c r="Q44" i="61"/>
  <c r="L35" i="61"/>
  <c r="L23" i="61" s="1"/>
  <c r="R35" i="61"/>
  <c r="R23" i="61" s="1"/>
  <c r="J34" i="61"/>
  <c r="R292" i="51"/>
  <c r="Q292" i="51"/>
  <c r="J295" i="51"/>
  <c r="R258" i="71"/>
  <c r="J207" i="71"/>
  <c r="J151" i="71"/>
  <c r="R92" i="71"/>
  <c r="L450" i="42"/>
  <c r="R452" i="42"/>
  <c r="R450" i="42" s="1"/>
  <c r="J441" i="42"/>
  <c r="J425" i="42"/>
  <c r="L415" i="42"/>
  <c r="R417" i="42"/>
  <c r="R415" i="42" s="1"/>
  <c r="J415" i="42" s="1"/>
  <c r="L405" i="42"/>
  <c r="L24" i="42" s="1"/>
  <c r="R407" i="42"/>
  <c r="R405" i="42" s="1"/>
  <c r="L400" i="42"/>
  <c r="R402" i="42"/>
  <c r="R400" i="42" s="1"/>
  <c r="L241" i="42"/>
  <c r="R243" i="42"/>
  <c r="R241" i="42" s="1"/>
  <c r="R141" i="42"/>
  <c r="L139" i="42"/>
  <c r="R139" i="42"/>
  <c r="J806" i="86"/>
  <c r="R688" i="86"/>
  <c r="R685" i="86" s="1"/>
  <c r="J685" i="86" s="1"/>
  <c r="L687" i="86"/>
  <c r="L685" i="86" s="1"/>
  <c r="Q424" i="86"/>
  <c r="J425" i="86"/>
  <c r="I425" i="86" s="1"/>
  <c r="J376" i="86"/>
  <c r="R72" i="86"/>
  <c r="R70" i="86" s="1"/>
  <c r="J70" i="86" s="1"/>
  <c r="L70" i="86"/>
  <c r="J425" i="14"/>
  <c r="N382" i="14"/>
  <c r="R384" i="14"/>
  <c r="R382" i="14" s="1"/>
  <c r="R338" i="14"/>
  <c r="R335" i="14" s="1"/>
  <c r="R290" i="14"/>
  <c r="R257" i="14"/>
  <c r="Q190" i="14"/>
  <c r="J191" i="14"/>
  <c r="J98" i="14"/>
  <c r="I191" i="14"/>
  <c r="J432" i="79"/>
  <c r="O241" i="79"/>
  <c r="Q240" i="79"/>
  <c r="Q238" i="79"/>
  <c r="L234" i="79"/>
  <c r="J305" i="79"/>
  <c r="J160" i="79"/>
  <c r="I160" i="79" s="1"/>
  <c r="J159" i="79"/>
  <c r="J85" i="60"/>
  <c r="L431" i="60"/>
  <c r="R434" i="60"/>
  <c r="R431" i="60" s="1"/>
  <c r="N433" i="60"/>
  <c r="N431" i="60" s="1"/>
  <c r="N24" i="60" s="1"/>
  <c r="L422" i="60"/>
  <c r="R424" i="60"/>
  <c r="R422" i="60" s="1"/>
  <c r="J422" i="60" s="1"/>
  <c r="R379" i="60"/>
  <c r="R377" i="60" s="1"/>
  <c r="L350" i="60"/>
  <c r="R352" i="60"/>
  <c r="R350" i="60" s="1"/>
  <c r="J350" i="60" s="1"/>
  <c r="L314" i="60"/>
  <c r="R314" i="60"/>
  <c r="J314" i="60" s="1"/>
  <c r="R316" i="60"/>
  <c r="L291" i="60"/>
  <c r="R293" i="60"/>
  <c r="R291" i="60" s="1"/>
  <c r="J291" i="60" s="1"/>
  <c r="I291" i="60" s="1"/>
  <c r="L264" i="60"/>
  <c r="R266" i="60"/>
  <c r="R264" i="60" s="1"/>
  <c r="J264" i="60" s="1"/>
  <c r="I264" i="60" s="1"/>
  <c r="L227" i="60"/>
  <c r="R229" i="60"/>
  <c r="R227" i="60" s="1"/>
  <c r="J227" i="60" s="1"/>
  <c r="L207" i="60"/>
  <c r="R209" i="60"/>
  <c r="R207" i="60" s="1"/>
  <c r="J207" i="60" s="1"/>
  <c r="L203" i="60"/>
  <c r="R205" i="60"/>
  <c r="R203" i="60" s="1"/>
  <c r="J203" i="60" s="1"/>
  <c r="I203" i="60" s="1"/>
  <c r="L192" i="60"/>
  <c r="R194" i="60"/>
  <c r="R192" i="60" s="1"/>
  <c r="J192" i="60" s="1"/>
  <c r="L130" i="60"/>
  <c r="R132" i="60"/>
  <c r="R130" i="60"/>
  <c r="J130" i="60" s="1"/>
  <c r="L99" i="60"/>
  <c r="R101" i="60"/>
  <c r="R99" i="60" s="1"/>
  <c r="J99" i="60" s="1"/>
  <c r="J75" i="60"/>
  <c r="L38" i="60"/>
  <c r="R40" i="60"/>
  <c r="R38" i="60" s="1"/>
  <c r="J38" i="60" s="1"/>
  <c r="J254" i="101"/>
  <c r="I254" i="101" s="1"/>
  <c r="R218" i="101"/>
  <c r="L202" i="101"/>
  <c r="R204" i="101"/>
  <c r="R202" i="101" s="1"/>
  <c r="J202" i="101" s="1"/>
  <c r="R176" i="101"/>
  <c r="L176" i="101"/>
  <c r="R120" i="101"/>
  <c r="N120" i="101"/>
  <c r="R114" i="101"/>
  <c r="R111" i="101" s="1"/>
  <c r="J111" i="101" s="1"/>
  <c r="L113" i="101"/>
  <c r="L111" i="101" s="1"/>
  <c r="Q36" i="101"/>
  <c r="AL71" i="101" s="1"/>
  <c r="J528" i="75"/>
  <c r="R477" i="75"/>
  <c r="R475" i="75" s="1"/>
  <c r="J478" i="75"/>
  <c r="I478" i="75" s="1"/>
  <c r="J479" i="75"/>
  <c r="I479" i="75" s="1"/>
  <c r="R425" i="75"/>
  <c r="J388" i="75"/>
  <c r="I388" i="75" s="1"/>
  <c r="R357" i="75"/>
  <c r="L342" i="75"/>
  <c r="L13" i="75" s="1"/>
  <c r="R343" i="75"/>
  <c r="R341" i="75"/>
  <c r="J310" i="75"/>
  <c r="J297" i="75"/>
  <c r="J289" i="75"/>
  <c r="J244" i="75"/>
  <c r="R237" i="75"/>
  <c r="L138" i="75"/>
  <c r="L150" i="75"/>
  <c r="R152" i="75"/>
  <c r="R150" i="75" s="1"/>
  <c r="J150" i="75" s="1"/>
  <c r="L217" i="75"/>
  <c r="L22" i="75" s="1"/>
  <c r="R219" i="75"/>
  <c r="R217" i="75" s="1"/>
  <c r="R177" i="75"/>
  <c r="R73" i="75"/>
  <c r="R74" i="75"/>
  <c r="J69" i="75"/>
  <c r="J53" i="75"/>
  <c r="J301" i="169"/>
  <c r="J298" i="169"/>
  <c r="J297" i="169"/>
  <c r="J296" i="169"/>
  <c r="R276" i="169"/>
  <c r="AJ31" i="169" s="1"/>
  <c r="R269" i="169"/>
  <c r="R265" i="169"/>
  <c r="Q255" i="169"/>
  <c r="J257" i="169"/>
  <c r="R234" i="169"/>
  <c r="R204" i="169"/>
  <c r="L193" i="169"/>
  <c r="L189" i="169" s="1"/>
  <c r="R194" i="169"/>
  <c r="R192" i="169"/>
  <c r="Q183" i="169"/>
  <c r="Q181" i="169" s="1"/>
  <c r="J181" i="169" s="1"/>
  <c r="R144" i="169"/>
  <c r="N130" i="169"/>
  <c r="R132" i="169"/>
  <c r="R130" i="169" s="1"/>
  <c r="J122" i="169"/>
  <c r="J121" i="169"/>
  <c r="I121" i="169" s="1"/>
  <c r="J120" i="169"/>
  <c r="R119" i="169"/>
  <c r="R117" i="169" s="1"/>
  <c r="Q117" i="169"/>
  <c r="Q106" i="169"/>
  <c r="R102" i="169"/>
  <c r="N52" i="169"/>
  <c r="R54" i="169"/>
  <c r="R52" i="169" s="1"/>
  <c r="Q252" i="66"/>
  <c r="AL59" i="66" s="1"/>
  <c r="J253" i="66"/>
  <c r="I253" i="66" s="1"/>
  <c r="R222" i="66"/>
  <c r="Q222" i="66"/>
  <c r="N222" i="66"/>
  <c r="AB10" i="59"/>
  <c r="J324" i="90"/>
  <c r="I324" i="90" s="1"/>
  <c r="R199" i="90"/>
  <c r="J202" i="90"/>
  <c r="I202" i="90" s="1"/>
  <c r="N200" i="90"/>
  <c r="N199" i="90" s="1"/>
  <c r="J395" i="44"/>
  <c r="J367" i="44"/>
  <c r="J366" i="44"/>
  <c r="J312" i="44"/>
  <c r="J292" i="44"/>
  <c r="J260" i="44"/>
  <c r="J441" i="44"/>
  <c r="J389" i="44"/>
  <c r="I389" i="44"/>
  <c r="J172" i="44"/>
  <c r="L126" i="44"/>
  <c r="L124" i="44" s="1"/>
  <c r="R127" i="44"/>
  <c r="J379" i="44"/>
  <c r="J121" i="44"/>
  <c r="Q113" i="86"/>
  <c r="L112" i="86"/>
  <c r="L102" i="86" s="1"/>
  <c r="Q111" i="86"/>
  <c r="Q110" i="86"/>
  <c r="Q109" i="86"/>
  <c r="N108" i="86"/>
  <c r="M107" i="86"/>
  <c r="N106" i="86"/>
  <c r="M105" i="86"/>
  <c r="M102" i="86" s="1"/>
  <c r="N104" i="86"/>
  <c r="N102" i="86" s="1"/>
  <c r="Q735" i="86"/>
  <c r="Q734" i="86"/>
  <c r="Q730" i="86" s="1"/>
  <c r="N733" i="86"/>
  <c r="N732" i="86"/>
  <c r="K730" i="86"/>
  <c r="O330" i="90"/>
  <c r="R333" i="90"/>
  <c r="R330" i="90" s="1"/>
  <c r="R695" i="86"/>
  <c r="N694" i="86"/>
  <c r="Q689" i="86"/>
  <c r="M692" i="86"/>
  <c r="M689" i="86" s="1"/>
  <c r="K689" i="86"/>
  <c r="N691" i="86"/>
  <c r="N689" i="86" s="1"/>
  <c r="M34" i="86"/>
  <c r="N33" i="86"/>
  <c r="M32" i="86"/>
  <c r="R126" i="86"/>
  <c r="Q125" i="86"/>
  <c r="L124" i="86"/>
  <c r="L118" i="86" s="1"/>
  <c r="R123" i="86"/>
  <c r="Q122" i="86"/>
  <c r="M121" i="86"/>
  <c r="M118" i="86" s="1"/>
  <c r="N120" i="86"/>
  <c r="N118" i="86" s="1"/>
  <c r="K118" i="86"/>
  <c r="N83" i="86"/>
  <c r="Q82" i="86"/>
  <c r="Q81" i="86"/>
  <c r="X111" i="75"/>
  <c r="X10" i="75" s="1"/>
  <c r="U29" i="1" s="1"/>
  <c r="W111" i="75"/>
  <c r="W10" i="75" s="1"/>
  <c r="T29" i="1" s="1"/>
  <c r="Z101" i="42"/>
  <c r="Y101" i="42"/>
  <c r="X101" i="42"/>
  <c r="W101" i="42"/>
  <c r="Z72" i="42"/>
  <c r="Z10" i="42" s="1"/>
  <c r="W23" i="1" s="1"/>
  <c r="Y72" i="42"/>
  <c r="Y10" i="42" s="1"/>
  <c r="V23" i="1" s="1"/>
  <c r="X142" i="43"/>
  <c r="W142" i="43"/>
  <c r="W10" i="43" s="1"/>
  <c r="T26" i="1" s="1"/>
  <c r="X26" i="1" s="1"/>
  <c r="K389" i="86"/>
  <c r="K385" i="86" s="1"/>
  <c r="K291" i="62"/>
  <c r="K289" i="62" s="1"/>
  <c r="Q203" i="14"/>
  <c r="T111" i="75"/>
  <c r="T10" i="75" s="1"/>
  <c r="Q29" i="1" s="1"/>
  <c r="N242" i="14"/>
  <c r="Q241" i="14"/>
  <c r="S10" i="75"/>
  <c r="P29" i="1" s="1"/>
  <c r="U10" i="75"/>
  <c r="V10" i="75"/>
  <c r="S29" i="1" s="1"/>
  <c r="Y10" i="75"/>
  <c r="V29" i="1" s="1"/>
  <c r="Z10" i="75"/>
  <c r="W29" i="1" s="1"/>
  <c r="AB10" i="75"/>
  <c r="K12" i="75"/>
  <c r="M12" i="75"/>
  <c r="O12" i="75"/>
  <c r="P12" i="75"/>
  <c r="R12" i="75"/>
  <c r="AG15" i="75" s="1"/>
  <c r="K13" i="75"/>
  <c r="M13" i="75"/>
  <c r="O13" i="75"/>
  <c r="P13" i="75"/>
  <c r="K15" i="75"/>
  <c r="L15" i="75"/>
  <c r="M15" i="75"/>
  <c r="O15" i="75"/>
  <c r="P15" i="75"/>
  <c r="K16" i="75"/>
  <c r="L16" i="75"/>
  <c r="M16" i="75"/>
  <c r="N16" i="75"/>
  <c r="O16" i="75"/>
  <c r="P16" i="75"/>
  <c r="K17" i="75"/>
  <c r="L17" i="75"/>
  <c r="M17" i="75"/>
  <c r="O17" i="75"/>
  <c r="P17" i="75"/>
  <c r="Q17" i="75"/>
  <c r="K18" i="75"/>
  <c r="L18" i="75"/>
  <c r="M18" i="75"/>
  <c r="O18" i="75"/>
  <c r="P18" i="75"/>
  <c r="R18" i="75"/>
  <c r="K19" i="75"/>
  <c r="M19" i="75"/>
  <c r="O19" i="75"/>
  <c r="P19" i="75"/>
  <c r="K20" i="75"/>
  <c r="M20" i="75"/>
  <c r="O20" i="75"/>
  <c r="P20" i="75"/>
  <c r="D22" i="75"/>
  <c r="K22" i="75"/>
  <c r="M22" i="75"/>
  <c r="O22" i="75"/>
  <c r="P22" i="75"/>
  <c r="D23" i="75"/>
  <c r="K23" i="75"/>
  <c r="L23" i="75"/>
  <c r="M23" i="75"/>
  <c r="N23" i="75"/>
  <c r="O23" i="75"/>
  <c r="P23" i="75"/>
  <c r="Q23" i="75"/>
  <c r="R23" i="75"/>
  <c r="D24" i="75"/>
  <c r="K24" i="75"/>
  <c r="M24" i="75"/>
  <c r="O24" i="75"/>
  <c r="P24" i="75"/>
  <c r="Q24" i="75"/>
  <c r="D25" i="75"/>
  <c r="K25" i="75"/>
  <c r="L25" i="75"/>
  <c r="M25" i="75"/>
  <c r="N25" i="75"/>
  <c r="O25" i="75"/>
  <c r="P25" i="75"/>
  <c r="Q25" i="75"/>
  <c r="R25" i="75"/>
  <c r="D26" i="75"/>
  <c r="K26" i="75"/>
  <c r="L26" i="75"/>
  <c r="M26" i="75"/>
  <c r="N26" i="75"/>
  <c r="O26" i="75"/>
  <c r="P26" i="75"/>
  <c r="Q26" i="75"/>
  <c r="R26" i="75"/>
  <c r="K28" i="75"/>
  <c r="M28" i="75"/>
  <c r="O28" i="75"/>
  <c r="P28" i="75"/>
  <c r="AB28" i="75"/>
  <c r="Q31" i="75"/>
  <c r="N32" i="75"/>
  <c r="AL15" i="75" s="1"/>
  <c r="J33" i="75"/>
  <c r="I33" i="75" s="1"/>
  <c r="J34" i="75"/>
  <c r="I34" i="75" s="1"/>
  <c r="J35" i="75"/>
  <c r="I35" i="75" s="1"/>
  <c r="N36" i="75"/>
  <c r="Q38" i="75"/>
  <c r="J39" i="75"/>
  <c r="I39" i="75" s="1"/>
  <c r="J40" i="75"/>
  <c r="I40" i="75" s="1"/>
  <c r="J41" i="75"/>
  <c r="I41" i="75" s="1"/>
  <c r="J42" i="75"/>
  <c r="J43" i="75"/>
  <c r="N45" i="75"/>
  <c r="J46" i="75"/>
  <c r="I46" i="75" s="1"/>
  <c r="Q47" i="75"/>
  <c r="R47" i="75"/>
  <c r="J50" i="75"/>
  <c r="I50" i="75" s="1"/>
  <c r="J51" i="75"/>
  <c r="I51" i="75" s="1"/>
  <c r="J52" i="75"/>
  <c r="I52" i="75" s="1"/>
  <c r="J54" i="75"/>
  <c r="I54" i="75" s="1"/>
  <c r="Q57" i="75"/>
  <c r="N58" i="75"/>
  <c r="Q59" i="75"/>
  <c r="Q60" i="75"/>
  <c r="Q61" i="75"/>
  <c r="N62" i="75"/>
  <c r="Q63" i="75"/>
  <c r="N64" i="75"/>
  <c r="Q65" i="75"/>
  <c r="AL50" i="75" s="1"/>
  <c r="J66" i="75"/>
  <c r="I66" i="75" s="1"/>
  <c r="J67" i="75"/>
  <c r="I67" i="75" s="1"/>
  <c r="J344" i="75"/>
  <c r="I344" i="75" s="1"/>
  <c r="J345" i="75"/>
  <c r="J346" i="75"/>
  <c r="I346" i="75" s="1"/>
  <c r="J347" i="75"/>
  <c r="J348" i="75"/>
  <c r="J68" i="75"/>
  <c r="J70" i="75"/>
  <c r="I70" i="75" s="1"/>
  <c r="N71" i="75"/>
  <c r="R71" i="75"/>
  <c r="J75" i="75"/>
  <c r="I75" i="75" s="1"/>
  <c r="J76" i="75"/>
  <c r="J77" i="75"/>
  <c r="J78" i="75"/>
  <c r="I78" i="75" s="1"/>
  <c r="J79" i="75"/>
  <c r="J80" i="75"/>
  <c r="Q86" i="75"/>
  <c r="N87" i="75"/>
  <c r="J88" i="75"/>
  <c r="I88" i="75" s="1"/>
  <c r="J89" i="75"/>
  <c r="J90" i="75"/>
  <c r="J91" i="75"/>
  <c r="J92" i="75"/>
  <c r="J93" i="75"/>
  <c r="L96" i="75"/>
  <c r="N97" i="75"/>
  <c r="Q98" i="75"/>
  <c r="R99" i="75"/>
  <c r="R94" i="75" s="1"/>
  <c r="Q100" i="75"/>
  <c r="L101" i="75"/>
  <c r="N102" i="75"/>
  <c r="Q103" i="75"/>
  <c r="N104" i="75"/>
  <c r="J105" i="75"/>
  <c r="I105" i="75" s="1"/>
  <c r="J106" i="75"/>
  <c r="I106" i="75" s="1"/>
  <c r="J107" i="75"/>
  <c r="J108" i="75"/>
  <c r="I108" i="75" s="1"/>
  <c r="J109" i="75"/>
  <c r="I109" i="75" s="1"/>
  <c r="J110" i="75"/>
  <c r="I110" i="75" s="1"/>
  <c r="J111" i="75"/>
  <c r="I111" i="75" s="1"/>
  <c r="N112" i="75"/>
  <c r="Q114" i="75"/>
  <c r="R115" i="75"/>
  <c r="R112" i="75" s="1"/>
  <c r="J116" i="75"/>
  <c r="I116" i="75" s="1"/>
  <c r="J117" i="75"/>
  <c r="I117" i="75" s="1"/>
  <c r="J118" i="75"/>
  <c r="J119" i="75"/>
  <c r="I119" i="75" s="1"/>
  <c r="J120" i="75"/>
  <c r="J121" i="75"/>
  <c r="J122" i="75"/>
  <c r="N123" i="75"/>
  <c r="Q125" i="75"/>
  <c r="Q123" i="75" s="1"/>
  <c r="J126" i="75"/>
  <c r="J127" i="75"/>
  <c r="I127" i="75" s="1"/>
  <c r="J128" i="75"/>
  <c r="J129" i="75"/>
  <c r="J130" i="75"/>
  <c r="J131" i="75"/>
  <c r="N132" i="75"/>
  <c r="Q134" i="75"/>
  <c r="Q132" i="75" s="1"/>
  <c r="R135" i="75"/>
  <c r="R132" i="75" s="1"/>
  <c r="J136" i="75"/>
  <c r="I136" i="75" s="1"/>
  <c r="J137" i="75"/>
  <c r="N141" i="75"/>
  <c r="L143" i="75"/>
  <c r="L141" i="75" s="1"/>
  <c r="Q144" i="75"/>
  <c r="Q141" i="75" s="1"/>
  <c r="J141" i="75" s="1"/>
  <c r="J145" i="75"/>
  <c r="I145" i="75" s="1"/>
  <c r="J146" i="75"/>
  <c r="J147" i="75"/>
  <c r="J148" i="75"/>
  <c r="I148" i="75" s="1"/>
  <c r="J149" i="75"/>
  <c r="I149" i="75" s="1"/>
  <c r="Q153" i="75"/>
  <c r="N155" i="75"/>
  <c r="L156" i="75"/>
  <c r="L153" i="75" s="1"/>
  <c r="N157" i="75"/>
  <c r="J158" i="75"/>
  <c r="I158" i="75" s="1"/>
  <c r="Q159" i="75"/>
  <c r="N161" i="75"/>
  <c r="J162" i="75"/>
  <c r="I162" i="75" s="1"/>
  <c r="J163" i="75"/>
  <c r="I163" i="75" s="1"/>
  <c r="Q166" i="75"/>
  <c r="Q164" i="75" s="1"/>
  <c r="N167" i="75"/>
  <c r="N164" i="75" s="1"/>
  <c r="J169" i="75"/>
  <c r="I169" i="75" s="1"/>
  <c r="N170" i="75"/>
  <c r="R170" i="75"/>
  <c r="J173" i="75"/>
  <c r="I173" i="75" s="1"/>
  <c r="J174" i="75"/>
  <c r="J175" i="75"/>
  <c r="I175" i="75" s="1"/>
  <c r="J176" i="75"/>
  <c r="I176" i="75" s="1"/>
  <c r="Q177" i="75"/>
  <c r="J177" i="75" s="1"/>
  <c r="J180" i="75"/>
  <c r="I180" i="75" s="1"/>
  <c r="L183" i="75"/>
  <c r="L181" i="75" s="1"/>
  <c r="N184" i="75"/>
  <c r="N181" i="75" s="1"/>
  <c r="Q185" i="75"/>
  <c r="Q181" i="75" s="1"/>
  <c r="J186" i="75"/>
  <c r="I186" i="75" s="1"/>
  <c r="N187" i="75"/>
  <c r="Q189" i="75"/>
  <c r="Q187" i="75" s="1"/>
  <c r="J190" i="75"/>
  <c r="I190" i="75" s="1"/>
  <c r="N191" i="75"/>
  <c r="Q191" i="75"/>
  <c r="J194" i="75"/>
  <c r="I194" i="75" s="1"/>
  <c r="J195" i="75"/>
  <c r="I195" i="75" s="1"/>
  <c r="J196" i="75"/>
  <c r="I196" i="75" s="1"/>
  <c r="J197" i="75"/>
  <c r="I197" i="75" s="1"/>
  <c r="J199" i="75"/>
  <c r="I199" i="75" s="1"/>
  <c r="J200" i="75"/>
  <c r="I200" i="75" s="1"/>
  <c r="N201" i="75"/>
  <c r="Q203" i="75"/>
  <c r="Q201" i="75" s="1"/>
  <c r="R204" i="75"/>
  <c r="J204" i="75" s="1"/>
  <c r="L209" i="75"/>
  <c r="L207" i="75" s="1"/>
  <c r="N210" i="75"/>
  <c r="Q211" i="75"/>
  <c r="Q207" i="75" s="1"/>
  <c r="N212" i="75"/>
  <c r="N213" i="75"/>
  <c r="J213" i="75" s="1"/>
  <c r="I213" i="75" s="1"/>
  <c r="J220" i="75"/>
  <c r="I220" i="75" s="1"/>
  <c r="J221" i="75"/>
  <c r="I221" i="75" s="1"/>
  <c r="Q222" i="75"/>
  <c r="N222" i="75"/>
  <c r="R225" i="75"/>
  <c r="R226" i="75"/>
  <c r="R227" i="75"/>
  <c r="J228" i="75"/>
  <c r="I228" i="75" s="1"/>
  <c r="J229" i="75"/>
  <c r="I229" i="75" s="1"/>
  <c r="J230" i="75"/>
  <c r="I230" i="75" s="1"/>
  <c r="J231" i="75"/>
  <c r="I231" i="75" s="1"/>
  <c r="J232" i="75"/>
  <c r="I232" i="75" s="1"/>
  <c r="J233" i="75"/>
  <c r="I233" i="75" s="1"/>
  <c r="J234" i="75"/>
  <c r="I234" i="75" s="1"/>
  <c r="N235" i="75"/>
  <c r="R235" i="75"/>
  <c r="J238" i="75"/>
  <c r="I238" i="75" s="1"/>
  <c r="N239" i="75"/>
  <c r="R242" i="75"/>
  <c r="R239" i="75" s="1"/>
  <c r="J243" i="75"/>
  <c r="I243" i="75" s="1"/>
  <c r="Q247" i="75"/>
  <c r="Q245" i="75" s="1"/>
  <c r="R248" i="75"/>
  <c r="R245" i="75" s="1"/>
  <c r="J249" i="75"/>
  <c r="I249" i="75" s="1"/>
  <c r="J250" i="75"/>
  <c r="I250" i="75" s="1"/>
  <c r="J251" i="75"/>
  <c r="I251" i="75" s="1"/>
  <c r="Q254" i="75"/>
  <c r="Q252" i="75" s="1"/>
  <c r="N255" i="75"/>
  <c r="J256" i="75"/>
  <c r="I256" i="75" s="1"/>
  <c r="J260" i="75"/>
  <c r="I260" i="75" s="1"/>
  <c r="N261" i="75"/>
  <c r="Q263" i="75"/>
  <c r="R264" i="75"/>
  <c r="R265" i="75"/>
  <c r="Q266" i="75"/>
  <c r="R267" i="75"/>
  <c r="J268" i="75"/>
  <c r="I268" i="75" s="1"/>
  <c r="J269" i="75"/>
  <c r="I269" i="75" s="1"/>
  <c r="J270" i="75"/>
  <c r="I270" i="75" s="1"/>
  <c r="L273" i="75"/>
  <c r="L271" i="75" s="1"/>
  <c r="N274" i="75"/>
  <c r="N275" i="75"/>
  <c r="Q276" i="75"/>
  <c r="Q271" i="75" s="1"/>
  <c r="Q279" i="75"/>
  <c r="Q277" i="75" s="1"/>
  <c r="J277" i="75" s="1"/>
  <c r="J44" i="75"/>
  <c r="I44" i="75" s="1"/>
  <c r="J280" i="75"/>
  <c r="I280" i="75" s="1"/>
  <c r="N281" i="75"/>
  <c r="Q281" i="75"/>
  <c r="J288" i="75"/>
  <c r="I288" i="75" s="1"/>
  <c r="J290" i="75"/>
  <c r="I290" i="75" s="1"/>
  <c r="J291" i="75"/>
  <c r="I291" i="75" s="1"/>
  <c r="J292" i="75"/>
  <c r="I292" i="75" s="1"/>
  <c r="Q295" i="75"/>
  <c r="Q293" i="75" s="1"/>
  <c r="J296" i="75"/>
  <c r="I296" i="75" s="1"/>
  <c r="J298" i="75"/>
  <c r="I298" i="75" s="1"/>
  <c r="Q301" i="75"/>
  <c r="R302" i="75"/>
  <c r="R299" i="75" s="1"/>
  <c r="Q303" i="75"/>
  <c r="N304" i="75"/>
  <c r="J305" i="75"/>
  <c r="I305" i="75" s="1"/>
  <c r="J306" i="75"/>
  <c r="I306" i="75" s="1"/>
  <c r="J307" i="75"/>
  <c r="I307" i="75" s="1"/>
  <c r="J308" i="75"/>
  <c r="I308" i="75" s="1"/>
  <c r="J309" i="75"/>
  <c r="I309" i="75" s="1"/>
  <c r="J311" i="75"/>
  <c r="I311" i="75" s="1"/>
  <c r="J312" i="75"/>
  <c r="I312" i="75" s="1"/>
  <c r="N313" i="75"/>
  <c r="Q317" i="75"/>
  <c r="Q313" i="75" s="1"/>
  <c r="R318" i="75"/>
  <c r="R313" i="75" s="1"/>
  <c r="J319" i="75"/>
  <c r="I319" i="75" s="1"/>
  <c r="Q323" i="75"/>
  <c r="Q324" i="75"/>
  <c r="J325" i="75"/>
  <c r="I325" i="75" s="1"/>
  <c r="J326" i="75"/>
  <c r="I326" i="75" s="1"/>
  <c r="N327" i="75"/>
  <c r="Q329" i="75"/>
  <c r="J331" i="75"/>
  <c r="I331" i="75" s="1"/>
  <c r="J332" i="75"/>
  <c r="I332" i="75" s="1"/>
  <c r="J333" i="75"/>
  <c r="I333" i="75" s="1"/>
  <c r="J334" i="75"/>
  <c r="I334" i="75" s="1"/>
  <c r="Q337" i="75"/>
  <c r="Q335" i="75" s="1"/>
  <c r="N338" i="75"/>
  <c r="N335" i="75" s="1"/>
  <c r="L339" i="75"/>
  <c r="Q339" i="75"/>
  <c r="J349" i="75"/>
  <c r="I349" i="75" s="1"/>
  <c r="J350" i="75"/>
  <c r="I350" i="75" s="1"/>
  <c r="Q352" i="75"/>
  <c r="J353" i="75"/>
  <c r="I353" i="75" s="1"/>
  <c r="N354" i="75"/>
  <c r="R354" i="75"/>
  <c r="J358" i="75"/>
  <c r="I358" i="75" s="1"/>
  <c r="N360" i="75"/>
  <c r="Q362" i="75"/>
  <c r="Q360" i="75" s="1"/>
  <c r="R363" i="75"/>
  <c r="R360" i="75" s="1"/>
  <c r="J364" i="75"/>
  <c r="I364" i="75" s="1"/>
  <c r="J365" i="75"/>
  <c r="I365" i="75" s="1"/>
  <c r="J366" i="75"/>
  <c r="I366" i="75" s="1"/>
  <c r="J367" i="75"/>
  <c r="I367" i="75" s="1"/>
  <c r="N369" i="75"/>
  <c r="Q371" i="75"/>
  <c r="Q372" i="75"/>
  <c r="Q373" i="75"/>
  <c r="J374" i="75"/>
  <c r="I374" i="75" s="1"/>
  <c r="J375" i="75"/>
  <c r="I375" i="75" s="1"/>
  <c r="J376" i="75"/>
  <c r="I376" i="75" s="1"/>
  <c r="J377" i="75"/>
  <c r="I377" i="75" s="1"/>
  <c r="J378" i="75"/>
  <c r="I378" i="75" s="1"/>
  <c r="J381" i="75"/>
  <c r="I381" i="75" s="1"/>
  <c r="J382" i="75"/>
  <c r="I382" i="75" s="1"/>
  <c r="J383" i="75"/>
  <c r="I383" i="75" s="1"/>
  <c r="R387" i="75"/>
  <c r="R384" i="75" s="1"/>
  <c r="J389" i="75"/>
  <c r="I389" i="75" s="1"/>
  <c r="L390" i="75"/>
  <c r="R392" i="75"/>
  <c r="R17" i="75" s="1"/>
  <c r="R393" i="75"/>
  <c r="N395" i="75"/>
  <c r="Q397" i="75"/>
  <c r="Q395" i="75" s="1"/>
  <c r="R398" i="75"/>
  <c r="R395" i="75" s="1"/>
  <c r="J399" i="75"/>
  <c r="I399" i="75" s="1"/>
  <c r="J400" i="75"/>
  <c r="I400" i="75" s="1"/>
  <c r="J401" i="75"/>
  <c r="I401" i="75" s="1"/>
  <c r="J402" i="75"/>
  <c r="I402" i="75" s="1"/>
  <c r="J405" i="75"/>
  <c r="I405" i="75" s="1"/>
  <c r="J406" i="75"/>
  <c r="I406" i="75" s="1"/>
  <c r="J407" i="75"/>
  <c r="I407" i="75" s="1"/>
  <c r="J411" i="75"/>
  <c r="I411" i="75" s="1"/>
  <c r="J414" i="75"/>
  <c r="I414" i="75" s="1"/>
  <c r="N417" i="75"/>
  <c r="Q419" i="75"/>
  <c r="Q417" i="75" s="1"/>
  <c r="J420" i="75"/>
  <c r="I420" i="75" s="1"/>
  <c r="R423" i="75"/>
  <c r="J426" i="75"/>
  <c r="I426" i="75" s="1"/>
  <c r="J427" i="75"/>
  <c r="I427" i="75" s="1"/>
  <c r="J428" i="75"/>
  <c r="I428" i="75" s="1"/>
  <c r="J429" i="75"/>
  <c r="I429" i="75" s="1"/>
  <c r="J430" i="75"/>
  <c r="I430" i="75" s="1"/>
  <c r="J431" i="75"/>
  <c r="I431" i="75" s="1"/>
  <c r="J432" i="75"/>
  <c r="I432" i="75" s="1"/>
  <c r="J433" i="75"/>
  <c r="I433" i="75" s="1"/>
  <c r="J434" i="75"/>
  <c r="I434" i="75" s="1"/>
  <c r="J435" i="75"/>
  <c r="I435" i="75" s="1"/>
  <c r="J437" i="75"/>
  <c r="I437" i="75" s="1"/>
  <c r="J438" i="75"/>
  <c r="I438" i="75" s="1"/>
  <c r="J439" i="75"/>
  <c r="I439" i="75" s="1"/>
  <c r="J440" i="75"/>
  <c r="I440" i="75" s="1"/>
  <c r="J441" i="75"/>
  <c r="I441" i="75" s="1"/>
  <c r="J442" i="75"/>
  <c r="I442" i="75" s="1"/>
  <c r="J443" i="75"/>
  <c r="I443" i="75" s="1"/>
  <c r="J444" i="75"/>
  <c r="I444" i="75" s="1"/>
  <c r="J445" i="75"/>
  <c r="I445" i="75" s="1"/>
  <c r="J446" i="75"/>
  <c r="I446" i="75" s="1"/>
  <c r="N447" i="75"/>
  <c r="R447" i="75"/>
  <c r="N450" i="75"/>
  <c r="R450" i="75"/>
  <c r="J454" i="75"/>
  <c r="N455" i="75"/>
  <c r="Q457" i="75"/>
  <c r="Q455" i="75" s="1"/>
  <c r="J458" i="75"/>
  <c r="I458" i="75" s="1"/>
  <c r="J459" i="75"/>
  <c r="I459" i="75" s="1"/>
  <c r="J461" i="75"/>
  <c r="I461" i="75" s="1"/>
  <c r="N462" i="75"/>
  <c r="R462" i="75"/>
  <c r="J465" i="75"/>
  <c r="I465" i="75" s="1"/>
  <c r="J466" i="75"/>
  <c r="I466" i="75" s="1"/>
  <c r="Q471" i="75"/>
  <c r="Q469" i="75" s="1"/>
  <c r="J469" i="75" s="1"/>
  <c r="J472" i="75"/>
  <c r="I472" i="75" s="1"/>
  <c r="J473" i="75"/>
  <c r="Q475" i="75"/>
  <c r="J480" i="75"/>
  <c r="J481" i="75"/>
  <c r="I481" i="75" s="1"/>
  <c r="N482" i="75"/>
  <c r="Q484" i="75"/>
  <c r="Q485" i="75"/>
  <c r="Q486" i="75"/>
  <c r="R488" i="75"/>
  <c r="R486" i="75" s="1"/>
  <c r="J489" i="75"/>
  <c r="I489" i="75" s="1"/>
  <c r="J490" i="75"/>
  <c r="I490" i="75" s="1"/>
  <c r="N491" i="75"/>
  <c r="Q493" i="75"/>
  <c r="Q491" i="75" s="1"/>
  <c r="N494" i="75"/>
  <c r="Q494" i="75"/>
  <c r="J497" i="75"/>
  <c r="I497" i="75" s="1"/>
  <c r="J498" i="75"/>
  <c r="I498" i="75" s="1"/>
  <c r="N499" i="75"/>
  <c r="R501" i="75"/>
  <c r="R499" i="75" s="1"/>
  <c r="Q504" i="75"/>
  <c r="Q502" i="75" s="1"/>
  <c r="R505" i="75"/>
  <c r="R502" i="75" s="1"/>
  <c r="J506" i="75"/>
  <c r="J507" i="75"/>
  <c r="J508" i="75"/>
  <c r="J509" i="75"/>
  <c r="I509" i="75" s="1"/>
  <c r="J510" i="75"/>
  <c r="I510" i="75" s="1"/>
  <c r="J511" i="75"/>
  <c r="J512" i="75"/>
  <c r="J513" i="75"/>
  <c r="J514" i="75"/>
  <c r="J519" i="75"/>
  <c r="I519" i="75" s="1"/>
  <c r="J520" i="75"/>
  <c r="Q521" i="75"/>
  <c r="N523" i="75"/>
  <c r="N521" i="75" s="1"/>
  <c r="J524" i="75"/>
  <c r="I524" i="75" s="1"/>
  <c r="J525" i="75"/>
  <c r="I525" i="75" s="1"/>
  <c r="J526" i="75"/>
  <c r="J529" i="75"/>
  <c r="I529" i="75" s="1"/>
  <c r="J530" i="75"/>
  <c r="I530" i="75" s="1"/>
  <c r="J531" i="75"/>
  <c r="I531" i="75" s="1"/>
  <c r="J532" i="75"/>
  <c r="I532" i="75" s="1"/>
  <c r="J533" i="75"/>
  <c r="I533" i="75" s="1"/>
  <c r="S10" i="101"/>
  <c r="T10" i="101"/>
  <c r="U10" i="101"/>
  <c r="V10" i="101"/>
  <c r="Y10" i="101"/>
  <c r="Z10" i="101"/>
  <c r="AB10" i="101"/>
  <c r="K12" i="101"/>
  <c r="L12" i="101"/>
  <c r="M12" i="101"/>
  <c r="O12" i="101"/>
  <c r="P12" i="101"/>
  <c r="R12" i="101"/>
  <c r="AG15" i="101" s="1"/>
  <c r="K13" i="101"/>
  <c r="L13" i="101"/>
  <c r="M13" i="101"/>
  <c r="O13" i="101"/>
  <c r="P13" i="101"/>
  <c r="K15" i="101"/>
  <c r="L15" i="101"/>
  <c r="M15" i="101"/>
  <c r="O15" i="101"/>
  <c r="P15" i="101"/>
  <c r="K16" i="101"/>
  <c r="L16" i="101"/>
  <c r="M16" i="101"/>
  <c r="N16" i="101"/>
  <c r="O16" i="101"/>
  <c r="P16" i="101"/>
  <c r="K17" i="101"/>
  <c r="L17" i="101"/>
  <c r="M17" i="101"/>
  <c r="N17" i="101"/>
  <c r="O17" i="101"/>
  <c r="P17" i="101"/>
  <c r="Q17" i="101"/>
  <c r="K18" i="101"/>
  <c r="L18" i="101"/>
  <c r="M18" i="101"/>
  <c r="N18" i="101"/>
  <c r="O18" i="101"/>
  <c r="P18" i="101"/>
  <c r="Q18" i="101"/>
  <c r="R18" i="101"/>
  <c r="K19" i="101"/>
  <c r="L19" i="101"/>
  <c r="M19" i="101"/>
  <c r="O19" i="101"/>
  <c r="P19" i="101"/>
  <c r="R19" i="101"/>
  <c r="K20" i="101"/>
  <c r="M20" i="101"/>
  <c r="O20" i="101"/>
  <c r="P20" i="101"/>
  <c r="D22" i="101"/>
  <c r="K22" i="101"/>
  <c r="L22" i="101"/>
  <c r="M22" i="101"/>
  <c r="N22" i="101"/>
  <c r="O22" i="101"/>
  <c r="P22" i="101"/>
  <c r="Q22" i="101"/>
  <c r="R22" i="101"/>
  <c r="D23" i="101"/>
  <c r="K23" i="101"/>
  <c r="L23" i="101"/>
  <c r="M23" i="101"/>
  <c r="N23" i="101"/>
  <c r="O23" i="101"/>
  <c r="P23" i="101"/>
  <c r="Q23" i="101"/>
  <c r="R23" i="101"/>
  <c r="D24" i="101"/>
  <c r="K24" i="101"/>
  <c r="M24" i="101"/>
  <c r="O24" i="101"/>
  <c r="P24" i="101"/>
  <c r="D25" i="101"/>
  <c r="K25" i="101"/>
  <c r="L25" i="101"/>
  <c r="M25" i="101"/>
  <c r="N25" i="101"/>
  <c r="O25" i="101"/>
  <c r="P25" i="101"/>
  <c r="Q25" i="101"/>
  <c r="R25" i="101"/>
  <c r="D26" i="101"/>
  <c r="K26" i="101"/>
  <c r="L26" i="101"/>
  <c r="M26" i="101"/>
  <c r="N26" i="101"/>
  <c r="O26" i="101"/>
  <c r="P26" i="101"/>
  <c r="Q26" i="101"/>
  <c r="R26" i="101"/>
  <c r="K28" i="101"/>
  <c r="M28" i="101"/>
  <c r="O28" i="101"/>
  <c r="P28" i="101"/>
  <c r="AB28" i="101"/>
  <c r="J30" i="101"/>
  <c r="I30" i="101" s="1"/>
  <c r="X31" i="101"/>
  <c r="R33" i="101"/>
  <c r="N34" i="101"/>
  <c r="Q34" i="101"/>
  <c r="N37" i="101"/>
  <c r="W37" i="101"/>
  <c r="X37" i="101"/>
  <c r="R39" i="101"/>
  <c r="J40" i="101"/>
  <c r="I40" i="101" s="1"/>
  <c r="N41" i="101"/>
  <c r="R41" i="101"/>
  <c r="J45" i="101"/>
  <c r="I45" i="101" s="1"/>
  <c r="J46" i="101"/>
  <c r="I46" i="101" s="1"/>
  <c r="J47" i="101"/>
  <c r="I47" i="101" s="1"/>
  <c r="N48" i="101"/>
  <c r="J49" i="101"/>
  <c r="I49" i="101" s="1"/>
  <c r="J50" i="101"/>
  <c r="I50" i="101" s="1"/>
  <c r="J51" i="101"/>
  <c r="I51" i="101" s="1"/>
  <c r="J53" i="101"/>
  <c r="I53" i="101" s="1"/>
  <c r="N54" i="101"/>
  <c r="Q56" i="101"/>
  <c r="J57" i="101"/>
  <c r="I57" i="101" s="1"/>
  <c r="J58" i="101"/>
  <c r="I58" i="101" s="1"/>
  <c r="J59" i="101"/>
  <c r="I59" i="101" s="1"/>
  <c r="J60" i="101"/>
  <c r="I60" i="101" s="1"/>
  <c r="J61" i="101"/>
  <c r="I61" i="101" s="1"/>
  <c r="J62" i="101"/>
  <c r="I62" i="101" s="1"/>
  <c r="J63" i="101"/>
  <c r="I63" i="101" s="1"/>
  <c r="J64" i="101"/>
  <c r="I64" i="101" s="1"/>
  <c r="J65" i="101"/>
  <c r="I65" i="101" s="1"/>
  <c r="J66" i="101"/>
  <c r="I66" i="101" s="1"/>
  <c r="J67" i="101"/>
  <c r="I67" i="101" s="1"/>
  <c r="J68" i="101"/>
  <c r="I68" i="101" s="1"/>
  <c r="J69" i="101"/>
  <c r="I69" i="101" s="1"/>
  <c r="J70" i="101"/>
  <c r="I70" i="101" s="1"/>
  <c r="N71" i="101"/>
  <c r="Q73" i="101"/>
  <c r="Q71" i="101" s="1"/>
  <c r="N74" i="101"/>
  <c r="Q74" i="101"/>
  <c r="W74" i="101"/>
  <c r="X74" i="101"/>
  <c r="J77" i="101"/>
  <c r="I77" i="101" s="1"/>
  <c r="W77" i="101"/>
  <c r="X77" i="101"/>
  <c r="Q78" i="101"/>
  <c r="R78" i="101"/>
  <c r="W78" i="101"/>
  <c r="X78" i="101"/>
  <c r="J82" i="101"/>
  <c r="I82" i="101" s="1"/>
  <c r="J83" i="101"/>
  <c r="I83" i="101" s="1"/>
  <c r="J84" i="101"/>
  <c r="I84" i="101" s="1"/>
  <c r="J85" i="101"/>
  <c r="I85" i="101" s="1"/>
  <c r="J86" i="101"/>
  <c r="I86" i="101" s="1"/>
  <c r="J87" i="101"/>
  <c r="I87" i="101" s="1"/>
  <c r="N92" i="101"/>
  <c r="N88" i="101" s="1"/>
  <c r="J88" i="101" s="1"/>
  <c r="I88" i="101" s="1"/>
  <c r="J93" i="101"/>
  <c r="I93" i="101" s="1"/>
  <c r="J94" i="101"/>
  <c r="I94" i="101" s="1"/>
  <c r="J95" i="101"/>
  <c r="I95" i="101" s="1"/>
  <c r="J96" i="101"/>
  <c r="I96" i="101" s="1"/>
  <c r="N97" i="101"/>
  <c r="R97" i="101"/>
  <c r="J100" i="101"/>
  <c r="I100" i="101" s="1"/>
  <c r="N101" i="101"/>
  <c r="R101" i="101"/>
  <c r="J104" i="101"/>
  <c r="I104" i="101" s="1"/>
  <c r="J105" i="101"/>
  <c r="I105" i="101" s="1"/>
  <c r="J106" i="101"/>
  <c r="I106" i="101" s="1"/>
  <c r="J107" i="101"/>
  <c r="I107" i="101" s="1"/>
  <c r="J108" i="101"/>
  <c r="I108" i="101" s="1"/>
  <c r="J109" i="101"/>
  <c r="I109" i="101" s="1"/>
  <c r="J110" i="101"/>
  <c r="I110" i="101" s="1"/>
  <c r="J115" i="101"/>
  <c r="I115" i="101" s="1"/>
  <c r="W115" i="101"/>
  <c r="X115" i="101"/>
  <c r="J116" i="101"/>
  <c r="I116" i="101" s="1"/>
  <c r="J117" i="101"/>
  <c r="I117" i="101" s="1"/>
  <c r="J118" i="101"/>
  <c r="I118" i="101" s="1"/>
  <c r="J119" i="101"/>
  <c r="I119" i="101" s="1"/>
  <c r="J120" i="101"/>
  <c r="I120" i="101" s="1"/>
  <c r="R124" i="101"/>
  <c r="W124" i="101"/>
  <c r="X124" i="101"/>
  <c r="N124" i="101"/>
  <c r="Q128" i="101"/>
  <c r="AL59" i="101" s="1"/>
  <c r="J132" i="101"/>
  <c r="I132" i="101" s="1"/>
  <c r="J133" i="101"/>
  <c r="I133" i="101" s="1"/>
  <c r="J134" i="101"/>
  <c r="I134" i="101" s="1"/>
  <c r="J135" i="101"/>
  <c r="I135" i="101" s="1"/>
  <c r="J136" i="101"/>
  <c r="I136" i="101" s="1"/>
  <c r="J137" i="101"/>
  <c r="I137" i="101" s="1"/>
  <c r="J138" i="101"/>
  <c r="I138" i="101" s="1"/>
  <c r="J139" i="101"/>
  <c r="I139" i="101" s="1"/>
  <c r="J140" i="101"/>
  <c r="I140" i="101" s="1"/>
  <c r="J141" i="101"/>
  <c r="I141" i="101" s="1"/>
  <c r="J142" i="101"/>
  <c r="I142" i="101" s="1"/>
  <c r="J143" i="101"/>
  <c r="I143" i="101" s="1"/>
  <c r="N144" i="101"/>
  <c r="W144" i="101"/>
  <c r="X144" i="101"/>
  <c r="R146" i="101"/>
  <c r="R144" i="101" s="1"/>
  <c r="J147" i="101"/>
  <c r="I147" i="101" s="1"/>
  <c r="N151" i="101"/>
  <c r="N148" i="101" s="1"/>
  <c r="J152" i="101"/>
  <c r="I152" i="101" s="1"/>
  <c r="J153" i="101"/>
  <c r="I153" i="101" s="1"/>
  <c r="J154" i="101"/>
  <c r="I154" i="101" s="1"/>
  <c r="J155" i="101"/>
  <c r="I155" i="101" s="1"/>
  <c r="Q156" i="101"/>
  <c r="N158" i="101"/>
  <c r="N156" i="101" s="1"/>
  <c r="Q159" i="101"/>
  <c r="Q16" i="101"/>
  <c r="R159" i="101"/>
  <c r="R16" i="101"/>
  <c r="J162" i="101"/>
  <c r="I162" i="101" s="1"/>
  <c r="J163" i="101"/>
  <c r="I163" i="101" s="1"/>
  <c r="J164" i="101"/>
  <c r="I164" i="101" s="1"/>
  <c r="J165" i="101"/>
  <c r="I165" i="101" s="1"/>
  <c r="J166" i="101"/>
  <c r="I166" i="101" s="1"/>
  <c r="J167" i="101"/>
  <c r="I167" i="101" s="1"/>
  <c r="W168" i="101"/>
  <c r="X168" i="101"/>
  <c r="J172" i="101"/>
  <c r="I172" i="101" s="1"/>
  <c r="J173" i="101"/>
  <c r="I173" i="101" s="1"/>
  <c r="J174" i="101"/>
  <c r="I174" i="101" s="1"/>
  <c r="J175" i="101"/>
  <c r="I175" i="101" s="1"/>
  <c r="J176" i="101"/>
  <c r="Q179" i="101"/>
  <c r="R179" i="101"/>
  <c r="J182" i="101"/>
  <c r="I182" i="101" s="1"/>
  <c r="J183" i="101"/>
  <c r="I183" i="101" s="1"/>
  <c r="W183" i="101"/>
  <c r="X183" i="101"/>
  <c r="J185" i="101"/>
  <c r="I185" i="101" s="1"/>
  <c r="N187" i="101"/>
  <c r="R187" i="101"/>
  <c r="W187" i="101"/>
  <c r="X187" i="101"/>
  <c r="J191" i="101"/>
  <c r="I191" i="101" s="1"/>
  <c r="J192" i="101"/>
  <c r="I192" i="101" s="1"/>
  <c r="J195" i="101"/>
  <c r="I195" i="101" s="1"/>
  <c r="J196" i="101"/>
  <c r="I196" i="101" s="1"/>
  <c r="J197" i="101"/>
  <c r="I197" i="101" s="1"/>
  <c r="J199" i="101"/>
  <c r="I199" i="101" s="1"/>
  <c r="J200" i="101"/>
  <c r="I200" i="101" s="1"/>
  <c r="J201" i="101"/>
  <c r="I201" i="101" s="1"/>
  <c r="W201" i="101"/>
  <c r="X201" i="101"/>
  <c r="J205" i="101"/>
  <c r="I205" i="101" s="1"/>
  <c r="W205" i="101"/>
  <c r="X205" i="101"/>
  <c r="J206" i="101"/>
  <c r="I206" i="101" s="1"/>
  <c r="Q207" i="101"/>
  <c r="W207" i="101"/>
  <c r="X207" i="101"/>
  <c r="N209" i="101"/>
  <c r="N207" i="101" s="1"/>
  <c r="J210" i="101"/>
  <c r="I210" i="101" s="1"/>
  <c r="W210" i="101"/>
  <c r="X210" i="101"/>
  <c r="J211" i="101"/>
  <c r="I211" i="101" s="1"/>
  <c r="J212" i="101"/>
  <c r="I212" i="101" s="1"/>
  <c r="J213" i="101"/>
  <c r="I213" i="101" s="1"/>
  <c r="J214" i="101"/>
  <c r="I214" i="101" s="1"/>
  <c r="J215" i="101"/>
  <c r="I215" i="101" s="1"/>
  <c r="N216" i="101"/>
  <c r="R216" i="101"/>
  <c r="J219" i="101"/>
  <c r="I219" i="101" s="1"/>
  <c r="J220" i="101"/>
  <c r="I220" i="101" s="1"/>
  <c r="J221" i="101"/>
  <c r="I221" i="101" s="1"/>
  <c r="J222" i="101"/>
  <c r="I222" i="101" s="1"/>
  <c r="J223" i="101"/>
  <c r="I223" i="101" s="1"/>
  <c r="J224" i="101"/>
  <c r="I224" i="101" s="1"/>
  <c r="J225" i="101"/>
  <c r="I225" i="101" s="1"/>
  <c r="N227" i="101"/>
  <c r="Q227" i="101"/>
  <c r="W227" i="101"/>
  <c r="X227" i="101"/>
  <c r="N234" i="101"/>
  <c r="R234" i="101"/>
  <c r="Q237" i="101"/>
  <c r="R237" i="101"/>
  <c r="J240" i="101"/>
  <c r="I240" i="101" s="1"/>
  <c r="W240" i="101"/>
  <c r="X240" i="101"/>
  <c r="J241" i="101"/>
  <c r="I241" i="101" s="1"/>
  <c r="J242" i="101"/>
  <c r="I242" i="101" s="1"/>
  <c r="J243" i="101"/>
  <c r="I243" i="101" s="1"/>
  <c r="J244" i="101"/>
  <c r="I244" i="101" s="1"/>
  <c r="J245" i="101"/>
  <c r="I245" i="101" s="1"/>
  <c r="J246" i="101"/>
  <c r="I246" i="101" s="1"/>
  <c r="J248" i="101"/>
  <c r="I248" i="101" s="1"/>
  <c r="J249" i="101"/>
  <c r="I249" i="101" s="1"/>
  <c r="W251" i="101"/>
  <c r="X251" i="101"/>
  <c r="J255" i="101"/>
  <c r="I255" i="101" s="1"/>
  <c r="J257" i="101"/>
  <c r="I257" i="101" s="1"/>
  <c r="J258" i="101"/>
  <c r="I258" i="101" s="1"/>
  <c r="N259" i="101"/>
  <c r="Q259" i="101"/>
  <c r="W259" i="101"/>
  <c r="X259" i="101"/>
  <c r="J262" i="101"/>
  <c r="I262" i="101" s="1"/>
  <c r="J263" i="101"/>
  <c r="I263" i="101" s="1"/>
  <c r="J264" i="101"/>
  <c r="I264" i="101" s="1"/>
  <c r="J265" i="101"/>
  <c r="I265" i="101" s="1"/>
  <c r="N266" i="101"/>
  <c r="Q266" i="101"/>
  <c r="W266" i="101"/>
  <c r="X266" i="101"/>
  <c r="J269" i="101"/>
  <c r="I269" i="101" s="1"/>
  <c r="J270" i="101"/>
  <c r="I270" i="101" s="1"/>
  <c r="J271" i="101"/>
  <c r="I271" i="101" s="1"/>
  <c r="N272" i="101"/>
  <c r="Q272" i="101"/>
  <c r="Q24" i="101" s="1"/>
  <c r="R272" i="101"/>
  <c r="J276" i="101"/>
  <c r="I276" i="101" s="1"/>
  <c r="J277" i="101"/>
  <c r="I277" i="101" s="1"/>
  <c r="J278" i="101"/>
  <c r="I278" i="101" s="1"/>
  <c r="J279" i="101"/>
  <c r="I279" i="101" s="1"/>
  <c r="S10" i="21"/>
  <c r="P27" i="1" s="1"/>
  <c r="U10" i="21"/>
  <c r="V10" i="21"/>
  <c r="S27" i="1" s="1"/>
  <c r="W10" i="21"/>
  <c r="X10" i="21"/>
  <c r="U27" i="1" s="1"/>
  <c r="Y10" i="21"/>
  <c r="Z10" i="21"/>
  <c r="W27" i="1" s="1"/>
  <c r="AB10" i="21"/>
  <c r="K12" i="21"/>
  <c r="O12" i="21"/>
  <c r="P12" i="21"/>
  <c r="R12" i="21"/>
  <c r="AG15" i="21" s="1"/>
  <c r="K13" i="21"/>
  <c r="O13" i="21"/>
  <c r="P13" i="21"/>
  <c r="K15" i="21"/>
  <c r="L15" i="21"/>
  <c r="M15" i="21"/>
  <c r="O15" i="21"/>
  <c r="P15" i="21"/>
  <c r="K16" i="21"/>
  <c r="L16" i="21"/>
  <c r="M16" i="21"/>
  <c r="N16" i="21"/>
  <c r="O16" i="21"/>
  <c r="P16" i="21"/>
  <c r="K17" i="21"/>
  <c r="M17" i="21"/>
  <c r="N17" i="21"/>
  <c r="O17" i="21"/>
  <c r="P17" i="21"/>
  <c r="Q17" i="21"/>
  <c r="K18" i="21"/>
  <c r="L18" i="21"/>
  <c r="M18" i="21"/>
  <c r="N18" i="21"/>
  <c r="O18" i="21"/>
  <c r="P18" i="21"/>
  <c r="Q18" i="21"/>
  <c r="R18" i="21"/>
  <c r="K19" i="21"/>
  <c r="O19" i="21"/>
  <c r="P19" i="21"/>
  <c r="K20" i="21"/>
  <c r="O20" i="21"/>
  <c r="P20" i="21"/>
  <c r="D22" i="21"/>
  <c r="K22" i="21"/>
  <c r="L22" i="21"/>
  <c r="M22" i="21"/>
  <c r="N22" i="21"/>
  <c r="O22" i="21"/>
  <c r="P22" i="21"/>
  <c r="Q22" i="21"/>
  <c r="R22" i="21"/>
  <c r="D23" i="21"/>
  <c r="K23" i="21"/>
  <c r="L23" i="21"/>
  <c r="M23" i="21"/>
  <c r="N23" i="21"/>
  <c r="O23" i="21"/>
  <c r="P23" i="21"/>
  <c r="Q23" i="21"/>
  <c r="R23" i="21"/>
  <c r="D24" i="21"/>
  <c r="K24" i="21"/>
  <c r="L24" i="21"/>
  <c r="M24" i="21"/>
  <c r="O24" i="21"/>
  <c r="P24" i="21"/>
  <c r="D25" i="21"/>
  <c r="K25" i="21"/>
  <c r="L25" i="21"/>
  <c r="M25" i="21"/>
  <c r="N25" i="21"/>
  <c r="O25" i="21"/>
  <c r="P25" i="21"/>
  <c r="Q25" i="21"/>
  <c r="R25" i="21"/>
  <c r="D26" i="21"/>
  <c r="K26" i="21"/>
  <c r="L26" i="21"/>
  <c r="M26" i="21"/>
  <c r="N26" i="21"/>
  <c r="O26" i="21"/>
  <c r="P26" i="21"/>
  <c r="Q26" i="21"/>
  <c r="R26" i="21"/>
  <c r="K28" i="21"/>
  <c r="O28" i="21"/>
  <c r="P28" i="21"/>
  <c r="AB28" i="21"/>
  <c r="T30" i="21"/>
  <c r="J38" i="21"/>
  <c r="I38" i="21" s="1"/>
  <c r="J39" i="21"/>
  <c r="I39" i="21" s="1"/>
  <c r="J40" i="21"/>
  <c r="I40" i="21" s="1"/>
  <c r="N41" i="21"/>
  <c r="Q41" i="21"/>
  <c r="J46" i="21"/>
  <c r="J47" i="21"/>
  <c r="I47" i="21" s="1"/>
  <c r="J48" i="21"/>
  <c r="I48" i="21" s="1"/>
  <c r="J49" i="21"/>
  <c r="I49" i="21" s="1"/>
  <c r="J50" i="21"/>
  <c r="I50" i="21" s="1"/>
  <c r="J51" i="21"/>
  <c r="I51" i="21" s="1"/>
  <c r="J52" i="21"/>
  <c r="I52" i="21" s="1"/>
  <c r="J53" i="21"/>
  <c r="N54" i="21"/>
  <c r="Q54" i="21"/>
  <c r="J64" i="21"/>
  <c r="I64" i="21" s="1"/>
  <c r="J65" i="21"/>
  <c r="I65" i="21" s="1"/>
  <c r="J66" i="21"/>
  <c r="I66" i="21" s="1"/>
  <c r="J67" i="21"/>
  <c r="I67" i="21" s="1"/>
  <c r="M68" i="21"/>
  <c r="N68" i="21"/>
  <c r="Q68" i="21"/>
  <c r="J74" i="21"/>
  <c r="I74" i="21" s="1"/>
  <c r="J75" i="21"/>
  <c r="I75" i="21" s="1"/>
  <c r="J76" i="21"/>
  <c r="J77" i="21"/>
  <c r="I77" i="21" s="1"/>
  <c r="J85" i="21"/>
  <c r="I85" i="21" s="1"/>
  <c r="J87" i="21"/>
  <c r="J97" i="21"/>
  <c r="I97" i="21" s="1"/>
  <c r="J98" i="21"/>
  <c r="I98" i="21" s="1"/>
  <c r="J99" i="21"/>
  <c r="J100" i="21"/>
  <c r="I100" i="21" s="1"/>
  <c r="J101" i="21"/>
  <c r="I101" i="21" s="1"/>
  <c r="Q102" i="21"/>
  <c r="R104" i="21"/>
  <c r="AL45" i="21" s="1"/>
  <c r="J105" i="21"/>
  <c r="I105" i="21" s="1"/>
  <c r="J106" i="21"/>
  <c r="J107" i="21"/>
  <c r="I107" i="21" s="1"/>
  <c r="J108" i="21"/>
  <c r="J109" i="21"/>
  <c r="I109" i="21" s="1"/>
  <c r="J110" i="21"/>
  <c r="I110" i="21" s="1"/>
  <c r="J111" i="21"/>
  <c r="J112" i="21"/>
  <c r="J113" i="21"/>
  <c r="J332" i="21"/>
  <c r="J114" i="21"/>
  <c r="J115" i="21"/>
  <c r="J118" i="21"/>
  <c r="I118" i="21" s="1"/>
  <c r="J119" i="21"/>
  <c r="I119" i="21" s="1"/>
  <c r="J121" i="21"/>
  <c r="I121" i="21" s="1"/>
  <c r="T122" i="21"/>
  <c r="M124" i="21"/>
  <c r="N125" i="21"/>
  <c r="M126" i="21"/>
  <c r="N127" i="21"/>
  <c r="Q128" i="21"/>
  <c r="N129" i="21"/>
  <c r="Q130" i="21"/>
  <c r="R130" i="21"/>
  <c r="J133" i="21"/>
  <c r="J134" i="21"/>
  <c r="J135" i="21"/>
  <c r="J137" i="21"/>
  <c r="I137" i="21" s="1"/>
  <c r="N138" i="21"/>
  <c r="N24" i="21" s="1"/>
  <c r="Q140" i="21"/>
  <c r="R141" i="21"/>
  <c r="J142" i="21"/>
  <c r="J143" i="21"/>
  <c r="I143" i="21" s="1"/>
  <c r="J144" i="21"/>
  <c r="I144" i="21" s="1"/>
  <c r="J145" i="21"/>
  <c r="I145" i="21" s="1"/>
  <c r="J146" i="21"/>
  <c r="J147" i="21"/>
  <c r="I147" i="21" s="1"/>
  <c r="J148" i="21"/>
  <c r="J149" i="21"/>
  <c r="I149" i="21" s="1"/>
  <c r="M150" i="21"/>
  <c r="N150" i="21"/>
  <c r="Q150" i="21"/>
  <c r="L154" i="21"/>
  <c r="L150" i="21" s="1"/>
  <c r="M157" i="21"/>
  <c r="Q157" i="21"/>
  <c r="J160" i="21"/>
  <c r="I160" i="21" s="1"/>
  <c r="J161" i="21"/>
  <c r="J162" i="21"/>
  <c r="J163" i="21"/>
  <c r="J165" i="21"/>
  <c r="J166" i="21"/>
  <c r="J167" i="21"/>
  <c r="I167" i="21" s="1"/>
  <c r="N169" i="21"/>
  <c r="Q169" i="21"/>
  <c r="R169" i="21"/>
  <c r="T169" i="21"/>
  <c r="Q173" i="21"/>
  <c r="J173" i="21" s="1"/>
  <c r="J176" i="21"/>
  <c r="N177" i="21"/>
  <c r="R177" i="21"/>
  <c r="J180" i="21"/>
  <c r="I180" i="21" s="1"/>
  <c r="J181" i="21"/>
  <c r="I181" i="21" s="1"/>
  <c r="J182" i="21"/>
  <c r="I182" i="21" s="1"/>
  <c r="R185" i="21"/>
  <c r="Q186" i="21"/>
  <c r="N187" i="21"/>
  <c r="Q188" i="21"/>
  <c r="N189" i="21"/>
  <c r="J190" i="21"/>
  <c r="I190" i="21" s="1"/>
  <c r="J192" i="21"/>
  <c r="I192" i="21" s="1"/>
  <c r="J193" i="21"/>
  <c r="I193" i="21" s="1"/>
  <c r="J194" i="21"/>
  <c r="I194" i="21" s="1"/>
  <c r="J195" i="21"/>
  <c r="I195" i="21" s="1"/>
  <c r="J196" i="21"/>
  <c r="I196" i="21" s="1"/>
  <c r="J197" i="21"/>
  <c r="I197" i="21" s="1"/>
  <c r="Q198" i="21"/>
  <c r="J198" i="21" s="1"/>
  <c r="L200" i="21"/>
  <c r="L198" i="21" s="1"/>
  <c r="J202" i="21"/>
  <c r="I202" i="21" s="1"/>
  <c r="J203" i="21"/>
  <c r="I203" i="21" s="1"/>
  <c r="N204" i="21"/>
  <c r="Q207" i="21"/>
  <c r="AL50" i="21" s="1"/>
  <c r="Q204" i="21"/>
  <c r="R208" i="21"/>
  <c r="N210" i="21"/>
  <c r="J211" i="21"/>
  <c r="I211" i="21" s="1"/>
  <c r="M212" i="21"/>
  <c r="Q212" i="21"/>
  <c r="N215" i="21"/>
  <c r="Q215" i="21"/>
  <c r="J218" i="21"/>
  <c r="I218" i="21" s="1"/>
  <c r="J219" i="21"/>
  <c r="J220" i="21"/>
  <c r="I220" i="21" s="1"/>
  <c r="J221" i="21"/>
  <c r="M222" i="21"/>
  <c r="N222" i="21"/>
  <c r="J226" i="21"/>
  <c r="I226" i="21" s="1"/>
  <c r="J227" i="21"/>
  <c r="I227" i="21" s="1"/>
  <c r="J228" i="21"/>
  <c r="J229" i="21"/>
  <c r="I229" i="21" s="1"/>
  <c r="Q230" i="21"/>
  <c r="J230" i="21" s="1"/>
  <c r="J233" i="21"/>
  <c r="J234" i="21"/>
  <c r="J235" i="21"/>
  <c r="N236" i="21"/>
  <c r="R238" i="21"/>
  <c r="R239" i="21"/>
  <c r="J240" i="21"/>
  <c r="J241" i="21"/>
  <c r="I241" i="21" s="1"/>
  <c r="J242" i="21"/>
  <c r="N243" i="21"/>
  <c r="Q243" i="21"/>
  <c r="J247" i="21"/>
  <c r="I247" i="21" s="1"/>
  <c r="J248" i="21"/>
  <c r="M249" i="21"/>
  <c r="Q249" i="21"/>
  <c r="R254" i="21"/>
  <c r="R252" i="21" s="1"/>
  <c r="J252" i="21" s="1"/>
  <c r="J255" i="21"/>
  <c r="I255" i="21" s="1"/>
  <c r="J257" i="21"/>
  <c r="I257" i="21" s="1"/>
  <c r="J258" i="21"/>
  <c r="J259" i="21"/>
  <c r="I259" i="21" s="1"/>
  <c r="Q260" i="21"/>
  <c r="R260" i="21"/>
  <c r="J263" i="21"/>
  <c r="I263" i="21" s="1"/>
  <c r="N264" i="21"/>
  <c r="Q266" i="21"/>
  <c r="J267" i="21"/>
  <c r="I267" i="21" s="1"/>
  <c r="N268" i="21"/>
  <c r="Q268" i="21"/>
  <c r="R268" i="21"/>
  <c r="J272" i="21"/>
  <c r="I272" i="21" s="1"/>
  <c r="J273" i="21"/>
  <c r="I273" i="21" s="1"/>
  <c r="J274" i="21"/>
  <c r="R275" i="21"/>
  <c r="T275" i="21"/>
  <c r="T10" i="21" s="1"/>
  <c r="Q27" i="1" s="1"/>
  <c r="N279" i="21"/>
  <c r="Q279" i="21"/>
  <c r="Q282" i="21"/>
  <c r="J282" i="21" s="1"/>
  <c r="J285" i="21"/>
  <c r="I285" i="21" s="1"/>
  <c r="J286" i="21"/>
  <c r="I286" i="21" s="1"/>
  <c r="J287" i="21"/>
  <c r="I287" i="21" s="1"/>
  <c r="J290" i="21"/>
  <c r="I290" i="21" s="1"/>
  <c r="Q291" i="21"/>
  <c r="R291" i="21"/>
  <c r="Q294" i="21"/>
  <c r="R294" i="21"/>
  <c r="N297" i="21"/>
  <c r="Q297" i="21"/>
  <c r="J300" i="21"/>
  <c r="I300" i="21" s="1"/>
  <c r="J301" i="21"/>
  <c r="I301" i="21" s="1"/>
  <c r="J302" i="21"/>
  <c r="J303" i="21"/>
  <c r="I303" i="21" s="1"/>
  <c r="R304" i="21"/>
  <c r="J304" i="21" s="1"/>
  <c r="J307" i="21"/>
  <c r="R310" i="21"/>
  <c r="R308" i="21" s="1"/>
  <c r="J308" i="21" s="1"/>
  <c r="I308" i="21" s="1"/>
  <c r="J311" i="21"/>
  <c r="I311" i="21" s="1"/>
  <c r="R312" i="21"/>
  <c r="J312" i="21" s="1"/>
  <c r="AI30" i="21"/>
  <c r="J327" i="21"/>
  <c r="R328" i="21"/>
  <c r="J328" i="21" s="1"/>
  <c r="L330" i="21"/>
  <c r="L328" i="21" s="1"/>
  <c r="M333" i="21"/>
  <c r="R336" i="21"/>
  <c r="R337" i="21"/>
  <c r="J338" i="21"/>
  <c r="I338" i="21" s="1"/>
  <c r="Q339" i="21"/>
  <c r="R341" i="21"/>
  <c r="R342" i="21"/>
  <c r="J343" i="21"/>
  <c r="I343" i="21" s="1"/>
  <c r="J347" i="21"/>
  <c r="I347" i="21" s="1"/>
  <c r="Q348" i="21"/>
  <c r="R348" i="21"/>
  <c r="J351" i="21"/>
  <c r="I351" i="21" s="1"/>
  <c r="R354" i="21"/>
  <c r="R352" i="21" s="1"/>
  <c r="J352" i="21" s="1"/>
  <c r="I352" i="21" s="1"/>
  <c r="J355" i="21"/>
  <c r="J356" i="21"/>
  <c r="I356" i="21" s="1"/>
  <c r="J357" i="21"/>
  <c r="I357" i="21" s="1"/>
  <c r="J358" i="21"/>
  <c r="I358" i="21" s="1"/>
  <c r="M359" i="21"/>
  <c r="N359" i="21"/>
  <c r="Q359" i="21"/>
  <c r="J363" i="21"/>
  <c r="I363" i="21" s="1"/>
  <c r="J364" i="21"/>
  <c r="N368" i="21"/>
  <c r="AL42" i="21" s="1"/>
  <c r="N369" i="21"/>
  <c r="J379" i="21"/>
  <c r="I379" i="21" s="1"/>
  <c r="J380" i="21"/>
  <c r="I380" i="21" s="1"/>
  <c r="J381" i="21"/>
  <c r="J382" i="21"/>
  <c r="I382" i="21" s="1"/>
  <c r="J383" i="21"/>
  <c r="Q384" i="21"/>
  <c r="R384" i="21"/>
  <c r="J387" i="21"/>
  <c r="I387" i="21" s="1"/>
  <c r="N388" i="21"/>
  <c r="Q388" i="21"/>
  <c r="J391" i="21"/>
  <c r="J392" i="21"/>
  <c r="I392" i="21" s="1"/>
  <c r="J393" i="21"/>
  <c r="I393" i="21" s="1"/>
  <c r="J394" i="21"/>
  <c r="I394" i="21" s="1"/>
  <c r="J396" i="21"/>
  <c r="I396" i="21" s="1"/>
  <c r="J397" i="21"/>
  <c r="I397" i="21" s="1"/>
  <c r="J398" i="21"/>
  <c r="I398" i="21" s="1"/>
  <c r="J399" i="21"/>
  <c r="I399" i="21" s="1"/>
  <c r="J400" i="21"/>
  <c r="I400" i="21" s="1"/>
  <c r="J407" i="21"/>
  <c r="J408" i="21"/>
  <c r="I408" i="21" s="1"/>
  <c r="N409" i="21"/>
  <c r="R409" i="21"/>
  <c r="J412" i="21"/>
  <c r="I412" i="21" s="1"/>
  <c r="J413" i="21"/>
  <c r="I413" i="21" s="1"/>
  <c r="N414" i="21"/>
  <c r="R414" i="21"/>
  <c r="J417" i="21"/>
  <c r="I417" i="21" s="1"/>
  <c r="J418" i="21"/>
  <c r="I418" i="21" s="1"/>
  <c r="J419" i="21"/>
  <c r="I419" i="21" s="1"/>
  <c r="J420" i="21"/>
  <c r="I420" i="21" s="1"/>
  <c r="J421" i="21"/>
  <c r="I421" i="21" s="1"/>
  <c r="J422" i="21"/>
  <c r="I422" i="21" s="1"/>
  <c r="J423" i="21"/>
  <c r="I423" i="21" s="1"/>
  <c r="J424" i="21"/>
  <c r="I424" i="21" s="1"/>
  <c r="J425" i="21"/>
  <c r="I425" i="21" s="1"/>
  <c r="J426" i="21"/>
  <c r="I426" i="21" s="1"/>
  <c r="J428" i="21"/>
  <c r="I428" i="21" s="1"/>
  <c r="J429" i="21"/>
  <c r="I429" i="21" s="1"/>
  <c r="J432" i="21"/>
  <c r="I432" i="21" s="1"/>
  <c r="J78" i="21"/>
  <c r="I78" i="21" s="1"/>
  <c r="J433" i="21"/>
  <c r="I433" i="21" s="1"/>
  <c r="J434" i="21"/>
  <c r="I434" i="21" s="1"/>
  <c r="S10" i="43"/>
  <c r="U10" i="43"/>
  <c r="V10" i="43"/>
  <c r="X10" i="43"/>
  <c r="Y10" i="43"/>
  <c r="Z10" i="43"/>
  <c r="AB10" i="43"/>
  <c r="O12" i="43"/>
  <c r="P12" i="43"/>
  <c r="R12" i="43"/>
  <c r="AG15" i="43" s="1"/>
  <c r="K13" i="43"/>
  <c r="L13" i="43"/>
  <c r="M13" i="43"/>
  <c r="O13" i="43"/>
  <c r="P13" i="43"/>
  <c r="K15" i="43"/>
  <c r="L15" i="43"/>
  <c r="M15" i="43"/>
  <c r="N15" i="43"/>
  <c r="O15" i="43"/>
  <c r="P15" i="43"/>
  <c r="K16" i="43"/>
  <c r="L16" i="43"/>
  <c r="M16" i="43"/>
  <c r="N16" i="43"/>
  <c r="O16" i="43"/>
  <c r="P16" i="43"/>
  <c r="K17" i="43"/>
  <c r="M17" i="43"/>
  <c r="M14" i="43" s="1"/>
  <c r="N17" i="43"/>
  <c r="O17" i="43"/>
  <c r="P17" i="43"/>
  <c r="Q17" i="43"/>
  <c r="K18" i="43"/>
  <c r="L18" i="43"/>
  <c r="M18" i="43"/>
  <c r="N18" i="43"/>
  <c r="O18" i="43"/>
  <c r="P18" i="43"/>
  <c r="Q18" i="43"/>
  <c r="R18" i="43"/>
  <c r="O19" i="43"/>
  <c r="P19" i="43"/>
  <c r="R19" i="43"/>
  <c r="K20" i="43"/>
  <c r="M20" i="43"/>
  <c r="O20" i="43"/>
  <c r="P20" i="43"/>
  <c r="D22" i="43"/>
  <c r="K22" i="43"/>
  <c r="L22" i="43"/>
  <c r="M22" i="43"/>
  <c r="N22" i="43"/>
  <c r="O22" i="43"/>
  <c r="P22" i="43"/>
  <c r="Q22" i="43"/>
  <c r="R22" i="43"/>
  <c r="D23" i="43"/>
  <c r="K23" i="43"/>
  <c r="L23" i="43"/>
  <c r="M23" i="43"/>
  <c r="N23" i="43"/>
  <c r="O23" i="43"/>
  <c r="P23" i="43"/>
  <c r="Q23" i="43"/>
  <c r="R23" i="43"/>
  <c r="D24" i="43"/>
  <c r="K24" i="43"/>
  <c r="L24" i="43"/>
  <c r="M24" i="43"/>
  <c r="N24" i="43"/>
  <c r="O24" i="43"/>
  <c r="P24" i="43"/>
  <c r="D25" i="43"/>
  <c r="K25" i="43"/>
  <c r="L25" i="43"/>
  <c r="M25" i="43"/>
  <c r="N25" i="43"/>
  <c r="O25" i="43"/>
  <c r="P25" i="43"/>
  <c r="Q25" i="43"/>
  <c r="R25" i="43"/>
  <c r="D26" i="43"/>
  <c r="K26" i="43"/>
  <c r="L26" i="43"/>
  <c r="M26" i="43"/>
  <c r="N26" i="43"/>
  <c r="O26" i="43"/>
  <c r="P26" i="43"/>
  <c r="Q26" i="43"/>
  <c r="R26" i="43"/>
  <c r="O28" i="43"/>
  <c r="P28" i="43"/>
  <c r="AB28" i="43"/>
  <c r="K30" i="43"/>
  <c r="N33" i="43"/>
  <c r="N30" i="43" s="1"/>
  <c r="Q34" i="43"/>
  <c r="J35" i="43"/>
  <c r="I35" i="43" s="1"/>
  <c r="AE35" i="43"/>
  <c r="J36" i="43"/>
  <c r="I36" i="43" s="1"/>
  <c r="AE36" i="43"/>
  <c r="J37" i="43"/>
  <c r="I37" i="43" s="1"/>
  <c r="AE37" i="43"/>
  <c r="J38" i="43"/>
  <c r="I38" i="43" s="1"/>
  <c r="AE38" i="43"/>
  <c r="K39" i="43"/>
  <c r="AE39" i="43"/>
  <c r="AE40" i="43"/>
  <c r="AE41" i="43"/>
  <c r="N42" i="43"/>
  <c r="AE42" i="43"/>
  <c r="N43" i="43"/>
  <c r="AE43" i="43"/>
  <c r="Q44" i="43"/>
  <c r="Q39" i="43" s="1"/>
  <c r="AE44" i="43"/>
  <c r="J45" i="43"/>
  <c r="I45" i="43" s="1"/>
  <c r="AE45" i="43"/>
  <c r="J46" i="43"/>
  <c r="I46" i="43" s="1"/>
  <c r="AE46" i="43"/>
  <c r="J47" i="43"/>
  <c r="I47" i="43" s="1"/>
  <c r="AE47" i="43"/>
  <c r="N48" i="43"/>
  <c r="Q50" i="43"/>
  <c r="Q48" i="43" s="1"/>
  <c r="J51" i="43"/>
  <c r="I51" i="43" s="1"/>
  <c r="AE51" i="43"/>
  <c r="J52" i="43"/>
  <c r="I52" i="43" s="1"/>
  <c r="AE52" i="43"/>
  <c r="J53" i="43"/>
  <c r="I53" i="43" s="1"/>
  <c r="AE53" i="43"/>
  <c r="J54" i="43"/>
  <c r="I54" i="43" s="1"/>
  <c r="AE54" i="43"/>
  <c r="J55" i="43"/>
  <c r="I55" i="43" s="1"/>
  <c r="AE55" i="43"/>
  <c r="J56" i="43"/>
  <c r="I56" i="43" s="1"/>
  <c r="AE56" i="43"/>
  <c r="J57" i="43"/>
  <c r="I57" i="43" s="1"/>
  <c r="AE57" i="43"/>
  <c r="J58" i="43"/>
  <c r="I58" i="43" s="1"/>
  <c r="AE58" i="43"/>
  <c r="N59" i="43"/>
  <c r="AE59" i="43"/>
  <c r="AE60" i="43"/>
  <c r="Q61" i="43"/>
  <c r="AE61" i="43"/>
  <c r="R62" i="43"/>
  <c r="R59" i="43" s="1"/>
  <c r="AE62" i="43"/>
  <c r="J63" i="43"/>
  <c r="I63" i="43" s="1"/>
  <c r="AE63" i="43"/>
  <c r="J64" i="43"/>
  <c r="I64" i="43" s="1"/>
  <c r="AE64" i="43"/>
  <c r="Q65" i="43"/>
  <c r="AE65" i="43"/>
  <c r="AE66" i="43"/>
  <c r="R67" i="43"/>
  <c r="R65" i="43" s="1"/>
  <c r="AE67" i="43"/>
  <c r="J68" i="43"/>
  <c r="I68" i="43" s="1"/>
  <c r="AE68" i="43"/>
  <c r="J69" i="43"/>
  <c r="AE69" i="43"/>
  <c r="AE70" i="43"/>
  <c r="AE71" i="43"/>
  <c r="M72" i="43"/>
  <c r="AL35" i="43" s="1"/>
  <c r="AE72" i="43"/>
  <c r="Q73" i="43"/>
  <c r="AE73" i="43"/>
  <c r="N74" i="43"/>
  <c r="AE74" i="43"/>
  <c r="Q75" i="43"/>
  <c r="AE75" i="43"/>
  <c r="N76" i="43"/>
  <c r="AE76" i="43"/>
  <c r="J77" i="43"/>
  <c r="I77" i="43" s="1"/>
  <c r="AE77" i="43"/>
  <c r="J78" i="43"/>
  <c r="I78" i="43" s="1"/>
  <c r="AE78" i="43"/>
  <c r="J79" i="43"/>
  <c r="I79" i="43" s="1"/>
  <c r="AE79" i="43"/>
  <c r="N80" i="43"/>
  <c r="AE80" i="43"/>
  <c r="AE81" i="43"/>
  <c r="Q82" i="43"/>
  <c r="AE82" i="43"/>
  <c r="J83" i="43"/>
  <c r="I83" i="43" s="1"/>
  <c r="AE83" i="43"/>
  <c r="J84" i="43"/>
  <c r="I84" i="43" s="1"/>
  <c r="AE84" i="43"/>
  <c r="AE85" i="43"/>
  <c r="AE86" i="43"/>
  <c r="Q87" i="43"/>
  <c r="AE87" i="43"/>
  <c r="N88" i="43"/>
  <c r="AE88" i="43"/>
  <c r="Q89" i="43"/>
  <c r="AE89" i="43"/>
  <c r="N90" i="43"/>
  <c r="AE90" i="43"/>
  <c r="Q91" i="43"/>
  <c r="AE91" i="43"/>
  <c r="N92" i="43"/>
  <c r="AE92" i="43"/>
  <c r="Q93" i="43"/>
  <c r="AE93" i="43"/>
  <c r="J94" i="43"/>
  <c r="I94" i="43" s="1"/>
  <c r="AE94" i="43"/>
  <c r="J95" i="43"/>
  <c r="I95" i="43" s="1"/>
  <c r="AE95" i="43"/>
  <c r="J96" i="43"/>
  <c r="I96" i="43" s="1"/>
  <c r="AE96" i="43"/>
  <c r="J97" i="43"/>
  <c r="I97" i="43" s="1"/>
  <c r="AE97" i="43"/>
  <c r="J98" i="43"/>
  <c r="I98" i="43" s="1"/>
  <c r="AE98" i="43"/>
  <c r="J99" i="43"/>
  <c r="I99" i="43" s="1"/>
  <c r="AE99" i="43"/>
  <c r="J100" i="43"/>
  <c r="I100" i="43" s="1"/>
  <c r="AE100" i="43"/>
  <c r="J101" i="43"/>
  <c r="I101" i="43" s="1"/>
  <c r="AE101" i="43"/>
  <c r="J102" i="43"/>
  <c r="I102" i="43" s="1"/>
  <c r="AE102" i="43"/>
  <c r="L103" i="43"/>
  <c r="L19" i="43"/>
  <c r="AE103" i="43"/>
  <c r="AE104" i="43"/>
  <c r="AE105" i="43"/>
  <c r="N106" i="43"/>
  <c r="N103" i="43" s="1"/>
  <c r="AE106" i="43"/>
  <c r="Q107" i="43"/>
  <c r="Q103" i="43" s="1"/>
  <c r="AE107" i="43"/>
  <c r="J108" i="43"/>
  <c r="I108" i="43" s="1"/>
  <c r="AE108" i="43"/>
  <c r="AE109" i="43"/>
  <c r="J110" i="43"/>
  <c r="I110" i="43" s="1"/>
  <c r="AE110" i="43"/>
  <c r="J111" i="43"/>
  <c r="I111" i="43" s="1"/>
  <c r="AE111" i="43"/>
  <c r="J112" i="43"/>
  <c r="I112" i="43" s="1"/>
  <c r="AE112" i="43"/>
  <c r="AE113" i="43"/>
  <c r="N114" i="43"/>
  <c r="AE114" i="43"/>
  <c r="AE115" i="43"/>
  <c r="AE116" i="43"/>
  <c r="R117" i="43"/>
  <c r="AE117" i="43"/>
  <c r="J118" i="43"/>
  <c r="I118" i="43" s="1"/>
  <c r="AE118" i="43"/>
  <c r="J119" i="43"/>
  <c r="I119" i="43" s="1"/>
  <c r="AE119" i="43"/>
  <c r="J120" i="43"/>
  <c r="I120" i="43" s="1"/>
  <c r="AE120" i="43"/>
  <c r="J121" i="43"/>
  <c r="I121" i="43" s="1"/>
  <c r="AE121" i="43"/>
  <c r="J122" i="43"/>
  <c r="I122" i="43" s="1"/>
  <c r="AE122" i="43"/>
  <c r="J123" i="43"/>
  <c r="I123" i="43" s="1"/>
  <c r="AE123" i="43"/>
  <c r="T124" i="43"/>
  <c r="T10" i="43" s="1"/>
  <c r="AE124" i="43"/>
  <c r="AE125" i="43"/>
  <c r="Q126" i="43"/>
  <c r="AE126" i="43"/>
  <c r="N127" i="43"/>
  <c r="N124" i="43" s="1"/>
  <c r="AE127" i="43"/>
  <c r="Q128" i="43"/>
  <c r="AE128" i="43"/>
  <c r="J129" i="43"/>
  <c r="I129" i="43" s="1"/>
  <c r="AE129" i="43"/>
  <c r="J130" i="43"/>
  <c r="I130" i="43" s="1"/>
  <c r="AE130" i="43"/>
  <c r="J131" i="43"/>
  <c r="I131" i="43" s="1"/>
  <c r="AE131" i="43"/>
  <c r="J132" i="43"/>
  <c r="I132" i="43" s="1"/>
  <c r="AE132" i="43"/>
  <c r="AE133" i="43"/>
  <c r="AE134" i="43"/>
  <c r="Q135" i="43"/>
  <c r="AE135" i="43"/>
  <c r="N136" i="43"/>
  <c r="AL57" i="43" s="1"/>
  <c r="AE136" i="43"/>
  <c r="Q137" i="43"/>
  <c r="AE137" i="43"/>
  <c r="J138" i="43"/>
  <c r="I138" i="43" s="1"/>
  <c r="AE138" i="43"/>
  <c r="J139" i="43"/>
  <c r="I139" i="43" s="1"/>
  <c r="AE139" i="43"/>
  <c r="J140" i="43"/>
  <c r="I140" i="43" s="1"/>
  <c r="AE140" i="43"/>
  <c r="J141" i="43"/>
  <c r="I141" i="43" s="1"/>
  <c r="AE141" i="43"/>
  <c r="N142" i="43"/>
  <c r="AE142" i="43"/>
  <c r="AE143" i="43"/>
  <c r="Q144" i="43"/>
  <c r="Q142" i="43" s="1"/>
  <c r="AE144" i="43"/>
  <c r="R145" i="43"/>
  <c r="R142" i="43" s="1"/>
  <c r="AE145" i="43"/>
  <c r="J146" i="43"/>
  <c r="I146" i="43" s="1"/>
  <c r="AE146" i="43"/>
  <c r="J147" i="43"/>
  <c r="I147" i="43" s="1"/>
  <c r="AE147" i="43"/>
  <c r="J148" i="43"/>
  <c r="I148" i="43" s="1"/>
  <c r="AE148" i="43"/>
  <c r="J149" i="43"/>
  <c r="I149" i="43" s="1"/>
  <c r="AE149" i="43"/>
  <c r="Q150" i="43"/>
  <c r="AE150" i="43"/>
  <c r="AE151" i="43"/>
  <c r="N152" i="43"/>
  <c r="AE152" i="43"/>
  <c r="J153" i="43"/>
  <c r="I153" i="43" s="1"/>
  <c r="AE153" i="43"/>
  <c r="J154" i="43"/>
  <c r="I154" i="43" s="1"/>
  <c r="AE154" i="43"/>
  <c r="AE155" i="43"/>
  <c r="AE156" i="43"/>
  <c r="L157" i="43"/>
  <c r="L17" i="43" s="1"/>
  <c r="AE157" i="43"/>
  <c r="R158" i="43"/>
  <c r="R155" i="43" s="1"/>
  <c r="J155" i="43" s="1"/>
  <c r="AE158" i="43"/>
  <c r="J159" i="43"/>
  <c r="I159" i="43" s="1"/>
  <c r="AE159" i="43"/>
  <c r="N160" i="43"/>
  <c r="R160" i="43"/>
  <c r="AE160" i="43"/>
  <c r="AE161" i="43"/>
  <c r="AE162" i="43"/>
  <c r="AE163" i="43"/>
  <c r="J164" i="43"/>
  <c r="I164" i="43" s="1"/>
  <c r="AE164" i="43"/>
  <c r="N165" i="43"/>
  <c r="Q165" i="43"/>
  <c r="AE165" i="43"/>
  <c r="AE166" i="43"/>
  <c r="Q167" i="43"/>
  <c r="AE167" i="43"/>
  <c r="N168" i="43"/>
  <c r="AE168" i="43"/>
  <c r="AE169" i="43"/>
  <c r="Q170" i="43"/>
  <c r="Q168" i="43" s="1"/>
  <c r="AE170" i="43"/>
  <c r="R171" i="43"/>
  <c r="AE171" i="43"/>
  <c r="Q172" i="43"/>
  <c r="Q24" i="43" s="1"/>
  <c r="AE172" i="43"/>
  <c r="AE173" i="43"/>
  <c r="R174" i="43"/>
  <c r="R172" i="43" s="1"/>
  <c r="R24" i="43" s="1"/>
  <c r="AE174" i="43"/>
  <c r="J175" i="43"/>
  <c r="I175" i="43" s="1"/>
  <c r="AE175" i="43"/>
  <c r="J176" i="43"/>
  <c r="I176" i="43" s="1"/>
  <c r="AE176" i="43"/>
  <c r="N177" i="43"/>
  <c r="AE177" i="43"/>
  <c r="AE178" i="43"/>
  <c r="R179" i="43"/>
  <c r="R177" i="43" s="1"/>
  <c r="AE179" i="43"/>
  <c r="Q180" i="43"/>
  <c r="Q177" i="43" s="1"/>
  <c r="AE180" i="43"/>
  <c r="J181" i="43"/>
  <c r="I181" i="43" s="1"/>
  <c r="AE181" i="43"/>
  <c r="AE182" i="43"/>
  <c r="J183" i="43"/>
  <c r="I183" i="43" s="1"/>
  <c r="AE183" i="43"/>
  <c r="N184" i="43"/>
  <c r="AE184" i="43"/>
  <c r="AE185" i="43"/>
  <c r="Q186" i="43"/>
  <c r="Q184" i="43" s="1"/>
  <c r="J184" i="43" s="1"/>
  <c r="I184" i="43" s="1"/>
  <c r="AE186" i="43"/>
  <c r="J187" i="43"/>
  <c r="I187" i="43" s="1"/>
  <c r="AE187" i="43"/>
  <c r="Q188" i="43"/>
  <c r="AE188" i="43"/>
  <c r="AE189" i="43"/>
  <c r="R190" i="43"/>
  <c r="R188" i="43" s="1"/>
  <c r="AE190" i="43"/>
  <c r="J191" i="43"/>
  <c r="I191" i="43" s="1"/>
  <c r="AE191" i="43"/>
  <c r="J192" i="43"/>
  <c r="I192" i="43" s="1"/>
  <c r="AE192" i="43"/>
  <c r="J193" i="43"/>
  <c r="I193" i="43" s="1"/>
  <c r="AE193" i="43"/>
  <c r="AE194" i="43"/>
  <c r="AE195" i="43"/>
  <c r="Q196" i="43"/>
  <c r="Q194" i="43" s="1"/>
  <c r="AE196" i="43"/>
  <c r="N197" i="43"/>
  <c r="N194" i="43" s="1"/>
  <c r="AE197" i="43"/>
  <c r="Q198" i="43"/>
  <c r="Q16" i="43"/>
  <c r="AE198" i="43"/>
  <c r="AE199" i="43"/>
  <c r="R200" i="43"/>
  <c r="AI31" i="43" s="1"/>
  <c r="AE200" i="43"/>
  <c r="J201" i="43"/>
  <c r="I201" i="43" s="1"/>
  <c r="AE201" i="43"/>
  <c r="N202" i="43"/>
  <c r="AE202" i="43"/>
  <c r="AE203" i="43"/>
  <c r="Q206" i="43"/>
  <c r="Q202" i="43" s="1"/>
  <c r="AE206" i="43"/>
  <c r="J207" i="43"/>
  <c r="I207" i="43" s="1"/>
  <c r="AE207" i="43"/>
  <c r="J208" i="43"/>
  <c r="I208" i="43" s="1"/>
  <c r="AE208" i="43"/>
  <c r="J209" i="43"/>
  <c r="I209" i="43" s="1"/>
  <c r="AE209" i="43"/>
  <c r="J210" i="43"/>
  <c r="I210" i="43" s="1"/>
  <c r="AE210" i="43"/>
  <c r="J211" i="43"/>
  <c r="I211" i="43" s="1"/>
  <c r="AE211" i="43"/>
  <c r="Q212" i="43"/>
  <c r="AE212" i="43"/>
  <c r="AE213" i="43"/>
  <c r="R214" i="43"/>
  <c r="AE214" i="43"/>
  <c r="R215" i="43"/>
  <c r="R15" i="43" s="1"/>
  <c r="AE215" i="43"/>
  <c r="Q216" i="43"/>
  <c r="AE216" i="43"/>
  <c r="AE217" i="43"/>
  <c r="R218" i="43"/>
  <c r="R216" i="43" s="1"/>
  <c r="AE218" i="43"/>
  <c r="J219" i="43"/>
  <c r="I219" i="43" s="1"/>
  <c r="AE219" i="43"/>
  <c r="J220" i="43"/>
  <c r="I220" i="43" s="1"/>
  <c r="AE220" i="43"/>
  <c r="AE221" i="43"/>
  <c r="J222" i="43"/>
  <c r="I222" i="43" s="1"/>
  <c r="AE222" i="43"/>
  <c r="J223" i="43"/>
  <c r="I223" i="43" s="1"/>
  <c r="AE223" i="43"/>
  <c r="J224" i="43"/>
  <c r="I224" i="43" s="1"/>
  <c r="AE224" i="43"/>
  <c r="J225" i="43"/>
  <c r="I225" i="43" s="1"/>
  <c r="AE225" i="43"/>
  <c r="J226" i="43"/>
  <c r="I226" i="43" s="1"/>
  <c r="AE226" i="43"/>
  <c r="J227" i="43"/>
  <c r="I227" i="43" s="1"/>
  <c r="AE227" i="43"/>
  <c r="AE228" i="43"/>
  <c r="Q229" i="43"/>
  <c r="AE229" i="43"/>
  <c r="AE230" i="43"/>
  <c r="AE231" i="43"/>
  <c r="R232" i="43"/>
  <c r="R229" i="43" s="1"/>
  <c r="AE232" i="43"/>
  <c r="J233" i="43"/>
  <c r="I233" i="43" s="1"/>
  <c r="AE233" i="43"/>
  <c r="J234" i="43"/>
  <c r="I234" i="43" s="1"/>
  <c r="AE234" i="43"/>
  <c r="J235" i="43"/>
  <c r="I235" i="43" s="1"/>
  <c r="AE235" i="43"/>
  <c r="J236" i="43"/>
  <c r="I236" i="43" s="1"/>
  <c r="AE236" i="43"/>
  <c r="J237" i="43"/>
  <c r="I237" i="43" s="1"/>
  <c r="AE237" i="43"/>
  <c r="J238" i="43"/>
  <c r="I238" i="43" s="1"/>
  <c r="AE238" i="43"/>
  <c r="J239" i="43"/>
  <c r="I239" i="43" s="1"/>
  <c r="AE239" i="43"/>
  <c r="J240" i="43"/>
  <c r="I240" i="43" s="1"/>
  <c r="AE240" i="43"/>
  <c r="S10" i="58"/>
  <c r="P25" i="1" s="1"/>
  <c r="T10" i="58"/>
  <c r="U10" i="58"/>
  <c r="R25" i="1" s="1"/>
  <c r="V10" i="58"/>
  <c r="W10" i="58"/>
  <c r="T25" i="1" s="1"/>
  <c r="Y10" i="58"/>
  <c r="Z10" i="58"/>
  <c r="W25" i="1" s="1"/>
  <c r="K12" i="58"/>
  <c r="M12" i="58"/>
  <c r="O12" i="58"/>
  <c r="P12" i="58"/>
  <c r="R12" i="58"/>
  <c r="AG15" i="58" s="1"/>
  <c r="K13" i="58"/>
  <c r="L13" i="58"/>
  <c r="M13" i="58"/>
  <c r="O13" i="58"/>
  <c r="P13" i="58"/>
  <c r="R13" i="58"/>
  <c r="AH15" i="58" s="1"/>
  <c r="K15" i="58"/>
  <c r="L15" i="58"/>
  <c r="M15" i="58"/>
  <c r="O15" i="58"/>
  <c r="P15" i="58"/>
  <c r="K16" i="58"/>
  <c r="L16" i="58"/>
  <c r="M16" i="58"/>
  <c r="O16" i="58"/>
  <c r="P16" i="58"/>
  <c r="Q16" i="58"/>
  <c r="K17" i="58"/>
  <c r="L17" i="58"/>
  <c r="M17" i="58"/>
  <c r="N17" i="58"/>
  <c r="O17" i="58"/>
  <c r="P17" i="58"/>
  <c r="Q17" i="58"/>
  <c r="K18" i="58"/>
  <c r="L18" i="58"/>
  <c r="M18" i="58"/>
  <c r="N18" i="58"/>
  <c r="O18" i="58"/>
  <c r="P18" i="58"/>
  <c r="Q18" i="58"/>
  <c r="R18" i="58"/>
  <c r="K19" i="58"/>
  <c r="L19" i="58"/>
  <c r="M19" i="58"/>
  <c r="O19" i="58"/>
  <c r="P19" i="58"/>
  <c r="K20" i="58"/>
  <c r="L20" i="58"/>
  <c r="M20" i="58"/>
  <c r="O20" i="58"/>
  <c r="P20" i="58"/>
  <c r="D22" i="58"/>
  <c r="K22" i="58"/>
  <c r="L22" i="58"/>
  <c r="M22" i="58"/>
  <c r="N22" i="58"/>
  <c r="O22" i="58"/>
  <c r="P22" i="58"/>
  <c r="Q22" i="58"/>
  <c r="R22" i="58"/>
  <c r="D23" i="58"/>
  <c r="K23" i="58"/>
  <c r="L23" i="58"/>
  <c r="M23" i="58"/>
  <c r="N23" i="58"/>
  <c r="O23" i="58"/>
  <c r="P23" i="58"/>
  <c r="Q23" i="58"/>
  <c r="R23" i="58"/>
  <c r="D24" i="58"/>
  <c r="K24" i="58"/>
  <c r="L24" i="58"/>
  <c r="M24" i="58"/>
  <c r="N24" i="58"/>
  <c r="O24" i="58"/>
  <c r="P24" i="58"/>
  <c r="Q24" i="58"/>
  <c r="R24" i="58"/>
  <c r="D25" i="58"/>
  <c r="K25" i="58"/>
  <c r="L25" i="58"/>
  <c r="M25" i="58"/>
  <c r="N25" i="58"/>
  <c r="O25" i="58"/>
  <c r="P25" i="58"/>
  <c r="Q25" i="58"/>
  <c r="R25" i="58"/>
  <c r="D26" i="58"/>
  <c r="K26" i="58"/>
  <c r="L26" i="58"/>
  <c r="M26" i="58"/>
  <c r="N26" i="58"/>
  <c r="O26" i="58"/>
  <c r="P26" i="58"/>
  <c r="Q26" i="58"/>
  <c r="R26" i="58"/>
  <c r="K28" i="58"/>
  <c r="M28" i="58"/>
  <c r="O28" i="58"/>
  <c r="P28" i="58"/>
  <c r="AB28" i="58"/>
  <c r="N30" i="58"/>
  <c r="Q30" i="58"/>
  <c r="J43" i="58"/>
  <c r="I43" i="58" s="1"/>
  <c r="N46" i="58"/>
  <c r="Q46" i="58"/>
  <c r="J49" i="58"/>
  <c r="I49" i="58" s="1"/>
  <c r="J50" i="58"/>
  <c r="J51" i="58"/>
  <c r="I51" i="58" s="1"/>
  <c r="J52" i="58"/>
  <c r="I52" i="58" s="1"/>
  <c r="J53" i="58"/>
  <c r="I53" i="58" s="1"/>
  <c r="N54" i="58"/>
  <c r="R54" i="58"/>
  <c r="J57" i="58"/>
  <c r="I57" i="58" s="1"/>
  <c r="J58" i="58"/>
  <c r="I58" i="58" s="1"/>
  <c r="J59" i="58"/>
  <c r="I59" i="58" s="1"/>
  <c r="J60" i="58"/>
  <c r="I60" i="58" s="1"/>
  <c r="J61" i="58"/>
  <c r="I61" i="58" s="1"/>
  <c r="J62" i="58"/>
  <c r="I62" i="58" s="1"/>
  <c r="N63" i="58"/>
  <c r="Q63" i="58"/>
  <c r="R63" i="58"/>
  <c r="J67" i="58"/>
  <c r="I67" i="58" s="1"/>
  <c r="J68" i="58"/>
  <c r="I68" i="58" s="1"/>
  <c r="J72" i="58"/>
  <c r="I72" i="58" s="1"/>
  <c r="J73" i="58"/>
  <c r="I73" i="58" s="1"/>
  <c r="J74" i="58"/>
  <c r="I74" i="58" s="1"/>
  <c r="J75" i="58"/>
  <c r="I75" i="58" s="1"/>
  <c r="J76" i="58"/>
  <c r="I76" i="58" s="1"/>
  <c r="J77" i="58"/>
  <c r="I77" i="58" s="1"/>
  <c r="N81" i="58"/>
  <c r="N82" i="58"/>
  <c r="J85" i="58"/>
  <c r="I85" i="58" s="1"/>
  <c r="J86" i="58"/>
  <c r="I86" i="58" s="1"/>
  <c r="J87" i="58"/>
  <c r="I87" i="58" s="1"/>
  <c r="J88" i="58"/>
  <c r="I88" i="58" s="1"/>
  <c r="J89" i="58"/>
  <c r="J92" i="58"/>
  <c r="I92" i="58" s="1"/>
  <c r="J93" i="58"/>
  <c r="I93" i="58" s="1"/>
  <c r="J94" i="58"/>
  <c r="I94" i="58" s="1"/>
  <c r="J95" i="58"/>
  <c r="I95" i="58" s="1"/>
  <c r="J96" i="58"/>
  <c r="I96" i="58" s="1"/>
  <c r="J97" i="58"/>
  <c r="I97" i="58" s="1"/>
  <c r="N98" i="58"/>
  <c r="Q98" i="58"/>
  <c r="R98" i="58"/>
  <c r="J103" i="58"/>
  <c r="I103" i="58" s="1"/>
  <c r="J104" i="58"/>
  <c r="I104" i="58" s="1"/>
  <c r="J105" i="58"/>
  <c r="I105" i="58" s="1"/>
  <c r="N109" i="58"/>
  <c r="N106" i="58" s="1"/>
  <c r="J111" i="58"/>
  <c r="I111" i="58" s="1"/>
  <c r="J112" i="58"/>
  <c r="I112" i="58" s="1"/>
  <c r="J113" i="58"/>
  <c r="I113" i="58" s="1"/>
  <c r="Q15" i="58"/>
  <c r="J123" i="58"/>
  <c r="I123" i="58" s="1"/>
  <c r="N124" i="58"/>
  <c r="X10" i="58"/>
  <c r="U25" i="1" s="1"/>
  <c r="Q124" i="58"/>
  <c r="J129" i="58"/>
  <c r="I129" i="58" s="1"/>
  <c r="J137" i="58"/>
  <c r="I137" i="58" s="1"/>
  <c r="J138" i="58"/>
  <c r="I138" i="58" s="1"/>
  <c r="N139" i="58"/>
  <c r="AL67" i="58"/>
  <c r="AL63" i="58" s="1"/>
  <c r="J144" i="58"/>
  <c r="I144" i="58" s="1"/>
  <c r="J145" i="58"/>
  <c r="I145" i="58" s="1"/>
  <c r="N146" i="58"/>
  <c r="R146" i="58"/>
  <c r="N149" i="58"/>
  <c r="R151" i="58"/>
  <c r="R16" i="58" s="1"/>
  <c r="J152" i="58"/>
  <c r="I152" i="58" s="1"/>
  <c r="J153" i="58"/>
  <c r="I153" i="58" s="1"/>
  <c r="L154" i="58"/>
  <c r="L28" i="58" s="1"/>
  <c r="L12" i="58"/>
  <c r="N154" i="58"/>
  <c r="Q154" i="58"/>
  <c r="J158" i="58"/>
  <c r="I158" i="58" s="1"/>
  <c r="J159" i="58"/>
  <c r="I159" i="58" s="1"/>
  <c r="N160" i="58"/>
  <c r="Q160" i="58"/>
  <c r="R160" i="58"/>
  <c r="Q165" i="58"/>
  <c r="J171" i="58"/>
  <c r="I171" i="58" s="1"/>
  <c r="J172" i="58"/>
  <c r="I172" i="58" s="1"/>
  <c r="J173" i="58"/>
  <c r="I173" i="58" s="1"/>
  <c r="N174" i="58"/>
  <c r="Q174" i="58"/>
  <c r="N177" i="58"/>
  <c r="R177" i="58"/>
  <c r="J180" i="58"/>
  <c r="I180" i="58" s="1"/>
  <c r="J181" i="58"/>
  <c r="I181" i="58" s="1"/>
  <c r="J182" i="58"/>
  <c r="I182" i="58" s="1"/>
  <c r="J187" i="58"/>
  <c r="I187" i="58" s="1"/>
  <c r="J188" i="58"/>
  <c r="I188" i="58" s="1"/>
  <c r="J198" i="58"/>
  <c r="I198" i="58" s="1"/>
  <c r="J201" i="58"/>
  <c r="I201" i="58" s="1"/>
  <c r="J202" i="58"/>
  <c r="I202" i="58" s="1"/>
  <c r="J204" i="58"/>
  <c r="I204" i="58" s="1"/>
  <c r="J205" i="58"/>
  <c r="I205" i="58" s="1"/>
  <c r="J206" i="58"/>
  <c r="I206" i="58" s="1"/>
  <c r="J207" i="58"/>
  <c r="I207" i="58" s="1"/>
  <c r="J208" i="58"/>
  <c r="I208" i="58" s="1"/>
  <c r="J209" i="58"/>
  <c r="I209" i="58" s="1"/>
  <c r="J210" i="58"/>
  <c r="I210" i="58" s="1"/>
  <c r="J211" i="58"/>
  <c r="I211" i="58" s="1"/>
  <c r="J212" i="58"/>
  <c r="I212" i="58" s="1"/>
  <c r="J213" i="58"/>
  <c r="I213" i="58" s="1"/>
  <c r="N217" i="58"/>
  <c r="R217" i="58"/>
  <c r="J220" i="58"/>
  <c r="I220" i="58" s="1"/>
  <c r="J221" i="58"/>
  <c r="I221" i="58" s="1"/>
  <c r="J222" i="58"/>
  <c r="I222" i="58" s="1"/>
  <c r="R229" i="58"/>
  <c r="AJ31" i="58" s="1"/>
  <c r="J230" i="58"/>
  <c r="I230" i="58" s="1"/>
  <c r="J231" i="58"/>
  <c r="I231" i="58" s="1"/>
  <c r="J234" i="58"/>
  <c r="I234" i="58" s="1"/>
  <c r="J238" i="58"/>
  <c r="I238" i="58" s="1"/>
  <c r="J239" i="58"/>
  <c r="I239" i="58" s="1"/>
  <c r="J240" i="58"/>
  <c r="I240" i="58" s="1"/>
  <c r="J241" i="58"/>
  <c r="I241" i="58" s="1"/>
  <c r="N243" i="58"/>
  <c r="R245" i="58"/>
  <c r="R246" i="58"/>
  <c r="R247" i="58"/>
  <c r="J247" i="58" s="1"/>
  <c r="I247" i="58" s="1"/>
  <c r="J250" i="58"/>
  <c r="I250" i="58" s="1"/>
  <c r="J251" i="58"/>
  <c r="I251" i="58" s="1"/>
  <c r="J252" i="58"/>
  <c r="I252" i="58" s="1"/>
  <c r="J253" i="58"/>
  <c r="I253" i="58" s="1"/>
  <c r="J254" i="58"/>
  <c r="I254" i="58" s="1"/>
  <c r="J255" i="58"/>
  <c r="I255" i="58" s="1"/>
  <c r="J257" i="58"/>
  <c r="I257" i="58" s="1"/>
  <c r="J262" i="58"/>
  <c r="I262" i="58" s="1"/>
  <c r="S10" i="62"/>
  <c r="T10" i="62"/>
  <c r="Q24" i="1" s="1"/>
  <c r="U10" i="62"/>
  <c r="V10" i="62"/>
  <c r="S24" i="1" s="1"/>
  <c r="W10" i="62"/>
  <c r="X10" i="62"/>
  <c r="U24" i="1" s="1"/>
  <c r="Y10" i="62"/>
  <c r="Z10" i="62"/>
  <c r="W24" i="1" s="1"/>
  <c r="AB10" i="62"/>
  <c r="M12" i="62"/>
  <c r="O12" i="62"/>
  <c r="P12" i="62"/>
  <c r="R12" i="62"/>
  <c r="AG15" i="62" s="1"/>
  <c r="K13" i="62"/>
  <c r="L13" i="62"/>
  <c r="M13" i="62"/>
  <c r="O13" i="62"/>
  <c r="P13" i="62"/>
  <c r="K15" i="62"/>
  <c r="L15" i="62"/>
  <c r="O15" i="62"/>
  <c r="P15" i="62"/>
  <c r="K16" i="62"/>
  <c r="L16" i="62"/>
  <c r="M16" i="62"/>
  <c r="O16" i="62"/>
  <c r="P16" i="62"/>
  <c r="K17" i="62"/>
  <c r="L17" i="62"/>
  <c r="M17" i="62"/>
  <c r="N17" i="62"/>
  <c r="O17" i="62"/>
  <c r="P17" i="62"/>
  <c r="Q17" i="62"/>
  <c r="R17" i="62"/>
  <c r="L18" i="62"/>
  <c r="M18" i="62"/>
  <c r="O18" i="62"/>
  <c r="P18" i="62"/>
  <c r="Q18" i="62"/>
  <c r="R18" i="62"/>
  <c r="K19" i="62"/>
  <c r="M19" i="62"/>
  <c r="O19" i="62"/>
  <c r="P19" i="62"/>
  <c r="K20" i="62"/>
  <c r="O20" i="62"/>
  <c r="P20" i="62"/>
  <c r="D22" i="62"/>
  <c r="K22" i="62"/>
  <c r="L22" i="62"/>
  <c r="M22" i="62"/>
  <c r="O22" i="62"/>
  <c r="P22" i="62"/>
  <c r="Q22" i="62"/>
  <c r="D23" i="62"/>
  <c r="K23" i="62"/>
  <c r="L23" i="62"/>
  <c r="M23" i="62"/>
  <c r="N23" i="62"/>
  <c r="O23" i="62"/>
  <c r="P23" i="62"/>
  <c r="Q23" i="62"/>
  <c r="R23" i="62"/>
  <c r="D24" i="62"/>
  <c r="K24" i="62"/>
  <c r="L24" i="62"/>
  <c r="M24" i="62"/>
  <c r="O24" i="62"/>
  <c r="P24" i="62"/>
  <c r="Q24" i="62"/>
  <c r="D25" i="62"/>
  <c r="K25" i="62"/>
  <c r="L25" i="62"/>
  <c r="M25" i="62"/>
  <c r="N25" i="62"/>
  <c r="O25" i="62"/>
  <c r="P25" i="62"/>
  <c r="Q25" i="62"/>
  <c r="R25" i="62"/>
  <c r="D26" i="62"/>
  <c r="K26" i="62"/>
  <c r="L26" i="62"/>
  <c r="M26" i="62"/>
  <c r="N26" i="62"/>
  <c r="O26" i="62"/>
  <c r="P26" i="62"/>
  <c r="Q26" i="62"/>
  <c r="R26" i="62"/>
  <c r="K28" i="62"/>
  <c r="O28" i="62"/>
  <c r="P28" i="62"/>
  <c r="AB28" i="62"/>
  <c r="N30" i="62"/>
  <c r="J31" i="62"/>
  <c r="J32" i="62"/>
  <c r="I32" i="62" s="1"/>
  <c r="J33" i="62"/>
  <c r="I33" i="62" s="1"/>
  <c r="J34" i="62"/>
  <c r="I34" i="62" s="1"/>
  <c r="J35" i="62"/>
  <c r="J36" i="62"/>
  <c r="I36" i="62" s="1"/>
  <c r="N40" i="62"/>
  <c r="Q42" i="62"/>
  <c r="R43" i="62"/>
  <c r="J44" i="62"/>
  <c r="I44" i="62" s="1"/>
  <c r="N45" i="62"/>
  <c r="Q47" i="62"/>
  <c r="Q48" i="62"/>
  <c r="J49" i="62"/>
  <c r="I49" i="62" s="1"/>
  <c r="J50" i="62"/>
  <c r="I50" i="62" s="1"/>
  <c r="Q53" i="62"/>
  <c r="J54" i="62"/>
  <c r="J55" i="62"/>
  <c r="I55" i="62" s="1"/>
  <c r="N56" i="62"/>
  <c r="Q58" i="62"/>
  <c r="Q56" i="62" s="1"/>
  <c r="J59" i="62"/>
  <c r="I59" i="62" s="1"/>
  <c r="J60" i="62"/>
  <c r="I60" i="62" s="1"/>
  <c r="J61" i="62"/>
  <c r="I61" i="62" s="1"/>
  <c r="J62" i="62"/>
  <c r="I62" i="62" s="1"/>
  <c r="J63" i="62"/>
  <c r="I63" i="62" s="1"/>
  <c r="J64" i="62"/>
  <c r="I64" i="62" s="1"/>
  <c r="J65" i="62"/>
  <c r="I65" i="62" s="1"/>
  <c r="J66" i="62"/>
  <c r="I66" i="62" s="1"/>
  <c r="Q69" i="62"/>
  <c r="N70" i="62"/>
  <c r="Q71" i="62"/>
  <c r="Q72" i="62"/>
  <c r="R74" i="62"/>
  <c r="J75" i="62"/>
  <c r="I75" i="62" s="1"/>
  <c r="J76" i="62"/>
  <c r="I76" i="62" s="1"/>
  <c r="J77" i="62"/>
  <c r="I77" i="62" s="1"/>
  <c r="J78" i="62"/>
  <c r="I78" i="62" s="1"/>
  <c r="N79" i="62"/>
  <c r="Q79" i="62"/>
  <c r="Q85" i="62"/>
  <c r="J85" i="62" s="1"/>
  <c r="J88" i="62"/>
  <c r="I88" i="62" s="1"/>
  <c r="J89" i="62"/>
  <c r="I89" i="62" s="1"/>
  <c r="N90" i="62"/>
  <c r="R92" i="62"/>
  <c r="Q95" i="62"/>
  <c r="Q93" i="62" s="1"/>
  <c r="J98" i="62"/>
  <c r="I98" i="62" s="1"/>
  <c r="J99" i="62"/>
  <c r="I99" i="62" s="1"/>
  <c r="J100" i="62"/>
  <c r="I100" i="62" s="1"/>
  <c r="J101" i="62"/>
  <c r="I101" i="62" s="1"/>
  <c r="Q104" i="62"/>
  <c r="Q102" i="62" s="1"/>
  <c r="N105" i="62"/>
  <c r="N102" i="62" s="1"/>
  <c r="J102" i="62" s="1"/>
  <c r="I102" i="62" s="1"/>
  <c r="J106" i="62"/>
  <c r="I106" i="62" s="1"/>
  <c r="J107" i="62"/>
  <c r="N108" i="62"/>
  <c r="Q108" i="62"/>
  <c r="Q110" i="62"/>
  <c r="J112" i="62"/>
  <c r="J113" i="62"/>
  <c r="J114" i="62"/>
  <c r="I114" i="62" s="1"/>
  <c r="J115" i="62"/>
  <c r="I115" i="62" s="1"/>
  <c r="N116" i="62"/>
  <c r="R116" i="62"/>
  <c r="N119" i="62"/>
  <c r="Q121" i="62"/>
  <c r="Q119" i="62"/>
  <c r="J122" i="62"/>
  <c r="I122" i="62" s="1"/>
  <c r="J123" i="62"/>
  <c r="J124" i="62"/>
  <c r="J125" i="62"/>
  <c r="Q128" i="62"/>
  <c r="N129" i="62"/>
  <c r="Q130" i="62"/>
  <c r="N131" i="62"/>
  <c r="Q132" i="62"/>
  <c r="Q133" i="62"/>
  <c r="Q134" i="62"/>
  <c r="R136" i="62"/>
  <c r="R134" i="62" s="1"/>
  <c r="I137" i="62"/>
  <c r="J138" i="62"/>
  <c r="I138" i="62" s="1"/>
  <c r="Q139" i="62"/>
  <c r="N139" i="62"/>
  <c r="J143" i="62"/>
  <c r="I143" i="62" s="1"/>
  <c r="J144" i="62"/>
  <c r="I144" i="62" s="1"/>
  <c r="Q147" i="62"/>
  <c r="Q145" i="62" s="1"/>
  <c r="N148" i="62"/>
  <c r="N145" i="62" s="1"/>
  <c r="Q151" i="62"/>
  <c r="Q149" i="62" s="1"/>
  <c r="J149" i="62" s="1"/>
  <c r="I149" i="62" s="1"/>
  <c r="J152" i="62"/>
  <c r="I152" i="62" s="1"/>
  <c r="Q153" i="62"/>
  <c r="R153" i="62"/>
  <c r="J156" i="62"/>
  <c r="I156" i="62" s="1"/>
  <c r="J157" i="62"/>
  <c r="J158" i="62"/>
  <c r="I158" i="62" s="1"/>
  <c r="R159" i="62"/>
  <c r="Q161" i="62"/>
  <c r="Q162" i="62"/>
  <c r="Q163" i="62"/>
  <c r="N166" i="62"/>
  <c r="Q166" i="62"/>
  <c r="R166" i="62"/>
  <c r="J170" i="62"/>
  <c r="I170" i="62" s="1"/>
  <c r="J171" i="62"/>
  <c r="I171" i="62" s="1"/>
  <c r="J172" i="62"/>
  <c r="I172" i="62" s="1"/>
  <c r="J173" i="62"/>
  <c r="I173" i="62" s="1"/>
  <c r="J174" i="62"/>
  <c r="Q177" i="62"/>
  <c r="Q178" i="62"/>
  <c r="N179" i="62"/>
  <c r="L180" i="62"/>
  <c r="L175" i="62" s="1"/>
  <c r="N181" i="62"/>
  <c r="Q182" i="62"/>
  <c r="Q186" i="62"/>
  <c r="Q183" i="62" s="1"/>
  <c r="N187" i="62"/>
  <c r="N188" i="62"/>
  <c r="J189" i="62"/>
  <c r="I189" i="62" s="1"/>
  <c r="J190" i="62"/>
  <c r="I190" i="62" s="1"/>
  <c r="Q191" i="62"/>
  <c r="N191" i="62"/>
  <c r="J199" i="62"/>
  <c r="Q200" i="62"/>
  <c r="R200" i="62"/>
  <c r="J203" i="62"/>
  <c r="I203" i="62" s="1"/>
  <c r="J204" i="62"/>
  <c r="I204" i="62" s="1"/>
  <c r="Q207" i="62"/>
  <c r="Q205" i="62" s="1"/>
  <c r="N208" i="62"/>
  <c r="J209" i="62"/>
  <c r="I209" i="62" s="1"/>
  <c r="J210" i="62"/>
  <c r="I210" i="62" s="1"/>
  <c r="N211" i="62"/>
  <c r="Q213" i="62"/>
  <c r="Q211" i="62" s="1"/>
  <c r="L216" i="62"/>
  <c r="N217" i="62"/>
  <c r="Q218" i="62"/>
  <c r="N219" i="62"/>
  <c r="Q221" i="62"/>
  <c r="Q214" i="62" s="1"/>
  <c r="J222" i="62"/>
  <c r="I222" i="62" s="1"/>
  <c r="J223" i="62"/>
  <c r="I223" i="62" s="1"/>
  <c r="N226" i="62"/>
  <c r="Q227" i="62"/>
  <c r="Q228" i="62"/>
  <c r="Q229" i="62"/>
  <c r="R231" i="62"/>
  <c r="M232" i="62"/>
  <c r="AL68" i="62" s="1"/>
  <c r="R233" i="62"/>
  <c r="N234" i="62"/>
  <c r="N235" i="62"/>
  <c r="J236" i="62"/>
  <c r="I236" i="62" s="1"/>
  <c r="J237" i="62"/>
  <c r="I237" i="62" s="1"/>
  <c r="N238" i="62"/>
  <c r="R240" i="62"/>
  <c r="R238" i="62" s="1"/>
  <c r="J241" i="62"/>
  <c r="N242" i="62"/>
  <c r="R242" i="62"/>
  <c r="J245" i="62"/>
  <c r="I245" i="62" s="1"/>
  <c r="Q248" i="62"/>
  <c r="Q249" i="62"/>
  <c r="R250" i="62"/>
  <c r="R251" i="62"/>
  <c r="Q252" i="62"/>
  <c r="R253" i="62"/>
  <c r="Q254" i="62"/>
  <c r="N255" i="62"/>
  <c r="N246" i="62" s="1"/>
  <c r="J256" i="62"/>
  <c r="I256" i="62" s="1"/>
  <c r="J257" i="62"/>
  <c r="I257" i="62" s="1"/>
  <c r="J258" i="62"/>
  <c r="I258" i="62" s="1"/>
  <c r="R263" i="62"/>
  <c r="R259" i="62" s="1"/>
  <c r="J259" i="62" s="1"/>
  <c r="I259" i="62" s="1"/>
  <c r="Q264" i="62"/>
  <c r="R264" i="62"/>
  <c r="J267" i="62"/>
  <c r="I267" i="62" s="1"/>
  <c r="J270" i="62"/>
  <c r="I270" i="62" s="1"/>
  <c r="J271" i="62"/>
  <c r="I271" i="62" s="1"/>
  <c r="J272" i="62"/>
  <c r="I272" i="62" s="1"/>
  <c r="J274" i="62"/>
  <c r="I274" i="62" s="1"/>
  <c r="N277" i="62"/>
  <c r="N275" i="62" s="1"/>
  <c r="J275" i="62" s="1"/>
  <c r="I275" i="62" s="1"/>
  <c r="J278" i="62"/>
  <c r="I278" i="62" s="1"/>
  <c r="N279" i="62"/>
  <c r="R281" i="62"/>
  <c r="R279" i="62" s="1"/>
  <c r="J282" i="62"/>
  <c r="I282" i="62" s="1"/>
  <c r="J283" i="62"/>
  <c r="I283" i="62" s="1"/>
  <c r="J284" i="62"/>
  <c r="I284" i="62" s="1"/>
  <c r="N292" i="62"/>
  <c r="N289" i="62" s="1"/>
  <c r="J289" i="62" s="1"/>
  <c r="J294" i="62"/>
  <c r="I294" i="62" s="1"/>
  <c r="J295" i="62"/>
  <c r="I295" i="62" s="1"/>
  <c r="J296" i="62"/>
  <c r="I296" i="62" s="1"/>
  <c r="J297" i="62"/>
  <c r="I297" i="62" s="1"/>
  <c r="J299" i="62"/>
  <c r="I299" i="62" s="1"/>
  <c r="J300" i="62"/>
  <c r="I300" i="62" s="1"/>
  <c r="Q303" i="62"/>
  <c r="Q301" i="62" s="1"/>
  <c r="N304" i="62"/>
  <c r="N301" i="62" s="1"/>
  <c r="J305" i="62"/>
  <c r="I305" i="62" s="1"/>
  <c r="N306" i="62"/>
  <c r="Q308" i="62"/>
  <c r="Q306" i="62" s="1"/>
  <c r="Q311" i="62"/>
  <c r="Q312" i="62"/>
  <c r="Q16" i="62" s="1"/>
  <c r="Q313" i="62"/>
  <c r="R313" i="62"/>
  <c r="J316" i="62"/>
  <c r="I316" i="62" s="1"/>
  <c r="J317" i="62"/>
  <c r="I317" i="62" s="1"/>
  <c r="J319" i="62"/>
  <c r="I319" i="62" s="1"/>
  <c r="N320" i="62"/>
  <c r="Q322" i="62"/>
  <c r="Q320" i="62" s="1"/>
  <c r="J323" i="62"/>
  <c r="I323" i="62" s="1"/>
  <c r="J324" i="62"/>
  <c r="I324" i="62" s="1"/>
  <c r="J325" i="62"/>
  <c r="I325" i="62" s="1"/>
  <c r="J327" i="62"/>
  <c r="I327" i="62" s="1"/>
  <c r="J329" i="62"/>
  <c r="I329" i="62" s="1"/>
  <c r="J330" i="62"/>
  <c r="I330" i="62" s="1"/>
  <c r="N332" i="62"/>
  <c r="AL69" i="62" s="1"/>
  <c r="J334" i="62"/>
  <c r="I334" i="62" s="1"/>
  <c r="J335" i="62"/>
  <c r="I335" i="62" s="1"/>
  <c r="J336" i="62"/>
  <c r="I336" i="62" s="1"/>
  <c r="N337" i="62"/>
  <c r="R339" i="62"/>
  <c r="R340" i="62"/>
  <c r="S10" i="42"/>
  <c r="U10" i="42"/>
  <c r="V10" i="42"/>
  <c r="AB10" i="42"/>
  <c r="M12" i="42"/>
  <c r="O12" i="42"/>
  <c r="P12" i="42"/>
  <c r="R12" i="42"/>
  <c r="AG15" i="42" s="1"/>
  <c r="K13" i="42"/>
  <c r="M13" i="42"/>
  <c r="O13" i="42"/>
  <c r="P13" i="42"/>
  <c r="K15" i="42"/>
  <c r="L15" i="42"/>
  <c r="M15" i="42"/>
  <c r="O15" i="42"/>
  <c r="P15" i="42"/>
  <c r="K16" i="42"/>
  <c r="L16" i="42"/>
  <c r="M16" i="42"/>
  <c r="N16" i="42"/>
  <c r="O16" i="42"/>
  <c r="P16" i="42"/>
  <c r="Q16" i="42"/>
  <c r="R16" i="42"/>
  <c r="K17" i="42"/>
  <c r="L17" i="42"/>
  <c r="M17" i="42"/>
  <c r="O17" i="42"/>
  <c r="P17" i="42"/>
  <c r="Q17" i="42"/>
  <c r="K18" i="42"/>
  <c r="L18" i="42"/>
  <c r="M18" i="42"/>
  <c r="N18" i="42"/>
  <c r="O18" i="42"/>
  <c r="P18" i="42"/>
  <c r="Q18" i="42"/>
  <c r="R18" i="42"/>
  <c r="M19" i="42"/>
  <c r="O19" i="42"/>
  <c r="P19" i="42"/>
  <c r="K20" i="42"/>
  <c r="M20" i="42"/>
  <c r="O20" i="42"/>
  <c r="P20" i="42"/>
  <c r="D22" i="42"/>
  <c r="K22" i="42"/>
  <c r="L22" i="42"/>
  <c r="M22" i="42"/>
  <c r="N22" i="42"/>
  <c r="O22" i="42"/>
  <c r="P22" i="42"/>
  <c r="Q22" i="42"/>
  <c r="R22" i="42"/>
  <c r="D23" i="42"/>
  <c r="K23" i="42"/>
  <c r="L23" i="42"/>
  <c r="M23" i="42"/>
  <c r="N23" i="42"/>
  <c r="O23" i="42"/>
  <c r="P23" i="42"/>
  <c r="Q23" i="42"/>
  <c r="R23" i="42"/>
  <c r="D24" i="42"/>
  <c r="K24" i="42"/>
  <c r="M24" i="42"/>
  <c r="O24" i="42"/>
  <c r="P24" i="42"/>
  <c r="D25" i="42"/>
  <c r="K25" i="42"/>
  <c r="L25" i="42"/>
  <c r="M25" i="42"/>
  <c r="O25" i="42"/>
  <c r="P25" i="42"/>
  <c r="R25" i="42"/>
  <c r="D26" i="42"/>
  <c r="K26" i="42"/>
  <c r="L26" i="42"/>
  <c r="M26" i="42"/>
  <c r="N26" i="42"/>
  <c r="O26" i="42"/>
  <c r="P26" i="42"/>
  <c r="Q26" i="42"/>
  <c r="R26" i="42"/>
  <c r="M28" i="42"/>
  <c r="O28" i="42"/>
  <c r="P28" i="42"/>
  <c r="AB28" i="42"/>
  <c r="Q31" i="42"/>
  <c r="N32" i="42"/>
  <c r="Q33" i="42"/>
  <c r="N34" i="42"/>
  <c r="Q35" i="42"/>
  <c r="J37" i="42"/>
  <c r="I37" i="42" s="1"/>
  <c r="J38" i="42"/>
  <c r="I38" i="42" s="1"/>
  <c r="J39" i="42"/>
  <c r="I39" i="42" s="1"/>
  <c r="J40" i="42"/>
  <c r="I40" i="42" s="1"/>
  <c r="N42" i="42"/>
  <c r="L43" i="42"/>
  <c r="L41" i="42" s="1"/>
  <c r="N44" i="42"/>
  <c r="Q45" i="42"/>
  <c r="N46" i="42"/>
  <c r="Q47" i="42"/>
  <c r="N48" i="42"/>
  <c r="Q49" i="42"/>
  <c r="N50" i="42"/>
  <c r="Q51" i="42"/>
  <c r="N52" i="42"/>
  <c r="Q53" i="42"/>
  <c r="N54" i="42"/>
  <c r="N55" i="42"/>
  <c r="AL69" i="42" s="1"/>
  <c r="Q56" i="42"/>
  <c r="AL71" i="42" s="1"/>
  <c r="J57" i="42"/>
  <c r="I57" i="42" s="1"/>
  <c r="J58" i="42"/>
  <c r="I58" i="42" s="1"/>
  <c r="J59" i="42"/>
  <c r="I59" i="42" s="1"/>
  <c r="W59" i="42"/>
  <c r="W10" i="42" s="1"/>
  <c r="T23" i="1" s="1"/>
  <c r="J60" i="42"/>
  <c r="I60" i="42" s="1"/>
  <c r="J61" i="42"/>
  <c r="I61" i="42" s="1"/>
  <c r="J62" i="42"/>
  <c r="I62" i="42" s="1"/>
  <c r="J63" i="42"/>
  <c r="I63" i="42" s="1"/>
  <c r="J64" i="42"/>
  <c r="I64" i="42" s="1"/>
  <c r="J65" i="42"/>
  <c r="I65" i="42" s="1"/>
  <c r="J66" i="42"/>
  <c r="I66" i="42" s="1"/>
  <c r="J67" i="42"/>
  <c r="I67" i="42" s="1"/>
  <c r="J426" i="42"/>
  <c r="I426" i="42" s="1"/>
  <c r="J68" i="42"/>
  <c r="I68" i="42" s="1"/>
  <c r="J69" i="42"/>
  <c r="I69" i="42" s="1"/>
  <c r="J70" i="42"/>
  <c r="I70" i="42" s="1"/>
  <c r="J391" i="42"/>
  <c r="I391" i="42" s="1"/>
  <c r="J71" i="42"/>
  <c r="I71" i="42" s="1"/>
  <c r="J72" i="42"/>
  <c r="I72" i="42" s="1"/>
  <c r="Q75" i="42"/>
  <c r="Q73" i="42" s="1"/>
  <c r="N76" i="42"/>
  <c r="N73" i="42" s="1"/>
  <c r="J77" i="42"/>
  <c r="I77" i="42" s="1"/>
  <c r="J78" i="42"/>
  <c r="I78" i="42" s="1"/>
  <c r="J79" i="42"/>
  <c r="I79" i="42" s="1"/>
  <c r="J80" i="42"/>
  <c r="I80" i="42" s="1"/>
  <c r="L83" i="42"/>
  <c r="L81" i="42" s="1"/>
  <c r="N84" i="42"/>
  <c r="N81" i="42" s="1"/>
  <c r="Q85" i="42"/>
  <c r="Q81" i="42" s="1"/>
  <c r="R86" i="42"/>
  <c r="AL66" i="42" s="1"/>
  <c r="J87" i="42"/>
  <c r="I87" i="42" s="1"/>
  <c r="J88" i="42"/>
  <c r="I88" i="42" s="1"/>
  <c r="J89" i="42"/>
  <c r="I89" i="42" s="1"/>
  <c r="J90" i="42"/>
  <c r="I90" i="42" s="1"/>
  <c r="R92" i="42"/>
  <c r="X92" i="42"/>
  <c r="N96" i="42"/>
  <c r="Q97" i="42"/>
  <c r="Q92" i="42" s="1"/>
  <c r="N98" i="42"/>
  <c r="J99" i="42"/>
  <c r="I99" i="42" s="1"/>
  <c r="J100" i="42"/>
  <c r="I100" i="42" s="1"/>
  <c r="N103" i="42"/>
  <c r="L104" i="42"/>
  <c r="L101" i="42" s="1"/>
  <c r="N105" i="42"/>
  <c r="N106" i="42"/>
  <c r="Q106" i="42"/>
  <c r="J109" i="42"/>
  <c r="I109" i="42" s="1"/>
  <c r="J110" i="42"/>
  <c r="I110" i="42" s="1"/>
  <c r="J111" i="42"/>
  <c r="I111" i="42" s="1"/>
  <c r="N112" i="42"/>
  <c r="Q112" i="42"/>
  <c r="J115" i="42"/>
  <c r="I115" i="42" s="1"/>
  <c r="J116" i="42"/>
  <c r="I116" i="42" s="1"/>
  <c r="N117" i="42"/>
  <c r="N17" i="42"/>
  <c r="R117" i="42"/>
  <c r="J120" i="42"/>
  <c r="I120" i="42" s="1"/>
  <c r="J121" i="42"/>
  <c r="I121" i="42" s="1"/>
  <c r="J122" i="42"/>
  <c r="I122" i="42" s="1"/>
  <c r="Q125" i="42"/>
  <c r="N126" i="42"/>
  <c r="L127" i="42"/>
  <c r="L123" i="42" s="1"/>
  <c r="N128" i="42"/>
  <c r="J129" i="42"/>
  <c r="I129" i="42" s="1"/>
  <c r="J130" i="42"/>
  <c r="I130" i="42" s="1"/>
  <c r="J131" i="42"/>
  <c r="I131" i="42" s="1"/>
  <c r="J132" i="42"/>
  <c r="I132" i="42" s="1"/>
  <c r="J133" i="42"/>
  <c r="I133" i="42" s="1"/>
  <c r="J134" i="42"/>
  <c r="I134" i="42" s="1"/>
  <c r="J137" i="42"/>
  <c r="I137" i="42" s="1"/>
  <c r="J138" i="42"/>
  <c r="I138" i="42" s="1"/>
  <c r="J139" i="42"/>
  <c r="I139" i="42" s="1"/>
  <c r="J142" i="42"/>
  <c r="I142" i="42" s="1"/>
  <c r="J143" i="42"/>
  <c r="I143" i="42" s="1"/>
  <c r="J144" i="42"/>
  <c r="I144" i="42" s="1"/>
  <c r="K145" i="42"/>
  <c r="N147" i="42"/>
  <c r="N145" i="42" s="1"/>
  <c r="Q148" i="42"/>
  <c r="Q145" i="42" s="1"/>
  <c r="R149" i="42"/>
  <c r="R19" i="42" s="1"/>
  <c r="Q150" i="42"/>
  <c r="R150" i="42"/>
  <c r="Q153" i="42"/>
  <c r="R153" i="42"/>
  <c r="J156" i="42"/>
  <c r="I156" i="42" s="1"/>
  <c r="K157" i="42"/>
  <c r="T157" i="42"/>
  <c r="N159" i="42"/>
  <c r="N157" i="42" s="1"/>
  <c r="Q160" i="42"/>
  <c r="Q157" i="42" s="1"/>
  <c r="J168" i="42"/>
  <c r="I168" i="42" s="1"/>
  <c r="J169" i="42"/>
  <c r="I169" i="42" s="1"/>
  <c r="J172" i="42"/>
  <c r="I172" i="42" s="1"/>
  <c r="J173" i="42"/>
  <c r="I173" i="42" s="1"/>
  <c r="J175" i="42"/>
  <c r="I175" i="42" s="1"/>
  <c r="J176" i="42"/>
  <c r="I176" i="42" s="1"/>
  <c r="J177" i="42"/>
  <c r="I177" i="42" s="1"/>
  <c r="J178" i="42"/>
  <c r="I178" i="42" s="1"/>
  <c r="J179" i="42"/>
  <c r="I179" i="42" s="1"/>
  <c r="J180" i="42"/>
  <c r="I180" i="42" s="1"/>
  <c r="Q181" i="42"/>
  <c r="R181" i="42"/>
  <c r="J184" i="42"/>
  <c r="I184" i="42" s="1"/>
  <c r="J185" i="42"/>
  <c r="I185" i="42" s="1"/>
  <c r="J186" i="42"/>
  <c r="I186" i="42" s="1"/>
  <c r="L188" i="42"/>
  <c r="Q188" i="42"/>
  <c r="N190" i="42"/>
  <c r="N191" i="42"/>
  <c r="N192" i="42"/>
  <c r="J195" i="42"/>
  <c r="I195" i="42" s="1"/>
  <c r="J196" i="42"/>
  <c r="I196" i="42" s="1"/>
  <c r="J197" i="42"/>
  <c r="I197" i="42" s="1"/>
  <c r="J198" i="42"/>
  <c r="I198" i="42" s="1"/>
  <c r="J199" i="42"/>
  <c r="I199" i="42" s="1"/>
  <c r="J200" i="42"/>
  <c r="I200" i="42" s="1"/>
  <c r="L201" i="42"/>
  <c r="L20" i="42"/>
  <c r="N201" i="42"/>
  <c r="R201" i="42"/>
  <c r="J207" i="42"/>
  <c r="I207" i="42" s="1"/>
  <c r="J208" i="42"/>
  <c r="I208" i="42" s="1"/>
  <c r="J209" i="42"/>
  <c r="I209" i="42" s="1"/>
  <c r="J210" i="42"/>
  <c r="I210" i="42" s="1"/>
  <c r="J211" i="42"/>
  <c r="I211" i="42" s="1"/>
  <c r="J212" i="42"/>
  <c r="J213" i="42"/>
  <c r="I213" i="42" s="1"/>
  <c r="J214" i="42"/>
  <c r="I214" i="42" s="1"/>
  <c r="J215" i="42"/>
  <c r="I215" i="42" s="1"/>
  <c r="K216" i="42"/>
  <c r="N218" i="42"/>
  <c r="N216" i="42" s="1"/>
  <c r="J216" i="42" s="1"/>
  <c r="N219" i="42"/>
  <c r="Q219" i="42"/>
  <c r="Q222" i="42"/>
  <c r="R222" i="42"/>
  <c r="N224" i="42"/>
  <c r="N222" i="42"/>
  <c r="J233" i="42"/>
  <c r="I233" i="42" s="1"/>
  <c r="J234" i="42"/>
  <c r="J235" i="42"/>
  <c r="I235" i="42" s="1"/>
  <c r="J236" i="42"/>
  <c r="I236" i="42" s="1"/>
  <c r="J237" i="42"/>
  <c r="I237" i="42" s="1"/>
  <c r="J238" i="42"/>
  <c r="I238" i="42" s="1"/>
  <c r="J239" i="42"/>
  <c r="I239" i="42" s="1"/>
  <c r="J240" i="42"/>
  <c r="I240" i="42" s="1"/>
  <c r="J241" i="42"/>
  <c r="I241" i="42" s="1"/>
  <c r="J244" i="42"/>
  <c r="I244" i="42" s="1"/>
  <c r="J245" i="42"/>
  <c r="I245" i="42" s="1"/>
  <c r="N246" i="42"/>
  <c r="Q246" i="42"/>
  <c r="J249" i="42"/>
  <c r="I249" i="42" s="1"/>
  <c r="J250" i="42"/>
  <c r="I250" i="42" s="1"/>
  <c r="J251" i="42"/>
  <c r="I251" i="42" s="1"/>
  <c r="N252" i="42"/>
  <c r="Q252" i="42"/>
  <c r="J255" i="42"/>
  <c r="I255" i="42" s="1"/>
  <c r="J256" i="42"/>
  <c r="I256" i="42" s="1"/>
  <c r="R257" i="42"/>
  <c r="Q259" i="42"/>
  <c r="Q257" i="42" s="1"/>
  <c r="N260" i="42"/>
  <c r="N257" i="42" s="1"/>
  <c r="J261" i="42"/>
  <c r="N262" i="42"/>
  <c r="Q262" i="42"/>
  <c r="J267" i="42"/>
  <c r="J268" i="42"/>
  <c r="I268" i="42" s="1"/>
  <c r="N269" i="42"/>
  <c r="Q269" i="42"/>
  <c r="N273" i="42"/>
  <c r="Q273" i="42"/>
  <c r="J278" i="42"/>
  <c r="I278" i="42" s="1"/>
  <c r="J279" i="42"/>
  <c r="I279" i="42" s="1"/>
  <c r="J280" i="42"/>
  <c r="I280" i="42" s="1"/>
  <c r="N281" i="42"/>
  <c r="R283" i="42"/>
  <c r="R284" i="42"/>
  <c r="R15" i="42" s="1"/>
  <c r="Q285" i="42"/>
  <c r="Q281" i="42" s="1"/>
  <c r="J287" i="42"/>
  <c r="I287" i="42" s="1"/>
  <c r="J288" i="42"/>
  <c r="I288" i="42" s="1"/>
  <c r="J289" i="42"/>
  <c r="J290" i="42"/>
  <c r="I290" i="42" s="1"/>
  <c r="J291" i="42"/>
  <c r="I291" i="42" s="1"/>
  <c r="J292" i="42"/>
  <c r="I292" i="42" s="1"/>
  <c r="J293" i="42"/>
  <c r="I293" i="42" s="1"/>
  <c r="J294" i="42"/>
  <c r="I294" i="42" s="1"/>
  <c r="N295" i="42"/>
  <c r="R295" i="42"/>
  <c r="J298" i="42"/>
  <c r="I298" i="42" s="1"/>
  <c r="J299" i="42"/>
  <c r="J300" i="42"/>
  <c r="Q301" i="42"/>
  <c r="R301" i="42"/>
  <c r="N306" i="42"/>
  <c r="Q306" i="42"/>
  <c r="Q24" i="42" s="1"/>
  <c r="J309" i="42"/>
  <c r="I309" i="42" s="1"/>
  <c r="J310" i="42"/>
  <c r="I310" i="42" s="1"/>
  <c r="J311" i="42"/>
  <c r="I311" i="42" s="1"/>
  <c r="N312" i="42"/>
  <c r="Q314" i="42"/>
  <c r="Q312" i="42" s="1"/>
  <c r="J315" i="42"/>
  <c r="I315" i="42" s="1"/>
  <c r="J316" i="42"/>
  <c r="J317" i="42"/>
  <c r="J318" i="42"/>
  <c r="J319" i="42"/>
  <c r="I319" i="42" s="1"/>
  <c r="J320" i="42"/>
  <c r="I320" i="42" s="1"/>
  <c r="N321" i="42"/>
  <c r="R321" i="42"/>
  <c r="Q323" i="42"/>
  <c r="Q321" i="42" s="1"/>
  <c r="L324" i="42"/>
  <c r="L321" i="42" s="1"/>
  <c r="L13" i="42"/>
  <c r="J327" i="42"/>
  <c r="J328" i="42"/>
  <c r="J329" i="42"/>
  <c r="J330" i="42"/>
  <c r="Q331" i="42"/>
  <c r="R331" i="42"/>
  <c r="J336" i="42"/>
  <c r="I336" i="42" s="1"/>
  <c r="J337" i="42"/>
  <c r="I337" i="42" s="1"/>
  <c r="N338" i="42"/>
  <c r="Q338" i="42"/>
  <c r="J342" i="42"/>
  <c r="J343" i="42"/>
  <c r="Q344" i="42"/>
  <c r="R344" i="42"/>
  <c r="J347" i="42"/>
  <c r="J348" i="42"/>
  <c r="J349" i="42"/>
  <c r="I349" i="42" s="1"/>
  <c r="N350" i="42"/>
  <c r="R350" i="42"/>
  <c r="J353" i="42"/>
  <c r="I353" i="42" s="1"/>
  <c r="J354" i="42"/>
  <c r="I354" i="42" s="1"/>
  <c r="J355" i="42"/>
  <c r="J356" i="42"/>
  <c r="I356" i="42" s="1"/>
  <c r="J357" i="42"/>
  <c r="I357" i="42" s="1"/>
  <c r="J358" i="42"/>
  <c r="I358" i="42" s="1"/>
  <c r="J359" i="42"/>
  <c r="J360" i="42"/>
  <c r="J361" i="42"/>
  <c r="J362" i="42"/>
  <c r="I362" i="42" s="1"/>
  <c r="J363" i="42"/>
  <c r="I363" i="42" s="1"/>
  <c r="J364" i="42"/>
  <c r="I364" i="42" s="1"/>
  <c r="J365" i="42"/>
  <c r="I365" i="42" s="1"/>
  <c r="N366" i="42"/>
  <c r="Q366" i="42"/>
  <c r="R366" i="42"/>
  <c r="X366" i="42"/>
  <c r="X10" i="42" s="1"/>
  <c r="U23" i="1" s="1"/>
  <c r="J370" i="42"/>
  <c r="I370" i="42" s="1"/>
  <c r="J371" i="42"/>
  <c r="I371" i="42" s="1"/>
  <c r="J372" i="42"/>
  <c r="I372" i="42" s="1"/>
  <c r="J373" i="42"/>
  <c r="N374" i="42"/>
  <c r="Q374" i="42"/>
  <c r="J377" i="42"/>
  <c r="Q378" i="42"/>
  <c r="R378" i="42"/>
  <c r="J381" i="42"/>
  <c r="J382" i="42"/>
  <c r="J383" i="42"/>
  <c r="J384" i="42"/>
  <c r="I384" i="42" s="1"/>
  <c r="J385" i="42"/>
  <c r="I385" i="42" s="1"/>
  <c r="Q386" i="42"/>
  <c r="R386" i="42"/>
  <c r="J389" i="42"/>
  <c r="I389" i="42" s="1"/>
  <c r="J390" i="42"/>
  <c r="I390" i="42" s="1"/>
  <c r="N393" i="42"/>
  <c r="R393" i="42"/>
  <c r="J91" i="42"/>
  <c r="I91" i="42" s="1"/>
  <c r="J396" i="42"/>
  <c r="I396" i="42" s="1"/>
  <c r="J397" i="42"/>
  <c r="I397" i="42" s="1"/>
  <c r="J398" i="42"/>
  <c r="I398" i="42" s="1"/>
  <c r="J399" i="42"/>
  <c r="I399" i="42" s="1"/>
  <c r="J403" i="42"/>
  <c r="I403" i="42" s="1"/>
  <c r="J404" i="42"/>
  <c r="I404" i="42" s="1"/>
  <c r="J405" i="42"/>
  <c r="I405" i="42" s="1"/>
  <c r="J408" i="42"/>
  <c r="I408" i="42" s="1"/>
  <c r="J409" i="42"/>
  <c r="I409" i="42" s="1"/>
  <c r="J410" i="42"/>
  <c r="I410" i="42" s="1"/>
  <c r="J411" i="42"/>
  <c r="I411" i="42" s="1"/>
  <c r="J412" i="42"/>
  <c r="I412" i="42" s="1"/>
  <c r="J413" i="42"/>
  <c r="I413" i="42" s="1"/>
  <c r="J414" i="42"/>
  <c r="I414" i="42" s="1"/>
  <c r="J419" i="42"/>
  <c r="I419" i="42" s="1"/>
  <c r="N420" i="42"/>
  <c r="X420" i="42"/>
  <c r="R422" i="42"/>
  <c r="R420" i="42" s="1"/>
  <c r="J423" i="42"/>
  <c r="I423" i="42" s="1"/>
  <c r="J424" i="42"/>
  <c r="I424" i="42" s="1"/>
  <c r="N427" i="42"/>
  <c r="R427" i="42"/>
  <c r="J431" i="42"/>
  <c r="I431" i="42" s="1"/>
  <c r="J432" i="42"/>
  <c r="I432" i="42" s="1"/>
  <c r="J433" i="42"/>
  <c r="I433" i="42" s="1"/>
  <c r="T434" i="42"/>
  <c r="J435" i="42"/>
  <c r="I435" i="42" s="1"/>
  <c r="J436" i="42"/>
  <c r="I436" i="42" s="1"/>
  <c r="J437" i="42"/>
  <c r="I437" i="42" s="1"/>
  <c r="J438" i="42"/>
  <c r="I438" i="42" s="1"/>
  <c r="J439" i="42"/>
  <c r="I439" i="42" s="1"/>
  <c r="J440" i="42"/>
  <c r="I440" i="42" s="1"/>
  <c r="J442" i="42"/>
  <c r="I442" i="42" s="1"/>
  <c r="J443" i="42"/>
  <c r="I443" i="42" s="1"/>
  <c r="J444" i="42"/>
  <c r="I444" i="42" s="1"/>
  <c r="J445" i="42"/>
  <c r="I445" i="42" s="1"/>
  <c r="J446" i="42"/>
  <c r="I446" i="42" s="1"/>
  <c r="J447" i="42"/>
  <c r="I447" i="42" s="1"/>
  <c r="J448" i="42"/>
  <c r="I448" i="42" s="1"/>
  <c r="J449" i="42"/>
  <c r="I449" i="42" s="1"/>
  <c r="J450" i="42"/>
  <c r="I450" i="42" s="1"/>
  <c r="J453" i="42"/>
  <c r="I453" i="42" s="1"/>
  <c r="J454" i="42"/>
  <c r="I454" i="42" s="1"/>
  <c r="J455" i="42"/>
  <c r="I455" i="42" s="1"/>
  <c r="J456" i="42"/>
  <c r="I456" i="42" s="1"/>
  <c r="J457" i="42"/>
  <c r="I457" i="42" s="1"/>
  <c r="J459" i="42"/>
  <c r="I459" i="42" s="1"/>
  <c r="J460" i="42"/>
  <c r="I460" i="42" s="1"/>
  <c r="N461" i="42"/>
  <c r="R461" i="42"/>
  <c r="J464" i="42"/>
  <c r="I464" i="42" s="1"/>
  <c r="J465" i="42"/>
  <c r="I465" i="42" s="1"/>
  <c r="J466" i="42"/>
  <c r="I466" i="42" s="1"/>
  <c r="N467" i="42"/>
  <c r="R467" i="42"/>
  <c r="J470" i="42"/>
  <c r="I470" i="42" s="1"/>
  <c r="J471" i="42"/>
  <c r="I471" i="42" s="1"/>
  <c r="J472" i="42"/>
  <c r="I472" i="42" s="1"/>
  <c r="Q473" i="42"/>
  <c r="R473" i="42"/>
  <c r="J476" i="42"/>
  <c r="I476" i="42" s="1"/>
  <c r="N477" i="42"/>
  <c r="R477" i="42"/>
  <c r="J480" i="42"/>
  <c r="I480" i="42" s="1"/>
  <c r="J481" i="42"/>
  <c r="I481" i="42" s="1"/>
  <c r="J482" i="42"/>
  <c r="I482" i="42" s="1"/>
  <c r="J483" i="42"/>
  <c r="I483" i="42" s="1"/>
  <c r="J484" i="42"/>
  <c r="I484" i="42" s="1"/>
  <c r="J485" i="42"/>
  <c r="I485" i="42" s="1"/>
  <c r="S10" i="86"/>
  <c r="U10" i="86"/>
  <c r="R22" i="1" s="1"/>
  <c r="V10" i="86"/>
  <c r="AB10" i="86"/>
  <c r="O12" i="86"/>
  <c r="P12" i="86"/>
  <c r="R12" i="86"/>
  <c r="AG15" i="86" s="1"/>
  <c r="K13" i="86"/>
  <c r="P13" i="86"/>
  <c r="K15" i="86"/>
  <c r="L15" i="86"/>
  <c r="M15" i="86"/>
  <c r="O15" i="86"/>
  <c r="P15" i="86"/>
  <c r="K16" i="86"/>
  <c r="L16" i="86"/>
  <c r="M16" i="86"/>
  <c r="N16" i="86"/>
  <c r="O16" i="86"/>
  <c r="P16" i="86"/>
  <c r="K17" i="86"/>
  <c r="L17" i="86"/>
  <c r="M17" i="86"/>
  <c r="O17" i="86"/>
  <c r="P17" i="86"/>
  <c r="L18" i="86"/>
  <c r="O18" i="86"/>
  <c r="P18" i="86"/>
  <c r="Q18" i="86"/>
  <c r="R18" i="86"/>
  <c r="O19" i="86"/>
  <c r="P19" i="86"/>
  <c r="K20" i="86"/>
  <c r="D22" i="86"/>
  <c r="K22" i="86"/>
  <c r="L22" i="86"/>
  <c r="M22" i="86"/>
  <c r="N22" i="86"/>
  <c r="O22" i="86"/>
  <c r="P22" i="86"/>
  <c r="Q22" i="86"/>
  <c r="R22" i="86"/>
  <c r="D23" i="86"/>
  <c r="K23" i="86"/>
  <c r="L23" i="86"/>
  <c r="M23" i="86"/>
  <c r="N23" i="86"/>
  <c r="O23" i="86"/>
  <c r="P23" i="86"/>
  <c r="Q23" i="86"/>
  <c r="R23" i="86"/>
  <c r="D24" i="86"/>
  <c r="K24" i="86"/>
  <c r="M24" i="86"/>
  <c r="O24" i="86"/>
  <c r="P24" i="86"/>
  <c r="D25" i="86"/>
  <c r="K25" i="86"/>
  <c r="L25" i="86"/>
  <c r="M25" i="86"/>
  <c r="N25" i="86"/>
  <c r="O25" i="86"/>
  <c r="P25" i="86"/>
  <c r="Q25" i="86"/>
  <c r="R25" i="86"/>
  <c r="D26" i="86"/>
  <c r="K26" i="86"/>
  <c r="L26" i="86"/>
  <c r="M26" i="86"/>
  <c r="N26" i="86"/>
  <c r="O26" i="86"/>
  <c r="P26" i="86"/>
  <c r="Q26" i="86"/>
  <c r="R26" i="86"/>
  <c r="AB28" i="86"/>
  <c r="M30" i="86"/>
  <c r="J35" i="86"/>
  <c r="J36" i="86"/>
  <c r="I36" i="86" s="1"/>
  <c r="Q37" i="86"/>
  <c r="R37" i="86"/>
  <c r="J40" i="86"/>
  <c r="I40" i="86" s="1"/>
  <c r="J41" i="86"/>
  <c r="I41" i="86" s="1"/>
  <c r="N42" i="86"/>
  <c r="Q42" i="86"/>
  <c r="Q24" i="86" s="1"/>
  <c r="M47" i="86"/>
  <c r="N48" i="86"/>
  <c r="Q49" i="86"/>
  <c r="Q50" i="86"/>
  <c r="N51" i="86"/>
  <c r="L52" i="86"/>
  <c r="L45" i="86" s="1"/>
  <c r="N53" i="86"/>
  <c r="M54" i="86"/>
  <c r="N55" i="86"/>
  <c r="J56" i="86"/>
  <c r="J57" i="86"/>
  <c r="I57" i="86" s="1"/>
  <c r="J58" i="86"/>
  <c r="I58" i="86" s="1"/>
  <c r="R59" i="86"/>
  <c r="J59" i="86" s="1"/>
  <c r="I59" i="86" s="1"/>
  <c r="J62" i="86"/>
  <c r="I62" i="86" s="1"/>
  <c r="J63" i="86"/>
  <c r="I63" i="86" s="1"/>
  <c r="J64" i="86"/>
  <c r="I64" i="86" s="1"/>
  <c r="J65" i="86"/>
  <c r="I65" i="86" s="1"/>
  <c r="J66" i="86"/>
  <c r="I66" i="86" s="1"/>
  <c r="J67" i="86"/>
  <c r="I67" i="86" s="1"/>
  <c r="J68" i="86"/>
  <c r="I68" i="86" s="1"/>
  <c r="J538" i="86"/>
  <c r="I538" i="86" s="1"/>
  <c r="J69" i="86"/>
  <c r="I69" i="86" s="1"/>
  <c r="J73" i="86"/>
  <c r="I73" i="86" s="1"/>
  <c r="L74" i="86"/>
  <c r="N76" i="86"/>
  <c r="Q77" i="86"/>
  <c r="Q74" i="86" s="1"/>
  <c r="N78" i="86"/>
  <c r="J87" i="86"/>
  <c r="I87" i="86" s="1"/>
  <c r="J88" i="86"/>
  <c r="I88" i="86" s="1"/>
  <c r="N91" i="86"/>
  <c r="Q92" i="86"/>
  <c r="Q93" i="86"/>
  <c r="N94" i="86"/>
  <c r="Q95" i="86"/>
  <c r="R95" i="86"/>
  <c r="J98" i="86"/>
  <c r="J99" i="86"/>
  <c r="I99" i="86" s="1"/>
  <c r="J100" i="86"/>
  <c r="I100" i="86" s="1"/>
  <c r="J101" i="86"/>
  <c r="J114" i="86"/>
  <c r="J115" i="86"/>
  <c r="I115" i="86" s="1"/>
  <c r="J116" i="86"/>
  <c r="J117" i="86"/>
  <c r="I117" i="86" s="1"/>
  <c r="R129" i="86"/>
  <c r="R127" i="86" s="1"/>
  <c r="J127" i="86" s="1"/>
  <c r="I127" i="86" s="1"/>
  <c r="M130" i="86"/>
  <c r="N132" i="86"/>
  <c r="Q136" i="86"/>
  <c r="R137" i="86"/>
  <c r="R130" i="86" s="1"/>
  <c r="Q140" i="86"/>
  <c r="Q138" i="86" s="1"/>
  <c r="N141" i="86"/>
  <c r="N138" i="86" s="1"/>
  <c r="J142" i="86"/>
  <c r="I142" i="86" s="1"/>
  <c r="I143" i="86"/>
  <c r="J144" i="86"/>
  <c r="I144" i="86" s="1"/>
  <c r="N145" i="86"/>
  <c r="Q145" i="86"/>
  <c r="AJ30" i="86"/>
  <c r="J152" i="86"/>
  <c r="I152" i="86" s="1"/>
  <c r="J153" i="86"/>
  <c r="I153" i="86" s="1"/>
  <c r="J154" i="86"/>
  <c r="N155" i="86"/>
  <c r="M157" i="86"/>
  <c r="M155" i="86" s="1"/>
  <c r="J159" i="86"/>
  <c r="R162" i="86"/>
  <c r="Q163" i="86"/>
  <c r="R164" i="86"/>
  <c r="Q165" i="86"/>
  <c r="M166" i="86"/>
  <c r="M160" i="86" s="1"/>
  <c r="Q167" i="86"/>
  <c r="R168" i="86"/>
  <c r="Q169" i="86"/>
  <c r="Q170" i="86"/>
  <c r="N171" i="86"/>
  <c r="N160" i="86" s="1"/>
  <c r="J172" i="86"/>
  <c r="I172" i="86" s="1"/>
  <c r="J173" i="86"/>
  <c r="I173" i="86" s="1"/>
  <c r="J174" i="86"/>
  <c r="I174" i="86" s="1"/>
  <c r="J175" i="86"/>
  <c r="I175" i="86" s="1"/>
  <c r="N176" i="86"/>
  <c r="Q176" i="86"/>
  <c r="R176" i="86"/>
  <c r="J182" i="86"/>
  <c r="J183" i="86"/>
  <c r="I183" i="86" s="1"/>
  <c r="J184" i="86"/>
  <c r="I184" i="86" s="1"/>
  <c r="N185" i="86"/>
  <c r="Q185" i="86"/>
  <c r="J191" i="86"/>
  <c r="I191" i="86" s="1"/>
  <c r="J192" i="86"/>
  <c r="I192" i="86" s="1"/>
  <c r="M193" i="86"/>
  <c r="M13" i="86"/>
  <c r="Q193" i="86"/>
  <c r="N193" i="86"/>
  <c r="J205" i="86"/>
  <c r="I205" i="86" s="1"/>
  <c r="M206" i="86"/>
  <c r="N206" i="86"/>
  <c r="Q206" i="86"/>
  <c r="R206" i="86"/>
  <c r="J214" i="86"/>
  <c r="I214" i="86" s="1"/>
  <c r="Q215" i="86"/>
  <c r="R215" i="86"/>
  <c r="Q220" i="86"/>
  <c r="R220" i="86"/>
  <c r="J223" i="86"/>
  <c r="J224" i="86"/>
  <c r="J225" i="86"/>
  <c r="I225" i="86" s="1"/>
  <c r="J226" i="86"/>
  <c r="J227" i="86"/>
  <c r="J228" i="86"/>
  <c r="I228" i="86" s="1"/>
  <c r="J229" i="86"/>
  <c r="Q230" i="86"/>
  <c r="X230" i="86"/>
  <c r="R232" i="86"/>
  <c r="R230" i="86" s="1"/>
  <c r="R236" i="86"/>
  <c r="R234" i="86" s="1"/>
  <c r="J234" i="86" s="1"/>
  <c r="N237" i="86"/>
  <c r="R237" i="86"/>
  <c r="Q239" i="86"/>
  <c r="Q240" i="86"/>
  <c r="J242" i="86"/>
  <c r="J243" i="86"/>
  <c r="I243" i="86" s="1"/>
  <c r="N245" i="86"/>
  <c r="R245" i="86"/>
  <c r="J248" i="86"/>
  <c r="N251" i="86"/>
  <c r="N249" i="86" s="1"/>
  <c r="Q252" i="86"/>
  <c r="Q249" i="86" s="1"/>
  <c r="J253" i="86"/>
  <c r="N254" i="86"/>
  <c r="X254" i="86"/>
  <c r="Q256" i="86"/>
  <c r="Q254" i="86" s="1"/>
  <c r="J257" i="86"/>
  <c r="I257" i="86" s="1"/>
  <c r="K258" i="86"/>
  <c r="N260" i="86"/>
  <c r="L261" i="86"/>
  <c r="L258" i="86" s="1"/>
  <c r="N262" i="86"/>
  <c r="J263" i="86"/>
  <c r="I263" i="86" s="1"/>
  <c r="J264" i="86"/>
  <c r="J265" i="86"/>
  <c r="I265" i="86" s="1"/>
  <c r="J266" i="86"/>
  <c r="M267" i="86"/>
  <c r="J267" i="86" s="1"/>
  <c r="I267" i="86" s="1"/>
  <c r="J273" i="86"/>
  <c r="I273" i="86" s="1"/>
  <c r="J274" i="86"/>
  <c r="N275" i="86"/>
  <c r="Q275" i="86"/>
  <c r="R275" i="86"/>
  <c r="J279" i="86"/>
  <c r="J280" i="86"/>
  <c r="J281" i="86"/>
  <c r="I281" i="86" s="1"/>
  <c r="J282" i="86"/>
  <c r="N283" i="86"/>
  <c r="R285" i="86"/>
  <c r="R286" i="86"/>
  <c r="R287" i="86"/>
  <c r="J288" i="86"/>
  <c r="J289" i="86"/>
  <c r="J290" i="86"/>
  <c r="J291" i="86"/>
  <c r="J292" i="86"/>
  <c r="J293" i="86"/>
  <c r="M297" i="86"/>
  <c r="M294" i="86" s="1"/>
  <c r="N298" i="86"/>
  <c r="Q299" i="86"/>
  <c r="L300" i="86"/>
  <c r="L294" i="86" s="1"/>
  <c r="J301" i="86"/>
  <c r="J302" i="86"/>
  <c r="J303" i="86"/>
  <c r="I303" i="86" s="1"/>
  <c r="R306" i="86"/>
  <c r="R304" i="86" s="1"/>
  <c r="J304" i="86" s="1"/>
  <c r="R307" i="86"/>
  <c r="J307" i="86" s="1"/>
  <c r="I307" i="86" s="1"/>
  <c r="W310" i="86"/>
  <c r="X310" i="86"/>
  <c r="R312" i="86"/>
  <c r="R310" i="86" s="1"/>
  <c r="J310" i="86" s="1"/>
  <c r="J244" i="86"/>
  <c r="I244" i="86" s="1"/>
  <c r="J313" i="86"/>
  <c r="I313" i="86" s="1"/>
  <c r="J314" i="86"/>
  <c r="J315" i="86"/>
  <c r="J316" i="86"/>
  <c r="J317" i="86"/>
  <c r="M318" i="86"/>
  <c r="J329" i="86"/>
  <c r="J330" i="86"/>
  <c r="J331" i="86"/>
  <c r="J332" i="86"/>
  <c r="I332" i="86" s="1"/>
  <c r="J333" i="86"/>
  <c r="I333" i="86" s="1"/>
  <c r="J334" i="86"/>
  <c r="I334" i="86" s="1"/>
  <c r="J341" i="86"/>
  <c r="I341" i="86" s="1"/>
  <c r="J344" i="86"/>
  <c r="K345" i="86"/>
  <c r="M347" i="86"/>
  <c r="M18" i="86" s="1"/>
  <c r="M348" i="86"/>
  <c r="N349" i="86"/>
  <c r="L350" i="86"/>
  <c r="N351" i="86"/>
  <c r="Q352" i="86"/>
  <c r="L353" i="86"/>
  <c r="N354" i="86"/>
  <c r="N355" i="86"/>
  <c r="Q356" i="86"/>
  <c r="Q357" i="86"/>
  <c r="Q360" i="86"/>
  <c r="Q358" i="86" s="1"/>
  <c r="R361" i="86"/>
  <c r="R358" i="86" s="1"/>
  <c r="J362" i="86"/>
  <c r="I362" i="86" s="1"/>
  <c r="J363" i="86"/>
  <c r="J364" i="86"/>
  <c r="I364" i="86" s="1"/>
  <c r="Q367" i="86"/>
  <c r="Q365" i="86" s="1"/>
  <c r="J365" i="86" s="1"/>
  <c r="N368" i="86"/>
  <c r="T368" i="86"/>
  <c r="R370" i="86"/>
  <c r="R371" i="86"/>
  <c r="J372" i="86"/>
  <c r="I372" i="86" s="1"/>
  <c r="J373" i="86"/>
  <c r="I373" i="86" s="1"/>
  <c r="J374" i="86"/>
  <c r="J375" i="86"/>
  <c r="I375" i="86" s="1"/>
  <c r="J377" i="86"/>
  <c r="I377" i="86" s="1"/>
  <c r="J378" i="86"/>
  <c r="I378" i="86" s="1"/>
  <c r="J379" i="86"/>
  <c r="I379" i="86" s="1"/>
  <c r="J380" i="86"/>
  <c r="J381" i="86"/>
  <c r="I381" i="86" s="1"/>
  <c r="N382" i="86"/>
  <c r="R382" i="86"/>
  <c r="Q387" i="86"/>
  <c r="Q385" i="86" s="1"/>
  <c r="N388" i="86"/>
  <c r="N390" i="86"/>
  <c r="N391" i="86"/>
  <c r="M392" i="86"/>
  <c r="M385" i="86" s="1"/>
  <c r="N393" i="86"/>
  <c r="J395" i="86"/>
  <c r="I395" i="86" s="1"/>
  <c r="J396" i="86"/>
  <c r="J397" i="86"/>
  <c r="J398" i="86"/>
  <c r="J399" i="86"/>
  <c r="N400" i="86"/>
  <c r="J400" i="86" s="1"/>
  <c r="J403" i="86"/>
  <c r="J404" i="86"/>
  <c r="I404" i="86" s="1"/>
  <c r="J405" i="86"/>
  <c r="J406" i="86"/>
  <c r="Q407" i="86"/>
  <c r="J678" i="86"/>
  <c r="I678" i="86" s="1"/>
  <c r="N17" i="86"/>
  <c r="J413" i="86"/>
  <c r="J414" i="86"/>
  <c r="N417" i="86"/>
  <c r="L418" i="86"/>
  <c r="L415" i="86" s="1"/>
  <c r="N419" i="86"/>
  <c r="N420" i="86"/>
  <c r="N422" i="86"/>
  <c r="Q422" i="86"/>
  <c r="J426" i="86"/>
  <c r="J427" i="86"/>
  <c r="I427" i="86" s="1"/>
  <c r="J428" i="86"/>
  <c r="J434" i="86"/>
  <c r="J435" i="86"/>
  <c r="I435" i="86" s="1"/>
  <c r="Q436" i="86"/>
  <c r="J443" i="86"/>
  <c r="N450" i="86"/>
  <c r="R450" i="86"/>
  <c r="N455" i="86"/>
  <c r="N456" i="86"/>
  <c r="J457" i="86"/>
  <c r="J458" i="86"/>
  <c r="J459" i="86"/>
  <c r="I459" i="86" s="1"/>
  <c r="N460" i="86"/>
  <c r="Q460" i="86"/>
  <c r="J463" i="86"/>
  <c r="I463" i="86" s="1"/>
  <c r="J464" i="86"/>
  <c r="I464" i="86" s="1"/>
  <c r="J465" i="86"/>
  <c r="I465" i="86" s="1"/>
  <c r="J466" i="86"/>
  <c r="J467" i="86"/>
  <c r="J468" i="86"/>
  <c r="I468" i="86" s="1"/>
  <c r="R469" i="86"/>
  <c r="Q469" i="86"/>
  <c r="N469" i="86"/>
  <c r="J479" i="86"/>
  <c r="I479" i="86" s="1"/>
  <c r="J480" i="86"/>
  <c r="I480" i="86" s="1"/>
  <c r="Q483" i="86"/>
  <c r="R484" i="86"/>
  <c r="R481" i="86" s="1"/>
  <c r="Q485" i="86"/>
  <c r="N486" i="86"/>
  <c r="N481" i="86" s="1"/>
  <c r="J487" i="86"/>
  <c r="I487" i="86" s="1"/>
  <c r="N488" i="86"/>
  <c r="W488" i="86"/>
  <c r="X488" i="86"/>
  <c r="R490" i="86"/>
  <c r="R488" i="86" s="1"/>
  <c r="Q493" i="86"/>
  <c r="Q494" i="86"/>
  <c r="J495" i="86"/>
  <c r="J496" i="86"/>
  <c r="I496" i="86" s="1"/>
  <c r="N497" i="86"/>
  <c r="Q499" i="86"/>
  <c r="Q497" i="86" s="1"/>
  <c r="Q502" i="86"/>
  <c r="Q500" i="86" s="1"/>
  <c r="J500" i="86" s="1"/>
  <c r="J503" i="86"/>
  <c r="J504" i="86"/>
  <c r="J505" i="86"/>
  <c r="I505" i="86" s="1"/>
  <c r="J506" i="86"/>
  <c r="J507" i="86"/>
  <c r="I507" i="86" s="1"/>
  <c r="Q510" i="86"/>
  <c r="Q511" i="86"/>
  <c r="Q512" i="86"/>
  <c r="R513" i="86"/>
  <c r="R508" i="86" s="1"/>
  <c r="N515" i="86"/>
  <c r="J516" i="86"/>
  <c r="J517" i="86"/>
  <c r="J518" i="86"/>
  <c r="J519" i="86"/>
  <c r="I519" i="86" s="1"/>
  <c r="Q520" i="86"/>
  <c r="R522" i="86"/>
  <c r="R520" i="86" s="1"/>
  <c r="J525" i="86"/>
  <c r="N526" i="86"/>
  <c r="Q528" i="86"/>
  <c r="Q526" i="86" s="1"/>
  <c r="J531" i="86"/>
  <c r="N532" i="86"/>
  <c r="Q534" i="86"/>
  <c r="Q532" i="86" s="1"/>
  <c r="J535" i="86"/>
  <c r="X535" i="86"/>
  <c r="Y535" i="86"/>
  <c r="Z535" i="86"/>
  <c r="J536" i="86"/>
  <c r="J537" i="86"/>
  <c r="I537" i="86" s="1"/>
  <c r="J539" i="86"/>
  <c r="J540" i="86"/>
  <c r="I540" i="86" s="1"/>
  <c r="Q541" i="86"/>
  <c r="J545" i="86"/>
  <c r="I545" i="86" s="1"/>
  <c r="J547" i="86"/>
  <c r="W548" i="86"/>
  <c r="X548" i="86"/>
  <c r="R550" i="86"/>
  <c r="R548" i="86" s="1"/>
  <c r="J548" i="86" s="1"/>
  <c r="J551" i="86"/>
  <c r="J552" i="86"/>
  <c r="X553" i="86"/>
  <c r="Q555" i="86"/>
  <c r="Q553" i="86" s="1"/>
  <c r="R556" i="86"/>
  <c r="R553" i="86" s="1"/>
  <c r="J557" i="86"/>
  <c r="I557" i="86" s="1"/>
  <c r="R558" i="86"/>
  <c r="J558" i="86" s="1"/>
  <c r="J561" i="86"/>
  <c r="I561" i="86" s="1"/>
  <c r="J562" i="86"/>
  <c r="L563" i="86"/>
  <c r="N563" i="86"/>
  <c r="R563" i="86"/>
  <c r="J569" i="86"/>
  <c r="I569" i="86" s="1"/>
  <c r="R572" i="86"/>
  <c r="R573" i="86"/>
  <c r="W574" i="86"/>
  <c r="X574" i="86"/>
  <c r="Y574" i="86"/>
  <c r="Z574" i="86"/>
  <c r="Q576" i="86"/>
  <c r="Q577" i="86"/>
  <c r="R578" i="86"/>
  <c r="R574" i="86" s="1"/>
  <c r="Q579" i="86"/>
  <c r="N580" i="86"/>
  <c r="N574" i="86" s="1"/>
  <c r="J581" i="86"/>
  <c r="J582" i="86"/>
  <c r="Q583" i="86"/>
  <c r="R583" i="86"/>
  <c r="J586" i="86"/>
  <c r="I586" i="86" s="1"/>
  <c r="J587" i="86"/>
  <c r="I587" i="86" s="1"/>
  <c r="J588" i="86"/>
  <c r="I588" i="86" s="1"/>
  <c r="J589" i="86"/>
  <c r="I589" i="86" s="1"/>
  <c r="J590" i="86"/>
  <c r="I590" i="86" s="1"/>
  <c r="Q591" i="86"/>
  <c r="R591" i="86"/>
  <c r="J594" i="86"/>
  <c r="I594" i="86" s="1"/>
  <c r="J595" i="86"/>
  <c r="N596" i="86"/>
  <c r="R598" i="86"/>
  <c r="R599" i="86"/>
  <c r="Q600" i="86"/>
  <c r="R602" i="86"/>
  <c r="R600" i="86" s="1"/>
  <c r="Q603" i="86"/>
  <c r="R605" i="86"/>
  <c r="R603" i="86" s="1"/>
  <c r="J606" i="86"/>
  <c r="I606" i="86" s="1"/>
  <c r="R609" i="86"/>
  <c r="R607" i="86" s="1"/>
  <c r="J607" i="86" s="1"/>
  <c r="J610" i="86"/>
  <c r="J611" i="86"/>
  <c r="I611" i="86" s="1"/>
  <c r="J612" i="86"/>
  <c r="I612" i="86" s="1"/>
  <c r="J613" i="86"/>
  <c r="I613" i="86" s="1"/>
  <c r="J614" i="86"/>
  <c r="I614" i="86" s="1"/>
  <c r="R617" i="86"/>
  <c r="R615" i="86" s="1"/>
  <c r="J615" i="86" s="1"/>
  <c r="J618" i="86"/>
  <c r="I618" i="86" s="1"/>
  <c r="W619" i="86"/>
  <c r="X619" i="86"/>
  <c r="Q621" i="86"/>
  <c r="Q619" i="86" s="1"/>
  <c r="J619" i="86" s="1"/>
  <c r="I619" i="86" s="1"/>
  <c r="J622" i="86"/>
  <c r="J623" i="86"/>
  <c r="N624" i="86"/>
  <c r="Q624" i="86"/>
  <c r="R624" i="86"/>
  <c r="Q630" i="86"/>
  <c r="R630" i="86"/>
  <c r="J633" i="86"/>
  <c r="I633" i="86" s="1"/>
  <c r="J634" i="86"/>
  <c r="I634" i="86" s="1"/>
  <c r="J636" i="86"/>
  <c r="I636" i="86" s="1"/>
  <c r="J637" i="86"/>
  <c r="R638" i="86"/>
  <c r="J638" i="86" s="1"/>
  <c r="N641" i="86"/>
  <c r="R641" i="86"/>
  <c r="Q644" i="86"/>
  <c r="J649" i="86"/>
  <c r="J650" i="86"/>
  <c r="I650" i="86" s="1"/>
  <c r="W650" i="86"/>
  <c r="X650" i="86"/>
  <c r="R653" i="86"/>
  <c r="R651" i="86" s="1"/>
  <c r="J651" i="86" s="1"/>
  <c r="J654" i="86"/>
  <c r="I654" i="86" s="1"/>
  <c r="R657" i="86"/>
  <c r="R655" i="86" s="1"/>
  <c r="J655" i="86" s="1"/>
  <c r="I655" i="86" s="1"/>
  <c r="Q658" i="86"/>
  <c r="W658" i="86"/>
  <c r="R660" i="86"/>
  <c r="R661" i="86"/>
  <c r="R662" i="86"/>
  <c r="R663" i="86"/>
  <c r="J664" i="86"/>
  <c r="J665" i="86"/>
  <c r="Q666" i="86"/>
  <c r="R668" i="86"/>
  <c r="R666" i="86" s="1"/>
  <c r="J669" i="86"/>
  <c r="J670" i="86"/>
  <c r="I670" i="86" s="1"/>
  <c r="J674" i="86"/>
  <c r="I674" i="86" s="1"/>
  <c r="J676" i="86"/>
  <c r="I676" i="86" s="1"/>
  <c r="J677" i="86"/>
  <c r="I677" i="86" s="1"/>
  <c r="J679" i="86"/>
  <c r="I679" i="86" s="1"/>
  <c r="R681" i="86"/>
  <c r="J681" i="86" s="1"/>
  <c r="J684" i="86"/>
  <c r="I684" i="86" s="1"/>
  <c r="J696" i="86"/>
  <c r="Q697" i="86"/>
  <c r="R697" i="86"/>
  <c r="J700" i="86"/>
  <c r="J701" i="86"/>
  <c r="I701" i="86" s="1"/>
  <c r="N702" i="86"/>
  <c r="Q702" i="86"/>
  <c r="J708" i="86"/>
  <c r="I708" i="86" s="1"/>
  <c r="Q709" i="86"/>
  <c r="J712" i="86"/>
  <c r="I712" i="86" s="1"/>
  <c r="J713" i="86"/>
  <c r="I713" i="86" s="1"/>
  <c r="M714" i="86"/>
  <c r="N714" i="86"/>
  <c r="P714" i="86"/>
  <c r="P28" i="86" s="1"/>
  <c r="P20" i="86"/>
  <c r="Q717" i="86"/>
  <c r="Q718" i="86"/>
  <c r="J721" i="86"/>
  <c r="I721" i="86" s="1"/>
  <c r="J722" i="86"/>
  <c r="I722" i="86" s="1"/>
  <c r="J726" i="86"/>
  <c r="I726" i="86" s="1"/>
  <c r="J727" i="86"/>
  <c r="I727" i="86" s="1"/>
  <c r="J728" i="86"/>
  <c r="I728" i="86" s="1"/>
  <c r="J729" i="86"/>
  <c r="I729" i="86" s="1"/>
  <c r="J736" i="86"/>
  <c r="I736" i="86" s="1"/>
  <c r="N737" i="86"/>
  <c r="R741" i="86"/>
  <c r="J742" i="86"/>
  <c r="J743" i="86"/>
  <c r="I743" i="86" s="1"/>
  <c r="J746" i="86"/>
  <c r="I746" i="86" s="1"/>
  <c r="W746" i="86"/>
  <c r="X746" i="86"/>
  <c r="J747" i="86"/>
  <c r="J748" i="86"/>
  <c r="I748" i="86" s="1"/>
  <c r="J751" i="86"/>
  <c r="J753" i="86"/>
  <c r="N754" i="86"/>
  <c r="Q757" i="86"/>
  <c r="Q754" i="86" s="1"/>
  <c r="J758" i="86"/>
  <c r="J759" i="86"/>
  <c r="I759" i="86" s="1"/>
  <c r="J761" i="86"/>
  <c r="I761" i="86" s="1"/>
  <c r="J763" i="86"/>
  <c r="I763" i="86" s="1"/>
  <c r="J764" i="86"/>
  <c r="I764" i="86" s="1"/>
  <c r="J765" i="86"/>
  <c r="J766" i="86"/>
  <c r="I766" i="86" s="1"/>
  <c r="J767" i="86"/>
  <c r="J771" i="86"/>
  <c r="W772" i="86"/>
  <c r="X772" i="86"/>
  <c r="Z772" i="86"/>
  <c r="N774" i="86"/>
  <c r="N772" i="86" s="1"/>
  <c r="J772" i="86" s="1"/>
  <c r="I772" i="86" s="1"/>
  <c r="N775" i="86"/>
  <c r="R775" i="86"/>
  <c r="M778" i="86"/>
  <c r="N780" i="86"/>
  <c r="N778" i="86" s="1"/>
  <c r="R783" i="86"/>
  <c r="J783" i="86" s="1"/>
  <c r="J786" i="86"/>
  <c r="I786" i="86" s="1"/>
  <c r="J788" i="86"/>
  <c r="N791" i="86"/>
  <c r="R791" i="86"/>
  <c r="N794" i="86"/>
  <c r="Q794" i="86"/>
  <c r="J798" i="86"/>
  <c r="J799" i="86"/>
  <c r="J800" i="86"/>
  <c r="J801" i="86"/>
  <c r="J802" i="86"/>
  <c r="I802" i="86" s="1"/>
  <c r="J803" i="86"/>
  <c r="J804" i="86"/>
  <c r="I804" i="86" s="1"/>
  <c r="J805" i="86"/>
  <c r="J807" i="86"/>
  <c r="I807" i="86" s="1"/>
  <c r="J808" i="86"/>
  <c r="J809" i="86"/>
  <c r="J812" i="86"/>
  <c r="J813" i="86"/>
  <c r="J814" i="86"/>
  <c r="J816" i="86"/>
  <c r="J817" i="86"/>
  <c r="I817" i="86" s="1"/>
  <c r="J818" i="86"/>
  <c r="I818" i="86" s="1"/>
  <c r="J819" i="86"/>
  <c r="I819" i="86" s="1"/>
  <c r="J820" i="86"/>
  <c r="I820" i="86" s="1"/>
  <c r="N822" i="86"/>
  <c r="R822" i="86"/>
  <c r="J825" i="86"/>
  <c r="I825" i="86" s="1"/>
  <c r="J826" i="86"/>
  <c r="J827" i="86"/>
  <c r="I827" i="86" s="1"/>
  <c r="J828" i="86"/>
  <c r="I828" i="86" s="1"/>
  <c r="J829" i="86"/>
  <c r="I829" i="86" s="1"/>
  <c r="J830" i="86"/>
  <c r="I830" i="86" s="1"/>
  <c r="J831" i="86"/>
  <c r="I831" i="86" s="1"/>
  <c r="J832" i="86"/>
  <c r="T834" i="86"/>
  <c r="M836" i="86"/>
  <c r="M837" i="86"/>
  <c r="N838" i="86"/>
  <c r="N834" i="86" s="1"/>
  <c r="J839" i="86"/>
  <c r="I839" i="86" s="1"/>
  <c r="J840" i="86"/>
  <c r="I840" i="86" s="1"/>
  <c r="J841" i="86"/>
  <c r="I841" i="86" s="1"/>
  <c r="J842" i="86"/>
  <c r="I842" i="86" s="1"/>
  <c r="J843" i="86"/>
  <c r="J844" i="86"/>
  <c r="I844" i="86" s="1"/>
  <c r="N847" i="86"/>
  <c r="N845" i="86" s="1"/>
  <c r="J845" i="86" s="1"/>
  <c r="N848" i="86"/>
  <c r="R848" i="86"/>
  <c r="J852" i="86"/>
  <c r="I852" i="86" s="1"/>
  <c r="J853" i="86"/>
  <c r="J855" i="86"/>
  <c r="J859" i="86"/>
  <c r="I859" i="86" s="1"/>
  <c r="J860" i="86"/>
  <c r="J861" i="86"/>
  <c r="I861" i="86" s="1"/>
  <c r="J862" i="86"/>
  <c r="I862" i="86" s="1"/>
  <c r="J863" i="86"/>
  <c r="I863" i="86" s="1"/>
  <c r="Q866" i="86"/>
  <c r="Q864" i="86" s="1"/>
  <c r="N867" i="86"/>
  <c r="N864" i="86" s="1"/>
  <c r="J868" i="86"/>
  <c r="I868" i="86" s="1"/>
  <c r="O869" i="86"/>
  <c r="O28" i="86" s="1"/>
  <c r="O13" i="86"/>
  <c r="Q871" i="86"/>
  <c r="Q869" i="86" s="1"/>
  <c r="N872" i="86"/>
  <c r="N869" i="86" s="1"/>
  <c r="J873" i="86"/>
  <c r="J874" i="86"/>
  <c r="I874" i="86" s="1"/>
  <c r="J875" i="86"/>
  <c r="J876" i="86"/>
  <c r="J877" i="86"/>
  <c r="J878" i="86"/>
  <c r="I878" i="86" s="1"/>
  <c r="J879" i="86"/>
  <c r="I879" i="86" s="1"/>
  <c r="J880" i="86"/>
  <c r="J881" i="86"/>
  <c r="I881" i="86" s="1"/>
  <c r="J882" i="86"/>
  <c r="J883" i="86"/>
  <c r="I883" i="86" s="1"/>
  <c r="J884" i="86"/>
  <c r="I884" i="86" s="1"/>
  <c r="J885" i="86"/>
  <c r="I885" i="86" s="1"/>
  <c r="Q886" i="86"/>
  <c r="R886" i="86"/>
  <c r="J889" i="86"/>
  <c r="J890" i="86"/>
  <c r="I890" i="86" s="1"/>
  <c r="J891" i="86"/>
  <c r="I891" i="86" s="1"/>
  <c r="J894" i="86"/>
  <c r="I894" i="86" s="1"/>
  <c r="J895" i="86"/>
  <c r="I895" i="86" s="1"/>
  <c r="J896" i="86"/>
  <c r="I896" i="86" s="1"/>
  <c r="J897" i="86"/>
  <c r="J898" i="86"/>
  <c r="I898" i="86" s="1"/>
  <c r="J899" i="86"/>
  <c r="I899" i="86" s="1"/>
  <c r="J900" i="86"/>
  <c r="I900" i="86" s="1"/>
  <c r="J901" i="86"/>
  <c r="J902" i="86"/>
  <c r="I902" i="86" s="1"/>
  <c r="J903" i="86"/>
  <c r="J905" i="86"/>
  <c r="I905" i="86" s="1"/>
  <c r="N908" i="86"/>
  <c r="N906" i="86" s="1"/>
  <c r="J906" i="86" s="1"/>
  <c r="J909" i="86"/>
  <c r="I909" i="86" s="1"/>
  <c r="J910" i="86"/>
  <c r="I910" i="86" s="1"/>
  <c r="J911" i="86"/>
  <c r="J781" i="86"/>
  <c r="J912" i="86"/>
  <c r="I912" i="86" s="1"/>
  <c r="J913" i="86"/>
  <c r="I913" i="86" s="1"/>
  <c r="N915" i="86"/>
  <c r="Q915" i="86"/>
  <c r="Q918" i="86"/>
  <c r="J918" i="86" s="1"/>
  <c r="N921" i="86"/>
  <c r="Q921" i="86"/>
  <c r="J924" i="86"/>
  <c r="I924" i="86" s="1"/>
  <c r="J925" i="86"/>
  <c r="I925" i="86" s="1"/>
  <c r="J926" i="86"/>
  <c r="I926" i="86" s="1"/>
  <c r="J927" i="86"/>
  <c r="I927" i="86" s="1"/>
  <c r="J928" i="86"/>
  <c r="I928" i="86" s="1"/>
  <c r="J929" i="86"/>
  <c r="I929" i="86" s="1"/>
  <c r="U10" i="41"/>
  <c r="R21" i="1" s="1"/>
  <c r="V10" i="41"/>
  <c r="S21" i="1" s="1"/>
  <c r="W10" i="41"/>
  <c r="T21" i="1" s="1"/>
  <c r="X10" i="41"/>
  <c r="U21" i="1" s="1"/>
  <c r="Y10" i="41"/>
  <c r="V21" i="1" s="1"/>
  <c r="Z10" i="41"/>
  <c r="W21" i="1" s="1"/>
  <c r="AB10" i="41"/>
  <c r="K12" i="41"/>
  <c r="L12" i="41"/>
  <c r="M12" i="41"/>
  <c r="P12" i="41"/>
  <c r="R12" i="41"/>
  <c r="AG15" i="41" s="1"/>
  <c r="K13" i="41"/>
  <c r="L13" i="41"/>
  <c r="M13" i="41"/>
  <c r="P13" i="41"/>
  <c r="R13" i="41"/>
  <c r="AH15" i="41" s="1"/>
  <c r="K15" i="41"/>
  <c r="L15" i="41"/>
  <c r="M15" i="41"/>
  <c r="O15" i="41"/>
  <c r="P15" i="41"/>
  <c r="Q15" i="41"/>
  <c r="R15" i="41"/>
  <c r="K16" i="41"/>
  <c r="L16" i="41"/>
  <c r="M16" i="41"/>
  <c r="P16" i="41"/>
  <c r="Q16" i="41"/>
  <c r="K17" i="41"/>
  <c r="L17" i="41"/>
  <c r="M17" i="41"/>
  <c r="N17" i="41"/>
  <c r="O17" i="41"/>
  <c r="P17" i="41"/>
  <c r="Q17" i="41"/>
  <c r="R17" i="41"/>
  <c r="K18" i="41"/>
  <c r="L18" i="41"/>
  <c r="M18" i="41"/>
  <c r="N18" i="41"/>
  <c r="O18" i="41"/>
  <c r="P18" i="41"/>
  <c r="Q18" i="41"/>
  <c r="R18" i="41"/>
  <c r="K19" i="41"/>
  <c r="L19" i="41"/>
  <c r="M19" i="41"/>
  <c r="P19" i="41"/>
  <c r="K20" i="41"/>
  <c r="L20" i="41"/>
  <c r="M20" i="41"/>
  <c r="P20" i="41"/>
  <c r="D22" i="41"/>
  <c r="K22" i="41"/>
  <c r="L22" i="41"/>
  <c r="M22" i="41"/>
  <c r="N22" i="41"/>
  <c r="O22" i="41"/>
  <c r="P22" i="41"/>
  <c r="Q22" i="41"/>
  <c r="R22" i="41"/>
  <c r="D23" i="41"/>
  <c r="K23" i="41"/>
  <c r="L23" i="41"/>
  <c r="M23" i="41"/>
  <c r="N23" i="41"/>
  <c r="O23" i="41"/>
  <c r="P23" i="41"/>
  <c r="Q23" i="41"/>
  <c r="R23" i="41"/>
  <c r="D24" i="41"/>
  <c r="K24" i="41"/>
  <c r="M24" i="41"/>
  <c r="N24" i="41"/>
  <c r="O24" i="41"/>
  <c r="P24" i="41"/>
  <c r="Q24" i="41"/>
  <c r="D25" i="41"/>
  <c r="K25" i="41"/>
  <c r="L25" i="41"/>
  <c r="M25" i="41"/>
  <c r="N25" i="41"/>
  <c r="O25" i="41"/>
  <c r="P25" i="41"/>
  <c r="Q25" i="41"/>
  <c r="R25" i="41"/>
  <c r="D26" i="41"/>
  <c r="K26" i="41"/>
  <c r="L26" i="41"/>
  <c r="M26" i="41"/>
  <c r="N26" i="41"/>
  <c r="O26" i="41"/>
  <c r="P26" i="41"/>
  <c r="Q26" i="41"/>
  <c r="R26" i="41"/>
  <c r="K28" i="41"/>
  <c r="M28" i="41"/>
  <c r="P28" i="41"/>
  <c r="AB28" i="41"/>
  <c r="Q30" i="41"/>
  <c r="S30" i="41"/>
  <c r="T30" i="41"/>
  <c r="N30" i="41"/>
  <c r="J35" i="41"/>
  <c r="I35" i="41" s="1"/>
  <c r="J36" i="41"/>
  <c r="I36" i="41" s="1"/>
  <c r="J37" i="41"/>
  <c r="I37" i="41" s="1"/>
  <c r="J38" i="41"/>
  <c r="I38" i="41" s="1"/>
  <c r="J39" i="41"/>
  <c r="I39" i="41" s="1"/>
  <c r="J40" i="41"/>
  <c r="I40" i="41" s="1"/>
  <c r="J41" i="41"/>
  <c r="I41" i="41" s="1"/>
  <c r="J42" i="41"/>
  <c r="I42" i="41" s="1"/>
  <c r="J43" i="41"/>
  <c r="I43" i="41" s="1"/>
  <c r="J45" i="41"/>
  <c r="I45" i="41" s="1"/>
  <c r="N46" i="41"/>
  <c r="Q49" i="41"/>
  <c r="O50" i="41"/>
  <c r="R52" i="41"/>
  <c r="J53" i="41"/>
  <c r="I53" i="41" s="1"/>
  <c r="J54" i="41"/>
  <c r="I54" i="41" s="1"/>
  <c r="J55" i="41"/>
  <c r="I55" i="41" s="1"/>
  <c r="J56" i="41"/>
  <c r="I56" i="41" s="1"/>
  <c r="J57" i="41"/>
  <c r="I57" i="41" s="1"/>
  <c r="J58" i="41"/>
  <c r="I58" i="41" s="1"/>
  <c r="J62" i="41"/>
  <c r="I62" i="41" s="1"/>
  <c r="J63" i="41"/>
  <c r="I63" i="41" s="1"/>
  <c r="J64" i="41"/>
  <c r="I64" i="41" s="1"/>
  <c r="J65" i="41"/>
  <c r="I65" i="41" s="1"/>
  <c r="J66" i="41"/>
  <c r="I66" i="41" s="1"/>
  <c r="J67" i="41"/>
  <c r="I67" i="41" s="1"/>
  <c r="J68" i="41"/>
  <c r="I68" i="41" s="1"/>
  <c r="J72" i="41"/>
  <c r="I72" i="41" s="1"/>
  <c r="N74" i="41"/>
  <c r="Q75" i="41"/>
  <c r="N76" i="41"/>
  <c r="J77" i="41"/>
  <c r="I77" i="41" s="1"/>
  <c r="J78" i="41"/>
  <c r="I78" i="41" s="1"/>
  <c r="S79" i="41"/>
  <c r="T79" i="41"/>
  <c r="Q79" i="41"/>
  <c r="N86" i="41"/>
  <c r="AI30" i="41"/>
  <c r="J91" i="41"/>
  <c r="I91" i="41" s="1"/>
  <c r="J92" i="41"/>
  <c r="I92" i="41" s="1"/>
  <c r="J93" i="41"/>
  <c r="I93" i="41" s="1"/>
  <c r="J94" i="41"/>
  <c r="I94" i="41" s="1"/>
  <c r="J95" i="41"/>
  <c r="I95" i="41" s="1"/>
  <c r="J96" i="41"/>
  <c r="I96" i="41" s="1"/>
  <c r="J97" i="41"/>
  <c r="I97" i="41" s="1"/>
  <c r="J102" i="41"/>
  <c r="I102" i="41" s="1"/>
  <c r="J103" i="41"/>
  <c r="I103" i="41" s="1"/>
  <c r="N104" i="41"/>
  <c r="R106" i="41"/>
  <c r="R104" i="41" s="1"/>
  <c r="J107" i="41"/>
  <c r="I107" i="41" s="1"/>
  <c r="J108" i="41"/>
  <c r="I108" i="41" s="1"/>
  <c r="J109" i="41"/>
  <c r="I109" i="41" s="1"/>
  <c r="J110" i="41"/>
  <c r="I110" i="41" s="1"/>
  <c r="O112" i="41"/>
  <c r="R115" i="41"/>
  <c r="R112" i="41" s="1"/>
  <c r="J116" i="41"/>
  <c r="I116" i="41" s="1"/>
  <c r="J117" i="41"/>
  <c r="I117" i="41" s="1"/>
  <c r="S118" i="41"/>
  <c r="T118" i="41"/>
  <c r="N118" i="41"/>
  <c r="J126" i="41"/>
  <c r="I126" i="41" s="1"/>
  <c r="J127" i="41"/>
  <c r="I127" i="41" s="1"/>
  <c r="J128" i="41"/>
  <c r="I128" i="41" s="1"/>
  <c r="N129" i="41"/>
  <c r="R131" i="41"/>
  <c r="R129" i="41" s="1"/>
  <c r="J132" i="41"/>
  <c r="I132" i="41" s="1"/>
  <c r="J133" i="41"/>
  <c r="I133" i="41" s="1"/>
  <c r="J134" i="41"/>
  <c r="I134" i="41" s="1"/>
  <c r="N142" i="41"/>
  <c r="J146" i="41"/>
  <c r="I146" i="41" s="1"/>
  <c r="J147" i="41"/>
  <c r="I147" i="41" s="1"/>
  <c r="O148" i="41"/>
  <c r="Q150" i="41"/>
  <c r="Q148" i="41" s="1"/>
  <c r="N151" i="41"/>
  <c r="N148" i="41" s="1"/>
  <c r="J153" i="41"/>
  <c r="I153" i="41" s="1"/>
  <c r="S154" i="41"/>
  <c r="J160" i="41"/>
  <c r="I160" i="41" s="1"/>
  <c r="J161" i="41"/>
  <c r="I161" i="41" s="1"/>
  <c r="J162" i="41"/>
  <c r="I162" i="41" s="1"/>
  <c r="J163" i="41"/>
  <c r="I163" i="41" s="1"/>
  <c r="J164" i="41"/>
  <c r="I164" i="41" s="1"/>
  <c r="O167" i="41"/>
  <c r="R167" i="41"/>
  <c r="J170" i="41"/>
  <c r="I170" i="41" s="1"/>
  <c r="J171" i="41"/>
  <c r="I171" i="41" s="1"/>
  <c r="J172" i="41"/>
  <c r="I172" i="41" s="1"/>
  <c r="S172" i="41"/>
  <c r="J175" i="41"/>
  <c r="I175" i="41" s="1"/>
  <c r="J179" i="41"/>
  <c r="I179" i="41" s="1"/>
  <c r="J180" i="41"/>
  <c r="I180" i="41" s="1"/>
  <c r="N183" i="41"/>
  <c r="N184" i="41"/>
  <c r="N185" i="41"/>
  <c r="N186" i="41"/>
  <c r="AL48" i="41" s="1"/>
  <c r="AL46" i="41" s="1"/>
  <c r="J187" i="41"/>
  <c r="I187" i="41" s="1"/>
  <c r="J188" i="41"/>
  <c r="I188" i="41" s="1"/>
  <c r="J189" i="41"/>
  <c r="I189" i="41" s="1"/>
  <c r="AL63" i="41"/>
  <c r="Q13" i="41"/>
  <c r="J196" i="41"/>
  <c r="I196" i="41" s="1"/>
  <c r="J197" i="41"/>
  <c r="I197" i="41" s="1"/>
  <c r="S198" i="41"/>
  <c r="T198" i="41"/>
  <c r="Q200" i="41"/>
  <c r="Q198" i="41" s="1"/>
  <c r="N201" i="41"/>
  <c r="N202" i="41"/>
  <c r="O203" i="41"/>
  <c r="O16" i="41"/>
  <c r="R205" i="41"/>
  <c r="R203" i="41" s="1"/>
  <c r="J206" i="41"/>
  <c r="I206" i="41" s="1"/>
  <c r="J207" i="41"/>
  <c r="I207" i="41" s="1"/>
  <c r="S207" i="41"/>
  <c r="T207" i="41"/>
  <c r="J210" i="41"/>
  <c r="I210" i="41" s="1"/>
  <c r="J211" i="41"/>
  <c r="I211" i="41" s="1"/>
  <c r="J212" i="41"/>
  <c r="I212" i="41" s="1"/>
  <c r="J213" i="41"/>
  <c r="I213" i="41" s="1"/>
  <c r="J214" i="41"/>
  <c r="I214" i="41" s="1"/>
  <c r="J216" i="41"/>
  <c r="I216" i="41" s="1"/>
  <c r="N217" i="41"/>
  <c r="N16" i="41"/>
  <c r="R217" i="41"/>
  <c r="J220" i="41"/>
  <c r="I220" i="41" s="1"/>
  <c r="J221" i="41"/>
  <c r="I221" i="41" s="1"/>
  <c r="J224" i="41"/>
  <c r="I224" i="41" s="1"/>
  <c r="N225" i="41"/>
  <c r="Q227" i="41"/>
  <c r="Q225" i="41" s="1"/>
  <c r="R228" i="41"/>
  <c r="R225" i="41" s="1"/>
  <c r="J229" i="41"/>
  <c r="I229" i="41" s="1"/>
  <c r="J230" i="41"/>
  <c r="I230" i="41" s="1"/>
  <c r="N231" i="41"/>
  <c r="Q231" i="41"/>
  <c r="J238" i="41"/>
  <c r="I238" i="41" s="1"/>
  <c r="J239" i="41"/>
  <c r="I239" i="41" s="1"/>
  <c r="J240" i="41"/>
  <c r="I240" i="41" s="1"/>
  <c r="J241" i="41"/>
  <c r="I241" i="41" s="1"/>
  <c r="J242" i="41"/>
  <c r="I242" i="41" s="1"/>
  <c r="J243" i="41"/>
  <c r="I243" i="41" s="1"/>
  <c r="Q244" i="41"/>
  <c r="R244" i="41"/>
  <c r="J247" i="41"/>
  <c r="I247" i="41" s="1"/>
  <c r="J248" i="41"/>
  <c r="I248" i="41" s="1"/>
  <c r="J256" i="41"/>
  <c r="I256" i="41" s="1"/>
  <c r="J257" i="41"/>
  <c r="I257" i="41" s="1"/>
  <c r="J258" i="41"/>
  <c r="I258" i="41" s="1"/>
  <c r="J259" i="41"/>
  <c r="I259" i="41" s="1"/>
  <c r="N260" i="41"/>
  <c r="Q262" i="41"/>
  <c r="Q260" i="41" s="1"/>
  <c r="J263" i="41"/>
  <c r="I263" i="41" s="1"/>
  <c r="O264" i="41"/>
  <c r="Q264" i="41"/>
  <c r="J269" i="41"/>
  <c r="I269" i="41" s="1"/>
  <c r="J270" i="41"/>
  <c r="I270" i="41" s="1"/>
  <c r="J271" i="41"/>
  <c r="I271" i="41" s="1"/>
  <c r="J272" i="41"/>
  <c r="I272" i="41" s="1"/>
  <c r="J273" i="41"/>
  <c r="I273" i="41" s="1"/>
  <c r="J274" i="41"/>
  <c r="I274" i="41" s="1"/>
  <c r="R276" i="41"/>
  <c r="N277" i="41"/>
  <c r="Q277" i="41"/>
  <c r="R280" i="41"/>
  <c r="R277" i="41" s="1"/>
  <c r="J281" i="41"/>
  <c r="I281" i="41" s="1"/>
  <c r="J283" i="41"/>
  <c r="I283" i="41" s="1"/>
  <c r="J284" i="41"/>
  <c r="I284" i="41" s="1"/>
  <c r="J285" i="41"/>
  <c r="I285" i="41" s="1"/>
  <c r="J287" i="41"/>
  <c r="I287" i="41" s="1"/>
  <c r="J288" i="41"/>
  <c r="I288" i="41" s="1"/>
  <c r="J290" i="41"/>
  <c r="I290" i="41" s="1"/>
  <c r="J291" i="41"/>
  <c r="I291" i="41" s="1"/>
  <c r="J292" i="41"/>
  <c r="I292" i="41" s="1"/>
  <c r="Q293" i="41"/>
  <c r="O295" i="41"/>
  <c r="AL64" i="41" s="1"/>
  <c r="J296" i="41"/>
  <c r="I296" i="41" s="1"/>
  <c r="J297" i="41"/>
  <c r="I297" i="41" s="1"/>
  <c r="J298" i="41"/>
  <c r="I298" i="41" s="1"/>
  <c r="J299" i="41"/>
  <c r="I299" i="41" s="1"/>
  <c r="J300" i="41"/>
  <c r="I300" i="41" s="1"/>
  <c r="J302" i="41"/>
  <c r="I302" i="41" s="1"/>
  <c r="J303" i="41"/>
  <c r="I303" i="41" s="1"/>
  <c r="J304" i="41"/>
  <c r="I304" i="41" s="1"/>
  <c r="J305" i="41"/>
  <c r="I305" i="41" s="1"/>
  <c r="J306" i="41"/>
  <c r="I306" i="41" s="1"/>
  <c r="J307" i="41"/>
  <c r="I307" i="41" s="1"/>
  <c r="J309" i="41"/>
  <c r="I309" i="41" s="1"/>
  <c r="S10" i="61"/>
  <c r="P20" i="1" s="1"/>
  <c r="U10" i="61"/>
  <c r="R20" i="1" s="1"/>
  <c r="V10" i="61"/>
  <c r="W10" i="61"/>
  <c r="T20" i="1" s="1"/>
  <c r="Y10" i="61"/>
  <c r="V20" i="1" s="1"/>
  <c r="Z10" i="61"/>
  <c r="AB10" i="61"/>
  <c r="K12" i="61"/>
  <c r="L12" i="61"/>
  <c r="M12" i="61"/>
  <c r="O12" i="61"/>
  <c r="P12" i="61"/>
  <c r="R12" i="61"/>
  <c r="AG15" i="61" s="1"/>
  <c r="K13" i="61"/>
  <c r="M13" i="61"/>
  <c r="O13" i="61"/>
  <c r="P13" i="61"/>
  <c r="K15" i="61"/>
  <c r="L15" i="61"/>
  <c r="M15" i="61"/>
  <c r="O15" i="61"/>
  <c r="P15" i="61"/>
  <c r="K16" i="61"/>
  <c r="L16" i="61"/>
  <c r="M16" i="61"/>
  <c r="O16" i="61"/>
  <c r="P16" i="61"/>
  <c r="K17" i="61"/>
  <c r="L17" i="61"/>
  <c r="M17" i="61"/>
  <c r="N17" i="61"/>
  <c r="O17" i="61"/>
  <c r="P17" i="61"/>
  <c r="Q17" i="61"/>
  <c r="K18" i="61"/>
  <c r="L18" i="61"/>
  <c r="M18" i="61"/>
  <c r="N18" i="61"/>
  <c r="O18" i="61"/>
  <c r="P18" i="61"/>
  <c r="Q18" i="61"/>
  <c r="R18" i="61"/>
  <c r="K19" i="61"/>
  <c r="L19" i="61"/>
  <c r="M19" i="61"/>
  <c r="O19" i="61"/>
  <c r="P19" i="61"/>
  <c r="R19" i="61"/>
  <c r="K20" i="61"/>
  <c r="M20" i="61"/>
  <c r="O20" i="61"/>
  <c r="P20" i="61"/>
  <c r="D22" i="61"/>
  <c r="K22" i="61"/>
  <c r="L22" i="61"/>
  <c r="M22" i="61"/>
  <c r="N22" i="61"/>
  <c r="O22" i="61"/>
  <c r="P22" i="61"/>
  <c r="Q22" i="61"/>
  <c r="R22" i="61"/>
  <c r="D23" i="61"/>
  <c r="K23" i="61"/>
  <c r="M23" i="61"/>
  <c r="N23" i="61"/>
  <c r="O23" i="61"/>
  <c r="P23" i="61"/>
  <c r="Q23" i="61"/>
  <c r="D24" i="61"/>
  <c r="K24" i="61"/>
  <c r="L24" i="61"/>
  <c r="M24" i="61"/>
  <c r="O24" i="61"/>
  <c r="P24" i="61"/>
  <c r="Q24" i="61"/>
  <c r="D25" i="61"/>
  <c r="K25" i="61"/>
  <c r="L25" i="61"/>
  <c r="M25" i="61"/>
  <c r="N25" i="61"/>
  <c r="O25" i="61"/>
  <c r="P25" i="61"/>
  <c r="Q25" i="61"/>
  <c r="R25" i="61"/>
  <c r="D26" i="61"/>
  <c r="K26" i="61"/>
  <c r="L26" i="61"/>
  <c r="M26" i="61"/>
  <c r="N26" i="61"/>
  <c r="O26" i="61"/>
  <c r="P26" i="61"/>
  <c r="Q26" i="61"/>
  <c r="R26" i="61"/>
  <c r="K28" i="61"/>
  <c r="M28" i="61"/>
  <c r="O28" i="61"/>
  <c r="P28" i="61"/>
  <c r="AB28" i="61"/>
  <c r="J30" i="61"/>
  <c r="I30" i="61" s="1"/>
  <c r="J32" i="61"/>
  <c r="I32" i="61" s="1"/>
  <c r="J38" i="61"/>
  <c r="I38" i="61" s="1"/>
  <c r="J39" i="61"/>
  <c r="I39" i="61" s="1"/>
  <c r="J40" i="61"/>
  <c r="I40" i="61" s="1"/>
  <c r="L42" i="61"/>
  <c r="Q42" i="61"/>
  <c r="J42" i="61" s="1"/>
  <c r="J45" i="61"/>
  <c r="I45" i="61" s="1"/>
  <c r="N46" i="61"/>
  <c r="N16" i="61"/>
  <c r="R46" i="61"/>
  <c r="N49" i="61"/>
  <c r="Q51" i="61"/>
  <c r="Q52" i="61"/>
  <c r="J53" i="61"/>
  <c r="I53" i="61" s="1"/>
  <c r="J55" i="61"/>
  <c r="I55" i="61" s="1"/>
  <c r="J57" i="61"/>
  <c r="I57" i="61" s="1"/>
  <c r="J58" i="61"/>
  <c r="I58" i="61" s="1"/>
  <c r="J59" i="61"/>
  <c r="I59" i="61" s="1"/>
  <c r="X60" i="61"/>
  <c r="X10" i="61" s="1"/>
  <c r="U20" i="1" s="1"/>
  <c r="N63" i="61"/>
  <c r="Q64" i="61"/>
  <c r="N65" i="61"/>
  <c r="N67" i="61"/>
  <c r="J68" i="61"/>
  <c r="I68" i="61" s="1"/>
  <c r="J69" i="61"/>
  <c r="I69" i="61" s="1"/>
  <c r="J70" i="61"/>
  <c r="I70" i="61" s="1"/>
  <c r="T71" i="61"/>
  <c r="T10" i="61" s="1"/>
  <c r="Q20" i="1" s="1"/>
  <c r="Q73" i="61"/>
  <c r="N74" i="61"/>
  <c r="Q75" i="61"/>
  <c r="N76" i="61"/>
  <c r="N77" i="61"/>
  <c r="Q77" i="61"/>
  <c r="J80" i="61"/>
  <c r="I80" i="61" s="1"/>
  <c r="J81" i="61"/>
  <c r="J82" i="61"/>
  <c r="I82" i="61" s="1"/>
  <c r="R83" i="61"/>
  <c r="Q107" i="61"/>
  <c r="Q105" i="61" s="1"/>
  <c r="R108" i="61"/>
  <c r="R105" i="61" s="1"/>
  <c r="J109" i="61"/>
  <c r="I109" i="61" s="1"/>
  <c r="J110" i="61"/>
  <c r="J111" i="61"/>
  <c r="I111" i="61" s="1"/>
  <c r="J112" i="61"/>
  <c r="I112" i="61" s="1"/>
  <c r="J113" i="61"/>
  <c r="I113" i="61" s="1"/>
  <c r="J114" i="61"/>
  <c r="I114" i="61" s="1"/>
  <c r="Q117" i="61"/>
  <c r="N118" i="61"/>
  <c r="Q119" i="61"/>
  <c r="N120" i="61"/>
  <c r="Q121" i="61"/>
  <c r="N122" i="61"/>
  <c r="N123" i="61"/>
  <c r="R123" i="61"/>
  <c r="J126" i="61"/>
  <c r="J127" i="61"/>
  <c r="I127" i="61" s="1"/>
  <c r="J128" i="61"/>
  <c r="I128" i="61" s="1"/>
  <c r="J130" i="61"/>
  <c r="I130" i="61" s="1"/>
  <c r="J131" i="61"/>
  <c r="I131" i="61" s="1"/>
  <c r="J132" i="61"/>
  <c r="I132" i="61" s="1"/>
  <c r="J133" i="61"/>
  <c r="N134" i="61"/>
  <c r="Q136" i="61"/>
  <c r="Q134" i="61" s="1"/>
  <c r="J137" i="61"/>
  <c r="I137" i="61" s="1"/>
  <c r="J138" i="61"/>
  <c r="N139" i="61"/>
  <c r="N19" i="61"/>
  <c r="Q141" i="61"/>
  <c r="Q142" i="61"/>
  <c r="N143" i="61"/>
  <c r="Q143" i="61"/>
  <c r="R143" i="61"/>
  <c r="J147" i="61"/>
  <c r="J148" i="61"/>
  <c r="I148" i="61" s="1"/>
  <c r="J149" i="61"/>
  <c r="R151" i="61"/>
  <c r="R150" i="61" s="1"/>
  <c r="L152" i="61"/>
  <c r="Q153" i="61"/>
  <c r="Q150" i="61" s="1"/>
  <c r="L154" i="61"/>
  <c r="N155" i="61"/>
  <c r="Q158" i="61"/>
  <c r="Q156" i="61" s="1"/>
  <c r="N159" i="61"/>
  <c r="N160" i="61"/>
  <c r="N161" i="61"/>
  <c r="N162" i="61"/>
  <c r="N163" i="61"/>
  <c r="N164" i="61"/>
  <c r="J165" i="61"/>
  <c r="I165" i="61" s="1"/>
  <c r="J166" i="61"/>
  <c r="J167" i="61"/>
  <c r="J168" i="61"/>
  <c r="N169" i="61"/>
  <c r="Q171" i="61"/>
  <c r="Q169" i="61" s="1"/>
  <c r="J172" i="61"/>
  <c r="I172" i="61" s="1"/>
  <c r="J173" i="61"/>
  <c r="I173" i="61" s="1"/>
  <c r="Q176" i="61"/>
  <c r="N177" i="61"/>
  <c r="N178" i="61"/>
  <c r="Q179" i="61"/>
  <c r="Q180" i="61"/>
  <c r="Q181" i="61"/>
  <c r="N182" i="61"/>
  <c r="R183" i="61"/>
  <c r="J184" i="61"/>
  <c r="I184" i="61" s="1"/>
  <c r="J185" i="61"/>
  <c r="I185" i="61" s="1"/>
  <c r="Q188" i="61"/>
  <c r="R189" i="61"/>
  <c r="R186" i="61" s="1"/>
  <c r="Q190" i="61"/>
  <c r="N191" i="61"/>
  <c r="Q192" i="61"/>
  <c r="N193" i="61"/>
  <c r="N194" i="61"/>
  <c r="Q194" i="61"/>
  <c r="J197" i="61"/>
  <c r="J198" i="61"/>
  <c r="I198" i="61" s="1"/>
  <c r="J199" i="61"/>
  <c r="J200" i="61"/>
  <c r="I200" i="61" s="1"/>
  <c r="J201" i="61"/>
  <c r="Q204" i="61"/>
  <c r="Q205" i="61"/>
  <c r="N206" i="61"/>
  <c r="N202" i="61" s="1"/>
  <c r="J208" i="61"/>
  <c r="I208" i="61" s="1"/>
  <c r="N209" i="61"/>
  <c r="Q211" i="61"/>
  <c r="Q209" i="61" s="1"/>
  <c r="J212" i="61"/>
  <c r="I212" i="61" s="1"/>
  <c r="J213" i="61"/>
  <c r="I213" i="61" s="1"/>
  <c r="J214" i="61"/>
  <c r="I214" i="61" s="1"/>
  <c r="Q215" i="61"/>
  <c r="N217" i="61"/>
  <c r="N215" i="61" s="1"/>
  <c r="J218" i="61"/>
  <c r="I218" i="61" s="1"/>
  <c r="J219" i="61"/>
  <c r="I219" i="61" s="1"/>
  <c r="J220" i="61"/>
  <c r="I220" i="61" s="1"/>
  <c r="N221" i="61"/>
  <c r="Q221" i="61"/>
  <c r="R224" i="61"/>
  <c r="Q228" i="61"/>
  <c r="Q229" i="61"/>
  <c r="N230" i="61"/>
  <c r="N226" i="61" s="1"/>
  <c r="Q231" i="61"/>
  <c r="Q232" i="61"/>
  <c r="Q16" i="61" s="1"/>
  <c r="J233" i="61"/>
  <c r="R234" i="61"/>
  <c r="J234" i="61" s="1"/>
  <c r="J237" i="61"/>
  <c r="J238" i="61"/>
  <c r="I238" i="61" s="1"/>
  <c r="R239" i="61"/>
  <c r="J239" i="61" s="1"/>
  <c r="J242" i="61"/>
  <c r="I242" i="61" s="1"/>
  <c r="J243" i="61"/>
  <c r="N244" i="61"/>
  <c r="R244" i="61"/>
  <c r="J247" i="61"/>
  <c r="I247" i="61" s="1"/>
  <c r="J248" i="61"/>
  <c r="J249" i="61"/>
  <c r="I249" i="61" s="1"/>
  <c r="J251" i="61"/>
  <c r="N252" i="61"/>
  <c r="Q255" i="61"/>
  <c r="Q252" i="61" s="1"/>
  <c r="J256" i="61"/>
  <c r="I256" i="61" s="1"/>
  <c r="J257" i="61"/>
  <c r="I257" i="61" s="1"/>
  <c r="J258" i="61"/>
  <c r="I258" i="61" s="1"/>
  <c r="J259" i="61"/>
  <c r="Q260" i="61"/>
  <c r="R260" i="61"/>
  <c r="J263" i="61"/>
  <c r="I263" i="61" s="1"/>
  <c r="J264" i="61"/>
  <c r="I264" i="61" s="1"/>
  <c r="R265" i="61"/>
  <c r="J265" i="61" s="1"/>
  <c r="I265" i="61" s="1"/>
  <c r="J268" i="61"/>
  <c r="I268" i="61" s="1"/>
  <c r="J269" i="61"/>
  <c r="I269" i="61" s="1"/>
  <c r="Q270" i="61"/>
  <c r="R270" i="61"/>
  <c r="J275" i="61"/>
  <c r="N276" i="61"/>
  <c r="R278" i="61"/>
  <c r="Q279" i="61"/>
  <c r="Q276" i="61" s="1"/>
  <c r="R280" i="61"/>
  <c r="J283" i="61"/>
  <c r="I283" i="61" s="1"/>
  <c r="J284" i="61"/>
  <c r="J285" i="61"/>
  <c r="I285" i="61" s="1"/>
  <c r="J286" i="61"/>
  <c r="J287" i="61"/>
  <c r="Q290" i="61"/>
  <c r="Q288" i="61" s="1"/>
  <c r="R291" i="61"/>
  <c r="J292" i="61"/>
  <c r="I292" i="61" s="1"/>
  <c r="J293" i="61"/>
  <c r="I293" i="61" s="1"/>
  <c r="J294" i="61"/>
  <c r="I294" i="61" s="1"/>
  <c r="J295" i="61"/>
  <c r="I295" i="61" s="1"/>
  <c r="J296" i="61"/>
  <c r="I296" i="61" s="1"/>
  <c r="J298" i="61"/>
  <c r="I298" i="61" s="1"/>
  <c r="J299" i="61"/>
  <c r="I299" i="61" s="1"/>
  <c r="J300" i="61"/>
  <c r="I300" i="61" s="1"/>
  <c r="J301" i="61"/>
  <c r="Q303" i="61"/>
  <c r="J303" i="61" s="1"/>
  <c r="J308" i="61"/>
  <c r="J309" i="61"/>
  <c r="N310" i="61"/>
  <c r="Q312" i="61"/>
  <c r="Q310" i="61" s="1"/>
  <c r="R313" i="61"/>
  <c r="R310" i="61" s="1"/>
  <c r="J314" i="61"/>
  <c r="I314" i="61" s="1"/>
  <c r="N315" i="61"/>
  <c r="R317" i="61"/>
  <c r="R315" i="61" s="1"/>
  <c r="J318" i="61"/>
  <c r="I318" i="61" s="1"/>
  <c r="J319" i="61"/>
  <c r="I319" i="61" s="1"/>
  <c r="S10" i="169"/>
  <c r="T10" i="169"/>
  <c r="Q19" i="1" s="1"/>
  <c r="U10" i="169"/>
  <c r="V10" i="169"/>
  <c r="S19" i="1" s="1"/>
  <c r="W10" i="169"/>
  <c r="Y10" i="169"/>
  <c r="V19" i="1" s="1"/>
  <c r="Z10" i="169"/>
  <c r="AB10" i="169"/>
  <c r="K12" i="169"/>
  <c r="L12" i="169"/>
  <c r="M12" i="169"/>
  <c r="O12" i="169"/>
  <c r="P12" i="169"/>
  <c r="R12" i="169"/>
  <c r="AG15" i="169" s="1"/>
  <c r="K13" i="169"/>
  <c r="M13" i="169"/>
  <c r="O13" i="169"/>
  <c r="P13" i="169"/>
  <c r="K15" i="169"/>
  <c r="L15" i="169"/>
  <c r="M15" i="169"/>
  <c r="O15" i="169"/>
  <c r="P15" i="169"/>
  <c r="K16" i="169"/>
  <c r="L16" i="169"/>
  <c r="M16" i="169"/>
  <c r="O16" i="169"/>
  <c r="P16" i="169"/>
  <c r="K17" i="169"/>
  <c r="L17" i="169"/>
  <c r="M17" i="169"/>
  <c r="O17" i="169"/>
  <c r="P17" i="169"/>
  <c r="Q17" i="169"/>
  <c r="K18" i="169"/>
  <c r="L18" i="169"/>
  <c r="M18" i="169"/>
  <c r="N18" i="169"/>
  <c r="O18" i="169"/>
  <c r="P18" i="169"/>
  <c r="Q18" i="169"/>
  <c r="R18" i="169"/>
  <c r="K19" i="169"/>
  <c r="L19" i="169"/>
  <c r="M19" i="169"/>
  <c r="O19" i="169"/>
  <c r="P19" i="169"/>
  <c r="R19" i="169"/>
  <c r="K20" i="169"/>
  <c r="M20" i="169"/>
  <c r="O20" i="169"/>
  <c r="P20" i="169"/>
  <c r="D22" i="169"/>
  <c r="K22" i="169"/>
  <c r="L22" i="169"/>
  <c r="M22" i="169"/>
  <c r="N22" i="169"/>
  <c r="O22" i="169"/>
  <c r="P22" i="169"/>
  <c r="Q22" i="169"/>
  <c r="R22" i="169"/>
  <c r="D23" i="169"/>
  <c r="K23" i="169"/>
  <c r="L23" i="169"/>
  <c r="M23" i="169"/>
  <c r="N23" i="169"/>
  <c r="O23" i="169"/>
  <c r="P23" i="169"/>
  <c r="Q23" i="169"/>
  <c r="R23" i="169"/>
  <c r="D24" i="169"/>
  <c r="K24" i="169"/>
  <c r="L24" i="169"/>
  <c r="M24" i="169"/>
  <c r="O24" i="169"/>
  <c r="P24" i="169"/>
  <c r="D25" i="169"/>
  <c r="K25" i="169"/>
  <c r="L25" i="169"/>
  <c r="M25" i="169"/>
  <c r="N25" i="169"/>
  <c r="O25" i="169"/>
  <c r="P25" i="169"/>
  <c r="Q25" i="169"/>
  <c r="R25" i="169"/>
  <c r="D26" i="169"/>
  <c r="K26" i="169"/>
  <c r="L26" i="169"/>
  <c r="M26" i="169"/>
  <c r="N26" i="169"/>
  <c r="O26" i="169"/>
  <c r="P26" i="169"/>
  <c r="Q26" i="169"/>
  <c r="R26" i="169"/>
  <c r="K28" i="169"/>
  <c r="M28" i="169"/>
  <c r="O28" i="169"/>
  <c r="P28" i="169"/>
  <c r="AB28" i="169"/>
  <c r="N30" i="169"/>
  <c r="Q30" i="169"/>
  <c r="R36" i="169"/>
  <c r="AL66" i="169" s="1"/>
  <c r="J37" i="169"/>
  <c r="I37" i="169" s="1"/>
  <c r="J38" i="169"/>
  <c r="J39" i="169"/>
  <c r="I39" i="169" s="1"/>
  <c r="J40" i="169"/>
  <c r="I40" i="169" s="1"/>
  <c r="J41" i="169"/>
  <c r="I41" i="169" s="1"/>
  <c r="J42" i="169"/>
  <c r="I42" i="169" s="1"/>
  <c r="J43" i="169"/>
  <c r="I43" i="169" s="1"/>
  <c r="Q46" i="169"/>
  <c r="N47" i="169"/>
  <c r="AL36" i="169" s="1"/>
  <c r="N44" i="169"/>
  <c r="Q48" i="169"/>
  <c r="Q12" i="169" s="1"/>
  <c r="N49" i="169"/>
  <c r="J55" i="169"/>
  <c r="I55" i="169" s="1"/>
  <c r="J56" i="169"/>
  <c r="I56" i="169" s="1"/>
  <c r="J57" i="169"/>
  <c r="I57" i="169" s="1"/>
  <c r="J58" i="169"/>
  <c r="I58" i="169" s="1"/>
  <c r="J59" i="169"/>
  <c r="I59" i="169" s="1"/>
  <c r="J60" i="169"/>
  <c r="I60" i="169" s="1"/>
  <c r="J61" i="169"/>
  <c r="I61" i="169" s="1"/>
  <c r="J62" i="169"/>
  <c r="I62" i="169" s="1"/>
  <c r="J110" i="169"/>
  <c r="I110" i="169" s="1"/>
  <c r="J111" i="169"/>
  <c r="I111" i="169" s="1"/>
  <c r="J63" i="169"/>
  <c r="I63" i="169" s="1"/>
  <c r="J64" i="169"/>
  <c r="I64" i="169" s="1"/>
  <c r="J65" i="169"/>
  <c r="I65" i="169" s="1"/>
  <c r="J66" i="169"/>
  <c r="I66" i="169" s="1"/>
  <c r="X66" i="169"/>
  <c r="X10" i="169" s="1"/>
  <c r="U19" i="1" s="1"/>
  <c r="J67" i="169"/>
  <c r="I67" i="169" s="1"/>
  <c r="J68" i="169"/>
  <c r="J69" i="169"/>
  <c r="I69" i="169" s="1"/>
  <c r="J70" i="169"/>
  <c r="I70" i="169" s="1"/>
  <c r="J71" i="169"/>
  <c r="I71" i="169" s="1"/>
  <c r="J72" i="169"/>
  <c r="J73" i="169"/>
  <c r="J74" i="169"/>
  <c r="I74" i="169" s="1"/>
  <c r="N75" i="169"/>
  <c r="Q75" i="169"/>
  <c r="N78" i="169"/>
  <c r="R78" i="169"/>
  <c r="J81" i="169"/>
  <c r="I81" i="169" s="1"/>
  <c r="J82" i="169"/>
  <c r="I82" i="169" s="1"/>
  <c r="J83" i="169"/>
  <c r="I83" i="169" s="1"/>
  <c r="J84" i="169"/>
  <c r="I84" i="169" s="1"/>
  <c r="J85" i="169"/>
  <c r="I85" i="169" s="1"/>
  <c r="J86" i="169"/>
  <c r="I86" i="169" s="1"/>
  <c r="J87" i="169"/>
  <c r="I87" i="169" s="1"/>
  <c r="J88" i="169"/>
  <c r="I88" i="169" s="1"/>
  <c r="J89" i="169"/>
  <c r="I89" i="169" s="1"/>
  <c r="Q92" i="169"/>
  <c r="R92" i="169"/>
  <c r="J95" i="169"/>
  <c r="I95" i="169" s="1"/>
  <c r="J96" i="169"/>
  <c r="I96" i="169" s="1"/>
  <c r="J97" i="169"/>
  <c r="I97" i="169" s="1"/>
  <c r="J98" i="169"/>
  <c r="I98" i="169" s="1"/>
  <c r="J99" i="169"/>
  <c r="I99" i="169" s="1"/>
  <c r="Q100" i="169"/>
  <c r="R100" i="169"/>
  <c r="J103" i="169"/>
  <c r="I103" i="169" s="1"/>
  <c r="N104" i="169"/>
  <c r="Q104" i="169"/>
  <c r="N107" i="169"/>
  <c r="J107" i="169" s="1"/>
  <c r="I107" i="169" s="1"/>
  <c r="J112" i="169"/>
  <c r="J113" i="169"/>
  <c r="I113" i="169" s="1"/>
  <c r="J114" i="169"/>
  <c r="I114" i="169" s="1"/>
  <c r="J115" i="169"/>
  <c r="N123" i="169"/>
  <c r="Q123" i="169"/>
  <c r="N126" i="169"/>
  <c r="R126" i="169"/>
  <c r="J129" i="169"/>
  <c r="J133" i="169"/>
  <c r="I133" i="169" s="1"/>
  <c r="J134" i="169"/>
  <c r="I134" i="169" s="1"/>
  <c r="J135" i="169"/>
  <c r="N136" i="169"/>
  <c r="R136" i="169"/>
  <c r="J139" i="169"/>
  <c r="I139" i="169" s="1"/>
  <c r="J140" i="169"/>
  <c r="I140" i="169" s="1"/>
  <c r="Q141" i="169"/>
  <c r="R141" i="169"/>
  <c r="J145" i="169"/>
  <c r="I145" i="169" s="1"/>
  <c r="J147" i="169"/>
  <c r="I147" i="169" s="1"/>
  <c r="N148" i="169"/>
  <c r="Q148" i="169"/>
  <c r="J151" i="169"/>
  <c r="I151" i="169" s="1"/>
  <c r="J152" i="169"/>
  <c r="I152" i="169" s="1"/>
  <c r="J153" i="169"/>
  <c r="I153" i="169" s="1"/>
  <c r="J154" i="169"/>
  <c r="I154" i="169" s="1"/>
  <c r="J155" i="169"/>
  <c r="I155" i="169" s="1"/>
  <c r="J156" i="169"/>
  <c r="I156" i="169" s="1"/>
  <c r="J157" i="169"/>
  <c r="I157" i="169" s="1"/>
  <c r="J159" i="169"/>
  <c r="I159" i="169" s="1"/>
  <c r="J160" i="169"/>
  <c r="I160" i="169" s="1"/>
  <c r="J185" i="169"/>
  <c r="I185" i="169" s="1"/>
  <c r="J161" i="169"/>
  <c r="I161" i="169" s="1"/>
  <c r="J162" i="169"/>
  <c r="I162" i="169" s="1"/>
  <c r="J163" i="169"/>
  <c r="I163" i="169" s="1"/>
  <c r="N164" i="169"/>
  <c r="Q164" i="169"/>
  <c r="J167" i="169"/>
  <c r="I167" i="169" s="1"/>
  <c r="N168" i="169"/>
  <c r="Q168" i="169"/>
  <c r="J171" i="169"/>
  <c r="I171" i="169" s="1"/>
  <c r="J172" i="169"/>
  <c r="I172" i="169" s="1"/>
  <c r="Q173" i="169"/>
  <c r="R173" i="169"/>
  <c r="J176" i="169"/>
  <c r="I176" i="169" s="1"/>
  <c r="J177" i="169"/>
  <c r="I177" i="169" s="1"/>
  <c r="J178" i="169"/>
  <c r="J179" i="169"/>
  <c r="J180" i="169"/>
  <c r="J205" i="169"/>
  <c r="I205" i="169" s="1"/>
  <c r="J206" i="169"/>
  <c r="I206" i="169" s="1"/>
  <c r="J184" i="169"/>
  <c r="I184" i="169" s="1"/>
  <c r="J186" i="169"/>
  <c r="I186" i="169" s="1"/>
  <c r="J188" i="169"/>
  <c r="N189" i="169"/>
  <c r="Q189" i="169"/>
  <c r="R189" i="169"/>
  <c r="N195" i="169"/>
  <c r="Q195" i="169"/>
  <c r="Q198" i="169"/>
  <c r="R198" i="169"/>
  <c r="Q202" i="169"/>
  <c r="R202" i="169"/>
  <c r="N207" i="169"/>
  <c r="R207" i="169"/>
  <c r="J210" i="169"/>
  <c r="I210" i="169" s="1"/>
  <c r="J211" i="169"/>
  <c r="I211" i="169" s="1"/>
  <c r="J212" i="169"/>
  <c r="I212" i="169" s="1"/>
  <c r="J213" i="169"/>
  <c r="I213" i="169" s="1"/>
  <c r="N214" i="169"/>
  <c r="Q214" i="169"/>
  <c r="J217" i="169"/>
  <c r="I217" i="169" s="1"/>
  <c r="J218" i="169"/>
  <c r="I218" i="169" s="1"/>
  <c r="N219" i="169"/>
  <c r="R219" i="169"/>
  <c r="J222" i="169"/>
  <c r="I222" i="169" s="1"/>
  <c r="J223" i="169"/>
  <c r="I223" i="169" s="1"/>
  <c r="J224" i="169"/>
  <c r="I224" i="169" s="1"/>
  <c r="J225" i="169"/>
  <c r="I225" i="169" s="1"/>
  <c r="J226" i="169"/>
  <c r="I226" i="169" s="1"/>
  <c r="Q229" i="169"/>
  <c r="Q227" i="169" s="1"/>
  <c r="N230" i="169"/>
  <c r="AL63" i="169" s="1"/>
  <c r="J231" i="169"/>
  <c r="I231" i="169" s="1"/>
  <c r="Q232" i="169"/>
  <c r="R232" i="169"/>
  <c r="J235" i="169"/>
  <c r="I235" i="169" s="1"/>
  <c r="J236" i="169"/>
  <c r="I236" i="169" s="1"/>
  <c r="J237" i="169"/>
  <c r="I237" i="169" s="1"/>
  <c r="J239" i="169"/>
  <c r="I239" i="169" s="1"/>
  <c r="J240" i="169"/>
  <c r="I240" i="169" s="1"/>
  <c r="J241" i="169"/>
  <c r="I241" i="169" s="1"/>
  <c r="J242" i="169"/>
  <c r="I242" i="169" s="1"/>
  <c r="J243" i="169"/>
  <c r="I243" i="169" s="1"/>
  <c r="J244" i="169"/>
  <c r="I244" i="169" s="1"/>
  <c r="J245" i="169"/>
  <c r="I245" i="169" s="1"/>
  <c r="J247" i="169"/>
  <c r="I247" i="169" s="1"/>
  <c r="J248" i="169"/>
  <c r="I248" i="169" s="1"/>
  <c r="J249" i="169"/>
  <c r="I249" i="169" s="1"/>
  <c r="J250" i="169"/>
  <c r="N253" i="169"/>
  <c r="Q253" i="169"/>
  <c r="J258" i="169"/>
  <c r="I258" i="169" s="1"/>
  <c r="J259" i="169"/>
  <c r="I259" i="169" s="1"/>
  <c r="J262" i="169"/>
  <c r="I262" i="169" s="1"/>
  <c r="N263" i="169"/>
  <c r="R263" i="169"/>
  <c r="J266" i="169"/>
  <c r="I266" i="169" s="1"/>
  <c r="N267" i="169"/>
  <c r="R267" i="169"/>
  <c r="N270" i="169"/>
  <c r="Q270" i="169"/>
  <c r="Q24" i="169" s="1"/>
  <c r="J273" i="169"/>
  <c r="I273" i="169" s="1"/>
  <c r="N274" i="169"/>
  <c r="N17" i="169"/>
  <c r="R274" i="169"/>
  <c r="R17" i="169"/>
  <c r="J277" i="169"/>
  <c r="I277" i="169" s="1"/>
  <c r="N278" i="169"/>
  <c r="N16" i="169"/>
  <c r="R280" i="169"/>
  <c r="R278" i="169" s="1"/>
  <c r="J281" i="169"/>
  <c r="I281" i="169" s="1"/>
  <c r="J201" i="169"/>
  <c r="I201" i="169" s="1"/>
  <c r="J283" i="169"/>
  <c r="I283" i="169" s="1"/>
  <c r="J284" i="169"/>
  <c r="I284" i="169" s="1"/>
  <c r="J285" i="169"/>
  <c r="I285" i="169" s="1"/>
  <c r="J286" i="169"/>
  <c r="I286" i="169" s="1"/>
  <c r="J287" i="169"/>
  <c r="I287" i="169" s="1"/>
  <c r="J288" i="169"/>
  <c r="I288" i="169" s="1"/>
  <c r="J289" i="169"/>
  <c r="I289" i="169" s="1"/>
  <c r="J290" i="169"/>
  <c r="I290" i="169" s="1"/>
  <c r="J291" i="169"/>
  <c r="I291" i="169" s="1"/>
  <c r="J292" i="169"/>
  <c r="I292" i="169" s="1"/>
  <c r="J293" i="169"/>
  <c r="I293" i="169" s="1"/>
  <c r="J294" i="169"/>
  <c r="I294" i="169" s="1"/>
  <c r="J295" i="169"/>
  <c r="I295" i="169" s="1"/>
  <c r="J299" i="169"/>
  <c r="I299" i="169" s="1"/>
  <c r="J300" i="169"/>
  <c r="I300" i="169" s="1"/>
  <c r="J302" i="169"/>
  <c r="I302" i="169" s="1"/>
  <c r="S10" i="59"/>
  <c r="P17" i="1" s="1"/>
  <c r="U10" i="59"/>
  <c r="V10" i="59"/>
  <c r="S17" i="1" s="1"/>
  <c r="X10" i="59"/>
  <c r="Y10" i="59"/>
  <c r="V17" i="1" s="1"/>
  <c r="Z10" i="59"/>
  <c r="K12" i="59"/>
  <c r="L12" i="59"/>
  <c r="M12" i="59"/>
  <c r="O12" i="59"/>
  <c r="P12" i="59"/>
  <c r="R12" i="59"/>
  <c r="AG15" i="59" s="1"/>
  <c r="K13" i="59"/>
  <c r="L13" i="59"/>
  <c r="M13" i="59"/>
  <c r="O13" i="59"/>
  <c r="P13" i="59"/>
  <c r="K15" i="59"/>
  <c r="L15" i="59"/>
  <c r="M15" i="59"/>
  <c r="N15" i="59"/>
  <c r="O15" i="59"/>
  <c r="P15" i="59"/>
  <c r="K16" i="59"/>
  <c r="L16" i="59"/>
  <c r="M16" i="59"/>
  <c r="N16" i="59"/>
  <c r="O16" i="59"/>
  <c r="P16" i="59"/>
  <c r="Q16" i="59"/>
  <c r="K17" i="59"/>
  <c r="L17" i="59"/>
  <c r="M17" i="59"/>
  <c r="N17" i="59"/>
  <c r="O17" i="59"/>
  <c r="P17" i="59"/>
  <c r="Q17" i="59"/>
  <c r="K18" i="59"/>
  <c r="L18" i="59"/>
  <c r="M18" i="59"/>
  <c r="N18" i="59"/>
  <c r="O18" i="59"/>
  <c r="P18" i="59"/>
  <c r="Q18" i="59"/>
  <c r="R18" i="59"/>
  <c r="K19" i="59"/>
  <c r="L19" i="59"/>
  <c r="M19" i="59"/>
  <c r="O19" i="59"/>
  <c r="P19" i="59"/>
  <c r="K20" i="59"/>
  <c r="L20" i="59"/>
  <c r="M20" i="59"/>
  <c r="O20" i="59"/>
  <c r="P20" i="59"/>
  <c r="D22" i="59"/>
  <c r="K22" i="59"/>
  <c r="L22" i="59"/>
  <c r="M22" i="59"/>
  <c r="O22" i="59"/>
  <c r="P22" i="59"/>
  <c r="Q22" i="59"/>
  <c r="D23" i="59"/>
  <c r="K23" i="59"/>
  <c r="L23" i="59"/>
  <c r="M23" i="59"/>
  <c r="N23" i="59"/>
  <c r="O23" i="59"/>
  <c r="P23" i="59"/>
  <c r="D24" i="59"/>
  <c r="K24" i="59"/>
  <c r="L24" i="59"/>
  <c r="M24" i="59"/>
  <c r="N24" i="59"/>
  <c r="O24" i="59"/>
  <c r="P24" i="59"/>
  <c r="Q24" i="59"/>
  <c r="R24" i="59"/>
  <c r="D25" i="59"/>
  <c r="K25" i="59"/>
  <c r="L25" i="59"/>
  <c r="M25" i="59"/>
  <c r="N25" i="59"/>
  <c r="O25" i="59"/>
  <c r="P25" i="59"/>
  <c r="Q25" i="59"/>
  <c r="R25" i="59"/>
  <c r="D26" i="59"/>
  <c r="K26" i="59"/>
  <c r="L26" i="59"/>
  <c r="M26" i="59"/>
  <c r="N26" i="59"/>
  <c r="O26" i="59"/>
  <c r="P26" i="59"/>
  <c r="Q26" i="59"/>
  <c r="R26" i="59"/>
  <c r="K28" i="59"/>
  <c r="L28" i="59"/>
  <c r="M28" i="59"/>
  <c r="O28" i="59"/>
  <c r="P28" i="59"/>
  <c r="AB28" i="59"/>
  <c r="W10" i="59"/>
  <c r="T17" i="1" s="1"/>
  <c r="T10" i="59"/>
  <c r="Q17" i="1" s="1"/>
  <c r="AL57" i="59"/>
  <c r="N22" i="59"/>
  <c r="AI31" i="59"/>
  <c r="R13" i="59"/>
  <c r="AH15" i="59" s="1"/>
  <c r="Q23" i="59"/>
  <c r="R23" i="59"/>
  <c r="R15" i="59"/>
  <c r="S10" i="51"/>
  <c r="P18" i="1" s="1"/>
  <c r="T10" i="51"/>
  <c r="Q18" i="1" s="1"/>
  <c r="U10" i="51"/>
  <c r="R18" i="1" s="1"/>
  <c r="V10" i="51"/>
  <c r="S18" i="1" s="1"/>
  <c r="W10" i="51"/>
  <c r="T18" i="1" s="1"/>
  <c r="Y10" i="51"/>
  <c r="V18" i="1" s="1"/>
  <c r="AB10" i="51"/>
  <c r="M12" i="51"/>
  <c r="O12" i="51"/>
  <c r="R12" i="51"/>
  <c r="AG15" i="51" s="1"/>
  <c r="K13" i="51"/>
  <c r="M13" i="51"/>
  <c r="O13" i="51"/>
  <c r="P13" i="51"/>
  <c r="K15" i="51"/>
  <c r="L15" i="51"/>
  <c r="M15" i="51"/>
  <c r="N15" i="51"/>
  <c r="O15" i="51"/>
  <c r="P15" i="51"/>
  <c r="K16" i="51"/>
  <c r="L16" i="51"/>
  <c r="M16" i="51"/>
  <c r="N16" i="51"/>
  <c r="O16" i="51"/>
  <c r="P16" i="51"/>
  <c r="K17" i="51"/>
  <c r="L17" i="51"/>
  <c r="M17" i="51"/>
  <c r="O17" i="51"/>
  <c r="P17" i="51"/>
  <c r="L18" i="51"/>
  <c r="M18" i="51"/>
  <c r="N18" i="51"/>
  <c r="O18" i="51"/>
  <c r="P18" i="51"/>
  <c r="Q18" i="51"/>
  <c r="R18" i="51"/>
  <c r="K19" i="51"/>
  <c r="M19" i="51"/>
  <c r="O19" i="51"/>
  <c r="R19" i="51"/>
  <c r="K20" i="51"/>
  <c r="M20" i="51"/>
  <c r="P20" i="51"/>
  <c r="D22" i="51"/>
  <c r="K22" i="51"/>
  <c r="L22" i="51"/>
  <c r="M22" i="51"/>
  <c r="N22" i="51"/>
  <c r="O22" i="51"/>
  <c r="P22" i="51"/>
  <c r="Q22" i="51"/>
  <c r="R22" i="51"/>
  <c r="D23" i="51"/>
  <c r="K23" i="51"/>
  <c r="L23" i="51"/>
  <c r="M23" i="51"/>
  <c r="N23" i="51"/>
  <c r="O23" i="51"/>
  <c r="P23" i="51"/>
  <c r="Q23" i="51"/>
  <c r="R23" i="51"/>
  <c r="D24" i="51"/>
  <c r="K24" i="51"/>
  <c r="L24" i="51"/>
  <c r="M24" i="51"/>
  <c r="O24" i="51"/>
  <c r="P24" i="51"/>
  <c r="R24" i="51"/>
  <c r="D25" i="51"/>
  <c r="K25" i="51"/>
  <c r="L25" i="51"/>
  <c r="M25" i="51"/>
  <c r="N25" i="51"/>
  <c r="O25" i="51"/>
  <c r="P25" i="51"/>
  <c r="Q25" i="51"/>
  <c r="R25" i="51"/>
  <c r="D26" i="51"/>
  <c r="K26" i="51"/>
  <c r="L26" i="51"/>
  <c r="M26" i="51"/>
  <c r="N26" i="51"/>
  <c r="O26" i="51"/>
  <c r="P26" i="51"/>
  <c r="Q26" i="51"/>
  <c r="R26" i="51"/>
  <c r="M28" i="51"/>
  <c r="AB28" i="51"/>
  <c r="K28" i="51"/>
  <c r="J42" i="51"/>
  <c r="R45" i="51"/>
  <c r="Q47" i="51"/>
  <c r="J49" i="51"/>
  <c r="I49" i="51" s="1"/>
  <c r="N50" i="51"/>
  <c r="N24" i="51" s="1"/>
  <c r="Q52" i="51"/>
  <c r="Q50" i="51" s="1"/>
  <c r="Q24" i="51" s="1"/>
  <c r="J53" i="51"/>
  <c r="J54" i="51"/>
  <c r="I54" i="51" s="1"/>
  <c r="J55" i="51"/>
  <c r="J56" i="51"/>
  <c r="I56" i="51" s="1"/>
  <c r="J254" i="51"/>
  <c r="N60" i="51"/>
  <c r="N61" i="51"/>
  <c r="N62" i="51"/>
  <c r="N65" i="51"/>
  <c r="N66" i="51"/>
  <c r="Q67" i="51"/>
  <c r="N68" i="51"/>
  <c r="J69" i="51"/>
  <c r="I69" i="51" s="1"/>
  <c r="J70" i="51"/>
  <c r="I70" i="51" s="1"/>
  <c r="J74" i="51"/>
  <c r="I74" i="51" s="1"/>
  <c r="J75" i="51"/>
  <c r="I75" i="51" s="1"/>
  <c r="J76" i="51"/>
  <c r="I76" i="51" s="1"/>
  <c r="Q79" i="51"/>
  <c r="N80" i="51"/>
  <c r="Q81" i="51"/>
  <c r="L82" i="51"/>
  <c r="L13" i="51" s="1"/>
  <c r="Q83" i="51"/>
  <c r="N84" i="51"/>
  <c r="Q85" i="51"/>
  <c r="N86" i="51"/>
  <c r="Q87" i="51"/>
  <c r="N90" i="51"/>
  <c r="J91" i="51"/>
  <c r="I91" i="51" s="1"/>
  <c r="J92" i="51"/>
  <c r="I92" i="51" s="1"/>
  <c r="J93" i="51"/>
  <c r="I93" i="51" s="1"/>
  <c r="J94" i="51"/>
  <c r="I94" i="51" s="1"/>
  <c r="J95" i="51"/>
  <c r="I95" i="51" s="1"/>
  <c r="J96" i="51"/>
  <c r="I96" i="51" s="1"/>
  <c r="J97" i="51"/>
  <c r="I97" i="51" s="1"/>
  <c r="R98" i="51"/>
  <c r="N101" i="51"/>
  <c r="Q106" i="51"/>
  <c r="N107" i="51"/>
  <c r="Q108" i="51"/>
  <c r="Q109" i="51"/>
  <c r="J111" i="51"/>
  <c r="I111" i="51" s="1"/>
  <c r="J112" i="51"/>
  <c r="I112" i="51" s="1"/>
  <c r="J113" i="51"/>
  <c r="J114" i="51"/>
  <c r="I114" i="51" s="1"/>
  <c r="J115" i="51"/>
  <c r="I115" i="51" s="1"/>
  <c r="J116" i="51"/>
  <c r="I116" i="51" s="1"/>
  <c r="J117" i="51"/>
  <c r="I117" i="51" s="1"/>
  <c r="N120" i="51"/>
  <c r="Q123" i="51"/>
  <c r="Q118" i="51" s="1"/>
  <c r="N124" i="51"/>
  <c r="N125" i="51"/>
  <c r="Q127" i="51"/>
  <c r="Q125" i="51" s="1"/>
  <c r="R128" i="51"/>
  <c r="R125" i="51" s="1"/>
  <c r="J129" i="51"/>
  <c r="J130" i="51"/>
  <c r="I130" i="51" s="1"/>
  <c r="N132" i="51"/>
  <c r="Q132" i="51"/>
  <c r="J135" i="51"/>
  <c r="I135" i="51" s="1"/>
  <c r="J136" i="51"/>
  <c r="I136" i="51" s="1"/>
  <c r="J137" i="51"/>
  <c r="I137" i="51" s="1"/>
  <c r="J138" i="51"/>
  <c r="I138" i="51" s="1"/>
  <c r="J139" i="51"/>
  <c r="N140" i="51"/>
  <c r="P140" i="51"/>
  <c r="P28" i="51" s="1"/>
  <c r="P12" i="51"/>
  <c r="Q140" i="51"/>
  <c r="J146" i="51"/>
  <c r="I146" i="51" s="1"/>
  <c r="J299" i="51"/>
  <c r="I299" i="51" s="1"/>
  <c r="N147" i="51"/>
  <c r="Q147" i="51"/>
  <c r="J131" i="51"/>
  <c r="N151" i="51"/>
  <c r="N17" i="51"/>
  <c r="Q153" i="51"/>
  <c r="Q151" i="51" s="1"/>
  <c r="R154" i="51"/>
  <c r="R151" i="51" s="1"/>
  <c r="J155" i="51"/>
  <c r="I155" i="51" s="1"/>
  <c r="J156" i="51"/>
  <c r="I156" i="51" s="1"/>
  <c r="J157" i="51"/>
  <c r="J158" i="51"/>
  <c r="I158" i="51" s="1"/>
  <c r="J159" i="51"/>
  <c r="I159" i="51" s="1"/>
  <c r="J216" i="51"/>
  <c r="I216" i="51" s="1"/>
  <c r="J160" i="51"/>
  <c r="Q168" i="51"/>
  <c r="N169" i="51"/>
  <c r="Q170" i="51"/>
  <c r="N171" i="51"/>
  <c r="J172" i="51"/>
  <c r="I172" i="51" s="1"/>
  <c r="Q175" i="51"/>
  <c r="Q173" i="51" s="1"/>
  <c r="N176" i="51"/>
  <c r="N173" i="51" s="1"/>
  <c r="J177" i="51"/>
  <c r="I177" i="51" s="1"/>
  <c r="J178" i="51"/>
  <c r="I178" i="51" s="1"/>
  <c r="J179" i="51"/>
  <c r="I179" i="51" s="1"/>
  <c r="J180" i="51"/>
  <c r="I180" i="51" s="1"/>
  <c r="N181" i="51"/>
  <c r="Q181" i="51"/>
  <c r="R181" i="51"/>
  <c r="J190" i="51"/>
  <c r="I190" i="51" s="1"/>
  <c r="J191" i="51"/>
  <c r="J192" i="51"/>
  <c r="I192" i="51" s="1"/>
  <c r="J193" i="51"/>
  <c r="I193" i="51" s="1"/>
  <c r="N194" i="51"/>
  <c r="Q194" i="51"/>
  <c r="R194" i="51"/>
  <c r="J199" i="51"/>
  <c r="I199" i="51" s="1"/>
  <c r="J200" i="51"/>
  <c r="I200" i="51" s="1"/>
  <c r="J201" i="51"/>
  <c r="I201" i="51" s="1"/>
  <c r="J202" i="51"/>
  <c r="I202" i="51" s="1"/>
  <c r="N203" i="51"/>
  <c r="Q203" i="51"/>
  <c r="R203" i="51"/>
  <c r="J208" i="51"/>
  <c r="I208" i="51" s="1"/>
  <c r="J209" i="51"/>
  <c r="I209" i="51" s="1"/>
  <c r="J210" i="51"/>
  <c r="J211" i="51"/>
  <c r="N212" i="51"/>
  <c r="Q212" i="51"/>
  <c r="R212" i="51"/>
  <c r="L219" i="51"/>
  <c r="L217" i="51" s="1"/>
  <c r="N220" i="51"/>
  <c r="N217" i="51" s="1"/>
  <c r="Q221" i="51"/>
  <c r="Q217" i="51" s="1"/>
  <c r="J222" i="51"/>
  <c r="I222" i="51" s="1"/>
  <c r="J223" i="51"/>
  <c r="I223" i="51" s="1"/>
  <c r="J224" i="51"/>
  <c r="I224" i="51" s="1"/>
  <c r="J225" i="51"/>
  <c r="I225" i="51" s="1"/>
  <c r="J226" i="51"/>
  <c r="I226" i="51" s="1"/>
  <c r="J227" i="51"/>
  <c r="J228" i="51"/>
  <c r="I228" i="51" s="1"/>
  <c r="J229" i="51"/>
  <c r="I229" i="51" s="1"/>
  <c r="J230" i="51"/>
  <c r="I230" i="51" s="1"/>
  <c r="J231" i="51"/>
  <c r="I231" i="51" s="1"/>
  <c r="J232" i="51"/>
  <c r="I232" i="51" s="1"/>
  <c r="J233" i="51"/>
  <c r="I233" i="51" s="1"/>
  <c r="J234" i="51"/>
  <c r="I234" i="51" s="1"/>
  <c r="J235" i="51"/>
  <c r="I235" i="51" s="1"/>
  <c r="J236" i="51"/>
  <c r="I236" i="51" s="1"/>
  <c r="J238" i="51"/>
  <c r="I238" i="51" s="1"/>
  <c r="Q239" i="51"/>
  <c r="R239" i="51"/>
  <c r="J242" i="51"/>
  <c r="I242" i="51" s="1"/>
  <c r="L243" i="51"/>
  <c r="O243" i="51"/>
  <c r="O28" i="51" s="1"/>
  <c r="Q243" i="51"/>
  <c r="R243" i="51"/>
  <c r="J249" i="51"/>
  <c r="I249" i="51" s="1"/>
  <c r="N250" i="51"/>
  <c r="Q250" i="51"/>
  <c r="J253" i="51"/>
  <c r="I253" i="51" s="1"/>
  <c r="Q255" i="51"/>
  <c r="R255" i="51"/>
  <c r="J258" i="51"/>
  <c r="I258" i="51" s="1"/>
  <c r="R259" i="51"/>
  <c r="Q262" i="51"/>
  <c r="Q259" i="51" s="1"/>
  <c r="N263" i="51"/>
  <c r="AL63" i="51" s="1"/>
  <c r="J264" i="51"/>
  <c r="I264" i="51" s="1"/>
  <c r="Q265" i="51"/>
  <c r="R265" i="51"/>
  <c r="J268" i="51"/>
  <c r="I268" i="51" s="1"/>
  <c r="J269" i="51"/>
  <c r="I269" i="51" s="1"/>
  <c r="J270" i="51"/>
  <c r="J271" i="51"/>
  <c r="I271" i="51" s="1"/>
  <c r="N272" i="51"/>
  <c r="Q272" i="51"/>
  <c r="J276" i="51"/>
  <c r="I276" i="51" s="1"/>
  <c r="R280" i="51"/>
  <c r="J281" i="51"/>
  <c r="I281" i="51" s="1"/>
  <c r="J282" i="51"/>
  <c r="I282" i="51" s="1"/>
  <c r="Q285" i="51"/>
  <c r="R286" i="51"/>
  <c r="R283" i="51" s="1"/>
  <c r="Q287" i="51"/>
  <c r="R288" i="51"/>
  <c r="Q290" i="51"/>
  <c r="Q288" i="51" s="1"/>
  <c r="J296" i="51"/>
  <c r="I296" i="51" s="1"/>
  <c r="J298" i="51"/>
  <c r="I298" i="51" s="1"/>
  <c r="J301" i="51"/>
  <c r="I301" i="51" s="1"/>
  <c r="J302" i="51"/>
  <c r="I302" i="51" s="1"/>
  <c r="J303" i="51"/>
  <c r="I303" i="51" s="1"/>
  <c r="N308" i="51"/>
  <c r="Q308" i="51"/>
  <c r="J315" i="51"/>
  <c r="I315" i="51" s="1"/>
  <c r="J316" i="51"/>
  <c r="I316" i="51" s="1"/>
  <c r="N317" i="51"/>
  <c r="R319" i="51"/>
  <c r="R317" i="51" s="1"/>
  <c r="J320" i="51"/>
  <c r="I320" i="51" s="1"/>
  <c r="J321" i="51"/>
  <c r="I321" i="51" s="1"/>
  <c r="N322" i="51"/>
  <c r="Q322" i="51"/>
  <c r="R322" i="51"/>
  <c r="J326" i="51"/>
  <c r="I326" i="51" s="1"/>
  <c r="J327" i="51"/>
  <c r="I327" i="51" s="1"/>
  <c r="J328" i="51"/>
  <c r="I328" i="51" s="1"/>
  <c r="J329" i="51"/>
  <c r="I329" i="51" s="1"/>
  <c r="J330" i="51"/>
  <c r="I330" i="51" s="1"/>
  <c r="N332" i="51"/>
  <c r="Q332" i="51"/>
  <c r="J336" i="51"/>
  <c r="I336" i="51" s="1"/>
  <c r="N337" i="51"/>
  <c r="Q337" i="51"/>
  <c r="J340" i="51"/>
  <c r="I340" i="51" s="1"/>
  <c r="J341" i="51"/>
  <c r="I341" i="51" s="1"/>
  <c r="R344" i="51"/>
  <c r="R342" i="51" s="1"/>
  <c r="J342" i="51" s="1"/>
  <c r="I342" i="51" s="1"/>
  <c r="J345" i="51"/>
  <c r="I345" i="51" s="1"/>
  <c r="J346" i="51"/>
  <c r="I346" i="51" s="1"/>
  <c r="J347" i="51"/>
  <c r="I347" i="51" s="1"/>
  <c r="J348" i="51"/>
  <c r="I348" i="51" s="1"/>
  <c r="J349" i="51"/>
  <c r="I349" i="51" s="1"/>
  <c r="J350" i="51"/>
  <c r="I350" i="51" s="1"/>
  <c r="J352" i="51"/>
  <c r="I352" i="51" s="1"/>
  <c r="J354" i="51"/>
  <c r="I354" i="51" s="1"/>
  <c r="S10" i="111"/>
  <c r="T10" i="111"/>
  <c r="Q15" i="1" s="1"/>
  <c r="U10" i="111"/>
  <c r="V10" i="111"/>
  <c r="S15" i="1" s="1"/>
  <c r="W10" i="111"/>
  <c r="T15" i="1" s="1"/>
  <c r="Y10" i="111"/>
  <c r="V15" i="1" s="1"/>
  <c r="Z10" i="111"/>
  <c r="AB10" i="111"/>
  <c r="K12" i="111"/>
  <c r="M12" i="111"/>
  <c r="O12" i="111"/>
  <c r="P12" i="111"/>
  <c r="R12" i="111"/>
  <c r="AG15" i="111" s="1"/>
  <c r="K13" i="111"/>
  <c r="M13" i="111"/>
  <c r="O13" i="111"/>
  <c r="P13" i="111"/>
  <c r="K15" i="111"/>
  <c r="L15" i="111"/>
  <c r="M15" i="111"/>
  <c r="O15" i="111"/>
  <c r="P15" i="111"/>
  <c r="Q15" i="111"/>
  <c r="K16" i="111"/>
  <c r="L16" i="111"/>
  <c r="M16" i="111"/>
  <c r="N16" i="111"/>
  <c r="O16" i="111"/>
  <c r="P16" i="111"/>
  <c r="K17" i="111"/>
  <c r="K14" i="111" s="1"/>
  <c r="L17" i="111"/>
  <c r="M17" i="111"/>
  <c r="N17" i="111"/>
  <c r="O17" i="111"/>
  <c r="P17" i="111"/>
  <c r="Q17" i="111"/>
  <c r="R17" i="111"/>
  <c r="K18" i="111"/>
  <c r="L18" i="111"/>
  <c r="M18" i="111"/>
  <c r="N18" i="111"/>
  <c r="O18" i="111"/>
  <c r="P18" i="111"/>
  <c r="Q18" i="111"/>
  <c r="R18" i="111"/>
  <c r="K19" i="111"/>
  <c r="L19" i="111"/>
  <c r="M19" i="111"/>
  <c r="O19" i="111"/>
  <c r="P19" i="111"/>
  <c r="R19" i="111"/>
  <c r="K20" i="111"/>
  <c r="M20" i="111"/>
  <c r="O20" i="111"/>
  <c r="P20" i="111"/>
  <c r="D22" i="111"/>
  <c r="K22" i="111"/>
  <c r="L22" i="111"/>
  <c r="M22" i="111"/>
  <c r="N22" i="111"/>
  <c r="O22" i="111"/>
  <c r="P22" i="111"/>
  <c r="Q22" i="111"/>
  <c r="R22" i="111"/>
  <c r="D23" i="111"/>
  <c r="K23" i="111"/>
  <c r="L23" i="111"/>
  <c r="M23" i="111"/>
  <c r="N23" i="111"/>
  <c r="O23" i="111"/>
  <c r="P23" i="111"/>
  <c r="Q23" i="111"/>
  <c r="R23" i="111"/>
  <c r="D24" i="111"/>
  <c r="K24" i="111"/>
  <c r="L24" i="111"/>
  <c r="M24" i="111"/>
  <c r="O24" i="111"/>
  <c r="P24" i="111"/>
  <c r="D25" i="111"/>
  <c r="K25" i="111"/>
  <c r="L25" i="111"/>
  <c r="M25" i="111"/>
  <c r="N25" i="111"/>
  <c r="O25" i="111"/>
  <c r="P25" i="111"/>
  <c r="Q25" i="111"/>
  <c r="R25" i="111"/>
  <c r="D26" i="111"/>
  <c r="K26" i="111"/>
  <c r="L26" i="111"/>
  <c r="M26" i="111"/>
  <c r="N26" i="111"/>
  <c r="O26" i="111"/>
  <c r="P26" i="111"/>
  <c r="Q26" i="111"/>
  <c r="R26" i="111"/>
  <c r="K28" i="111"/>
  <c r="M28" i="111"/>
  <c r="O28" i="111"/>
  <c r="P28" i="111"/>
  <c r="AB28" i="111"/>
  <c r="J30" i="111"/>
  <c r="R36" i="111"/>
  <c r="J37" i="111"/>
  <c r="I37" i="111" s="1"/>
  <c r="J38" i="111"/>
  <c r="I38" i="111" s="1"/>
  <c r="J39" i="111"/>
  <c r="I39" i="111" s="1"/>
  <c r="J40" i="111"/>
  <c r="I40" i="111" s="1"/>
  <c r="J41" i="111"/>
  <c r="I41" i="111" s="1"/>
  <c r="J42" i="111"/>
  <c r="I42" i="111" s="1"/>
  <c r="X42" i="111"/>
  <c r="X10" i="111" s="1"/>
  <c r="U15" i="1" s="1"/>
  <c r="N44" i="111"/>
  <c r="N45" i="111"/>
  <c r="Q45" i="111"/>
  <c r="R45" i="111"/>
  <c r="J49" i="111"/>
  <c r="I49" i="111" s="1"/>
  <c r="J50" i="111"/>
  <c r="I50" i="111" s="1"/>
  <c r="J51" i="111"/>
  <c r="I51" i="111" s="1"/>
  <c r="J52" i="111"/>
  <c r="I52" i="111" s="1"/>
  <c r="N53" i="111"/>
  <c r="Q53" i="111"/>
  <c r="J56" i="111"/>
  <c r="I56" i="111" s="1"/>
  <c r="N57" i="111"/>
  <c r="Q57" i="111"/>
  <c r="J60" i="111"/>
  <c r="I60" i="111" s="1"/>
  <c r="J61" i="111"/>
  <c r="I61" i="111" s="1"/>
  <c r="J63" i="111"/>
  <c r="I63" i="111" s="1"/>
  <c r="J64" i="111"/>
  <c r="I64" i="111" s="1"/>
  <c r="J65" i="111"/>
  <c r="I65" i="111" s="1"/>
  <c r="J66" i="111"/>
  <c r="I66" i="111" s="1"/>
  <c r="J67" i="111"/>
  <c r="I67" i="111" s="1"/>
  <c r="J68" i="111"/>
  <c r="I68" i="111" s="1"/>
  <c r="J69" i="111"/>
  <c r="I69" i="111" s="1"/>
  <c r="N70" i="111"/>
  <c r="Q70" i="111"/>
  <c r="N78" i="111"/>
  <c r="N76" i="111" s="1"/>
  <c r="J76" i="111" s="1"/>
  <c r="I76" i="111" s="1"/>
  <c r="J79" i="111"/>
  <c r="I79" i="111" s="1"/>
  <c r="Q82" i="111"/>
  <c r="Q12" i="111" s="1"/>
  <c r="N83" i="111"/>
  <c r="Q84" i="111"/>
  <c r="N85" i="111"/>
  <c r="J88" i="111"/>
  <c r="I88" i="111" s="1"/>
  <c r="Q89" i="111"/>
  <c r="N92" i="111"/>
  <c r="N89" i="111" s="1"/>
  <c r="Q94" i="111"/>
  <c r="R94" i="111"/>
  <c r="J97" i="111"/>
  <c r="I97" i="111" s="1"/>
  <c r="J98" i="111"/>
  <c r="I98" i="111" s="1"/>
  <c r="N99" i="111"/>
  <c r="R99" i="111"/>
  <c r="J102" i="111"/>
  <c r="I102" i="111" s="1"/>
  <c r="J103" i="111"/>
  <c r="I103" i="111" s="1"/>
  <c r="J104" i="111"/>
  <c r="I104" i="111" s="1"/>
  <c r="N105" i="111"/>
  <c r="Q109" i="111"/>
  <c r="Q110" i="111"/>
  <c r="J111" i="111"/>
  <c r="I111" i="111" s="1"/>
  <c r="J112" i="111"/>
  <c r="I112" i="111" s="1"/>
  <c r="N113" i="111"/>
  <c r="Q113" i="111"/>
  <c r="J118" i="111"/>
  <c r="I118" i="111" s="1"/>
  <c r="J119" i="111"/>
  <c r="I119" i="111" s="1"/>
  <c r="N120" i="111"/>
  <c r="Q120" i="111"/>
  <c r="N125" i="111"/>
  <c r="Q125" i="111"/>
  <c r="J128" i="111"/>
  <c r="I128" i="111" s="1"/>
  <c r="J132" i="111"/>
  <c r="I132" i="111" s="1"/>
  <c r="Q135" i="111"/>
  <c r="Q133" i="111" s="1"/>
  <c r="J133" i="111" s="1"/>
  <c r="I133" i="111" s="1"/>
  <c r="J136" i="111"/>
  <c r="I136" i="111" s="1"/>
  <c r="N137" i="111"/>
  <c r="R137" i="111"/>
  <c r="N140" i="111"/>
  <c r="Q140" i="111"/>
  <c r="R140" i="111"/>
  <c r="J146" i="111"/>
  <c r="I146" i="111" s="1"/>
  <c r="J147" i="111"/>
  <c r="I147" i="111" s="1"/>
  <c r="Q150" i="111"/>
  <c r="N151" i="111"/>
  <c r="Q152" i="111"/>
  <c r="AL59" i="111" s="1"/>
  <c r="N153" i="111"/>
  <c r="J154" i="111"/>
  <c r="I154" i="111" s="1"/>
  <c r="J155" i="111"/>
  <c r="I155" i="111" s="1"/>
  <c r="J156" i="111"/>
  <c r="I156" i="111" s="1"/>
  <c r="N159" i="111"/>
  <c r="Q160" i="111"/>
  <c r="Q157" i="111" s="1"/>
  <c r="Q24" i="111" s="1"/>
  <c r="J161" i="111"/>
  <c r="I161" i="111" s="1"/>
  <c r="N162" i="111"/>
  <c r="R162" i="111"/>
  <c r="J166" i="111"/>
  <c r="I166" i="111" s="1"/>
  <c r="N167" i="111"/>
  <c r="Q169" i="111"/>
  <c r="R170" i="111"/>
  <c r="R171" i="111"/>
  <c r="R172" i="111"/>
  <c r="J173" i="111"/>
  <c r="I173" i="111" s="1"/>
  <c r="R174" i="111"/>
  <c r="J174" i="111" s="1"/>
  <c r="J177" i="111"/>
  <c r="I177" i="111" s="1"/>
  <c r="J178" i="111"/>
  <c r="I178" i="111" s="1"/>
  <c r="N179" i="111"/>
  <c r="L183" i="111"/>
  <c r="L179" i="111" s="1"/>
  <c r="R184" i="111"/>
  <c r="R185" i="111"/>
  <c r="J186" i="111"/>
  <c r="I186" i="111" s="1"/>
  <c r="J187" i="111"/>
  <c r="I187" i="111" s="1"/>
  <c r="N188" i="111"/>
  <c r="R188" i="111"/>
  <c r="Q188" i="111"/>
  <c r="J193" i="111"/>
  <c r="I193" i="111" s="1"/>
  <c r="R194" i="111"/>
  <c r="N195" i="111"/>
  <c r="N194" i="111" s="1"/>
  <c r="Q196" i="111"/>
  <c r="Q194" i="111" s="1"/>
  <c r="J199" i="111"/>
  <c r="I199" i="111" s="1"/>
  <c r="R200" i="111"/>
  <c r="J200" i="111" s="1"/>
  <c r="J203" i="111"/>
  <c r="I203" i="111" s="1"/>
  <c r="J204" i="111"/>
  <c r="I204" i="111" s="1"/>
  <c r="L205" i="111"/>
  <c r="Q208" i="111"/>
  <c r="N209" i="111"/>
  <c r="N211" i="111"/>
  <c r="N213" i="111"/>
  <c r="R205" i="111"/>
  <c r="J215" i="111"/>
  <c r="I215" i="111" s="1"/>
  <c r="N216" i="111"/>
  <c r="R216" i="111"/>
  <c r="J219" i="111"/>
  <c r="I219" i="111" s="1"/>
  <c r="N220" i="111"/>
  <c r="R220" i="111"/>
  <c r="N223" i="111"/>
  <c r="L226" i="111"/>
  <c r="L223" i="111" s="1"/>
  <c r="R227" i="111"/>
  <c r="R228" i="111"/>
  <c r="J229" i="111"/>
  <c r="I229" i="111" s="1"/>
  <c r="R232" i="111"/>
  <c r="R230" i="111" s="1"/>
  <c r="J230" i="111" s="1"/>
  <c r="I230" i="111" s="1"/>
  <c r="J233" i="111"/>
  <c r="I233" i="111" s="1"/>
  <c r="J234" i="111"/>
  <c r="I234" i="111" s="1"/>
  <c r="J235" i="111"/>
  <c r="I235" i="111" s="1"/>
  <c r="R236" i="111"/>
  <c r="J236" i="111" s="1"/>
  <c r="J239" i="111"/>
  <c r="I239" i="111" s="1"/>
  <c r="Q243" i="111"/>
  <c r="Q241" i="111" s="1"/>
  <c r="J241" i="111" s="1"/>
  <c r="I241" i="111" s="1"/>
  <c r="J244" i="111"/>
  <c r="I244" i="111" s="1"/>
  <c r="J245" i="111"/>
  <c r="I245" i="111" s="1"/>
  <c r="J246" i="111"/>
  <c r="I246" i="111" s="1"/>
  <c r="J247" i="111"/>
  <c r="I247" i="111" s="1"/>
  <c r="J248" i="111"/>
  <c r="I248" i="111" s="1"/>
  <c r="J250" i="111"/>
  <c r="I250" i="111" s="1"/>
  <c r="J251" i="111"/>
  <c r="I251" i="111" s="1"/>
  <c r="J252" i="111"/>
  <c r="I252" i="111" s="1"/>
  <c r="J253" i="111"/>
  <c r="I253" i="111" s="1"/>
  <c r="N254" i="111"/>
  <c r="N15" i="111"/>
  <c r="R256" i="111"/>
  <c r="R254" i="111" s="1"/>
  <c r="J258" i="111"/>
  <c r="I258" i="111" s="1"/>
  <c r="J259" i="111"/>
  <c r="I259" i="111" s="1"/>
  <c r="J260" i="111"/>
  <c r="I260" i="111" s="1"/>
  <c r="S10" i="60"/>
  <c r="P16" i="1" s="1"/>
  <c r="T10" i="60"/>
  <c r="Q16" i="1" s="1"/>
  <c r="U10" i="60"/>
  <c r="R16" i="1" s="1"/>
  <c r="V10" i="60"/>
  <c r="S16" i="1" s="1"/>
  <c r="W10" i="60"/>
  <c r="T16" i="1" s="1"/>
  <c r="X10" i="60"/>
  <c r="U16" i="1" s="1"/>
  <c r="Y10" i="60"/>
  <c r="V16" i="1" s="1"/>
  <c r="Z10" i="60"/>
  <c r="W16" i="1" s="1"/>
  <c r="AB10" i="60"/>
  <c r="L12" i="60"/>
  <c r="M12" i="60"/>
  <c r="O12" i="60"/>
  <c r="P12" i="60"/>
  <c r="R12" i="60"/>
  <c r="AG15" i="60" s="1"/>
  <c r="M13" i="60"/>
  <c r="P13" i="60"/>
  <c r="K15" i="60"/>
  <c r="L15" i="60"/>
  <c r="M15" i="60"/>
  <c r="O15" i="60"/>
  <c r="P15" i="60"/>
  <c r="K16" i="60"/>
  <c r="L16" i="60"/>
  <c r="M16" i="60"/>
  <c r="N16" i="60"/>
  <c r="O16" i="60"/>
  <c r="P16" i="60"/>
  <c r="K17" i="60"/>
  <c r="L17" i="60"/>
  <c r="M17" i="60"/>
  <c r="N17" i="60"/>
  <c r="O17" i="60"/>
  <c r="P17" i="60"/>
  <c r="K18" i="60"/>
  <c r="L18" i="60"/>
  <c r="M18" i="60"/>
  <c r="N18" i="60"/>
  <c r="O18" i="60"/>
  <c r="P18" i="60"/>
  <c r="Q18" i="60"/>
  <c r="R18" i="60"/>
  <c r="L19" i="60"/>
  <c r="M19" i="60"/>
  <c r="O19" i="60"/>
  <c r="P19" i="60"/>
  <c r="R19" i="60"/>
  <c r="K20" i="60"/>
  <c r="P20" i="60"/>
  <c r="D22" i="60"/>
  <c r="K22" i="60"/>
  <c r="L22" i="60"/>
  <c r="M22" i="60"/>
  <c r="N22" i="60"/>
  <c r="O22" i="60"/>
  <c r="P22" i="60"/>
  <c r="Q22" i="60"/>
  <c r="R22" i="60"/>
  <c r="D23" i="60"/>
  <c r="K23" i="60"/>
  <c r="L23" i="60"/>
  <c r="M23" i="60"/>
  <c r="N23" i="60"/>
  <c r="O23" i="60"/>
  <c r="P23" i="60"/>
  <c r="Q23" i="60"/>
  <c r="R23" i="60"/>
  <c r="D24" i="60"/>
  <c r="K24" i="60"/>
  <c r="M24" i="60"/>
  <c r="P24" i="60"/>
  <c r="Q24" i="60"/>
  <c r="D25" i="60"/>
  <c r="K25" i="60"/>
  <c r="L25" i="60"/>
  <c r="M25" i="60"/>
  <c r="N25" i="60"/>
  <c r="O25" i="60"/>
  <c r="P25" i="60"/>
  <c r="Q25" i="60"/>
  <c r="R25" i="60"/>
  <c r="D26" i="60"/>
  <c r="K26" i="60"/>
  <c r="L26" i="60"/>
  <c r="M26" i="60"/>
  <c r="N26" i="60"/>
  <c r="O26" i="60"/>
  <c r="P26" i="60"/>
  <c r="Q26" i="60"/>
  <c r="R26" i="60"/>
  <c r="P28" i="60"/>
  <c r="AB28" i="60"/>
  <c r="K30" i="60"/>
  <c r="N32" i="60"/>
  <c r="N30" i="60"/>
  <c r="J30" i="60" s="1"/>
  <c r="J33" i="60"/>
  <c r="I33" i="60" s="1"/>
  <c r="J34" i="60"/>
  <c r="I34" i="60" s="1"/>
  <c r="J35" i="60"/>
  <c r="I35" i="60" s="1"/>
  <c r="J36" i="60"/>
  <c r="I36" i="60" s="1"/>
  <c r="J37" i="60"/>
  <c r="I37" i="60" s="1"/>
  <c r="J41" i="60"/>
  <c r="I41" i="60" s="1"/>
  <c r="L42" i="60"/>
  <c r="L13" i="60"/>
  <c r="R44" i="60"/>
  <c r="J125" i="60"/>
  <c r="I125" i="60" s="1"/>
  <c r="N45" i="60"/>
  <c r="Q47" i="60"/>
  <c r="J48" i="60"/>
  <c r="I48" i="60" s="1"/>
  <c r="N51" i="60"/>
  <c r="Q52" i="60"/>
  <c r="N53" i="60"/>
  <c r="J54" i="60"/>
  <c r="I54" i="60" s="1"/>
  <c r="J55" i="60"/>
  <c r="I55" i="60" s="1"/>
  <c r="J56" i="60"/>
  <c r="I56" i="60" s="1"/>
  <c r="J57" i="60"/>
  <c r="I57" i="60" s="1"/>
  <c r="R297" i="60"/>
  <c r="J58" i="60"/>
  <c r="I58" i="60" s="1"/>
  <c r="J59" i="60"/>
  <c r="I59" i="60" s="1"/>
  <c r="J60" i="60"/>
  <c r="I60" i="60" s="1"/>
  <c r="J61" i="60"/>
  <c r="I61" i="60" s="1"/>
  <c r="J62" i="60"/>
  <c r="I62" i="60" s="1"/>
  <c r="K63" i="60"/>
  <c r="N66" i="60"/>
  <c r="Q67" i="60"/>
  <c r="N68" i="60"/>
  <c r="Q69" i="60"/>
  <c r="N70" i="60"/>
  <c r="N71" i="60"/>
  <c r="Q73" i="60"/>
  <c r="J74" i="60"/>
  <c r="J76" i="60"/>
  <c r="I76" i="60" s="1"/>
  <c r="J77" i="60"/>
  <c r="I77" i="60" s="1"/>
  <c r="K78" i="60"/>
  <c r="N81" i="60"/>
  <c r="N78" i="60" s="1"/>
  <c r="J78" i="60" s="1"/>
  <c r="J82" i="60"/>
  <c r="I82" i="60" s="1"/>
  <c r="J83" i="60"/>
  <c r="I83" i="60" s="1"/>
  <c r="J84" i="60"/>
  <c r="I84" i="60" s="1"/>
  <c r="N86" i="60"/>
  <c r="Q88" i="60"/>
  <c r="Q89" i="60"/>
  <c r="Q90" i="60"/>
  <c r="Q91" i="60"/>
  <c r="R92" i="60"/>
  <c r="R93" i="60"/>
  <c r="J93" i="60" s="1"/>
  <c r="J96" i="60"/>
  <c r="I96" i="60" s="1"/>
  <c r="J97" i="60"/>
  <c r="I97" i="60" s="1"/>
  <c r="J98" i="60"/>
  <c r="I98" i="60" s="1"/>
  <c r="J102" i="60"/>
  <c r="I102" i="60" s="1"/>
  <c r="J103" i="60"/>
  <c r="I103" i="60" s="1"/>
  <c r="J104" i="60"/>
  <c r="I104" i="60" s="1"/>
  <c r="J105" i="60"/>
  <c r="I105" i="60" s="1"/>
  <c r="J106" i="60"/>
  <c r="I106" i="60" s="1"/>
  <c r="J107" i="60"/>
  <c r="I107" i="60" s="1"/>
  <c r="J108" i="60"/>
  <c r="I108" i="60" s="1"/>
  <c r="J109" i="60"/>
  <c r="I109" i="60" s="1"/>
  <c r="N110" i="60"/>
  <c r="R114" i="60"/>
  <c r="R15" i="60" s="1"/>
  <c r="J115" i="60"/>
  <c r="I115" i="60" s="1"/>
  <c r="J116" i="60"/>
  <c r="I116" i="60" s="1"/>
  <c r="N120" i="60"/>
  <c r="N117" i="60" s="1"/>
  <c r="Q121" i="60"/>
  <c r="Q117" i="60" s="1"/>
  <c r="J122" i="60"/>
  <c r="I122" i="60" s="1"/>
  <c r="J123" i="60"/>
  <c r="I123" i="60" s="1"/>
  <c r="J124" i="60"/>
  <c r="I124" i="60" s="1"/>
  <c r="Q128" i="60"/>
  <c r="Q126" i="60" s="1"/>
  <c r="N129" i="60"/>
  <c r="N126" i="60" s="1"/>
  <c r="J133" i="60"/>
  <c r="I133" i="60" s="1"/>
  <c r="J134" i="60"/>
  <c r="I134" i="60" s="1"/>
  <c r="J135" i="60"/>
  <c r="I135" i="60" s="1"/>
  <c r="N136" i="60"/>
  <c r="R136" i="60"/>
  <c r="J139" i="60"/>
  <c r="I139" i="60" s="1"/>
  <c r="Q143" i="60"/>
  <c r="N144" i="60"/>
  <c r="Q145" i="60"/>
  <c r="N146" i="60"/>
  <c r="N12" i="60" s="1"/>
  <c r="Q147" i="60"/>
  <c r="Q148" i="60"/>
  <c r="R148" i="60"/>
  <c r="J151" i="60"/>
  <c r="I151" i="60" s="1"/>
  <c r="J152" i="60"/>
  <c r="I152" i="60" s="1"/>
  <c r="J153" i="60"/>
  <c r="I153" i="60" s="1"/>
  <c r="N154" i="60"/>
  <c r="Q156" i="60"/>
  <c r="Q154" i="60" s="1"/>
  <c r="J157" i="60"/>
  <c r="I157" i="60" s="1"/>
  <c r="Q158" i="60"/>
  <c r="R158" i="60"/>
  <c r="J161" i="60"/>
  <c r="I161" i="60" s="1"/>
  <c r="J162" i="60"/>
  <c r="I162" i="60" s="1"/>
  <c r="N163" i="60"/>
  <c r="R163" i="60"/>
  <c r="J166" i="60"/>
  <c r="I166" i="60" s="1"/>
  <c r="J167" i="60"/>
  <c r="I167" i="60" s="1"/>
  <c r="J168" i="60"/>
  <c r="I168" i="60" s="1"/>
  <c r="J169" i="60"/>
  <c r="I169" i="60" s="1"/>
  <c r="J170" i="60"/>
  <c r="I170" i="60" s="1"/>
  <c r="Q173" i="60"/>
  <c r="Q171" i="60" s="1"/>
  <c r="N174" i="60"/>
  <c r="R175" i="60"/>
  <c r="R171" i="60" s="1"/>
  <c r="J176" i="60"/>
  <c r="I176" i="60" s="1"/>
  <c r="J177" i="60"/>
  <c r="I177" i="60" s="1"/>
  <c r="R178" i="60"/>
  <c r="Q181" i="60"/>
  <c r="Q178" i="60" s="1"/>
  <c r="N182" i="60"/>
  <c r="Q183" i="60"/>
  <c r="R183" i="60"/>
  <c r="J186" i="60"/>
  <c r="I186" i="60" s="1"/>
  <c r="J187" i="60"/>
  <c r="I187" i="60" s="1"/>
  <c r="N188" i="60"/>
  <c r="Q190" i="60"/>
  <c r="Q188" i="60" s="1"/>
  <c r="J191" i="60"/>
  <c r="I191" i="60" s="1"/>
  <c r="J195" i="60"/>
  <c r="I195" i="60" s="1"/>
  <c r="J196" i="60"/>
  <c r="I196" i="60" s="1"/>
  <c r="Q199" i="60"/>
  <c r="N200" i="60"/>
  <c r="N197" i="60"/>
  <c r="Q201" i="60"/>
  <c r="Q202" i="60"/>
  <c r="J206" i="60"/>
  <c r="I206" i="60" s="1"/>
  <c r="Q214" i="60"/>
  <c r="Q210" i="60" s="1"/>
  <c r="N215" i="60"/>
  <c r="N210" i="60" s="1"/>
  <c r="J216" i="60"/>
  <c r="I216" i="60" s="1"/>
  <c r="J217" i="60"/>
  <c r="I217" i="60" s="1"/>
  <c r="J218" i="60"/>
  <c r="I218" i="60" s="1"/>
  <c r="N219" i="60"/>
  <c r="R221" i="60"/>
  <c r="R219" i="60" s="1"/>
  <c r="R222" i="60"/>
  <c r="J222" i="60" s="1"/>
  <c r="J225" i="60"/>
  <c r="I225" i="60" s="1"/>
  <c r="J226" i="60"/>
  <c r="I226" i="60" s="1"/>
  <c r="N230" i="60"/>
  <c r="R232" i="60"/>
  <c r="R230" i="60" s="1"/>
  <c r="J233" i="60"/>
  <c r="I233" i="60" s="1"/>
  <c r="J234" i="60"/>
  <c r="I234" i="60" s="1"/>
  <c r="J235" i="60"/>
  <c r="I235" i="60" s="1"/>
  <c r="N236" i="60"/>
  <c r="R238" i="60"/>
  <c r="R236" i="60" s="1"/>
  <c r="O239" i="60"/>
  <c r="Q239" i="60"/>
  <c r="N242" i="60"/>
  <c r="Q244" i="60"/>
  <c r="Q242" i="60"/>
  <c r="R245" i="60"/>
  <c r="J245" i="60" s="1"/>
  <c r="J248" i="60"/>
  <c r="I248" i="60" s="1"/>
  <c r="J249" i="60"/>
  <c r="I249" i="60" s="1"/>
  <c r="J250" i="60"/>
  <c r="I250" i="60" s="1"/>
  <c r="J251" i="60"/>
  <c r="I251" i="60" s="1"/>
  <c r="J252" i="60"/>
  <c r="I252" i="60" s="1"/>
  <c r="N253" i="60"/>
  <c r="R253" i="60"/>
  <c r="Q259" i="60"/>
  <c r="Q253" i="60" s="1"/>
  <c r="J261" i="60"/>
  <c r="I261" i="60" s="1"/>
  <c r="J262" i="60"/>
  <c r="I262" i="60" s="1"/>
  <c r="J263" i="60"/>
  <c r="I263" i="60" s="1"/>
  <c r="J267" i="60"/>
  <c r="I267" i="60" s="1"/>
  <c r="J268" i="60"/>
  <c r="I268" i="60" s="1"/>
  <c r="N269" i="60"/>
  <c r="Q271" i="60"/>
  <c r="Q269" i="60" s="1"/>
  <c r="R272" i="60"/>
  <c r="J272" i="60" s="1"/>
  <c r="J275" i="60"/>
  <c r="I275" i="60" s="1"/>
  <c r="J276" i="60"/>
  <c r="I276" i="60" s="1"/>
  <c r="Q277" i="60"/>
  <c r="R277" i="60"/>
  <c r="J281" i="60"/>
  <c r="I281" i="60" s="1"/>
  <c r="J282" i="60"/>
  <c r="I282" i="60" s="1"/>
  <c r="J283" i="60"/>
  <c r="I283" i="60" s="1"/>
  <c r="Q284" i="60"/>
  <c r="N286" i="60"/>
  <c r="N284" i="60" s="1"/>
  <c r="J287" i="60"/>
  <c r="I287" i="60" s="1"/>
  <c r="J288" i="60"/>
  <c r="I288" i="60" s="1"/>
  <c r="J289" i="60"/>
  <c r="J290" i="60"/>
  <c r="J294" i="60"/>
  <c r="R295" i="60"/>
  <c r="J295" i="60" s="1"/>
  <c r="I295" i="60" s="1"/>
  <c r="J296" i="60"/>
  <c r="Q300" i="60"/>
  <c r="Q301" i="60"/>
  <c r="Q298" i="60" s="1"/>
  <c r="J298" i="60" s="1"/>
  <c r="I298" i="60" s="1"/>
  <c r="I302" i="60"/>
  <c r="Q303" i="60"/>
  <c r="R303" i="60"/>
  <c r="J306" i="60"/>
  <c r="I306" i="60" s="1"/>
  <c r="N307" i="60"/>
  <c r="Q309" i="60"/>
  <c r="Q310" i="60"/>
  <c r="R311" i="60"/>
  <c r="R307" i="60" s="1"/>
  <c r="J312" i="60"/>
  <c r="J313" i="60"/>
  <c r="Q319" i="60"/>
  <c r="Q317" i="60" s="1"/>
  <c r="N320" i="60"/>
  <c r="N317" i="60" s="1"/>
  <c r="J317" i="60" s="1"/>
  <c r="N321" i="60"/>
  <c r="R321" i="60"/>
  <c r="J324" i="60"/>
  <c r="I324" i="60" s="1"/>
  <c r="N325" i="60"/>
  <c r="Q327" i="60"/>
  <c r="Q325" i="60" s="1"/>
  <c r="J328" i="60"/>
  <c r="I328" i="60" s="1"/>
  <c r="J329" i="60"/>
  <c r="I329" i="60" s="1"/>
  <c r="R332" i="60"/>
  <c r="R330" i="60" s="1"/>
  <c r="N333" i="60"/>
  <c r="N330" i="60" s="1"/>
  <c r="J334" i="60"/>
  <c r="I334" i="60" s="1"/>
  <c r="N335" i="60"/>
  <c r="R335" i="60"/>
  <c r="J338" i="60"/>
  <c r="I338" i="60" s="1"/>
  <c r="R339" i="60"/>
  <c r="J339" i="60" s="1"/>
  <c r="R344" i="60"/>
  <c r="R342" i="60" s="1"/>
  <c r="J342" i="60" s="1"/>
  <c r="J345" i="60"/>
  <c r="R348" i="60"/>
  <c r="R346" i="60" s="1"/>
  <c r="J346" i="60" s="1"/>
  <c r="I346" i="60" s="1"/>
  <c r="J349" i="60"/>
  <c r="O353" i="60"/>
  <c r="R356" i="60"/>
  <c r="R353" i="60" s="1"/>
  <c r="Q357" i="60"/>
  <c r="R357" i="60"/>
  <c r="J360" i="60"/>
  <c r="O361" i="60"/>
  <c r="J361" i="60" s="1"/>
  <c r="N363" i="60"/>
  <c r="Q365" i="60"/>
  <c r="Q363" i="60" s="1"/>
  <c r="J367" i="60"/>
  <c r="I367" i="60" s="1"/>
  <c r="N368" i="60"/>
  <c r="O368" i="60"/>
  <c r="R368" i="60"/>
  <c r="K373" i="60"/>
  <c r="K13" i="60"/>
  <c r="O373" i="60"/>
  <c r="R373" i="60"/>
  <c r="N377" i="60"/>
  <c r="J380" i="60"/>
  <c r="I380" i="60" s="1"/>
  <c r="J381" i="60"/>
  <c r="I381" i="60" s="1"/>
  <c r="J383" i="60"/>
  <c r="I383" i="60" s="1"/>
  <c r="J384" i="60"/>
  <c r="I384" i="60" s="1"/>
  <c r="R385" i="60"/>
  <c r="J385" i="60" s="1"/>
  <c r="I385" i="60" s="1"/>
  <c r="J386" i="60"/>
  <c r="I386" i="60" s="1"/>
  <c r="J388" i="60"/>
  <c r="I388" i="60" s="1"/>
  <c r="M390" i="60"/>
  <c r="M28" i="60" s="1"/>
  <c r="R392" i="60"/>
  <c r="R393" i="60"/>
  <c r="J394" i="60"/>
  <c r="I394" i="60" s="1"/>
  <c r="J395" i="60"/>
  <c r="I395" i="60" s="1"/>
  <c r="N396" i="60"/>
  <c r="J396" i="60" s="1"/>
  <c r="I396" i="60" s="1"/>
  <c r="N401" i="60"/>
  <c r="J402" i="60"/>
  <c r="I402" i="60" s="1"/>
  <c r="J403" i="60"/>
  <c r="I403" i="60" s="1"/>
  <c r="J404" i="60"/>
  <c r="I404" i="60" s="1"/>
  <c r="J405" i="60"/>
  <c r="I405" i="60" s="1"/>
  <c r="J406" i="60"/>
  <c r="I406" i="60" s="1"/>
  <c r="O407" i="60"/>
  <c r="O24" i="60" s="1"/>
  <c r="R407" i="60"/>
  <c r="J410" i="60"/>
  <c r="I410" i="60" s="1"/>
  <c r="J411" i="60"/>
  <c r="I411" i="60" s="1"/>
  <c r="J413" i="60"/>
  <c r="I413" i="60" s="1"/>
  <c r="Q416" i="60"/>
  <c r="Q414" i="60" s="1"/>
  <c r="N417" i="60"/>
  <c r="N414" i="60" s="1"/>
  <c r="J418" i="60"/>
  <c r="I418" i="60" s="1"/>
  <c r="R419" i="60"/>
  <c r="J419" i="60" s="1"/>
  <c r="J425" i="60"/>
  <c r="I425" i="60" s="1"/>
  <c r="J426" i="60"/>
  <c r="I426" i="60" s="1"/>
  <c r="N427" i="60"/>
  <c r="Q429" i="60"/>
  <c r="Q427" i="60" s="1"/>
  <c r="J430" i="60"/>
  <c r="I430" i="60" s="1"/>
  <c r="J435" i="60"/>
  <c r="I435" i="60" s="1"/>
  <c r="J436" i="60"/>
  <c r="I436" i="60" s="1"/>
  <c r="J437" i="60"/>
  <c r="I437" i="60" s="1"/>
  <c r="J438" i="60"/>
  <c r="I438" i="60" s="1"/>
  <c r="J440" i="60"/>
  <c r="I440" i="60" s="1"/>
  <c r="S10" i="71"/>
  <c r="U10" i="71"/>
  <c r="V10" i="71"/>
  <c r="AB10" i="71"/>
  <c r="M12" i="71"/>
  <c r="O12" i="71"/>
  <c r="P12" i="71"/>
  <c r="R12" i="71"/>
  <c r="AG15" i="71" s="1"/>
  <c r="K13" i="71"/>
  <c r="L13" i="71"/>
  <c r="M13" i="71"/>
  <c r="O13" i="71"/>
  <c r="P13" i="71"/>
  <c r="K15" i="71"/>
  <c r="L15" i="71"/>
  <c r="M15" i="71"/>
  <c r="O15" i="71"/>
  <c r="P15" i="71"/>
  <c r="Q15" i="71"/>
  <c r="R15" i="71"/>
  <c r="K16" i="71"/>
  <c r="L16" i="71"/>
  <c r="M16" i="71"/>
  <c r="N16" i="71"/>
  <c r="O16" i="71"/>
  <c r="P16" i="71"/>
  <c r="Q16" i="71"/>
  <c r="K17" i="71"/>
  <c r="L17" i="71"/>
  <c r="M17" i="71"/>
  <c r="N17" i="71"/>
  <c r="O17" i="71"/>
  <c r="P17" i="71"/>
  <c r="Q17" i="71"/>
  <c r="K18" i="71"/>
  <c r="L18" i="71"/>
  <c r="M18" i="71"/>
  <c r="N18" i="71"/>
  <c r="O18" i="71"/>
  <c r="P18" i="71"/>
  <c r="Q18" i="71"/>
  <c r="R18" i="71"/>
  <c r="M19" i="71"/>
  <c r="O19" i="71"/>
  <c r="P19" i="71"/>
  <c r="R19" i="71"/>
  <c r="K20" i="71"/>
  <c r="M20" i="71"/>
  <c r="O20" i="71"/>
  <c r="P20" i="71"/>
  <c r="D22" i="71"/>
  <c r="K22" i="71"/>
  <c r="L22" i="71"/>
  <c r="M22" i="71"/>
  <c r="N22" i="71"/>
  <c r="O22" i="71"/>
  <c r="P22" i="71"/>
  <c r="Q22" i="71"/>
  <c r="R22" i="71"/>
  <c r="D23" i="71"/>
  <c r="K23" i="71"/>
  <c r="L23" i="71"/>
  <c r="M23" i="71"/>
  <c r="N23" i="71"/>
  <c r="O23" i="71"/>
  <c r="P23" i="71"/>
  <c r="Q23" i="71"/>
  <c r="R23" i="71"/>
  <c r="D24" i="71"/>
  <c r="K24" i="71"/>
  <c r="L24" i="71"/>
  <c r="M24" i="71"/>
  <c r="O24" i="71"/>
  <c r="P24" i="71"/>
  <c r="Q24" i="71"/>
  <c r="D25" i="71"/>
  <c r="K25" i="71"/>
  <c r="L25" i="71"/>
  <c r="M25" i="71"/>
  <c r="N25" i="71"/>
  <c r="O25" i="71"/>
  <c r="P25" i="71"/>
  <c r="Q25" i="71"/>
  <c r="R25" i="71"/>
  <c r="D26" i="71"/>
  <c r="K26" i="71"/>
  <c r="L26" i="71"/>
  <c r="M26" i="71"/>
  <c r="N26" i="71"/>
  <c r="O26" i="71"/>
  <c r="P26" i="71"/>
  <c r="Q26" i="71"/>
  <c r="R26" i="71"/>
  <c r="M28" i="71"/>
  <c r="O28" i="71"/>
  <c r="P28" i="71"/>
  <c r="AB28" i="71"/>
  <c r="K30" i="71"/>
  <c r="K12" i="71"/>
  <c r="N32" i="71"/>
  <c r="Q33" i="71"/>
  <c r="Q19" i="71" s="1"/>
  <c r="J34" i="71"/>
  <c r="I34" i="71" s="1"/>
  <c r="J35" i="71"/>
  <c r="I35" i="71" s="1"/>
  <c r="J36" i="71"/>
  <c r="I36" i="71" s="1"/>
  <c r="T37" i="71"/>
  <c r="T10" i="71" s="1"/>
  <c r="Q14" i="1" s="1"/>
  <c r="L39" i="71"/>
  <c r="L37" i="71" s="1"/>
  <c r="N40" i="71"/>
  <c r="N37" i="71" s="1"/>
  <c r="J37" i="71" s="1"/>
  <c r="J41" i="71"/>
  <c r="I41" i="71" s="1"/>
  <c r="J42" i="71"/>
  <c r="I42" i="71" s="1"/>
  <c r="J43" i="71"/>
  <c r="I43" i="71" s="1"/>
  <c r="J44" i="71"/>
  <c r="I44" i="71" s="1"/>
  <c r="Q47" i="71"/>
  <c r="N48" i="71"/>
  <c r="N45" i="71" s="1"/>
  <c r="Q49" i="71"/>
  <c r="Q13" i="71" s="1"/>
  <c r="N50" i="71"/>
  <c r="N51" i="71"/>
  <c r="R52" i="71"/>
  <c r="J53" i="71"/>
  <c r="I53" i="71" s="1"/>
  <c r="J54" i="71"/>
  <c r="I54" i="71" s="1"/>
  <c r="N55" i="71"/>
  <c r="R55" i="71"/>
  <c r="J58" i="71"/>
  <c r="I58" i="71" s="1"/>
  <c r="J59" i="71"/>
  <c r="I59" i="71" s="1"/>
  <c r="J60" i="71"/>
  <c r="I60" i="71" s="1"/>
  <c r="J61" i="71"/>
  <c r="I61" i="71" s="1"/>
  <c r="J62" i="71"/>
  <c r="I62" i="71" s="1"/>
  <c r="J63" i="71"/>
  <c r="I63" i="71" s="1"/>
  <c r="J64" i="71"/>
  <c r="I64" i="71" s="1"/>
  <c r="J65" i="71"/>
  <c r="I65" i="71" s="1"/>
  <c r="J66" i="71"/>
  <c r="I66" i="71" s="1"/>
  <c r="J67" i="71"/>
  <c r="I67" i="71" s="1"/>
  <c r="J68" i="71"/>
  <c r="I68" i="71" s="1"/>
  <c r="N69" i="71"/>
  <c r="Q71" i="71"/>
  <c r="Q69" i="71" s="1"/>
  <c r="J72" i="71"/>
  <c r="I72" i="71" s="1"/>
  <c r="J73" i="71"/>
  <c r="I73" i="71" s="1"/>
  <c r="J74" i="71"/>
  <c r="I74" i="71" s="1"/>
  <c r="N75" i="71"/>
  <c r="Q75" i="71"/>
  <c r="J78" i="71"/>
  <c r="I78" i="71" s="1"/>
  <c r="J79" i="71"/>
  <c r="I79" i="71" s="1"/>
  <c r="W80" i="71"/>
  <c r="W10" i="71" s="1"/>
  <c r="T14" i="1" s="1"/>
  <c r="X80" i="71"/>
  <c r="X10" i="71"/>
  <c r="U14" i="1" s="1"/>
  <c r="Y80" i="71"/>
  <c r="Y10" i="71" s="1"/>
  <c r="V14" i="1" s="1"/>
  <c r="Z80" i="71"/>
  <c r="Z10" i="71" s="1"/>
  <c r="W14" i="1" s="1"/>
  <c r="L82" i="71"/>
  <c r="L20" i="71" s="1"/>
  <c r="N83" i="71"/>
  <c r="N84" i="71"/>
  <c r="L85" i="71"/>
  <c r="L80" i="71" s="1"/>
  <c r="Q86" i="71"/>
  <c r="N87" i="71"/>
  <c r="Q88" i="71"/>
  <c r="R89" i="71"/>
  <c r="N90" i="71"/>
  <c r="R90" i="71"/>
  <c r="J93" i="71"/>
  <c r="I93" i="71" s="1"/>
  <c r="J94" i="71"/>
  <c r="I94" i="71" s="1"/>
  <c r="J95" i="71"/>
  <c r="I95" i="71" s="1"/>
  <c r="J96" i="71"/>
  <c r="I96" i="71" s="1"/>
  <c r="J97" i="71"/>
  <c r="I97" i="71" s="1"/>
  <c r="N98" i="71"/>
  <c r="N24" i="71" s="1"/>
  <c r="R100" i="71"/>
  <c r="AJ31" i="71" s="1"/>
  <c r="J101" i="71"/>
  <c r="I101" i="71" s="1"/>
  <c r="J102" i="71"/>
  <c r="I102" i="71" s="1"/>
  <c r="N103" i="71"/>
  <c r="Q105" i="71"/>
  <c r="Q103" i="71" s="1"/>
  <c r="R106" i="71"/>
  <c r="R103" i="71" s="1"/>
  <c r="J107" i="71"/>
  <c r="I107" i="71" s="1"/>
  <c r="J108" i="71"/>
  <c r="I108" i="71" s="1"/>
  <c r="J109" i="71"/>
  <c r="I109" i="71" s="1"/>
  <c r="J110" i="71"/>
  <c r="I110" i="71" s="1"/>
  <c r="J111" i="71"/>
  <c r="I111" i="71" s="1"/>
  <c r="J112" i="71"/>
  <c r="J113" i="71"/>
  <c r="I113" i="71" s="1"/>
  <c r="Q116" i="71"/>
  <c r="Q114" i="71" s="1"/>
  <c r="J117" i="71"/>
  <c r="I117" i="71" s="1"/>
  <c r="J118" i="71"/>
  <c r="I118" i="71" s="1"/>
  <c r="J119" i="71"/>
  <c r="I119" i="71" s="1"/>
  <c r="N120" i="71"/>
  <c r="R122" i="71"/>
  <c r="R120" i="71" s="1"/>
  <c r="J123" i="71"/>
  <c r="I123" i="71" s="1"/>
  <c r="Q124" i="71"/>
  <c r="R124" i="71"/>
  <c r="J127" i="71"/>
  <c r="I127" i="71" s="1"/>
  <c r="J128" i="71"/>
  <c r="I128" i="71" s="1"/>
  <c r="J129" i="71"/>
  <c r="I129" i="71" s="1"/>
  <c r="J130" i="71"/>
  <c r="I130" i="71" s="1"/>
  <c r="N131" i="71"/>
  <c r="Q131" i="71"/>
  <c r="R131" i="71"/>
  <c r="J140" i="71"/>
  <c r="I140" i="71" s="1"/>
  <c r="J141" i="71"/>
  <c r="I141" i="71" s="1"/>
  <c r="J142" i="71"/>
  <c r="I142" i="71" s="1"/>
  <c r="J143" i="71"/>
  <c r="I143" i="71" s="1"/>
  <c r="J144" i="71"/>
  <c r="I144" i="71" s="1"/>
  <c r="J145" i="71"/>
  <c r="I145" i="71" s="1"/>
  <c r="J146" i="71"/>
  <c r="I146" i="71" s="1"/>
  <c r="J147" i="71"/>
  <c r="I147" i="71" s="1"/>
  <c r="J148" i="71"/>
  <c r="I148" i="71" s="1"/>
  <c r="J149" i="71"/>
  <c r="I149" i="71" s="1"/>
  <c r="J150" i="71"/>
  <c r="I150" i="71" s="1"/>
  <c r="N152" i="71"/>
  <c r="R154" i="71"/>
  <c r="R152" i="71" s="1"/>
  <c r="Q155" i="71"/>
  <c r="Q152" i="71" s="1"/>
  <c r="J156" i="71"/>
  <c r="I156" i="71" s="1"/>
  <c r="J157" i="71"/>
  <c r="I157" i="71" s="1"/>
  <c r="N158" i="71"/>
  <c r="Q158" i="71"/>
  <c r="R158" i="71"/>
  <c r="J162" i="71"/>
  <c r="I162" i="71" s="1"/>
  <c r="J163" i="71"/>
  <c r="I163" i="71" s="1"/>
  <c r="J164" i="71"/>
  <c r="J165" i="71"/>
  <c r="I165" i="71" s="1"/>
  <c r="J166" i="71"/>
  <c r="I166" i="71" s="1"/>
  <c r="J167" i="71"/>
  <c r="I167" i="71" s="1"/>
  <c r="N168" i="71"/>
  <c r="J168" i="71" s="1"/>
  <c r="J172" i="71"/>
  <c r="I172" i="71" s="1"/>
  <c r="N173" i="71"/>
  <c r="R173" i="71"/>
  <c r="J178" i="71"/>
  <c r="I178" i="71" s="1"/>
  <c r="J179" i="71"/>
  <c r="I179" i="71" s="1"/>
  <c r="J180" i="71"/>
  <c r="I180" i="71" s="1"/>
  <c r="J181" i="71"/>
  <c r="I181" i="71" s="1"/>
  <c r="J182" i="71"/>
  <c r="I182" i="71" s="1"/>
  <c r="J183" i="71"/>
  <c r="I183" i="71" s="1"/>
  <c r="J184" i="71"/>
  <c r="J185" i="71"/>
  <c r="J189" i="71"/>
  <c r="I189" i="71" s="1"/>
  <c r="J190" i="71"/>
  <c r="J192" i="71"/>
  <c r="J196" i="71"/>
  <c r="I196" i="71" s="1"/>
  <c r="N197" i="71"/>
  <c r="J200" i="71"/>
  <c r="J201" i="71"/>
  <c r="I201" i="71" s="1"/>
  <c r="J202" i="71"/>
  <c r="I202" i="71" s="1"/>
  <c r="J203" i="71"/>
  <c r="I203" i="71" s="1"/>
  <c r="J205" i="71"/>
  <c r="I205" i="71" s="1"/>
  <c r="J206" i="71"/>
  <c r="I206" i="71" s="1"/>
  <c r="J208" i="71"/>
  <c r="I208" i="71" s="1"/>
  <c r="J209" i="71"/>
  <c r="I209" i="71" s="1"/>
  <c r="J210" i="71"/>
  <c r="I210" i="71" s="1"/>
  <c r="J211" i="71"/>
  <c r="I211" i="71" s="1"/>
  <c r="J212" i="71"/>
  <c r="I212" i="71" s="1"/>
  <c r="J213" i="71"/>
  <c r="I213" i="71" s="1"/>
  <c r="Q214" i="71"/>
  <c r="J214" i="71" s="1"/>
  <c r="N217" i="71"/>
  <c r="Q217" i="71"/>
  <c r="J220" i="71"/>
  <c r="I220" i="71" s="1"/>
  <c r="N221" i="71"/>
  <c r="R221" i="71"/>
  <c r="N224" i="71"/>
  <c r="R224" i="71"/>
  <c r="Q226" i="71"/>
  <c r="Q224" i="71" s="1"/>
  <c r="N228" i="71"/>
  <c r="R230" i="71"/>
  <c r="R228" i="71" s="1"/>
  <c r="J231" i="71"/>
  <c r="I231" i="71" s="1"/>
  <c r="J232" i="71"/>
  <c r="I232" i="71" s="1"/>
  <c r="J233" i="71"/>
  <c r="I233" i="71" s="1"/>
  <c r="J237" i="71"/>
  <c r="I237" i="71" s="1"/>
  <c r="J238" i="71"/>
  <c r="I238" i="71" s="1"/>
  <c r="J239" i="71"/>
  <c r="I239" i="71" s="1"/>
  <c r="J240" i="71"/>
  <c r="I240" i="71" s="1"/>
  <c r="J241" i="71"/>
  <c r="I241" i="71" s="1"/>
  <c r="J242" i="71"/>
  <c r="I242" i="71" s="1"/>
  <c r="J243" i="71"/>
  <c r="I243" i="71" s="1"/>
  <c r="J244" i="71"/>
  <c r="I244" i="71" s="1"/>
  <c r="J251" i="71"/>
  <c r="I251" i="71" s="1"/>
  <c r="N252" i="71"/>
  <c r="R252" i="71"/>
  <c r="J255" i="71"/>
  <c r="I255" i="71" s="1"/>
  <c r="R256" i="71"/>
  <c r="J256" i="71" s="1"/>
  <c r="J259" i="71"/>
  <c r="I259" i="71" s="1"/>
  <c r="J260" i="71"/>
  <c r="I260" i="71" s="1"/>
  <c r="J261" i="71"/>
  <c r="I261" i="71" s="1"/>
  <c r="J262" i="71"/>
  <c r="I262" i="71" s="1"/>
  <c r="J263" i="71"/>
  <c r="I263" i="71" s="1"/>
  <c r="J264" i="71"/>
  <c r="I264" i="71" s="1"/>
  <c r="J265" i="71"/>
  <c r="I265" i="71" s="1"/>
  <c r="N266" i="71"/>
  <c r="R266" i="71"/>
  <c r="J269" i="71"/>
  <c r="I269" i="71" s="1"/>
  <c r="J270" i="71"/>
  <c r="I270" i="71" s="1"/>
  <c r="S10" i="14"/>
  <c r="P13" i="1" s="1"/>
  <c r="T10" i="14"/>
  <c r="U10" i="14"/>
  <c r="V10" i="14"/>
  <c r="W10" i="14"/>
  <c r="T13" i="1" s="1"/>
  <c r="Y10" i="14"/>
  <c r="Z10" i="14"/>
  <c r="AB10" i="14"/>
  <c r="K12" i="14"/>
  <c r="M12" i="14"/>
  <c r="P12" i="14"/>
  <c r="R12" i="14"/>
  <c r="AG15" i="14" s="1"/>
  <c r="K13" i="14"/>
  <c r="M13" i="14"/>
  <c r="O13" i="14"/>
  <c r="P13" i="14"/>
  <c r="K15" i="14"/>
  <c r="M15" i="14"/>
  <c r="O15" i="14"/>
  <c r="P15" i="14"/>
  <c r="K16" i="14"/>
  <c r="L16" i="14"/>
  <c r="M16" i="14"/>
  <c r="O16" i="14"/>
  <c r="P16" i="14"/>
  <c r="K17" i="14"/>
  <c r="L17" i="14"/>
  <c r="M17" i="14"/>
  <c r="N17" i="14"/>
  <c r="O17" i="14"/>
  <c r="P17" i="14"/>
  <c r="Q17" i="14"/>
  <c r="K18" i="14"/>
  <c r="L18" i="14"/>
  <c r="M18" i="14"/>
  <c r="N18" i="14"/>
  <c r="O18" i="14"/>
  <c r="P18" i="14"/>
  <c r="Q18" i="14"/>
  <c r="R18" i="14"/>
  <c r="K19" i="14"/>
  <c r="M19" i="14"/>
  <c r="P19" i="14"/>
  <c r="K20" i="14"/>
  <c r="M20" i="14"/>
  <c r="O20" i="14"/>
  <c r="P20" i="14"/>
  <c r="D22" i="14"/>
  <c r="K22" i="14"/>
  <c r="L22" i="14"/>
  <c r="M22" i="14"/>
  <c r="O22" i="14"/>
  <c r="P22" i="14"/>
  <c r="Q22" i="14"/>
  <c r="D23" i="14"/>
  <c r="K23" i="14"/>
  <c r="L23" i="14"/>
  <c r="M23" i="14"/>
  <c r="O23" i="14"/>
  <c r="P23" i="14"/>
  <c r="Q23" i="14"/>
  <c r="D24" i="14"/>
  <c r="K24" i="14"/>
  <c r="L24" i="14"/>
  <c r="M24" i="14"/>
  <c r="N24" i="14"/>
  <c r="O24" i="14"/>
  <c r="P24" i="14"/>
  <c r="Q24" i="14"/>
  <c r="D25" i="14"/>
  <c r="K25" i="14"/>
  <c r="L25" i="14"/>
  <c r="M25" i="14"/>
  <c r="N25" i="14"/>
  <c r="O25" i="14"/>
  <c r="P25" i="14"/>
  <c r="Q25" i="14"/>
  <c r="R25" i="14"/>
  <c r="D26" i="14"/>
  <c r="K26" i="14"/>
  <c r="L26" i="14"/>
  <c r="M26" i="14"/>
  <c r="N26" i="14"/>
  <c r="O26" i="14"/>
  <c r="P26" i="14"/>
  <c r="Q26" i="14"/>
  <c r="R26" i="14"/>
  <c r="K28" i="14"/>
  <c r="M28" i="14"/>
  <c r="P28" i="14"/>
  <c r="AB28" i="14"/>
  <c r="Q33" i="14"/>
  <c r="Q30" i="14" s="1"/>
  <c r="N34" i="14"/>
  <c r="N30" i="14" s="1"/>
  <c r="J35" i="14"/>
  <c r="I35" i="14" s="1"/>
  <c r="J36" i="14"/>
  <c r="I36" i="14" s="1"/>
  <c r="Q37" i="14"/>
  <c r="R37" i="14"/>
  <c r="J40" i="14"/>
  <c r="J41" i="14"/>
  <c r="I41" i="14" s="1"/>
  <c r="J42" i="14"/>
  <c r="J43" i="14"/>
  <c r="I43" i="14" s="1"/>
  <c r="J44" i="14"/>
  <c r="I44" i="14" s="1"/>
  <c r="Q48" i="14"/>
  <c r="Q46" i="14" s="1"/>
  <c r="N49" i="14"/>
  <c r="N46" i="14" s="1"/>
  <c r="J50" i="14"/>
  <c r="I50" i="14" s="1"/>
  <c r="J51" i="14"/>
  <c r="I51" i="14" s="1"/>
  <c r="J52" i="14"/>
  <c r="I52" i="14" s="1"/>
  <c r="J53" i="14"/>
  <c r="I53" i="14" s="1"/>
  <c r="J54" i="14"/>
  <c r="I54" i="14" s="1"/>
  <c r="J55" i="14"/>
  <c r="I55" i="14" s="1"/>
  <c r="J56" i="14"/>
  <c r="I56" i="14" s="1"/>
  <c r="J57" i="14"/>
  <c r="I57" i="14" s="1"/>
  <c r="N58" i="14"/>
  <c r="Q60" i="14"/>
  <c r="J61" i="14"/>
  <c r="I61" i="14" s="1"/>
  <c r="J62" i="14"/>
  <c r="J63" i="14"/>
  <c r="I63" i="14" s="1"/>
  <c r="J64" i="14"/>
  <c r="I64" i="14" s="1"/>
  <c r="J65" i="14"/>
  <c r="I65" i="14" s="1"/>
  <c r="O68" i="14"/>
  <c r="N69" i="14"/>
  <c r="N66" i="14" s="1"/>
  <c r="J70" i="14"/>
  <c r="I70" i="14" s="1"/>
  <c r="J71" i="14"/>
  <c r="J72" i="14"/>
  <c r="R75" i="14"/>
  <c r="R76" i="14"/>
  <c r="N77" i="14"/>
  <c r="N73" i="14" s="1"/>
  <c r="J78" i="14"/>
  <c r="I78" i="14" s="1"/>
  <c r="J79" i="14"/>
  <c r="I79" i="14" s="1"/>
  <c r="J80" i="14"/>
  <c r="I80" i="14" s="1"/>
  <c r="J81" i="14"/>
  <c r="I81" i="14" s="1"/>
  <c r="J82" i="14"/>
  <c r="I82" i="14" s="1"/>
  <c r="J83" i="14"/>
  <c r="I83" i="14" s="1"/>
  <c r="J84" i="14"/>
  <c r="I84" i="14" s="1"/>
  <c r="Q87" i="14"/>
  <c r="N88" i="14"/>
  <c r="Q89" i="14"/>
  <c r="N90" i="14"/>
  <c r="L91" i="14"/>
  <c r="L85" i="14" s="1"/>
  <c r="N92" i="14"/>
  <c r="N85" i="14" s="1"/>
  <c r="J93" i="14"/>
  <c r="I93" i="14" s="1"/>
  <c r="J94" i="14"/>
  <c r="J95" i="14"/>
  <c r="I95" i="14" s="1"/>
  <c r="J96" i="14"/>
  <c r="I96" i="14" s="1"/>
  <c r="J97" i="14"/>
  <c r="J99" i="14"/>
  <c r="I99" i="14" s="1"/>
  <c r="J100" i="14"/>
  <c r="I100" i="14" s="1"/>
  <c r="Q103" i="14"/>
  <c r="Q101" i="14" s="1"/>
  <c r="N104" i="14"/>
  <c r="N101" i="14" s="1"/>
  <c r="J106" i="14"/>
  <c r="J107" i="14"/>
  <c r="I107" i="14" s="1"/>
  <c r="J108" i="14"/>
  <c r="N109" i="14"/>
  <c r="Q109" i="14"/>
  <c r="J113" i="14"/>
  <c r="I113" i="14" s="1"/>
  <c r="J114" i="14"/>
  <c r="I114" i="14" s="1"/>
  <c r="J115" i="14"/>
  <c r="J116" i="14"/>
  <c r="I116" i="14" s="1"/>
  <c r="N117" i="14"/>
  <c r="Q119" i="14"/>
  <c r="Q117" i="14" s="1"/>
  <c r="J120" i="14"/>
  <c r="I120" i="14" s="1"/>
  <c r="J121" i="14"/>
  <c r="I121" i="14" s="1"/>
  <c r="J122" i="14"/>
  <c r="J123" i="14"/>
  <c r="I123" i="14" s="1"/>
  <c r="J129" i="14"/>
  <c r="I129" i="14" s="1"/>
  <c r="N130" i="14"/>
  <c r="R132" i="14"/>
  <c r="AL45" i="14" s="1"/>
  <c r="R133" i="14"/>
  <c r="J134" i="14"/>
  <c r="I134" i="14" s="1"/>
  <c r="J135" i="14"/>
  <c r="I135" i="14" s="1"/>
  <c r="J136" i="14"/>
  <c r="I136" i="14" s="1"/>
  <c r="N139" i="14"/>
  <c r="N140" i="14"/>
  <c r="N137" i="14" s="1"/>
  <c r="J137" i="14" s="1"/>
  <c r="I137" i="14" s="1"/>
  <c r="J141" i="14"/>
  <c r="I141" i="14" s="1"/>
  <c r="J142" i="14"/>
  <c r="I142" i="14" s="1"/>
  <c r="J143" i="14"/>
  <c r="J446" i="14"/>
  <c r="N144" i="14"/>
  <c r="Q144" i="14"/>
  <c r="N147" i="14"/>
  <c r="Q147" i="14"/>
  <c r="J150" i="14"/>
  <c r="J151" i="14"/>
  <c r="I151" i="14" s="1"/>
  <c r="J152" i="14"/>
  <c r="I152" i="14" s="1"/>
  <c r="X152" i="14"/>
  <c r="X10" i="14" s="1"/>
  <c r="U13" i="1" s="1"/>
  <c r="J153" i="14"/>
  <c r="J154" i="14"/>
  <c r="I154" i="14" s="1"/>
  <c r="J155" i="14"/>
  <c r="N156" i="14"/>
  <c r="R156" i="14"/>
  <c r="O159" i="14"/>
  <c r="O19" i="14" s="1"/>
  <c r="Q160" i="14"/>
  <c r="Q156" i="14" s="1"/>
  <c r="O161" i="14"/>
  <c r="N164" i="14"/>
  <c r="Q167" i="14"/>
  <c r="J168" i="14"/>
  <c r="I168" i="14" s="1"/>
  <c r="J169" i="14"/>
  <c r="I169" i="14" s="1"/>
  <c r="J170" i="14"/>
  <c r="I170" i="14" s="1"/>
  <c r="J171" i="14"/>
  <c r="I171" i="14" s="1"/>
  <c r="J172" i="14"/>
  <c r="I172" i="14" s="1"/>
  <c r="J173" i="14"/>
  <c r="I173" i="14" s="1"/>
  <c r="Q176" i="14"/>
  <c r="N177" i="14"/>
  <c r="L178" i="14"/>
  <c r="L174" i="14" s="1"/>
  <c r="N179" i="14"/>
  <c r="Q180" i="14"/>
  <c r="R181" i="14"/>
  <c r="R174" i="14" s="1"/>
  <c r="N186" i="14"/>
  <c r="Q188" i="14"/>
  <c r="Q186" i="14" s="1"/>
  <c r="Q189" i="14"/>
  <c r="AL71" i="14" s="1"/>
  <c r="L194" i="14"/>
  <c r="L192" i="14" s="1"/>
  <c r="N195" i="14"/>
  <c r="N192" i="14" s="1"/>
  <c r="J192" i="14" s="1"/>
  <c r="J196" i="14"/>
  <c r="I196" i="14" s="1"/>
  <c r="N197" i="14"/>
  <c r="Q197" i="14"/>
  <c r="J200" i="14"/>
  <c r="Q201" i="14"/>
  <c r="R201" i="14"/>
  <c r="N204" i="14"/>
  <c r="N201" i="14" s="1"/>
  <c r="J206" i="14"/>
  <c r="I206" i="14" s="1"/>
  <c r="J207" i="14"/>
  <c r="I207" i="14" s="1"/>
  <c r="J208" i="14"/>
  <c r="J209" i="14"/>
  <c r="I209" i="14" s="1"/>
  <c r="J210" i="14"/>
  <c r="I210" i="14" s="1"/>
  <c r="J211" i="14"/>
  <c r="I211" i="14" s="1"/>
  <c r="J212" i="14"/>
  <c r="I212" i="14" s="1"/>
  <c r="Q215" i="14"/>
  <c r="N216" i="14"/>
  <c r="Q217" i="14"/>
  <c r="N218" i="14"/>
  <c r="J219" i="14"/>
  <c r="I219" i="14" s="1"/>
  <c r="Q221" i="14"/>
  <c r="R223" i="14"/>
  <c r="R221" i="14" s="1"/>
  <c r="Q226" i="14"/>
  <c r="Q227" i="14"/>
  <c r="N228" i="14"/>
  <c r="N224" i="14" s="1"/>
  <c r="J229" i="14"/>
  <c r="I229" i="14" s="1"/>
  <c r="J232" i="14"/>
  <c r="J233" i="14"/>
  <c r="I233" i="14" s="1"/>
  <c r="N234" i="14"/>
  <c r="Q236" i="14"/>
  <c r="Q234" i="14" s="1"/>
  <c r="J237" i="14"/>
  <c r="N239" i="14"/>
  <c r="Q239" i="14"/>
  <c r="N244" i="14"/>
  <c r="Q244" i="14"/>
  <c r="J247" i="14"/>
  <c r="I247" i="14" s="1"/>
  <c r="J248" i="14"/>
  <c r="J249" i="14"/>
  <c r="I249" i="14" s="1"/>
  <c r="J250" i="14"/>
  <c r="J251" i="14"/>
  <c r="I251" i="14" s="1"/>
  <c r="J252" i="14"/>
  <c r="I252" i="14" s="1"/>
  <c r="J253" i="14"/>
  <c r="I253" i="14" s="1"/>
  <c r="J220" i="14"/>
  <c r="N254" i="14"/>
  <c r="Q254" i="14"/>
  <c r="R254" i="14"/>
  <c r="J258" i="14"/>
  <c r="I258" i="14" s="1"/>
  <c r="J259" i="14"/>
  <c r="I259" i="14" s="1"/>
  <c r="J260" i="14"/>
  <c r="I260" i="14" s="1"/>
  <c r="J261" i="14"/>
  <c r="I261" i="14" s="1"/>
  <c r="J262" i="14"/>
  <c r="I262" i="14" s="1"/>
  <c r="J263" i="14"/>
  <c r="I263" i="14" s="1"/>
  <c r="J264" i="14"/>
  <c r="I264" i="14" s="1"/>
  <c r="J265" i="14"/>
  <c r="I265" i="14" s="1"/>
  <c r="J266" i="14"/>
  <c r="I266" i="14" s="1"/>
  <c r="J267" i="14"/>
  <c r="I267" i="14" s="1"/>
  <c r="J268" i="14"/>
  <c r="I268" i="14" s="1"/>
  <c r="N269" i="14"/>
  <c r="Q269" i="14"/>
  <c r="J272" i="14"/>
  <c r="J273" i="14"/>
  <c r="J274" i="14"/>
  <c r="I274" i="14" s="1"/>
  <c r="J275" i="14"/>
  <c r="I275" i="14" s="1"/>
  <c r="J276" i="14"/>
  <c r="I276" i="14" s="1"/>
  <c r="J277" i="14"/>
  <c r="I277" i="14" s="1"/>
  <c r="J278" i="14"/>
  <c r="I278" i="14" s="1"/>
  <c r="N284" i="14"/>
  <c r="R286" i="14"/>
  <c r="R284" i="14" s="1"/>
  <c r="J287" i="14"/>
  <c r="I287" i="14" s="1"/>
  <c r="N288" i="14"/>
  <c r="R288" i="14"/>
  <c r="J291" i="14"/>
  <c r="J366" i="14"/>
  <c r="I366" i="14" s="1"/>
  <c r="J292" i="14"/>
  <c r="I292" i="14" s="1"/>
  <c r="J293" i="14"/>
  <c r="I293" i="14" s="1"/>
  <c r="N294" i="14"/>
  <c r="R296" i="14"/>
  <c r="R294" i="14" s="1"/>
  <c r="J372" i="14"/>
  <c r="I372" i="14" s="1"/>
  <c r="J297" i="14"/>
  <c r="Q298" i="14"/>
  <c r="R298" i="14"/>
  <c r="J301" i="14"/>
  <c r="N302" i="14"/>
  <c r="Q302" i="14"/>
  <c r="J305" i="14"/>
  <c r="I305" i="14" s="1"/>
  <c r="J306" i="14"/>
  <c r="N308" i="14"/>
  <c r="R308" i="14"/>
  <c r="J311" i="14"/>
  <c r="I311" i="14" s="1"/>
  <c r="J312" i="14"/>
  <c r="J313" i="14"/>
  <c r="Q314" i="14"/>
  <c r="R314" i="14"/>
  <c r="J317" i="14"/>
  <c r="J318" i="14"/>
  <c r="I318" i="14" s="1"/>
  <c r="J319" i="14"/>
  <c r="I319" i="14" s="1"/>
  <c r="N320" i="14"/>
  <c r="Q320" i="14"/>
  <c r="R320" i="14"/>
  <c r="J324" i="14"/>
  <c r="I324" i="14" s="1"/>
  <c r="J325" i="14"/>
  <c r="I325" i="14" s="1"/>
  <c r="J326" i="14"/>
  <c r="I326" i="14" s="1"/>
  <c r="J327" i="14"/>
  <c r="I327" i="14" s="1"/>
  <c r="J328" i="14"/>
  <c r="I328" i="14" s="1"/>
  <c r="J329" i="14"/>
  <c r="I329" i="14" s="1"/>
  <c r="N330" i="14"/>
  <c r="R330" i="14"/>
  <c r="J333" i="14"/>
  <c r="I333" i="14" s="1"/>
  <c r="J334" i="14"/>
  <c r="I334" i="14" s="1"/>
  <c r="J335" i="14"/>
  <c r="I335" i="14" s="1"/>
  <c r="J339" i="14"/>
  <c r="I339" i="14" s="1"/>
  <c r="J340" i="14"/>
  <c r="I340" i="14" s="1"/>
  <c r="R343" i="14"/>
  <c r="N344" i="14"/>
  <c r="N341" i="14" s="1"/>
  <c r="R345" i="14"/>
  <c r="R346" i="14"/>
  <c r="J347" i="14"/>
  <c r="J348" i="14"/>
  <c r="I348" i="14" s="1"/>
  <c r="J45" i="14"/>
  <c r="I45" i="14" s="1"/>
  <c r="J349" i="14"/>
  <c r="N352" i="14"/>
  <c r="L353" i="14"/>
  <c r="L350" i="14" s="1"/>
  <c r="N354" i="14"/>
  <c r="Q350" i="14"/>
  <c r="R357" i="14"/>
  <c r="R350" i="14" s="1"/>
  <c r="J358" i="14"/>
  <c r="J359" i="14"/>
  <c r="I359" i="14" s="1"/>
  <c r="J360" i="14"/>
  <c r="I360" i="14" s="1"/>
  <c r="J361" i="14"/>
  <c r="I361" i="14" s="1"/>
  <c r="J362" i="14"/>
  <c r="I362" i="14" s="1"/>
  <c r="J363" i="14"/>
  <c r="I363" i="14" s="1"/>
  <c r="J364" i="14"/>
  <c r="I364" i="14" s="1"/>
  <c r="J365" i="14"/>
  <c r="I365" i="14" s="1"/>
  <c r="J367" i="14"/>
  <c r="I367" i="14" s="1"/>
  <c r="J368" i="14"/>
  <c r="I368" i="14" s="1"/>
  <c r="Q370" i="14"/>
  <c r="Q369" i="14" s="1"/>
  <c r="N371" i="14"/>
  <c r="N369" i="14" s="1"/>
  <c r="Q374" i="14"/>
  <c r="N376" i="14"/>
  <c r="N374" i="14" s="1"/>
  <c r="N377" i="14"/>
  <c r="Q377" i="14"/>
  <c r="N385" i="14"/>
  <c r="Q385" i="14"/>
  <c r="J388" i="14"/>
  <c r="I388" i="14" s="1"/>
  <c r="J390" i="14"/>
  <c r="I390" i="14" s="1"/>
  <c r="J391" i="14"/>
  <c r="I391" i="14" s="1"/>
  <c r="J392" i="14"/>
  <c r="I392" i="14" s="1"/>
  <c r="J393" i="14"/>
  <c r="I393" i="14" s="1"/>
  <c r="J394" i="14"/>
  <c r="I394" i="14" s="1"/>
  <c r="J395" i="14"/>
  <c r="I395" i="14" s="1"/>
  <c r="J396" i="14"/>
  <c r="I396" i="14" s="1"/>
  <c r="J397" i="14"/>
  <c r="I397" i="14" s="1"/>
  <c r="J398" i="14"/>
  <c r="I398" i="14" s="1"/>
  <c r="R23" i="14"/>
  <c r="N401" i="14"/>
  <c r="J400" i="14"/>
  <c r="I400" i="14" s="1"/>
  <c r="R401" i="14"/>
  <c r="N404" i="14"/>
  <c r="R406" i="14"/>
  <c r="R404" i="14" s="1"/>
  <c r="J407" i="14"/>
  <c r="I407" i="14" s="1"/>
  <c r="J408" i="14"/>
  <c r="I408" i="14" s="1"/>
  <c r="J409" i="14"/>
  <c r="I409" i="14" s="1"/>
  <c r="J410" i="14"/>
  <c r="I410" i="14" s="1"/>
  <c r="J411" i="14"/>
  <c r="I411" i="14" s="1"/>
  <c r="J412" i="14"/>
  <c r="I412" i="14" s="1"/>
  <c r="J413" i="14"/>
  <c r="I413" i="14" s="1"/>
  <c r="J414" i="14"/>
  <c r="I414" i="14" s="1"/>
  <c r="J415" i="14"/>
  <c r="I415" i="14" s="1"/>
  <c r="J416" i="14"/>
  <c r="I416" i="14" s="1"/>
  <c r="J417" i="14"/>
  <c r="I417" i="14" s="1"/>
  <c r="J418" i="14"/>
  <c r="I418" i="14" s="1"/>
  <c r="J419" i="14"/>
  <c r="I419" i="14" s="1"/>
  <c r="J420" i="14"/>
  <c r="I420" i="14" s="1"/>
  <c r="J422" i="14"/>
  <c r="I422" i="14" s="1"/>
  <c r="J424" i="14"/>
  <c r="I424" i="14" s="1"/>
  <c r="J426" i="14"/>
  <c r="I426" i="14" s="1"/>
  <c r="J427" i="14"/>
  <c r="I427" i="14" s="1"/>
  <c r="J428" i="14"/>
  <c r="I428" i="14" s="1"/>
  <c r="J429" i="14"/>
  <c r="I429" i="14" s="1"/>
  <c r="J431" i="14"/>
  <c r="I431" i="14" s="1"/>
  <c r="J432" i="14"/>
  <c r="I432" i="14" s="1"/>
  <c r="J434" i="14"/>
  <c r="I434" i="14" s="1"/>
  <c r="N435" i="14"/>
  <c r="R435" i="14"/>
  <c r="J438" i="14"/>
  <c r="I438" i="14" s="1"/>
  <c r="J439" i="14"/>
  <c r="I439" i="14" s="1"/>
  <c r="J441" i="14"/>
  <c r="I441" i="14" s="1"/>
  <c r="J442" i="14"/>
  <c r="I442" i="14" s="1"/>
  <c r="J443" i="14"/>
  <c r="I443" i="14" s="1"/>
  <c r="J444" i="14"/>
  <c r="I444" i="14" s="1"/>
  <c r="J445" i="14"/>
  <c r="I445" i="14" s="1"/>
  <c r="N448" i="14"/>
  <c r="N22" i="14" s="1"/>
  <c r="R450" i="14"/>
  <c r="R448" i="14" s="1"/>
  <c r="R22" i="14" s="1"/>
  <c r="N454" i="14"/>
  <c r="N451" i="14" s="1"/>
  <c r="Q455" i="14"/>
  <c r="Q451" i="14" s="1"/>
  <c r="S10" i="66"/>
  <c r="P12" i="1" s="1"/>
  <c r="T10" i="66"/>
  <c r="Q12" i="1" s="1"/>
  <c r="U10" i="66"/>
  <c r="R12" i="1" s="1"/>
  <c r="V10" i="66"/>
  <c r="W10" i="66"/>
  <c r="T12" i="1" s="1"/>
  <c r="Y10" i="66"/>
  <c r="V12" i="1" s="1"/>
  <c r="Z10" i="66"/>
  <c r="W12" i="1" s="1"/>
  <c r="AB10" i="66"/>
  <c r="K11" i="66"/>
  <c r="L11" i="66"/>
  <c r="M11" i="66"/>
  <c r="N11" i="66"/>
  <c r="O11" i="66"/>
  <c r="P11" i="66"/>
  <c r="Q11" i="66"/>
  <c r="R11" i="66"/>
  <c r="M12" i="66"/>
  <c r="P12" i="66"/>
  <c r="R12" i="66"/>
  <c r="AG15" i="66" s="1"/>
  <c r="K13" i="66"/>
  <c r="L13" i="66"/>
  <c r="M13" i="66"/>
  <c r="O13" i="66"/>
  <c r="P13" i="66"/>
  <c r="K15" i="66"/>
  <c r="L15" i="66"/>
  <c r="M15" i="66"/>
  <c r="O15" i="66"/>
  <c r="P15" i="66"/>
  <c r="R15" i="66"/>
  <c r="K16" i="66"/>
  <c r="L16" i="66"/>
  <c r="M16" i="66"/>
  <c r="O16" i="66"/>
  <c r="P16" i="66"/>
  <c r="K17" i="66"/>
  <c r="L17" i="66"/>
  <c r="M17" i="66"/>
  <c r="N17" i="66"/>
  <c r="O17" i="66"/>
  <c r="P17" i="66"/>
  <c r="Q17" i="66"/>
  <c r="R17" i="66"/>
  <c r="K18" i="66"/>
  <c r="L18" i="66"/>
  <c r="M18" i="66"/>
  <c r="N18" i="66"/>
  <c r="O18" i="66"/>
  <c r="P18" i="66"/>
  <c r="Q18" i="66"/>
  <c r="R18" i="66"/>
  <c r="M19" i="66"/>
  <c r="P19" i="66"/>
  <c r="K20" i="66"/>
  <c r="L20" i="66"/>
  <c r="M20" i="66"/>
  <c r="O20" i="66"/>
  <c r="P20" i="66"/>
  <c r="D22" i="66"/>
  <c r="K22" i="66"/>
  <c r="L22" i="66"/>
  <c r="M22" i="66"/>
  <c r="N22" i="66"/>
  <c r="O22" i="66"/>
  <c r="P22" i="66"/>
  <c r="Q22" i="66"/>
  <c r="R22" i="66"/>
  <c r="D23" i="66"/>
  <c r="K23" i="66"/>
  <c r="L23" i="66"/>
  <c r="M23" i="66"/>
  <c r="N23" i="66"/>
  <c r="O23" i="66"/>
  <c r="P23" i="66"/>
  <c r="Q23" i="66"/>
  <c r="R23" i="66"/>
  <c r="D24" i="66"/>
  <c r="K24" i="66"/>
  <c r="L24" i="66"/>
  <c r="M24" i="66"/>
  <c r="O24" i="66"/>
  <c r="P24" i="66"/>
  <c r="Q24" i="66"/>
  <c r="D25" i="66"/>
  <c r="K25" i="66"/>
  <c r="L25" i="66"/>
  <c r="M25" i="66"/>
  <c r="N25" i="66"/>
  <c r="O25" i="66"/>
  <c r="P25" i="66"/>
  <c r="Q25" i="66"/>
  <c r="R25" i="66"/>
  <c r="D26" i="66"/>
  <c r="K26" i="66"/>
  <c r="L26" i="66"/>
  <c r="M26" i="66"/>
  <c r="N26" i="66"/>
  <c r="O26" i="66"/>
  <c r="P26" i="66"/>
  <c r="Q26" i="66"/>
  <c r="R26" i="66"/>
  <c r="M28" i="66"/>
  <c r="P28" i="66"/>
  <c r="AB28" i="66"/>
  <c r="J30" i="66"/>
  <c r="I30" i="66" s="1"/>
  <c r="Q34" i="66"/>
  <c r="J35" i="66"/>
  <c r="I35" i="66" s="1"/>
  <c r="Q36" i="66"/>
  <c r="N37" i="66"/>
  <c r="AL57" i="66" s="1"/>
  <c r="AL55" i="66" s="1"/>
  <c r="J39" i="66"/>
  <c r="I39" i="66" s="1"/>
  <c r="J40" i="66"/>
  <c r="I40" i="66" s="1"/>
  <c r="J41" i="66"/>
  <c r="I41" i="66" s="1"/>
  <c r="N47" i="66"/>
  <c r="Q48" i="66"/>
  <c r="J49" i="66"/>
  <c r="I49" i="66" s="1"/>
  <c r="J50" i="66"/>
  <c r="I50" i="66" s="1"/>
  <c r="N54" i="66"/>
  <c r="N53" i="66" s="1"/>
  <c r="Q55" i="66"/>
  <c r="Q53" i="66" s="1"/>
  <c r="N57" i="66"/>
  <c r="N16" i="66" s="1"/>
  <c r="R58" i="66"/>
  <c r="J59" i="66"/>
  <c r="I59" i="66" s="1"/>
  <c r="J68" i="66"/>
  <c r="I68" i="66" s="1"/>
  <c r="Q69" i="66"/>
  <c r="R69" i="66"/>
  <c r="J72" i="66"/>
  <c r="I72" i="66" s="1"/>
  <c r="J73" i="66"/>
  <c r="I73" i="66" s="1"/>
  <c r="J74" i="66"/>
  <c r="I74" i="66" s="1"/>
  <c r="L77" i="66"/>
  <c r="Q78" i="66"/>
  <c r="N79" i="66"/>
  <c r="Q80" i="66"/>
  <c r="L81" i="66"/>
  <c r="L83" i="66"/>
  <c r="N86" i="66"/>
  <c r="Q87" i="66"/>
  <c r="J88" i="66"/>
  <c r="I88" i="66" s="1"/>
  <c r="J89" i="66"/>
  <c r="I89" i="66" s="1"/>
  <c r="N90" i="66"/>
  <c r="R90" i="66"/>
  <c r="J93" i="66"/>
  <c r="I93" i="66" s="1"/>
  <c r="J94" i="66"/>
  <c r="I94" i="66" s="1"/>
  <c r="J95" i="66"/>
  <c r="I95" i="66" s="1"/>
  <c r="J110" i="66"/>
  <c r="I110" i="66" s="1"/>
  <c r="J111" i="66"/>
  <c r="I111" i="66" s="1"/>
  <c r="J112" i="66"/>
  <c r="I112" i="66" s="1"/>
  <c r="J113" i="66"/>
  <c r="I113" i="66" s="1"/>
  <c r="J114" i="66"/>
  <c r="I114" i="66" s="1"/>
  <c r="J119" i="66"/>
  <c r="I119" i="66" s="1"/>
  <c r="J123" i="66"/>
  <c r="I123" i="66" s="1"/>
  <c r="K124" i="66"/>
  <c r="K28" i="66" s="1"/>
  <c r="K12" i="66"/>
  <c r="J134" i="66"/>
  <c r="I134" i="66" s="1"/>
  <c r="J135" i="66"/>
  <c r="I135" i="66" s="1"/>
  <c r="N136" i="66"/>
  <c r="Q136" i="66"/>
  <c r="J139" i="66"/>
  <c r="I139" i="66" s="1"/>
  <c r="J144" i="66"/>
  <c r="I144" i="66" s="1"/>
  <c r="N147" i="66"/>
  <c r="N145" i="66" s="1"/>
  <c r="R148" i="66"/>
  <c r="R145" i="66" s="1"/>
  <c r="J149" i="66"/>
  <c r="I149" i="66" s="1"/>
  <c r="J150" i="66"/>
  <c r="I150" i="66" s="1"/>
  <c r="J151" i="66"/>
  <c r="I151" i="66" s="1"/>
  <c r="J152" i="66"/>
  <c r="I152" i="66" s="1"/>
  <c r="J153" i="66"/>
  <c r="I153" i="66" s="1"/>
  <c r="N154" i="66"/>
  <c r="Q154" i="66"/>
  <c r="J159" i="66"/>
  <c r="I159" i="66" s="1"/>
  <c r="J160" i="66"/>
  <c r="I160" i="66" s="1"/>
  <c r="N161" i="66"/>
  <c r="Q161" i="66"/>
  <c r="J164" i="66"/>
  <c r="I164" i="66" s="1"/>
  <c r="J165" i="66"/>
  <c r="I165" i="66" s="1"/>
  <c r="J176" i="66"/>
  <c r="I176" i="66" s="1"/>
  <c r="J177" i="66"/>
  <c r="I177" i="66" s="1"/>
  <c r="J181" i="66"/>
  <c r="I181" i="66" s="1"/>
  <c r="J182" i="66"/>
  <c r="I182" i="66" s="1"/>
  <c r="N183" i="66"/>
  <c r="Q183" i="66"/>
  <c r="J188" i="66"/>
  <c r="I188" i="66" s="1"/>
  <c r="N189" i="66"/>
  <c r="Q191" i="66"/>
  <c r="Q189" i="66" s="1"/>
  <c r="J192" i="66"/>
  <c r="I192" i="66" s="1"/>
  <c r="J193" i="66"/>
  <c r="I193" i="66" s="1"/>
  <c r="N194" i="66"/>
  <c r="X194" i="66"/>
  <c r="X10" i="66" s="1"/>
  <c r="U12" i="1" s="1"/>
  <c r="Q196" i="66"/>
  <c r="Q194" i="66" s="1"/>
  <c r="J197" i="66"/>
  <c r="I197" i="66" s="1"/>
  <c r="J198" i="66"/>
  <c r="I198" i="66" s="1"/>
  <c r="N199" i="66"/>
  <c r="J206" i="66"/>
  <c r="I206" i="66" s="1"/>
  <c r="N207" i="66"/>
  <c r="Q207" i="66"/>
  <c r="Q15" i="66"/>
  <c r="N210" i="66"/>
  <c r="Q210" i="66"/>
  <c r="J213" i="66"/>
  <c r="I213" i="66" s="1"/>
  <c r="J215" i="66"/>
  <c r="I215" i="66" s="1"/>
  <c r="J216" i="66"/>
  <c r="I216" i="66" s="1"/>
  <c r="J217" i="66"/>
  <c r="I217" i="66" s="1"/>
  <c r="J218" i="66"/>
  <c r="I218" i="66" s="1"/>
  <c r="J219" i="66"/>
  <c r="I219" i="66" s="1"/>
  <c r="J220" i="66"/>
  <c r="I220" i="66" s="1"/>
  <c r="J221" i="66"/>
  <c r="I221" i="66" s="1"/>
  <c r="J226" i="66"/>
  <c r="I226" i="66" s="1"/>
  <c r="N227" i="66"/>
  <c r="Q229" i="66"/>
  <c r="Q230" i="66"/>
  <c r="AL71" i="66" s="1"/>
  <c r="J231" i="66"/>
  <c r="I231" i="66" s="1"/>
  <c r="J232" i="66"/>
  <c r="I232" i="66" s="1"/>
  <c r="J234" i="66"/>
  <c r="I234" i="66" s="1"/>
  <c r="N235" i="66"/>
  <c r="R235" i="66"/>
  <c r="N238" i="66"/>
  <c r="R238" i="66"/>
  <c r="J241" i="66"/>
  <c r="I241" i="66" s="1"/>
  <c r="Q242" i="66"/>
  <c r="N244" i="66"/>
  <c r="N242" i="66" s="1"/>
  <c r="N245" i="66"/>
  <c r="R245" i="66"/>
  <c r="J248" i="66"/>
  <c r="I248" i="66" s="1"/>
  <c r="J249" i="66"/>
  <c r="I249" i="66" s="1"/>
  <c r="N250" i="66"/>
  <c r="Q250" i="66"/>
  <c r="N255" i="66"/>
  <c r="Q256" i="66"/>
  <c r="AL44" i="66" s="1"/>
  <c r="N257" i="66"/>
  <c r="R258" i="66"/>
  <c r="AL45" i="66" s="1"/>
  <c r="J259" i="66"/>
  <c r="I259" i="66" s="1"/>
  <c r="J260" i="66"/>
  <c r="I260" i="66" s="1"/>
  <c r="J261" i="66"/>
  <c r="I261" i="66" s="1"/>
  <c r="J262" i="66"/>
  <c r="I262" i="66" s="1"/>
  <c r="J263" i="66"/>
  <c r="I263" i="66" s="1"/>
  <c r="J264" i="66"/>
  <c r="I264" i="66" s="1"/>
  <c r="J265" i="66"/>
  <c r="I265" i="66" s="1"/>
  <c r="J266" i="66"/>
  <c r="I266" i="66" s="1"/>
  <c r="J268" i="66"/>
  <c r="I268" i="66" s="1"/>
  <c r="N269" i="66"/>
  <c r="Q269" i="66"/>
  <c r="J273" i="66"/>
  <c r="I273" i="66" s="1"/>
  <c r="J274" i="66"/>
  <c r="I274" i="66" s="1"/>
  <c r="J275" i="66"/>
  <c r="I275" i="66" s="1"/>
  <c r="N277" i="66"/>
  <c r="Q277" i="66"/>
  <c r="N280" i="66"/>
  <c r="R280" i="66"/>
  <c r="L283" i="66"/>
  <c r="N283" i="66"/>
  <c r="O283" i="66"/>
  <c r="Q283" i="66"/>
  <c r="J290" i="66"/>
  <c r="I290" i="66" s="1"/>
  <c r="J291" i="66"/>
  <c r="I291" i="66" s="1"/>
  <c r="J292" i="66"/>
  <c r="I292" i="66" s="1"/>
  <c r="J293" i="66"/>
  <c r="I293" i="66" s="1"/>
  <c r="J294" i="66"/>
  <c r="I294" i="66" s="1"/>
  <c r="J295" i="66"/>
  <c r="I295" i="66" s="1"/>
  <c r="J296" i="66"/>
  <c r="I296" i="66" s="1"/>
  <c r="S10" i="44"/>
  <c r="P11" i="1" s="1"/>
  <c r="U10" i="44"/>
  <c r="R11" i="1" s="1"/>
  <c r="V10" i="44"/>
  <c r="S11" i="1" s="1"/>
  <c r="W10" i="44"/>
  <c r="T11" i="1" s="1"/>
  <c r="Y10" i="44"/>
  <c r="V11" i="1" s="1"/>
  <c r="Z10" i="44"/>
  <c r="W11" i="1" s="1"/>
  <c r="AB10" i="44"/>
  <c r="K12" i="44"/>
  <c r="L12" i="44"/>
  <c r="P12" i="44"/>
  <c r="R12" i="44"/>
  <c r="AG15" i="44" s="1"/>
  <c r="K13" i="44"/>
  <c r="L13" i="44"/>
  <c r="M13" i="44"/>
  <c r="O13" i="44"/>
  <c r="P13" i="44"/>
  <c r="K15" i="44"/>
  <c r="L15" i="44"/>
  <c r="M15" i="44"/>
  <c r="O15" i="44"/>
  <c r="P15" i="44"/>
  <c r="K16" i="44"/>
  <c r="M16" i="44"/>
  <c r="O16" i="44"/>
  <c r="P16" i="44"/>
  <c r="Q16" i="44"/>
  <c r="K17" i="44"/>
  <c r="L17" i="44"/>
  <c r="M17" i="44"/>
  <c r="N17" i="44"/>
  <c r="O17" i="44"/>
  <c r="P17" i="44"/>
  <c r="Q17" i="44"/>
  <c r="K18" i="44"/>
  <c r="L18" i="44"/>
  <c r="O18" i="44"/>
  <c r="P18" i="44"/>
  <c r="Q18" i="44"/>
  <c r="R18" i="44"/>
  <c r="K19" i="44"/>
  <c r="L19" i="44"/>
  <c r="M19" i="44"/>
  <c r="P19" i="44"/>
  <c r="K20" i="44"/>
  <c r="L20" i="44"/>
  <c r="M20" i="44"/>
  <c r="P20" i="44"/>
  <c r="D22" i="44"/>
  <c r="K22" i="44"/>
  <c r="L22" i="44"/>
  <c r="M22" i="44"/>
  <c r="O22" i="44"/>
  <c r="P22" i="44"/>
  <c r="Q22" i="44"/>
  <c r="D23" i="44"/>
  <c r="K23" i="44"/>
  <c r="L23" i="44"/>
  <c r="M23" i="44"/>
  <c r="N23" i="44"/>
  <c r="O23" i="44"/>
  <c r="P23" i="44"/>
  <c r="Q23" i="44"/>
  <c r="R23" i="44"/>
  <c r="D24" i="44"/>
  <c r="K24" i="44"/>
  <c r="L24" i="44"/>
  <c r="M24" i="44"/>
  <c r="N24" i="44"/>
  <c r="O24" i="44"/>
  <c r="P24" i="44"/>
  <c r="Q24" i="44"/>
  <c r="R24" i="44"/>
  <c r="D25" i="44"/>
  <c r="K25" i="44"/>
  <c r="L25" i="44"/>
  <c r="M25" i="44"/>
  <c r="N25" i="44"/>
  <c r="O25" i="44"/>
  <c r="P25" i="44"/>
  <c r="Q25" i="44"/>
  <c r="R25" i="44"/>
  <c r="D26" i="44"/>
  <c r="K26" i="44"/>
  <c r="L26" i="44"/>
  <c r="M26" i="44"/>
  <c r="N26" i="44"/>
  <c r="O26" i="44"/>
  <c r="P26" i="44"/>
  <c r="Q26" i="44"/>
  <c r="R26" i="44"/>
  <c r="K28" i="44"/>
  <c r="P28" i="44"/>
  <c r="AB28" i="44"/>
  <c r="I38" i="44"/>
  <c r="J38" i="44"/>
  <c r="I39" i="44"/>
  <c r="J39" i="44"/>
  <c r="J42" i="44"/>
  <c r="J43" i="44"/>
  <c r="I44" i="44"/>
  <c r="J44" i="44"/>
  <c r="J45" i="44"/>
  <c r="I45" i="44" s="1"/>
  <c r="I46" i="44"/>
  <c r="J46" i="44"/>
  <c r="J47" i="44"/>
  <c r="J48" i="44"/>
  <c r="I48" i="44" s="1"/>
  <c r="J49" i="44"/>
  <c r="N50" i="44"/>
  <c r="Q50" i="44"/>
  <c r="I55" i="44"/>
  <c r="J55" i="44"/>
  <c r="J56" i="44"/>
  <c r="I56" i="44" s="1"/>
  <c r="J57" i="44"/>
  <c r="I57" i="44" s="1"/>
  <c r="J73" i="44"/>
  <c r="J74" i="44"/>
  <c r="Q90" i="44"/>
  <c r="R90" i="44"/>
  <c r="J93" i="44"/>
  <c r="I94" i="44"/>
  <c r="J94" i="44"/>
  <c r="J98" i="44"/>
  <c r="I98" i="44" s="1"/>
  <c r="I99" i="44"/>
  <c r="J99" i="44"/>
  <c r="I100" i="44"/>
  <c r="J100" i="44"/>
  <c r="J101" i="44"/>
  <c r="I101" i="44" s="1"/>
  <c r="J102" i="44"/>
  <c r="I102" i="44" s="1"/>
  <c r="J103" i="44"/>
  <c r="I103" i="44" s="1"/>
  <c r="J104" i="44"/>
  <c r="I104" i="44" s="1"/>
  <c r="J105" i="44"/>
  <c r="I105" i="44" s="1"/>
  <c r="J106" i="44"/>
  <c r="I106" i="44" s="1"/>
  <c r="J107" i="44"/>
  <c r="I107" i="44" s="1"/>
  <c r="T108" i="44"/>
  <c r="T10" i="44" s="1"/>
  <c r="Q11" i="1" s="1"/>
  <c r="N114" i="44"/>
  <c r="Q115" i="44"/>
  <c r="Q12" i="44" s="1"/>
  <c r="N116" i="44"/>
  <c r="I117" i="44"/>
  <c r="J117" i="44"/>
  <c r="J118" i="44"/>
  <c r="I118" i="44" s="1"/>
  <c r="I119" i="44"/>
  <c r="J119" i="44"/>
  <c r="I120" i="44"/>
  <c r="J120" i="44"/>
  <c r="J122" i="44"/>
  <c r="J128" i="44"/>
  <c r="I128" i="44" s="1"/>
  <c r="N129" i="44"/>
  <c r="Q129" i="44"/>
  <c r="I132" i="44"/>
  <c r="J132" i="44"/>
  <c r="I133" i="44"/>
  <c r="J133" i="44"/>
  <c r="I134" i="44"/>
  <c r="J134" i="44"/>
  <c r="I135" i="44"/>
  <c r="J135" i="44"/>
  <c r="J136" i="44"/>
  <c r="I136" i="44" s="1"/>
  <c r="I137" i="44"/>
  <c r="J137" i="44"/>
  <c r="I138" i="44"/>
  <c r="J138" i="44"/>
  <c r="J139" i="44"/>
  <c r="I139" i="44" s="1"/>
  <c r="I140" i="44"/>
  <c r="J140" i="44"/>
  <c r="J141" i="44"/>
  <c r="J142" i="44"/>
  <c r="J143" i="44"/>
  <c r="J144" i="44"/>
  <c r="J145" i="44"/>
  <c r="N146" i="44"/>
  <c r="Q146" i="44"/>
  <c r="R146" i="44"/>
  <c r="T146" i="44"/>
  <c r="J150" i="44"/>
  <c r="N151" i="44"/>
  <c r="Q151" i="44"/>
  <c r="J155" i="44"/>
  <c r="I155" i="44" s="1"/>
  <c r="J156" i="44"/>
  <c r="I156" i="44" s="1"/>
  <c r="J167" i="44"/>
  <c r="I167" i="44" s="1"/>
  <c r="J168" i="44"/>
  <c r="I168" i="44" s="1"/>
  <c r="I169" i="44"/>
  <c r="J169" i="44"/>
  <c r="J170" i="44"/>
  <c r="J171" i="44"/>
  <c r="I173" i="44"/>
  <c r="J173" i="44"/>
  <c r="I174" i="44"/>
  <c r="J174" i="44"/>
  <c r="T174" i="44"/>
  <c r="J175" i="44"/>
  <c r="I175" i="44" s="1"/>
  <c r="J183" i="44"/>
  <c r="I183" i="44" s="1"/>
  <c r="J184" i="44"/>
  <c r="I184" i="44" s="1"/>
  <c r="J185" i="44"/>
  <c r="I185" i="44" s="1"/>
  <c r="T186" i="44"/>
  <c r="Q188" i="44"/>
  <c r="Q186" i="44" s="1"/>
  <c r="N189" i="44"/>
  <c r="N186" i="44" s="1"/>
  <c r="N190" i="44"/>
  <c r="Q190" i="44"/>
  <c r="J193" i="44"/>
  <c r="J194" i="44"/>
  <c r="J195" i="44"/>
  <c r="I195" i="44" s="1"/>
  <c r="J196" i="44"/>
  <c r="I196" i="44" s="1"/>
  <c r="J210" i="44"/>
  <c r="I211" i="44"/>
  <c r="J211" i="44"/>
  <c r="I212" i="44"/>
  <c r="J212" i="44"/>
  <c r="I213" i="44"/>
  <c r="J213" i="44"/>
  <c r="I216" i="44"/>
  <c r="J216" i="44"/>
  <c r="J217" i="44"/>
  <c r="J229" i="44"/>
  <c r="I229" i="44" s="1"/>
  <c r="J230" i="44"/>
  <c r="I230" i="44" s="1"/>
  <c r="I231" i="44"/>
  <c r="J231" i="44"/>
  <c r="I232" i="44"/>
  <c r="J232" i="44"/>
  <c r="N233" i="44"/>
  <c r="R235" i="44"/>
  <c r="N236" i="44"/>
  <c r="R238" i="44"/>
  <c r="R236" i="44" s="1"/>
  <c r="J239" i="44"/>
  <c r="I239" i="44" s="1"/>
  <c r="J240" i="44"/>
  <c r="I240" i="44" s="1"/>
  <c r="N241" i="44"/>
  <c r="Q241" i="44"/>
  <c r="J245" i="44"/>
  <c r="I245" i="44" s="1"/>
  <c r="J246" i="44"/>
  <c r="I247" i="44"/>
  <c r="J247" i="44"/>
  <c r="I248" i="44"/>
  <c r="J248" i="44"/>
  <c r="J249" i="44"/>
  <c r="I250" i="44"/>
  <c r="J250" i="44"/>
  <c r="N251" i="44"/>
  <c r="Q251" i="44"/>
  <c r="I256" i="44"/>
  <c r="J256" i="44"/>
  <c r="N257" i="44"/>
  <c r="Q257" i="44"/>
  <c r="N261" i="44"/>
  <c r="Q263" i="44"/>
  <c r="I265" i="44"/>
  <c r="J265" i="44"/>
  <c r="J266" i="44"/>
  <c r="J267" i="44"/>
  <c r="N268" i="44"/>
  <c r="Q268" i="44"/>
  <c r="I272" i="44"/>
  <c r="J272" i="44"/>
  <c r="I273" i="44"/>
  <c r="J273" i="44"/>
  <c r="I274" i="44"/>
  <c r="J274" i="44"/>
  <c r="I275" i="44"/>
  <c r="J275" i="44"/>
  <c r="I276" i="44"/>
  <c r="J276" i="44"/>
  <c r="I277" i="44"/>
  <c r="J277" i="44"/>
  <c r="J278" i="44"/>
  <c r="I278" i="44" s="1"/>
  <c r="N279" i="44"/>
  <c r="Q279" i="44"/>
  <c r="R279" i="44"/>
  <c r="N283" i="44"/>
  <c r="Q283" i="44"/>
  <c r="R283" i="44"/>
  <c r="J289" i="44"/>
  <c r="I289" i="44" s="1"/>
  <c r="I290" i="44"/>
  <c r="J290" i="44"/>
  <c r="I291" i="44"/>
  <c r="J291" i="44"/>
  <c r="J293" i="44"/>
  <c r="I293" i="44" s="1"/>
  <c r="J294" i="44"/>
  <c r="I294" i="44" s="1"/>
  <c r="R295" i="44"/>
  <c r="I295" i="44" s="1"/>
  <c r="J298" i="44"/>
  <c r="I298" i="44" s="1"/>
  <c r="O299" i="44"/>
  <c r="Q299" i="44"/>
  <c r="R302" i="44"/>
  <c r="R303" i="44"/>
  <c r="J304" i="44"/>
  <c r="I304" i="44" s="1"/>
  <c r="J305" i="44"/>
  <c r="I305" i="44" s="1"/>
  <c r="J306" i="44"/>
  <c r="I306" i="44" s="1"/>
  <c r="J307" i="44"/>
  <c r="I307" i="44" s="1"/>
  <c r="N308" i="44"/>
  <c r="R308" i="44"/>
  <c r="I311" i="44"/>
  <c r="J311" i="44"/>
  <c r="I313" i="44"/>
  <c r="J313" i="44"/>
  <c r="J316" i="44"/>
  <c r="I316" i="44" s="1"/>
  <c r="N317" i="44"/>
  <c r="R317" i="44"/>
  <c r="I320" i="44"/>
  <c r="J320" i="44"/>
  <c r="N321" i="44"/>
  <c r="R323" i="44"/>
  <c r="AJ31" i="44" s="1"/>
  <c r="J324" i="44"/>
  <c r="I324" i="44" s="1"/>
  <c r="I325" i="44"/>
  <c r="J325" i="44"/>
  <c r="I326" i="44"/>
  <c r="J326" i="44"/>
  <c r="Q327" i="44"/>
  <c r="R327" i="44"/>
  <c r="J330" i="44"/>
  <c r="I330" i="44" s="1"/>
  <c r="I331" i="44"/>
  <c r="J331" i="44"/>
  <c r="N332" i="44"/>
  <c r="N16" i="44"/>
  <c r="R332" i="44"/>
  <c r="N335" i="44"/>
  <c r="Q335" i="44"/>
  <c r="R335" i="44"/>
  <c r="J339" i="44"/>
  <c r="Q340" i="44"/>
  <c r="R340" i="44"/>
  <c r="J343" i="44"/>
  <c r="I343" i="44" s="1"/>
  <c r="I344" i="44"/>
  <c r="J344" i="44"/>
  <c r="J345" i="44"/>
  <c r="I345" i="44" s="1"/>
  <c r="M347" i="44"/>
  <c r="M18" i="44" s="1"/>
  <c r="N348" i="44"/>
  <c r="M349" i="44"/>
  <c r="N350" i="44"/>
  <c r="N346" i="44" s="1"/>
  <c r="M351" i="44"/>
  <c r="I352" i="44"/>
  <c r="J352" i="44"/>
  <c r="J358" i="44"/>
  <c r="I358" i="44" s="1"/>
  <c r="J359" i="44"/>
  <c r="I359" i="44" s="1"/>
  <c r="I360" i="44"/>
  <c r="J360" i="44"/>
  <c r="J362" i="44"/>
  <c r="I362" i="44" s="1"/>
  <c r="J363" i="44"/>
  <c r="I363" i="44" s="1"/>
  <c r="J364" i="44"/>
  <c r="I364" i="44" s="1"/>
  <c r="N369" i="44"/>
  <c r="Q369" i="44"/>
  <c r="X369" i="44"/>
  <c r="X10" i="44" s="1"/>
  <c r="U11" i="1" s="1"/>
  <c r="J372" i="44"/>
  <c r="J377" i="44"/>
  <c r="J378" i="44"/>
  <c r="I381" i="44"/>
  <c r="J381" i="44"/>
  <c r="J382" i="44"/>
  <c r="I382" i="44" s="1"/>
  <c r="J383" i="44"/>
  <c r="I383" i="44" s="1"/>
  <c r="J384" i="44"/>
  <c r="I384" i="44" s="1"/>
  <c r="N386" i="44"/>
  <c r="Q386" i="44"/>
  <c r="I390" i="44"/>
  <c r="J390" i="44"/>
  <c r="I391" i="44"/>
  <c r="J391" i="44"/>
  <c r="J392" i="44"/>
  <c r="I392" i="44" s="1"/>
  <c r="J393" i="44"/>
  <c r="I393" i="44" s="1"/>
  <c r="J394" i="44"/>
  <c r="I394" i="44" s="1"/>
  <c r="N397" i="44"/>
  <c r="Q397" i="44"/>
  <c r="I400" i="44"/>
  <c r="J400" i="44"/>
  <c r="N401" i="44"/>
  <c r="R401" i="44"/>
  <c r="J405" i="44"/>
  <c r="I405" i="44" s="1"/>
  <c r="I406" i="44"/>
  <c r="J406" i="44"/>
  <c r="J407" i="44"/>
  <c r="I407" i="44" s="1"/>
  <c r="I408" i="44"/>
  <c r="J408" i="44"/>
  <c r="J409" i="44"/>
  <c r="I409" i="44" s="1"/>
  <c r="I411" i="44"/>
  <c r="J411" i="44"/>
  <c r="N412" i="44"/>
  <c r="R412" i="44"/>
  <c r="J415" i="44"/>
  <c r="I415" i="44" s="1"/>
  <c r="N416" i="44"/>
  <c r="Q416" i="44"/>
  <c r="N420" i="44"/>
  <c r="R420" i="44"/>
  <c r="J423" i="44"/>
  <c r="N424" i="44"/>
  <c r="Q424" i="44"/>
  <c r="J427" i="44"/>
  <c r="I428" i="44"/>
  <c r="J428" i="44"/>
  <c r="J429" i="44"/>
  <c r="I429" i="44" s="1"/>
  <c r="I430" i="44"/>
  <c r="J430" i="44"/>
  <c r="I431" i="44"/>
  <c r="J431" i="44"/>
  <c r="I432" i="44"/>
  <c r="J432" i="44"/>
  <c r="I433" i="44"/>
  <c r="J433" i="44"/>
  <c r="J434" i="44"/>
  <c r="I434" i="44" s="1"/>
  <c r="N435" i="44"/>
  <c r="N22" i="44" s="1"/>
  <c r="R437" i="44"/>
  <c r="R435" i="44" s="1"/>
  <c r="R22" i="44" s="1"/>
  <c r="J438" i="44"/>
  <c r="J439" i="44"/>
  <c r="J440" i="44"/>
  <c r="J442" i="44"/>
  <c r="I442" i="44" s="1"/>
  <c r="S10" i="79"/>
  <c r="P10" i="1" s="1"/>
  <c r="U10" i="79"/>
  <c r="R10" i="1" s="1"/>
  <c r="V10" i="79"/>
  <c r="S10" i="1" s="1"/>
  <c r="W10" i="79"/>
  <c r="T10" i="1" s="1"/>
  <c r="Y10" i="79"/>
  <c r="V10" i="1" s="1"/>
  <c r="Z10" i="79"/>
  <c r="W10" i="1" s="1"/>
  <c r="AB10" i="79"/>
  <c r="K12" i="79"/>
  <c r="M12" i="79"/>
  <c r="P12" i="79"/>
  <c r="R12" i="79"/>
  <c r="AG15" i="79" s="1"/>
  <c r="K13" i="79"/>
  <c r="M13" i="79"/>
  <c r="O13" i="79"/>
  <c r="P13" i="79"/>
  <c r="K15" i="79"/>
  <c r="M15" i="79"/>
  <c r="O15" i="79"/>
  <c r="P15" i="79"/>
  <c r="K16" i="79"/>
  <c r="M16" i="79"/>
  <c r="O16" i="79"/>
  <c r="K17" i="79"/>
  <c r="L17" i="79"/>
  <c r="M17" i="79"/>
  <c r="N17" i="79"/>
  <c r="O17" i="79"/>
  <c r="P17" i="79"/>
  <c r="Q17" i="79"/>
  <c r="K18" i="79"/>
  <c r="L18" i="79"/>
  <c r="M18" i="79"/>
  <c r="N18" i="79"/>
  <c r="O18" i="79"/>
  <c r="P18" i="79"/>
  <c r="Q18" i="79"/>
  <c r="R18" i="79"/>
  <c r="K19" i="79"/>
  <c r="M19" i="79"/>
  <c r="P19" i="79"/>
  <c r="K20" i="79"/>
  <c r="M20" i="79"/>
  <c r="O20" i="79"/>
  <c r="D22" i="79"/>
  <c r="K22" i="79"/>
  <c r="L22" i="79"/>
  <c r="M22" i="79"/>
  <c r="N22" i="79"/>
  <c r="O22" i="79"/>
  <c r="P22" i="79"/>
  <c r="Q22" i="79"/>
  <c r="R22" i="79"/>
  <c r="D23" i="79"/>
  <c r="K23" i="79"/>
  <c r="L23" i="79"/>
  <c r="M23" i="79"/>
  <c r="N23" i="79"/>
  <c r="O23" i="79"/>
  <c r="P23" i="79"/>
  <c r="Q23" i="79"/>
  <c r="R23" i="79"/>
  <c r="D24" i="79"/>
  <c r="K24" i="79"/>
  <c r="L24" i="79"/>
  <c r="M24" i="79"/>
  <c r="O24" i="79"/>
  <c r="Q24" i="79"/>
  <c r="D25" i="79"/>
  <c r="K25" i="79"/>
  <c r="L25" i="79"/>
  <c r="M25" i="79"/>
  <c r="N25" i="79"/>
  <c r="O25" i="79"/>
  <c r="P25" i="79"/>
  <c r="Q25" i="79"/>
  <c r="R25" i="79"/>
  <c r="D26" i="79"/>
  <c r="K26" i="79"/>
  <c r="L26" i="79"/>
  <c r="M26" i="79"/>
  <c r="N26" i="79"/>
  <c r="O26" i="79"/>
  <c r="P26" i="79"/>
  <c r="Q26" i="79"/>
  <c r="R26" i="79"/>
  <c r="K28" i="79"/>
  <c r="M28" i="79"/>
  <c r="AB28" i="79"/>
  <c r="J30" i="79"/>
  <c r="X30" i="79"/>
  <c r="X10" i="79" s="1"/>
  <c r="U10" i="1" s="1"/>
  <c r="J34" i="79"/>
  <c r="I34" i="79" s="1"/>
  <c r="Q35" i="79"/>
  <c r="R35" i="79"/>
  <c r="L37" i="79"/>
  <c r="N38" i="79"/>
  <c r="N45" i="79"/>
  <c r="J46" i="79"/>
  <c r="I46" i="79" s="1"/>
  <c r="J47" i="79"/>
  <c r="J48" i="79"/>
  <c r="I48" i="79" s="1"/>
  <c r="J49" i="79"/>
  <c r="J50" i="79"/>
  <c r="Q54" i="79"/>
  <c r="N55" i="79"/>
  <c r="AL42" i="79" s="1"/>
  <c r="L56" i="79"/>
  <c r="L51" i="79" s="1"/>
  <c r="N57" i="79"/>
  <c r="Q58" i="79"/>
  <c r="N59" i="79"/>
  <c r="N60" i="79"/>
  <c r="N16" i="79"/>
  <c r="R62" i="79"/>
  <c r="R60" i="79" s="1"/>
  <c r="J63" i="79"/>
  <c r="I63" i="79" s="1"/>
  <c r="J64" i="79"/>
  <c r="I64" i="79" s="1"/>
  <c r="Q68" i="79"/>
  <c r="N69" i="79"/>
  <c r="Q70" i="79"/>
  <c r="N71" i="79"/>
  <c r="J72" i="79"/>
  <c r="N73" i="79"/>
  <c r="Q75" i="79"/>
  <c r="Q76" i="79"/>
  <c r="N77" i="79"/>
  <c r="Q77" i="79"/>
  <c r="N80" i="79"/>
  <c r="L83" i="79"/>
  <c r="L80" i="79" s="1"/>
  <c r="Q84" i="79"/>
  <c r="Q80" i="79" s="1"/>
  <c r="J85" i="79"/>
  <c r="I85" i="79" s="1"/>
  <c r="J86" i="79"/>
  <c r="J87" i="79"/>
  <c r="J88" i="79"/>
  <c r="J89" i="79"/>
  <c r="J90" i="79"/>
  <c r="J91" i="79"/>
  <c r="J92" i="79"/>
  <c r="J93" i="79"/>
  <c r="N94" i="79"/>
  <c r="Q94" i="79"/>
  <c r="T94" i="79"/>
  <c r="T10" i="79" s="1"/>
  <c r="Q10" i="1" s="1"/>
  <c r="J98" i="79"/>
  <c r="I98" i="79" s="1"/>
  <c r="J99" i="79"/>
  <c r="I99" i="79" s="1"/>
  <c r="J100" i="79"/>
  <c r="I100" i="79" s="1"/>
  <c r="J101" i="79"/>
  <c r="N102" i="79"/>
  <c r="Q102" i="79"/>
  <c r="J106" i="79"/>
  <c r="I106" i="79" s="1"/>
  <c r="N109" i="79"/>
  <c r="N107" i="79" s="1"/>
  <c r="Q110" i="79"/>
  <c r="N113" i="79"/>
  <c r="Q114" i="79"/>
  <c r="J115" i="79"/>
  <c r="J116" i="79"/>
  <c r="I116" i="79" s="1"/>
  <c r="J117" i="79"/>
  <c r="I117" i="79" s="1"/>
  <c r="J118" i="79"/>
  <c r="I118" i="79" s="1"/>
  <c r="J121" i="79"/>
  <c r="I121" i="79" s="1"/>
  <c r="J122" i="79"/>
  <c r="I122" i="79" s="1"/>
  <c r="J123" i="79"/>
  <c r="J124" i="79"/>
  <c r="I124" i="79" s="1"/>
  <c r="J125" i="79"/>
  <c r="J126" i="79"/>
  <c r="I126" i="79" s="1"/>
  <c r="J127" i="79"/>
  <c r="N130" i="79"/>
  <c r="N132" i="79"/>
  <c r="J133" i="79"/>
  <c r="I133" i="79" s="1"/>
  <c r="N134" i="79"/>
  <c r="R136" i="79"/>
  <c r="R134" i="79" s="1"/>
  <c r="J137" i="79"/>
  <c r="J138" i="79"/>
  <c r="I138" i="79" s="1"/>
  <c r="N139" i="79"/>
  <c r="R141" i="79"/>
  <c r="N142" i="79"/>
  <c r="Q142" i="79"/>
  <c r="L144" i="79"/>
  <c r="L142" i="79" s="1"/>
  <c r="J149" i="79"/>
  <c r="I149" i="79" s="1"/>
  <c r="I150" i="79"/>
  <c r="J150" i="79"/>
  <c r="I151" i="79"/>
  <c r="J151" i="79"/>
  <c r="J152" i="79"/>
  <c r="I152" i="79" s="1"/>
  <c r="R153" i="79"/>
  <c r="Q157" i="79"/>
  <c r="Q153" i="79" s="1"/>
  <c r="N158" i="79"/>
  <c r="J161" i="79"/>
  <c r="Q162" i="79"/>
  <c r="N164" i="79"/>
  <c r="L165" i="79"/>
  <c r="L162" i="79" s="1"/>
  <c r="N166" i="79"/>
  <c r="N162" i="79" s="1"/>
  <c r="L169" i="79"/>
  <c r="L167" i="79" s="1"/>
  <c r="N170" i="79"/>
  <c r="Q171" i="79"/>
  <c r="Q167" i="79" s="1"/>
  <c r="J172" i="79"/>
  <c r="N173" i="79"/>
  <c r="J179" i="79"/>
  <c r="J180" i="79"/>
  <c r="I180" i="79" s="1"/>
  <c r="J181" i="79"/>
  <c r="I181" i="79" s="1"/>
  <c r="P182" i="79"/>
  <c r="P16" i="79"/>
  <c r="R182" i="79"/>
  <c r="J185" i="79"/>
  <c r="J186" i="79"/>
  <c r="J187" i="79"/>
  <c r="I187" i="79" s="1"/>
  <c r="J188" i="79"/>
  <c r="N192" i="79"/>
  <c r="N193" i="79"/>
  <c r="J194" i="79"/>
  <c r="I194" i="79" s="1"/>
  <c r="J195" i="79"/>
  <c r="I195" i="79" s="1"/>
  <c r="N196" i="79"/>
  <c r="Q198" i="79"/>
  <c r="Q196" i="79" s="1"/>
  <c r="J199" i="79"/>
  <c r="I199" i="79" s="1"/>
  <c r="J200" i="79"/>
  <c r="I200" i="79" s="1"/>
  <c r="J201" i="79"/>
  <c r="I201" i="79" s="1"/>
  <c r="Q205" i="79"/>
  <c r="R207" i="79"/>
  <c r="R205" i="79" s="1"/>
  <c r="J208" i="79"/>
  <c r="I208" i="79" s="1"/>
  <c r="N209" i="79"/>
  <c r="Q209" i="79"/>
  <c r="R209" i="79"/>
  <c r="N213" i="79"/>
  <c r="R213" i="79"/>
  <c r="J216" i="79"/>
  <c r="J217" i="79"/>
  <c r="N218" i="79"/>
  <c r="Q220" i="79"/>
  <c r="Q218" i="79" s="1"/>
  <c r="J221" i="79"/>
  <c r="J222" i="79"/>
  <c r="J223" i="79"/>
  <c r="I223" i="79" s="1"/>
  <c r="N224" i="79"/>
  <c r="Q224" i="79"/>
  <c r="J227" i="79"/>
  <c r="I227" i="79" s="1"/>
  <c r="J228" i="79"/>
  <c r="J229" i="79"/>
  <c r="J230" i="79"/>
  <c r="J231" i="79"/>
  <c r="I231" i="79" s="1"/>
  <c r="J232" i="79"/>
  <c r="I232" i="79" s="1"/>
  <c r="J233" i="79"/>
  <c r="I233" i="79" s="1"/>
  <c r="N234" i="79"/>
  <c r="J242" i="79"/>
  <c r="J243" i="79"/>
  <c r="I243" i="79" s="1"/>
  <c r="Q246" i="79"/>
  <c r="Q244" i="79" s="1"/>
  <c r="N247" i="79"/>
  <c r="Q248" i="79"/>
  <c r="N249" i="79"/>
  <c r="J250" i="79"/>
  <c r="J251" i="79"/>
  <c r="I251" i="79" s="1"/>
  <c r="J252" i="79"/>
  <c r="I252" i="79" s="1"/>
  <c r="N255" i="79"/>
  <c r="N253" i="79" s="1"/>
  <c r="Q256" i="79"/>
  <c r="Q253" i="79" s="1"/>
  <c r="N257" i="79"/>
  <c r="Q257" i="79"/>
  <c r="J261" i="79"/>
  <c r="I261" i="79" s="1"/>
  <c r="J262" i="79"/>
  <c r="I262" i="79" s="1"/>
  <c r="N263" i="79"/>
  <c r="Q263" i="79"/>
  <c r="J268" i="79"/>
  <c r="I268" i="79" s="1"/>
  <c r="L271" i="79"/>
  <c r="L269" i="79" s="1"/>
  <c r="N272" i="79"/>
  <c r="N269" i="79" s="1"/>
  <c r="J269" i="79" s="1"/>
  <c r="J273" i="79"/>
  <c r="I273" i="79" s="1"/>
  <c r="J274" i="79"/>
  <c r="I274" i="79" s="1"/>
  <c r="L275" i="79"/>
  <c r="N275" i="79"/>
  <c r="R275" i="79"/>
  <c r="J281" i="79"/>
  <c r="I281" i="79" s="1"/>
  <c r="J282" i="79"/>
  <c r="I282" i="79" s="1"/>
  <c r="J283" i="79"/>
  <c r="I283" i="79" s="1"/>
  <c r="J284" i="79"/>
  <c r="I284" i="79" s="1"/>
  <c r="J285" i="79"/>
  <c r="J286" i="79"/>
  <c r="Q287" i="79"/>
  <c r="N289" i="79"/>
  <c r="N287" i="79" s="1"/>
  <c r="N290" i="79"/>
  <c r="Q290" i="79"/>
  <c r="J293" i="79"/>
  <c r="J294" i="79"/>
  <c r="I294" i="79" s="1"/>
  <c r="J295" i="79"/>
  <c r="I295" i="79" s="1"/>
  <c r="J296" i="79"/>
  <c r="J297" i="79"/>
  <c r="I297" i="79" s="1"/>
  <c r="Q298" i="79"/>
  <c r="R298" i="79"/>
  <c r="J301" i="79"/>
  <c r="I301" i="79" s="1"/>
  <c r="J302" i="79"/>
  <c r="I302" i="79" s="1"/>
  <c r="J303" i="79"/>
  <c r="I303" i="79" s="1"/>
  <c r="Q306" i="79"/>
  <c r="R306" i="79"/>
  <c r="J309" i="79"/>
  <c r="I309" i="79" s="1"/>
  <c r="J310" i="79"/>
  <c r="J311" i="79"/>
  <c r="N312" i="79"/>
  <c r="Q312" i="79"/>
  <c r="J315" i="79"/>
  <c r="I315" i="79" s="1"/>
  <c r="J316" i="79"/>
  <c r="I316" i="79" s="1"/>
  <c r="Q319" i="79"/>
  <c r="Q317" i="79" s="1"/>
  <c r="N320" i="79"/>
  <c r="N317" i="79" s="1"/>
  <c r="R321" i="79"/>
  <c r="R317" i="79" s="1"/>
  <c r="J322" i="79"/>
  <c r="I322" i="79" s="1"/>
  <c r="J323" i="79"/>
  <c r="I323" i="79" s="1"/>
  <c r="J326" i="79"/>
  <c r="I326" i="79" s="1"/>
  <c r="J327" i="79"/>
  <c r="I327" i="79" s="1"/>
  <c r="J328" i="79"/>
  <c r="N329" i="79"/>
  <c r="R329" i="79"/>
  <c r="N332" i="79"/>
  <c r="Q332" i="79"/>
  <c r="J335" i="79"/>
  <c r="I335" i="79" s="1"/>
  <c r="J336" i="79"/>
  <c r="I336" i="79" s="1"/>
  <c r="J337" i="79"/>
  <c r="I337" i="79" s="1"/>
  <c r="N338" i="79"/>
  <c r="R338" i="79"/>
  <c r="J341" i="79"/>
  <c r="I341" i="79" s="1"/>
  <c r="J342" i="79"/>
  <c r="I342" i="79" s="1"/>
  <c r="J343" i="79"/>
  <c r="I343" i="79" s="1"/>
  <c r="N344" i="79"/>
  <c r="Q346" i="79"/>
  <c r="Q344" i="79" s="1"/>
  <c r="J347" i="79"/>
  <c r="I347" i="79" s="1"/>
  <c r="N348" i="79"/>
  <c r="J348" i="79" s="1"/>
  <c r="J351" i="79"/>
  <c r="I351" i="79" s="1"/>
  <c r="J352" i="79"/>
  <c r="I352" i="79" s="1"/>
  <c r="J355" i="79"/>
  <c r="I355" i="79" s="1"/>
  <c r="N356" i="79"/>
  <c r="R356" i="79"/>
  <c r="J360" i="79"/>
  <c r="I360" i="79" s="1"/>
  <c r="P361" i="79"/>
  <c r="R363" i="79"/>
  <c r="R361" i="79" s="1"/>
  <c r="N364" i="79"/>
  <c r="J365" i="79"/>
  <c r="Q366" i="79"/>
  <c r="R366" i="79"/>
  <c r="J370" i="79"/>
  <c r="I370" i="79" s="1"/>
  <c r="J371" i="79"/>
  <c r="I371" i="79" s="1"/>
  <c r="N373" i="79"/>
  <c r="L374" i="79"/>
  <c r="L372" i="79" s="1"/>
  <c r="N375" i="79"/>
  <c r="N372" i="79" s="1"/>
  <c r="Q376" i="79"/>
  <c r="Q372" i="79" s="1"/>
  <c r="J377" i="79"/>
  <c r="I377" i="79" s="1"/>
  <c r="J378" i="79"/>
  <c r="I378" i="79" s="1"/>
  <c r="J379" i="79"/>
  <c r="I379" i="79" s="1"/>
  <c r="J380" i="79"/>
  <c r="I380" i="79" s="1"/>
  <c r="J381" i="79"/>
  <c r="I381" i="79" s="1"/>
  <c r="J382" i="79"/>
  <c r="I382" i="79" s="1"/>
  <c r="J383" i="79"/>
  <c r="I383" i="79" s="1"/>
  <c r="J384" i="79"/>
  <c r="I384" i="79" s="1"/>
  <c r="J385" i="79"/>
  <c r="I385" i="79" s="1"/>
  <c r="Q387" i="79"/>
  <c r="N388" i="79"/>
  <c r="N386" i="79" s="1"/>
  <c r="Q389" i="79"/>
  <c r="Q390" i="79"/>
  <c r="Q16" i="79" s="1"/>
  <c r="L393" i="79"/>
  <c r="L391" i="79" s="1"/>
  <c r="R394" i="79"/>
  <c r="R391" i="79" s="1"/>
  <c r="J391" i="79" s="1"/>
  <c r="N396" i="79"/>
  <c r="R398" i="79"/>
  <c r="R396" i="79" s="1"/>
  <c r="N399" i="79"/>
  <c r="Q399" i="79"/>
  <c r="R405" i="79"/>
  <c r="R402" i="79" s="1"/>
  <c r="J406" i="79"/>
  <c r="I406" i="79" s="1"/>
  <c r="J407" i="79"/>
  <c r="I407" i="79" s="1"/>
  <c r="J408" i="79"/>
  <c r="I408" i="79" s="1"/>
  <c r="J409" i="79"/>
  <c r="I409" i="79" s="1"/>
  <c r="J410" i="79"/>
  <c r="I410" i="79" s="1"/>
  <c r="J411" i="79"/>
  <c r="I411" i="79" s="1"/>
  <c r="J412" i="79"/>
  <c r="J413" i="79"/>
  <c r="J414" i="79"/>
  <c r="I414" i="79" s="1"/>
  <c r="J415" i="79"/>
  <c r="R419" i="79"/>
  <c r="Q419" i="79"/>
  <c r="N423" i="79"/>
  <c r="N419" i="79" s="1"/>
  <c r="J424" i="79"/>
  <c r="I424" i="79" s="1"/>
  <c r="J426" i="79"/>
  <c r="J427" i="79"/>
  <c r="J428" i="79"/>
  <c r="J429" i="79"/>
  <c r="I429" i="79" s="1"/>
  <c r="J431" i="79"/>
  <c r="J433" i="79"/>
  <c r="I433" i="79" s="1"/>
  <c r="J435" i="79"/>
  <c r="I435" i="79" s="1"/>
  <c r="J436" i="79"/>
  <c r="J437" i="79"/>
  <c r="I437" i="79" s="1"/>
  <c r="J438" i="79"/>
  <c r="I438" i="79" s="1"/>
  <c r="J440" i="79"/>
  <c r="I440" i="79" s="1"/>
  <c r="J441" i="79"/>
  <c r="I441" i="79" s="1"/>
  <c r="J442" i="79"/>
  <c r="I442" i="79" s="1"/>
  <c r="J443" i="79"/>
  <c r="Q445" i="79"/>
  <c r="N447" i="79"/>
  <c r="N445" i="79" s="1"/>
  <c r="J448" i="79"/>
  <c r="J449" i="79"/>
  <c r="I449" i="79" s="1"/>
  <c r="J450" i="79"/>
  <c r="I450" i="79" s="1"/>
  <c r="J451" i="79"/>
  <c r="I451" i="79" s="1"/>
  <c r="N454" i="79"/>
  <c r="N452" i="79" s="1"/>
  <c r="Q455" i="79"/>
  <c r="J456" i="79"/>
  <c r="I456" i="79" s="1"/>
  <c r="J457" i="79"/>
  <c r="I457" i="79" s="1"/>
  <c r="J458" i="79"/>
  <c r="I458" i="79" s="1"/>
  <c r="J459" i="79"/>
  <c r="J460" i="79"/>
  <c r="I460" i="79" s="1"/>
  <c r="J461" i="79"/>
  <c r="I461" i="79" s="1"/>
  <c r="J462" i="79"/>
  <c r="I462" i="79" s="1"/>
  <c r="J463" i="79"/>
  <c r="I463" i="79" s="1"/>
  <c r="J464" i="79"/>
  <c r="J465" i="79"/>
  <c r="I465" i="79" s="1"/>
  <c r="J466" i="79"/>
  <c r="I466" i="79" s="1"/>
  <c r="J467" i="79"/>
  <c r="I467" i="79" s="1"/>
  <c r="J468" i="79"/>
  <c r="J469" i="79"/>
  <c r="R470" i="79"/>
  <c r="J475" i="79"/>
  <c r="J477" i="79"/>
  <c r="I477" i="79" s="1"/>
  <c r="J478" i="79"/>
  <c r="J479" i="79"/>
  <c r="I479" i="79" s="1"/>
  <c r="J480" i="79"/>
  <c r="I480" i="79" s="1"/>
  <c r="J481" i="79"/>
  <c r="N485" i="79"/>
  <c r="R485" i="79"/>
  <c r="J488" i="79"/>
  <c r="I488" i="79" s="1"/>
  <c r="J489" i="79"/>
  <c r="I489" i="79" s="1"/>
  <c r="J490" i="79"/>
  <c r="I490" i="79" s="1"/>
  <c r="J491" i="79"/>
  <c r="I491" i="79" s="1"/>
  <c r="J493" i="79"/>
  <c r="J494" i="79"/>
  <c r="S10" i="90"/>
  <c r="U10" i="90"/>
  <c r="V10" i="90"/>
  <c r="S9" i="1" s="1"/>
  <c r="Y10" i="90"/>
  <c r="Z10" i="90"/>
  <c r="AB10" i="90"/>
  <c r="M12" i="90"/>
  <c r="O12" i="90"/>
  <c r="P12" i="90"/>
  <c r="R12" i="90"/>
  <c r="AG15" i="90" s="1"/>
  <c r="K13" i="90"/>
  <c r="M13" i="90"/>
  <c r="O13" i="90"/>
  <c r="P13" i="90"/>
  <c r="R13" i="90"/>
  <c r="AH15" i="90" s="1"/>
  <c r="K15" i="90"/>
  <c r="L15" i="90"/>
  <c r="M15" i="90"/>
  <c r="O15" i="90"/>
  <c r="P15" i="90"/>
  <c r="K16" i="90"/>
  <c r="L16" i="90"/>
  <c r="M16" i="90"/>
  <c r="N16" i="90"/>
  <c r="O16" i="90"/>
  <c r="P16" i="90"/>
  <c r="Q16" i="90"/>
  <c r="K17" i="90"/>
  <c r="L17" i="90"/>
  <c r="M17" i="90"/>
  <c r="N17" i="90"/>
  <c r="O17" i="90"/>
  <c r="P17" i="90"/>
  <c r="Q17" i="90"/>
  <c r="M18" i="90"/>
  <c r="O18" i="90"/>
  <c r="P18" i="90"/>
  <c r="R18" i="90"/>
  <c r="K19" i="90"/>
  <c r="L19" i="90"/>
  <c r="M19" i="90"/>
  <c r="O19" i="90"/>
  <c r="P19" i="90"/>
  <c r="R19" i="90"/>
  <c r="K20" i="90"/>
  <c r="M20" i="90"/>
  <c r="O20" i="90"/>
  <c r="P20" i="90"/>
  <c r="D22" i="90"/>
  <c r="K22" i="90"/>
  <c r="L22" i="90"/>
  <c r="M22" i="90"/>
  <c r="N22" i="90"/>
  <c r="O22" i="90"/>
  <c r="P22" i="90"/>
  <c r="Q22" i="90"/>
  <c r="R22" i="90"/>
  <c r="D23" i="90"/>
  <c r="K23" i="90"/>
  <c r="L23" i="90"/>
  <c r="M23" i="90"/>
  <c r="N23" i="90"/>
  <c r="O23" i="90"/>
  <c r="P23" i="90"/>
  <c r="Q23" i="90"/>
  <c r="R23" i="90"/>
  <c r="D24" i="90"/>
  <c r="K24" i="90"/>
  <c r="L24" i="90"/>
  <c r="M24" i="90"/>
  <c r="O24" i="90"/>
  <c r="P24" i="90"/>
  <c r="R24" i="90"/>
  <c r="D25" i="90"/>
  <c r="K25" i="90"/>
  <c r="L25" i="90"/>
  <c r="M25" i="90"/>
  <c r="N25" i="90"/>
  <c r="O25" i="90"/>
  <c r="P25" i="90"/>
  <c r="Q25" i="90"/>
  <c r="R25" i="90"/>
  <c r="D26" i="90"/>
  <c r="K26" i="90"/>
  <c r="L26" i="90"/>
  <c r="M26" i="90"/>
  <c r="N26" i="90"/>
  <c r="O26" i="90"/>
  <c r="P26" i="90"/>
  <c r="Q26" i="90"/>
  <c r="R26" i="90"/>
  <c r="M28" i="90"/>
  <c r="P28" i="90"/>
  <c r="AB28" i="90"/>
  <c r="K30" i="90"/>
  <c r="T30" i="90"/>
  <c r="T10" i="90" s="1"/>
  <c r="Q9" i="1" s="1"/>
  <c r="N33" i="90"/>
  <c r="L34" i="90"/>
  <c r="L18" i="90" s="1"/>
  <c r="N35" i="90"/>
  <c r="Q36" i="90"/>
  <c r="AL17" i="90" s="1"/>
  <c r="J37" i="90"/>
  <c r="I37" i="90" s="1"/>
  <c r="J38" i="90"/>
  <c r="I38" i="90" s="1"/>
  <c r="J40" i="90"/>
  <c r="I40" i="90" s="1"/>
  <c r="J41" i="90"/>
  <c r="I41" i="90" s="1"/>
  <c r="K42" i="90"/>
  <c r="K12" i="90" s="1"/>
  <c r="N42" i="90"/>
  <c r="J42" i="90" s="1"/>
  <c r="J44" i="90"/>
  <c r="I44" i="90" s="1"/>
  <c r="J46" i="90"/>
  <c r="R47" i="90"/>
  <c r="J47" i="90" s="1"/>
  <c r="J50" i="90"/>
  <c r="I50" i="90" s="1"/>
  <c r="J51" i="90"/>
  <c r="I51" i="90" s="1"/>
  <c r="J52" i="90"/>
  <c r="I52" i="90" s="1"/>
  <c r="J53" i="90"/>
  <c r="I53" i="90" s="1"/>
  <c r="Q59" i="90"/>
  <c r="N60" i="90"/>
  <c r="N61" i="90"/>
  <c r="R62" i="90"/>
  <c r="R63" i="90"/>
  <c r="R64" i="90"/>
  <c r="J65" i="90"/>
  <c r="I65" i="90" s="1"/>
  <c r="J66" i="90"/>
  <c r="I66" i="90" s="1"/>
  <c r="J67" i="90"/>
  <c r="I67" i="90" s="1"/>
  <c r="J70" i="90"/>
  <c r="I70" i="90" s="1"/>
  <c r="L71" i="90"/>
  <c r="Q71" i="90"/>
  <c r="N71" i="90"/>
  <c r="J71" i="90" s="1"/>
  <c r="J75" i="90"/>
  <c r="I75" i="90" s="1"/>
  <c r="J76" i="90"/>
  <c r="I76" i="90" s="1"/>
  <c r="J77" i="90"/>
  <c r="I77" i="90" s="1"/>
  <c r="J78" i="90"/>
  <c r="I78" i="90" s="1"/>
  <c r="J79" i="90"/>
  <c r="I79" i="90" s="1"/>
  <c r="J80" i="90"/>
  <c r="I80" i="90" s="1"/>
  <c r="J81" i="90"/>
  <c r="I81" i="90" s="1"/>
  <c r="J82" i="90"/>
  <c r="I82" i="90" s="1"/>
  <c r="J83" i="90"/>
  <c r="I83" i="90" s="1"/>
  <c r="J84" i="90"/>
  <c r="I84" i="90" s="1"/>
  <c r="J93" i="90"/>
  <c r="I93" i="90" s="1"/>
  <c r="J94" i="90"/>
  <c r="I94" i="90" s="1"/>
  <c r="R97" i="90"/>
  <c r="R95" i="90" s="1"/>
  <c r="J95" i="90" s="1"/>
  <c r="I95" i="90" s="1"/>
  <c r="J98" i="90"/>
  <c r="I98" i="90" s="1"/>
  <c r="J105" i="90"/>
  <c r="I105" i="90" s="1"/>
  <c r="J106" i="90"/>
  <c r="I106" i="90" s="1"/>
  <c r="J107" i="90"/>
  <c r="I107" i="90" s="1"/>
  <c r="J108" i="90"/>
  <c r="I108" i="90" s="1"/>
  <c r="J109" i="90"/>
  <c r="I109" i="90" s="1"/>
  <c r="J112" i="90"/>
  <c r="I112" i="90" s="1"/>
  <c r="L113" i="90"/>
  <c r="Q113" i="90"/>
  <c r="N113" i="90"/>
  <c r="J117" i="90"/>
  <c r="I117" i="90" s="1"/>
  <c r="J118" i="90"/>
  <c r="I118" i="90" s="1"/>
  <c r="J119" i="90"/>
  <c r="I119" i="90" s="1"/>
  <c r="J120" i="90"/>
  <c r="I120" i="90" s="1"/>
  <c r="J121" i="90"/>
  <c r="I121" i="90" s="1"/>
  <c r="J122" i="90"/>
  <c r="J125" i="90"/>
  <c r="I125" i="90" s="1"/>
  <c r="J126" i="90"/>
  <c r="J127" i="90"/>
  <c r="I127" i="90" s="1"/>
  <c r="J128" i="90"/>
  <c r="J129" i="90"/>
  <c r="I129" i="90" s="1"/>
  <c r="W10" i="90"/>
  <c r="T9" i="1" s="1"/>
  <c r="X10" i="90"/>
  <c r="U9" i="1" s="1"/>
  <c r="J132" i="90"/>
  <c r="I132" i="90" s="1"/>
  <c r="J133" i="90"/>
  <c r="I133" i="90" s="1"/>
  <c r="J139" i="90"/>
  <c r="I139" i="90" s="1"/>
  <c r="J141" i="90"/>
  <c r="I141" i="90" s="1"/>
  <c r="J144" i="90"/>
  <c r="I144" i="90" s="1"/>
  <c r="N145" i="90"/>
  <c r="J145" i="90" s="1"/>
  <c r="J151" i="90"/>
  <c r="I151" i="90" s="1"/>
  <c r="J152" i="90"/>
  <c r="I152" i="90" s="1"/>
  <c r="N153" i="90"/>
  <c r="Q155" i="90"/>
  <c r="AL65" i="90" s="1"/>
  <c r="J157" i="90"/>
  <c r="I157" i="90" s="1"/>
  <c r="R160" i="90"/>
  <c r="J161" i="90"/>
  <c r="I161" i="90" s="1"/>
  <c r="J162" i="90"/>
  <c r="I162" i="90" s="1"/>
  <c r="J168" i="90"/>
  <c r="I168" i="90" s="1"/>
  <c r="N171" i="90"/>
  <c r="O28" i="90"/>
  <c r="Q171" i="90"/>
  <c r="J180" i="90"/>
  <c r="I180" i="90" s="1"/>
  <c r="J181" i="90"/>
  <c r="I181" i="90" s="1"/>
  <c r="N182" i="90"/>
  <c r="R184" i="90"/>
  <c r="R182" i="90" s="1"/>
  <c r="Q187" i="90"/>
  <c r="Q188" i="90"/>
  <c r="Q189" i="90"/>
  <c r="Q190" i="90"/>
  <c r="N191" i="90"/>
  <c r="Q192" i="90"/>
  <c r="N194" i="90"/>
  <c r="Q194" i="90"/>
  <c r="R194" i="90"/>
  <c r="J198" i="90"/>
  <c r="I198" i="90" s="1"/>
  <c r="N203" i="90"/>
  <c r="R203" i="90"/>
  <c r="J207" i="90"/>
  <c r="J208" i="90"/>
  <c r="I208" i="90" s="1"/>
  <c r="J210" i="90"/>
  <c r="I210" i="90" s="1"/>
  <c r="R213" i="90"/>
  <c r="R211" i="90" s="1"/>
  <c r="J211" i="90" s="1"/>
  <c r="J214" i="90"/>
  <c r="I214" i="90" s="1"/>
  <c r="J215" i="90"/>
  <c r="I215" i="90" s="1"/>
  <c r="N219" i="90"/>
  <c r="Q219" i="90"/>
  <c r="J222" i="90"/>
  <c r="I222" i="90" s="1"/>
  <c r="J223" i="90"/>
  <c r="I223" i="90" s="1"/>
  <c r="L231" i="90"/>
  <c r="J244" i="90"/>
  <c r="I244" i="90" s="1"/>
  <c r="J245" i="90"/>
  <c r="Q246" i="90"/>
  <c r="J251" i="90"/>
  <c r="I251" i="90" s="1"/>
  <c r="J252" i="90"/>
  <c r="I252" i="90" s="1"/>
  <c r="L255" i="90"/>
  <c r="L253" i="90" s="1"/>
  <c r="N256" i="90"/>
  <c r="R257" i="90"/>
  <c r="R253" i="90" s="1"/>
  <c r="L258" i="90"/>
  <c r="Q258" i="90"/>
  <c r="N260" i="90"/>
  <c r="N258" i="90" s="1"/>
  <c r="J262" i="90"/>
  <c r="N263" i="90"/>
  <c r="Q263" i="90"/>
  <c r="J267" i="90"/>
  <c r="J268" i="90"/>
  <c r="I268" i="90" s="1"/>
  <c r="L13" i="90"/>
  <c r="J274" i="90"/>
  <c r="N275" i="90"/>
  <c r="Q275" i="90"/>
  <c r="J278" i="90"/>
  <c r="I278" i="90" s="1"/>
  <c r="J280" i="90"/>
  <c r="I280" i="90" s="1"/>
  <c r="N284" i="90"/>
  <c r="R284" i="90"/>
  <c r="J288" i="90"/>
  <c r="I288" i="90" s="1"/>
  <c r="J289" i="90"/>
  <c r="J290" i="90"/>
  <c r="I290" i="90" s="1"/>
  <c r="J293" i="90"/>
  <c r="I293" i="90" s="1"/>
  <c r="J294" i="90"/>
  <c r="I294" i="90" s="1"/>
  <c r="N296" i="90"/>
  <c r="Q296" i="90"/>
  <c r="J300" i="90"/>
  <c r="I300" i="90" s="1"/>
  <c r="Q301" i="90"/>
  <c r="R301" i="90"/>
  <c r="N305" i="90"/>
  <c r="R307" i="90"/>
  <c r="R305" i="90" s="1"/>
  <c r="N310" i="90"/>
  <c r="R310" i="90"/>
  <c r="J314" i="90"/>
  <c r="I314" i="90" s="1"/>
  <c r="R315" i="90"/>
  <c r="Q315" i="90"/>
  <c r="J322" i="90"/>
  <c r="I322" i="90" s="1"/>
  <c r="J323" i="90"/>
  <c r="J325" i="90"/>
  <c r="I325" i="90" s="1"/>
  <c r="J329" i="90"/>
  <c r="I329" i="90" s="1"/>
  <c r="J334" i="90"/>
  <c r="I334" i="90" s="1"/>
  <c r="L335" i="90"/>
  <c r="R335" i="90"/>
  <c r="J335" i="90" s="1"/>
  <c r="J339" i="90"/>
  <c r="I339" i="90" s="1"/>
  <c r="Q340" i="90"/>
  <c r="R340" i="90"/>
  <c r="L343" i="90"/>
  <c r="R343" i="90"/>
  <c r="J343" i="90" s="1"/>
  <c r="J348" i="90"/>
  <c r="I348" i="90" s="1"/>
  <c r="R351" i="90"/>
  <c r="R349" i="90" s="1"/>
  <c r="J349" i="90" s="1"/>
  <c r="I349" i="90" s="1"/>
  <c r="Q352" i="90"/>
  <c r="R352" i="90"/>
  <c r="N355" i="90"/>
  <c r="R355" i="90"/>
  <c r="J358" i="90"/>
  <c r="I358" i="90" s="1"/>
  <c r="J360" i="90"/>
  <c r="N363" i="90"/>
  <c r="R363" i="90"/>
  <c r="Q366" i="90"/>
  <c r="Q363" i="90" s="1"/>
  <c r="J368" i="90"/>
  <c r="J371" i="90"/>
  <c r="I371" i="90" s="1"/>
  <c r="J372" i="90"/>
  <c r="I372" i="90" s="1"/>
  <c r="J373" i="90"/>
  <c r="I373" i="90" s="1"/>
  <c r="J375" i="90"/>
  <c r="J376" i="90"/>
  <c r="I376" i="90" s="1"/>
  <c r="J380" i="90"/>
  <c r="I380" i="90" s="1"/>
  <c r="J381" i="90"/>
  <c r="I381" i="90" s="1"/>
  <c r="J382" i="90"/>
  <c r="I382" i="90" s="1"/>
  <c r="J385" i="90"/>
  <c r="I385" i="90" s="1"/>
  <c r="J386" i="90"/>
  <c r="I386" i="90" s="1"/>
  <c r="J387" i="90"/>
  <c r="I387" i="90" s="1"/>
  <c r="J388" i="90"/>
  <c r="I388" i="90" s="1"/>
  <c r="J389" i="90"/>
  <c r="I389" i="90" s="1"/>
  <c r="J390" i="90"/>
  <c r="I390" i="90" s="1"/>
  <c r="J391" i="90"/>
  <c r="I391" i="90" s="1"/>
  <c r="J392" i="90"/>
  <c r="I392" i="90" s="1"/>
  <c r="N394" i="90"/>
  <c r="R396" i="90"/>
  <c r="R397" i="90"/>
  <c r="N398" i="90"/>
  <c r="N24" i="90" s="1"/>
  <c r="Q398" i="90"/>
  <c r="Q24" i="90" s="1"/>
  <c r="J411" i="90"/>
  <c r="J412" i="90"/>
  <c r="J413" i="90"/>
  <c r="J414" i="90"/>
  <c r="I414" i="90" s="1"/>
  <c r="J415" i="90"/>
  <c r="I415" i="90" s="1"/>
  <c r="P9" i="1"/>
  <c r="R9" i="1"/>
  <c r="V9" i="1"/>
  <c r="W9" i="1"/>
  <c r="S12" i="1"/>
  <c r="Q13" i="1"/>
  <c r="R13" i="1"/>
  <c r="S13" i="1"/>
  <c r="V13" i="1"/>
  <c r="W13" i="1"/>
  <c r="P14" i="1"/>
  <c r="R14" i="1"/>
  <c r="S14" i="1"/>
  <c r="P15" i="1"/>
  <c r="R15" i="1"/>
  <c r="W15" i="1"/>
  <c r="R17" i="1"/>
  <c r="U17" i="1"/>
  <c r="W17" i="1"/>
  <c r="P19" i="1"/>
  <c r="R19" i="1"/>
  <c r="T19" i="1"/>
  <c r="W19" i="1"/>
  <c r="S20" i="1"/>
  <c r="W20" i="1"/>
  <c r="P22" i="1"/>
  <c r="S22" i="1"/>
  <c r="P23" i="1"/>
  <c r="R23" i="1"/>
  <c r="S23" i="1"/>
  <c r="P24" i="1"/>
  <c r="R24" i="1"/>
  <c r="T24" i="1"/>
  <c r="V24" i="1"/>
  <c r="Q25" i="1"/>
  <c r="S25" i="1"/>
  <c r="V25" i="1"/>
  <c r="P26" i="1"/>
  <c r="Q26" i="1"/>
  <c r="R26" i="1"/>
  <c r="S26" i="1"/>
  <c r="U26" i="1"/>
  <c r="V26" i="1"/>
  <c r="W26" i="1"/>
  <c r="Y26" i="1" s="1"/>
  <c r="R27" i="1"/>
  <c r="T27" i="1"/>
  <c r="V27" i="1"/>
  <c r="P28" i="1"/>
  <c r="Q28" i="1"/>
  <c r="R28" i="1"/>
  <c r="S28" i="1"/>
  <c r="V28" i="1"/>
  <c r="W28" i="1"/>
  <c r="R29" i="1"/>
  <c r="J204" i="86"/>
  <c r="K12" i="86"/>
  <c r="K19" i="86"/>
  <c r="Q13" i="62"/>
  <c r="N16" i="62"/>
  <c r="J330" i="90"/>
  <c r="I330" i="90" s="1"/>
  <c r="N17" i="75"/>
  <c r="J198" i="75"/>
  <c r="I198" i="75" s="1"/>
  <c r="I395" i="44"/>
  <c r="L16" i="44"/>
  <c r="N15" i="44"/>
  <c r="R13" i="44"/>
  <c r="AH15" i="44" s="1"/>
  <c r="Q58" i="44"/>
  <c r="J58" i="44" s="1"/>
  <c r="I58" i="44" s="1"/>
  <c r="N18" i="44"/>
  <c r="R16" i="44"/>
  <c r="Q15" i="44"/>
  <c r="N13" i="44"/>
  <c r="Q108" i="44"/>
  <c r="R19" i="44"/>
  <c r="L28" i="44"/>
  <c r="R15" i="44"/>
  <c r="N12" i="44"/>
  <c r="R299" i="44"/>
  <c r="Q20" i="44"/>
  <c r="O20" i="44"/>
  <c r="Q19" i="44"/>
  <c r="O19" i="44"/>
  <c r="Q13" i="44"/>
  <c r="O12" i="44"/>
  <c r="R321" i="44"/>
  <c r="N19" i="44"/>
  <c r="M14" i="44"/>
  <c r="R20" i="44"/>
  <c r="J199" i="90"/>
  <c r="N31" i="66"/>
  <c r="J222" i="66"/>
  <c r="I222" i="66" s="1"/>
  <c r="O12" i="66"/>
  <c r="O19" i="66"/>
  <c r="K19" i="66"/>
  <c r="N129" i="66"/>
  <c r="J129" i="66" s="1"/>
  <c r="R19" i="59"/>
  <c r="Q13" i="59"/>
  <c r="AH14" i="59" s="1"/>
  <c r="Q15" i="59"/>
  <c r="N13" i="59"/>
  <c r="AH13" i="59" s="1"/>
  <c r="J256" i="169"/>
  <c r="I256" i="169" s="1"/>
  <c r="I257" i="169"/>
  <c r="L13" i="169"/>
  <c r="L28" i="169"/>
  <c r="L20" i="169"/>
  <c r="I122" i="169"/>
  <c r="I120" i="169"/>
  <c r="J146" i="169"/>
  <c r="I146" i="169" s="1"/>
  <c r="Q44" i="169"/>
  <c r="Q19" i="169"/>
  <c r="J252" i="169"/>
  <c r="I252" i="169" s="1"/>
  <c r="J116" i="169"/>
  <c r="Q16" i="169"/>
  <c r="N13" i="169"/>
  <c r="N12" i="169"/>
  <c r="N19" i="169"/>
  <c r="R15" i="169"/>
  <c r="Q15" i="169"/>
  <c r="N15" i="169"/>
  <c r="R13" i="169"/>
  <c r="AH15" i="169" s="1"/>
  <c r="I180" i="169"/>
  <c r="R16" i="169"/>
  <c r="Q20" i="169"/>
  <c r="R30" i="169"/>
  <c r="R20" i="169"/>
  <c r="N20" i="169"/>
  <c r="Q13" i="169"/>
  <c r="N13" i="75"/>
  <c r="J527" i="75"/>
  <c r="I527" i="75" s="1"/>
  <c r="R339" i="75"/>
  <c r="J474" i="75"/>
  <c r="I474" i="75" s="1"/>
  <c r="Q327" i="75"/>
  <c r="N55" i="75"/>
  <c r="N18" i="75"/>
  <c r="I528" i="75"/>
  <c r="I244" i="75"/>
  <c r="I310" i="75"/>
  <c r="Q20" i="75"/>
  <c r="Q124" i="101"/>
  <c r="N13" i="101"/>
  <c r="R15" i="101"/>
  <c r="N15" i="101"/>
  <c r="Q13" i="101"/>
  <c r="R17" i="101"/>
  <c r="R13" i="101"/>
  <c r="AH15" i="101" s="1"/>
  <c r="Q19" i="101"/>
  <c r="R37" i="101"/>
  <c r="J37" i="101" s="1"/>
  <c r="Q15" i="101"/>
  <c r="R31" i="101"/>
  <c r="J31" i="101" s="1"/>
  <c r="J48" i="101"/>
  <c r="I48" i="101" s="1"/>
  <c r="P14" i="101"/>
  <c r="M14" i="101"/>
  <c r="Q20" i="101"/>
  <c r="R20" i="101"/>
  <c r="N63" i="60"/>
  <c r="Q63" i="60"/>
  <c r="Q197" i="60"/>
  <c r="N140" i="60"/>
  <c r="Q16" i="60"/>
  <c r="R86" i="60"/>
  <c r="N49" i="60"/>
  <c r="M20" i="60"/>
  <c r="R17" i="60"/>
  <c r="N13" i="60"/>
  <c r="N171" i="60"/>
  <c r="Q71" i="60"/>
  <c r="O20" i="60"/>
  <c r="K19" i="60"/>
  <c r="O13" i="60"/>
  <c r="Q12" i="60"/>
  <c r="K12" i="60"/>
  <c r="J297" i="60"/>
  <c r="L20" i="60"/>
  <c r="J304" i="79"/>
  <c r="Q128" i="79"/>
  <c r="R19" i="79"/>
  <c r="L15" i="79"/>
  <c r="R13" i="79"/>
  <c r="AH15" i="79" s="1"/>
  <c r="O19" i="79"/>
  <c r="P20" i="79"/>
  <c r="N23" i="14"/>
  <c r="N350" i="14"/>
  <c r="I72" i="14"/>
  <c r="Q16" i="14"/>
  <c r="J399" i="14"/>
  <c r="I399" i="14" s="1"/>
  <c r="R15" i="14"/>
  <c r="M14" i="14"/>
  <c r="I98" i="14"/>
  <c r="I425" i="14"/>
  <c r="I806" i="86"/>
  <c r="N730" i="86"/>
  <c r="O20" i="86"/>
  <c r="Q102" i="86"/>
  <c r="J102" i="86" s="1"/>
  <c r="I102" i="86" s="1"/>
  <c r="Q118" i="86"/>
  <c r="R118" i="86"/>
  <c r="I376" i="86"/>
  <c r="I335" i="86"/>
  <c r="N101" i="42"/>
  <c r="J101" i="42" s="1"/>
  <c r="K12" i="42"/>
  <c r="N123" i="42"/>
  <c r="Q30" i="42"/>
  <c r="K14" i="42"/>
  <c r="N188" i="42"/>
  <c r="Q13" i="42"/>
  <c r="N15" i="42"/>
  <c r="L19" i="42"/>
  <c r="Q20" i="42"/>
  <c r="K19" i="42"/>
  <c r="Q15" i="42"/>
  <c r="R81" i="42"/>
  <c r="N19" i="42"/>
  <c r="Q45" i="71"/>
  <c r="I207" i="71"/>
  <c r="I151" i="71"/>
  <c r="N246" i="71"/>
  <c r="J246" i="71" s="1"/>
  <c r="Q80" i="71"/>
  <c r="N80" i="71"/>
  <c r="Q12" i="71"/>
  <c r="L12" i="71"/>
  <c r="N13" i="71"/>
  <c r="N15" i="71"/>
  <c r="K28" i="71"/>
  <c r="N19" i="71"/>
  <c r="N12" i="71"/>
  <c r="K19" i="71"/>
  <c r="R20" i="71"/>
  <c r="N13" i="111"/>
  <c r="N20" i="111"/>
  <c r="Q19" i="111"/>
  <c r="Q283" i="51"/>
  <c r="R13" i="51"/>
  <c r="AH15" i="51" s="1"/>
  <c r="Z10" i="51"/>
  <c r="W18" i="1" s="1"/>
  <c r="O20" i="51"/>
  <c r="K12" i="51"/>
  <c r="L77" i="51"/>
  <c r="X10" i="51"/>
  <c r="U18" i="1" s="1"/>
  <c r="Q57" i="51"/>
  <c r="K18" i="51"/>
  <c r="P19" i="51"/>
  <c r="Q60" i="61"/>
  <c r="L150" i="61"/>
  <c r="Q139" i="61"/>
  <c r="N71" i="61"/>
  <c r="R16" i="61"/>
  <c r="J33" i="61"/>
  <c r="I34" i="61"/>
  <c r="J35" i="61"/>
  <c r="N186" i="61"/>
  <c r="Q186" i="61"/>
  <c r="N60" i="61"/>
  <c r="I307" i="61"/>
  <c r="N20" i="61"/>
  <c r="Q15" i="21"/>
  <c r="Q315" i="21"/>
  <c r="R183" i="21"/>
  <c r="M13" i="21"/>
  <c r="N183" i="21"/>
  <c r="M20" i="21"/>
  <c r="N88" i="21"/>
  <c r="R13" i="21"/>
  <c r="AH15" i="21" s="1"/>
  <c r="L19" i="21"/>
  <c r="Q20" i="62"/>
  <c r="R15" i="62"/>
  <c r="O12" i="41"/>
  <c r="O19" i="41"/>
  <c r="N16" i="58"/>
  <c r="Q13" i="58"/>
  <c r="Q20" i="58"/>
  <c r="N20" i="58"/>
  <c r="N13" i="58"/>
  <c r="Q19" i="58"/>
  <c r="N12" i="58"/>
  <c r="AG13" i="58" s="1"/>
  <c r="Q12" i="58"/>
  <c r="AG14" i="58" s="1"/>
  <c r="I69" i="43"/>
  <c r="J188" i="43"/>
  <c r="J229" i="43"/>
  <c r="Q13" i="43"/>
  <c r="Q20" i="43"/>
  <c r="Q12" i="43"/>
  <c r="K12" i="43"/>
  <c r="O14" i="43"/>
  <c r="O10" i="43" s="1"/>
  <c r="K14" i="43"/>
  <c r="Q15" i="43"/>
  <c r="R20" i="43"/>
  <c r="N20" i="43"/>
  <c r="N19" i="43"/>
  <c r="J216" i="43"/>
  <c r="I216" i="43" s="1"/>
  <c r="Q19" i="43"/>
  <c r="M19" i="43"/>
  <c r="K19" i="43"/>
  <c r="N13" i="43"/>
  <c r="N12" i="43"/>
  <c r="L12" i="43"/>
  <c r="L20" i="43"/>
  <c r="I150" i="75"/>
  <c r="I202" i="101"/>
  <c r="I441" i="42"/>
  <c r="I350" i="60"/>
  <c r="I256" i="71"/>
  <c r="O156" i="14" l="1"/>
  <c r="J160" i="43"/>
  <c r="R390" i="60"/>
  <c r="R110" i="60"/>
  <c r="AL44" i="51"/>
  <c r="Q115" i="61"/>
  <c r="L20" i="86"/>
  <c r="Q481" i="86"/>
  <c r="Q299" i="75"/>
  <c r="L94" i="75"/>
  <c r="N156" i="61"/>
  <c r="R16" i="62"/>
  <c r="Q482" i="75"/>
  <c r="N183" i="62"/>
  <c r="N19" i="62"/>
  <c r="J22" i="43"/>
  <c r="I22" i="43" s="1"/>
  <c r="M12" i="44"/>
  <c r="Q307" i="60"/>
  <c r="AL65" i="60"/>
  <c r="M14" i="51"/>
  <c r="AL74" i="58"/>
  <c r="AL69" i="58" s="1"/>
  <c r="R16" i="21"/>
  <c r="Q20" i="111"/>
  <c r="R13" i="71"/>
  <c r="AH15" i="71" s="1"/>
  <c r="Q13" i="111"/>
  <c r="N20" i="60"/>
  <c r="R13" i="60"/>
  <c r="AH15" i="60" s="1"/>
  <c r="J210" i="60"/>
  <c r="I210" i="60" s="1"/>
  <c r="Q140" i="60"/>
  <c r="Q86" i="60"/>
  <c r="L13" i="61"/>
  <c r="Q71" i="61"/>
  <c r="N12" i="21"/>
  <c r="I192" i="60"/>
  <c r="W10" i="101"/>
  <c r="T28" i="1" s="1"/>
  <c r="J414" i="60"/>
  <c r="R20" i="111"/>
  <c r="N166" i="51"/>
  <c r="AL44" i="75"/>
  <c r="N19" i="41"/>
  <c r="P14" i="43"/>
  <c r="L14" i="43"/>
  <c r="L10" i="43" s="1"/>
  <c r="I26" i="1" s="1"/>
  <c r="Q14" i="43"/>
  <c r="J126" i="60"/>
  <c r="I126" i="60" s="1"/>
  <c r="I99" i="60"/>
  <c r="I207" i="60"/>
  <c r="Q19" i="75"/>
  <c r="R19" i="75"/>
  <c r="Q320" i="75"/>
  <c r="N207" i="75"/>
  <c r="AL38" i="101"/>
  <c r="AL57" i="101"/>
  <c r="AL55" i="101" s="1"/>
  <c r="X10" i="101"/>
  <c r="U28" i="1" s="1"/>
  <c r="I111" i="101"/>
  <c r="N19" i="101"/>
  <c r="R19" i="21"/>
  <c r="L13" i="21"/>
  <c r="R102" i="21"/>
  <c r="R13" i="43"/>
  <c r="AH15" i="43" s="1"/>
  <c r="AL66" i="43"/>
  <c r="R168" i="43"/>
  <c r="AL72" i="43"/>
  <c r="Q59" i="43"/>
  <c r="J59" i="43" s="1"/>
  <c r="I59" i="43" s="1"/>
  <c r="AL65" i="43"/>
  <c r="Q30" i="43"/>
  <c r="J30" i="43" s="1"/>
  <c r="I30" i="43" s="1"/>
  <c r="AL38" i="43"/>
  <c r="AL59" i="43"/>
  <c r="AL55" i="43" s="1"/>
  <c r="N70" i="43"/>
  <c r="Q70" i="43"/>
  <c r="R16" i="43"/>
  <c r="J16" i="43" s="1"/>
  <c r="I16" i="43" s="1"/>
  <c r="AL63" i="43"/>
  <c r="Q133" i="43"/>
  <c r="Q124" i="43"/>
  <c r="J124" i="43" s="1"/>
  <c r="I124" i="43" s="1"/>
  <c r="R17" i="43"/>
  <c r="J17" i="43" s="1"/>
  <c r="I17" i="43" s="1"/>
  <c r="N85" i="43"/>
  <c r="Q85" i="43"/>
  <c r="AL71" i="43"/>
  <c r="AL67" i="43" s="1"/>
  <c r="AL77" i="43" s="1"/>
  <c r="N39" i="43"/>
  <c r="J39" i="43" s="1"/>
  <c r="AL36" i="43"/>
  <c r="AL34" i="43" s="1"/>
  <c r="AL36" i="58"/>
  <c r="AL63" i="62"/>
  <c r="AL15" i="62"/>
  <c r="AL13" i="62" s="1"/>
  <c r="AL11" i="62" s="1"/>
  <c r="N13" i="62"/>
  <c r="Q15" i="62"/>
  <c r="R246" i="62"/>
  <c r="L12" i="62"/>
  <c r="N175" i="62"/>
  <c r="Q67" i="62"/>
  <c r="K12" i="62"/>
  <c r="N92" i="42"/>
  <c r="R281" i="42"/>
  <c r="R17" i="42"/>
  <c r="R16" i="41"/>
  <c r="R288" i="61"/>
  <c r="AL72" i="61"/>
  <c r="AL57" i="61"/>
  <c r="Q226" i="61"/>
  <c r="AL71" i="61"/>
  <c r="AF30" i="61"/>
  <c r="AL38" i="61"/>
  <c r="AL34" i="61" s="1"/>
  <c r="R13" i="61"/>
  <c r="AH15" i="61" s="1"/>
  <c r="AL66" i="61"/>
  <c r="N15" i="61"/>
  <c r="AL69" i="61"/>
  <c r="N150" i="61"/>
  <c r="J150" i="61" s="1"/>
  <c r="AL63" i="61"/>
  <c r="AH30" i="61"/>
  <c r="AL50" i="61"/>
  <c r="AL46" i="61" s="1"/>
  <c r="Q49" i="61"/>
  <c r="AL59" i="61"/>
  <c r="R17" i="61"/>
  <c r="L20" i="61"/>
  <c r="Q174" i="61"/>
  <c r="N174" i="61"/>
  <c r="AL65" i="61"/>
  <c r="N227" i="169"/>
  <c r="J227" i="169" s="1"/>
  <c r="I227" i="169" s="1"/>
  <c r="J117" i="169"/>
  <c r="AL65" i="51"/>
  <c r="AL61" i="51" s="1"/>
  <c r="L12" i="51"/>
  <c r="Q19" i="51"/>
  <c r="N19" i="51"/>
  <c r="AL72" i="111"/>
  <c r="AH31" i="111"/>
  <c r="Q16" i="111"/>
  <c r="AI31" i="111"/>
  <c r="AL71" i="111"/>
  <c r="AG31" i="111"/>
  <c r="AL63" i="111"/>
  <c r="AF31" i="111"/>
  <c r="AL57" i="111"/>
  <c r="AL55" i="111" s="1"/>
  <c r="AL66" i="111"/>
  <c r="AL65" i="111"/>
  <c r="AL36" i="111"/>
  <c r="N12" i="111"/>
  <c r="N19" i="111"/>
  <c r="L20" i="111"/>
  <c r="L28" i="111"/>
  <c r="Q105" i="111"/>
  <c r="AL38" i="111"/>
  <c r="AG30" i="60"/>
  <c r="AL42" i="60"/>
  <c r="AL40" i="60" s="1"/>
  <c r="AL63" i="60"/>
  <c r="AL38" i="60"/>
  <c r="Q49" i="60"/>
  <c r="AL59" i="60"/>
  <c r="R42" i="60"/>
  <c r="J42" i="60" s="1"/>
  <c r="AL66" i="60"/>
  <c r="N19" i="60"/>
  <c r="R20" i="60"/>
  <c r="Q19" i="60"/>
  <c r="Q20" i="60"/>
  <c r="Q13" i="60"/>
  <c r="Q15" i="60"/>
  <c r="N15" i="60"/>
  <c r="R16" i="60"/>
  <c r="N399" i="60"/>
  <c r="J399" i="60" s="1"/>
  <c r="AL69" i="60"/>
  <c r="AL72" i="60"/>
  <c r="AL71" i="60"/>
  <c r="AL57" i="60"/>
  <c r="AL55" i="60" s="1"/>
  <c r="Q45" i="60"/>
  <c r="AL36" i="60"/>
  <c r="R130" i="14"/>
  <c r="AL38" i="66"/>
  <c r="Q46" i="66"/>
  <c r="AL65" i="66"/>
  <c r="AL36" i="66"/>
  <c r="AL72" i="66"/>
  <c r="AL42" i="66"/>
  <c r="AL40" i="66" s="1"/>
  <c r="AL69" i="66"/>
  <c r="AL63" i="66"/>
  <c r="Q73" i="79"/>
  <c r="AL65" i="79"/>
  <c r="N12" i="79"/>
  <c r="AL36" i="79"/>
  <c r="Q452" i="79"/>
  <c r="AL59" i="79"/>
  <c r="N153" i="79"/>
  <c r="AL63" i="79"/>
  <c r="AL61" i="79" s="1"/>
  <c r="R139" i="79"/>
  <c r="AL73" i="79"/>
  <c r="Q51" i="79"/>
  <c r="AL44" i="79"/>
  <c r="AL40" i="79" s="1"/>
  <c r="AL77" i="79" s="1"/>
  <c r="O234" i="79"/>
  <c r="O28" i="79" s="1"/>
  <c r="AL37" i="79"/>
  <c r="AL57" i="79"/>
  <c r="R20" i="79"/>
  <c r="Q386" i="79"/>
  <c r="N244" i="79"/>
  <c r="Q107" i="79"/>
  <c r="AL72" i="79"/>
  <c r="N65" i="79"/>
  <c r="N361" i="79"/>
  <c r="AL70" i="79"/>
  <c r="AL68" i="79" s="1"/>
  <c r="AL78" i="79" s="1"/>
  <c r="AL38" i="79"/>
  <c r="N253" i="90"/>
  <c r="AL69" i="90"/>
  <c r="Q15" i="90"/>
  <c r="AL71" i="90"/>
  <c r="Q19" i="90"/>
  <c r="AL38" i="90"/>
  <c r="AL34" i="90" s="1"/>
  <c r="N185" i="90"/>
  <c r="AL57" i="90"/>
  <c r="AG30" i="90"/>
  <c r="AL42" i="90"/>
  <c r="AL40" i="90" s="1"/>
  <c r="AL59" i="90"/>
  <c r="AL63" i="90"/>
  <c r="AL61" i="90" s="1"/>
  <c r="J113" i="90"/>
  <c r="AL72" i="90"/>
  <c r="AL15" i="90"/>
  <c r="AL13" i="90" s="1"/>
  <c r="AL11" i="90" s="1"/>
  <c r="I200" i="14"/>
  <c r="J52" i="169"/>
  <c r="I52" i="169" s="1"/>
  <c r="I301" i="169"/>
  <c r="I297" i="169"/>
  <c r="AM25" i="169"/>
  <c r="J219" i="60"/>
  <c r="I219" i="60" s="1"/>
  <c r="J117" i="60"/>
  <c r="I117" i="60" s="1"/>
  <c r="I272" i="60"/>
  <c r="I130" i="60"/>
  <c r="I227" i="60"/>
  <c r="J23" i="60"/>
  <c r="J53" i="111"/>
  <c r="I53" i="111" s="1"/>
  <c r="Q20" i="59"/>
  <c r="Q12" i="59"/>
  <c r="AG14" i="59" s="1"/>
  <c r="N12" i="59"/>
  <c r="AG13" i="59" s="1"/>
  <c r="R17" i="59"/>
  <c r="AJ30" i="59"/>
  <c r="AL51" i="59"/>
  <c r="AL46" i="59" s="1"/>
  <c r="AL36" i="59"/>
  <c r="AG31" i="59"/>
  <c r="AL66" i="59"/>
  <c r="AL61" i="59" s="1"/>
  <c r="AG30" i="59"/>
  <c r="AM40" i="59" s="1"/>
  <c r="AL44" i="59"/>
  <c r="AL40" i="59" s="1"/>
  <c r="AL59" i="59"/>
  <c r="AL55" i="59" s="1"/>
  <c r="Q19" i="59"/>
  <c r="AL38" i="59"/>
  <c r="AL72" i="59"/>
  <c r="AL67" i="59" s="1"/>
  <c r="L14" i="59"/>
  <c r="L10" i="59" s="1"/>
  <c r="N13" i="21"/>
  <c r="I304" i="21"/>
  <c r="N20" i="14"/>
  <c r="N15" i="14"/>
  <c r="I232" i="14"/>
  <c r="N174" i="14"/>
  <c r="Q85" i="14"/>
  <c r="Q213" i="14"/>
  <c r="N12" i="14"/>
  <c r="I153" i="14"/>
  <c r="L12" i="14"/>
  <c r="J369" i="14"/>
  <c r="I369" i="14" s="1"/>
  <c r="J30" i="14"/>
  <c r="Q224" i="14"/>
  <c r="AL59" i="14"/>
  <c r="AL55" i="14" s="1"/>
  <c r="Q164" i="14"/>
  <c r="AL44" i="14"/>
  <c r="AL40" i="14" s="1"/>
  <c r="O66" i="14"/>
  <c r="AL37" i="14"/>
  <c r="L15" i="14"/>
  <c r="AL66" i="14"/>
  <c r="AL69" i="14"/>
  <c r="R73" i="14"/>
  <c r="J73" i="14" s="1"/>
  <c r="AL72" i="14"/>
  <c r="AH30" i="14"/>
  <c r="AM46" i="14" s="1"/>
  <c r="AL51" i="14"/>
  <c r="AL46" i="14" s="1"/>
  <c r="Q58" i="14"/>
  <c r="AL65" i="14"/>
  <c r="AF31" i="14"/>
  <c r="AM55" i="14" s="1"/>
  <c r="AL63" i="14"/>
  <c r="AL36" i="14"/>
  <c r="AL38" i="14"/>
  <c r="O14" i="14"/>
  <c r="O14" i="75"/>
  <c r="O10" i="75" s="1"/>
  <c r="L29" i="1" s="1"/>
  <c r="Y29" i="1"/>
  <c r="J207" i="101"/>
  <c r="I207" i="101" s="1"/>
  <c r="L28" i="101"/>
  <c r="J201" i="42"/>
  <c r="I201" i="42" s="1"/>
  <c r="J92" i="42"/>
  <c r="I92" i="42" s="1"/>
  <c r="J140" i="111"/>
  <c r="I140" i="111" s="1"/>
  <c r="J125" i="111"/>
  <c r="I125" i="111" s="1"/>
  <c r="L14" i="111"/>
  <c r="J162" i="111"/>
  <c r="I162" i="111" s="1"/>
  <c r="J113" i="111"/>
  <c r="I113" i="111" s="1"/>
  <c r="J70" i="111"/>
  <c r="I70" i="111" s="1"/>
  <c r="I77" i="75"/>
  <c r="J177" i="43"/>
  <c r="J165" i="43"/>
  <c r="J24" i="43"/>
  <c r="I24" i="43" s="1"/>
  <c r="N14" i="43"/>
  <c r="AI13" i="43" s="1"/>
  <c r="AH14" i="58"/>
  <c r="R277" i="51"/>
  <c r="AL72" i="51"/>
  <c r="N77" i="51"/>
  <c r="AL42" i="51"/>
  <c r="AL40" i="51" s="1"/>
  <c r="AL71" i="51"/>
  <c r="N12" i="51"/>
  <c r="Q15" i="51"/>
  <c r="N57" i="51"/>
  <c r="N13" i="51"/>
  <c r="Q20" i="51"/>
  <c r="Q13" i="51"/>
  <c r="AH14" i="51" s="1"/>
  <c r="N118" i="51"/>
  <c r="Q12" i="51"/>
  <c r="AG14" i="51" s="1"/>
  <c r="N98" i="51"/>
  <c r="AL59" i="51"/>
  <c r="N20" i="51"/>
  <c r="AL57" i="51"/>
  <c r="AL55" i="51" s="1"/>
  <c r="AL38" i="51"/>
  <c r="AL36" i="51"/>
  <c r="AI31" i="21"/>
  <c r="R339" i="21"/>
  <c r="R333" i="21"/>
  <c r="R236" i="21"/>
  <c r="AG31" i="101"/>
  <c r="AL66" i="101"/>
  <c r="AL61" i="101" s="1"/>
  <c r="AL76" i="101" s="1"/>
  <c r="AH31" i="101"/>
  <c r="AL69" i="101"/>
  <c r="N20" i="101"/>
  <c r="J20" i="101" s="1"/>
  <c r="N12" i="101"/>
  <c r="AG13" i="101" s="1"/>
  <c r="Q12" i="101"/>
  <c r="AG14" i="101" s="1"/>
  <c r="AL36" i="101"/>
  <c r="AL34" i="101" s="1"/>
  <c r="Q54" i="101"/>
  <c r="Q28" i="101" s="1"/>
  <c r="L20" i="101"/>
  <c r="AL72" i="101"/>
  <c r="Q122" i="21"/>
  <c r="AL38" i="21"/>
  <c r="M122" i="21"/>
  <c r="AL35" i="21"/>
  <c r="AH30" i="21"/>
  <c r="AL48" i="21"/>
  <c r="AL46" i="21" s="1"/>
  <c r="Q275" i="21"/>
  <c r="AL65" i="21"/>
  <c r="N20" i="21"/>
  <c r="AH31" i="21"/>
  <c r="AL69" i="21"/>
  <c r="AG31" i="21"/>
  <c r="AL63" i="21"/>
  <c r="Q264" i="21"/>
  <c r="AL44" i="21"/>
  <c r="AL40" i="21" s="1"/>
  <c r="Q138" i="21"/>
  <c r="Q24" i="21" s="1"/>
  <c r="AL71" i="21"/>
  <c r="R94" i="21"/>
  <c r="J94" i="21" s="1"/>
  <c r="I94" i="21" s="1"/>
  <c r="AL72" i="21"/>
  <c r="Q20" i="21"/>
  <c r="L20" i="21"/>
  <c r="M19" i="21"/>
  <c r="AJ31" i="21"/>
  <c r="AL36" i="21"/>
  <c r="AL78" i="58"/>
  <c r="AL55" i="58"/>
  <c r="AH30" i="58"/>
  <c r="AL53" i="58"/>
  <c r="AL48" i="58" s="1"/>
  <c r="Q106" i="58"/>
  <c r="AL38" i="58"/>
  <c r="AL34" i="58" s="1"/>
  <c r="AL77" i="58" s="1"/>
  <c r="R19" i="58"/>
  <c r="N19" i="58"/>
  <c r="N224" i="62"/>
  <c r="AL42" i="62"/>
  <c r="AL72" i="62"/>
  <c r="AL50" i="62"/>
  <c r="AL51" i="62"/>
  <c r="R337" i="62"/>
  <c r="AL66" i="62"/>
  <c r="Q51" i="62"/>
  <c r="J51" i="62" s="1"/>
  <c r="AL71" i="62"/>
  <c r="Q45" i="62"/>
  <c r="AL38" i="62"/>
  <c r="Q246" i="62"/>
  <c r="AL57" i="62"/>
  <c r="AL59" i="62"/>
  <c r="AL36" i="62"/>
  <c r="AL34" i="62" s="1"/>
  <c r="AL44" i="62"/>
  <c r="L19" i="62"/>
  <c r="Q12" i="62"/>
  <c r="AG14" i="62" s="1"/>
  <c r="N12" i="62"/>
  <c r="AG13" i="62" s="1"/>
  <c r="R20" i="62"/>
  <c r="N20" i="62"/>
  <c r="Q19" i="62"/>
  <c r="N15" i="62"/>
  <c r="N18" i="62"/>
  <c r="N331" i="62"/>
  <c r="N22" i="62" s="1"/>
  <c r="AL48" i="62"/>
  <c r="R19" i="62"/>
  <c r="AL45" i="62"/>
  <c r="N229" i="62"/>
  <c r="M15" i="62"/>
  <c r="R229" i="62"/>
  <c r="M20" i="62"/>
  <c r="Q224" i="62"/>
  <c r="J224" i="62" s="1"/>
  <c r="N214" i="62"/>
  <c r="L20" i="62"/>
  <c r="N205" i="62"/>
  <c r="J205" i="62" s="1"/>
  <c r="Q175" i="62"/>
  <c r="J175" i="62" s="1"/>
  <c r="I175" i="62" s="1"/>
  <c r="Q159" i="62"/>
  <c r="Q126" i="62"/>
  <c r="AL65" i="62"/>
  <c r="AL61" i="62" s="1"/>
  <c r="R72" i="62"/>
  <c r="N67" i="62"/>
  <c r="J67" i="62" s="1"/>
  <c r="Q40" i="62"/>
  <c r="R40" i="62"/>
  <c r="J40" i="62" s="1"/>
  <c r="K18" i="62"/>
  <c r="T10" i="42"/>
  <c r="Q23" i="1" s="1"/>
  <c r="N41" i="42"/>
  <c r="Q12" i="42"/>
  <c r="N13" i="42"/>
  <c r="AL36" i="42"/>
  <c r="Q123" i="42"/>
  <c r="AL44" i="42"/>
  <c r="AF31" i="42"/>
  <c r="AL59" i="42"/>
  <c r="AL55" i="42" s="1"/>
  <c r="AH30" i="42"/>
  <c r="AL48" i="42"/>
  <c r="AL46" i="42" s="1"/>
  <c r="R145" i="42"/>
  <c r="J145" i="42" s="1"/>
  <c r="AL45" i="42"/>
  <c r="AL63" i="42"/>
  <c r="I261" i="42"/>
  <c r="N12" i="42"/>
  <c r="N20" i="42"/>
  <c r="L12" i="42"/>
  <c r="R13" i="42"/>
  <c r="AH15" i="42" s="1"/>
  <c r="I212" i="42"/>
  <c r="I234" i="42"/>
  <c r="Q19" i="42"/>
  <c r="N30" i="42"/>
  <c r="AL72" i="42"/>
  <c r="AL67" i="42" s="1"/>
  <c r="Q25" i="42"/>
  <c r="AL65" i="42"/>
  <c r="AL38" i="42"/>
  <c r="N30" i="86"/>
  <c r="AL15" i="86"/>
  <c r="R689" i="86"/>
  <c r="AL51" i="86"/>
  <c r="AL46" i="86" s="1"/>
  <c r="AG30" i="86"/>
  <c r="AL44" i="86"/>
  <c r="AL40" i="86" s="1"/>
  <c r="AL36" i="86"/>
  <c r="AL59" i="86"/>
  <c r="AL56" i="86"/>
  <c r="AL38" i="86"/>
  <c r="AL63" i="86"/>
  <c r="AL71" i="86"/>
  <c r="AL66" i="86"/>
  <c r="AL69" i="86"/>
  <c r="AL35" i="86"/>
  <c r="AL65" i="86"/>
  <c r="AL57" i="86"/>
  <c r="Q79" i="86"/>
  <c r="AL72" i="86"/>
  <c r="AL14" i="86"/>
  <c r="AL13" i="86" s="1"/>
  <c r="AL11" i="86" s="1"/>
  <c r="AL38" i="41"/>
  <c r="AL65" i="41"/>
  <c r="AL61" i="41" s="1"/>
  <c r="AL42" i="41"/>
  <c r="AL40" i="41" s="1"/>
  <c r="AL36" i="41"/>
  <c r="AL57" i="41"/>
  <c r="R50" i="41"/>
  <c r="AL72" i="41"/>
  <c r="AL67" i="41" s="1"/>
  <c r="AL77" i="41"/>
  <c r="AL59" i="41"/>
  <c r="AM25" i="41"/>
  <c r="N190" i="41"/>
  <c r="J190" i="41" s="1"/>
  <c r="I190" i="41" s="1"/>
  <c r="O293" i="41"/>
  <c r="Q190" i="41"/>
  <c r="N13" i="41"/>
  <c r="AH30" i="41"/>
  <c r="AM46" i="41" s="1"/>
  <c r="Q73" i="41"/>
  <c r="Q46" i="41"/>
  <c r="N12" i="41"/>
  <c r="AG13" i="41" s="1"/>
  <c r="O13" i="41"/>
  <c r="N181" i="41"/>
  <c r="J181" i="41" s="1"/>
  <c r="I181" i="41" s="1"/>
  <c r="N20" i="41"/>
  <c r="O20" i="41"/>
  <c r="AH31" i="169"/>
  <c r="AL71" i="169"/>
  <c r="AL72" i="169"/>
  <c r="AF31" i="169"/>
  <c r="AM55" i="169" s="1"/>
  <c r="AL59" i="169"/>
  <c r="AL55" i="169" s="1"/>
  <c r="AL38" i="169"/>
  <c r="AL34" i="169" s="1"/>
  <c r="AL65" i="169"/>
  <c r="AL61" i="169" s="1"/>
  <c r="J90" i="71"/>
  <c r="I90" i="71" s="1"/>
  <c r="AL63" i="71"/>
  <c r="AL65" i="71"/>
  <c r="AL36" i="71"/>
  <c r="R80" i="71"/>
  <c r="AL66" i="71"/>
  <c r="AI31" i="71"/>
  <c r="AL72" i="71"/>
  <c r="AH31" i="71"/>
  <c r="AL69" i="71"/>
  <c r="Q30" i="71"/>
  <c r="AL38" i="71"/>
  <c r="N20" i="71"/>
  <c r="AL59" i="71"/>
  <c r="AL57" i="71"/>
  <c r="AG31" i="44"/>
  <c r="AL65" i="44"/>
  <c r="AF29" i="44"/>
  <c r="AL14" i="44"/>
  <c r="R233" i="44"/>
  <c r="R28" i="44" s="1"/>
  <c r="AL74" i="44"/>
  <c r="AL69" i="44" s="1"/>
  <c r="AH31" i="44"/>
  <c r="AL36" i="44"/>
  <c r="AF30" i="44"/>
  <c r="R124" i="44"/>
  <c r="J124" i="44" s="1"/>
  <c r="AI31" i="44"/>
  <c r="Q261" i="44"/>
  <c r="AL67" i="44"/>
  <c r="AL15" i="44"/>
  <c r="AL38" i="44"/>
  <c r="AM25" i="66"/>
  <c r="AM46" i="66"/>
  <c r="AM46" i="169"/>
  <c r="O14" i="60"/>
  <c r="N252" i="75"/>
  <c r="AL57" i="75"/>
  <c r="N299" i="75"/>
  <c r="AL63" i="75"/>
  <c r="R13" i="75"/>
  <c r="AH15" i="75" s="1"/>
  <c r="AL66" i="75"/>
  <c r="N159" i="75"/>
  <c r="J159" i="75" s="1"/>
  <c r="I159" i="75" s="1"/>
  <c r="AL69" i="75"/>
  <c r="AH30" i="75"/>
  <c r="AL48" i="75"/>
  <c r="Q112" i="75"/>
  <c r="AL59" i="75"/>
  <c r="Q36" i="75"/>
  <c r="AL65" i="75"/>
  <c r="Q30" i="75"/>
  <c r="AL17" i="75"/>
  <c r="Q15" i="75"/>
  <c r="R390" i="75"/>
  <c r="J390" i="75" s="1"/>
  <c r="I390" i="75" s="1"/>
  <c r="Q369" i="75"/>
  <c r="N271" i="75"/>
  <c r="J271" i="75" s="1"/>
  <c r="I271" i="75" s="1"/>
  <c r="Q261" i="75"/>
  <c r="Q94" i="75"/>
  <c r="L19" i="75"/>
  <c r="Q81" i="75"/>
  <c r="AL42" i="75"/>
  <c r="AL51" i="75"/>
  <c r="AL71" i="75"/>
  <c r="AL38" i="75"/>
  <c r="AL36" i="75"/>
  <c r="J45" i="111"/>
  <c r="I45" i="111" s="1"/>
  <c r="L14" i="101"/>
  <c r="L10" i="101" s="1"/>
  <c r="I28" i="1" s="1"/>
  <c r="N14" i="101"/>
  <c r="J41" i="101"/>
  <c r="I41" i="101" s="1"/>
  <c r="J23" i="101"/>
  <c r="AM19" i="43"/>
  <c r="AM46" i="43"/>
  <c r="AM13" i="43"/>
  <c r="AM25" i="43"/>
  <c r="AM40" i="43"/>
  <c r="I98" i="86"/>
  <c r="AM13" i="111"/>
  <c r="AM25" i="111"/>
  <c r="AM40" i="111"/>
  <c r="AM19" i="111"/>
  <c r="AM46" i="111"/>
  <c r="AM19" i="71"/>
  <c r="AM46" i="71"/>
  <c r="AM13" i="71"/>
  <c r="AM25" i="71"/>
  <c r="AM40" i="71"/>
  <c r="I71" i="14"/>
  <c r="I289" i="75"/>
  <c r="I53" i="75"/>
  <c r="I69" i="75"/>
  <c r="AM25" i="75"/>
  <c r="I42" i="75"/>
  <c r="P14" i="75"/>
  <c r="J74" i="75"/>
  <c r="AL72" i="75"/>
  <c r="AM19" i="75"/>
  <c r="AM19" i="21"/>
  <c r="AM13" i="21"/>
  <c r="AM25" i="21"/>
  <c r="I407" i="21"/>
  <c r="AM19" i="58"/>
  <c r="AM13" i="58"/>
  <c r="AM25" i="58"/>
  <c r="AM40" i="58"/>
  <c r="AM57" i="58"/>
  <c r="X24" i="1"/>
  <c r="J139" i="62"/>
  <c r="I37" i="62"/>
  <c r="AM46" i="42"/>
  <c r="AM19" i="42"/>
  <c r="AM55" i="42"/>
  <c r="AM13" i="42"/>
  <c r="AM25" i="42"/>
  <c r="L28" i="41"/>
  <c r="M14" i="61"/>
  <c r="M10" i="61" s="1"/>
  <c r="J20" i="1" s="1"/>
  <c r="AM19" i="59"/>
  <c r="AM13" i="59"/>
  <c r="AM25" i="59"/>
  <c r="AM46" i="59"/>
  <c r="X16" i="1"/>
  <c r="AM19" i="60"/>
  <c r="AM40" i="60"/>
  <c r="AM13" i="60"/>
  <c r="AM25" i="60"/>
  <c r="AM46" i="60"/>
  <c r="J63" i="60"/>
  <c r="I97" i="14"/>
  <c r="I115" i="14"/>
  <c r="I122" i="14"/>
  <c r="I150" i="14"/>
  <c r="I155" i="14"/>
  <c r="I143" i="14"/>
  <c r="J186" i="14"/>
  <c r="I186" i="14" s="1"/>
  <c r="K14" i="14"/>
  <c r="K10" i="14" s="1"/>
  <c r="AM19" i="14"/>
  <c r="AM13" i="14"/>
  <c r="AM25" i="14"/>
  <c r="AM25" i="90"/>
  <c r="AM40" i="90"/>
  <c r="AM19" i="90"/>
  <c r="AM46" i="90"/>
  <c r="AM34" i="61"/>
  <c r="AM19" i="61"/>
  <c r="AM46" i="61"/>
  <c r="AM13" i="61"/>
  <c r="AM25" i="61"/>
  <c r="AM40" i="61"/>
  <c r="AM13" i="51"/>
  <c r="AM25" i="51"/>
  <c r="AM46" i="51"/>
  <c r="AM19" i="51"/>
  <c r="AM13" i="101"/>
  <c r="AM25" i="101"/>
  <c r="AM40" i="101"/>
  <c r="AM19" i="101"/>
  <c r="AM46" i="101"/>
  <c r="AM25" i="86"/>
  <c r="AM46" i="86"/>
  <c r="AM19" i="86"/>
  <c r="AM19" i="62"/>
  <c r="AM25" i="62"/>
  <c r="R254" i="66"/>
  <c r="Q254" i="66"/>
  <c r="Q16" i="66"/>
  <c r="Q14" i="66" s="1"/>
  <c r="R56" i="66"/>
  <c r="Q31" i="66"/>
  <c r="AF31" i="66"/>
  <c r="AM25" i="79"/>
  <c r="AM46" i="79"/>
  <c r="AM19" i="79"/>
  <c r="Q12" i="21"/>
  <c r="AG14" i="21" s="1"/>
  <c r="R15" i="21"/>
  <c r="M12" i="21"/>
  <c r="AG13" i="21" s="1"/>
  <c r="N365" i="21"/>
  <c r="J365" i="21" s="1"/>
  <c r="Q183" i="21"/>
  <c r="J183" i="21" s="1"/>
  <c r="R17" i="21"/>
  <c r="J17" i="21" s="1"/>
  <c r="R20" i="21"/>
  <c r="N122" i="21"/>
  <c r="J122" i="21" s="1"/>
  <c r="J199" i="66"/>
  <c r="I199" i="66" s="1"/>
  <c r="AH13" i="21"/>
  <c r="Q17" i="86"/>
  <c r="N45" i="86"/>
  <c r="M12" i="86"/>
  <c r="R368" i="86"/>
  <c r="J368" i="86" s="1"/>
  <c r="N345" i="86"/>
  <c r="L345" i="86"/>
  <c r="Q41" i="42"/>
  <c r="Q28" i="42" s="1"/>
  <c r="J201" i="75"/>
  <c r="I79" i="75"/>
  <c r="Q13" i="75"/>
  <c r="AH14" i="75" s="1"/>
  <c r="N20" i="75"/>
  <c r="Q16" i="75"/>
  <c r="J335" i="75"/>
  <c r="I335" i="75" s="1"/>
  <c r="R261" i="75"/>
  <c r="R222" i="75"/>
  <c r="J222" i="75" s="1"/>
  <c r="I222" i="75" s="1"/>
  <c r="N94" i="75"/>
  <c r="L12" i="75"/>
  <c r="N81" i="75"/>
  <c r="Q55" i="75"/>
  <c r="J55" i="75" s="1"/>
  <c r="I55" i="75" s="1"/>
  <c r="R22" i="75"/>
  <c r="J217" i="75"/>
  <c r="J132" i="75"/>
  <c r="I132" i="75" s="1"/>
  <c r="AF30" i="75"/>
  <c r="Q12" i="75"/>
  <c r="AG14" i="75" s="1"/>
  <c r="N12" i="75"/>
  <c r="AG13" i="75" s="1"/>
  <c r="I506" i="75"/>
  <c r="N19" i="75"/>
  <c r="J19" i="75" s="1"/>
  <c r="R16" i="75"/>
  <c r="J16" i="75" s="1"/>
  <c r="I16" i="75" s="1"/>
  <c r="Q18" i="75"/>
  <c r="J18" i="75" s="1"/>
  <c r="N153" i="75"/>
  <c r="N15" i="75"/>
  <c r="N14" i="75" s="1"/>
  <c r="N10" i="75" s="1"/>
  <c r="K29" i="1" s="1"/>
  <c r="L20" i="75"/>
  <c r="AF31" i="75"/>
  <c r="AG30" i="75"/>
  <c r="AF29" i="75"/>
  <c r="AJ31" i="75"/>
  <c r="AI30" i="75"/>
  <c r="J47" i="75"/>
  <c r="I47" i="75" s="1"/>
  <c r="I201" i="75"/>
  <c r="I115" i="21"/>
  <c r="P10" i="43"/>
  <c r="AI14" i="43"/>
  <c r="AH14" i="43"/>
  <c r="AH13" i="43"/>
  <c r="AG14" i="43"/>
  <c r="AH13" i="58"/>
  <c r="J217" i="58"/>
  <c r="J46" i="58"/>
  <c r="I46" i="58" s="1"/>
  <c r="Y24" i="1"/>
  <c r="AH13" i="62"/>
  <c r="AH14" i="62"/>
  <c r="J188" i="42"/>
  <c r="I188" i="42" s="1"/>
  <c r="AG14" i="42"/>
  <c r="AG13" i="42"/>
  <c r="AH14" i="42"/>
  <c r="AH13" i="42"/>
  <c r="I310" i="86"/>
  <c r="I315" i="86"/>
  <c r="AH14" i="41"/>
  <c r="J130" i="169"/>
  <c r="I178" i="169"/>
  <c r="J148" i="169"/>
  <c r="I148" i="169" s="1"/>
  <c r="AG14" i="169"/>
  <c r="AG13" i="169"/>
  <c r="AH14" i="169"/>
  <c r="AH13" i="169"/>
  <c r="I131" i="51"/>
  <c r="J216" i="111"/>
  <c r="I216" i="111" s="1"/>
  <c r="J194" i="111"/>
  <c r="I194" i="111" s="1"/>
  <c r="O14" i="111"/>
  <c r="O10" i="111" s="1"/>
  <c r="AG14" i="111"/>
  <c r="AG13" i="111"/>
  <c r="AH14" i="111"/>
  <c r="AH13" i="111"/>
  <c r="P14" i="60"/>
  <c r="P10" i="60" s="1"/>
  <c r="Y16" i="1"/>
  <c r="AH13" i="60"/>
  <c r="AG14" i="60"/>
  <c r="AG13" i="60"/>
  <c r="N14" i="60"/>
  <c r="N10" i="60" s="1"/>
  <c r="K16" i="1" s="1"/>
  <c r="AH14" i="60"/>
  <c r="AH14" i="71"/>
  <c r="AH13" i="71"/>
  <c r="AG14" i="71"/>
  <c r="AG13" i="71"/>
  <c r="M10" i="14"/>
  <c r="AH14" i="44"/>
  <c r="AH13" i="44"/>
  <c r="AG14" i="44"/>
  <c r="AG13" i="44"/>
  <c r="I269" i="79"/>
  <c r="K28" i="90"/>
  <c r="P10" i="75"/>
  <c r="AH13" i="75"/>
  <c r="I46" i="90"/>
  <c r="AH13" i="51"/>
  <c r="AG13" i="51"/>
  <c r="AH13" i="101"/>
  <c r="AH14" i="101"/>
  <c r="J200" i="58"/>
  <c r="J18" i="14"/>
  <c r="AM11" i="14" s="1"/>
  <c r="P14" i="14"/>
  <c r="L14" i="14"/>
  <c r="K14" i="59"/>
  <c r="K10" i="59" s="1"/>
  <c r="I290" i="86"/>
  <c r="I56" i="86"/>
  <c r="N75" i="66"/>
  <c r="N13" i="66"/>
  <c r="AH13" i="66" s="1"/>
  <c r="I216" i="42"/>
  <c r="AH31" i="42"/>
  <c r="I415" i="42"/>
  <c r="R20" i="42"/>
  <c r="J20" i="42" s="1"/>
  <c r="J257" i="42"/>
  <c r="I257" i="42" s="1"/>
  <c r="J473" i="42"/>
  <c r="I473" i="42" s="1"/>
  <c r="J467" i="42"/>
  <c r="I467" i="42" s="1"/>
  <c r="J269" i="42"/>
  <c r="I269" i="42" s="1"/>
  <c r="J246" i="42"/>
  <c r="I246" i="42" s="1"/>
  <c r="R24" i="42"/>
  <c r="J79" i="41"/>
  <c r="I79" i="41" s="1"/>
  <c r="T10" i="41"/>
  <c r="Q21" i="1" s="1"/>
  <c r="R20" i="41"/>
  <c r="Q19" i="41"/>
  <c r="Q12" i="41"/>
  <c r="AG14" i="41" s="1"/>
  <c r="Q20" i="41"/>
  <c r="N198" i="41"/>
  <c r="J198" i="41" s="1"/>
  <c r="I198" i="41" s="1"/>
  <c r="N15" i="41"/>
  <c r="J15" i="41" s="1"/>
  <c r="I15" i="41" s="1"/>
  <c r="S10" i="41"/>
  <c r="P21" i="1" s="1"/>
  <c r="Q118" i="41"/>
  <c r="J118" i="41" s="1"/>
  <c r="N73" i="41"/>
  <c r="O14" i="66"/>
  <c r="O10" i="66" s="1"/>
  <c r="L12" i="1" s="1"/>
  <c r="J120" i="111"/>
  <c r="I120" i="111" s="1"/>
  <c r="X15" i="1"/>
  <c r="Q227" i="66"/>
  <c r="J227" i="66" s="1"/>
  <c r="L75" i="66"/>
  <c r="L28" i="66" s="1"/>
  <c r="J361" i="79"/>
  <c r="I361" i="79" s="1"/>
  <c r="N20" i="79"/>
  <c r="L19" i="79"/>
  <c r="Q20" i="79"/>
  <c r="L16" i="79"/>
  <c r="L14" i="79" s="1"/>
  <c r="N189" i="79"/>
  <c r="J189" i="79" s="1"/>
  <c r="L13" i="79"/>
  <c r="N51" i="79"/>
  <c r="N35" i="79"/>
  <c r="Q234" i="79"/>
  <c r="Q19" i="79"/>
  <c r="I133" i="61"/>
  <c r="I197" i="61"/>
  <c r="L14" i="61"/>
  <c r="I201" i="61"/>
  <c r="J215" i="61"/>
  <c r="I215" i="61" s="1"/>
  <c r="I31" i="62"/>
  <c r="J26" i="75"/>
  <c r="J123" i="75"/>
  <c r="I123" i="75" s="1"/>
  <c r="I76" i="75"/>
  <c r="I174" i="75"/>
  <c r="I43" i="75"/>
  <c r="I204" i="75"/>
  <c r="I147" i="75"/>
  <c r="I128" i="75"/>
  <c r="I348" i="75"/>
  <c r="I93" i="75"/>
  <c r="J417" i="75"/>
  <c r="I417" i="75" s="1"/>
  <c r="J360" i="75"/>
  <c r="J25" i="75"/>
  <c r="J23" i="75"/>
  <c r="I23" i="75" s="1"/>
  <c r="M14" i="75"/>
  <c r="K14" i="75"/>
  <c r="K10" i="75" s="1"/>
  <c r="L14" i="75"/>
  <c r="L24" i="75"/>
  <c r="N24" i="101"/>
  <c r="I383" i="21"/>
  <c r="I112" i="21"/>
  <c r="I235" i="21"/>
  <c r="K14" i="58"/>
  <c r="K10" i="58" s="1"/>
  <c r="K28" i="42"/>
  <c r="I383" i="42"/>
  <c r="J222" i="42"/>
  <c r="I222" i="42" s="1"/>
  <c r="J181" i="42"/>
  <c r="J153" i="42"/>
  <c r="I153" i="42" s="1"/>
  <c r="J150" i="42"/>
  <c r="I150" i="42" s="1"/>
  <c r="J112" i="42"/>
  <c r="J203" i="41"/>
  <c r="J46" i="41"/>
  <c r="I239" i="61"/>
  <c r="J44" i="169"/>
  <c r="I44" i="169" s="1"/>
  <c r="J274" i="169"/>
  <c r="I274" i="169" s="1"/>
  <c r="P14" i="169"/>
  <c r="I298" i="169"/>
  <c r="I296" i="169"/>
  <c r="K14" i="60"/>
  <c r="K10" i="60" s="1"/>
  <c r="H16" i="1" s="1"/>
  <c r="I75" i="60"/>
  <c r="I422" i="60"/>
  <c r="J174" i="58"/>
  <c r="I174" i="58" s="1"/>
  <c r="R20" i="75"/>
  <c r="I92" i="75"/>
  <c r="R15" i="75"/>
  <c r="I297" i="75"/>
  <c r="J301" i="62"/>
  <c r="I301" i="62" s="1"/>
  <c r="J119" i="62"/>
  <c r="O14" i="62"/>
  <c r="O10" i="62" s="1"/>
  <c r="J420" i="42"/>
  <c r="I420" i="42" s="1"/>
  <c r="I377" i="42"/>
  <c r="I360" i="42"/>
  <c r="J350" i="42"/>
  <c r="I350" i="42" s="1"/>
  <c r="J34" i="101"/>
  <c r="I34" i="101" s="1"/>
  <c r="J66" i="14"/>
  <c r="I66" i="14" s="1"/>
  <c r="J112" i="41"/>
  <c r="I101" i="41"/>
  <c r="J244" i="41"/>
  <c r="I244" i="41" s="1"/>
  <c r="J225" i="41"/>
  <c r="J217" i="41"/>
  <c r="J148" i="41"/>
  <c r="I148" i="41" s="1"/>
  <c r="J142" i="41"/>
  <c r="I142" i="41" s="1"/>
  <c r="J129" i="41"/>
  <c r="I129" i="41" s="1"/>
  <c r="I46" i="21"/>
  <c r="I162" i="21"/>
  <c r="I242" i="21"/>
  <c r="I53" i="21"/>
  <c r="I76" i="21"/>
  <c r="I237" i="61"/>
  <c r="I259" i="61"/>
  <c r="I112" i="169"/>
  <c r="J263" i="169"/>
  <c r="J189" i="169"/>
  <c r="I189" i="169" s="1"/>
  <c r="J26" i="169"/>
  <c r="O14" i="169"/>
  <c r="O10" i="169" s="1"/>
  <c r="M14" i="21"/>
  <c r="O14" i="21"/>
  <c r="O10" i="21" s="1"/>
  <c r="J242" i="66"/>
  <c r="Q19" i="66"/>
  <c r="R13" i="66"/>
  <c r="AH15" i="66" s="1"/>
  <c r="R20" i="66"/>
  <c r="L19" i="66"/>
  <c r="N15" i="66"/>
  <c r="J15" i="66" s="1"/>
  <c r="I15" i="66" s="1"/>
  <c r="J124" i="66"/>
  <c r="I124" i="66" s="1"/>
  <c r="Q75" i="66"/>
  <c r="N19" i="66"/>
  <c r="N12" i="66"/>
  <c r="AG13" i="66" s="1"/>
  <c r="J31" i="66"/>
  <c r="I31" i="66" s="1"/>
  <c r="N254" i="66"/>
  <c r="I23" i="101"/>
  <c r="R20" i="59"/>
  <c r="N19" i="59"/>
  <c r="R16" i="59"/>
  <c r="J16" i="59" s="1"/>
  <c r="I16" i="59" s="1"/>
  <c r="R22" i="59"/>
  <c r="J22" i="59" s="1"/>
  <c r="N20" i="66"/>
  <c r="L12" i="66"/>
  <c r="Q12" i="66"/>
  <c r="AG14" i="66" s="1"/>
  <c r="Q20" i="66"/>
  <c r="R16" i="66"/>
  <c r="J16" i="66" s="1"/>
  <c r="I16" i="66" s="1"/>
  <c r="Q13" i="66"/>
  <c r="AH14" i="66" s="1"/>
  <c r="R19" i="66"/>
  <c r="N36" i="66"/>
  <c r="J36" i="66" s="1"/>
  <c r="P14" i="66"/>
  <c r="M14" i="42"/>
  <c r="J54" i="21"/>
  <c r="I54" i="21" s="1"/>
  <c r="J41" i="21"/>
  <c r="I41" i="21" s="1"/>
  <c r="J30" i="21"/>
  <c r="K14" i="21"/>
  <c r="K10" i="21" s="1"/>
  <c r="I274" i="21"/>
  <c r="I258" i="21"/>
  <c r="I233" i="21"/>
  <c r="J26" i="21"/>
  <c r="I40" i="14"/>
  <c r="I108" i="14"/>
  <c r="I302" i="21"/>
  <c r="N19" i="21"/>
  <c r="Q19" i="21"/>
  <c r="N15" i="21"/>
  <c r="N14" i="21" s="1"/>
  <c r="I135" i="21"/>
  <c r="L12" i="21"/>
  <c r="Q13" i="21"/>
  <c r="I219" i="21"/>
  <c r="I400" i="86"/>
  <c r="I274" i="86"/>
  <c r="J30" i="86"/>
  <c r="I112" i="62"/>
  <c r="J499" i="75"/>
  <c r="I133" i="21"/>
  <c r="I166" i="21"/>
  <c r="I381" i="21"/>
  <c r="I391" i="21"/>
  <c r="I108" i="21"/>
  <c r="I332" i="21"/>
  <c r="I221" i="21"/>
  <c r="I228" i="21"/>
  <c r="I327" i="21"/>
  <c r="J409" i="21"/>
  <c r="J388" i="21"/>
  <c r="I388" i="21" s="1"/>
  <c r="J384" i="21"/>
  <c r="I384" i="21" s="1"/>
  <c r="J348" i="21"/>
  <c r="I328" i="21"/>
  <c r="J297" i="21"/>
  <c r="I297" i="21" s="1"/>
  <c r="J294" i="21"/>
  <c r="I294" i="21" s="1"/>
  <c r="J291" i="21"/>
  <c r="I291" i="21" s="1"/>
  <c r="J279" i="21"/>
  <c r="I279" i="21" s="1"/>
  <c r="J268" i="21"/>
  <c r="I268" i="21" s="1"/>
  <c r="J264" i="21"/>
  <c r="J249" i="21"/>
  <c r="J243" i="21"/>
  <c r="J236" i="21"/>
  <c r="J215" i="21"/>
  <c r="J212" i="21"/>
  <c r="J204" i="21"/>
  <c r="I204" i="21" s="1"/>
  <c r="I198" i="21"/>
  <c r="J177" i="21"/>
  <c r="I233" i="61"/>
  <c r="I117" i="169"/>
  <c r="J198" i="169"/>
  <c r="J136" i="169"/>
  <c r="J78" i="169"/>
  <c r="I78" i="169" s="1"/>
  <c r="J23" i="169"/>
  <c r="I23" i="169" s="1"/>
  <c r="J18" i="169"/>
  <c r="AM11" i="169" s="1"/>
  <c r="J23" i="59"/>
  <c r="I157" i="51"/>
  <c r="N14" i="51"/>
  <c r="N10" i="51" s="1"/>
  <c r="K18" i="1" s="1"/>
  <c r="N14" i="111"/>
  <c r="N10" i="111" s="1"/>
  <c r="K15" i="1" s="1"/>
  <c r="K10" i="111"/>
  <c r="I414" i="60"/>
  <c r="K28" i="60"/>
  <c r="J303" i="60"/>
  <c r="I303" i="60" s="1"/>
  <c r="J277" i="60"/>
  <c r="J163" i="60"/>
  <c r="I163" i="60" s="1"/>
  <c r="J158" i="60"/>
  <c r="J154" i="60"/>
  <c r="I154" i="60" s="1"/>
  <c r="J148" i="60"/>
  <c r="J26" i="60"/>
  <c r="I26" i="60" s="1"/>
  <c r="J25" i="60"/>
  <c r="I25" i="60" s="1"/>
  <c r="J18" i="60"/>
  <c r="L14" i="60"/>
  <c r="L10" i="60" s="1"/>
  <c r="I16" i="1" s="1"/>
  <c r="I399" i="60"/>
  <c r="J15" i="60"/>
  <c r="I15" i="60" s="1"/>
  <c r="L28" i="71"/>
  <c r="J158" i="71"/>
  <c r="I158" i="71" s="1"/>
  <c r="I214" i="71"/>
  <c r="J221" i="71"/>
  <c r="J75" i="71"/>
  <c r="J55" i="71"/>
  <c r="I55" i="71" s="1"/>
  <c r="P14" i="71"/>
  <c r="L14" i="71"/>
  <c r="L10" i="71" s="1"/>
  <c r="I14" i="1" s="1"/>
  <c r="J147" i="14"/>
  <c r="I147" i="14" s="1"/>
  <c r="J144" i="14"/>
  <c r="I144" i="14" s="1"/>
  <c r="J37" i="14"/>
  <c r="J26" i="14"/>
  <c r="I42" i="14"/>
  <c r="J130" i="14"/>
  <c r="K14" i="66"/>
  <c r="K10" i="66" s="1"/>
  <c r="H12" i="1" s="1"/>
  <c r="J23" i="21"/>
  <c r="I23" i="21" s="1"/>
  <c r="J26" i="42"/>
  <c r="J23" i="42"/>
  <c r="O14" i="42"/>
  <c r="O10" i="42" s="1"/>
  <c r="L23" i="1" s="1"/>
  <c r="L14" i="42"/>
  <c r="Y17" i="1"/>
  <c r="I210" i="51"/>
  <c r="J45" i="60"/>
  <c r="I45" i="60" s="1"/>
  <c r="I339" i="60"/>
  <c r="I349" i="60"/>
  <c r="I38" i="60"/>
  <c r="Q28" i="60"/>
  <c r="J197" i="60"/>
  <c r="I197" i="60" s="1"/>
  <c r="I314" i="60"/>
  <c r="I54" i="62"/>
  <c r="I125" i="62"/>
  <c r="J242" i="62"/>
  <c r="I242" i="62" s="1"/>
  <c r="J200" i="62"/>
  <c r="J134" i="62"/>
  <c r="I134" i="62" s="1"/>
  <c r="J116" i="62"/>
  <c r="I116" i="62" s="1"/>
  <c r="J108" i="62"/>
  <c r="I108" i="62" s="1"/>
  <c r="J79" i="62"/>
  <c r="J56" i="62"/>
  <c r="I56" i="62" s="1"/>
  <c r="J45" i="62"/>
  <c r="I45" i="62" s="1"/>
  <c r="J23" i="62"/>
  <c r="I23" i="62" s="1"/>
  <c r="J17" i="62"/>
  <c r="I17" i="62" s="1"/>
  <c r="L14" i="62"/>
  <c r="L10" i="62" s="1"/>
  <c r="I24" i="1" s="1"/>
  <c r="I897" i="86"/>
  <c r="I901" i="86"/>
  <c r="I911" i="86"/>
  <c r="I548" i="86"/>
  <c r="I696" i="86"/>
  <c r="I801" i="86"/>
  <c r="I270" i="51"/>
  <c r="I227" i="51"/>
  <c r="L28" i="51"/>
  <c r="I191" i="51"/>
  <c r="J288" i="51"/>
  <c r="I288" i="51" s="1"/>
  <c r="J220" i="111"/>
  <c r="I220" i="111" s="1"/>
  <c r="J188" i="111"/>
  <c r="I188" i="111" s="1"/>
  <c r="J137" i="111"/>
  <c r="J99" i="111"/>
  <c r="J94" i="111"/>
  <c r="I94" i="111" s="1"/>
  <c r="J89" i="111"/>
  <c r="I89" i="111" s="1"/>
  <c r="Y15" i="1"/>
  <c r="J25" i="111"/>
  <c r="J22" i="111"/>
  <c r="I22" i="111" s="1"/>
  <c r="N18" i="90"/>
  <c r="L14" i="66"/>
  <c r="I267" i="90"/>
  <c r="M14" i="111"/>
  <c r="J17" i="111"/>
  <c r="I17" i="111" s="1"/>
  <c r="P14" i="111"/>
  <c r="J26" i="111"/>
  <c r="R20" i="61"/>
  <c r="N13" i="61"/>
  <c r="AH13" i="61" s="1"/>
  <c r="R174" i="61"/>
  <c r="R28" i="61" s="1"/>
  <c r="R276" i="61"/>
  <c r="J276" i="61" s="1"/>
  <c r="Q202" i="61"/>
  <c r="J202" i="61" s="1"/>
  <c r="AI31" i="61"/>
  <c r="N83" i="61"/>
  <c r="K14" i="61"/>
  <c r="K10" i="61" s="1"/>
  <c r="O14" i="61"/>
  <c r="O10" i="61" s="1"/>
  <c r="Q83" i="61"/>
  <c r="J22" i="66"/>
  <c r="J17" i="66"/>
  <c r="I17" i="66" s="1"/>
  <c r="X27" i="1"/>
  <c r="Q14" i="75"/>
  <c r="AI14" i="75" s="1"/>
  <c r="R20" i="58"/>
  <c r="J20" i="58" s="1"/>
  <c r="R243" i="58"/>
  <c r="J243" i="58" s="1"/>
  <c r="J165" i="58"/>
  <c r="I165" i="58" s="1"/>
  <c r="J197" i="71"/>
  <c r="I197" i="71" s="1"/>
  <c r="J173" i="71"/>
  <c r="I173" i="71" s="1"/>
  <c r="R17" i="71"/>
  <c r="J17" i="71" s="1"/>
  <c r="I17" i="71" s="1"/>
  <c r="R45" i="71"/>
  <c r="R16" i="71"/>
  <c r="J16" i="71" s="1"/>
  <c r="I16" i="71" s="1"/>
  <c r="L19" i="71"/>
  <c r="Q20" i="71"/>
  <c r="J20" i="71" s="1"/>
  <c r="M14" i="71"/>
  <c r="K14" i="71"/>
  <c r="K10" i="71" s="1"/>
  <c r="H14" i="1" s="1"/>
  <c r="O14" i="71"/>
  <c r="O10" i="71" s="1"/>
  <c r="J26" i="71"/>
  <c r="I26" i="71" s="1"/>
  <c r="J15" i="71"/>
  <c r="I15" i="71" s="1"/>
  <c r="J26" i="58"/>
  <c r="I26" i="58" s="1"/>
  <c r="N14" i="61"/>
  <c r="M14" i="58"/>
  <c r="M10" i="58" s="1"/>
  <c r="O14" i="58"/>
  <c r="O10" i="58" s="1"/>
  <c r="L25" i="1" s="1"/>
  <c r="J11" i="66"/>
  <c r="I11" i="66" s="1"/>
  <c r="M14" i="66"/>
  <c r="M10" i="66" s="1"/>
  <c r="P14" i="58"/>
  <c r="P10" i="58" s="1"/>
  <c r="L14" i="58"/>
  <c r="L10" i="58" s="1"/>
  <c r="I25" i="1" s="1"/>
  <c r="L19" i="51"/>
  <c r="R20" i="51"/>
  <c r="J20" i="51" s="1"/>
  <c r="Q16" i="51"/>
  <c r="I160" i="51"/>
  <c r="L20" i="51"/>
  <c r="I295" i="51"/>
  <c r="R15" i="51"/>
  <c r="J15" i="51" s="1"/>
  <c r="I15" i="51" s="1"/>
  <c r="J272" i="51"/>
  <c r="J250" i="51"/>
  <c r="Q166" i="51"/>
  <c r="J166" i="51" s="1"/>
  <c r="R17" i="51"/>
  <c r="J132" i="51"/>
  <c r="R16" i="51"/>
  <c r="Q98" i="51"/>
  <c r="J98" i="51" s="1"/>
  <c r="Q77" i="51"/>
  <c r="J77" i="51" s="1"/>
  <c r="J292" i="51"/>
  <c r="Q14" i="71"/>
  <c r="Q10" i="71" s="1"/>
  <c r="J25" i="71"/>
  <c r="I25" i="71" s="1"/>
  <c r="J23" i="71"/>
  <c r="J22" i="71"/>
  <c r="I22" i="71" s="1"/>
  <c r="J18" i="71"/>
  <c r="R28" i="51"/>
  <c r="Q17" i="51"/>
  <c r="J17" i="51" s="1"/>
  <c r="I17" i="51" s="1"/>
  <c r="J337" i="51"/>
  <c r="J332" i="51"/>
  <c r="I332" i="51" s="1"/>
  <c r="J322" i="51"/>
  <c r="I322" i="51" s="1"/>
  <c r="J317" i="51"/>
  <c r="I317" i="51" s="1"/>
  <c r="J308" i="51"/>
  <c r="J283" i="51"/>
  <c r="AH31" i="51"/>
  <c r="J318" i="86"/>
  <c r="I318" i="86" s="1"/>
  <c r="I277" i="75"/>
  <c r="J191" i="75"/>
  <c r="I131" i="75"/>
  <c r="I122" i="75"/>
  <c r="I137" i="75"/>
  <c r="I90" i="75"/>
  <c r="I347" i="75"/>
  <c r="J153" i="75"/>
  <c r="I68" i="75"/>
  <c r="J22" i="101"/>
  <c r="J281" i="42"/>
  <c r="I281" i="42" s="1"/>
  <c r="I317" i="42"/>
  <c r="I299" i="42"/>
  <c r="I116" i="86"/>
  <c r="I380" i="86"/>
  <c r="J105" i="61"/>
  <c r="I105" i="61" s="1"/>
  <c r="I150" i="61"/>
  <c r="I147" i="61"/>
  <c r="J49" i="61"/>
  <c r="J26" i="61"/>
  <c r="J25" i="61"/>
  <c r="I25" i="61" s="1"/>
  <c r="J23" i="61"/>
  <c r="I23" i="61" s="1"/>
  <c r="J22" i="61"/>
  <c r="I22" i="61" s="1"/>
  <c r="I30" i="60"/>
  <c r="J12" i="60"/>
  <c r="I12" i="60" s="1"/>
  <c r="M14" i="60"/>
  <c r="I313" i="60"/>
  <c r="I361" i="60"/>
  <c r="I78" i="60"/>
  <c r="J373" i="60"/>
  <c r="J368" i="60"/>
  <c r="I368" i="60" s="1"/>
  <c r="J363" i="60"/>
  <c r="J335" i="60"/>
  <c r="J325" i="60"/>
  <c r="J242" i="60"/>
  <c r="I242" i="60" s="1"/>
  <c r="I148" i="60"/>
  <c r="I342" i="60"/>
  <c r="I360" i="60"/>
  <c r="I290" i="60"/>
  <c r="I296" i="60"/>
  <c r="J431" i="60"/>
  <c r="I85" i="60"/>
  <c r="J427" i="60"/>
  <c r="I427" i="60" s="1"/>
  <c r="J357" i="60"/>
  <c r="I357" i="60" s="1"/>
  <c r="J353" i="60"/>
  <c r="I353" i="60" s="1"/>
  <c r="J321" i="60"/>
  <c r="J307" i="60"/>
  <c r="I307" i="60" s="1"/>
  <c r="J284" i="60"/>
  <c r="I284" i="60" s="1"/>
  <c r="J269" i="60"/>
  <c r="I269" i="60" s="1"/>
  <c r="J253" i="60"/>
  <c r="J239" i="60"/>
  <c r="I239" i="60" s="1"/>
  <c r="J236" i="60"/>
  <c r="J188" i="60"/>
  <c r="I188" i="60" s="1"/>
  <c r="J183" i="60"/>
  <c r="J136" i="60"/>
  <c r="I136" i="60" s="1"/>
  <c r="L28" i="60"/>
  <c r="J22" i="60"/>
  <c r="I22" i="60" s="1"/>
  <c r="I62" i="14"/>
  <c r="I313" i="14"/>
  <c r="J23" i="14"/>
  <c r="I23" i="14" s="1"/>
  <c r="J25" i="14"/>
  <c r="I211" i="90"/>
  <c r="I207" i="90"/>
  <c r="I297" i="14"/>
  <c r="I349" i="14"/>
  <c r="I272" i="14"/>
  <c r="J404" i="14"/>
  <c r="I404" i="14" s="1"/>
  <c r="J374" i="14"/>
  <c r="Y13" i="1"/>
  <c r="I248" i="14"/>
  <c r="I250" i="14"/>
  <c r="I220" i="14"/>
  <c r="J294" i="14"/>
  <c r="I294" i="14" s="1"/>
  <c r="J288" i="14"/>
  <c r="J269" i="14"/>
  <c r="I269" i="14" s="1"/>
  <c r="J244" i="14"/>
  <c r="J109" i="14"/>
  <c r="I109" i="14" s="1"/>
  <c r="X17" i="1"/>
  <c r="J18" i="111"/>
  <c r="Q14" i="111"/>
  <c r="Q10" i="111" s="1"/>
  <c r="N15" i="1" s="1"/>
  <c r="Q174" i="14"/>
  <c r="J174" i="14" s="1"/>
  <c r="Q20" i="14"/>
  <c r="Q19" i="14"/>
  <c r="R20" i="14"/>
  <c r="J20" i="14" s="1"/>
  <c r="R17" i="14"/>
  <c r="J17" i="14" s="1"/>
  <c r="I17" i="14" s="1"/>
  <c r="R19" i="14"/>
  <c r="I446" i="14"/>
  <c r="I106" i="14"/>
  <c r="I291" i="14"/>
  <c r="R16" i="14"/>
  <c r="O12" i="14"/>
  <c r="AG13" i="14" s="1"/>
  <c r="N16" i="14"/>
  <c r="N14" i="14" s="1"/>
  <c r="Q12" i="14"/>
  <c r="Q13" i="14"/>
  <c r="AH14" i="14" s="1"/>
  <c r="J377" i="14"/>
  <c r="I377" i="14" s="1"/>
  <c r="R341" i="14"/>
  <c r="J341" i="14" s="1"/>
  <c r="I341" i="14" s="1"/>
  <c r="J330" i="14"/>
  <c r="I330" i="14" s="1"/>
  <c r="J320" i="14"/>
  <c r="I320" i="14" s="1"/>
  <c r="J314" i="14"/>
  <c r="I314" i="14" s="1"/>
  <c r="J308" i="14"/>
  <c r="J298" i="14"/>
  <c r="I298" i="14" s="1"/>
  <c r="J234" i="14"/>
  <c r="N213" i="14"/>
  <c r="J213" i="14" s="1"/>
  <c r="J164" i="14"/>
  <c r="I164" i="14" s="1"/>
  <c r="O28" i="14"/>
  <c r="L19" i="14"/>
  <c r="J46" i="14"/>
  <c r="I46" i="14" s="1"/>
  <c r="J16" i="101"/>
  <c r="I16" i="101" s="1"/>
  <c r="X28" i="1"/>
  <c r="J25" i="101"/>
  <c r="J25" i="21"/>
  <c r="J18" i="21"/>
  <c r="J22" i="21"/>
  <c r="J17" i="59"/>
  <c r="I17" i="59" s="1"/>
  <c r="Q14" i="59"/>
  <c r="O14" i="51"/>
  <c r="O10" i="51" s="1"/>
  <c r="L18" i="1" s="1"/>
  <c r="X18" i="1"/>
  <c r="J18" i="51"/>
  <c r="J25" i="51"/>
  <c r="I25" i="51" s="1"/>
  <c r="Q14" i="58"/>
  <c r="J24" i="58"/>
  <c r="J18" i="58"/>
  <c r="N115" i="61"/>
  <c r="N28" i="61" s="1"/>
  <c r="N12" i="61"/>
  <c r="AG13" i="61" s="1"/>
  <c r="Q12" i="61"/>
  <c r="AG14" i="61" s="1"/>
  <c r="I248" i="61"/>
  <c r="Q20" i="61"/>
  <c r="J20" i="61" s="1"/>
  <c r="I243" i="61"/>
  <c r="Q13" i="61"/>
  <c r="J13" i="61" s="1"/>
  <c r="I168" i="61"/>
  <c r="I199" i="61"/>
  <c r="Q15" i="61"/>
  <c r="Q14" i="61" s="1"/>
  <c r="Q19" i="61"/>
  <c r="J19" i="61" s="1"/>
  <c r="J77" i="61"/>
  <c r="I77" i="61" s="1"/>
  <c r="P14" i="61"/>
  <c r="J18" i="61"/>
  <c r="J24" i="59"/>
  <c r="N14" i="59"/>
  <c r="N10" i="59" s="1"/>
  <c r="K17" i="1" s="1"/>
  <c r="J22" i="14"/>
  <c r="I22" i="14" s="1"/>
  <c r="R24" i="14"/>
  <c r="J24" i="14" s="1"/>
  <c r="I24" i="14" s="1"/>
  <c r="J382" i="14"/>
  <c r="I382" i="14" s="1"/>
  <c r="J201" i="14"/>
  <c r="N19" i="14"/>
  <c r="N13" i="14"/>
  <c r="AH13" i="14" s="1"/>
  <c r="L13" i="14"/>
  <c r="Q15" i="14"/>
  <c r="Q14" i="14" s="1"/>
  <c r="R13" i="14"/>
  <c r="L20" i="14"/>
  <c r="J26" i="59"/>
  <c r="I26" i="59" s="1"/>
  <c r="J26" i="41"/>
  <c r="I26" i="41" s="1"/>
  <c r="J25" i="41"/>
  <c r="I25" i="41" s="1"/>
  <c r="J23" i="41"/>
  <c r="J22" i="41"/>
  <c r="I22" i="41" s="1"/>
  <c r="Q14" i="41"/>
  <c r="L14" i="41"/>
  <c r="L10" i="41" s="1"/>
  <c r="I21" i="1" s="1"/>
  <c r="J22" i="58"/>
  <c r="J16" i="58"/>
  <c r="I16" i="58" s="1"/>
  <c r="Q13" i="90"/>
  <c r="AH14" i="90" s="1"/>
  <c r="R57" i="90"/>
  <c r="I289" i="90"/>
  <c r="I360" i="90"/>
  <c r="I411" i="90"/>
  <c r="R20" i="90"/>
  <c r="R394" i="90"/>
  <c r="J394" i="90" s="1"/>
  <c r="Q231" i="90"/>
  <c r="J231" i="90" s="1"/>
  <c r="I231" i="90" s="1"/>
  <c r="Q185" i="90"/>
  <c r="J185" i="90" s="1"/>
  <c r="Q153" i="90"/>
  <c r="J153" i="90" s="1"/>
  <c r="L20" i="90"/>
  <c r="R16" i="90"/>
  <c r="J16" i="90" s="1"/>
  <c r="I16" i="90" s="1"/>
  <c r="Q12" i="90"/>
  <c r="AG14" i="90" s="1"/>
  <c r="P14" i="42"/>
  <c r="J22" i="42"/>
  <c r="J17" i="42"/>
  <c r="I17" i="42" s="1"/>
  <c r="N14" i="42"/>
  <c r="J18" i="42"/>
  <c r="J16" i="42"/>
  <c r="I16" i="42" s="1"/>
  <c r="J153" i="79"/>
  <c r="N13" i="79"/>
  <c r="AH13" i="79" s="1"/>
  <c r="O12" i="79"/>
  <c r="AG13" i="79" s="1"/>
  <c r="R15" i="79"/>
  <c r="N15" i="79"/>
  <c r="Q205" i="111"/>
  <c r="J105" i="111"/>
  <c r="I105" i="111" s="1"/>
  <c r="N148" i="111"/>
  <c r="R24" i="111"/>
  <c r="J254" i="111"/>
  <c r="I254" i="111" s="1"/>
  <c r="R15" i="111"/>
  <c r="R167" i="111"/>
  <c r="Q148" i="111"/>
  <c r="N80" i="111"/>
  <c r="R16" i="111"/>
  <c r="J16" i="111" s="1"/>
  <c r="I16" i="111" s="1"/>
  <c r="R223" i="111"/>
  <c r="J223" i="111" s="1"/>
  <c r="I223" i="111" s="1"/>
  <c r="N205" i="111"/>
  <c r="R13" i="111"/>
  <c r="AH15" i="111" s="1"/>
  <c r="R179" i="111"/>
  <c r="J179" i="111" s="1"/>
  <c r="I179" i="111" s="1"/>
  <c r="Q80" i="111"/>
  <c r="L13" i="111"/>
  <c r="J19" i="111"/>
  <c r="J20" i="111"/>
  <c r="J19" i="71"/>
  <c r="O14" i="90"/>
  <c r="O10" i="90" s="1"/>
  <c r="L9" i="1" s="1"/>
  <c r="L14" i="90"/>
  <c r="O14" i="86"/>
  <c r="O10" i="86" s="1"/>
  <c r="L22" i="1" s="1"/>
  <c r="M346" i="44"/>
  <c r="M28" i="44" s="1"/>
  <c r="R17" i="44"/>
  <c r="R14" i="44" s="1"/>
  <c r="I186" i="44"/>
  <c r="N108" i="44"/>
  <c r="J108" i="44" s="1"/>
  <c r="J239" i="14"/>
  <c r="I239" i="14" s="1"/>
  <c r="X13" i="1"/>
  <c r="Y25" i="1"/>
  <c r="J66" i="44"/>
  <c r="I66" i="44" s="1"/>
  <c r="I758" i="86"/>
  <c r="Y10" i="86"/>
  <c r="V22" i="1" s="1"/>
  <c r="Z10" i="86"/>
  <c r="W22" i="1" s="1"/>
  <c r="N18" i="86"/>
  <c r="J18" i="86" s="1"/>
  <c r="T10" i="86"/>
  <c r="Q22" i="1" s="1"/>
  <c r="J176" i="86"/>
  <c r="I176" i="86" s="1"/>
  <c r="N130" i="86"/>
  <c r="J666" i="86"/>
  <c r="N258" i="86"/>
  <c r="J258" i="86" s="1"/>
  <c r="R160" i="86"/>
  <c r="Q12" i="86"/>
  <c r="AG14" i="86" s="1"/>
  <c r="M20" i="86"/>
  <c r="I800" i="86"/>
  <c r="I182" i="86"/>
  <c r="I581" i="86"/>
  <c r="I114" i="86"/>
  <c r="I788" i="86"/>
  <c r="I882" i="86"/>
  <c r="I664" i="86"/>
  <c r="N15" i="86"/>
  <c r="N14" i="86" s="1"/>
  <c r="R13" i="86"/>
  <c r="AH15" i="86" s="1"/>
  <c r="M834" i="86"/>
  <c r="J834" i="86" s="1"/>
  <c r="J775" i="86"/>
  <c r="R737" i="86"/>
  <c r="J737" i="86" s="1"/>
  <c r="J624" i="86"/>
  <c r="I624" i="86" s="1"/>
  <c r="R596" i="86"/>
  <c r="Q574" i="86"/>
  <c r="J574" i="86" s="1"/>
  <c r="R570" i="86"/>
  <c r="J570" i="86" s="1"/>
  <c r="L24" i="86"/>
  <c r="I685" i="86"/>
  <c r="J481" i="86"/>
  <c r="I481" i="86" s="1"/>
  <c r="J436" i="86"/>
  <c r="I436" i="86" s="1"/>
  <c r="Q294" i="86"/>
  <c r="R283" i="86"/>
  <c r="I458" i="86"/>
  <c r="I289" i="86"/>
  <c r="I291" i="86"/>
  <c r="I539" i="86"/>
  <c r="I443" i="86"/>
  <c r="I503" i="86"/>
  <c r="Q19" i="86"/>
  <c r="N508" i="86"/>
  <c r="Q491" i="86"/>
  <c r="J491" i="86" s="1"/>
  <c r="N453" i="86"/>
  <c r="J453" i="86" s="1"/>
  <c r="Q237" i="86"/>
  <c r="Q160" i="86"/>
  <c r="Q130" i="86"/>
  <c r="J130" i="86" s="1"/>
  <c r="J95" i="86"/>
  <c r="I95" i="86" s="1"/>
  <c r="Q89" i="86"/>
  <c r="J89" i="86" s="1"/>
  <c r="N89" i="86"/>
  <c r="M45" i="86"/>
  <c r="Q45" i="86"/>
  <c r="N12" i="86"/>
  <c r="J42" i="86"/>
  <c r="N20" i="44"/>
  <c r="J20" i="44" s="1"/>
  <c r="I124" i="44"/>
  <c r="Q508" i="86"/>
  <c r="J497" i="86"/>
  <c r="I497" i="86" s="1"/>
  <c r="J689" i="86"/>
  <c r="I689" i="86" s="1"/>
  <c r="Q15" i="86"/>
  <c r="I638" i="86"/>
  <c r="I279" i="86"/>
  <c r="I248" i="86"/>
  <c r="Q20" i="86"/>
  <c r="N20" i="86"/>
  <c r="L12" i="86"/>
  <c r="Q714" i="86"/>
  <c r="R658" i="86"/>
  <c r="J658" i="86" s="1"/>
  <c r="I658" i="86" s="1"/>
  <c r="J541" i="86"/>
  <c r="I541" i="86" s="1"/>
  <c r="W10" i="86"/>
  <c r="T22" i="1" s="1"/>
  <c r="N415" i="86"/>
  <c r="J415" i="86" s="1"/>
  <c r="I415" i="86" s="1"/>
  <c r="N385" i="86"/>
  <c r="Q16" i="86"/>
  <c r="M345" i="86"/>
  <c r="X10" i="86"/>
  <c r="U22" i="1" s="1"/>
  <c r="N294" i="86"/>
  <c r="R16" i="86"/>
  <c r="J16" i="86" s="1"/>
  <c r="I16" i="86" s="1"/>
  <c r="K28" i="86"/>
  <c r="J185" i="86"/>
  <c r="I185" i="86" s="1"/>
  <c r="N74" i="86"/>
  <c r="J74" i="86" s="1"/>
  <c r="N19" i="86"/>
  <c r="M14" i="86"/>
  <c r="K14" i="86"/>
  <c r="K10" i="86" s="1"/>
  <c r="H22" i="1" s="1"/>
  <c r="L13" i="86"/>
  <c r="N79" i="86"/>
  <c r="J79" i="86" s="1"/>
  <c r="R20" i="86"/>
  <c r="J138" i="86"/>
  <c r="I138" i="86" s="1"/>
  <c r="I651" i="86"/>
  <c r="J118" i="86"/>
  <c r="I118" i="86" s="1"/>
  <c r="I906" i="86"/>
  <c r="I855" i="86"/>
  <c r="I547" i="86"/>
  <c r="I223" i="86"/>
  <c r="I398" i="86"/>
  <c r="I406" i="86"/>
  <c r="M19" i="86"/>
  <c r="I35" i="86"/>
  <c r="I101" i="86"/>
  <c r="I877" i="86"/>
  <c r="R19" i="86"/>
  <c r="R17" i="86"/>
  <c r="R15" i="86"/>
  <c r="Q13" i="86"/>
  <c r="AH14" i="86" s="1"/>
  <c r="N13" i="86"/>
  <c r="AH13" i="86" s="1"/>
  <c r="L19" i="86"/>
  <c r="Q345" i="86"/>
  <c r="I288" i="86"/>
  <c r="K18" i="86"/>
  <c r="J25" i="86"/>
  <c r="L14" i="86"/>
  <c r="P14" i="86"/>
  <c r="J26" i="86"/>
  <c r="J22" i="86"/>
  <c r="J71" i="75"/>
  <c r="I71" i="75" s="1"/>
  <c r="J36" i="75"/>
  <c r="I507" i="75"/>
  <c r="I91" i="75"/>
  <c r="I107" i="75"/>
  <c r="I121" i="75"/>
  <c r="J207" i="75"/>
  <c r="I130" i="75"/>
  <c r="I118" i="75"/>
  <c r="I89" i="75"/>
  <c r="J101" i="101"/>
  <c r="I101" i="101" s="1"/>
  <c r="J74" i="101"/>
  <c r="J54" i="101"/>
  <c r="I54" i="101" s="1"/>
  <c r="J339" i="21"/>
  <c r="K28" i="43"/>
  <c r="J202" i="43"/>
  <c r="I202" i="43" s="1"/>
  <c r="J142" i="43"/>
  <c r="I142" i="43" s="1"/>
  <c r="I165" i="43"/>
  <c r="J15" i="43"/>
  <c r="I15" i="43" s="1"/>
  <c r="J65" i="43"/>
  <c r="I65" i="43" s="1"/>
  <c r="J18" i="43"/>
  <c r="I200" i="58"/>
  <c r="I89" i="58"/>
  <c r="I50" i="58"/>
  <c r="J189" i="58"/>
  <c r="I189" i="58" s="1"/>
  <c r="J177" i="58"/>
  <c r="I177" i="58" s="1"/>
  <c r="J154" i="58"/>
  <c r="I154" i="58" s="1"/>
  <c r="J146" i="58"/>
  <c r="J63" i="58"/>
  <c r="I63" i="58" s="1"/>
  <c r="J54" i="58"/>
  <c r="I54" i="58" s="1"/>
  <c r="J30" i="58"/>
  <c r="J25" i="58"/>
  <c r="J23" i="58"/>
  <c r="I51" i="62"/>
  <c r="J72" i="62"/>
  <c r="I330" i="42"/>
  <c r="I327" i="42"/>
  <c r="R14" i="42"/>
  <c r="J219" i="42"/>
  <c r="I219" i="42" s="1"/>
  <c r="I348" i="42"/>
  <c r="R28" i="42"/>
  <c r="J400" i="42"/>
  <c r="I382" i="42"/>
  <c r="J427" i="42"/>
  <c r="I427" i="42" s="1"/>
  <c r="J386" i="42"/>
  <c r="J378" i="42"/>
  <c r="J338" i="42"/>
  <c r="J301" i="42"/>
  <c r="I301" i="42" s="1"/>
  <c r="J273" i="42"/>
  <c r="J262" i="42"/>
  <c r="J252" i="42"/>
  <c r="J106" i="42"/>
  <c r="I106" i="42" s="1"/>
  <c r="J73" i="42"/>
  <c r="I73" i="42" s="1"/>
  <c r="I425" i="42"/>
  <c r="I317" i="86"/>
  <c r="I798" i="86"/>
  <c r="I753" i="86"/>
  <c r="L28" i="86"/>
  <c r="J730" i="86"/>
  <c r="I159" i="86"/>
  <c r="J596" i="86"/>
  <c r="I596" i="86" s="1"/>
  <c r="I280" i="86"/>
  <c r="I292" i="86"/>
  <c r="I700" i="86"/>
  <c r="I610" i="86"/>
  <c r="J283" i="86"/>
  <c r="J864" i="86"/>
  <c r="J822" i="86"/>
  <c r="J754" i="86"/>
  <c r="I754" i="86" s="1"/>
  <c r="J723" i="86"/>
  <c r="I723" i="86" s="1"/>
  <c r="J709" i="86"/>
  <c r="I709" i="86" s="1"/>
  <c r="J702" i="86"/>
  <c r="J697" i="86"/>
  <c r="I697" i="86" s="1"/>
  <c r="J644" i="86"/>
  <c r="I644" i="86" s="1"/>
  <c r="J603" i="86"/>
  <c r="I603" i="86" s="1"/>
  <c r="J591" i="86"/>
  <c r="I591" i="86" s="1"/>
  <c r="J553" i="86"/>
  <c r="J526" i="86"/>
  <c r="J520" i="86"/>
  <c r="I520" i="86" s="1"/>
  <c r="J460" i="86"/>
  <c r="I460" i="86" s="1"/>
  <c r="J450" i="86"/>
  <c r="J444" i="86"/>
  <c r="J429" i="86"/>
  <c r="J407" i="86"/>
  <c r="J275" i="86"/>
  <c r="I258" i="86"/>
  <c r="J245" i="86"/>
  <c r="J155" i="86"/>
  <c r="J37" i="86"/>
  <c r="I37" i="86" s="1"/>
  <c r="J17" i="41"/>
  <c r="I17" i="41" s="1"/>
  <c r="I111" i="41"/>
  <c r="I289" i="41"/>
  <c r="J98" i="41"/>
  <c r="I98" i="41" s="1"/>
  <c r="I287" i="61"/>
  <c r="I126" i="61"/>
  <c r="J17" i="61"/>
  <c r="I17" i="61" s="1"/>
  <c r="J71" i="61"/>
  <c r="I234" i="61"/>
  <c r="I81" i="61"/>
  <c r="J186" i="61"/>
  <c r="I186" i="61" s="1"/>
  <c r="I301" i="61"/>
  <c r="I166" i="61"/>
  <c r="I251" i="61"/>
  <c r="J226" i="61"/>
  <c r="J139" i="61"/>
  <c r="Y20" i="1"/>
  <c r="J270" i="61"/>
  <c r="I270" i="61" s="1"/>
  <c r="J252" i="61"/>
  <c r="N24" i="61"/>
  <c r="J221" i="61"/>
  <c r="J194" i="61"/>
  <c r="J169" i="61"/>
  <c r="J134" i="61"/>
  <c r="I134" i="61" s="1"/>
  <c r="R24" i="61"/>
  <c r="R24" i="169"/>
  <c r="Y19" i="1"/>
  <c r="N28" i="169"/>
  <c r="R28" i="169"/>
  <c r="J49" i="169"/>
  <c r="J19" i="169"/>
  <c r="I135" i="169"/>
  <c r="J217" i="51"/>
  <c r="I217" i="51" s="1"/>
  <c r="I30" i="51"/>
  <c r="J110" i="60"/>
  <c r="J71" i="60"/>
  <c r="I71" i="60" s="1"/>
  <c r="J171" i="60"/>
  <c r="I171" i="60" s="1"/>
  <c r="J49" i="60"/>
  <c r="I49" i="60" s="1"/>
  <c r="I112" i="71"/>
  <c r="I164" i="71"/>
  <c r="I190" i="71"/>
  <c r="I26" i="14"/>
  <c r="J350" i="14"/>
  <c r="I350" i="14" s="1"/>
  <c r="J224" i="14"/>
  <c r="I224" i="14" s="1"/>
  <c r="L28" i="14"/>
  <c r="I37" i="14"/>
  <c r="I301" i="14"/>
  <c r="R24" i="66"/>
  <c r="J283" i="66"/>
  <c r="I283" i="66" s="1"/>
  <c r="J245" i="66"/>
  <c r="J235" i="66"/>
  <c r="I235" i="66" s="1"/>
  <c r="J210" i="66"/>
  <c r="I210" i="66" s="1"/>
  <c r="J194" i="66"/>
  <c r="I194" i="66" s="1"/>
  <c r="J145" i="66"/>
  <c r="I145" i="66" s="1"/>
  <c r="J23" i="66"/>
  <c r="I23" i="66" s="1"/>
  <c r="I262" i="90"/>
  <c r="I413" i="90"/>
  <c r="I368" i="90"/>
  <c r="J355" i="90"/>
  <c r="I355" i="90" s="1"/>
  <c r="J352" i="90"/>
  <c r="J310" i="90"/>
  <c r="J305" i="90"/>
  <c r="I305" i="90" s="1"/>
  <c r="J301" i="90"/>
  <c r="J296" i="90"/>
  <c r="J284" i="90"/>
  <c r="I284" i="90" s="1"/>
  <c r="J283" i="90"/>
  <c r="I283" i="90" s="1"/>
  <c r="J258" i="90"/>
  <c r="I258" i="90" s="1"/>
  <c r="J219" i="90"/>
  <c r="J87" i="90"/>
  <c r="I87" i="90" s="1"/>
  <c r="I71" i="90"/>
  <c r="J26" i="90"/>
  <c r="I26" i="90" s="1"/>
  <c r="J25" i="90"/>
  <c r="I47" i="90"/>
  <c r="I42" i="90"/>
  <c r="J22" i="90"/>
  <c r="I22" i="90" s="1"/>
  <c r="P14" i="90"/>
  <c r="M14" i="90"/>
  <c r="K14" i="90"/>
  <c r="K10" i="90" s="1"/>
  <c r="H9" i="1" s="1"/>
  <c r="K18" i="90"/>
  <c r="Q14" i="90"/>
  <c r="J23" i="90"/>
  <c r="J313" i="75"/>
  <c r="I313" i="75" s="1"/>
  <c r="J339" i="75"/>
  <c r="I339" i="75" s="1"/>
  <c r="J17" i="75"/>
  <c r="I17" i="75" s="1"/>
  <c r="J423" i="75"/>
  <c r="I423" i="75" s="1"/>
  <c r="J245" i="75"/>
  <c r="I245" i="75" s="1"/>
  <c r="J395" i="75"/>
  <c r="J281" i="75"/>
  <c r="I281" i="75" s="1"/>
  <c r="I511" i="75"/>
  <c r="L28" i="75"/>
  <c r="Q22" i="75"/>
  <c r="J164" i="75"/>
  <c r="I469" i="75"/>
  <c r="J261" i="75"/>
  <c r="I480" i="75"/>
  <c r="J81" i="75"/>
  <c r="J94" i="75"/>
  <c r="I94" i="75" s="1"/>
  <c r="J462" i="75"/>
  <c r="J235" i="75"/>
  <c r="J13" i="75"/>
  <c r="I520" i="75"/>
  <c r="I513" i="75"/>
  <c r="J502" i="75"/>
  <c r="J327" i="75"/>
  <c r="I327" i="75" s="1"/>
  <c r="J369" i="75"/>
  <c r="J482" i="75"/>
  <c r="J521" i="75"/>
  <c r="I521" i="75" s="1"/>
  <c r="J491" i="75"/>
  <c r="I491" i="75" s="1"/>
  <c r="J486" i="75"/>
  <c r="J475" i="75"/>
  <c r="J455" i="75"/>
  <c r="J447" i="75"/>
  <c r="J384" i="75"/>
  <c r="I384" i="75" s="1"/>
  <c r="J354" i="75"/>
  <c r="I354" i="75" s="1"/>
  <c r="J320" i="75"/>
  <c r="I177" i="75"/>
  <c r="I512" i="75"/>
  <c r="I217" i="75"/>
  <c r="J299" i="75"/>
  <c r="J450" i="75"/>
  <c r="J293" i="75"/>
  <c r="I293" i="75" s="1"/>
  <c r="J252" i="75"/>
  <c r="I252" i="75" s="1"/>
  <c r="J239" i="75"/>
  <c r="X29" i="1"/>
  <c r="J494" i="75"/>
  <c r="I494" i="75" s="1"/>
  <c r="J187" i="75"/>
  <c r="I187" i="75" s="1"/>
  <c r="J181" i="75"/>
  <c r="J170" i="75"/>
  <c r="J112" i="75"/>
  <c r="I141" i="75"/>
  <c r="I473" i="75"/>
  <c r="I129" i="75"/>
  <c r="I514" i="75"/>
  <c r="I508" i="75"/>
  <c r="I120" i="75"/>
  <c r="I126" i="75"/>
  <c r="I526" i="75"/>
  <c r="N24" i="75"/>
  <c r="I454" i="75"/>
  <c r="I80" i="75"/>
  <c r="I345" i="75"/>
  <c r="I146" i="75"/>
  <c r="Q28" i="75"/>
  <c r="J15" i="101"/>
  <c r="I15" i="101" s="1"/>
  <c r="Q14" i="101"/>
  <c r="R14" i="101"/>
  <c r="AI15" i="101" s="1"/>
  <c r="Y28" i="1"/>
  <c r="J266" i="101"/>
  <c r="I266" i="101" s="1"/>
  <c r="J26" i="101"/>
  <c r="J237" i="101"/>
  <c r="I237" i="101" s="1"/>
  <c r="J234" i="101"/>
  <c r="J216" i="101"/>
  <c r="J187" i="101"/>
  <c r="J179" i="101"/>
  <c r="I179" i="101" s="1"/>
  <c r="J168" i="101"/>
  <c r="I168" i="101" s="1"/>
  <c r="J156" i="101"/>
  <c r="J144" i="101"/>
  <c r="I144" i="101" s="1"/>
  <c r="I37" i="101"/>
  <c r="J159" i="101"/>
  <c r="Q10" i="101"/>
  <c r="N28" i="1" s="1"/>
  <c r="R28" i="101"/>
  <c r="I187" i="101"/>
  <c r="J19" i="101"/>
  <c r="J124" i="101"/>
  <c r="J259" i="101"/>
  <c r="I259" i="101" s="1"/>
  <c r="J148" i="101"/>
  <c r="I148" i="101" s="1"/>
  <c r="N28" i="101"/>
  <c r="J97" i="101"/>
  <c r="J78" i="101"/>
  <c r="J71" i="101"/>
  <c r="J18" i="101"/>
  <c r="K14" i="101"/>
  <c r="K10" i="101" s="1"/>
  <c r="H28" i="1" s="1"/>
  <c r="O14" i="101"/>
  <c r="O10" i="101" s="1"/>
  <c r="M10" i="101"/>
  <c r="L24" i="101"/>
  <c r="R24" i="101"/>
  <c r="P10" i="101"/>
  <c r="J272" i="101"/>
  <c r="I176" i="101"/>
  <c r="I99" i="21"/>
  <c r="I142" i="21"/>
  <c r="I146" i="21"/>
  <c r="I163" i="21"/>
  <c r="J359" i="21"/>
  <c r="I359" i="21" s="1"/>
  <c r="J169" i="21"/>
  <c r="I169" i="21" s="1"/>
  <c r="I134" i="21"/>
  <c r="I165" i="21"/>
  <c r="I176" i="21"/>
  <c r="J333" i="21"/>
  <c r="I333" i="21" s="1"/>
  <c r="I364" i="21"/>
  <c r="I234" i="21"/>
  <c r="I248" i="21"/>
  <c r="I230" i="21"/>
  <c r="M28" i="21"/>
  <c r="I148" i="21"/>
  <c r="I161" i="21"/>
  <c r="I240" i="21"/>
  <c r="I307" i="21"/>
  <c r="J88" i="21"/>
  <c r="I87" i="21"/>
  <c r="I113" i="21"/>
  <c r="I114" i="21"/>
  <c r="J157" i="21"/>
  <c r="I157" i="21" s="1"/>
  <c r="J150" i="21"/>
  <c r="J130" i="21"/>
  <c r="J102" i="21"/>
  <c r="J222" i="21"/>
  <c r="I222" i="21" s="1"/>
  <c r="P14" i="21"/>
  <c r="P10" i="21" s="1"/>
  <c r="I173" i="21"/>
  <c r="I150" i="21"/>
  <c r="Y27" i="1"/>
  <c r="I355" i="21"/>
  <c r="J414" i="21"/>
  <c r="J260" i="21"/>
  <c r="I260" i="21" s="1"/>
  <c r="J79" i="21"/>
  <c r="I79" i="21" s="1"/>
  <c r="J68" i="21"/>
  <c r="I68" i="21" s="1"/>
  <c r="I312" i="21"/>
  <c r="I282" i="21"/>
  <c r="I365" i="21"/>
  <c r="I106" i="21"/>
  <c r="I111" i="21"/>
  <c r="J194" i="43"/>
  <c r="N10" i="43"/>
  <c r="K26" i="1" s="1"/>
  <c r="J168" i="43"/>
  <c r="I168" i="43" s="1"/>
  <c r="J103" i="43"/>
  <c r="I103" i="43" s="1"/>
  <c r="J48" i="43"/>
  <c r="I48" i="43" s="1"/>
  <c r="J26" i="43"/>
  <c r="J25" i="43"/>
  <c r="J23" i="43"/>
  <c r="J13" i="43"/>
  <c r="J172" i="43"/>
  <c r="I39" i="43"/>
  <c r="I160" i="43"/>
  <c r="I188" i="43"/>
  <c r="I229" i="43"/>
  <c r="K10" i="43"/>
  <c r="H26" i="1" s="1"/>
  <c r="J19" i="43"/>
  <c r="J20" i="43"/>
  <c r="J13" i="58"/>
  <c r="J12" i="58"/>
  <c r="X25" i="1"/>
  <c r="J160" i="58"/>
  <c r="I160" i="58" s="1"/>
  <c r="J124" i="58"/>
  <c r="I124" i="58" s="1"/>
  <c r="J98" i="58"/>
  <c r="I98" i="58" s="1"/>
  <c r="I30" i="58"/>
  <c r="I205" i="62"/>
  <c r="I289" i="62"/>
  <c r="I157" i="62"/>
  <c r="J337" i="62"/>
  <c r="J320" i="62"/>
  <c r="I320" i="62" s="1"/>
  <c r="J313" i="62"/>
  <c r="I313" i="62" s="1"/>
  <c r="J306" i="62"/>
  <c r="I306" i="62" s="1"/>
  <c r="J279" i="62"/>
  <c r="I279" i="62" s="1"/>
  <c r="M14" i="62"/>
  <c r="M10" i="62" s="1"/>
  <c r="J24" i="1" s="1"/>
  <c r="P14" i="62"/>
  <c r="P10" i="62" s="1"/>
  <c r="M24" i="1" s="1"/>
  <c r="I113" i="62"/>
  <c r="J18" i="62"/>
  <c r="N24" i="62"/>
  <c r="R22" i="62"/>
  <c r="R14" i="62"/>
  <c r="AI15" i="62" s="1"/>
  <c r="J19" i="62"/>
  <c r="J214" i="62"/>
  <c r="J211" i="62"/>
  <c r="J191" i="62"/>
  <c r="J183" i="62"/>
  <c r="J166" i="62"/>
  <c r="I166" i="62" s="1"/>
  <c r="J159" i="62"/>
  <c r="J153" i="62"/>
  <c r="J145" i="62"/>
  <c r="I145" i="62" s="1"/>
  <c r="J26" i="62"/>
  <c r="I26" i="62" s="1"/>
  <c r="J16" i="62"/>
  <c r="I16" i="62" s="1"/>
  <c r="K14" i="62"/>
  <c r="K10" i="62" s="1"/>
  <c r="H24" i="1" s="1"/>
  <c r="I337" i="62"/>
  <c r="I85" i="62"/>
  <c r="I139" i="62"/>
  <c r="I124" i="62"/>
  <c r="I35" i="62"/>
  <c r="I107" i="62"/>
  <c r="I123" i="62"/>
  <c r="I174" i="62"/>
  <c r="I199" i="62"/>
  <c r="I241" i="62"/>
  <c r="Q14" i="62"/>
  <c r="J264" i="62"/>
  <c r="J238" i="62"/>
  <c r="J25" i="62"/>
  <c r="N10" i="42"/>
  <c r="K23" i="1" s="1"/>
  <c r="I347" i="42"/>
  <c r="I386" i="42"/>
  <c r="K10" i="42"/>
  <c r="H23" i="1" s="1"/>
  <c r="I343" i="42"/>
  <c r="I329" i="42"/>
  <c r="I328" i="42"/>
  <c r="I300" i="42"/>
  <c r="I318" i="42"/>
  <c r="I316" i="42"/>
  <c r="J15" i="42"/>
  <c r="I15" i="42" s="1"/>
  <c r="Y23" i="1"/>
  <c r="J30" i="42"/>
  <c r="J123" i="42"/>
  <c r="X23" i="1"/>
  <c r="J12" i="42"/>
  <c r="J13" i="42"/>
  <c r="I355" i="42"/>
  <c r="I359" i="42"/>
  <c r="I361" i="42"/>
  <c r="I373" i="42"/>
  <c r="J477" i="42"/>
  <c r="J461" i="42"/>
  <c r="I461" i="42" s="1"/>
  <c r="J393" i="42"/>
  <c r="I393" i="42" s="1"/>
  <c r="J366" i="42"/>
  <c r="J344" i="42"/>
  <c r="J331" i="42"/>
  <c r="J321" i="42"/>
  <c r="I321" i="42" s="1"/>
  <c r="J312" i="42"/>
  <c r="J306" i="42"/>
  <c r="J157" i="42"/>
  <c r="J117" i="42"/>
  <c r="N25" i="42"/>
  <c r="J25" i="42" s="1"/>
  <c r="J81" i="42"/>
  <c r="J19" i="42"/>
  <c r="I101" i="42"/>
  <c r="I342" i="42"/>
  <c r="N28" i="42"/>
  <c r="I289" i="42"/>
  <c r="Q14" i="42"/>
  <c r="I267" i="42"/>
  <c r="N24" i="42"/>
  <c r="I381" i="42"/>
  <c r="J374" i="42"/>
  <c r="J295" i="42"/>
  <c r="I845" i="86"/>
  <c r="I666" i="86"/>
  <c r="I500" i="86"/>
  <c r="I517" i="86"/>
  <c r="I330" i="86"/>
  <c r="I363" i="86"/>
  <c r="I344" i="86"/>
  <c r="I880" i="86"/>
  <c r="I551" i="86"/>
  <c r="I264" i="86"/>
  <c r="I301" i="86"/>
  <c r="I903" i="86"/>
  <c r="J469" i="86"/>
  <c r="I799" i="86"/>
  <c r="I889" i="86"/>
  <c r="I781" i="86"/>
  <c r="I765" i="86"/>
  <c r="J488" i="86"/>
  <c r="I488" i="86" s="1"/>
  <c r="N24" i="86"/>
  <c r="I42" i="86"/>
  <c r="I413" i="86"/>
  <c r="I771" i="86"/>
  <c r="I154" i="86"/>
  <c r="I316" i="86"/>
  <c r="J921" i="86"/>
  <c r="I921" i="86" s="1"/>
  <c r="J915" i="86"/>
  <c r="J886" i="86"/>
  <c r="I886" i="86" s="1"/>
  <c r="J848" i="86"/>
  <c r="J385" i="86"/>
  <c r="I385" i="86" s="1"/>
  <c r="J220" i="86"/>
  <c r="J215" i="86"/>
  <c r="I215" i="86" s="1"/>
  <c r="J193" i="86"/>
  <c r="I193" i="86" s="1"/>
  <c r="J254" i="86"/>
  <c r="I254" i="86" s="1"/>
  <c r="I74" i="86"/>
  <c r="I453" i="86"/>
  <c r="I681" i="86"/>
  <c r="I783" i="86"/>
  <c r="I615" i="86"/>
  <c r="I491" i="86"/>
  <c r="I860" i="86"/>
  <c r="I226" i="86"/>
  <c r="J237" i="86"/>
  <c r="J160" i="86"/>
  <c r="I414" i="86"/>
  <c r="I562" i="86"/>
  <c r="I595" i="86"/>
  <c r="I767" i="86"/>
  <c r="J794" i="86"/>
  <c r="J791" i="86"/>
  <c r="J778" i="86"/>
  <c r="J641" i="86"/>
  <c r="J630" i="86"/>
  <c r="J600" i="86"/>
  <c r="I600" i="86" s="1"/>
  <c r="J583" i="86"/>
  <c r="J563" i="86"/>
  <c r="J532" i="86"/>
  <c r="J422" i="86"/>
  <c r="J412" i="86"/>
  <c r="J249" i="86"/>
  <c r="J230" i="86"/>
  <c r="J23" i="86"/>
  <c r="I70" i="86"/>
  <c r="I30" i="86"/>
  <c r="I204" i="86"/>
  <c r="I816" i="86"/>
  <c r="I813" i="86"/>
  <c r="I809" i="86"/>
  <c r="I805" i="86"/>
  <c r="I669" i="86"/>
  <c r="I665" i="86"/>
  <c r="I649" i="86"/>
  <c r="I637" i="86"/>
  <c r="I622" i="86"/>
  <c r="I607" i="86"/>
  <c r="I582" i="86"/>
  <c r="I558" i="86"/>
  <c r="I552" i="86"/>
  <c r="I535" i="86"/>
  <c r="I525" i="86"/>
  <c r="I518" i="86"/>
  <c r="I516" i="86"/>
  <c r="I495" i="86"/>
  <c r="I467" i="86"/>
  <c r="I434" i="86"/>
  <c r="I428" i="86"/>
  <c r="I426" i="86"/>
  <c r="I405" i="86"/>
  <c r="I403" i="86"/>
  <c r="I399" i="86"/>
  <c r="I396" i="86"/>
  <c r="R24" i="86"/>
  <c r="J382" i="86"/>
  <c r="I374" i="86"/>
  <c r="I365" i="86"/>
  <c r="I331" i="86"/>
  <c r="I302" i="86"/>
  <c r="I266" i="86"/>
  <c r="I253" i="86"/>
  <c r="I242" i="86"/>
  <c r="I234" i="86"/>
  <c r="J358" i="86"/>
  <c r="I918" i="86"/>
  <c r="I876" i="86"/>
  <c r="I875" i="86"/>
  <c r="I873" i="86"/>
  <c r="I853" i="86"/>
  <c r="I843" i="86"/>
  <c r="I832" i="86"/>
  <c r="I826" i="86"/>
  <c r="I814" i="86"/>
  <c r="I812" i="86"/>
  <c r="I808" i="86"/>
  <c r="I803" i="86"/>
  <c r="I751" i="86"/>
  <c r="I747" i="86"/>
  <c r="I742" i="86"/>
  <c r="I623" i="86"/>
  <c r="I536" i="86"/>
  <c r="I531" i="86"/>
  <c r="I506" i="86"/>
  <c r="I504" i="86"/>
  <c r="I466" i="86"/>
  <c r="I457" i="86"/>
  <c r="I397" i="86"/>
  <c r="I329" i="86"/>
  <c r="I314" i="86"/>
  <c r="I304" i="86"/>
  <c r="I293" i="86"/>
  <c r="I282" i="86"/>
  <c r="I229" i="86"/>
  <c r="I227" i="86"/>
  <c r="I224" i="86"/>
  <c r="J206" i="86"/>
  <c r="J714" i="86"/>
  <c r="O28" i="41"/>
  <c r="K14" i="41"/>
  <c r="K10" i="41" s="1"/>
  <c r="H21" i="1" s="1"/>
  <c r="Y21" i="1"/>
  <c r="O14" i="41"/>
  <c r="P14" i="41"/>
  <c r="J24" i="41"/>
  <c r="I24" i="41" s="1"/>
  <c r="J50" i="41"/>
  <c r="J69" i="41"/>
  <c r="I215" i="41"/>
  <c r="J293" i="41"/>
  <c r="I293" i="41" s="1"/>
  <c r="J277" i="41"/>
  <c r="I225" i="41"/>
  <c r="X21" i="1"/>
  <c r="J18" i="41"/>
  <c r="AM11" i="41" s="1"/>
  <c r="M14" i="41"/>
  <c r="J30" i="41"/>
  <c r="J264" i="41"/>
  <c r="J260" i="41"/>
  <c r="I260" i="41" s="1"/>
  <c r="J231" i="41"/>
  <c r="J104" i="41"/>
  <c r="I104" i="41" s="1"/>
  <c r="J154" i="41"/>
  <c r="R14" i="41"/>
  <c r="AI15" i="41" s="1"/>
  <c r="J16" i="41"/>
  <c r="I16" i="41" s="1"/>
  <c r="J167" i="41"/>
  <c r="I149" i="61"/>
  <c r="L28" i="61"/>
  <c r="L10" i="61"/>
  <c r="I20" i="1" s="1"/>
  <c r="I42" i="61"/>
  <c r="J156" i="61"/>
  <c r="I286" i="61"/>
  <c r="J123" i="61"/>
  <c r="J288" i="61"/>
  <c r="I167" i="61"/>
  <c r="I284" i="61"/>
  <c r="J315" i="61"/>
  <c r="I315" i="61" s="1"/>
  <c r="I303" i="61"/>
  <c r="J174" i="61"/>
  <c r="I110" i="61"/>
  <c r="I138" i="61"/>
  <c r="J244" i="61"/>
  <c r="I244" i="61" s="1"/>
  <c r="I309" i="61"/>
  <c r="I33" i="61"/>
  <c r="I308" i="61"/>
  <c r="J16" i="61"/>
  <c r="I16" i="61" s="1"/>
  <c r="J60" i="61"/>
  <c r="I60" i="61" s="1"/>
  <c r="J310" i="61"/>
  <c r="I310" i="61" s="1"/>
  <c r="J260" i="61"/>
  <c r="J209" i="61"/>
  <c r="J143" i="61"/>
  <c r="X20" i="1"/>
  <c r="I49" i="61"/>
  <c r="I275" i="61"/>
  <c r="Q28" i="61"/>
  <c r="X19" i="1"/>
  <c r="N14" i="169"/>
  <c r="N10" i="169" s="1"/>
  <c r="K19" i="1" s="1"/>
  <c r="J219" i="169"/>
  <c r="I219" i="169" s="1"/>
  <c r="J173" i="169"/>
  <c r="I173" i="169" s="1"/>
  <c r="J92" i="169"/>
  <c r="J13" i="169"/>
  <c r="J17" i="169"/>
  <c r="I17" i="169" s="1"/>
  <c r="J12" i="169"/>
  <c r="I188" i="169"/>
  <c r="J267" i="169"/>
  <c r="I267" i="169" s="1"/>
  <c r="J232" i="169"/>
  <c r="J214" i="169"/>
  <c r="J195" i="169"/>
  <c r="J168" i="169"/>
  <c r="I168" i="169" s="1"/>
  <c r="J164" i="169"/>
  <c r="J158" i="169"/>
  <c r="I158" i="169" s="1"/>
  <c r="J126" i="169"/>
  <c r="I126" i="169" s="1"/>
  <c r="J123" i="169"/>
  <c r="I123" i="169" s="1"/>
  <c r="J104" i="169"/>
  <c r="J100" i="169"/>
  <c r="I100" i="169" s="1"/>
  <c r="J75" i="169"/>
  <c r="J25" i="169"/>
  <c r="I25" i="169" s="1"/>
  <c r="J22" i="169"/>
  <c r="I22" i="169" s="1"/>
  <c r="M14" i="169"/>
  <c r="K14" i="169"/>
  <c r="K10" i="169" s="1"/>
  <c r="H19" i="1" s="1"/>
  <c r="J30" i="169"/>
  <c r="J20" i="169"/>
  <c r="R14" i="169"/>
  <c r="I115" i="169"/>
  <c r="J16" i="169"/>
  <c r="I16" i="169" s="1"/>
  <c r="I250" i="169"/>
  <c r="J278" i="169"/>
  <c r="I278" i="169" s="1"/>
  <c r="J253" i="169"/>
  <c r="I253" i="169" s="1"/>
  <c r="J207" i="169"/>
  <c r="J202" i="169"/>
  <c r="I202" i="169" s="1"/>
  <c r="J141" i="169"/>
  <c r="L14" i="169"/>
  <c r="L10" i="169" s="1"/>
  <c r="I19" i="1" s="1"/>
  <c r="I181" i="169"/>
  <c r="J15" i="169"/>
  <c r="I15" i="169" s="1"/>
  <c r="N24" i="169"/>
  <c r="I116" i="169"/>
  <c r="I38" i="169"/>
  <c r="I68" i="169"/>
  <c r="I72" i="169"/>
  <c r="I73" i="169"/>
  <c r="I129" i="169"/>
  <c r="I179" i="169"/>
  <c r="Q14" i="169"/>
  <c r="Q10" i="169" s="1"/>
  <c r="N19" i="1" s="1"/>
  <c r="J270" i="169"/>
  <c r="Q28" i="169"/>
  <c r="J30" i="59"/>
  <c r="I30" i="59" s="1"/>
  <c r="J19" i="51"/>
  <c r="L14" i="51"/>
  <c r="L10" i="51" s="1"/>
  <c r="I18" i="1" s="1"/>
  <c r="J50" i="51"/>
  <c r="J57" i="51"/>
  <c r="I113" i="51"/>
  <c r="P14" i="51"/>
  <c r="M10" i="51"/>
  <c r="J255" i="51"/>
  <c r="I255" i="51" s="1"/>
  <c r="J239" i="51"/>
  <c r="J212" i="51"/>
  <c r="I212" i="51" s="1"/>
  <c r="J203" i="51"/>
  <c r="I203" i="51" s="1"/>
  <c r="J194" i="51"/>
  <c r="J181" i="51"/>
  <c r="J151" i="51"/>
  <c r="I151" i="51" s="1"/>
  <c r="J140" i="51"/>
  <c r="I140" i="51" s="1"/>
  <c r="J125" i="51"/>
  <c r="J24" i="51"/>
  <c r="J12" i="51"/>
  <c r="J243" i="51"/>
  <c r="I53" i="51"/>
  <c r="I55" i="51"/>
  <c r="I254" i="51"/>
  <c r="J118" i="51"/>
  <c r="J265" i="51"/>
  <c r="I265" i="51" s="1"/>
  <c r="J147" i="51"/>
  <c r="J26" i="51"/>
  <c r="I26" i="51" s="1"/>
  <c r="J23" i="51"/>
  <c r="J22" i="51"/>
  <c r="K14" i="51"/>
  <c r="K10" i="51" s="1"/>
  <c r="H18" i="1" s="1"/>
  <c r="Y18" i="1"/>
  <c r="J277" i="51"/>
  <c r="J13" i="51"/>
  <c r="I129" i="51"/>
  <c r="I139" i="51"/>
  <c r="I211" i="51"/>
  <c r="I42" i="51"/>
  <c r="I174" i="111"/>
  <c r="I236" i="111"/>
  <c r="I200" i="111"/>
  <c r="J12" i="111"/>
  <c r="J57" i="111"/>
  <c r="J23" i="111"/>
  <c r="I317" i="60"/>
  <c r="J86" i="60"/>
  <c r="I86" i="60" s="1"/>
  <c r="I289" i="60"/>
  <c r="I294" i="60"/>
  <c r="J407" i="60"/>
  <c r="I407" i="60" s="1"/>
  <c r="J377" i="60"/>
  <c r="I419" i="60"/>
  <c r="I321" i="60"/>
  <c r="I253" i="60"/>
  <c r="I93" i="60"/>
  <c r="J20" i="60"/>
  <c r="J230" i="60"/>
  <c r="I230" i="60" s="1"/>
  <c r="I373" i="60"/>
  <c r="R28" i="60"/>
  <c r="O28" i="60"/>
  <c r="J19" i="60"/>
  <c r="L24" i="60"/>
  <c r="I74" i="60"/>
  <c r="I312" i="60"/>
  <c r="J390" i="60"/>
  <c r="J16" i="60"/>
  <c r="I16" i="60" s="1"/>
  <c r="I245" i="60"/>
  <c r="I222" i="60"/>
  <c r="I297" i="60"/>
  <c r="J13" i="60"/>
  <c r="R14" i="60"/>
  <c r="O10" i="60"/>
  <c r="L16" i="1" s="1"/>
  <c r="I345" i="60"/>
  <c r="J140" i="60"/>
  <c r="R24" i="60"/>
  <c r="J24" i="60" s="1"/>
  <c r="I221" i="71"/>
  <c r="J224" i="71"/>
  <c r="J69" i="71"/>
  <c r="I200" i="71"/>
  <c r="J45" i="71"/>
  <c r="I45" i="71" s="1"/>
  <c r="I184" i="71"/>
  <c r="J266" i="71"/>
  <c r="I266" i="71" s="1"/>
  <c r="J252" i="71"/>
  <c r="I252" i="71" s="1"/>
  <c r="J152" i="71"/>
  <c r="J131" i="71"/>
  <c r="J124" i="71"/>
  <c r="I124" i="71" s="1"/>
  <c r="J103" i="71"/>
  <c r="I103" i="71" s="1"/>
  <c r="N14" i="71"/>
  <c r="N10" i="71" s="1"/>
  <c r="K14" i="1" s="1"/>
  <c r="I185" i="71"/>
  <c r="J12" i="71"/>
  <c r="J80" i="71"/>
  <c r="I80" i="71" s="1"/>
  <c r="J401" i="14"/>
  <c r="I317" i="14"/>
  <c r="I237" i="14"/>
  <c r="I358" i="14"/>
  <c r="J85" i="14"/>
  <c r="I30" i="14"/>
  <c r="I312" i="14"/>
  <c r="I347" i="14"/>
  <c r="I208" i="14"/>
  <c r="I273" i="14"/>
  <c r="I306" i="14"/>
  <c r="J284" i="14"/>
  <c r="I284" i="14" s="1"/>
  <c r="J221" i="14"/>
  <c r="I221" i="14" s="1"/>
  <c r="J254" i="14"/>
  <c r="J451" i="14"/>
  <c r="I451" i="14" s="1"/>
  <c r="J435" i="14"/>
  <c r="J385" i="14"/>
  <c r="J302" i="14"/>
  <c r="J197" i="14"/>
  <c r="I197" i="14" s="1"/>
  <c r="I124" i="14"/>
  <c r="J117" i="14"/>
  <c r="I117" i="14" s="1"/>
  <c r="J58" i="14"/>
  <c r="I58" i="14" s="1"/>
  <c r="I385" i="14"/>
  <c r="I308" i="14"/>
  <c r="I94" i="14"/>
  <c r="J448" i="14"/>
  <c r="J156" i="14"/>
  <c r="I192" i="14"/>
  <c r="R28" i="66"/>
  <c r="O28" i="66"/>
  <c r="J238" i="66"/>
  <c r="I238" i="66" s="1"/>
  <c r="J269" i="66"/>
  <c r="J90" i="66"/>
  <c r="J69" i="66"/>
  <c r="I69" i="66" s="1"/>
  <c r="J62" i="66"/>
  <c r="I62" i="66" s="1"/>
  <c r="J53" i="66"/>
  <c r="I53" i="66" s="1"/>
  <c r="J26" i="66"/>
  <c r="Y12" i="1"/>
  <c r="I228" i="79"/>
  <c r="J445" i="79"/>
  <c r="J171" i="90"/>
  <c r="I245" i="90"/>
  <c r="I375" i="90"/>
  <c r="J203" i="90"/>
  <c r="I129" i="66"/>
  <c r="I90" i="66"/>
  <c r="X12" i="1"/>
  <c r="J280" i="66"/>
  <c r="J277" i="66"/>
  <c r="J161" i="66"/>
  <c r="J154" i="66"/>
  <c r="J136" i="66"/>
  <c r="J18" i="66"/>
  <c r="AM11" i="66" s="1"/>
  <c r="J250" i="66"/>
  <c r="J207" i="66"/>
  <c r="J183" i="66"/>
  <c r="J115" i="66"/>
  <c r="J25" i="66"/>
  <c r="J134" i="79"/>
  <c r="J419" i="79"/>
  <c r="J396" i="79"/>
  <c r="I396" i="79" s="1"/>
  <c r="I122" i="90"/>
  <c r="I323" i="90"/>
  <c r="I274" i="90"/>
  <c r="J398" i="90"/>
  <c r="I398" i="90" s="1"/>
  <c r="J253" i="90"/>
  <c r="I253" i="90" s="1"/>
  <c r="J246" i="90"/>
  <c r="J227" i="90"/>
  <c r="I227" i="90" s="1"/>
  <c r="J194" i="90"/>
  <c r="I194" i="90" s="1"/>
  <c r="J182" i="90"/>
  <c r="I182" i="90" s="1"/>
  <c r="Y9" i="1"/>
  <c r="I352" i="90"/>
  <c r="I412" i="90"/>
  <c r="J340" i="90"/>
  <c r="I340" i="90" s="1"/>
  <c r="J275" i="90"/>
  <c r="I275" i="90" s="1"/>
  <c r="J263" i="90"/>
  <c r="X9" i="1"/>
  <c r="J99" i="90"/>
  <c r="I99" i="90" s="1"/>
  <c r="I343" i="90"/>
  <c r="I335" i="90"/>
  <c r="I199" i="90"/>
  <c r="I126" i="90"/>
  <c r="I128" i="90"/>
  <c r="J24" i="90"/>
  <c r="J363" i="90"/>
  <c r="I363" i="90" s="1"/>
  <c r="J315" i="90"/>
  <c r="I315" i="90" s="1"/>
  <c r="I252" i="21"/>
  <c r="I570" i="86"/>
  <c r="I113" i="90"/>
  <c r="J470" i="79"/>
  <c r="Q10" i="43"/>
  <c r="N26" i="1" s="1"/>
  <c r="I31" i="101"/>
  <c r="J189" i="66"/>
  <c r="I63" i="60"/>
  <c r="I122" i="44"/>
  <c r="I177" i="43"/>
  <c r="I194" i="43"/>
  <c r="I35" i="61"/>
  <c r="J13" i="71"/>
  <c r="I75" i="71"/>
  <c r="J107" i="79"/>
  <c r="I42" i="60"/>
  <c r="J13" i="101"/>
  <c r="J17" i="101"/>
  <c r="I17" i="101" s="1"/>
  <c r="J15" i="59"/>
  <c r="I15" i="59" s="1"/>
  <c r="AH31" i="90"/>
  <c r="AF31" i="90"/>
  <c r="J163" i="90"/>
  <c r="AJ31" i="90"/>
  <c r="L145" i="90"/>
  <c r="I145" i="90" s="1"/>
  <c r="Q57" i="90"/>
  <c r="AF29" i="90"/>
  <c r="N30" i="90"/>
  <c r="Q20" i="90"/>
  <c r="Q18" i="90"/>
  <c r="R17" i="90"/>
  <c r="J17" i="90" s="1"/>
  <c r="I17" i="90" s="1"/>
  <c r="R15" i="90"/>
  <c r="N15" i="90"/>
  <c r="N14" i="90" s="1"/>
  <c r="N13" i="90"/>
  <c r="J13" i="90" s="1"/>
  <c r="N12" i="90"/>
  <c r="AG13" i="90" s="1"/>
  <c r="L12" i="90"/>
  <c r="L10" i="90" s="1"/>
  <c r="I9" i="1" s="1"/>
  <c r="AI31" i="79"/>
  <c r="AH31" i="79"/>
  <c r="AG31" i="79"/>
  <c r="AJ31" i="79"/>
  <c r="N128" i="79"/>
  <c r="Q15" i="79"/>
  <c r="Q65" i="79"/>
  <c r="AF30" i="79"/>
  <c r="I361" i="44"/>
  <c r="J101" i="14"/>
  <c r="J330" i="60"/>
  <c r="J173" i="51"/>
  <c r="AI31" i="66"/>
  <c r="N56" i="66"/>
  <c r="AG31" i="66"/>
  <c r="N46" i="66"/>
  <c r="AF30" i="90"/>
  <c r="AI31" i="90"/>
  <c r="AG31" i="90"/>
  <c r="N57" i="90"/>
  <c r="Q30" i="90"/>
  <c r="L30" i="90"/>
  <c r="L28" i="90" s="1"/>
  <c r="N20" i="90"/>
  <c r="N19" i="90"/>
  <c r="J19" i="90" s="1"/>
  <c r="AF31" i="79"/>
  <c r="AG30" i="79"/>
  <c r="L12" i="79"/>
  <c r="AG30" i="66"/>
  <c r="AM40" i="66" s="1"/>
  <c r="AH31" i="66"/>
  <c r="AF30" i="66"/>
  <c r="AH31" i="14"/>
  <c r="AF31" i="71"/>
  <c r="AF30" i="71"/>
  <c r="AJ31" i="60"/>
  <c r="AG31" i="60"/>
  <c r="AH31" i="60"/>
  <c r="N157" i="111"/>
  <c r="AF30" i="111"/>
  <c r="L12" i="111"/>
  <c r="AG31" i="51"/>
  <c r="AG30" i="51"/>
  <c r="AF30" i="51"/>
  <c r="AJ31" i="59"/>
  <c r="AF31" i="59"/>
  <c r="R15" i="61"/>
  <c r="AH31" i="61"/>
  <c r="AG31" i="61"/>
  <c r="J869" i="86"/>
  <c r="J246" i="62"/>
  <c r="AJ31" i="14"/>
  <c r="N182" i="14"/>
  <c r="AG31" i="14"/>
  <c r="AI31" i="14"/>
  <c r="AF30" i="14"/>
  <c r="J228" i="71"/>
  <c r="J217" i="71"/>
  <c r="R98" i="71"/>
  <c r="AG31" i="71"/>
  <c r="N30" i="71"/>
  <c r="Q17" i="60"/>
  <c r="N178" i="60"/>
  <c r="AI31" i="60"/>
  <c r="AF31" i="60"/>
  <c r="AF30" i="60"/>
  <c r="Q167" i="111"/>
  <c r="R34" i="111"/>
  <c r="I30" i="111"/>
  <c r="N259" i="51"/>
  <c r="AJ31" i="51"/>
  <c r="AF31" i="51"/>
  <c r="AI31" i="51"/>
  <c r="Q45" i="51"/>
  <c r="AF30" i="59"/>
  <c r="J25" i="59"/>
  <c r="AF30" i="169"/>
  <c r="L28" i="42"/>
  <c r="AI30" i="62"/>
  <c r="N93" i="62"/>
  <c r="AI31" i="62"/>
  <c r="R90" i="62"/>
  <c r="AF29" i="62"/>
  <c r="J30" i="62"/>
  <c r="AJ31" i="61"/>
  <c r="AF31" i="61"/>
  <c r="AG31" i="41"/>
  <c r="R19" i="41"/>
  <c r="AI31" i="86"/>
  <c r="AH31" i="86"/>
  <c r="R145" i="86"/>
  <c r="AG30" i="42"/>
  <c r="AG31" i="42"/>
  <c r="Q309" i="62"/>
  <c r="AH30" i="62"/>
  <c r="AH31" i="62"/>
  <c r="M229" i="62"/>
  <c r="AF31" i="62"/>
  <c r="L214" i="62"/>
  <c r="AG31" i="62"/>
  <c r="N126" i="62"/>
  <c r="J126" i="62" s="1"/>
  <c r="R15" i="58"/>
  <c r="L28" i="21"/>
  <c r="AI31" i="58"/>
  <c r="R149" i="58"/>
  <c r="J149" i="58" s="1"/>
  <c r="AF30" i="58"/>
  <c r="N78" i="58"/>
  <c r="AG30" i="41"/>
  <c r="AM40" i="41" s="1"/>
  <c r="R86" i="41"/>
  <c r="AF31" i="41"/>
  <c r="AI31" i="41"/>
  <c r="AF30" i="41"/>
  <c r="AJ31" i="86"/>
  <c r="AF30" i="86"/>
  <c r="AF31" i="86"/>
  <c r="AF30" i="42"/>
  <c r="R13" i="62"/>
  <c r="AH15" i="62" s="1"/>
  <c r="AG30" i="62"/>
  <c r="L155" i="43"/>
  <c r="AG31" i="43"/>
  <c r="N150" i="43"/>
  <c r="J150" i="43" s="1"/>
  <c r="R114" i="43"/>
  <c r="AH31" i="43"/>
  <c r="AF30" i="43"/>
  <c r="M70" i="43"/>
  <c r="AG30" i="21"/>
  <c r="AG31" i="75"/>
  <c r="AI31" i="75"/>
  <c r="AG30" i="14"/>
  <c r="AF29" i="86"/>
  <c r="AG31" i="169"/>
  <c r="AF30" i="62"/>
  <c r="R227" i="58"/>
  <c r="J227" i="58" s="1"/>
  <c r="AG31" i="58"/>
  <c r="AH31" i="58"/>
  <c r="N15" i="58"/>
  <c r="N14" i="58" s="1"/>
  <c r="R106" i="58"/>
  <c r="R17" i="58"/>
  <c r="J17" i="58" s="1"/>
  <c r="I17" i="58" s="1"/>
  <c r="R212" i="43"/>
  <c r="J212" i="43" s="1"/>
  <c r="R198" i="43"/>
  <c r="J198" i="43" s="1"/>
  <c r="AF31" i="43"/>
  <c r="N133" i="43"/>
  <c r="Q80" i="43"/>
  <c r="M12" i="43"/>
  <c r="AJ31" i="43"/>
  <c r="L17" i="21"/>
  <c r="Q16" i="21"/>
  <c r="Q14" i="21" s="1"/>
  <c r="N315" i="21"/>
  <c r="J315" i="21" s="1"/>
  <c r="I315" i="21" s="1"/>
  <c r="N275" i="21"/>
  <c r="J275" i="21" s="1"/>
  <c r="N208" i="21"/>
  <c r="R138" i="21"/>
  <c r="AF30" i="21"/>
  <c r="AF30" i="101"/>
  <c r="AF31" i="101"/>
  <c r="AJ31" i="101"/>
  <c r="AH31" i="75"/>
  <c r="AG31" i="86"/>
  <c r="AH31" i="59"/>
  <c r="AI31" i="169"/>
  <c r="AJ31" i="42"/>
  <c r="I121" i="44"/>
  <c r="J45" i="75"/>
  <c r="N30" i="75"/>
  <c r="R138" i="75"/>
  <c r="I172" i="44"/>
  <c r="I261" i="44"/>
  <c r="J186" i="44"/>
  <c r="O28" i="44"/>
  <c r="I241" i="44"/>
  <c r="I379" i="44"/>
  <c r="I441" i="44"/>
  <c r="P14" i="44"/>
  <c r="J241" i="44"/>
  <c r="M10" i="44"/>
  <c r="J11" i="1" s="1"/>
  <c r="I332" i="44"/>
  <c r="N19" i="79"/>
  <c r="J19" i="79" s="1"/>
  <c r="L35" i="79"/>
  <c r="L28" i="79" s="1"/>
  <c r="Q13" i="79"/>
  <c r="J13" i="79" s="1"/>
  <c r="Q12" i="79"/>
  <c r="AG14" i="79" s="1"/>
  <c r="L20" i="79"/>
  <c r="R16" i="79"/>
  <c r="J16" i="79" s="1"/>
  <c r="R17" i="79"/>
  <c r="N167" i="79"/>
  <c r="J80" i="79"/>
  <c r="I80" i="79" s="1"/>
  <c r="Q14" i="79"/>
  <c r="I161" i="79"/>
  <c r="J399" i="79"/>
  <c r="J290" i="79"/>
  <c r="I290" i="79" s="1"/>
  <c r="P28" i="79"/>
  <c r="Y10" i="1"/>
  <c r="J90" i="44"/>
  <c r="L14" i="44"/>
  <c r="L10" i="44" s="1"/>
  <c r="I11" i="1" s="1"/>
  <c r="J361" i="44"/>
  <c r="I260" i="44"/>
  <c r="I367" i="44"/>
  <c r="J416" i="44"/>
  <c r="I412" i="44"/>
  <c r="I401" i="44"/>
  <c r="I327" i="44"/>
  <c r="I283" i="44"/>
  <c r="I151" i="44"/>
  <c r="I90" i="44"/>
  <c r="J50" i="44"/>
  <c r="J24" i="44"/>
  <c r="J23" i="44"/>
  <c r="O14" i="44"/>
  <c r="O10" i="44" s="1"/>
  <c r="L11" i="1" s="1"/>
  <c r="J25" i="79"/>
  <c r="I25" i="79" s="1"/>
  <c r="Q28" i="79"/>
  <c r="R28" i="79"/>
  <c r="J253" i="79"/>
  <c r="J18" i="79"/>
  <c r="J452" i="79"/>
  <c r="I452" i="79" s="1"/>
  <c r="I221" i="79"/>
  <c r="I293" i="79"/>
  <c r="J244" i="79"/>
  <c r="J205" i="79"/>
  <c r="J162" i="79"/>
  <c r="K14" i="79"/>
  <c r="K10" i="79" s="1"/>
  <c r="P24" i="79"/>
  <c r="I115" i="79"/>
  <c r="J51" i="79"/>
  <c r="J139" i="79"/>
  <c r="I139" i="79" s="1"/>
  <c r="J73" i="79"/>
  <c r="J60" i="79"/>
  <c r="I445" i="79"/>
  <c r="J182" i="79"/>
  <c r="I242" i="79"/>
  <c r="I123" i="79"/>
  <c r="I296" i="79"/>
  <c r="I391" i="79"/>
  <c r="J306" i="79"/>
  <c r="J298" i="79"/>
  <c r="I298" i="79" s="1"/>
  <c r="J287" i="79"/>
  <c r="I287" i="79" s="1"/>
  <c r="O14" i="79"/>
  <c r="O10" i="79" s="1"/>
  <c r="L10" i="1" s="1"/>
  <c r="J402" i="79"/>
  <c r="I419" i="79"/>
  <c r="I125" i="79"/>
  <c r="I222" i="79"/>
  <c r="I49" i="79"/>
  <c r="N14" i="79"/>
  <c r="N10" i="79" s="1"/>
  <c r="K10" i="1" s="1"/>
  <c r="I127" i="79"/>
  <c r="I328" i="79"/>
  <c r="J128" i="79"/>
  <c r="I128" i="79" s="1"/>
  <c r="I432" i="79"/>
  <c r="X10" i="1"/>
  <c r="J485" i="79"/>
  <c r="J356" i="79"/>
  <c r="J344" i="79"/>
  <c r="J338" i="79"/>
  <c r="J332" i="79"/>
  <c r="J329" i="79"/>
  <c r="J196" i="79"/>
  <c r="I196" i="79" s="1"/>
  <c r="J142" i="79"/>
  <c r="J102" i="79"/>
  <c r="I102" i="79" s="1"/>
  <c r="J94" i="79"/>
  <c r="I94" i="79" s="1"/>
  <c r="J22" i="79"/>
  <c r="I153" i="79"/>
  <c r="J372" i="79"/>
  <c r="I372" i="79" s="1"/>
  <c r="I348" i="79"/>
  <c r="I72" i="79"/>
  <c r="I101" i="79"/>
  <c r="I250" i="79"/>
  <c r="I172" i="79"/>
  <c r="J65" i="79"/>
  <c r="I87" i="79"/>
  <c r="I179" i="79"/>
  <c r="P30" i="1"/>
  <c r="J386" i="79"/>
  <c r="J366" i="79"/>
  <c r="I366" i="79" s="1"/>
  <c r="J312" i="79"/>
  <c r="J275" i="79"/>
  <c r="J263" i="79"/>
  <c r="I263" i="79" s="1"/>
  <c r="J257" i="79"/>
  <c r="J234" i="79"/>
  <c r="J224" i="79"/>
  <c r="I224" i="79" s="1"/>
  <c r="J218" i="79"/>
  <c r="J213" i="79"/>
  <c r="J209" i="79"/>
  <c r="J173" i="79"/>
  <c r="I173" i="79" s="1"/>
  <c r="J77" i="79"/>
  <c r="I77" i="79" s="1"/>
  <c r="R24" i="79"/>
  <c r="N24" i="79"/>
  <c r="J26" i="79"/>
  <c r="J23" i="79"/>
  <c r="I23" i="79" s="1"/>
  <c r="I107" i="79"/>
  <c r="I344" i="79"/>
  <c r="I134" i="79"/>
  <c r="I185" i="79"/>
  <c r="I304" i="79"/>
  <c r="I470" i="79"/>
  <c r="I493" i="79"/>
  <c r="I478" i="79"/>
  <c r="I475" i="79"/>
  <c r="I468" i="79"/>
  <c r="I464" i="79"/>
  <c r="I459" i="79"/>
  <c r="I448" i="79"/>
  <c r="I443" i="79"/>
  <c r="I431" i="79"/>
  <c r="I428" i="79"/>
  <c r="I426" i="79"/>
  <c r="I412" i="79"/>
  <c r="I365" i="79"/>
  <c r="I311" i="79"/>
  <c r="I285" i="79"/>
  <c r="I230" i="79"/>
  <c r="I217" i="79"/>
  <c r="I188" i="79"/>
  <c r="I186" i="79"/>
  <c r="I137" i="79"/>
  <c r="I93" i="79"/>
  <c r="I91" i="79"/>
  <c r="I89" i="79"/>
  <c r="I50" i="79"/>
  <c r="I47" i="79"/>
  <c r="J35" i="79"/>
  <c r="I216" i="79"/>
  <c r="J20" i="79"/>
  <c r="J15" i="79"/>
  <c r="I15" i="79" s="1"/>
  <c r="I494" i="79"/>
  <c r="I481" i="79"/>
  <c r="I469" i="79"/>
  <c r="I436" i="79"/>
  <c r="I427" i="79"/>
  <c r="I415" i="79"/>
  <c r="I413" i="79"/>
  <c r="I310" i="79"/>
  <c r="I286" i="79"/>
  <c r="I229" i="79"/>
  <c r="I92" i="79"/>
  <c r="I90" i="79"/>
  <c r="I88" i="79"/>
  <c r="I86" i="79"/>
  <c r="I30" i="79"/>
  <c r="I159" i="79"/>
  <c r="I305" i="79"/>
  <c r="J317" i="79"/>
  <c r="P14" i="79"/>
  <c r="M14" i="79"/>
  <c r="S30" i="1"/>
  <c r="R30" i="1"/>
  <c r="J16" i="44"/>
  <c r="I16" i="44" s="1"/>
  <c r="Q28" i="44"/>
  <c r="I335" i="44"/>
  <c r="J335" i="44"/>
  <c r="J18" i="44"/>
  <c r="I50" i="44"/>
  <c r="N14" i="44"/>
  <c r="I420" i="44"/>
  <c r="I416" i="44"/>
  <c r="J401" i="44"/>
  <c r="J386" i="44"/>
  <c r="J373" i="44"/>
  <c r="J317" i="44"/>
  <c r="X11" i="1"/>
  <c r="J19" i="44"/>
  <c r="Y11" i="1"/>
  <c r="J435" i="44"/>
  <c r="I435" i="44" s="1"/>
  <c r="I236" i="44"/>
  <c r="J26" i="44"/>
  <c r="I26" i="44" s="1"/>
  <c r="K14" i="44"/>
  <c r="K10" i="44" s="1"/>
  <c r="H11" i="1" s="1"/>
  <c r="J12" i="44"/>
  <c r="I386" i="44"/>
  <c r="J15" i="44"/>
  <c r="I15" i="44" s="1"/>
  <c r="N28" i="44"/>
  <c r="Q14" i="44"/>
  <c r="Q10" i="44" s="1"/>
  <c r="N11" i="1" s="1"/>
  <c r="J332" i="44"/>
  <c r="J279" i="44"/>
  <c r="J151" i="44"/>
  <c r="J295" i="44"/>
  <c r="I279" i="44"/>
  <c r="I317" i="44"/>
  <c r="I366" i="44"/>
  <c r="J420" i="44"/>
  <c r="J412" i="44"/>
  <c r="J327" i="44"/>
  <c r="J25" i="44"/>
  <c r="J30" i="44"/>
  <c r="I439" i="44"/>
  <c r="I423" i="44"/>
  <c r="J397" i="44"/>
  <c r="I397" i="44"/>
  <c r="I378" i="44"/>
  <c r="I372" i="44"/>
  <c r="I369" i="44"/>
  <c r="J369" i="44"/>
  <c r="I340" i="44"/>
  <c r="J340" i="44"/>
  <c r="J321" i="44"/>
  <c r="I321" i="44"/>
  <c r="J308" i="44"/>
  <c r="I308" i="44"/>
  <c r="I299" i="44"/>
  <c r="J299" i="44"/>
  <c r="I267" i="44"/>
  <c r="I257" i="44"/>
  <c r="J257" i="44"/>
  <c r="J251" i="44"/>
  <c r="I251" i="44"/>
  <c r="I217" i="44"/>
  <c r="I194" i="44"/>
  <c r="I171" i="44"/>
  <c r="I145" i="44"/>
  <c r="I143" i="44"/>
  <c r="I141" i="44"/>
  <c r="I93" i="44"/>
  <c r="I74" i="44"/>
  <c r="I42" i="44"/>
  <c r="I373" i="44"/>
  <c r="J22" i="44"/>
  <c r="J261" i="44"/>
  <c r="J236" i="44"/>
  <c r="J13" i="44"/>
  <c r="I440" i="44"/>
  <c r="I438" i="44"/>
  <c r="I427" i="44"/>
  <c r="J424" i="44"/>
  <c r="I424" i="44"/>
  <c r="I377" i="44"/>
  <c r="I339" i="44"/>
  <c r="I268" i="44"/>
  <c r="J268" i="44"/>
  <c r="I266" i="44"/>
  <c r="I249" i="44"/>
  <c r="I246" i="44"/>
  <c r="I210" i="44"/>
  <c r="I193" i="44"/>
  <c r="J190" i="44"/>
  <c r="I190" i="44"/>
  <c r="I170" i="44"/>
  <c r="I150" i="44"/>
  <c r="J146" i="44"/>
  <c r="I146" i="44"/>
  <c r="I144" i="44"/>
  <c r="I142" i="44"/>
  <c r="J129" i="44"/>
  <c r="I129" i="44"/>
  <c r="I73" i="44"/>
  <c r="I49" i="44"/>
  <c r="I47" i="44"/>
  <c r="I43" i="44"/>
  <c r="J283" i="44"/>
  <c r="I292" i="44"/>
  <c r="I312" i="44"/>
  <c r="J13" i="59"/>
  <c r="N28" i="59"/>
  <c r="J18" i="59"/>
  <c r="AM11" i="59" s="1"/>
  <c r="O14" i="59"/>
  <c r="M14" i="59"/>
  <c r="M10" i="59" s="1"/>
  <c r="P14" i="59"/>
  <c r="J12" i="59"/>
  <c r="N20" i="59"/>
  <c r="W30" i="1"/>
  <c r="I19" i="71"/>
  <c r="I13" i="71"/>
  <c r="I246" i="71"/>
  <c r="I152" i="71"/>
  <c r="Q28" i="71"/>
  <c r="J114" i="71"/>
  <c r="Y14" i="1"/>
  <c r="U30" i="1"/>
  <c r="I168" i="71"/>
  <c r="I228" i="71"/>
  <c r="I217" i="71"/>
  <c r="I192" i="71"/>
  <c r="J120" i="71"/>
  <c r="X14" i="1"/>
  <c r="V30" i="1"/>
  <c r="I37" i="71"/>
  <c r="Q28" i="66" l="1"/>
  <c r="AM61" i="41"/>
  <c r="AL46" i="62"/>
  <c r="AL55" i="62"/>
  <c r="AL61" i="60"/>
  <c r="AL67" i="71"/>
  <c r="AL77" i="71" s="1"/>
  <c r="AM67" i="71"/>
  <c r="AL67" i="61"/>
  <c r="AL77" i="61" s="1"/>
  <c r="R28" i="71"/>
  <c r="Q28" i="90"/>
  <c r="J57" i="90"/>
  <c r="N22" i="75"/>
  <c r="J22" i="75" s="1"/>
  <c r="I22" i="75" s="1"/>
  <c r="AL67" i="62"/>
  <c r="AL76" i="59"/>
  <c r="AL34" i="60"/>
  <c r="AL67" i="111"/>
  <c r="J18" i="90"/>
  <c r="J13" i="111"/>
  <c r="J254" i="66"/>
  <c r="J20" i="75"/>
  <c r="I20" i="75" s="1"/>
  <c r="J345" i="86"/>
  <c r="M10" i="86"/>
  <c r="J22" i="1" s="1"/>
  <c r="L10" i="75"/>
  <c r="I29" i="1" s="1"/>
  <c r="AL67" i="66"/>
  <c r="AL77" i="66" s="1"/>
  <c r="AL61" i="21"/>
  <c r="AL76" i="21" s="1"/>
  <c r="AM46" i="21"/>
  <c r="J15" i="62"/>
  <c r="I15" i="62" s="1"/>
  <c r="J20" i="62"/>
  <c r="L10" i="42"/>
  <c r="I23" i="1" s="1"/>
  <c r="J115" i="61"/>
  <c r="R14" i="71"/>
  <c r="AI13" i="14"/>
  <c r="AL61" i="14"/>
  <c r="AL76" i="14" s="1"/>
  <c r="I233" i="44"/>
  <c r="AL75" i="43"/>
  <c r="AL32" i="43"/>
  <c r="J85" i="43"/>
  <c r="I85" i="43" s="1"/>
  <c r="AL61" i="43"/>
  <c r="AL76" i="43" s="1"/>
  <c r="AM76" i="43" s="1"/>
  <c r="R14" i="43"/>
  <c r="J331" i="62"/>
  <c r="AL32" i="61"/>
  <c r="AL61" i="61"/>
  <c r="AL76" i="61" s="1"/>
  <c r="AL55" i="61"/>
  <c r="AL76" i="51"/>
  <c r="AM76" i="51" s="1"/>
  <c r="AM55" i="111"/>
  <c r="AM67" i="111"/>
  <c r="AL77" i="111"/>
  <c r="AL61" i="111"/>
  <c r="AL34" i="111"/>
  <c r="AL75" i="60"/>
  <c r="AL32" i="60"/>
  <c r="AM75" i="60"/>
  <c r="AL67" i="60"/>
  <c r="AL77" i="60" s="1"/>
  <c r="AL76" i="60"/>
  <c r="AM76" i="60" s="1"/>
  <c r="AL55" i="71"/>
  <c r="AM55" i="71" s="1"/>
  <c r="J16" i="14"/>
  <c r="I16" i="14" s="1"/>
  <c r="AL61" i="66"/>
  <c r="AL53" i="66" s="1"/>
  <c r="AL34" i="66"/>
  <c r="AM34" i="66" s="1"/>
  <c r="J233" i="44"/>
  <c r="AJ32" i="44" s="1"/>
  <c r="AJ33" i="44" s="1"/>
  <c r="AL55" i="79"/>
  <c r="AL53" i="79" s="1"/>
  <c r="AM53" i="79" s="1"/>
  <c r="AL34" i="79"/>
  <c r="AL32" i="90"/>
  <c r="AL76" i="90"/>
  <c r="AL55" i="90"/>
  <c r="AL67" i="90"/>
  <c r="AL77" i="90" s="1"/>
  <c r="J73" i="41"/>
  <c r="I146" i="58"/>
  <c r="L10" i="14"/>
  <c r="I13" i="1" s="1"/>
  <c r="I18" i="14"/>
  <c r="I73" i="14"/>
  <c r="R14" i="14"/>
  <c r="AI15" i="14" s="1"/>
  <c r="I374" i="14"/>
  <c r="I108" i="44"/>
  <c r="I263" i="169"/>
  <c r="I158" i="60"/>
  <c r="I23" i="60"/>
  <c r="I110" i="60"/>
  <c r="J148" i="111"/>
  <c r="I23" i="59"/>
  <c r="AM61" i="59"/>
  <c r="I24" i="59"/>
  <c r="R14" i="59"/>
  <c r="R10" i="59" s="1"/>
  <c r="O17" i="1" s="1"/>
  <c r="J19" i="59"/>
  <c r="I19" i="59" s="1"/>
  <c r="AL53" i="59"/>
  <c r="R28" i="59"/>
  <c r="AL34" i="59"/>
  <c r="AM34" i="59" s="1"/>
  <c r="AL77" i="59"/>
  <c r="Q30" i="1"/>
  <c r="I26" i="101"/>
  <c r="J205" i="111"/>
  <c r="I16" i="79"/>
  <c r="I737" i="86"/>
  <c r="AM67" i="66"/>
  <c r="N14" i="66"/>
  <c r="I22" i="101"/>
  <c r="AG13" i="86"/>
  <c r="Q28" i="21"/>
  <c r="I249" i="21"/>
  <c r="J20" i="21"/>
  <c r="I20" i="21" s="1"/>
  <c r="J17" i="86"/>
  <c r="I17" i="86" s="1"/>
  <c r="R28" i="14"/>
  <c r="I234" i="14"/>
  <c r="I201" i="14"/>
  <c r="I25" i="14"/>
  <c r="Q28" i="14"/>
  <c r="I244" i="14"/>
  <c r="I213" i="14"/>
  <c r="I288" i="14"/>
  <c r="O10" i="14"/>
  <c r="L13" i="1" s="1"/>
  <c r="I130" i="14"/>
  <c r="I174" i="14"/>
  <c r="J12" i="14"/>
  <c r="AL34" i="14"/>
  <c r="AL75" i="14" s="1"/>
  <c r="AL67" i="14"/>
  <c r="AL77" i="14" s="1"/>
  <c r="AL53" i="14"/>
  <c r="AM53" i="14" s="1"/>
  <c r="J17" i="44"/>
  <c r="I17" i="44" s="1"/>
  <c r="I25" i="101"/>
  <c r="J19" i="58"/>
  <c r="I19" i="58" s="1"/>
  <c r="I499" i="75"/>
  <c r="J15" i="75"/>
  <c r="I15" i="75" s="1"/>
  <c r="J28" i="101"/>
  <c r="I156" i="101"/>
  <c r="I124" i="101"/>
  <c r="I159" i="101"/>
  <c r="I234" i="101"/>
  <c r="I78" i="101"/>
  <c r="J12" i="101"/>
  <c r="I12" i="101" s="1"/>
  <c r="R10" i="101"/>
  <c r="O28" i="1" s="1"/>
  <c r="N10" i="101"/>
  <c r="K28" i="1" s="1"/>
  <c r="I74" i="101"/>
  <c r="I97" i="101"/>
  <c r="I216" i="101"/>
  <c r="J24" i="101"/>
  <c r="AM61" i="101"/>
  <c r="I212" i="21"/>
  <c r="I236" i="21"/>
  <c r="I72" i="62"/>
  <c r="J24" i="169"/>
  <c r="I272" i="51"/>
  <c r="I337" i="51"/>
  <c r="I283" i="51"/>
  <c r="I292" i="51"/>
  <c r="I250" i="51"/>
  <c r="I132" i="51"/>
  <c r="I390" i="60"/>
  <c r="I335" i="60"/>
  <c r="I277" i="60"/>
  <c r="I60" i="79"/>
  <c r="I191" i="75"/>
  <c r="I360" i="75"/>
  <c r="I217" i="58"/>
  <c r="I25" i="43"/>
  <c r="J12" i="62"/>
  <c r="N14" i="62"/>
  <c r="N10" i="62" s="1"/>
  <c r="K24" i="1" s="1"/>
  <c r="AL67" i="51"/>
  <c r="AL77" i="51" s="1"/>
  <c r="AL34" i="51"/>
  <c r="AL34" i="41"/>
  <c r="AM34" i="41" s="1"/>
  <c r="AH13" i="41"/>
  <c r="I348" i="21"/>
  <c r="I409" i="21"/>
  <c r="J12" i="21"/>
  <c r="R14" i="21"/>
  <c r="AI15" i="21" s="1"/>
  <c r="AM48" i="58"/>
  <c r="AL32" i="101"/>
  <c r="AM32" i="101" s="1"/>
  <c r="AL75" i="101"/>
  <c r="AJ32" i="101"/>
  <c r="I71" i="101"/>
  <c r="AL67" i="101"/>
  <c r="AM67" i="101" s="1"/>
  <c r="AM61" i="21"/>
  <c r="AL67" i="21"/>
  <c r="AM67" i="21" s="1"/>
  <c r="AL34" i="21"/>
  <c r="AM34" i="21" s="1"/>
  <c r="AL32" i="58"/>
  <c r="AL76" i="58" s="1"/>
  <c r="AL79" i="58"/>
  <c r="I40" i="62"/>
  <c r="AL75" i="62"/>
  <c r="AM75" i="62" s="1"/>
  <c r="AL53" i="62"/>
  <c r="AL40" i="62"/>
  <c r="AL76" i="62" s="1"/>
  <c r="I67" i="62"/>
  <c r="AL77" i="62"/>
  <c r="I145" i="42"/>
  <c r="J41" i="42"/>
  <c r="I41" i="42" s="1"/>
  <c r="AL61" i="42"/>
  <c r="AL77" i="42"/>
  <c r="AL53" i="42"/>
  <c r="AL40" i="42"/>
  <c r="AM40" i="42" s="1"/>
  <c r="AL34" i="42"/>
  <c r="AM40" i="86"/>
  <c r="I368" i="86"/>
  <c r="M28" i="86"/>
  <c r="J508" i="86"/>
  <c r="I508" i="86" s="1"/>
  <c r="AL55" i="86"/>
  <c r="AM55" i="86" s="1"/>
  <c r="AL67" i="86"/>
  <c r="AM67" i="86" s="1"/>
  <c r="AL34" i="86"/>
  <c r="AM34" i="86" s="1"/>
  <c r="I775" i="86"/>
  <c r="AM11" i="86"/>
  <c r="AL61" i="86"/>
  <c r="AL76" i="86" s="1"/>
  <c r="Q28" i="41"/>
  <c r="I217" i="41"/>
  <c r="AL55" i="41"/>
  <c r="AL53" i="41" s="1"/>
  <c r="AL76" i="41"/>
  <c r="AL32" i="41"/>
  <c r="AL74" i="41" s="1"/>
  <c r="AM67" i="41"/>
  <c r="O10" i="41"/>
  <c r="L21" i="1" s="1"/>
  <c r="L30" i="1" s="1"/>
  <c r="J13" i="41"/>
  <c r="I46" i="41"/>
  <c r="N28" i="41"/>
  <c r="AL32" i="169"/>
  <c r="AM32" i="169" s="1"/>
  <c r="AL75" i="169"/>
  <c r="AM75" i="169" s="1"/>
  <c r="AL76" i="169"/>
  <c r="AM76" i="169" s="1"/>
  <c r="AM61" i="169"/>
  <c r="AM34" i="169"/>
  <c r="I136" i="169"/>
  <c r="I26" i="169"/>
  <c r="AL67" i="169"/>
  <c r="AL77" i="169" s="1"/>
  <c r="AL34" i="71"/>
  <c r="AM34" i="71" s="1"/>
  <c r="AL61" i="71"/>
  <c r="AL76" i="71" s="1"/>
  <c r="AM76" i="71" s="1"/>
  <c r="AM69" i="44"/>
  <c r="AL79" i="44"/>
  <c r="AL13" i="44"/>
  <c r="J346" i="44"/>
  <c r="AI13" i="44"/>
  <c r="AL34" i="44"/>
  <c r="AL63" i="44"/>
  <c r="Y22" i="1"/>
  <c r="X22" i="1"/>
  <c r="AM55" i="66"/>
  <c r="J20" i="41"/>
  <c r="I20" i="41" s="1"/>
  <c r="I26" i="75"/>
  <c r="J12" i="75"/>
  <c r="I12" i="75" s="1"/>
  <c r="AL34" i="75"/>
  <c r="AL40" i="75"/>
  <c r="AM40" i="75" s="1"/>
  <c r="AL13" i="75"/>
  <c r="AL11" i="75" s="1"/>
  <c r="AM11" i="75" s="1"/>
  <c r="AL67" i="75"/>
  <c r="AM67" i="75" s="1"/>
  <c r="AL46" i="75"/>
  <c r="AM46" i="75" s="1"/>
  <c r="AL61" i="75"/>
  <c r="AL76" i="75" s="1"/>
  <c r="AM76" i="75" s="1"/>
  <c r="AL55" i="75"/>
  <c r="AM55" i="75" s="1"/>
  <c r="I25" i="111"/>
  <c r="I183" i="21"/>
  <c r="AM34" i="43"/>
  <c r="AM67" i="43"/>
  <c r="I19" i="43"/>
  <c r="AM32" i="43"/>
  <c r="I18" i="43"/>
  <c r="AM11" i="43"/>
  <c r="AM55" i="43"/>
  <c r="AM61" i="43"/>
  <c r="I20" i="43"/>
  <c r="I13" i="43"/>
  <c r="I123" i="42"/>
  <c r="I306" i="42"/>
  <c r="AM34" i="111"/>
  <c r="I19" i="111"/>
  <c r="I18" i="111"/>
  <c r="AM11" i="111"/>
  <c r="I20" i="111"/>
  <c r="I325" i="60"/>
  <c r="AM61" i="71"/>
  <c r="I12" i="71"/>
  <c r="I20" i="71"/>
  <c r="I18" i="71"/>
  <c r="AM11" i="71"/>
  <c r="J75" i="66"/>
  <c r="Q10" i="75"/>
  <c r="N29" i="1" s="1"/>
  <c r="I13" i="75"/>
  <c r="AM34" i="75"/>
  <c r="I74" i="75"/>
  <c r="I19" i="75"/>
  <c r="I18" i="75"/>
  <c r="I299" i="75"/>
  <c r="I482" i="75"/>
  <c r="AM40" i="21"/>
  <c r="I18" i="21"/>
  <c r="AM11" i="21"/>
  <c r="I30" i="21"/>
  <c r="AM69" i="58"/>
  <c r="AM34" i="58"/>
  <c r="AM63" i="58"/>
  <c r="I12" i="58"/>
  <c r="AM77" i="58"/>
  <c r="I13" i="58"/>
  <c r="AM78" i="58"/>
  <c r="I18" i="58"/>
  <c r="AM11" i="58"/>
  <c r="I20" i="58"/>
  <c r="AM55" i="58"/>
  <c r="I211" i="62"/>
  <c r="I181" i="42"/>
  <c r="AM34" i="42"/>
  <c r="I12" i="42"/>
  <c r="AM61" i="42"/>
  <c r="I19" i="42"/>
  <c r="I13" i="42"/>
  <c r="I18" i="42"/>
  <c r="AM11" i="42"/>
  <c r="I20" i="42"/>
  <c r="AM53" i="42"/>
  <c r="AM67" i="42"/>
  <c r="I13" i="169"/>
  <c r="I19" i="169"/>
  <c r="I198" i="169"/>
  <c r="I130" i="169"/>
  <c r="I20" i="169"/>
  <c r="I12" i="169"/>
  <c r="I18" i="169"/>
  <c r="I13" i="59"/>
  <c r="AM76" i="59"/>
  <c r="AM67" i="59"/>
  <c r="AM55" i="59"/>
  <c r="I363" i="60"/>
  <c r="AM34" i="60"/>
  <c r="AM61" i="60"/>
  <c r="I13" i="60"/>
  <c r="I20" i="60"/>
  <c r="I18" i="60"/>
  <c r="AM11" i="60"/>
  <c r="AM55" i="60"/>
  <c r="AM67" i="60"/>
  <c r="I19" i="60"/>
  <c r="AM32" i="60"/>
  <c r="AM61" i="14"/>
  <c r="AM40" i="14"/>
  <c r="I12" i="14"/>
  <c r="AM34" i="90"/>
  <c r="AM13" i="90"/>
  <c r="AM67" i="90"/>
  <c r="AM61" i="90"/>
  <c r="I19" i="90"/>
  <c r="AM32" i="90"/>
  <c r="I13" i="90"/>
  <c r="AM76" i="90"/>
  <c r="I18" i="90"/>
  <c r="AM11" i="90"/>
  <c r="AM55" i="90"/>
  <c r="AM55" i="61"/>
  <c r="AM67" i="61"/>
  <c r="I18" i="61"/>
  <c r="AM11" i="61"/>
  <c r="I20" i="61"/>
  <c r="AM61" i="61"/>
  <c r="I19" i="61"/>
  <c r="AM32" i="61"/>
  <c r="I13" i="61"/>
  <c r="AM76" i="61"/>
  <c r="I79" i="62"/>
  <c r="I200" i="62"/>
  <c r="AM34" i="51"/>
  <c r="AM61" i="51"/>
  <c r="I19" i="51"/>
  <c r="I18" i="51"/>
  <c r="AM11" i="51"/>
  <c r="AM55" i="51"/>
  <c r="AM40" i="51"/>
  <c r="I13" i="51"/>
  <c r="I12" i="51"/>
  <c r="AM34" i="101"/>
  <c r="I19" i="101"/>
  <c r="AM55" i="101"/>
  <c r="I13" i="101"/>
  <c r="AM76" i="101"/>
  <c r="I18" i="101"/>
  <c r="AM11" i="101"/>
  <c r="I20" i="101"/>
  <c r="I13" i="44"/>
  <c r="I19" i="44"/>
  <c r="I18" i="44"/>
  <c r="I12" i="44"/>
  <c r="I20" i="44"/>
  <c r="J19" i="41"/>
  <c r="AM13" i="86"/>
  <c r="AM61" i="86"/>
  <c r="AM34" i="62"/>
  <c r="AM61" i="62"/>
  <c r="AM13" i="62"/>
  <c r="AM46" i="62"/>
  <c r="I19" i="62"/>
  <c r="I20" i="62"/>
  <c r="AM40" i="62"/>
  <c r="AM55" i="62"/>
  <c r="AM67" i="62"/>
  <c r="I12" i="62"/>
  <c r="I18" i="62"/>
  <c r="AM11" i="62"/>
  <c r="I18" i="66"/>
  <c r="I18" i="41"/>
  <c r="AI14" i="41"/>
  <c r="I13" i="79"/>
  <c r="AM77" i="79"/>
  <c r="I19" i="79"/>
  <c r="AM55" i="79"/>
  <c r="AM61" i="79"/>
  <c r="I18" i="79"/>
  <c r="AM11" i="79"/>
  <c r="AM40" i="79"/>
  <c r="AM34" i="79"/>
  <c r="AM68" i="79"/>
  <c r="I88" i="21"/>
  <c r="I26" i="21"/>
  <c r="M10" i="21"/>
  <c r="J27" i="1" s="1"/>
  <c r="R14" i="66"/>
  <c r="R10" i="66" s="1"/>
  <c r="O12" i="1" s="1"/>
  <c r="J19" i="14"/>
  <c r="I19" i="14" s="1"/>
  <c r="N28" i="86"/>
  <c r="I117" i="42"/>
  <c r="I338" i="42"/>
  <c r="I207" i="75"/>
  <c r="I153" i="75"/>
  <c r="AG13" i="43"/>
  <c r="I243" i="58"/>
  <c r="I159" i="62"/>
  <c r="I30" i="42"/>
  <c r="I252" i="42"/>
  <c r="I112" i="42"/>
  <c r="M10" i="42"/>
  <c r="AI13" i="42"/>
  <c r="I378" i="42"/>
  <c r="I344" i="42"/>
  <c r="I477" i="42"/>
  <c r="R10" i="42"/>
  <c r="O23" i="1" s="1"/>
  <c r="AI15" i="42"/>
  <c r="P10" i="42"/>
  <c r="AI14" i="42"/>
  <c r="J45" i="86"/>
  <c r="I45" i="86" s="1"/>
  <c r="P10" i="41"/>
  <c r="I23" i="41"/>
  <c r="M10" i="41"/>
  <c r="Q10" i="41"/>
  <c r="N21" i="1" s="1"/>
  <c r="I202" i="61"/>
  <c r="I226" i="61"/>
  <c r="AI13" i="61"/>
  <c r="AH14" i="61"/>
  <c r="P10" i="61"/>
  <c r="AI14" i="61"/>
  <c r="M10" i="169"/>
  <c r="AI13" i="169"/>
  <c r="P10" i="169"/>
  <c r="AI14" i="169"/>
  <c r="R10" i="169"/>
  <c r="O19" i="1" s="1"/>
  <c r="AI15" i="169"/>
  <c r="AI15" i="59"/>
  <c r="AI13" i="59"/>
  <c r="L10" i="111"/>
  <c r="I99" i="111"/>
  <c r="P10" i="111"/>
  <c r="AI14" i="111"/>
  <c r="M10" i="111"/>
  <c r="AI13" i="111"/>
  <c r="R10" i="60"/>
  <c r="O16" i="1" s="1"/>
  <c r="AI15" i="60"/>
  <c r="M10" i="60"/>
  <c r="J16" i="1" s="1"/>
  <c r="AI13" i="60"/>
  <c r="I69" i="71"/>
  <c r="I224" i="71"/>
  <c r="R10" i="71"/>
  <c r="O14" i="1" s="1"/>
  <c r="AI15" i="71"/>
  <c r="M10" i="71"/>
  <c r="J14" i="1" s="1"/>
  <c r="AI13" i="71"/>
  <c r="P10" i="71"/>
  <c r="AI14" i="71"/>
  <c r="AG14" i="14"/>
  <c r="J13" i="14"/>
  <c r="AH15" i="14"/>
  <c r="P10" i="14"/>
  <c r="AI14" i="14"/>
  <c r="I242" i="66"/>
  <c r="J13" i="66"/>
  <c r="I245" i="66"/>
  <c r="N10" i="66"/>
  <c r="K12" i="1" s="1"/>
  <c r="I227" i="66"/>
  <c r="P10" i="66"/>
  <c r="AI14" i="66"/>
  <c r="AI13" i="66"/>
  <c r="P10" i="44"/>
  <c r="AI14" i="44"/>
  <c r="R10" i="44"/>
  <c r="O11" i="1" s="1"/>
  <c r="AI15" i="44"/>
  <c r="I189" i="79"/>
  <c r="P10" i="79"/>
  <c r="M10" i="1" s="1"/>
  <c r="AI14" i="79"/>
  <c r="M10" i="79"/>
  <c r="AI13" i="79"/>
  <c r="AH14" i="79"/>
  <c r="R28" i="90"/>
  <c r="I394" i="90"/>
  <c r="I310" i="90"/>
  <c r="I301" i="90"/>
  <c r="I219" i="90"/>
  <c r="I296" i="90"/>
  <c r="M10" i="75"/>
  <c r="J29" i="1" s="1"/>
  <c r="AI13" i="75"/>
  <c r="Q10" i="21"/>
  <c r="N27" i="1" s="1"/>
  <c r="AI14" i="21"/>
  <c r="J13" i="21"/>
  <c r="AH14" i="21"/>
  <c r="AI13" i="86"/>
  <c r="P10" i="86"/>
  <c r="M22" i="1" s="1"/>
  <c r="Q10" i="59"/>
  <c r="N17" i="1" s="1"/>
  <c r="AI14" i="59"/>
  <c r="I203" i="90"/>
  <c r="P10" i="90"/>
  <c r="AI14" i="90"/>
  <c r="M10" i="90"/>
  <c r="AI13" i="90"/>
  <c r="AH13" i="90"/>
  <c r="N10" i="21"/>
  <c r="K27" i="1" s="1"/>
  <c r="AI13" i="21"/>
  <c r="AI13" i="51"/>
  <c r="P10" i="51"/>
  <c r="M18" i="1" s="1"/>
  <c r="AI13" i="62"/>
  <c r="Q10" i="62"/>
  <c r="N24" i="1" s="1"/>
  <c r="AI14" i="62"/>
  <c r="J14" i="101"/>
  <c r="AI13" i="101"/>
  <c r="AI14" i="101"/>
  <c r="Q10" i="58"/>
  <c r="N25" i="1" s="1"/>
  <c r="AI14" i="58"/>
  <c r="N10" i="58"/>
  <c r="K25" i="1" s="1"/>
  <c r="AI13" i="58"/>
  <c r="I23" i="42"/>
  <c r="I269" i="66"/>
  <c r="I18" i="86"/>
  <c r="J12" i="66"/>
  <c r="J20" i="66"/>
  <c r="J294" i="86"/>
  <c r="I294" i="86" s="1"/>
  <c r="R14" i="75"/>
  <c r="AI15" i="75" s="1"/>
  <c r="I25" i="75"/>
  <c r="J22" i="62"/>
  <c r="I22" i="62" s="1"/>
  <c r="I26" i="42"/>
  <c r="AJ32" i="42"/>
  <c r="AJ33" i="42" s="1"/>
  <c r="J24" i="42"/>
  <c r="I262" i="42"/>
  <c r="I22" i="42"/>
  <c r="N14" i="41"/>
  <c r="N10" i="41" s="1"/>
  <c r="K21" i="1" s="1"/>
  <c r="J12" i="41"/>
  <c r="I112" i="41"/>
  <c r="I231" i="41"/>
  <c r="I203" i="41"/>
  <c r="I277" i="41"/>
  <c r="J19" i="66"/>
  <c r="I239" i="75"/>
  <c r="J12" i="86"/>
  <c r="I119" i="62"/>
  <c r="I260" i="61"/>
  <c r="I164" i="169"/>
  <c r="I195" i="169"/>
  <c r="I395" i="75"/>
  <c r="I36" i="75"/>
  <c r="I164" i="75"/>
  <c r="I462" i="75"/>
  <c r="I261" i="75"/>
  <c r="I194" i="51"/>
  <c r="I147" i="51"/>
  <c r="I57" i="51"/>
  <c r="I177" i="21"/>
  <c r="J19" i="21"/>
  <c r="I49" i="169"/>
  <c r="I214" i="169"/>
  <c r="I207" i="169"/>
  <c r="I574" i="86"/>
  <c r="I407" i="86"/>
  <c r="I834" i="86"/>
  <c r="I12" i="21"/>
  <c r="J15" i="21"/>
  <c r="I15" i="21" s="1"/>
  <c r="Q10" i="66"/>
  <c r="N12" i="1" s="1"/>
  <c r="I280" i="66"/>
  <c r="L10" i="66"/>
  <c r="I12" i="1" s="1"/>
  <c r="Q10" i="61"/>
  <c r="N20" i="1" s="1"/>
  <c r="N10" i="61"/>
  <c r="K20" i="1" s="1"/>
  <c r="I26" i="43"/>
  <c r="I23" i="43"/>
  <c r="I36" i="66"/>
  <c r="I22" i="66"/>
  <c r="I339" i="21"/>
  <c r="I264" i="21"/>
  <c r="I215" i="21"/>
  <c r="I26" i="111"/>
  <c r="I243" i="21"/>
  <c r="I22" i="21"/>
  <c r="I122" i="21"/>
  <c r="I221" i="61"/>
  <c r="I71" i="61"/>
  <c r="J28" i="169"/>
  <c r="I92" i="169"/>
  <c r="AJ32" i="169"/>
  <c r="AJ35" i="169" s="1"/>
  <c r="I104" i="169"/>
  <c r="I75" i="169"/>
  <c r="I232" i="169"/>
  <c r="I137" i="111"/>
  <c r="N28" i="79"/>
  <c r="I25" i="21"/>
  <c r="I24" i="60"/>
  <c r="I166" i="51"/>
  <c r="I346" i="44"/>
  <c r="I252" i="61"/>
  <c r="I139" i="61"/>
  <c r="I169" i="61"/>
  <c r="J83" i="61"/>
  <c r="I246" i="90"/>
  <c r="J12" i="61"/>
  <c r="I26" i="61"/>
  <c r="I25" i="58"/>
  <c r="I23" i="58"/>
  <c r="I22" i="58"/>
  <c r="I308" i="51"/>
  <c r="I20" i="51"/>
  <c r="R14" i="51"/>
  <c r="AI15" i="51" s="1"/>
  <c r="J16" i="51"/>
  <c r="I16" i="51" s="1"/>
  <c r="Q14" i="51"/>
  <c r="Q10" i="51" s="1"/>
  <c r="N18" i="1" s="1"/>
  <c r="I125" i="51"/>
  <c r="I239" i="51"/>
  <c r="I23" i="71"/>
  <c r="N14" i="1"/>
  <c r="I131" i="71"/>
  <c r="I24" i="51"/>
  <c r="I181" i="51"/>
  <c r="I77" i="51"/>
  <c r="I447" i="75"/>
  <c r="I475" i="75"/>
  <c r="I194" i="61"/>
  <c r="I183" i="60"/>
  <c r="I236" i="60"/>
  <c r="I431" i="60"/>
  <c r="I156" i="14"/>
  <c r="T30" i="1"/>
  <c r="I85" i="14"/>
  <c r="N10" i="14"/>
  <c r="K13" i="1" s="1"/>
  <c r="I23" i="51"/>
  <c r="I24" i="58"/>
  <c r="J24" i="61"/>
  <c r="I24" i="61" s="1"/>
  <c r="J15" i="14"/>
  <c r="I15" i="14" s="1"/>
  <c r="R10" i="14"/>
  <c r="O13" i="1" s="1"/>
  <c r="Q10" i="14"/>
  <c r="N13" i="1" s="1"/>
  <c r="J14" i="14"/>
  <c r="I20" i="14"/>
  <c r="Q10" i="90"/>
  <c r="N9" i="1" s="1"/>
  <c r="I185" i="90"/>
  <c r="I171" i="90"/>
  <c r="I153" i="90"/>
  <c r="I25" i="42"/>
  <c r="I148" i="111"/>
  <c r="I205" i="111"/>
  <c r="R14" i="111"/>
  <c r="AI15" i="111" s="1"/>
  <c r="J15" i="111"/>
  <c r="I15" i="111" s="1"/>
  <c r="I13" i="111"/>
  <c r="J80" i="111"/>
  <c r="I25" i="90"/>
  <c r="Q14" i="86"/>
  <c r="Q10" i="86" s="1"/>
  <c r="N22" i="1" s="1"/>
  <c r="I20" i="79"/>
  <c r="L10" i="79"/>
  <c r="I10" i="1" s="1"/>
  <c r="R14" i="79"/>
  <c r="J17" i="79"/>
  <c r="I17" i="79" s="1"/>
  <c r="L10" i="86"/>
  <c r="I22" i="1" s="1"/>
  <c r="I155" i="86"/>
  <c r="J20" i="86"/>
  <c r="I915" i="86"/>
  <c r="I864" i="86"/>
  <c r="I429" i="86"/>
  <c r="I130" i="86"/>
  <c r="I79" i="86"/>
  <c r="N10" i="86"/>
  <c r="K22" i="1" s="1"/>
  <c r="J19" i="86"/>
  <c r="R14" i="86"/>
  <c r="I26" i="86"/>
  <c r="I25" i="86"/>
  <c r="I553" i="86"/>
  <c r="I245" i="86"/>
  <c r="I822" i="86"/>
  <c r="J13" i="86"/>
  <c r="J15" i="86"/>
  <c r="I15" i="86" s="1"/>
  <c r="I22" i="86"/>
  <c r="I345" i="86"/>
  <c r="I283" i="86"/>
  <c r="I275" i="86"/>
  <c r="I730" i="86"/>
  <c r="I450" i="86"/>
  <c r="Q28" i="86"/>
  <c r="J24" i="86"/>
  <c r="I102" i="21"/>
  <c r="I224" i="62"/>
  <c r="I400" i="42"/>
  <c r="I312" i="42"/>
  <c r="I273" i="42"/>
  <c r="I444" i="86"/>
  <c r="I526" i="86"/>
  <c r="I702" i="86"/>
  <c r="I288" i="61"/>
  <c r="I123" i="61"/>
  <c r="I143" i="61"/>
  <c r="H30" i="1"/>
  <c r="I254" i="14"/>
  <c r="I23" i="90"/>
  <c r="Y30" i="1"/>
  <c r="I209" i="79"/>
  <c r="J167" i="79"/>
  <c r="I167" i="79" s="1"/>
  <c r="I399" i="79"/>
  <c r="I455" i="75"/>
  <c r="I502" i="75"/>
  <c r="I369" i="75"/>
  <c r="I170" i="75"/>
  <c r="I81" i="75"/>
  <c r="I450" i="75"/>
  <c r="I235" i="75"/>
  <c r="I486" i="75"/>
  <c r="I320" i="75"/>
  <c r="I112" i="75"/>
  <c r="I181" i="75"/>
  <c r="I272" i="101"/>
  <c r="I28" i="101" s="1"/>
  <c r="I24" i="101"/>
  <c r="I414" i="21"/>
  <c r="I130" i="21"/>
  <c r="I172" i="43"/>
  <c r="I153" i="62"/>
  <c r="I191" i="62"/>
  <c r="I183" i="62"/>
  <c r="I25" i="62"/>
  <c r="I238" i="62"/>
  <c r="I264" i="62"/>
  <c r="J28" i="42"/>
  <c r="I81" i="42"/>
  <c r="I157" i="42"/>
  <c r="I331" i="42"/>
  <c r="I366" i="42"/>
  <c r="I24" i="42"/>
  <c r="I295" i="42"/>
  <c r="Q10" i="42"/>
  <c r="J14" i="42"/>
  <c r="I374" i="42"/>
  <c r="I469" i="86"/>
  <c r="I220" i="86"/>
  <c r="I848" i="86"/>
  <c r="I230" i="86"/>
  <c r="I412" i="86"/>
  <c r="I422" i="86"/>
  <c r="I563" i="86"/>
  <c r="I641" i="86"/>
  <c r="I791" i="86"/>
  <c r="I237" i="86"/>
  <c r="I89" i="86"/>
  <c r="I23" i="86"/>
  <c r="I249" i="86"/>
  <c r="I532" i="86"/>
  <c r="I583" i="86"/>
  <c r="I630" i="86"/>
  <c r="I778" i="86"/>
  <c r="I794" i="86"/>
  <c r="I160" i="86"/>
  <c r="I714" i="86"/>
  <c r="I206" i="86"/>
  <c r="I382" i="86"/>
  <c r="I358" i="86"/>
  <c r="I69" i="41"/>
  <c r="I50" i="41"/>
  <c r="I30" i="41"/>
  <c r="I264" i="41"/>
  <c r="R10" i="41"/>
  <c r="O21" i="1" s="1"/>
  <c r="I135" i="41"/>
  <c r="I73" i="41"/>
  <c r="I154" i="41"/>
  <c r="I167" i="41"/>
  <c r="I209" i="61"/>
  <c r="I156" i="61"/>
  <c r="I115" i="61"/>
  <c r="I174" i="61"/>
  <c r="I141" i="169"/>
  <c r="I30" i="169"/>
  <c r="I270" i="169"/>
  <c r="I24" i="169"/>
  <c r="J10" i="169"/>
  <c r="J14" i="169"/>
  <c r="AM77" i="169" s="1"/>
  <c r="I22" i="51"/>
  <c r="I50" i="51"/>
  <c r="I243" i="51"/>
  <c r="I98" i="51"/>
  <c r="I118" i="51"/>
  <c r="I277" i="51"/>
  <c r="I23" i="111"/>
  <c r="I57" i="111"/>
  <c r="I377" i="60"/>
  <c r="I140" i="60"/>
  <c r="J14" i="71"/>
  <c r="I302" i="14"/>
  <c r="I401" i="14"/>
  <c r="I435" i="14"/>
  <c r="I448" i="14"/>
  <c r="I161" i="66"/>
  <c r="I254" i="66"/>
  <c r="I26" i="66"/>
  <c r="I154" i="66"/>
  <c r="I250" i="66"/>
  <c r="N10" i="90"/>
  <c r="K9" i="1" s="1"/>
  <c r="I277" i="66"/>
  <c r="I136" i="66"/>
  <c r="I115" i="66"/>
  <c r="I183" i="66"/>
  <c r="I75" i="66"/>
  <c r="I25" i="66"/>
  <c r="I207" i="66"/>
  <c r="I22" i="79"/>
  <c r="Q10" i="79"/>
  <c r="N10" i="1" s="1"/>
  <c r="I263" i="90"/>
  <c r="I24" i="90"/>
  <c r="I45" i="75"/>
  <c r="J138" i="21"/>
  <c r="R24" i="21"/>
  <c r="J24" i="21" s="1"/>
  <c r="R28" i="21"/>
  <c r="I275" i="21"/>
  <c r="J80" i="43"/>
  <c r="Q28" i="43"/>
  <c r="J114" i="43"/>
  <c r="R28" i="43"/>
  <c r="R14" i="58"/>
  <c r="AI15" i="58" s="1"/>
  <c r="J15" i="58"/>
  <c r="I15" i="58" s="1"/>
  <c r="J309" i="62"/>
  <c r="Q28" i="62"/>
  <c r="I30" i="62"/>
  <c r="R24" i="62"/>
  <c r="J24" i="62" s="1"/>
  <c r="R28" i="62"/>
  <c r="J90" i="62"/>
  <c r="J93" i="62"/>
  <c r="N28" i="62"/>
  <c r="I25" i="59"/>
  <c r="AJ32" i="59"/>
  <c r="AJ33" i="59" s="1"/>
  <c r="Q28" i="59"/>
  <c r="J17" i="60"/>
  <c r="I17" i="60" s="1"/>
  <c r="Q14" i="60"/>
  <c r="AI14" i="60" s="1"/>
  <c r="I331" i="62"/>
  <c r="I118" i="41"/>
  <c r="J15" i="61"/>
  <c r="I15" i="61" s="1"/>
  <c r="R14" i="61"/>
  <c r="AI15" i="61" s="1"/>
  <c r="I15" i="1"/>
  <c r="I57" i="90"/>
  <c r="I173" i="51"/>
  <c r="I101" i="14"/>
  <c r="J15" i="90"/>
  <c r="I15" i="90" s="1"/>
  <c r="R14" i="90"/>
  <c r="AI15" i="90" s="1"/>
  <c r="N28" i="90"/>
  <c r="J30" i="90"/>
  <c r="AJ32" i="90" s="1"/>
  <c r="AJ33" i="90" s="1"/>
  <c r="J12" i="1"/>
  <c r="I212" i="43"/>
  <c r="J106" i="58"/>
  <c r="R28" i="58"/>
  <c r="R28" i="75"/>
  <c r="J138" i="75"/>
  <c r="R24" i="75"/>
  <c r="J24" i="75" s="1"/>
  <c r="J30" i="75"/>
  <c r="N28" i="75"/>
  <c r="J208" i="21"/>
  <c r="N28" i="21"/>
  <c r="I17" i="21"/>
  <c r="L14" i="21"/>
  <c r="L10" i="21" s="1"/>
  <c r="I27" i="1" s="1"/>
  <c r="J12" i="43"/>
  <c r="M10" i="43"/>
  <c r="J133" i="43"/>
  <c r="N28" i="43"/>
  <c r="J139" i="58"/>
  <c r="Q28" i="58"/>
  <c r="I227" i="58"/>
  <c r="J70" i="43"/>
  <c r="M28" i="43"/>
  <c r="I150" i="43"/>
  <c r="L28" i="43"/>
  <c r="I155" i="43"/>
  <c r="J13" i="62"/>
  <c r="R10" i="62"/>
  <c r="R28" i="41"/>
  <c r="J86" i="41"/>
  <c r="N28" i="58"/>
  <c r="J78" i="58"/>
  <c r="I149" i="58"/>
  <c r="I126" i="62"/>
  <c r="L28" i="62"/>
  <c r="I214" i="62"/>
  <c r="M28" i="62"/>
  <c r="J229" i="62"/>
  <c r="J145" i="86"/>
  <c r="R28" i="86"/>
  <c r="J45" i="51"/>
  <c r="Q28" i="51"/>
  <c r="N28" i="51"/>
  <c r="J259" i="51"/>
  <c r="J34" i="111"/>
  <c r="R28" i="111"/>
  <c r="J167" i="111"/>
  <c r="Q28" i="111"/>
  <c r="J178" i="60"/>
  <c r="N28" i="60"/>
  <c r="J30" i="71"/>
  <c r="N28" i="71"/>
  <c r="R24" i="71"/>
  <c r="J24" i="71" s="1"/>
  <c r="J98" i="71"/>
  <c r="J28" i="71" s="1"/>
  <c r="N28" i="14"/>
  <c r="J182" i="14"/>
  <c r="AJ32" i="14" s="1"/>
  <c r="AJ33" i="14" s="1"/>
  <c r="I246" i="62"/>
  <c r="I869" i="86"/>
  <c r="I276" i="61"/>
  <c r="N24" i="111"/>
  <c r="J24" i="111" s="1"/>
  <c r="N28" i="111"/>
  <c r="J157" i="111"/>
  <c r="J46" i="66"/>
  <c r="N28" i="66"/>
  <c r="J56" i="66"/>
  <c r="N24" i="66"/>
  <c r="J24" i="66" s="1"/>
  <c r="I330" i="60"/>
  <c r="I163" i="90"/>
  <c r="J14" i="75"/>
  <c r="I14" i="75" s="1"/>
  <c r="R10" i="75"/>
  <c r="I189" i="66"/>
  <c r="I23" i="44"/>
  <c r="J12" i="79"/>
  <c r="I205" i="79"/>
  <c r="I182" i="79"/>
  <c r="I253" i="79"/>
  <c r="I244" i="79"/>
  <c r="AJ33" i="101"/>
  <c r="J20" i="90"/>
  <c r="J16" i="21"/>
  <c r="I16" i="21" s="1"/>
  <c r="J12" i="90"/>
  <c r="I12" i="111"/>
  <c r="J10" i="101"/>
  <c r="I24" i="44"/>
  <c r="X30" i="1"/>
  <c r="I73" i="79"/>
  <c r="I234" i="79"/>
  <c r="I218" i="79"/>
  <c r="I386" i="79"/>
  <c r="I51" i="79"/>
  <c r="I485" i="79"/>
  <c r="I162" i="79"/>
  <c r="I306" i="79"/>
  <c r="J24" i="79"/>
  <c r="I402" i="79"/>
  <c r="I332" i="79"/>
  <c r="I142" i="79"/>
  <c r="I329" i="79"/>
  <c r="I338" i="79"/>
  <c r="I356" i="79"/>
  <c r="I26" i="79"/>
  <c r="I312" i="79"/>
  <c r="I65" i="79"/>
  <c r="I213" i="79"/>
  <c r="I257" i="79"/>
  <c r="I275" i="79"/>
  <c r="I35" i="79"/>
  <c r="I317" i="79"/>
  <c r="N10" i="44"/>
  <c r="K11" i="1" s="1"/>
  <c r="J14" i="44"/>
  <c r="AM79" i="44" s="1"/>
  <c r="I28" i="44"/>
  <c r="J28" i="44"/>
  <c r="I25" i="44"/>
  <c r="I22" i="44"/>
  <c r="P10" i="59"/>
  <c r="O10" i="59"/>
  <c r="J14" i="59"/>
  <c r="J28" i="59"/>
  <c r="I18" i="59"/>
  <c r="I22" i="59"/>
  <c r="I12" i="59"/>
  <c r="J20" i="59"/>
  <c r="AM53" i="59" s="1"/>
  <c r="I114" i="71"/>
  <c r="I120" i="71"/>
  <c r="AM75" i="101" l="1"/>
  <c r="J14" i="66"/>
  <c r="AM77" i="66" s="1"/>
  <c r="AL77" i="86"/>
  <c r="AM76" i="41"/>
  <c r="AM53" i="62"/>
  <c r="AL53" i="61"/>
  <c r="AM53" i="61" s="1"/>
  <c r="AL53" i="60"/>
  <c r="AM53" i="60" s="1"/>
  <c r="AM53" i="66"/>
  <c r="AL76" i="66"/>
  <c r="AM76" i="66" s="1"/>
  <c r="J14" i="21"/>
  <c r="R10" i="21"/>
  <c r="O27" i="1" s="1"/>
  <c r="AL53" i="43"/>
  <c r="AM53" i="43" s="1"/>
  <c r="AI15" i="43"/>
  <c r="R10" i="43"/>
  <c r="O26" i="1" s="1"/>
  <c r="J14" i="43"/>
  <c r="AL75" i="61"/>
  <c r="AM75" i="61" s="1"/>
  <c r="AL74" i="61"/>
  <c r="AL32" i="111"/>
  <c r="AL75" i="111"/>
  <c r="AM75" i="111" s="1"/>
  <c r="AM61" i="111"/>
  <c r="AL76" i="111"/>
  <c r="AM76" i="111" s="1"/>
  <c r="AL53" i="111"/>
  <c r="AM53" i="111" s="1"/>
  <c r="AL74" i="60"/>
  <c r="AL75" i="66"/>
  <c r="AL32" i="66"/>
  <c r="AL74" i="66" s="1"/>
  <c r="AM75" i="66"/>
  <c r="AM61" i="66"/>
  <c r="AL32" i="79"/>
  <c r="AL76" i="79"/>
  <c r="AL53" i="90"/>
  <c r="AL74" i="90" s="1"/>
  <c r="AL75" i="90"/>
  <c r="AL32" i="59"/>
  <c r="AL75" i="59"/>
  <c r="AM75" i="59" s="1"/>
  <c r="J14" i="62"/>
  <c r="AM77" i="62" s="1"/>
  <c r="AM76" i="14"/>
  <c r="AM34" i="14"/>
  <c r="AM75" i="14"/>
  <c r="AM67" i="14"/>
  <c r="AL32" i="14"/>
  <c r="AL74" i="14" s="1"/>
  <c r="I13" i="14"/>
  <c r="J10" i="71"/>
  <c r="AM67" i="51"/>
  <c r="AL53" i="51"/>
  <c r="AM53" i="51" s="1"/>
  <c r="AL75" i="51"/>
  <c r="AM75" i="51" s="1"/>
  <c r="AL32" i="51"/>
  <c r="I13" i="41"/>
  <c r="AM32" i="58"/>
  <c r="AL77" i="101"/>
  <c r="AM77" i="101" s="1"/>
  <c r="AL53" i="101"/>
  <c r="AM53" i="101" s="1"/>
  <c r="AL53" i="21"/>
  <c r="AM53" i="21" s="1"/>
  <c r="AL77" i="21"/>
  <c r="AL75" i="21"/>
  <c r="AM75" i="21" s="1"/>
  <c r="AL32" i="21"/>
  <c r="AM32" i="21" s="1"/>
  <c r="AL32" i="62"/>
  <c r="AL76" i="42"/>
  <c r="AM76" i="42" s="1"/>
  <c r="AL32" i="42"/>
  <c r="AL75" i="42"/>
  <c r="AM75" i="42" s="1"/>
  <c r="AL32" i="86"/>
  <c r="AM32" i="86" s="1"/>
  <c r="AL75" i="86"/>
  <c r="AM75" i="86" s="1"/>
  <c r="AL53" i="86"/>
  <c r="AM53" i="86" s="1"/>
  <c r="AM53" i="41"/>
  <c r="AL75" i="41"/>
  <c r="AM75" i="41" s="1"/>
  <c r="AM55" i="41"/>
  <c r="I19" i="41"/>
  <c r="AM32" i="41"/>
  <c r="AM67" i="169"/>
  <c r="AL53" i="169"/>
  <c r="AM53" i="169" s="1"/>
  <c r="AL53" i="71"/>
  <c r="AM53" i="71" s="1"/>
  <c r="AL32" i="71"/>
  <c r="AL75" i="71"/>
  <c r="AM75" i="71" s="1"/>
  <c r="AM34" i="44"/>
  <c r="AL77" i="44"/>
  <c r="AM77" i="44" s="1"/>
  <c r="AL32" i="44"/>
  <c r="AM32" i="44" s="1"/>
  <c r="AM63" i="44"/>
  <c r="AL78" i="44"/>
  <c r="AM78" i="44" s="1"/>
  <c r="AL55" i="44"/>
  <c r="AM55" i="44" s="1"/>
  <c r="AM13" i="44"/>
  <c r="AL11" i="44"/>
  <c r="AM13" i="75"/>
  <c r="AL53" i="75"/>
  <c r="AM53" i="75" s="1"/>
  <c r="AL77" i="75"/>
  <c r="AM77" i="75" s="1"/>
  <c r="AM61" i="75"/>
  <c r="AL75" i="75"/>
  <c r="AM75" i="75" s="1"/>
  <c r="AL32" i="75"/>
  <c r="AM32" i="75" s="1"/>
  <c r="AJ32" i="21"/>
  <c r="AJ33" i="21" s="1"/>
  <c r="I12" i="43"/>
  <c r="AM75" i="43"/>
  <c r="AJ32" i="111"/>
  <c r="AJ33" i="111" s="1"/>
  <c r="I14" i="71"/>
  <c r="AM77" i="71"/>
  <c r="I10" i="71"/>
  <c r="I19" i="21"/>
  <c r="I13" i="21"/>
  <c r="AM76" i="21"/>
  <c r="I14" i="42"/>
  <c r="AM77" i="42"/>
  <c r="I14" i="169"/>
  <c r="I14" i="59"/>
  <c r="AM77" i="59"/>
  <c r="R10" i="51"/>
  <c r="O18" i="1" s="1"/>
  <c r="I14" i="14"/>
  <c r="AM77" i="14"/>
  <c r="I12" i="90"/>
  <c r="AM75" i="90"/>
  <c r="I20" i="90"/>
  <c r="I12" i="61"/>
  <c r="I14" i="101"/>
  <c r="I14" i="44"/>
  <c r="I13" i="86"/>
  <c r="AM76" i="86"/>
  <c r="I19" i="86"/>
  <c r="I20" i="86"/>
  <c r="I12" i="86"/>
  <c r="I13" i="62"/>
  <c r="AM76" i="62"/>
  <c r="I14" i="62"/>
  <c r="AI15" i="66"/>
  <c r="I14" i="66"/>
  <c r="I19" i="66"/>
  <c r="I12" i="66"/>
  <c r="I20" i="66"/>
  <c r="I13" i="66"/>
  <c r="J10" i="41"/>
  <c r="AM74" i="41" s="1"/>
  <c r="I12" i="41"/>
  <c r="I12" i="79"/>
  <c r="AM76" i="79"/>
  <c r="J14" i="41"/>
  <c r="AM77" i="41" s="1"/>
  <c r="AI13" i="41"/>
  <c r="M30" i="1"/>
  <c r="J10" i="66"/>
  <c r="J14" i="79"/>
  <c r="AI15" i="79"/>
  <c r="R10" i="86"/>
  <c r="O22" i="1" s="1"/>
  <c r="AI15" i="86"/>
  <c r="AI14" i="86"/>
  <c r="AI14" i="51"/>
  <c r="R10" i="79"/>
  <c r="O10" i="1" s="1"/>
  <c r="G14" i="1"/>
  <c r="J10" i="59"/>
  <c r="G17" i="1" s="1"/>
  <c r="J28" i="61"/>
  <c r="J28" i="79"/>
  <c r="AJ32" i="79"/>
  <c r="AJ33" i="79" s="1"/>
  <c r="I83" i="61"/>
  <c r="AJ32" i="61"/>
  <c r="AJ33" i="61" s="1"/>
  <c r="I28" i="61"/>
  <c r="J14" i="51"/>
  <c r="I28" i="169"/>
  <c r="I24" i="86"/>
  <c r="J10" i="14"/>
  <c r="R10" i="111"/>
  <c r="J14" i="111"/>
  <c r="I80" i="111"/>
  <c r="J14" i="86"/>
  <c r="J28" i="62"/>
  <c r="I28" i="42"/>
  <c r="K30" i="1"/>
  <c r="I24" i="79"/>
  <c r="N23" i="1"/>
  <c r="J10" i="42"/>
  <c r="I10" i="169"/>
  <c r="G19" i="1"/>
  <c r="G28" i="1"/>
  <c r="I10" i="101"/>
  <c r="I56" i="66"/>
  <c r="I46" i="66"/>
  <c r="J28" i="66"/>
  <c r="AJ32" i="66"/>
  <c r="AJ33" i="66" s="1"/>
  <c r="I24" i="71"/>
  <c r="AJ32" i="71"/>
  <c r="AJ33" i="71" s="1"/>
  <c r="I30" i="71"/>
  <c r="I178" i="60"/>
  <c r="I28" i="60" s="1"/>
  <c r="J28" i="60"/>
  <c r="AJ32" i="60"/>
  <c r="AJ33" i="60" s="1"/>
  <c r="I167" i="111"/>
  <c r="I34" i="111"/>
  <c r="J28" i="111"/>
  <c r="I45" i="51"/>
  <c r="J28" i="51"/>
  <c r="AJ32" i="51"/>
  <c r="AJ33" i="51" s="1"/>
  <c r="I229" i="62"/>
  <c r="J28" i="43"/>
  <c r="I70" i="43"/>
  <c r="AJ32" i="43"/>
  <c r="AJ33" i="43" s="1"/>
  <c r="I139" i="58"/>
  <c r="I133" i="43"/>
  <c r="I208" i="21"/>
  <c r="AJ32" i="75"/>
  <c r="AJ33" i="75" s="1"/>
  <c r="J28" i="75"/>
  <c r="I30" i="75"/>
  <c r="I138" i="75"/>
  <c r="I30" i="90"/>
  <c r="I28" i="90" s="1"/>
  <c r="J28" i="90"/>
  <c r="R10" i="90"/>
  <c r="J14" i="90"/>
  <c r="I28" i="59"/>
  <c r="I93" i="62"/>
  <c r="I138" i="21"/>
  <c r="J28" i="21"/>
  <c r="I14" i="21"/>
  <c r="I30" i="1"/>
  <c r="O29" i="1"/>
  <c r="J10" i="75"/>
  <c r="I24" i="66"/>
  <c r="I157" i="111"/>
  <c r="I24" i="111"/>
  <c r="I182" i="14"/>
  <c r="I28" i="14" s="1"/>
  <c r="I98" i="71"/>
  <c r="I259" i="51"/>
  <c r="I145" i="86"/>
  <c r="I28" i="86" s="1"/>
  <c r="J28" i="86"/>
  <c r="AJ32" i="86"/>
  <c r="AJ33" i="86" s="1"/>
  <c r="I78" i="58"/>
  <c r="J28" i="58"/>
  <c r="AJ34" i="58"/>
  <c r="AJ37" i="58" s="1"/>
  <c r="I86" i="41"/>
  <c r="I28" i="41" s="1"/>
  <c r="J28" i="41"/>
  <c r="AJ32" i="41"/>
  <c r="AJ33" i="41" s="1"/>
  <c r="O24" i="1"/>
  <c r="J10" i="62"/>
  <c r="J26" i="1"/>
  <c r="J10" i="43"/>
  <c r="I24" i="75"/>
  <c r="I106" i="58"/>
  <c r="R10" i="61"/>
  <c r="J14" i="61"/>
  <c r="Q10" i="60"/>
  <c r="J14" i="60"/>
  <c r="I90" i="62"/>
  <c r="I24" i="62"/>
  <c r="I309" i="62"/>
  <c r="R10" i="58"/>
  <c r="J14" i="58"/>
  <c r="I114" i="43"/>
  <c r="I80" i="43"/>
  <c r="I24" i="21"/>
  <c r="J28" i="14"/>
  <c r="AJ32" i="62"/>
  <c r="AJ33" i="62" s="1"/>
  <c r="J10" i="44"/>
  <c r="I28" i="79"/>
  <c r="I20" i="59"/>
  <c r="F14" i="1"/>
  <c r="J10" i="21" l="1"/>
  <c r="I10" i="21" s="1"/>
  <c r="AM77" i="21"/>
  <c r="AL74" i="43"/>
  <c r="AM74" i="43" s="1"/>
  <c r="J10" i="51"/>
  <c r="I10" i="51" s="1"/>
  <c r="AM53" i="90"/>
  <c r="I14" i="43"/>
  <c r="AM77" i="43"/>
  <c r="AL74" i="111"/>
  <c r="AM32" i="111"/>
  <c r="I28" i="66"/>
  <c r="AM32" i="66"/>
  <c r="AL75" i="79"/>
  <c r="AM32" i="79"/>
  <c r="AL74" i="59"/>
  <c r="AM32" i="59"/>
  <c r="AM32" i="14"/>
  <c r="G27" i="1"/>
  <c r="AJ35" i="111"/>
  <c r="AL74" i="51"/>
  <c r="AM74" i="51" s="1"/>
  <c r="AM32" i="51"/>
  <c r="AL74" i="21"/>
  <c r="AM74" i="21" s="1"/>
  <c r="AL74" i="101"/>
  <c r="AM74" i="101" s="1"/>
  <c r="AL74" i="62"/>
  <c r="AM74" i="62" s="1"/>
  <c r="AM32" i="62"/>
  <c r="AL74" i="42"/>
  <c r="AM32" i="42"/>
  <c r="AM74" i="42"/>
  <c r="AL74" i="86"/>
  <c r="AL74" i="169"/>
  <c r="AM74" i="169" s="1"/>
  <c r="AL74" i="71"/>
  <c r="AM74" i="71" s="1"/>
  <c r="AM32" i="71"/>
  <c r="AL76" i="44"/>
  <c r="AM76" i="44" s="1"/>
  <c r="AM11" i="44"/>
  <c r="AM74" i="66"/>
  <c r="AL74" i="75"/>
  <c r="AM74" i="75" s="1"/>
  <c r="I14" i="111"/>
  <c r="AM77" i="111"/>
  <c r="I14" i="58"/>
  <c r="AM79" i="58"/>
  <c r="AM74" i="59"/>
  <c r="I14" i="60"/>
  <c r="AM77" i="60"/>
  <c r="G13" i="1"/>
  <c r="AM74" i="14"/>
  <c r="I14" i="90"/>
  <c r="AM77" i="90"/>
  <c r="I14" i="61"/>
  <c r="AM77" i="61"/>
  <c r="I14" i="51"/>
  <c r="AM77" i="51"/>
  <c r="I10" i="44"/>
  <c r="I14" i="86"/>
  <c r="AM77" i="86"/>
  <c r="I10" i="66"/>
  <c r="F12" i="1" s="1"/>
  <c r="Z12" i="1" s="1"/>
  <c r="G12" i="1"/>
  <c r="I10" i="41"/>
  <c r="F21" i="1" s="1"/>
  <c r="Z21" i="1" s="1"/>
  <c r="G21" i="1"/>
  <c r="I14" i="41"/>
  <c r="I14" i="79"/>
  <c r="AM78" i="79"/>
  <c r="J10" i="86"/>
  <c r="G22" i="1" s="1"/>
  <c r="J10" i="79"/>
  <c r="I10" i="59"/>
  <c r="F17" i="1" s="1"/>
  <c r="Z17" i="1" s="1"/>
  <c r="I10" i="14"/>
  <c r="O15" i="1"/>
  <c r="J10" i="111"/>
  <c r="I28" i="21"/>
  <c r="G11" i="1"/>
  <c r="I28" i="62"/>
  <c r="G23" i="1"/>
  <c r="I10" i="42"/>
  <c r="F19" i="1"/>
  <c r="Z19" i="1" s="1"/>
  <c r="G18" i="1"/>
  <c r="N16" i="1"/>
  <c r="J10" i="60"/>
  <c r="AM74" i="60" s="1"/>
  <c r="O20" i="1"/>
  <c r="J10" i="61"/>
  <c r="AM74" i="61" s="1"/>
  <c r="I10" i="43"/>
  <c r="G26" i="1"/>
  <c r="G24" i="1"/>
  <c r="I10" i="62"/>
  <c r="O9" i="1"/>
  <c r="J10" i="90"/>
  <c r="AM74" i="90" s="1"/>
  <c r="F27" i="1"/>
  <c r="Z27" i="1" s="1"/>
  <c r="F28" i="1"/>
  <c r="Z28" i="1" s="1"/>
  <c r="I28" i="43"/>
  <c r="I28" i="111"/>
  <c r="O25" i="1"/>
  <c r="J10" i="58"/>
  <c r="AM76" i="58" s="1"/>
  <c r="I10" i="75"/>
  <c r="G29" i="1"/>
  <c r="I28" i="58"/>
  <c r="J30" i="1"/>
  <c r="I28" i="75"/>
  <c r="I28" i="51"/>
  <c r="I28" i="71"/>
  <c r="Z14" i="1"/>
  <c r="AM74" i="111" l="1"/>
  <c r="G10" i="1"/>
  <c r="F11" i="1"/>
  <c r="Z11" i="1" s="1"/>
  <c r="I10" i="86"/>
  <c r="AM74" i="86"/>
  <c r="I10" i="79"/>
  <c r="AM75" i="79"/>
  <c r="F13" i="1"/>
  <c r="Z13" i="1" s="1"/>
  <c r="G15" i="1"/>
  <c r="I10" i="111"/>
  <c r="F23" i="1"/>
  <c r="Z23" i="1" s="1"/>
  <c r="F18" i="1"/>
  <c r="Z18" i="1" s="1"/>
  <c r="G9" i="1"/>
  <c r="I10" i="90"/>
  <c r="F24" i="1"/>
  <c r="Z24" i="1" s="1"/>
  <c r="G20" i="1"/>
  <c r="I10" i="61"/>
  <c r="G16" i="1"/>
  <c r="I10" i="60"/>
  <c r="F29" i="1"/>
  <c r="Z29" i="1" s="1"/>
  <c r="I10" i="58"/>
  <c r="G25" i="1"/>
  <c r="F26" i="1"/>
  <c r="Z26" i="1" s="1"/>
  <c r="N30" i="1"/>
  <c r="O30" i="1"/>
  <c r="F22" i="1" l="1"/>
  <c r="Z22" i="1" s="1"/>
  <c r="F10" i="1"/>
  <c r="Z10" i="1" s="1"/>
  <c r="F15" i="1"/>
  <c r="Z15" i="1" s="1"/>
  <c r="F25" i="1"/>
  <c r="Z25" i="1" s="1"/>
  <c r="F16" i="1"/>
  <c r="Z16" i="1" s="1"/>
  <c r="F9" i="1"/>
  <c r="G30" i="1"/>
  <c r="F20" i="1"/>
  <c r="Z20" i="1" s="1"/>
  <c r="Z9" i="1" l="1"/>
  <c r="F30" i="1"/>
</calcChain>
</file>

<file path=xl/sharedStrings.xml><?xml version="1.0" encoding="utf-8"?>
<sst xmlns="http://schemas.openxmlformats.org/spreadsheetml/2006/main" count="24201" uniqueCount="11651">
  <si>
    <t>Перерожки-Верхи км 0,0-4,000</t>
  </si>
  <si>
    <t>км 0,700-4,000</t>
  </si>
  <si>
    <t>Ясенец-Малая Горожа км 0,0-1,600</t>
  </si>
  <si>
    <t>км 0,650-0,900</t>
  </si>
  <si>
    <t>км 0,0-0,597</t>
  </si>
  <si>
    <t>км 0,597-0,940</t>
  </si>
  <si>
    <t>км 0,523-2,700</t>
  </si>
  <si>
    <t>км 0,0-0,047</t>
  </si>
  <si>
    <t>км 0,047-2,243</t>
  </si>
  <si>
    <t>км 2,246-2,260</t>
  </si>
  <si>
    <t>км 2,260-3,598 совмещен с Н-10329 Ректа-Шишево-Нежково</t>
  </si>
  <si>
    <t>км 3,598-3,616</t>
  </si>
  <si>
    <t>км 3,616-5,700</t>
  </si>
  <si>
    <t>км 5,700-6,132</t>
  </si>
  <si>
    <t>Шишево-Орлы км 0,0-6,132</t>
  </si>
  <si>
    <t>км 0,984-17,014</t>
  </si>
  <si>
    <t>км 17,014-18,019 совмещен с Р-26 Толочин-Круглое-Вишов</t>
  </si>
  <si>
    <t>км 10,638-10,744</t>
  </si>
  <si>
    <t>км 10,540-10,638</t>
  </si>
  <si>
    <t>км 10,744-10,928</t>
  </si>
  <si>
    <t>км 10,928-12,009</t>
  </si>
  <si>
    <t>км 10,460-10,540</t>
  </si>
  <si>
    <t>км 0,0-6,406</t>
  </si>
  <si>
    <t>км 6,406-10,460</t>
  </si>
  <si>
    <t>в т.ч. деревянные</t>
  </si>
  <si>
    <t>м.пог.</t>
  </si>
  <si>
    <t>км 0,300-0,850</t>
  </si>
  <si>
    <t>км 12,079-12,256</t>
  </si>
  <si>
    <t>км 12,256-12,689</t>
  </si>
  <si>
    <t>км 12,689-14,337</t>
  </si>
  <si>
    <t>км 19,132-19,732</t>
  </si>
  <si>
    <t>как узнога-новики 3,9 км</t>
  </si>
  <si>
    <t>км 0,0-19,873</t>
  </si>
  <si>
    <t>км 19,873-22,100</t>
  </si>
  <si>
    <t>Остров-Склимин км 0,0-12,830</t>
  </si>
  <si>
    <t>км 1,447-2,834</t>
  </si>
  <si>
    <t>Белынковичи-Белый Камень км 0,0-2,800</t>
  </si>
  <si>
    <t>Подъезды от автодороги Р-119 Славгород-Никоновичи (до автомобильной дороги М-8/Е 95):</t>
  </si>
  <si>
    <t>км 0,0-4,870</t>
  </si>
  <si>
    <t>М-8</t>
  </si>
  <si>
    <t>Р-119</t>
  </si>
  <si>
    <t>Р-97</t>
  </si>
  <si>
    <t>Н-11047</t>
  </si>
  <si>
    <t>Н-11048</t>
  </si>
  <si>
    <t>Батунь-Жабин-Подберезье км 0,0-2,500</t>
  </si>
  <si>
    <t>Наименование автомобильной дороги</t>
  </si>
  <si>
    <t>км 0,0-1,549</t>
  </si>
  <si>
    <t>км 1,549-8,811</t>
  </si>
  <si>
    <t>км 8,811-13,508</t>
  </si>
  <si>
    <t>км 13,508-15,750</t>
  </si>
  <si>
    <t>км 0,000-0,010</t>
  </si>
  <si>
    <t>км 0,010-0,553</t>
  </si>
  <si>
    <t>км 0,553-0,625</t>
  </si>
  <si>
    <t>км 0,625-2,520</t>
  </si>
  <si>
    <t>км 4,630-5,277</t>
  </si>
  <si>
    <t>км 0,000-1,163</t>
  </si>
  <si>
    <t>км 1,163-3,066</t>
  </si>
  <si>
    <t>км 3,258-11,000</t>
  </si>
  <si>
    <t>км 11,000-11,778</t>
  </si>
  <si>
    <t>Черневка-Белая-Рябки км 0,0-11,778</t>
  </si>
  <si>
    <t>км 0,0-3,258</t>
  </si>
  <si>
    <t>Рясно-Красное км 0,0-5,144</t>
  </si>
  <si>
    <t>км 0,0-4,964</t>
  </si>
  <si>
    <t>км 4,964-8,737</t>
  </si>
  <si>
    <t>Лесковка-Каребы-Затоны км 0,0-8,737</t>
  </si>
  <si>
    <t>км 2,520-4,180</t>
  </si>
  <si>
    <t>км 4,180-4,630</t>
  </si>
  <si>
    <t>км 8,180-8,620</t>
  </si>
  <si>
    <t>Езеры-Звезда-Заозерье-Селище км 0,0-4,000</t>
  </si>
  <si>
    <t>км 0,450-3,850</t>
  </si>
  <si>
    <t>км 3,850-4,000</t>
  </si>
  <si>
    <t>Н-10836</t>
  </si>
  <si>
    <t>№</t>
  </si>
  <si>
    <t>км 3,520-3,700</t>
  </si>
  <si>
    <t>Н-10866</t>
  </si>
  <si>
    <t>Н-10867</t>
  </si>
  <si>
    <t>Н-10868</t>
  </si>
  <si>
    <t>Чигиринка-Немки-Гоголь км 0,0-5,000</t>
  </si>
  <si>
    <t>км 2,580-3,680</t>
  </si>
  <si>
    <t>км 41,931-45,500</t>
  </si>
  <si>
    <t>км 45,500-46,000</t>
  </si>
  <si>
    <t>км 46,000-50,523</t>
  </si>
  <si>
    <t>км 50,523-51,600</t>
  </si>
  <si>
    <t>км 51,600-52,013</t>
  </si>
  <si>
    <t>км 52,013-52,173</t>
  </si>
  <si>
    <t>км 52,173-52,982</t>
  </si>
  <si>
    <t>км 3,850-4,460 совмещен с Н-11431 Чаусы-Заложье</t>
  </si>
  <si>
    <t>км 4,460-6,540</t>
  </si>
  <si>
    <t>Дужевка-Пороевка-Кононовка км 0,0-5,760</t>
  </si>
  <si>
    <t>км 1,280-4,070</t>
  </si>
  <si>
    <t>км 4,070-5,760</t>
  </si>
  <si>
    <t>км 0,0-0,290</t>
  </si>
  <si>
    <t>км 0,290-4,230</t>
  </si>
  <si>
    <t>ул гр 0,435-0,82</t>
  </si>
  <si>
    <t>Родня-Соболевка км 0,0-7,498</t>
  </si>
  <si>
    <t>км 0,0-5,061</t>
  </si>
  <si>
    <t>км 5,061-5,117</t>
  </si>
  <si>
    <t>Хотень-Круглое км 0,0-1,713</t>
  </si>
  <si>
    <t>км 0,0-5,038</t>
  </si>
  <si>
    <t>км 5,038-5,900</t>
  </si>
  <si>
    <t>км 0,0-0,894</t>
  </si>
  <si>
    <t>км 0,894-11,373</t>
  </si>
  <si>
    <t>Павловичи-Лозовица км 0,0-4,112</t>
  </si>
  <si>
    <t>Старый Дедин-Роськов-Кулешовка км 0,0-7,300</t>
  </si>
  <si>
    <t>км 0,0-3,205</t>
  </si>
  <si>
    <t>км 3,205-7,300</t>
  </si>
  <si>
    <t>Свирель-Блиунг км 0,0-2,554</t>
  </si>
  <si>
    <t xml:space="preserve"> Макеевичи-Ильюхино км 0,0-2,687</t>
  </si>
  <si>
    <t>км 0,0-0,384</t>
  </si>
  <si>
    <t>Борисовка-Полошково км 0,0-3,133</t>
  </si>
  <si>
    <t>км 0,384-2,430</t>
  </si>
  <si>
    <t>км 2,430-3,133</t>
  </si>
  <si>
    <t>км 0,0-1,732</t>
  </si>
  <si>
    <t>км 1,732-1,736</t>
  </si>
  <si>
    <t>км 0,0-1,576</t>
  </si>
  <si>
    <t>км 1,576-3,060</t>
  </si>
  <si>
    <t>как каребы-халипы</t>
  </si>
  <si>
    <t>км 0,511-1,405</t>
  </si>
  <si>
    <t>Н-11016</t>
  </si>
  <si>
    <t>Н-11017</t>
  </si>
  <si>
    <t>км 1,400-3,040</t>
  </si>
  <si>
    <t>км 0,00-0,500</t>
  </si>
  <si>
    <t>км 0,500-0,775</t>
  </si>
  <si>
    <t>Новая Добосна-Лещенка км 0,0-2,750</t>
  </si>
  <si>
    <t>Самодумовка-Новое Залитвинье-Старое Залитвинье км 0,0-5,520</t>
  </si>
  <si>
    <t>Ракшино-Заполье км 0,0-4,300</t>
  </si>
  <si>
    <t xml:space="preserve"> Жарки</t>
  </si>
  <si>
    <t>км 3,700-5,700</t>
  </si>
  <si>
    <t>км 2,100-3,800</t>
  </si>
  <si>
    <t>км 0,015-0,115</t>
  </si>
  <si>
    <t>км 8,930-10,000</t>
  </si>
  <si>
    <t>км 0,0-8,930</t>
  </si>
  <si>
    <t>км 4,320-8,860</t>
  </si>
  <si>
    <t>км 0,220-4,320</t>
  </si>
  <si>
    <t>км 3,460-5,100</t>
  </si>
  <si>
    <t>км 0,000-3,460</t>
  </si>
  <si>
    <t>км 5,300-6,500</t>
  </si>
  <si>
    <t>км 6,500-7,020</t>
  </si>
  <si>
    <t>км 4,520-5,300</t>
  </si>
  <si>
    <t>км 2,500-9,338</t>
  </si>
  <si>
    <t>км 30,360-34,590</t>
  </si>
  <si>
    <t>км 0,0-30,360</t>
  </si>
  <si>
    <t>км 21,130-22,130</t>
  </si>
  <si>
    <t>км 6,000-10,327</t>
  </si>
  <si>
    <t>км 1,330-6,000</t>
  </si>
  <si>
    <t>км 3,680-5,000</t>
  </si>
  <si>
    <t>17 (расп.ОДС)</t>
  </si>
  <si>
    <t>Сиваи-Торгонщина км 0,0-6,100</t>
  </si>
  <si>
    <t>км 3,458-4,980</t>
  </si>
  <si>
    <t>км 4,980-6,100</t>
  </si>
  <si>
    <t>км 4,346-5,000</t>
  </si>
  <si>
    <t>км 0,0-4,376</t>
  </si>
  <si>
    <t>км 4,376-5,736</t>
  </si>
  <si>
    <t>км 5,736-8,003</t>
  </si>
  <si>
    <t>Саприновичи-Яновка км 0,0-0,950</t>
  </si>
  <si>
    <t>Забочев-Каменка км 0,0-3,000</t>
  </si>
  <si>
    <t>Старые Максимовичи-Старые Наборки-Новые Максимовичи км 0,0-6,190</t>
  </si>
  <si>
    <t>км 4,450-6,190</t>
  </si>
  <si>
    <t>км 1,800-2,800</t>
  </si>
  <si>
    <t>М-5</t>
  </si>
  <si>
    <t>П-1</t>
  </si>
  <si>
    <t>П-2</t>
  </si>
  <si>
    <t>Р-31</t>
  </si>
  <si>
    <t>Р-34</t>
  </si>
  <si>
    <t>Р-43</t>
  </si>
  <si>
    <t>Р-55</t>
  </si>
  <si>
    <t>Р-67</t>
  </si>
  <si>
    <t>км 0,0-4,190</t>
  </si>
  <si>
    <t>Н-10178</t>
  </si>
  <si>
    <t>Н-10180</t>
  </si>
  <si>
    <t>км 0,0-2,280</t>
  </si>
  <si>
    <t>км 4,430-5,780</t>
  </si>
  <si>
    <t>км 5,780-8,350</t>
  </si>
  <si>
    <t xml:space="preserve"> км 0,0-0,500</t>
  </si>
  <si>
    <t>Свирель-Зимницы км 0,0-3,600</t>
  </si>
  <si>
    <t>км 1,800-3,600</t>
  </si>
  <si>
    <t>подъезд к Забелышинский прудок 0,0-1,0</t>
  </si>
  <si>
    <t>подъезд к Дружба 0,0-6,6</t>
  </si>
  <si>
    <t>подъезд к Слабуты, 0,0-3,0</t>
  </si>
  <si>
    <t>Бель-Залесье-Ананичи 0,0-6,1</t>
  </si>
  <si>
    <t>470-р на км 0-4,2</t>
  </si>
  <si>
    <t>км 1,400-2,000</t>
  </si>
  <si>
    <t>км 3,570-4,000</t>
  </si>
  <si>
    <t>км 8,914-8,937</t>
  </si>
  <si>
    <t>Досовичи-Подбродье км 0,0-4,000</t>
  </si>
  <si>
    <t>Болоновка-Галеевка-Короткие км 0,0-5,100</t>
  </si>
  <si>
    <t>км 0,0-1,060</t>
  </si>
  <si>
    <t>км 1,060-2,900</t>
  </si>
  <si>
    <t>Горы-Волынцево-Быстрая км 0,0-11,900</t>
  </si>
  <si>
    <t>км 0,0-1,840</t>
  </si>
  <si>
    <t>км 1,840-6,920</t>
  </si>
  <si>
    <t>*</t>
  </si>
  <si>
    <t>км 0,200-0,450</t>
  </si>
  <si>
    <t>км 0,450-0,690</t>
  </si>
  <si>
    <t>км 0,100-1,260</t>
  </si>
  <si>
    <t>км 1,260-2,460</t>
  </si>
  <si>
    <t>км 2,460-5,966</t>
  </si>
  <si>
    <t>Н-11206</t>
  </si>
  <si>
    <t>Н-11207</t>
  </si>
  <si>
    <t>Н-11208</t>
  </si>
  <si>
    <t>Н-11209</t>
  </si>
  <si>
    <t>Н-11210</t>
  </si>
  <si>
    <t>км  1,800-4,623</t>
  </si>
  <si>
    <t>км 4,623-4,883</t>
  </si>
  <si>
    <t>Волчас-Мальковка-Новики-Лущевинка км 0,0-5,510</t>
  </si>
  <si>
    <t>Н-11233</t>
  </si>
  <si>
    <t>Н-11234</t>
  </si>
  <si>
    <t>Н-11235</t>
  </si>
  <si>
    <t>Коптевка-Чеплеевка км 0,0-4,190</t>
  </si>
  <si>
    <t>Н-10573</t>
  </si>
  <si>
    <t>Уровни требова-ний</t>
  </si>
  <si>
    <t>км 0,0-7,775</t>
  </si>
  <si>
    <t>км 7,775-13,632</t>
  </si>
  <si>
    <t>Дубровка</t>
  </si>
  <si>
    <t>Фроловка</t>
  </si>
  <si>
    <t>км 19,390-19,810</t>
  </si>
  <si>
    <t>км 26,300-26,780</t>
  </si>
  <si>
    <t>Н-10910</t>
  </si>
  <si>
    <t>Н-10377</t>
  </si>
  <si>
    <t>Подъезды от города Осиповичи:</t>
  </si>
  <si>
    <t>км 0,0-4,464</t>
  </si>
  <si>
    <t>Н-11149</t>
  </si>
  <si>
    <t>Н-11150</t>
  </si>
  <si>
    <t>Н-11151</t>
  </si>
  <si>
    <t>км 0,690-1,145 совмещен с Р-43 Граница Российской Федерации (Звенчатка)-Кричев-Бобруйск-Ивацевичи (до автомобильной дороги Р-2/Е 85)</t>
  </si>
  <si>
    <t>Н-10185</t>
  </si>
  <si>
    <t>Н-10186</t>
  </si>
  <si>
    <t>Н-11157</t>
  </si>
  <si>
    <t>ДРСУ №215</t>
  </si>
  <si>
    <t>ДРСУ №175</t>
  </si>
  <si>
    <t>км 0,430-2,030</t>
  </si>
  <si>
    <t>км 0,380-1,510</t>
  </si>
  <si>
    <t>Кавычицы</t>
  </si>
  <si>
    <t>км 2,900-6,997</t>
  </si>
  <si>
    <t>км 1,700-2,265</t>
  </si>
  <si>
    <t>Климовичи-Коноховка км 0,0-7,400</t>
  </si>
  <si>
    <t>км 0,700-2,300</t>
  </si>
  <si>
    <t>км 2,300-7,400</t>
  </si>
  <si>
    <t>Белыничи-Шепелевичи-Круча км 2,230-13,324</t>
  </si>
  <si>
    <t>Широкое-Барсуки-Лещенка км 0,0-8,426</t>
  </si>
  <si>
    <t xml:space="preserve">Н-11355 </t>
  </si>
  <si>
    <t>км 13,787-14,340</t>
  </si>
  <si>
    <t xml:space="preserve">Н-11357 </t>
  </si>
  <si>
    <t>км 15,880-16,082</t>
  </si>
  <si>
    <t>Лебедянка-Рудня км 0,0-4,063</t>
  </si>
  <si>
    <t>км 0,0-1,770</t>
  </si>
  <si>
    <t>Н-11002</t>
  </si>
  <si>
    <t>Н-11003</t>
  </si>
  <si>
    <t>Н-11451</t>
  </si>
  <si>
    <t>Н-11452</t>
  </si>
  <si>
    <t>Н-11453</t>
  </si>
  <si>
    <t>км 0,130-2,100</t>
  </si>
  <si>
    <t>Титовка-Старый Стан км 0,0-3,871</t>
  </si>
  <si>
    <t>км 0,020-3,721</t>
  </si>
  <si>
    <t>км 3,721-3,871</t>
  </si>
  <si>
    <t>км 3,157-7,553</t>
  </si>
  <si>
    <t>Н-10474</t>
  </si>
  <si>
    <t>Н-10471</t>
  </si>
  <si>
    <t>км 3,280-4,016</t>
  </si>
  <si>
    <t>км 10,840-13,148</t>
  </si>
  <si>
    <t>км 4,016-6,005</t>
  </si>
  <si>
    <t>км 6,005-10,468</t>
  </si>
  <si>
    <t>Телуша-Пролетарский-Тажиловичи-Ламбово км 0,0-10,468</t>
  </si>
  <si>
    <t>Чаусский</t>
  </si>
  <si>
    <t>Польковичи-Шпилевщина-Волосовичи км 0,0-4,020</t>
  </si>
  <si>
    <t>Толкачи-Дубровка км 0,0-4,132</t>
  </si>
  <si>
    <t>Шейки-Безводичи-Копачи км 0,0-4,600</t>
  </si>
  <si>
    <t>км 3,426-4,600</t>
  </si>
  <si>
    <t>км 0,500-3,426</t>
  </si>
  <si>
    <t>км 0,0-2,422</t>
  </si>
  <si>
    <t>км 2,422-10,565</t>
  </si>
  <si>
    <t>Лыкинка-Черная Сосна-Ракитенка км 0,0-10,565</t>
  </si>
  <si>
    <t>Курманово-Старина-Славное км 0,0-3,411</t>
  </si>
  <si>
    <t>ул гр - по паспортизации стал гравий</t>
  </si>
  <si>
    <t>Курманово-Каменка км 0,0-1,863</t>
  </si>
  <si>
    <t>км 1,440-2,520</t>
  </si>
  <si>
    <t>Н-10101</t>
  </si>
  <si>
    <t xml:space="preserve">Н-10310 </t>
  </si>
  <si>
    <t>Хоминичи-Кустовка 0,0-4,0</t>
  </si>
  <si>
    <t>Ректа-Шишево-Нежково 0,0-5,4</t>
  </si>
  <si>
    <t>Большие Шарипы-Колотилы 2,1 км</t>
  </si>
  <si>
    <t>Н-10037</t>
  </si>
  <si>
    <t>км 0,0-0,900</t>
  </si>
  <si>
    <t>км 0,900-1,740</t>
  </si>
  <si>
    <t>Н-11587</t>
  </si>
  <si>
    <t>Н-11590</t>
  </si>
  <si>
    <t>км 0,430-1,310</t>
  </si>
  <si>
    <t>км 1,310-3,450</t>
  </si>
  <si>
    <t>км 3,450-4,840</t>
  </si>
  <si>
    <t>км 1,842-1,910</t>
  </si>
  <si>
    <t>км 1,910-3,945</t>
  </si>
  <si>
    <t>Чернявка-Артюховка км 0,0-2,230</t>
  </si>
  <si>
    <t>Н-11370</t>
  </si>
  <si>
    <t>Н-10563</t>
  </si>
  <si>
    <t>км 6,032-7,826</t>
  </si>
  <si>
    <t>км 7,826-12,800</t>
  </si>
  <si>
    <t>км 0,0-3,157</t>
  </si>
  <si>
    <t>как присно-присно-2 7,2 км</t>
  </si>
  <si>
    <t>Р-120</t>
  </si>
  <si>
    <t>Р-26</t>
  </si>
  <si>
    <t>Р-77</t>
  </si>
  <si>
    <t>км 0,0-0,590</t>
  </si>
  <si>
    <t>км 0,590-7,180</t>
  </si>
  <si>
    <t>Летяги-Рудня км 0,0-4,050</t>
  </si>
  <si>
    <t>км 0,650-1,232</t>
  </si>
  <si>
    <t>км 6,700-9,900</t>
  </si>
  <si>
    <t>км 0,148-2,010</t>
  </si>
  <si>
    <t>км 8,937-15,880</t>
  </si>
  <si>
    <t>Н-10055</t>
  </si>
  <si>
    <t>Н-10302</t>
  </si>
  <si>
    <t>Рынья-Лебедевка км 0,0-2,660</t>
  </si>
  <si>
    <t>км 0,620-2,480</t>
  </si>
  <si>
    <t>км 8,700-9,310</t>
  </si>
  <si>
    <t>км 3,855-5,500</t>
  </si>
  <si>
    <t>км 5,500-6,800</t>
  </si>
  <si>
    <t>км 6,800-11,522</t>
  </si>
  <si>
    <t>км 2,344-2,883</t>
  </si>
  <si>
    <t>Мосты</t>
  </si>
  <si>
    <t>Н-10395</t>
  </si>
  <si>
    <t>Н-10396</t>
  </si>
  <si>
    <t>Н-10397</t>
  </si>
  <si>
    <t>Н-10105</t>
  </si>
  <si>
    <t>Н-10053</t>
  </si>
  <si>
    <t>Новоселки-Тугольтово км 0,0-1,300</t>
  </si>
  <si>
    <t>км 0,0-0,770</t>
  </si>
  <si>
    <t>км 0,770-2,960</t>
  </si>
  <si>
    <t>км 2,960-3,470</t>
  </si>
  <si>
    <t>Подъезды от автодороги Р-93 Могилев-Бобруйск:</t>
  </si>
  <si>
    <t>км 2,800-3,800</t>
  </si>
  <si>
    <t>как лубнище-залубнище 3,0 км грунт</t>
  </si>
  <si>
    <t>км 0,630-1,740</t>
  </si>
  <si>
    <t>Красная Поляна-Кондратовск км 0,0-2,870</t>
  </si>
  <si>
    <t>км 0,700-2,870</t>
  </si>
  <si>
    <t>Н-10129</t>
  </si>
  <si>
    <t>Усполье-Киселевка-Есьманово км 0,0-4,400</t>
  </si>
  <si>
    <t>Добосна-Добротино с подъездом к д. Осовник 13,9 км</t>
  </si>
  <si>
    <t>км 5,900-6,754</t>
  </si>
  <si>
    <t>км 4,190-6,980</t>
  </si>
  <si>
    <t>км 6,980-7,530</t>
  </si>
  <si>
    <t>км 7,530-8,180</t>
  </si>
  <si>
    <t>км 9,330-10,490</t>
  </si>
  <si>
    <t>км 20,670-21,100</t>
  </si>
  <si>
    <t>км 18,910-20,670</t>
  </si>
  <si>
    <t>км 18,180-18,910</t>
  </si>
  <si>
    <t>км 10,490-18,180</t>
  </si>
  <si>
    <t>км 0,0-8,010</t>
  </si>
  <si>
    <t>км 8,010-9,130</t>
  </si>
  <si>
    <t>км 0,0-4,400</t>
  </si>
  <si>
    <t>км 4,400-5,700</t>
  </si>
  <si>
    <t>Селец-Дудчицы-Слезки км 0,0-7,650</t>
  </si>
  <si>
    <t>км 0,0-0,320</t>
  </si>
  <si>
    <t>км 0,230-2,500</t>
  </si>
  <si>
    <t>км 0,200-1,800</t>
  </si>
  <si>
    <t>Краснопольский</t>
  </si>
  <si>
    <t xml:space="preserve"> км 0,800-2,900</t>
  </si>
  <si>
    <t>км 27,148-28,900</t>
  </si>
  <si>
    <t>Кледневичи-Старокожевка км 0,0-5,300</t>
  </si>
  <si>
    <t>км 0,0-0,780</t>
  </si>
  <si>
    <t>км 0,0-0,138</t>
  </si>
  <si>
    <t>км 0,138-4,763</t>
  </si>
  <si>
    <t>км 4,763-4,790</t>
  </si>
  <si>
    <t>км 7,851-22,473</t>
  </si>
  <si>
    <t>км 4,800-15,600</t>
  </si>
  <si>
    <t>км 0,0-0,031</t>
  </si>
  <si>
    <t>км 0,0-1,801</t>
  </si>
  <si>
    <t>км 0,0-0,600</t>
  </si>
  <si>
    <t>км 0,0-1,614</t>
  </si>
  <si>
    <t>км 1,700-2,697</t>
  </si>
  <si>
    <t>км 0,040-8,440</t>
  </si>
  <si>
    <t>км 0,0-3,570</t>
  </si>
  <si>
    <t>км 4,800-5,700</t>
  </si>
  <si>
    <t>Андрюхи-Луки-Староселье 0,0-9,5</t>
  </si>
  <si>
    <t>Н-11510</t>
  </si>
  <si>
    <t>Н-11154</t>
  </si>
  <si>
    <t>Н-11155</t>
  </si>
  <si>
    <t>Н-10126</t>
  </si>
  <si>
    <t>Н-10052</t>
  </si>
  <si>
    <t>км 0,0-0,080</t>
  </si>
  <si>
    <t>км 0,080-1,500</t>
  </si>
  <si>
    <t>км 4,000-5,400</t>
  </si>
  <si>
    <t>км 1,600-2,000</t>
  </si>
  <si>
    <t>км  0,200-0,700</t>
  </si>
  <si>
    <t>км 1,300-1,800</t>
  </si>
  <si>
    <t>км 3,400-4,020</t>
  </si>
  <si>
    <t>км 2,790-7,845</t>
  </si>
  <si>
    <t>км 5,780-6,085</t>
  </si>
  <si>
    <t>Н-10485</t>
  </si>
  <si>
    <t>Н-10486</t>
  </si>
  <si>
    <t>Н-10487</t>
  </si>
  <si>
    <t>км 1,700-2,300</t>
  </si>
  <si>
    <t>км 0,0-7,185</t>
  </si>
  <si>
    <t>км 7,185-8,314</t>
  </si>
  <si>
    <t>км 0,750-1,200</t>
  </si>
  <si>
    <t>Подъелецкий-Комаровка км 0,0-1,320</t>
  </si>
  <si>
    <t>Ленино-Сысоево км 0,0-1,960</t>
  </si>
  <si>
    <t xml:space="preserve"> км 3,000-3,900</t>
  </si>
  <si>
    <t xml:space="preserve"> км 3,900-8,210</t>
  </si>
  <si>
    <t xml:space="preserve"> км 0,500-1,200</t>
  </si>
  <si>
    <t>Дяговичи-Наносково км 0,0-3,700</t>
  </si>
  <si>
    <t>Н-10863</t>
  </si>
  <si>
    <t>Н-10864</t>
  </si>
  <si>
    <t>Потока-Усакино км 0,0-11,820</t>
  </si>
  <si>
    <t>Н-11603</t>
  </si>
  <si>
    <t>км 0,0-1,621</t>
  </si>
  <si>
    <t>км 1,621-3,422</t>
  </si>
  <si>
    <t>км 3,422-3,653 совмещен с Р-76 Орша-Шклов-Могилев</t>
  </si>
  <si>
    <t>км 3,653-5,781</t>
  </si>
  <si>
    <t>Н-11586</t>
  </si>
  <si>
    <t>км 1,100-1,500</t>
  </si>
  <si>
    <t>Плоское</t>
  </si>
  <si>
    <t>км 2,700-4,121</t>
  </si>
  <si>
    <t>км 1,260-2,129</t>
  </si>
  <si>
    <t>км 0,0-0,5000</t>
  </si>
  <si>
    <t>км 0,100,0-0,600</t>
  </si>
  <si>
    <t>Н-11224</t>
  </si>
  <si>
    <t>Н-11225</t>
  </si>
  <si>
    <t>Н-11226</t>
  </si>
  <si>
    <t>Н-11220</t>
  </si>
  <si>
    <t>км 15,340-20,060</t>
  </si>
  <si>
    <t>км 20,060-23,940</t>
  </si>
  <si>
    <t>Н-10198</t>
  </si>
  <si>
    <t>км 0,0-0,690</t>
  </si>
  <si>
    <t>Белынковичи-Пасека км 0,0-5,130</t>
  </si>
  <si>
    <t>км 2,250-10,065</t>
  </si>
  <si>
    <t>км 0,0-2,250</t>
  </si>
  <si>
    <t>Полна-Тушевая км 0,0-2,3</t>
  </si>
  <si>
    <t>км 1,343-6,880</t>
  </si>
  <si>
    <t>км 0,0-3,760</t>
  </si>
  <si>
    <t>км 3,760-6,270</t>
  </si>
  <si>
    <t>км 0,0-2,895</t>
  </si>
  <si>
    <t>км 0,0-1,900</t>
  </si>
  <si>
    <t>км 0,0-1,380</t>
  </si>
  <si>
    <t>км 1,380-1,640</t>
  </si>
  <si>
    <t>в заболотье-кулаковка-сел.клевка</t>
  </si>
  <si>
    <t>км 28,12-29,736</t>
  </si>
  <si>
    <t>км 0,0-1,880</t>
  </si>
  <si>
    <t>км 0,0-0,507</t>
  </si>
  <si>
    <t>км 0,507-0,770</t>
  </si>
  <si>
    <t>км 4,850-5,200</t>
  </si>
  <si>
    <t>км 1,860-14,720</t>
  </si>
  <si>
    <t>км 2,100-3,050</t>
  </si>
  <si>
    <t>км 0,0-4,000</t>
  </si>
  <si>
    <t>км 4,000-5,000</t>
  </si>
  <si>
    <t>Н-10533</t>
  </si>
  <si>
    <t>Н-10534</t>
  </si>
  <si>
    <t>км 0,0-0,378</t>
  </si>
  <si>
    <t>Подъезды от автодороги Р-26 Толочин-Круглое-Вишов:</t>
  </si>
  <si>
    <t>как майщина-белевичи-катвино</t>
  </si>
  <si>
    <t>6 и безкатегорийные</t>
  </si>
  <si>
    <t>безкатегорийные</t>
  </si>
  <si>
    <t>км 0,0-0,884</t>
  </si>
  <si>
    <t>км 19,810-21,900</t>
  </si>
  <si>
    <t>км 21,900-24,120</t>
  </si>
  <si>
    <t>км 0,0-3,509</t>
  </si>
  <si>
    <t>км 3,509-4,861</t>
  </si>
  <si>
    <t>км 4,861-12,229</t>
  </si>
  <si>
    <t>км 12,229-19,444</t>
  </si>
  <si>
    <t>Крупня-Забычанье км 0,0-6,647</t>
  </si>
  <si>
    <t>Коробаново-Шарейки-Черченовка км 0,0-9,840</t>
  </si>
  <si>
    <t>км 0,0-8,414</t>
  </si>
  <si>
    <t>км 8,414-9,373</t>
  </si>
  <si>
    <t>км 9,373-9,840</t>
  </si>
  <si>
    <t>Городок</t>
  </si>
  <si>
    <t>Шарейки</t>
  </si>
  <si>
    <t>Н-11369</t>
  </si>
  <si>
    <t>Н-11371</t>
  </si>
  <si>
    <t>Н-10927</t>
  </si>
  <si>
    <t>Н-10918</t>
  </si>
  <si>
    <t>Н-10919</t>
  </si>
  <si>
    <t>Н-10123</t>
  </si>
  <si>
    <t>км 0,0-3,75</t>
  </si>
  <si>
    <t>Н-10794</t>
  </si>
  <si>
    <t>Н-11054</t>
  </si>
  <si>
    <t>Н-10076</t>
  </si>
  <si>
    <t>км 0,300-1,600</t>
  </si>
  <si>
    <t>км 0,500-2,700</t>
  </si>
  <si>
    <t>км 9,660-14,440</t>
  </si>
  <si>
    <t>км 14,440-17,900</t>
  </si>
  <si>
    <t>Боровица-Мазуровка-Неговля км 0,0-4,600</t>
  </si>
  <si>
    <t>Быново-Чигриновка-Кротки км 0,0-6,600</t>
  </si>
  <si>
    <t>км 6,000-6,250</t>
  </si>
  <si>
    <t>км 0,0-0,335</t>
  </si>
  <si>
    <t>км 0,335-4,727</t>
  </si>
  <si>
    <t>км 2,300-4,450</t>
  </si>
  <si>
    <t>км 12,800-14,580</t>
  </si>
  <si>
    <t>км 14,580-15,290</t>
  </si>
  <si>
    <t>км 15,290-16,100</t>
  </si>
  <si>
    <t>км 0,0-0,023</t>
  </si>
  <si>
    <t>Н-10493</t>
  </si>
  <si>
    <t>км 0,0-1,820</t>
  </si>
  <si>
    <t>км 1,820-2,080</t>
  </si>
  <si>
    <t>км 0,0-5,675</t>
  </si>
  <si>
    <t>км 5,675-6,273</t>
  </si>
  <si>
    <t>км 0,0-1,215</t>
  </si>
  <si>
    <t>Буньковщина-Староселье км 0,0-2,500</t>
  </si>
  <si>
    <t>км 8,670-8,830</t>
  </si>
  <si>
    <t>км 9,338-14,850</t>
  </si>
  <si>
    <t>км 0,0-3,560</t>
  </si>
  <si>
    <t>км 3,560-7,985</t>
  </si>
  <si>
    <t>км 1,200-2,630</t>
  </si>
  <si>
    <t>км 2,630-9,600</t>
  </si>
  <si>
    <t>Буды-Квартяны км 0,0-1,500</t>
  </si>
  <si>
    <t>Васильки-Малые Васильки км 0,0-1,200</t>
  </si>
  <si>
    <t>км 1,000-1,900</t>
  </si>
  <si>
    <t>км 3,640-8,500</t>
  </si>
  <si>
    <t>км 13,870-19,500</t>
  </si>
  <si>
    <t>Мошково-Абраимовка км 0,0-5,240</t>
  </si>
  <si>
    <t>Н-10370</t>
  </si>
  <si>
    <t>км 1,500-1,960</t>
  </si>
  <si>
    <t>км 1,960-2,450</t>
  </si>
  <si>
    <t>Н-10383</t>
  </si>
  <si>
    <t>Н-10841</t>
  </si>
  <si>
    <t>Н-10842</t>
  </si>
  <si>
    <t>км 0,350-0,990</t>
  </si>
  <si>
    <t>км 0,990-1,030</t>
  </si>
  <si>
    <t xml:space="preserve"> км 0,0-0,056</t>
  </si>
  <si>
    <t>км 0,056-1,200</t>
  </si>
  <si>
    <t>Дунаек-Барсуки км 0,0-1,700</t>
  </si>
  <si>
    <t>км 1,800-2,700</t>
  </si>
  <si>
    <t>км 1,170-1,530</t>
  </si>
  <si>
    <t>км 0,600-1,500</t>
  </si>
  <si>
    <t>км 1,155-1,500</t>
  </si>
  <si>
    <t>км 0,400-0,700</t>
  </si>
  <si>
    <t>км 2,700-3,200</t>
  </si>
  <si>
    <t>Доколь-Старина-Селец км 0,0-4,380</t>
  </si>
  <si>
    <t>км 0,0-10,287</t>
  </si>
  <si>
    <t>км 0,0-0,730</t>
  </si>
  <si>
    <t>км 0,730-1,690</t>
  </si>
  <si>
    <t>Подъезды от автодороги Р-97 Могилев-Быхов-Рогачев:</t>
  </si>
  <si>
    <t>Хоронев-Хворостяны-Азаричи км 0,0-4,760</t>
  </si>
  <si>
    <t>км 0,900-2,880</t>
  </si>
  <si>
    <t>км 0,0-3,230</t>
  </si>
  <si>
    <t>км 0,00-0,985</t>
  </si>
  <si>
    <t>км 0,985-2,262 совмещен с Р-76 Орша-Шклов-Могилев</t>
  </si>
  <si>
    <t>км 2,262-2,308</t>
  </si>
  <si>
    <t>км 2,308-4,446</t>
  </si>
  <si>
    <t>км 4,446-7,960</t>
  </si>
  <si>
    <t>км 0,0-0,986</t>
  </si>
  <si>
    <t>Н-10786</t>
  </si>
  <si>
    <t>км 0,700-1,100</t>
  </si>
  <si>
    <t>км 0,478-4,739</t>
  </si>
  <si>
    <t>км 0,0-0,478</t>
  </si>
  <si>
    <t>км 2,000-3,200</t>
  </si>
  <si>
    <t>км 0,446-2,000</t>
  </si>
  <si>
    <t>км 0,336-0,640</t>
  </si>
  <si>
    <t>Низки-Песьковичи-Павловичи км 0,0-2,700</t>
  </si>
  <si>
    <t>км 2,883-5,611</t>
  </si>
  <si>
    <t>км 5,611-5,753</t>
  </si>
  <si>
    <t>км 0,0-6,427</t>
  </si>
  <si>
    <t>км 6,427-7,288</t>
  </si>
  <si>
    <t>как каменка-орлянка-островщина 3,5км грунт??</t>
  </si>
  <si>
    <t>как незовка-городок 1,9 км</t>
  </si>
  <si>
    <t>Н-11236</t>
  </si>
  <si>
    <t>Н-11238</t>
  </si>
  <si>
    <t>Н-10992</t>
  </si>
  <si>
    <t>Н-10994</t>
  </si>
  <si>
    <t xml:space="preserve"> км 0,0-3,600</t>
  </si>
  <si>
    <t>км 0,750-2,780</t>
  </si>
  <si>
    <t>Н-11010</t>
  </si>
  <si>
    <t>км 0,000-1,380</t>
  </si>
  <si>
    <t>км 1,380-2,727</t>
  </si>
  <si>
    <t>км 2,727-3,005</t>
  </si>
  <si>
    <t>км 0,0-2,900</t>
  </si>
  <si>
    <t>км 2,900-3,990</t>
  </si>
  <si>
    <t>как сташино-заборье 2,6км</t>
  </si>
  <si>
    <t>км 1,500-4,325</t>
  </si>
  <si>
    <t>км 4,325-4,700</t>
  </si>
  <si>
    <t>на 0,6 км грунт??</t>
  </si>
  <si>
    <t>Н-10353</t>
  </si>
  <si>
    <t>Красница-2- Латколония км 0,0-4,750</t>
  </si>
  <si>
    <t>Студенец-Медведовка км 0,0-3,990</t>
  </si>
  <si>
    <t>Р-93</t>
  </si>
  <si>
    <t>ТБО</t>
  </si>
  <si>
    <t>Н-10788</t>
  </si>
  <si>
    <t>Н-10454</t>
  </si>
  <si>
    <t>Н-10472</t>
  </si>
  <si>
    <t>км 0,900-2,000</t>
  </si>
  <si>
    <t>некрасово-красино 0,0-2,3</t>
  </si>
  <si>
    <t>Селецкое-Плоское км 0,0-4,620</t>
  </si>
  <si>
    <t>км 0,417-4,620</t>
  </si>
  <si>
    <t>Селецкое-Алесенково км 0,0-4,420</t>
  </si>
  <si>
    <t>Круча-Яново-Погребище км 0,0-13,233</t>
  </si>
  <si>
    <t>Подсолтово-Иртищево км 0,0-3,000</t>
  </si>
  <si>
    <t>км 0,0-0,0380</t>
  </si>
  <si>
    <t>км 0,038-0,710</t>
  </si>
  <si>
    <t>Дрибин-Темный Лес-Коптевка км 17,440-21,040</t>
  </si>
  <si>
    <t>км 0,400-1,220</t>
  </si>
  <si>
    <t>Климовичи-Селище-Ерошовка-Коноховка км 0,0-22,038</t>
  </si>
  <si>
    <t xml:space="preserve"> км 1,335-9,434</t>
  </si>
  <si>
    <t xml:space="preserve"> км 9,434-21,117</t>
  </si>
  <si>
    <t xml:space="preserve"> км 21,117-21,351</t>
  </si>
  <si>
    <t>км 2,900-10,772</t>
  </si>
  <si>
    <t>км 10,772-16,568</t>
  </si>
  <si>
    <t>км 1,350-3,450</t>
  </si>
  <si>
    <t>км 1,000-1,700</t>
  </si>
  <si>
    <t>Староселье-Сафоново км 0,0-2,200</t>
  </si>
  <si>
    <t>км 4,870-6,700</t>
  </si>
  <si>
    <t>км 4,420-8,270</t>
  </si>
  <si>
    <t>Н-10337</t>
  </si>
  <si>
    <t>Н-10338</t>
  </si>
  <si>
    <t>Н-10384</t>
  </si>
  <si>
    <t>17м? По акту</t>
  </si>
  <si>
    <t>Новая Водва-Говяды км 0,0-4,952</t>
  </si>
  <si>
    <t>Старина-Ботвиньево км 0,0-2,300</t>
  </si>
  <si>
    <t>км 0,300-3,794</t>
  </si>
  <si>
    <t>км 3,794-6,181</t>
  </si>
  <si>
    <t xml:space="preserve">км 6,181-8,572 совмещен с Р-15 Кричев-Орша-Лепель </t>
  </si>
  <si>
    <t>км 8,572-20,535</t>
  </si>
  <si>
    <t>Галковичи-Кудричи-Подлужье-Митьковщина км 0,0-20,535</t>
  </si>
  <si>
    <t>км 2,000-5,400</t>
  </si>
  <si>
    <t>км 1,500-1,780</t>
  </si>
  <si>
    <t>км 1,780-2,900</t>
  </si>
  <si>
    <t>км 2,900-3,620</t>
  </si>
  <si>
    <t>км 3,000-3,200</t>
  </si>
  <si>
    <t>км 4,300-5,119</t>
  </si>
  <si>
    <t>Жорновка-Кричевец-Уборок км 0,0-5,119</t>
  </si>
  <si>
    <t>км 0,0-0,777</t>
  </si>
  <si>
    <t>км 0,777-1,587</t>
  </si>
  <si>
    <t>км 0,0-1,160</t>
  </si>
  <si>
    <t>Соколовка-Езеры км 0,0-6,385</t>
  </si>
  <si>
    <t>Н-10111</t>
  </si>
  <si>
    <t>Н-10112</t>
  </si>
  <si>
    <t>Н-10113</t>
  </si>
  <si>
    <t>Н-10114</t>
  </si>
  <si>
    <t>Н-10116</t>
  </si>
  <si>
    <t>Н-10117</t>
  </si>
  <si>
    <t>Н-10087</t>
  </si>
  <si>
    <t>Н-10088</t>
  </si>
  <si>
    <t>Н-10089</t>
  </si>
  <si>
    <t>Н-10090</t>
  </si>
  <si>
    <t>км 2,000-4,274</t>
  </si>
  <si>
    <t>Химное-Игнатовка км 0,0-5,488</t>
  </si>
  <si>
    <t>км 0,0-0,074</t>
  </si>
  <si>
    <t>км 0,074-1,066</t>
  </si>
  <si>
    <t>км 1,066-1,976</t>
  </si>
  <si>
    <t>Лапичи-Гомоновка км 0,0-8,279</t>
  </si>
  <si>
    <t>Ручей-Вербилово км 0,0-2,564</t>
  </si>
  <si>
    <t>км 0,0-0,546</t>
  </si>
  <si>
    <t>км 0,770-0,829</t>
  </si>
  <si>
    <t>км 0,829-1,897</t>
  </si>
  <si>
    <t>км 1,897-2,584</t>
  </si>
  <si>
    <t>км 3,602-8,095</t>
  </si>
  <si>
    <t>км 0,000-0,300</t>
  </si>
  <si>
    <t>км 2,500-3,500</t>
  </si>
  <si>
    <t>Мальево-Углы-Пересово км 0,0-8,900</t>
  </si>
  <si>
    <t>км 4,739-4,900</t>
  </si>
  <si>
    <t>Н-10160</t>
  </si>
  <si>
    <t xml:space="preserve">КУП «Могилевоблдорстрой» </t>
  </si>
  <si>
    <t>Н-10323</t>
  </si>
  <si>
    <t>Н-10324</t>
  </si>
  <si>
    <t>Н-10325</t>
  </si>
  <si>
    <t>Н-10326</t>
  </si>
  <si>
    <t>Н-10789</t>
  </si>
  <si>
    <t>Н-11171</t>
  </si>
  <si>
    <t>Н-11172</t>
  </si>
  <si>
    <t>Н-11438</t>
  </si>
  <si>
    <t>Н-11439</t>
  </si>
  <si>
    <t>км 17,440-19,040</t>
  </si>
  <si>
    <t>км 19,040-21,040</t>
  </si>
  <si>
    <t>км 8,880-10,700</t>
  </si>
  <si>
    <t>км 10,700-11,450</t>
  </si>
  <si>
    <t>км 11,450-12,500</t>
  </si>
  <si>
    <t>Шестеровка-Макеевичи-граница Российской Федерации км 0,0-22,100</t>
  </si>
  <si>
    <t>Подъезды от автодороги Р-62 Чашники-Бобр-Бобруйск (через Кличев):</t>
  </si>
  <si>
    <t>б/к</t>
  </si>
  <si>
    <t>Иванова Слобода-Петровка км 0,0-4,000</t>
  </si>
  <si>
    <t>км 1,000-1,460</t>
  </si>
  <si>
    <t xml:space="preserve">Малые Белевичи-Катвино км 0,0-2,137 </t>
  </si>
  <si>
    <t>км 2,000-2,730</t>
  </si>
  <si>
    <t>Маковичи-Сельцы км 0,0-2,310</t>
  </si>
  <si>
    <t>Заполье-Барсуки км 0,0-4,500</t>
  </si>
  <si>
    <t>км 1,422-2,200</t>
  </si>
  <si>
    <t>Костюковичский</t>
  </si>
  <si>
    <t>Кличевский</t>
  </si>
  <si>
    <t>км 0,0-1,280</t>
  </si>
  <si>
    <t>Селецкое-Фроловка км 0,0-3,720</t>
  </si>
  <si>
    <t>Маслаки-Шатиловка км 0,0-3,400</t>
  </si>
  <si>
    <t>Паршино-Телешовка км 0,0-4,760</t>
  </si>
  <si>
    <t>км 3,400-5,670</t>
  </si>
  <si>
    <t>Н-10182</t>
  </si>
  <si>
    <t>Н-10183</t>
  </si>
  <si>
    <t>км 2,540-3,760</t>
  </si>
  <si>
    <t>Н-11202</t>
  </si>
  <si>
    <t>Н-11203</t>
  </si>
  <si>
    <t>Н-11204</t>
  </si>
  <si>
    <t>км 0,834-1,670</t>
  </si>
  <si>
    <t>км 0,223-1,750</t>
  </si>
  <si>
    <t xml:space="preserve">Н-11374 </t>
  </si>
  <si>
    <t>км 0,0-1,112</t>
  </si>
  <si>
    <t>км 1,112-1,638</t>
  </si>
  <si>
    <t>км 0,0-3,840</t>
  </si>
  <si>
    <t>км 3,840-6,500</t>
  </si>
  <si>
    <t>М-4</t>
  </si>
  <si>
    <t>км 1,880-2,800</t>
  </si>
  <si>
    <t>км 1,130-1,830</t>
  </si>
  <si>
    <t>Рудковщина-Маслаки-Аниковичи км 0,0-21,140</t>
  </si>
  <si>
    <t>км 10,470-12,930</t>
  </si>
  <si>
    <t>Н-11221</t>
  </si>
  <si>
    <t>Н-11222</t>
  </si>
  <si>
    <t>Н-11223</t>
  </si>
  <si>
    <t>Н-10561</t>
  </si>
  <si>
    <t>Н-10562</t>
  </si>
  <si>
    <t>км 0,0-6,000</t>
  </si>
  <si>
    <t>км 1,700-1,900</t>
  </si>
  <si>
    <t>км 1,900-2,000</t>
  </si>
  <si>
    <t>км 2,000-4,000</t>
  </si>
  <si>
    <t>км 0,733-1,590</t>
  </si>
  <si>
    <t>Коробаново</t>
  </si>
  <si>
    <t>Могилевский</t>
  </si>
  <si>
    <t>км 0,0-13,240</t>
  </si>
  <si>
    <t>км 13,240-17,170</t>
  </si>
  <si>
    <t>км 17,170-17,390</t>
  </si>
  <si>
    <t>Дудаковичи-Лесные-Зубово км 0,0-5,670</t>
  </si>
  <si>
    <t>км 1,380-3,070</t>
  </si>
  <si>
    <t>км 3,070-3,400</t>
  </si>
  <si>
    <t>Мошково-Рябки км 0,0-3,870</t>
  </si>
  <si>
    <t>Галичи-Завидовка км 0,0-2,697</t>
  </si>
  <si>
    <t>км 0,0-1,920</t>
  </si>
  <si>
    <t>Подъезды от автодороги Р-38 Буда-Кошелево (от автомобильной дороги М-5/Е 271)-Чечерск-Краснополье:</t>
  </si>
  <si>
    <t>км 3,080-5,470</t>
  </si>
  <si>
    <t>как нов.прибужье-абраимовка</t>
  </si>
  <si>
    <t>на уч-к городецк-ярыги 1,0 км</t>
  </si>
  <si>
    <t>Будище-Журавец 1 км 0,0-3,043</t>
  </si>
  <si>
    <t>км 1,900-3,498</t>
  </si>
  <si>
    <t>км 0,300-0,800</t>
  </si>
  <si>
    <t>км 0,800-1,100</t>
  </si>
  <si>
    <t>км 2,280-3,980</t>
  </si>
  <si>
    <t>км 3,970-7,447</t>
  </si>
  <si>
    <t>км 19,970-23,360</t>
  </si>
  <si>
    <t>км 1,780-2,880</t>
  </si>
  <si>
    <t>км 1,000-1,180</t>
  </si>
  <si>
    <t>Каменка-Бокотовка км 0,0-2,000</t>
  </si>
  <si>
    <t>км 0,0-0,940</t>
  </si>
  <si>
    <t>Н-10753</t>
  </si>
  <si>
    <t>км 0,300-1,800</t>
  </si>
  <si>
    <t>км 22,473-24,173</t>
  </si>
  <si>
    <t>км 8,180-10,780</t>
  </si>
  <si>
    <t>км 7,200-7,569</t>
  </si>
  <si>
    <t>Заводская Слобода-Сининщина км 0,0-3,100</t>
  </si>
  <si>
    <t>Вендорож-Завережье-Понизов км 0,0-6,400</t>
  </si>
  <si>
    <t>км 0,0-0,446</t>
  </si>
  <si>
    <t>км 17,900-19,970</t>
  </si>
  <si>
    <t>км 0,0-0,970</t>
  </si>
  <si>
    <t>км 0,970-2,720</t>
  </si>
  <si>
    <t>км 2,720-3,270</t>
  </si>
  <si>
    <t>км 3,270-4,790</t>
  </si>
  <si>
    <t>км 4,700-6,238</t>
  </si>
  <si>
    <t>км 0,0-0,024</t>
  </si>
  <si>
    <t>км 0,024-4,700</t>
  </si>
  <si>
    <t>км 6,238-6,870</t>
  </si>
  <si>
    <t>км 0,100-3,160</t>
  </si>
  <si>
    <t>км 1,770-6,888</t>
  </si>
  <si>
    <t>км 0,140-0,750</t>
  </si>
  <si>
    <t>км 0,0-0,040</t>
  </si>
  <si>
    <t>км 0,040,0-0,700</t>
  </si>
  <si>
    <t>км 3,760-7,730</t>
  </si>
  <si>
    <t>км 7,730-9,330</t>
  </si>
  <si>
    <t>км 0,0-10,460</t>
  </si>
  <si>
    <t>км 0,0-1,150</t>
  </si>
  <si>
    <t>км 0,0-2,980</t>
  </si>
  <si>
    <t>км 2,980-6,650</t>
  </si>
  <si>
    <t>как тейковичи-суянец</t>
  </si>
  <si>
    <t>как Ст.Добосна-нов.Добосна</t>
  </si>
  <si>
    <t>на копачевка-борки км 3,6 а/б</t>
  </si>
  <si>
    <t>Путимель-Недведь-Соболевка км 0,0-13,700</t>
  </si>
  <si>
    <t>км 0,0-7,000</t>
  </si>
  <si>
    <t>км 8,440-9,400</t>
  </si>
  <si>
    <t>км 0,0-2,176</t>
  </si>
  <si>
    <t>Н-10850</t>
  </si>
  <si>
    <t>Н-11158</t>
  </si>
  <si>
    <t>Н-11580</t>
  </si>
  <si>
    <t>км 18,915-19,900</t>
  </si>
  <si>
    <t>км 0,0-0,025</t>
  </si>
  <si>
    <t>км 0,025-2,257</t>
  </si>
  <si>
    <t>км 2,257-2,658</t>
  </si>
  <si>
    <t>Лютня-Будогощь км 0,0-1,000</t>
  </si>
  <si>
    <t>Протяженность, км</t>
  </si>
  <si>
    <t>а/бет.</t>
  </si>
  <si>
    <t>ц/бет.</t>
  </si>
  <si>
    <t>км 1,200-2,400</t>
  </si>
  <si>
    <t>км 0,700-3,270</t>
  </si>
  <si>
    <t>км 2,800-3,200</t>
  </si>
  <si>
    <t>км 0,0-0,750</t>
  </si>
  <si>
    <t>км 1,250-5,070</t>
  </si>
  <si>
    <t>км 0,110-1,200</t>
  </si>
  <si>
    <t>Журбинская Буда</t>
  </si>
  <si>
    <t>Кубраковка</t>
  </si>
  <si>
    <t>Н-10078</t>
  </si>
  <si>
    <t>км 1,100-1,540</t>
  </si>
  <si>
    <t>Н-10086</t>
  </si>
  <si>
    <t>Н-10840</t>
  </si>
  <si>
    <t>Русиновка-Барышевка-Скварск-Дедня-Пухнова км 0,0-15,360</t>
  </si>
  <si>
    <t>Н-11056</t>
  </si>
  <si>
    <t>Н-11004</t>
  </si>
  <si>
    <t>Н-11005</t>
  </si>
  <si>
    <t>Н-11006</t>
  </si>
  <si>
    <t>Н-11008</t>
  </si>
  <si>
    <t>Н-11009</t>
  </si>
  <si>
    <t>км 0,0-16,580</t>
  </si>
  <si>
    <t>км 16,580-20,386</t>
  </si>
  <si>
    <t>км 20,386-21,140</t>
  </si>
  <si>
    <t>Азаровичи-Малая Королевка км 0,0-2,000</t>
  </si>
  <si>
    <t>Постраш-Долгий Клин км 0,0-5,966</t>
  </si>
  <si>
    <t>П-д к Шклов</t>
  </si>
  <si>
    <t>км 0,0-16,550</t>
  </si>
  <si>
    <t>км 16,550-21,395</t>
  </si>
  <si>
    <t>км 2,200-2,600</t>
  </si>
  <si>
    <t>км 0,0-0,680</t>
  </si>
  <si>
    <t>км 0,680-3,950</t>
  </si>
  <si>
    <t>Подудога-Сетное км 0,0-1,200</t>
  </si>
  <si>
    <t>км 9,980-10,880</t>
  </si>
  <si>
    <t>км 0,0-6,100</t>
  </si>
  <si>
    <t xml:space="preserve"> км 0,0-2,754</t>
  </si>
  <si>
    <t xml:space="preserve"> км 2,754-3,800</t>
  </si>
  <si>
    <t>Лужки-Грибачи км 0,0-3,800</t>
  </si>
  <si>
    <t>км 0,0-2,800</t>
  </si>
  <si>
    <t>км 1,690-2,400</t>
  </si>
  <si>
    <t>км 0,0-4,126</t>
  </si>
  <si>
    <t>км 4,126-13,863</t>
  </si>
  <si>
    <t>км 0,570-4,935</t>
  </si>
  <si>
    <t>км 1,000-2,600</t>
  </si>
  <si>
    <t>км 5,220-6,100</t>
  </si>
  <si>
    <t>км 6,100-7,830</t>
  </si>
  <si>
    <t>ул гр км 2,95-4,6</t>
  </si>
  <si>
    <t>км 15,018-17,680</t>
  </si>
  <si>
    <t>км 17,680-17,980</t>
  </si>
  <si>
    <t>км 7,569-10,222</t>
  </si>
  <si>
    <t>6а</t>
  </si>
  <si>
    <t>Н-10909</t>
  </si>
  <si>
    <t>Н-10173</t>
  </si>
  <si>
    <t>Н-10175</t>
  </si>
  <si>
    <t>Н-10176</t>
  </si>
  <si>
    <t>км 0,0-1,858</t>
  </si>
  <si>
    <t>км 1,858-2,1370</t>
  </si>
  <si>
    <t>км 19,9-22,382</t>
  </si>
  <si>
    <t>км 1,900-4,300</t>
  </si>
  <si>
    <t>км 2,760-3,600</t>
  </si>
  <si>
    <t>км 3,600-4,470</t>
  </si>
  <si>
    <t>км 4,470-9,000</t>
  </si>
  <si>
    <t>км 0,0-2,010</t>
  </si>
  <si>
    <t>км 2,010-8,050</t>
  </si>
  <si>
    <t>км 8,050-8,340 совмещен с Н-11135 Мстиславль-Мушино-Воловники</t>
  </si>
  <si>
    <t>км 8,340-9,380</t>
  </si>
  <si>
    <t>км 9,380-10,300</t>
  </si>
  <si>
    <t>км 1,800-3,750</t>
  </si>
  <si>
    <t>Залесье-Путяты км 0,0-3,470</t>
  </si>
  <si>
    <t>Подъезды от автодороги Р-31 Бобруйск (от автомобильной дороги М-5/Е 271)–Мозырь-граница Украины (Новая Рудня):</t>
  </si>
  <si>
    <t>Н-11622</t>
  </si>
  <si>
    <t>Н-11450</t>
  </si>
  <si>
    <t>Подъезды от автодороги Р-71 Могилев-Славгород:</t>
  </si>
  <si>
    <t>Подъезды от автодороги Р-76 Орша-Шклов-Могилев:</t>
  </si>
  <si>
    <t>км 18,960- 19,775</t>
  </si>
  <si>
    <t>Кировск-Охотичи-Боровица км 0,0-14,850</t>
  </si>
  <si>
    <t>км 0,0-4,800</t>
  </si>
  <si>
    <t>км 3,900-4,500</t>
  </si>
  <si>
    <t>км 0,370-1,600</t>
  </si>
  <si>
    <t>обслужи-</t>
  </si>
  <si>
    <t>П-д к Дрибин</t>
  </si>
  <si>
    <t>п-д к М.Кудин</t>
  </si>
  <si>
    <t>Филатово-Воргутьево км 0,0-2,480</t>
  </si>
  <si>
    <t>Н-11024</t>
  </si>
  <si>
    <t>Печары-Крутой Ров км 0,0-8,217</t>
  </si>
  <si>
    <t>км 6,145-8,217</t>
  </si>
  <si>
    <t>км 3,000-3,440</t>
  </si>
  <si>
    <t>км 1,000-3,640</t>
  </si>
  <si>
    <t xml:space="preserve"> км 4,608-5,345</t>
  </si>
  <si>
    <t>км 13,234-20,900</t>
  </si>
  <si>
    <t>ДРСУ №213</t>
  </si>
  <si>
    <t>ДРСУ №127</t>
  </si>
  <si>
    <t>км 0,300-2,160</t>
  </si>
  <si>
    <t>км 2,160-2,566</t>
  </si>
  <si>
    <t>км 13,553-14,011</t>
  </si>
  <si>
    <t>км 15,000-18,180</t>
  </si>
  <si>
    <t>км 18,180-18,757</t>
  </si>
  <si>
    <t>км 0,0-0,860</t>
  </si>
  <si>
    <t>км 0,860-15,790</t>
  </si>
  <si>
    <t>км 0,0-1,850</t>
  </si>
  <si>
    <t>км 0,100-0,500</t>
  </si>
  <si>
    <t>км 0,500-1,600</t>
  </si>
  <si>
    <t>км 0,910-2,600</t>
  </si>
  <si>
    <t>км 0,0-0,300</t>
  </si>
  <si>
    <t>км 8,500-13,870</t>
  </si>
  <si>
    <t>Боровая</t>
  </si>
  <si>
    <t>км 6,840-7,400</t>
  </si>
  <si>
    <t>Подгородок-Красная Слобода км 0,0-3,510</t>
  </si>
  <si>
    <t>Коробчино-Шумяничи км 0,0-1,800</t>
  </si>
  <si>
    <t>Н-10538</t>
  </si>
  <si>
    <t>ул гр 0,95км?</t>
  </si>
  <si>
    <t>км 1,900-3,670</t>
  </si>
  <si>
    <t>Рамшино-Бабчино 0,0-3,8</t>
  </si>
  <si>
    <t>Кучарино-Ржавцы 0,0-1,9</t>
  </si>
  <si>
    <t>км 0 ,780-1,270</t>
  </si>
  <si>
    <t>Н-10236</t>
  </si>
  <si>
    <t>Н-11034</t>
  </si>
  <si>
    <t>Н-11606</t>
  </si>
  <si>
    <t>Н-11607</t>
  </si>
  <si>
    <t>Н-10976</t>
  </si>
  <si>
    <t>Н-10977</t>
  </si>
  <si>
    <t>Н-10462</t>
  </si>
  <si>
    <t>Н-10463</t>
  </si>
  <si>
    <t>Н-10200</t>
  </si>
  <si>
    <t xml:space="preserve"> км 0,0-0,700</t>
  </si>
  <si>
    <t>км 16,724-16,963</t>
  </si>
  <si>
    <t>Н-10851</t>
  </si>
  <si>
    <t>км 0,0-3,211</t>
  </si>
  <si>
    <t>км 5,100-5,300</t>
  </si>
  <si>
    <t xml:space="preserve"> км 1,300-2,400</t>
  </si>
  <si>
    <t>км 0,350-3,365</t>
  </si>
  <si>
    <t>Н-11042</t>
  </si>
  <si>
    <t>в том числе по техническим категориям -</t>
  </si>
  <si>
    <t>грунт</t>
  </si>
  <si>
    <t>всего</t>
  </si>
  <si>
    <t>Н-10362</t>
  </si>
  <si>
    <t>Н-10760</t>
  </si>
  <si>
    <t>Н-10781</t>
  </si>
  <si>
    <t>км 0,400-2,850</t>
  </si>
  <si>
    <t>Н-11472</t>
  </si>
  <si>
    <t>Устиновичи-Луч км 0,0-1,000</t>
  </si>
  <si>
    <t>км 0,040-3,100</t>
  </si>
  <si>
    <t>км 0,750-5,040</t>
  </si>
  <si>
    <t>км 7,960-8,276</t>
  </si>
  <si>
    <t>Н-10028</t>
  </si>
  <si>
    <t>Н-10029</t>
  </si>
  <si>
    <t>Н-10030</t>
  </si>
  <si>
    <t>Н-10031</t>
  </si>
  <si>
    <t>Н-10032</t>
  </si>
  <si>
    <t>в. т. ч. 
на съездах</t>
  </si>
  <si>
    <t>км 0,0-0,930</t>
  </si>
  <si>
    <t>км 0,930-2,700</t>
  </si>
  <si>
    <t>км 0,0-20,500</t>
  </si>
  <si>
    <t>км 20,500-27,700</t>
  </si>
  <si>
    <t>км 8,000-8,500</t>
  </si>
  <si>
    <t>км 8,500-13,250</t>
  </si>
  <si>
    <t>км 13,250-13,850</t>
  </si>
  <si>
    <t>км 7,000-7,700</t>
  </si>
  <si>
    <t>км 7,700-10,809</t>
  </si>
  <si>
    <t>км 10,809-17,766</t>
  </si>
  <si>
    <t>км 17,766-17,866</t>
  </si>
  <si>
    <t>км 0,225-2,055</t>
  </si>
  <si>
    <t>км 0,0-0,225</t>
  </si>
  <si>
    <t>км 0,0-22,600</t>
  </si>
  <si>
    <t>км 2,500-7,950</t>
  </si>
  <si>
    <t>км 7,950-8,375</t>
  </si>
  <si>
    <t>км 8,375-8,850</t>
  </si>
  <si>
    <t>км 8,850-8,937</t>
  </si>
  <si>
    <t>км 5,360-13,787</t>
  </si>
  <si>
    <t>км 1,500-5,400</t>
  </si>
  <si>
    <t>км 5,400-6,580</t>
  </si>
  <si>
    <t>км 0,0-3,000</t>
  </si>
  <si>
    <t>Славковичи-Чапаево км 0,0-2,200</t>
  </si>
  <si>
    <t>км 6,580-7,600</t>
  </si>
  <si>
    <t>км 7,600-9,700</t>
  </si>
  <si>
    <t>км 9,700-9,907</t>
  </si>
  <si>
    <t>км 0,140-6,951</t>
  </si>
  <si>
    <t>Н-10018</t>
  </si>
  <si>
    <t>Н-10009</t>
  </si>
  <si>
    <t>км 52,982-53,743</t>
  </si>
  <si>
    <t>км 53,743-58,417</t>
  </si>
  <si>
    <t>км 58,417-62,919</t>
  </si>
  <si>
    <t>км 62,919-64,040</t>
  </si>
  <si>
    <t>км 64,040-64,127</t>
  </si>
  <si>
    <t xml:space="preserve">Н-10331 </t>
  </si>
  <si>
    <t>Н-10332</t>
  </si>
  <si>
    <t>Н-10333</t>
  </si>
  <si>
    <t>Н-10335</t>
  </si>
  <si>
    <t>Н-10336</t>
  </si>
  <si>
    <t>км 0,0-0,950</t>
  </si>
  <si>
    <t>Витунь</t>
  </si>
  <si>
    <t>в том числе обслуживаемая по типам покрытий:</t>
  </si>
  <si>
    <t>№№ п.п.</t>
  </si>
  <si>
    <t>Номер дороги*</t>
  </si>
  <si>
    <t>Н-10010</t>
  </si>
  <si>
    <t>Н-10011</t>
  </si>
  <si>
    <t>Н-10792</t>
  </si>
  <si>
    <t>Н-10793</t>
  </si>
  <si>
    <t>Н-10795</t>
  </si>
  <si>
    <t>Н-10751</t>
  </si>
  <si>
    <t>Н-10752</t>
  </si>
  <si>
    <t>км 0,0-0,336</t>
  </si>
  <si>
    <t>км 2,490-5,800</t>
  </si>
  <si>
    <t>км 2,010-3,506</t>
  </si>
  <si>
    <t>Р-96</t>
  </si>
  <si>
    <t>Р-122</t>
  </si>
  <si>
    <t>ДРСУ №199</t>
  </si>
  <si>
    <t xml:space="preserve">Н-11354 </t>
  </si>
  <si>
    <t>Н-10901</t>
  </si>
  <si>
    <t>Н-10001</t>
  </si>
  <si>
    <t>Н-10903</t>
  </si>
  <si>
    <t>Н-10904</t>
  </si>
  <si>
    <t>км 0,070-4,020</t>
  </si>
  <si>
    <t>Н-11509</t>
  </si>
  <si>
    <t>Н-10610</t>
  </si>
  <si>
    <t>Н-10933</t>
  </si>
  <si>
    <t>Н-11040</t>
  </si>
  <si>
    <t>Н-11041</t>
  </si>
  <si>
    <t>км 0,830-1,000</t>
  </si>
  <si>
    <t xml:space="preserve"> км 5,210-5,510</t>
  </si>
  <si>
    <t>как малое бушково-большое бушково 3,2 км</t>
  </si>
  <si>
    <t>как п-д к д. Мишковцы</t>
  </si>
  <si>
    <t>как п-д к д. городня</t>
  </si>
  <si>
    <t>как заболотье-новоселки-1</t>
  </si>
  <si>
    <t>как заболотье-новоселки-2</t>
  </si>
  <si>
    <t>Космыничи-Судовщина км 0,0-2,100</t>
  </si>
  <si>
    <t>226-р</t>
  </si>
  <si>
    <t>как п-д от Глуша-Гороховка к д. Римовцы через д.Мосты 1,8км</t>
  </si>
  <si>
    <t>как паршино-медведево-пуплы</t>
  </si>
  <si>
    <t>как п-д от Рыжковка-Кр.Осовец-Давидовичи к д. Лисичник 3,7 км</t>
  </si>
  <si>
    <t>2008 км 1,2-2,2</t>
  </si>
  <si>
    <t>км 16,082-17,670</t>
  </si>
  <si>
    <t>км 4,300-4,349</t>
  </si>
  <si>
    <t>км 1,972-3,525</t>
  </si>
  <si>
    <t>Цель-санаторий "Лапичи" км 0,0-6,619</t>
  </si>
  <si>
    <t>км 0,0-1,660</t>
  </si>
  <si>
    <t>как п-д к кладбищу д. Брыли</t>
  </si>
  <si>
    <t>км 0,0-1,038</t>
  </si>
  <si>
    <t>Н-10003</t>
  </si>
  <si>
    <t>Н-10004</t>
  </si>
  <si>
    <t xml:space="preserve"> км 7,000-9,200</t>
  </si>
  <si>
    <t>км 4,340-5,260</t>
  </si>
  <si>
    <t>км 1,430-2,930</t>
  </si>
  <si>
    <t>Эсьмоны-Смогиловка км 0,0-5,000</t>
  </si>
  <si>
    <t>км 0,0-2,370</t>
  </si>
  <si>
    <t>км 2,370-3,795</t>
  </si>
  <si>
    <t>Заречье-Иглица-Мотыга км 0,0-3,400</t>
  </si>
  <si>
    <t xml:space="preserve"> км 0,0-0,200</t>
  </si>
  <si>
    <t xml:space="preserve"> км 0,200-0,400</t>
  </si>
  <si>
    <t>Сухари-Ивановичи-Иванов Дворец км 0,0-7,050</t>
  </si>
  <si>
    <t>Жуковичи-Поблин км 0,0-4,575</t>
  </si>
  <si>
    <t>км 0,014-4,575</t>
  </si>
  <si>
    <t>Караны-Ставище км 0,0-5,000</t>
  </si>
  <si>
    <t>км 2,800-5,000</t>
  </si>
  <si>
    <t>Южное Белищено-Ослянка-Новые Вихряны км 0,0-10,200</t>
  </si>
  <si>
    <t>Н-10488</t>
  </si>
  <si>
    <t>Пуплы-Завидовка км 0,0-1,300</t>
  </si>
  <si>
    <t>Н-11018</t>
  </si>
  <si>
    <t>Н-11020</t>
  </si>
  <si>
    <t>Н-11022</t>
  </si>
  <si>
    <t>Н-11023</t>
  </si>
  <si>
    <t>Н-10054</t>
  </si>
  <si>
    <t>Н-10369</t>
  </si>
  <si>
    <t>км 22,382-27,946</t>
  </si>
  <si>
    <t>гр ул</t>
  </si>
  <si>
    <t>км 4,935-5,350</t>
  </si>
  <si>
    <t>Мощаница-Дробовка 0,0-4,7</t>
  </si>
  <si>
    <t>км 0,0-1,593</t>
  </si>
  <si>
    <t>км 2,316-3,76</t>
  </si>
  <si>
    <t>км 10,624-10,667</t>
  </si>
  <si>
    <t>км 6,192-10,624</t>
  </si>
  <si>
    <t>км 3,950-4,380</t>
  </si>
  <si>
    <t>км 1,680-2,150</t>
  </si>
  <si>
    <t>км 2,150-4,750</t>
  </si>
  <si>
    <t>Боровка-Барсуки км 0,0-0,800</t>
  </si>
  <si>
    <t>Н-10531</t>
  </si>
  <si>
    <t>Н-10532</t>
  </si>
  <si>
    <t>км 4,464-5,317 совмещен с Р-15 Кричев-Орша-Лепель</t>
  </si>
  <si>
    <t>км 5,317-7,162</t>
  </si>
  <si>
    <t>км 7,162-13,162</t>
  </si>
  <si>
    <t>км 13,162-14,562</t>
  </si>
  <si>
    <t>Курманово-Булино-Нестерово км 0,0-14,562</t>
  </si>
  <si>
    <t>км 21,603-21,608 совмещен с Р-15 Кричев-Орша-Лепель</t>
  </si>
  <si>
    <t>км 21,608-23,742</t>
  </si>
  <si>
    <t>Мстиславль-Милейково-Подсолтово км 0,0-23,742</t>
  </si>
  <si>
    <t>км 1,600-10,150</t>
  </si>
  <si>
    <t>км 10,150-12,194</t>
  </si>
  <si>
    <t>км 12,194-12,317</t>
  </si>
  <si>
    <t>км 0,700-2,000</t>
  </si>
  <si>
    <t>км 6,827-7,960</t>
  </si>
  <si>
    <t>как подъезд к с/т Мелиоратор от п-да к д. Черноземовка км 0,0-0,6</t>
  </si>
  <si>
    <t>Н-10042</t>
  </si>
  <si>
    <t>км 0,0-0,620</t>
  </si>
  <si>
    <t>как ясный лес-думановщина км 0,0-6,0</t>
  </si>
  <si>
    <t>как новики-микуличи 5,5 км</t>
  </si>
  <si>
    <t>Карница-Весново км 0,0-2,644</t>
  </si>
  <si>
    <t>Старый Остров-граница Минской области км 0,0-1,480</t>
  </si>
  <si>
    <t>км 0,0-0,400</t>
  </si>
  <si>
    <t>км 0,620-1,000</t>
  </si>
  <si>
    <t>км 1,000-4,520</t>
  </si>
  <si>
    <t>Бросовинка-Селиба км 0,0-4,320</t>
  </si>
  <si>
    <t>км 3,000-4,320</t>
  </si>
  <si>
    <t>км 0,0-1,080</t>
  </si>
  <si>
    <t>км 1,080-1,700</t>
  </si>
  <si>
    <t>Голочево-Шеперово км 0,0-3,720</t>
  </si>
  <si>
    <t>Н-10713</t>
  </si>
  <si>
    <t>Н-10714</t>
  </si>
  <si>
    <t>Пацева Слобода-Малиновка км 0,0-2,655</t>
  </si>
  <si>
    <t>км 2,000-5,520</t>
  </si>
  <si>
    <t>Яновка-Шелодоновка км 0,0-5,200</t>
  </si>
  <si>
    <t>Н-11147</t>
  </si>
  <si>
    <t>Н-11135</t>
  </si>
  <si>
    <t>Н-11136</t>
  </si>
  <si>
    <t>км 0,0-3,012</t>
  </si>
  <si>
    <t>Пушково</t>
  </si>
  <si>
    <t>км 2,10-5,560</t>
  </si>
  <si>
    <t>Каменка-Оршани увелич на 1,0 км</t>
  </si>
  <si>
    <t>Кировский</t>
  </si>
  <si>
    <t>км 0,546-0,770 совмещен с Н-11204 Малая Горожа-Липень-Каменичи</t>
  </si>
  <si>
    <t>км 0,0-5,211</t>
  </si>
  <si>
    <t>км 5,211-6,190</t>
  </si>
  <si>
    <t>Воротынь-Долгий Клин км 0,0-6,290</t>
  </si>
  <si>
    <t>км 1,160-6,290</t>
  </si>
  <si>
    <t>км 3,600-4,500</t>
  </si>
  <si>
    <t>км 0,0-7,328</t>
  </si>
  <si>
    <t>км 8,606-8,753</t>
  </si>
  <si>
    <t>км 7,328-8,606</t>
  </si>
  <si>
    <t>Калиновка-Староселье-Смольянцы км 0,0-8,753</t>
  </si>
  <si>
    <t>км 4,835-6,211 совмещен с Н-11583 Калиновка-Староселье-Смольянцы</t>
  </si>
  <si>
    <t>км 6,211-10,296</t>
  </si>
  <si>
    <t>км 0,0-4,835</t>
  </si>
  <si>
    <t>км 0,0-5,749</t>
  </si>
  <si>
    <t>Воротынь-Данилов Мост км 0,0-3,330</t>
  </si>
  <si>
    <t>км 12,500-18,960</t>
  </si>
  <si>
    <t>Красная Дуброва-Коймино-Ивановка км 0,0-4,790</t>
  </si>
  <si>
    <t>км 0,0-0,523</t>
  </si>
  <si>
    <t>км 0,0-1,738</t>
  </si>
  <si>
    <t>Муравилье-Пушково км 0,0-2,300</t>
  </si>
  <si>
    <t>Подъезды от автодороги Р-43 Граница Российской Федерации (Звенчатка)-Кричев-Бобруйск-Ивацевичи (до автомобильной дороги Р-2/Е 85):</t>
  </si>
  <si>
    <t>км 7,540-8,777</t>
  </si>
  <si>
    <t>Р-70</t>
  </si>
  <si>
    <t>км 0,0-0,220</t>
  </si>
  <si>
    <t>Красулино-Юрково-Поташи км 0,0-3,750</t>
  </si>
  <si>
    <t>км 2,050-3,750</t>
  </si>
  <si>
    <t>Н-10519</t>
  </si>
  <si>
    <t>Н-10520</t>
  </si>
  <si>
    <t>Н-11504</t>
  </si>
  <si>
    <t>Н-11511</t>
  </si>
  <si>
    <t>Волоськовня-Антоновка км 0,0-0,500</t>
  </si>
  <si>
    <t>км 1,130-1,850</t>
  </si>
  <si>
    <t>км 0,450-1,130</t>
  </si>
  <si>
    <t>км 0,0-1,345</t>
  </si>
  <si>
    <t>км 5,100-6,170</t>
  </si>
  <si>
    <t>км 6,170-9,000</t>
  </si>
  <si>
    <t>км 9,000-10,200</t>
  </si>
  <si>
    <t>Н-11169</t>
  </si>
  <si>
    <t>Н-11170</t>
  </si>
  <si>
    <t>км 0,0-0,670</t>
  </si>
  <si>
    <t>Панкратовка-Комаровичи км 0,0-2,600</t>
  </si>
  <si>
    <t>Климовичский</t>
  </si>
  <si>
    <t>км 0,900-2,300</t>
  </si>
  <si>
    <t>км 0,0-0,830</t>
  </si>
  <si>
    <t>км 0,0-4,385</t>
  </si>
  <si>
    <t>км 4,385-10,205</t>
  </si>
  <si>
    <t>Мушино-Доброе-Лопатино-Веркеевщина км 0,0-10,300</t>
  </si>
  <si>
    <t>Н-10687</t>
  </si>
  <si>
    <t>Н-10244</t>
  </si>
  <si>
    <t>Н-10245</t>
  </si>
  <si>
    <t>Куртасы-Широкие км 0,0-1,000</t>
  </si>
  <si>
    <t>Н-10464</t>
  </si>
  <si>
    <t>Н-10465</t>
  </si>
  <si>
    <t>Н-10479</t>
  </si>
  <si>
    <t>Н-10477</t>
  </si>
  <si>
    <t>Н-10478</t>
  </si>
  <si>
    <t>Н-11216</t>
  </si>
  <si>
    <t>Н-11217</t>
  </si>
  <si>
    <t>Н-11218</t>
  </si>
  <si>
    <t>Н-11219</t>
  </si>
  <si>
    <t>Н-10005</t>
  </si>
  <si>
    <t>Н-10006</t>
  </si>
  <si>
    <t>Н-10007</t>
  </si>
  <si>
    <t>Н-10008</t>
  </si>
  <si>
    <t>Н-10826</t>
  </si>
  <si>
    <t>Н-10827</t>
  </si>
  <si>
    <t>км 4,160-6,840</t>
  </si>
  <si>
    <t>Дулебня-Ходечин км 0,0-3,840</t>
  </si>
  <si>
    <t>км 0,700-2,500</t>
  </si>
  <si>
    <t>км 0,0-5,475</t>
  </si>
  <si>
    <t>км 5,475-6,105</t>
  </si>
  <si>
    <t>Техтин-Малиновка-Прибор-Калиновка км 0,0-5,890</t>
  </si>
  <si>
    <t>км 0,0-0,870</t>
  </si>
  <si>
    <t>ДРСУ №129</t>
  </si>
  <si>
    <t>ДРСУ №216</t>
  </si>
  <si>
    <t>ДРСУ №176</t>
  </si>
  <si>
    <t>Черченовка</t>
  </si>
  <si>
    <t>км 0,0-0,733</t>
  </si>
  <si>
    <t>км 3,800-5,200</t>
  </si>
  <si>
    <t>Н-10097</t>
  </si>
  <si>
    <t>Н-10098</t>
  </si>
  <si>
    <t>Н-10685</t>
  </si>
  <si>
    <t>Н-10688</t>
  </si>
  <si>
    <t>Н-10869</t>
  </si>
  <si>
    <t>Н-10988</t>
  </si>
  <si>
    <t>Подсолтово-Даниловск км 0,0-1,600</t>
  </si>
  <si>
    <t>Н-10705</t>
  </si>
  <si>
    <t>Н-10706</t>
  </si>
  <si>
    <t xml:space="preserve"> км 0,400-1,150</t>
  </si>
  <si>
    <t xml:space="preserve"> км 1,150-1,550</t>
  </si>
  <si>
    <t>Н-10905</t>
  </si>
  <si>
    <t>Н-10906</t>
  </si>
  <si>
    <t>Пилещино-Рагозинка км 0,0-2,440</t>
  </si>
  <si>
    <t>км 4,000-4,900</t>
  </si>
  <si>
    <t>Телеши-Любаны км 0,0-5,880</t>
  </si>
  <si>
    <t>км 0,360-1,960</t>
  </si>
  <si>
    <t>км 0,0-2,000</t>
  </si>
  <si>
    <t>км 0,0-5,100</t>
  </si>
  <si>
    <t>км 19,250-27,647</t>
  </si>
  <si>
    <t>км 0,0-6,210</t>
  </si>
  <si>
    <t>км 6,210-8,000</t>
  </si>
  <si>
    <t>км 3,211-3,370</t>
  </si>
  <si>
    <t>км 8,314-8,831</t>
  </si>
  <si>
    <t>км 8,831-10,470</t>
  </si>
  <si>
    <t>км 0,0-7,147</t>
  </si>
  <si>
    <t>км 7,147-13,553</t>
  </si>
  <si>
    <t>км 1,900-2,900</t>
  </si>
  <si>
    <t>км 5,700-6,690</t>
  </si>
  <si>
    <t>км 0,396-2,185</t>
  </si>
  <si>
    <t>км 0,900-2,400</t>
  </si>
  <si>
    <t>Р-76</t>
  </si>
  <si>
    <t>Р-73</t>
  </si>
  <si>
    <t>Н-10854</t>
  </si>
  <si>
    <t>Н-10855</t>
  </si>
  <si>
    <t>Н-10856</t>
  </si>
  <si>
    <t>Н-10857</t>
  </si>
  <si>
    <t>Н-10858</t>
  </si>
  <si>
    <t>Н-10451</t>
  </si>
  <si>
    <t>Шабли</t>
  </si>
  <si>
    <t>Паршино-Полящицы км 0,0-6,860</t>
  </si>
  <si>
    <t>Н-11445</t>
  </si>
  <si>
    <t>Н-11446</t>
  </si>
  <si>
    <t>км 0,0-0,330 совмещен с М-4 Минск-Могилев (съезд развязки)</t>
  </si>
  <si>
    <t>км 0,330-1,355</t>
  </si>
  <si>
    <t>Заболотье-Петрыги-Васильково км 0,0-8,000</t>
  </si>
  <si>
    <t>км 22,590-22,786</t>
  </si>
  <si>
    <t>км 22,786-25,770</t>
  </si>
  <si>
    <t>Подъезды от автодороги Р-121 Шклов-Круглое:</t>
  </si>
  <si>
    <t>Н-9911</t>
  </si>
  <si>
    <t>Н-11239</t>
  </si>
  <si>
    <t>км 1,100-1,720</t>
  </si>
  <si>
    <t>км 2,900-3,380</t>
  </si>
  <si>
    <t>км 25,510-26,300</t>
  </si>
  <si>
    <t>км 24,120-25,510</t>
  </si>
  <si>
    <t>км 14,360-17,790</t>
  </si>
  <si>
    <t>Ельковщина-Загоряны км 0,0-4,350</t>
  </si>
  <si>
    <t>км 0,0-0,820</t>
  </si>
  <si>
    <t>км 2,740-4,590</t>
  </si>
  <si>
    <t>Глуша-Макаровка-Гороховка км 0,0-13,272</t>
  </si>
  <si>
    <t>км 0,0-0,834</t>
  </si>
  <si>
    <t>км 0,0-0,172</t>
  </si>
  <si>
    <t>Н-10835</t>
  </si>
  <si>
    <t>Н-10399</t>
  </si>
  <si>
    <t>Н-10676</t>
  </si>
  <si>
    <t>Н-10677</t>
  </si>
  <si>
    <t>Н-10678</t>
  </si>
  <si>
    <t>Н-10679</t>
  </si>
  <si>
    <t>км 0,0-0,815</t>
  </si>
  <si>
    <t>Кривая Нива</t>
  </si>
  <si>
    <t>км 0,0-1,45 по терр. РФ</t>
  </si>
  <si>
    <t>км 13,440-13,940</t>
  </si>
  <si>
    <t>км 13,940-14,320</t>
  </si>
  <si>
    <t>км 14,320-15,340 совмещен с Н-11433 Смолка-Горбовичи-Красница-Гладково</t>
  </si>
  <si>
    <t>км 0,900-1,1700</t>
  </si>
  <si>
    <t>км 3,500-10,660</t>
  </si>
  <si>
    <t>км 2,770-12,30</t>
  </si>
  <si>
    <t>км 6,020-8,000</t>
  </si>
  <si>
    <t>Шамовщина-Старое Село км 0,0-3,610</t>
  </si>
  <si>
    <t>км 6,190-6,218</t>
  </si>
  <si>
    <t>км 6,218-6,674</t>
  </si>
  <si>
    <t>Залохвенье-Ходутичи-Косичи-Липовка-Боровка км 0,0-16,963</t>
  </si>
  <si>
    <t>Охорь-Речица-Холоблин км 0,0-15,075</t>
  </si>
  <si>
    <t>км 0,841-1,363</t>
  </si>
  <si>
    <t>км 4,349-6,619</t>
  </si>
  <si>
    <t>км 2,830-5,800</t>
  </si>
  <si>
    <t>Стайки-Подселы км 0,0-15,063</t>
  </si>
  <si>
    <t>км 0,0-3,325</t>
  </si>
  <si>
    <t>Н-10681</t>
  </si>
  <si>
    <t>Н-10680</t>
  </si>
  <si>
    <t>Н-11356</t>
  </si>
  <si>
    <t>Н-11358</t>
  </si>
  <si>
    <t>км 12,000-13,700</t>
  </si>
  <si>
    <t>как п-д к д. Синюга 2,5 км ?</t>
  </si>
  <si>
    <t>Н-10621</t>
  </si>
  <si>
    <t>Н-10622</t>
  </si>
  <si>
    <t xml:space="preserve"> км 5,500-7,250</t>
  </si>
  <si>
    <t>Подъезды от автодороги Р-34 Осиповичи-Глуск-Озаричи:</t>
  </si>
  <si>
    <t>Щегловка</t>
  </si>
  <si>
    <t>Поляниновичи-Заболотное км 0,0-1,550</t>
  </si>
  <si>
    <t>км 5,641-5,880</t>
  </si>
  <si>
    <t>км 0,247-0,567</t>
  </si>
  <si>
    <t>км 0,567-3,890</t>
  </si>
  <si>
    <t>Браково-Лохва-Заболотье км 0,0-4,883</t>
  </si>
  <si>
    <t>Н-11215</t>
  </si>
  <si>
    <t>км 0,400-0,800</t>
  </si>
  <si>
    <t>?? столпищи-тейковичи-мышковичи 4,8км</t>
  </si>
  <si>
    <t>км 0,0-0,107</t>
  </si>
  <si>
    <t>Н-10085</t>
  </si>
  <si>
    <t>км 0,0-1,865</t>
  </si>
  <si>
    <t>км 2,800-3,100</t>
  </si>
  <si>
    <t>км 2,200-3,000</t>
  </si>
  <si>
    <t>км 0,0-1,310</t>
  </si>
  <si>
    <t>как езеры-виноград</t>
  </si>
  <si>
    <t>Н-11015</t>
  </si>
  <si>
    <t>Н-10168</t>
  </si>
  <si>
    <t>Подъезды от автодороги Р-118 Любоничи (от автомобильной дороги Р-62)-Кировск:</t>
  </si>
  <si>
    <t>км 28,923-41,931</t>
  </si>
  <si>
    <t>Н-10617</t>
  </si>
  <si>
    <t>Н-10618</t>
  </si>
  <si>
    <t>Н-10619</t>
  </si>
  <si>
    <t>Н-10620</t>
  </si>
  <si>
    <t>км 0,0-0,240</t>
  </si>
  <si>
    <t>км 0,240-0,450</t>
  </si>
  <si>
    <t>км 0,0-0,230</t>
  </si>
  <si>
    <t>Галичи-Пислятино км 0,0-3,500</t>
  </si>
  <si>
    <t>км 2,260-2,680 совмещен с Н-11431 Чаусы-Заложье</t>
  </si>
  <si>
    <t xml:space="preserve"> км 2,680-3,980</t>
  </si>
  <si>
    <t>км 0,0-1,370</t>
  </si>
  <si>
    <t>км 1,370-1,660</t>
  </si>
  <si>
    <t>Самулки-Темнолесье км 0,0-5,300</t>
  </si>
  <si>
    <t>км 17,390-17,700</t>
  </si>
  <si>
    <t>км 13,000-16,000</t>
  </si>
  <si>
    <t>км 2,600-5,100</t>
  </si>
  <si>
    <t>км 0,610-1,720</t>
  </si>
  <si>
    <t>км 0,020-1,290</t>
  </si>
  <si>
    <t>км 1,700-2,500</t>
  </si>
  <si>
    <t>км 1,400-1,700</t>
  </si>
  <si>
    <t>Н-11144</t>
  </si>
  <si>
    <t>Н-11145</t>
  </si>
  <si>
    <t>Осиповичи-Верейцы км 0,0-7,615</t>
  </si>
  <si>
    <t>км 0,200-2,040</t>
  </si>
  <si>
    <t>Н-10227</t>
  </si>
  <si>
    <t>Н-10682</t>
  </si>
  <si>
    <t>Н-10683</t>
  </si>
  <si>
    <t>Н-10684</t>
  </si>
  <si>
    <t>Н-10686</t>
  </si>
  <si>
    <t>км 0,0-0,140</t>
  </si>
  <si>
    <t>Н-10161</t>
  </si>
  <si>
    <t>Н-10163</t>
  </si>
  <si>
    <t>км 1,750-2,846</t>
  </si>
  <si>
    <t>км 2,400-3,150</t>
  </si>
  <si>
    <t>пост.Совмина№484</t>
  </si>
  <si>
    <t>Ослянка-Северное Белищено км 0,0-1,900</t>
  </si>
  <si>
    <t>Н-11174</t>
  </si>
  <si>
    <t>км 0,0-0,396</t>
  </si>
  <si>
    <t>км 0,0-0,050</t>
  </si>
  <si>
    <t>км 0,050,0-3,043</t>
  </si>
  <si>
    <t>км 0,0-0,100</t>
  </si>
  <si>
    <t>км 17,300-17,850</t>
  </si>
  <si>
    <t>км 15,790-15,910</t>
  </si>
  <si>
    <t>Н-11214</t>
  </si>
  <si>
    <t>Н-11143</t>
  </si>
  <si>
    <t>км 0,500-1,200</t>
  </si>
  <si>
    <t>Н-10398</t>
  </si>
  <si>
    <t>Н-10231</t>
  </si>
  <si>
    <t>Наименование</t>
  </si>
  <si>
    <t>Наименов.</t>
  </si>
  <si>
    <t>км 6,596-10,731</t>
  </si>
  <si>
    <t>Сидоровичи-Полна км 0,0-3,641</t>
  </si>
  <si>
    <t>Карповичи-Маковичи-Боровище км 0,0-34,130</t>
  </si>
  <si>
    <t>Згода-Подлужье км 0,0-3,475</t>
  </si>
  <si>
    <t>км 0,0-0,370</t>
  </si>
  <si>
    <t>км 0,0-2,669</t>
  </si>
  <si>
    <t>км 0,350-2,400</t>
  </si>
  <si>
    <t>Чериков-Езеры-Гижня км 0,0-22,480</t>
  </si>
  <si>
    <t>Биордо-Городец 12,0 км</t>
  </si>
  <si>
    <t>км 31,100-32,090</t>
  </si>
  <si>
    <t>км 2,500-2,955</t>
  </si>
  <si>
    <t>Вязье-Зборск-Лапичи км 0,0-14,489</t>
  </si>
  <si>
    <t>км 0,0-0,841</t>
  </si>
  <si>
    <t>км 3,260-5,130</t>
  </si>
  <si>
    <t>км 1,720-2,110</t>
  </si>
  <si>
    <t>Глусский</t>
  </si>
  <si>
    <t>Горецкий</t>
  </si>
  <si>
    <t>Н-10238</t>
  </si>
  <si>
    <t>Н-11372</t>
  </si>
  <si>
    <t>Н-11373</t>
  </si>
  <si>
    <t>Н-11377</t>
  </si>
  <si>
    <t>км 3,325-3,936</t>
  </si>
  <si>
    <t>Н-10843</t>
  </si>
  <si>
    <t>Н-10844</t>
  </si>
  <si>
    <t>Н-10845</t>
  </si>
  <si>
    <t>Н-10847</t>
  </si>
  <si>
    <t>Н-10848</t>
  </si>
  <si>
    <t>Н-10849</t>
  </si>
  <si>
    <t>км 0,070-1,300</t>
  </si>
  <si>
    <t>км 0,0-0,209</t>
  </si>
  <si>
    <t>км 0,209-2,029</t>
  </si>
  <si>
    <t>км 2,029-2,421</t>
  </si>
  <si>
    <t>км 2,421-4,821</t>
  </si>
  <si>
    <t>км 4,821-5,139</t>
  </si>
  <si>
    <t>км 3,000-3,250</t>
  </si>
  <si>
    <t>км 0,0-0,085</t>
  </si>
  <si>
    <t>км 0,765-7,300</t>
  </si>
  <si>
    <t>км 0,0-13,088</t>
  </si>
  <si>
    <t>км 0,0-15,708</t>
  </si>
  <si>
    <t>км 15,708-22,480</t>
  </si>
  <si>
    <t>км 0,0-10,720</t>
  </si>
  <si>
    <t>км 17,700-25,330</t>
  </si>
  <si>
    <t>Чериков-Удога-Веремейки км 0,0-25,330</t>
  </si>
  <si>
    <t>Соколовка-Долгое км 0,0-8,733</t>
  </si>
  <si>
    <t>км 0,880-7,100</t>
  </si>
  <si>
    <t>Тушково-Азаровичи км 0,0-3,540</t>
  </si>
  <si>
    <t>Гривец-Лихачево км 0,0-1,500</t>
  </si>
  <si>
    <t>Н-11360</t>
  </si>
  <si>
    <t>Н-11362</t>
  </si>
  <si>
    <t xml:space="preserve">Н-11363 </t>
  </si>
  <si>
    <t>Н-11364</t>
  </si>
  <si>
    <t>Н-11366</t>
  </si>
  <si>
    <t>Н-11367</t>
  </si>
  <si>
    <t>Н-11027</t>
  </si>
  <si>
    <t>Н-11028</t>
  </si>
  <si>
    <t>п/п</t>
  </si>
  <si>
    <t>км</t>
  </si>
  <si>
    <t>км 10,287-16,724</t>
  </si>
  <si>
    <t>км 1,785-2,485</t>
  </si>
  <si>
    <t>Вымочь-Зори км 0,0-2,485</t>
  </si>
  <si>
    <t>Чурилово-Студенец-Ходоровичи км 0,0-7,300</t>
  </si>
  <si>
    <t>Н-11035</t>
  </si>
  <si>
    <t>км 1,540-2,800</t>
  </si>
  <si>
    <t>Малая Крапивня-Щегловка-Малиновка км 0,0-5,450</t>
  </si>
  <si>
    <t>км 2,300-5,450</t>
  </si>
  <si>
    <t>км 16,285-17,260</t>
  </si>
  <si>
    <t>км 17,260-17,626</t>
  </si>
  <si>
    <t>км 17,626-19,125</t>
  </si>
  <si>
    <t>км 19,125-19,960</t>
  </si>
  <si>
    <t>км 19,960-21,077</t>
  </si>
  <si>
    <t>км 0,432-2,600</t>
  </si>
  <si>
    <t>Грудиновка-Быново км 0,0-4,445</t>
  </si>
  <si>
    <t>Смолка-Бесчинье-Кутня км 0,0-6,660</t>
  </si>
  <si>
    <t>км 0,0-5,970</t>
  </si>
  <si>
    <t>км 5,970-6,660</t>
  </si>
  <si>
    <t>км 5,000-5,240</t>
  </si>
  <si>
    <t>км 0,800-1,000</t>
  </si>
  <si>
    <t>км 1,220-1,410</t>
  </si>
  <si>
    <t>км 2,600-3,356</t>
  </si>
  <si>
    <t>Потороновка-Крупня км 0,0-3,356</t>
  </si>
  <si>
    <t>Белынковичи-Крапивня-Селецкое км 0,0-18,160</t>
  </si>
  <si>
    <t>км 0,0-7,800</t>
  </si>
  <si>
    <t>км 0,200-1,400</t>
  </si>
  <si>
    <t>км 0,0-0,490</t>
  </si>
  <si>
    <t>км 0,490-2,490</t>
  </si>
  <si>
    <t>Обидовичи-Старое Село км 0,0-2,800</t>
  </si>
  <si>
    <t>Н-11052</t>
  </si>
  <si>
    <t>Н-11053</t>
  </si>
  <si>
    <t>Н-10476</t>
  </si>
  <si>
    <t>Н-10480</t>
  </si>
  <si>
    <t>Н-10481</t>
  </si>
  <si>
    <t>Н-10482</t>
  </si>
  <si>
    <t>Н-10483</t>
  </si>
  <si>
    <t>Н-10484</t>
  </si>
  <si>
    <t>км 16,360-21,130</t>
  </si>
  <si>
    <t>км 1,640-2,564</t>
  </si>
  <si>
    <t>км 0,0-1,640</t>
  </si>
  <si>
    <t>км 1,500-2,540</t>
  </si>
  <si>
    <t>км 2,050-3,100</t>
  </si>
  <si>
    <t>как п-д к д. куты</t>
  </si>
  <si>
    <t>как п-д к д. хрипелево</t>
  </si>
  <si>
    <t>км 0,800-1,560</t>
  </si>
  <si>
    <t>км 0,000-8,900</t>
  </si>
  <si>
    <t>км 8,900-10,300</t>
  </si>
  <si>
    <t>км 4,100-4,850</t>
  </si>
  <si>
    <t>км 1,660-2,870</t>
  </si>
  <si>
    <t>Артюхи-Ивановка км 0,0-2,000</t>
  </si>
  <si>
    <t>Семукачи-Химница км 0,0-2,250</t>
  </si>
  <si>
    <t>Тимоховка-Надежда км 0,0-1,860</t>
  </si>
  <si>
    <t>км 1,020-1,860</t>
  </si>
  <si>
    <t>Волковичи-Победа км 0,0-2,200</t>
  </si>
  <si>
    <t>км 0,0-0,440</t>
  </si>
  <si>
    <t>км 0,440-2,200</t>
  </si>
  <si>
    <t>Видуйцы</t>
  </si>
  <si>
    <t>км 1,310-1,380</t>
  </si>
  <si>
    <t>Подъезды от автодороги Р-122 Могилев-Чериков-Костюковичи:</t>
  </si>
  <si>
    <t>Н-11205</t>
  </si>
  <si>
    <t>Н-11126</t>
  </si>
  <si>
    <t>Н-11146</t>
  </si>
  <si>
    <t>Н-11129</t>
  </si>
  <si>
    <t>Н-11132</t>
  </si>
  <si>
    <t>Н-11133</t>
  </si>
  <si>
    <t>Н-11134</t>
  </si>
  <si>
    <t>Подъезды от автодороги Р-70 Княжицы-Горки-Ленино-граница Российской Федерации (Дружная):</t>
  </si>
  <si>
    <t>км 5,380-5,430</t>
  </si>
  <si>
    <t>Зимник-Трасное км 0,0-2,000</t>
  </si>
  <si>
    <t>км 2,400-2,920</t>
  </si>
  <si>
    <t xml:space="preserve">Н-11375 </t>
  </si>
  <si>
    <t>км 2,500-9,530</t>
  </si>
  <si>
    <t>км 5,800-6,827</t>
  </si>
  <si>
    <t>км 4,300-7,200</t>
  </si>
  <si>
    <t>км 1,000-2,200</t>
  </si>
  <si>
    <t>Долгое-Брусы-Подгорье-Развадово-Усакино км 0,0-19,050</t>
  </si>
  <si>
    <t>км 0-0,820</t>
  </si>
  <si>
    <t>км 0,820-0,920</t>
  </si>
  <si>
    <t>Темровичи-Васьковичи-Городня км 23,940-24,428</t>
  </si>
  <si>
    <t>Волчас-Коханов км 0,0-1,800</t>
  </si>
  <si>
    <t>Н-10921</t>
  </si>
  <si>
    <t>Сластены-Киркоры-Селище км 0,0-6,390</t>
  </si>
  <si>
    <t>км 2,370-6,390</t>
  </si>
  <si>
    <t>Антоновка-Горбовичи км 0,0-5,300</t>
  </si>
  <si>
    <t>Паньковская Буда</t>
  </si>
  <si>
    <t>км 0,0-0,956</t>
  </si>
  <si>
    <t>км 0,956-2,398</t>
  </si>
  <si>
    <t>Н-10243</t>
  </si>
  <si>
    <t>Н-11577</t>
  </si>
  <si>
    <t>Н-11578</t>
  </si>
  <si>
    <t>Н-11579</t>
  </si>
  <si>
    <t>6б</t>
  </si>
  <si>
    <t>Н-11011</t>
  </si>
  <si>
    <t>Н-11012</t>
  </si>
  <si>
    <t>Н-11013</t>
  </si>
  <si>
    <t>Н-10755</t>
  </si>
  <si>
    <t>Н-11055</t>
  </si>
  <si>
    <t>Н-10475</t>
  </si>
  <si>
    <t>Н-10922</t>
  </si>
  <si>
    <t>Н-10923</t>
  </si>
  <si>
    <t>Н-10925</t>
  </si>
  <si>
    <t>Н-10985</t>
  </si>
  <si>
    <t>Н-10986</t>
  </si>
  <si>
    <t>Н-10306</t>
  </si>
  <si>
    <t xml:space="preserve"> км 0,0-0,600</t>
  </si>
  <si>
    <t>Н-10125</t>
  </si>
  <si>
    <t>Н-10452</t>
  </si>
  <si>
    <t>Н-10998</t>
  </si>
  <si>
    <t>Н-10991</t>
  </si>
  <si>
    <t>Н-11434</t>
  </si>
  <si>
    <t>как отнянка-масальщина</t>
  </si>
  <si>
    <t>как п-д к д. Понизов 3,0 км</t>
  </si>
  <si>
    <t>Н-10389</t>
  </si>
  <si>
    <t>Н-10390</t>
  </si>
  <si>
    <t>Н-10391</t>
  </si>
  <si>
    <t>Н-10392</t>
  </si>
  <si>
    <t>Н-10393</t>
  </si>
  <si>
    <t xml:space="preserve"> </t>
  </si>
  <si>
    <t>Н-10634</t>
  </si>
  <si>
    <t>Н-10151</t>
  </si>
  <si>
    <t>Н-10250</t>
  </si>
  <si>
    <t>Н-10251</t>
  </si>
  <si>
    <t>Н-10252</t>
  </si>
  <si>
    <t>Н-10239</t>
  </si>
  <si>
    <t>Н-10240</t>
  </si>
  <si>
    <t>Н-10241</t>
  </si>
  <si>
    <t>Н-11623</t>
  </si>
  <si>
    <t>Н-10917</t>
  </si>
  <si>
    <t>Н-10119</t>
  </si>
  <si>
    <t>Н-10120</t>
  </si>
  <si>
    <t>Н-10121</t>
  </si>
  <si>
    <t>Н-10122</t>
  </si>
  <si>
    <t>Н-10388</t>
  </si>
  <si>
    <t>ЗОНА</t>
  </si>
  <si>
    <t>Н-10172</t>
  </si>
  <si>
    <t>на 4,5 км</t>
  </si>
  <si>
    <t>как п-д от базы УПТК к битумохранилищу</t>
  </si>
  <si>
    <t>как п-д к л/о им. П.Морозова</t>
  </si>
  <si>
    <t>как п-д к ДОР имени Зои Космодемьянской</t>
  </si>
  <si>
    <t>как п-д СОК "Янтарь" ур.Любуж</t>
  </si>
  <si>
    <t>км 1,200-1,300</t>
  </si>
  <si>
    <t>км,0,0-3,350</t>
  </si>
  <si>
    <t>км 3,350-7,550</t>
  </si>
  <si>
    <t>Н-11378</t>
  </si>
  <si>
    <t>Н-11379</t>
  </si>
  <si>
    <t>Н-11380</t>
  </si>
  <si>
    <t>Н-10911</t>
  </si>
  <si>
    <t>Н-10912</t>
  </si>
  <si>
    <t>Н-10321</t>
  </si>
  <si>
    <t>Н-10157</t>
  </si>
  <si>
    <t>Н-10468</t>
  </si>
  <si>
    <t>Н-10469</t>
  </si>
  <si>
    <t>ДРСУ №</t>
  </si>
  <si>
    <t>ДРСУ №170</t>
  </si>
  <si>
    <t>ДРСУ №171</t>
  </si>
  <si>
    <t>ДРСУ №196</t>
  </si>
  <si>
    <t>км 0,500-1,000</t>
  </si>
  <si>
    <t>как лужки-селище 4,3 км</t>
  </si>
  <si>
    <t>км 0,600-3,180</t>
  </si>
  <si>
    <t>км 13,080-13,220</t>
  </si>
  <si>
    <t>как п-д к колхозу "Искра"</t>
  </si>
  <si>
    <t>как березки-игнатовка</t>
  </si>
  <si>
    <t>км 14,720-16,690</t>
  </si>
  <si>
    <t>как речки1-речки2</t>
  </si>
  <si>
    <t>Паршино-Королевка-Кузовино км 0,0-6,360</t>
  </si>
  <si>
    <t>Каничи</t>
  </si>
  <si>
    <t>Бахани-Дутьки-Техтин км 0,0-7,447</t>
  </si>
  <si>
    <t>км 0,0-2,880</t>
  </si>
  <si>
    <t>км 2,880-3,040</t>
  </si>
  <si>
    <t>км 0,0-3,553</t>
  </si>
  <si>
    <t>км 3,553-5,780</t>
  </si>
  <si>
    <t>Рассвет-Козловка км 0,0-3,000</t>
  </si>
  <si>
    <t>жиличи-красн.бережок 2,6км</t>
  </si>
  <si>
    <t>км 0,000-2,100</t>
  </si>
  <si>
    <t>км 2,000-3,500</t>
  </si>
  <si>
    <t>км 4,000-13,233</t>
  </si>
  <si>
    <t>км 4,427-9,184</t>
  </si>
  <si>
    <t>Теханичи</t>
  </si>
  <si>
    <t>км 1,100-1,300</t>
  </si>
  <si>
    <t>Н-10107</t>
  </si>
  <si>
    <t>Н-10108</t>
  </si>
  <si>
    <t>Н-10110</t>
  </si>
  <si>
    <t>км 4,113-11,190</t>
  </si>
  <si>
    <t>Н-10307</t>
  </si>
  <si>
    <t>Н-10309</t>
  </si>
  <si>
    <t>Н-10312</t>
  </si>
  <si>
    <t>Н-10313</t>
  </si>
  <si>
    <t>Н-10314</t>
  </si>
  <si>
    <t>Н-10316</t>
  </si>
  <si>
    <t>Н-10317</t>
  </si>
  <si>
    <t>Н-10319</t>
  </si>
  <si>
    <t>Н-10320</t>
  </si>
  <si>
    <t>Н-10226</t>
  </si>
  <si>
    <t>км 0,0-0,030</t>
  </si>
  <si>
    <t>км 0,030-3,520</t>
  </si>
  <si>
    <t>Н-11447</t>
  </si>
  <si>
    <t>Н-11448</t>
  </si>
  <si>
    <t>Н-11449</t>
  </si>
  <si>
    <t>км 8,830-9,240</t>
  </si>
  <si>
    <t xml:space="preserve">Н-11376 </t>
  </si>
  <si>
    <t>как "подъезд к д. Завороты"</t>
  </si>
  <si>
    <t xml:space="preserve">Н-11368 </t>
  </si>
  <si>
    <t>км 1,650-2,100</t>
  </si>
  <si>
    <t>км 0,0-1,587</t>
  </si>
  <si>
    <t>км 1,577-3,000</t>
  </si>
  <si>
    <t>Хралищево-Большие Каскевичи км 0,0-4,850</t>
  </si>
  <si>
    <t>км 0,0-4,100</t>
  </si>
  <si>
    <t>км 0,750-2,600</t>
  </si>
  <si>
    <t>км 0,460-1,350</t>
  </si>
  <si>
    <t>Н-10535</t>
  </si>
  <si>
    <t>Н-10536</t>
  </si>
  <si>
    <t>Н-10537</t>
  </si>
  <si>
    <t>Н-10555</t>
  </si>
  <si>
    <t>Н-10791</t>
  </si>
  <si>
    <t>км 0,0-1,343</t>
  </si>
  <si>
    <t>районов</t>
  </si>
  <si>
    <t>ваемая</t>
  </si>
  <si>
    <t>участки</t>
  </si>
  <si>
    <t xml:space="preserve">Белыничский </t>
  </si>
  <si>
    <t>Бобруйский</t>
  </si>
  <si>
    <t>Быховский</t>
  </si>
  <si>
    <t>км 0,300-1,000</t>
  </si>
  <si>
    <t>Н-10400</t>
  </si>
  <si>
    <t>лесные-зубово км 3,2-5,5</t>
  </si>
  <si>
    <t>Н-11029</t>
  </si>
  <si>
    <t>Н-11030</t>
  </si>
  <si>
    <t>Н-10363</t>
  </si>
  <si>
    <t>Н-10365</t>
  </si>
  <si>
    <t>Н-10308</t>
  </si>
  <si>
    <t>шт. к памятникам истории, архитектуры протяженностью, км -</t>
  </si>
  <si>
    <t>как Загоряны-Темные-Литовск км 0,0-5,4</t>
  </si>
  <si>
    <t>как новоселки-жабин южный-жабин 3,0 км</t>
  </si>
  <si>
    <t>как ст. вендриж-пос.веселый</t>
  </si>
  <si>
    <t>Дубровка-Латановка км 0,0-1,200</t>
  </si>
  <si>
    <t>Никитиничи-Лубнище-Залубнище км 0,0-4,800</t>
  </si>
  <si>
    <t>км 0,0-4,300</t>
  </si>
  <si>
    <t>как п-д к д. русинка км 20,5-21,5</t>
  </si>
  <si>
    <t>как супоничи-маковня 5,4 км</t>
  </si>
  <si>
    <t>км 0,0-5,220</t>
  </si>
  <si>
    <t>532-р</t>
  </si>
  <si>
    <t>км 13,632-15,018</t>
  </si>
  <si>
    <t>Белая-Коровчино-Жаковка км 0,0-21,268</t>
  </si>
  <si>
    <t>км 0,0-0,432</t>
  </si>
  <si>
    <t>км 0,200-1,000</t>
  </si>
  <si>
    <t>км 1,000-3,800</t>
  </si>
  <si>
    <t>км 2,900-8,914</t>
  </si>
  <si>
    <t>км 0,0-1,350</t>
  </si>
  <si>
    <t>км 0,500-0,600</t>
  </si>
  <si>
    <t>км 0,0-0,444</t>
  </si>
  <si>
    <t>Н-10754</t>
  </si>
  <si>
    <t>Н-10765</t>
  </si>
  <si>
    <t>Н-10766</t>
  </si>
  <si>
    <t>Н-10768</t>
  </si>
  <si>
    <t>Н-10770</t>
  </si>
  <si>
    <t>Шамово (улица Молодежная)-Нестерово (улица Центральная) км 0,0-1,500</t>
  </si>
  <si>
    <t>Н-11175</t>
  </si>
  <si>
    <t>сад</t>
  </si>
  <si>
    <t>кладб</t>
  </si>
  <si>
    <t>индив</t>
  </si>
  <si>
    <t>Звезда-Малинники км 0,0-3,900</t>
  </si>
  <si>
    <t>км 0,0-0,570</t>
  </si>
  <si>
    <t>км 4,000-6,200</t>
  </si>
  <si>
    <t>км 0,0-0,377</t>
  </si>
  <si>
    <t>Н-11287</t>
  </si>
  <si>
    <t>Н-11288</t>
  </si>
  <si>
    <t>Н-11289</t>
  </si>
  <si>
    <t>Н-10777</t>
  </si>
  <si>
    <t>Н-10780</t>
  </si>
  <si>
    <t>км 1,000-6,800</t>
  </si>
  <si>
    <t>км 6,800-6,900</t>
  </si>
  <si>
    <t>км 0,600-1,000</t>
  </si>
  <si>
    <t>Потапово-Дубровка-2- Завороты км 0,0-5,110</t>
  </si>
  <si>
    <t>Осиповичи-Дараганово км 0,0-19,360</t>
  </si>
  <si>
    <t>км 0,0-0,513</t>
  </si>
  <si>
    <t>км 0,513-2,970</t>
  </si>
  <si>
    <t>км 2,970-3,163</t>
  </si>
  <si>
    <t>Н-10701</t>
  </si>
  <si>
    <t>Мстиславль-Мушино-Воловники км 0,0-21,830</t>
  </si>
  <si>
    <t>км 1,500-13,550</t>
  </si>
  <si>
    <t>км 13,550-15,930</t>
  </si>
  <si>
    <t>км 15,930-16,160</t>
  </si>
  <si>
    <t>км 16,160-19,680</t>
  </si>
  <si>
    <t>км 19,680-19,890</t>
  </si>
  <si>
    <t>км 19,890-20,850</t>
  </si>
  <si>
    <t>Н-10778</t>
  </si>
  <si>
    <t>Н-10779</t>
  </si>
  <si>
    <t>как хващевка-кр.слобода-зел.слобода-шараевка</t>
  </si>
  <si>
    <t>км 5,238-5,628 совмещен с Н-10460 Кировск-Охотичи-Боровица</t>
  </si>
  <si>
    <t>Солодовня-Комсеничи-Кляпиничи-Рябиновка-Комсеничи км 0,0-11,935</t>
  </si>
  <si>
    <t>Рудня-Павлинка км 0,0-3,190</t>
  </si>
  <si>
    <t xml:space="preserve">Н-11431 </t>
  </si>
  <si>
    <t>Н-11432</t>
  </si>
  <si>
    <t>км 0,450-0,850</t>
  </si>
  <si>
    <t>км 0,100-0,300</t>
  </si>
  <si>
    <t>км 1,593-1,800</t>
  </si>
  <si>
    <t>км 1,800-2,850</t>
  </si>
  <si>
    <t xml:space="preserve"> км 3,600-5,000</t>
  </si>
  <si>
    <t>Капустино-Вязовка-Изобелино км 0,0-6,250</t>
  </si>
  <si>
    <t>Левковичи-Рог-Виноградовка км 0,0-4,450</t>
  </si>
  <si>
    <t>км 2,000-2,200</t>
  </si>
  <si>
    <t>км 0,0-1,422</t>
  </si>
  <si>
    <t>Н-10339</t>
  </si>
  <si>
    <t>Н-10344</t>
  </si>
  <si>
    <t>Н-10351</t>
  </si>
  <si>
    <t>Н-10460</t>
  </si>
  <si>
    <t>Н-10461</t>
  </si>
  <si>
    <t>Н-11467</t>
  </si>
  <si>
    <t xml:space="preserve"> км 0,0-2,530</t>
  </si>
  <si>
    <t xml:space="preserve"> км 2,530-3,656</t>
  </si>
  <si>
    <t xml:space="preserve"> км 3,656-4,120</t>
  </si>
  <si>
    <t xml:space="preserve"> км 4,120-5,210</t>
  </si>
  <si>
    <t>км 4,300-4,800</t>
  </si>
  <si>
    <t>км 0,0-3,100</t>
  </si>
  <si>
    <t>км 0,000-0,430</t>
  </si>
  <si>
    <t>Каменка</t>
  </si>
  <si>
    <t>км 1,000-2,500</t>
  </si>
  <si>
    <t>км 3,498-4,600</t>
  </si>
  <si>
    <t>км 1,400-2,759</t>
  </si>
  <si>
    <t>км 0,0-1,340</t>
  </si>
  <si>
    <t>Липница-Кутин км 0,0-4,928</t>
  </si>
  <si>
    <t>Биордо-Городец км 0,0-11,840</t>
  </si>
  <si>
    <t>Калиновка-Земляница км 0,0-2,560</t>
  </si>
  <si>
    <t>Чирвоная Нива-Осовы км 0,0-3,040</t>
  </si>
  <si>
    <t>Рассвет-Баньковщина-Кондратовск км 0,0-9,130</t>
  </si>
  <si>
    <t>Чериковский</t>
  </si>
  <si>
    <t>Левковщина-Новоселки км 0,0-3,450</t>
  </si>
  <si>
    <t>Н-11591</t>
  </si>
  <si>
    <t>Н-11592</t>
  </si>
  <si>
    <t>км 2,976-4,700</t>
  </si>
  <si>
    <t>Запрудье-Шавнево км 0,0-5,740</t>
  </si>
  <si>
    <t>филатово-воргутьево 0,0-2,5</t>
  </si>
  <si>
    <t>км 6,124-7,540</t>
  </si>
  <si>
    <t>Куты-Будище-Хрипелево км 0,0-5,466</t>
  </si>
  <si>
    <t>Тростино-Ельня км 0,0-14,340</t>
  </si>
  <si>
    <t>Прудок</t>
  </si>
  <si>
    <t>Бахани-Гута км 0,0-3,630</t>
  </si>
  <si>
    <t>Р-92</t>
  </si>
  <si>
    <t>Барсуки-Прихабы-Снытки км 0,0-4,898</t>
  </si>
  <si>
    <t>км 0,0-0,472</t>
  </si>
  <si>
    <t>км 0,0-1,700</t>
  </si>
  <si>
    <t>км 0,0-1,323</t>
  </si>
  <si>
    <t>Киселева Буда-Новые Прянички-Старые Прянички км 0,0-6,746</t>
  </si>
  <si>
    <t>Подъезды от города Горки:</t>
  </si>
  <si>
    <t>Н-10256</t>
  </si>
  <si>
    <t>км 0,0-0,650</t>
  </si>
  <si>
    <t>Н-11285</t>
  </si>
  <si>
    <t>Н-10301</t>
  </si>
  <si>
    <t>км 1,850-2,850</t>
  </si>
  <si>
    <t>Видуйцы-граница Российской Федерации км 0,0-2,772</t>
  </si>
  <si>
    <t>км 1,080-1,900</t>
  </si>
  <si>
    <t>км 1,900-2,020</t>
  </si>
  <si>
    <t>км 2,020-3,244</t>
  </si>
  <si>
    <t>Студенец-Ленполье-Никольский км 0,0-6,400</t>
  </si>
  <si>
    <t>Каменка-Першино-Полишино км 0,0-9,600</t>
  </si>
  <si>
    <t>Кировск-Вилы-Виленка км 0,0-9,310</t>
  </si>
  <si>
    <t>Озеры-Бирча км 0,0-6,280</t>
  </si>
  <si>
    <t>км 1,890-4,340</t>
  </si>
  <si>
    <t>Заходы-Суров-Васьковка км 0,0-2,400</t>
  </si>
  <si>
    <t>км 11,522-15,388</t>
  </si>
  <si>
    <t>как падевичи-пильшичи км 6,1-14,2</t>
  </si>
  <si>
    <t>как заполье-падевичи км 0,6-6,1</t>
  </si>
  <si>
    <t>как курманово-раздел-вышково</t>
  </si>
  <si>
    <t>37-р</t>
  </si>
  <si>
    <t>как сухари-ивановичи 4,8 км</t>
  </si>
  <si>
    <t>км 0,0-1,420</t>
  </si>
  <si>
    <t>км 0,0-6,580</t>
  </si>
  <si>
    <t>км 0,0-7,470</t>
  </si>
  <si>
    <t>км 10,830-11,660</t>
  </si>
  <si>
    <t>км 11,660-14,670</t>
  </si>
  <si>
    <t>км 14,670-18,420</t>
  </si>
  <si>
    <t>км 18,420-19,550</t>
  </si>
  <si>
    <t>Гиревцы-Галузы км 0,0-6,540</t>
  </si>
  <si>
    <t>км 0,0-3,850</t>
  </si>
  <si>
    <t>км 3,440-8,600</t>
  </si>
  <si>
    <t>км 0,0-1,230</t>
  </si>
  <si>
    <t>км 1,230-3,990</t>
  </si>
  <si>
    <t>км 4,600-6,290</t>
  </si>
  <si>
    <t>Никоновичи-Новая Трасна км 0,0-4,520</t>
  </si>
  <si>
    <t>км 0,000-1,740</t>
  </si>
  <si>
    <t>км 1,740-2,140</t>
  </si>
  <si>
    <t>Н-10000</t>
  </si>
  <si>
    <t>Н-10002</t>
  </si>
  <si>
    <t>км 0,377-1,577</t>
  </si>
  <si>
    <t>Н-10466</t>
  </si>
  <si>
    <t>Милославичи-Старый Стан км 0,0-5,800</t>
  </si>
  <si>
    <t>Селец-Ивановск км 0,0-5,900</t>
  </si>
  <si>
    <t>км 0,0-5,000</t>
  </si>
  <si>
    <t>км 0,3-5,800</t>
  </si>
  <si>
    <t>Будники-Кунцы км 0,0-1,500</t>
  </si>
  <si>
    <t>км 0,0-0,640</t>
  </si>
  <si>
    <t>км 1,700-2,000</t>
  </si>
  <si>
    <t>км 0,250-6,250</t>
  </si>
  <si>
    <t>км 6,100-6,800</t>
  </si>
  <si>
    <t>км 6,800-8,740</t>
  </si>
  <si>
    <t>км 8,740-8,880</t>
  </si>
  <si>
    <t>Н-10169</t>
  </si>
  <si>
    <t>км 0,0-0,200</t>
  </si>
  <si>
    <t>Курманово-Богатьковка км 0,0-5,700</t>
  </si>
  <si>
    <t>Н-10494</t>
  </si>
  <si>
    <t>Малый Кудин-Почепок км 0,0-2,566</t>
  </si>
  <si>
    <t>Кировск.райсовет нар.деп.№5-5</t>
  </si>
  <si>
    <t xml:space="preserve">как п-д к М.Васильки </t>
  </si>
  <si>
    <t xml:space="preserve">Н-10556 </t>
  </si>
  <si>
    <t>км 0,600-1,020</t>
  </si>
  <si>
    <t>Н-11007</t>
  </si>
  <si>
    <t>Н-10354</t>
  </si>
  <si>
    <t>Н-10102</t>
  </si>
  <si>
    <t>Н-10103</t>
  </si>
  <si>
    <t>Н-10104</t>
  </si>
  <si>
    <t>Н-10106</t>
  </si>
  <si>
    <t>км 1,865-4,585</t>
  </si>
  <si>
    <t>км 1,800-2,300</t>
  </si>
  <si>
    <t>км 1,000-1,290</t>
  </si>
  <si>
    <t>как п-д к Доколь</t>
  </si>
  <si>
    <t>как карница-слободка 7,8 км грав</t>
  </si>
  <si>
    <t>Яново-Клин км 0,0-3,250</t>
  </si>
  <si>
    <t>Каменка-Мальки км 0,0-1,400</t>
  </si>
  <si>
    <t>Любиж-Осиповичи км 0,0-3,0</t>
  </si>
  <si>
    <t>Селец-Осиповичи км 0,0-3,0</t>
  </si>
  <si>
    <t>км 0,060-5,380</t>
  </si>
  <si>
    <t>км 25,750-26,090</t>
  </si>
  <si>
    <t>км 3,450-3,990</t>
  </si>
  <si>
    <t>км 3,990-9,110</t>
  </si>
  <si>
    <t>Вышково-Богушовка км 0,0-1,100</t>
  </si>
  <si>
    <t>Р-71</t>
  </si>
  <si>
    <t>км 2,658-3,200</t>
  </si>
  <si>
    <t>Каменка-Сущи км 0,0-4,220</t>
  </si>
  <si>
    <t>Н-10489</t>
  </si>
  <si>
    <t>Н-10490</t>
  </si>
  <si>
    <t>Н-10491</t>
  </si>
  <si>
    <t>Н-10378</t>
  </si>
  <si>
    <t>Н-10379</t>
  </si>
  <si>
    <t>км 0,0-3,042</t>
  </si>
  <si>
    <t>км 3,042-3,568</t>
  </si>
  <si>
    <t>Н-10364</t>
  </si>
  <si>
    <t>Н-10035</t>
  </si>
  <si>
    <t>Н-10036</t>
  </si>
  <si>
    <t>км 0,700-0,950</t>
  </si>
  <si>
    <t>км 1,260-1,500</t>
  </si>
  <si>
    <t>км 1,800-2,970</t>
  </si>
  <si>
    <t>гасакт - как п-д к д. Б.Горожа</t>
  </si>
  <si>
    <t>км 13,863-14,922</t>
  </si>
  <si>
    <t>транз.</t>
  </si>
  <si>
    <t>а</t>
  </si>
  <si>
    <t>км 1,600-6,700</t>
  </si>
  <si>
    <t>км 0,0-1,400</t>
  </si>
  <si>
    <t>как подъезд к д. Мезовичи</t>
  </si>
  <si>
    <t>Сигеевка</t>
  </si>
  <si>
    <t xml:space="preserve"> км 0,0-1,100</t>
  </si>
  <si>
    <t xml:space="preserve"> км 1,100-3,000</t>
  </si>
  <si>
    <t>Бороньки</t>
  </si>
  <si>
    <t>км 0,0-3,800</t>
  </si>
  <si>
    <t>км 6,250-6,600</t>
  </si>
  <si>
    <t>км 1,515-2,047</t>
  </si>
  <si>
    <t>км 2,047-2,840</t>
  </si>
  <si>
    <t>км 0,000-1,400</t>
  </si>
  <si>
    <t>км 0,0-0,610</t>
  </si>
  <si>
    <t>км 1,600-3,900</t>
  </si>
  <si>
    <t>Могилев-Махово-Грудиновка-Годылево км 0,0-25,817</t>
  </si>
  <si>
    <t>км 0,0-2,513</t>
  </si>
  <si>
    <t>км 2,513-4,939</t>
  </si>
  <si>
    <t>км 6,850-10,560</t>
  </si>
  <si>
    <t>Мстиславский</t>
  </si>
  <si>
    <t>Осовец-Заполье-Дручаны-Межонка км 0,0-27,115</t>
  </si>
  <si>
    <t>Семукачи-Смолярня-Пуща-Рог км 0,0-4,450</t>
  </si>
  <si>
    <t>км 3,700-4,450</t>
  </si>
  <si>
    <t>Н-10607</t>
  </si>
  <si>
    <t>Н-10608</t>
  </si>
  <si>
    <t>Н-10609</t>
  </si>
  <si>
    <t>Н-10990</t>
  </si>
  <si>
    <t>Н-10993</t>
  </si>
  <si>
    <t>на км 0,0-7,6</t>
  </si>
  <si>
    <t>Холмы-Козелье-Ячная Буда км 0,0-8,300</t>
  </si>
  <si>
    <t>Н-11213</t>
  </si>
  <si>
    <t>км 15,910-25,750</t>
  </si>
  <si>
    <t>км 0,300-0,700</t>
  </si>
  <si>
    <t>км 0,0-8,712</t>
  </si>
  <si>
    <t>км 8,712-8,733</t>
  </si>
  <si>
    <t>км 0,0-26,301</t>
  </si>
  <si>
    <t>км 26,301-29,664</t>
  </si>
  <si>
    <t>км 29,664-30,343</t>
  </si>
  <si>
    <t>км 30,343-32,516</t>
  </si>
  <si>
    <t>км 32,516-33,013</t>
  </si>
  <si>
    <t>км 33,013-35,150</t>
  </si>
  <si>
    <t>Круглое-Славное км 0,0-25,354</t>
  </si>
  <si>
    <t>км 22,600-25,354</t>
  </si>
  <si>
    <t>км 6,503-8,691</t>
  </si>
  <si>
    <t>Шепелевичи-Падар км 0,0-8,691</t>
  </si>
  <si>
    <t>км 0,0-0,550</t>
  </si>
  <si>
    <t>км 5,628-8,700</t>
  </si>
  <si>
    <t>км 1,200-1,515</t>
  </si>
  <si>
    <t>км 12,980-14,350</t>
  </si>
  <si>
    <t>Н-10358</t>
  </si>
  <si>
    <t>Н-10359</t>
  </si>
  <si>
    <t>Н-10303</t>
  </si>
  <si>
    <t>Н-10304</t>
  </si>
  <si>
    <t>Н-11596</t>
  </si>
  <si>
    <t>Достижение-Подзамша км 0,0-1,670</t>
  </si>
  <si>
    <t>км 0,0-0,380</t>
  </si>
  <si>
    <t>км 0,0-0,350</t>
  </si>
  <si>
    <t>км 0,070-0,640</t>
  </si>
  <si>
    <t>км 0,200-0,600</t>
  </si>
  <si>
    <t>круча-яново-коврижино км 0,0-8,6</t>
  </si>
  <si>
    <t>км 0,0-3,458</t>
  </si>
  <si>
    <t>Н-10046</t>
  </si>
  <si>
    <t>Н-10048</t>
  </si>
  <si>
    <t>Н-10049</t>
  </si>
  <si>
    <t>Н-10050</t>
  </si>
  <si>
    <t>км.2,890-6,850</t>
  </si>
  <si>
    <t>Евдокимовичи-Островец км 0,0-4,308</t>
  </si>
  <si>
    <t>км 8,003-8,633 совмещен с Н-10451 Кировск-Жиличи-граница Гомельской области</t>
  </si>
  <si>
    <t>Н-10833</t>
  </si>
  <si>
    <t>Н-10834</t>
  </si>
  <si>
    <t>Н-10242</t>
  </si>
  <si>
    <t>км 1,650-4,000</t>
  </si>
  <si>
    <t>км 4,000-4,360</t>
  </si>
  <si>
    <t>Поляниновичи-Палки км 0,0-2,085</t>
  </si>
  <si>
    <t>ИТОГО:</t>
  </si>
  <si>
    <t>км 2,620-6,940</t>
  </si>
  <si>
    <t>км 0,0-2,620</t>
  </si>
  <si>
    <t>Н-10611</t>
  </si>
  <si>
    <t>Н-10612</t>
  </si>
  <si>
    <t>Н-10613</t>
  </si>
  <si>
    <t>Н-10614</t>
  </si>
  <si>
    <t>Н-10615</t>
  </si>
  <si>
    <t>Н-11227</t>
  </si>
  <si>
    <t>Н-11228</t>
  </si>
  <si>
    <t>Н-11229</t>
  </si>
  <si>
    <t>Н-11230</t>
  </si>
  <si>
    <t>Н-11231</t>
  </si>
  <si>
    <t>Н-10545</t>
  </si>
  <si>
    <t>Н-10546</t>
  </si>
  <si>
    <t>Н-10547</t>
  </si>
  <si>
    <t>Н-10548</t>
  </si>
  <si>
    <t>Н-10549</t>
  </si>
  <si>
    <t>Н-10550</t>
  </si>
  <si>
    <t>км 1,800-2,600</t>
  </si>
  <si>
    <t>км 1,718-23,001</t>
  </si>
  <si>
    <t>Липовка-Узлоги км 0,0-5,090</t>
  </si>
  <si>
    <t>км 2,900-6,124</t>
  </si>
  <si>
    <t>км 28,900-34,130</t>
  </si>
  <si>
    <t>Бирюли-Средний км 0,0-1,500</t>
  </si>
  <si>
    <t>Станислав-Трубильня-Почепы км 0,0-5,590</t>
  </si>
  <si>
    <t>Н-10079</t>
  </si>
  <si>
    <t>Н-10080</t>
  </si>
  <si>
    <t>Н-10081</t>
  </si>
  <si>
    <t>Н-10082</t>
  </si>
  <si>
    <t>Н-10083</t>
  </si>
  <si>
    <t>Н-10084</t>
  </si>
  <si>
    <t>на км 4,0-11,0</t>
  </si>
  <si>
    <t>на км 14,2-19,2</t>
  </si>
  <si>
    <t>как участок браково-толпечицы 6,0 км</t>
  </si>
  <si>
    <t>Курганы-Морховичи км 0,0-2,835</t>
  </si>
  <si>
    <t>Н-10015</t>
  </si>
  <si>
    <t>Н-10016</t>
  </si>
  <si>
    <t>Н-10017</t>
  </si>
  <si>
    <t>км 4,600-7,190</t>
  </si>
  <si>
    <t>км 7,190-7,403</t>
  </si>
  <si>
    <t>км 0,600-0,800</t>
  </si>
  <si>
    <t>км 0,320-2,960</t>
  </si>
  <si>
    <t>км 2,960-3,150</t>
  </si>
  <si>
    <t>км 3,150-7,650</t>
  </si>
  <si>
    <t>Дубовое-Красная Гора км 0,0-0,850</t>
  </si>
  <si>
    <t>Н-10022</t>
  </si>
  <si>
    <t>Н-10023</t>
  </si>
  <si>
    <t>Н-10024</t>
  </si>
  <si>
    <t>км 0,800-1,490</t>
  </si>
  <si>
    <t>км 0,0-0,800</t>
  </si>
  <si>
    <t>Н-10756</t>
  </si>
  <si>
    <t>Н-10757</t>
  </si>
  <si>
    <t>Н-10758</t>
  </si>
  <si>
    <t>Н-10759</t>
  </si>
  <si>
    <t>Н-10769</t>
  </si>
  <si>
    <t>Муравилье</t>
  </si>
  <si>
    <t>км 0,0-1,430</t>
  </si>
  <si>
    <t>км 14,011-15,346</t>
  </si>
  <si>
    <t>км 0,450-1,630</t>
  </si>
  <si>
    <t>Павловичи-Зарубин Угол км 0,0-2,840</t>
  </si>
  <si>
    <t>Боровица-Роговка км 0,0-1,660</t>
  </si>
  <si>
    <t>Потеряевка-Иванищевичи км 0,0-7,450</t>
  </si>
  <si>
    <t>км 0,0-2,260</t>
  </si>
  <si>
    <t>Н-10127</t>
  </si>
  <si>
    <t>Н-11502</t>
  </si>
  <si>
    <t>Н-11503</t>
  </si>
  <si>
    <t>Н-10571</t>
  </si>
  <si>
    <t>Н-10572</t>
  </si>
  <si>
    <t>Н-11505</t>
  </si>
  <si>
    <t>Н-11506</t>
  </si>
  <si>
    <t>км 5,760-6,596</t>
  </si>
  <si>
    <t>Подъезды от автодороги М-4 Минск-Могилев:</t>
  </si>
  <si>
    <t xml:space="preserve"> км 0,0-0,800</t>
  </si>
  <si>
    <t xml:space="preserve"> км 0,800-1,500</t>
  </si>
  <si>
    <t>Н-10232</t>
  </si>
  <si>
    <t>Н-10233</t>
  </si>
  <si>
    <t>Н-10234</t>
  </si>
  <si>
    <t>Н-10235</t>
  </si>
  <si>
    <t>как сидоровичи-днепр 3,3 км</t>
  </si>
  <si>
    <t>как зарестье-маковинская русинка</t>
  </si>
  <si>
    <t>Тимоново-Балешин-Медведовка км 0,0-4,778</t>
  </si>
  <si>
    <t>км 2,601-3,510</t>
  </si>
  <si>
    <t>км 3,510-4,078</t>
  </si>
  <si>
    <t>км 4,078-4,155</t>
  </si>
  <si>
    <t>км 6,548-9,480</t>
  </si>
  <si>
    <t>км 3,100-4,182</t>
  </si>
  <si>
    <t>как дробинщина-булыжицы км 0,7 грунт</t>
  </si>
  <si>
    <t>в т.ч. на съездах</t>
  </si>
  <si>
    <t>Н-10800</t>
  </si>
  <si>
    <t>км 0,0-4,640</t>
  </si>
  <si>
    <t>км 4,640-5,590</t>
  </si>
  <si>
    <t>км 2,080-2,300</t>
  </si>
  <si>
    <t>Досовичи-Поплавщина км 0,0-4,121</t>
  </si>
  <si>
    <t>Тупичино-Городок км 0,0-3,244</t>
  </si>
  <si>
    <t>км 0,500-3,530</t>
  </si>
  <si>
    <t>км 1,900-4,465</t>
  </si>
  <si>
    <t>км 4,465-5,300</t>
  </si>
  <si>
    <t>км 0,540-1,000</t>
  </si>
  <si>
    <t>как Черневка-Преображенск км 0,0-3,5</t>
  </si>
  <si>
    <t>как Мосток-Дрибин-ст.Темный Лес-Коптевка км 10,5-25,4</t>
  </si>
  <si>
    <t>как Алюты-Черневка-Белая -Рябки км 0,0-14,7</t>
  </si>
  <si>
    <t>как Яськовщина-Ждановичи-Миловье км 0,0-6,8</t>
  </si>
  <si>
    <t>Н-10865</t>
  </si>
  <si>
    <t>км 0,0-1,500</t>
  </si>
  <si>
    <t>Н-10514</t>
  </si>
  <si>
    <t>Н-10515</t>
  </si>
  <si>
    <t>Н-10516</t>
  </si>
  <si>
    <t>Н-10517</t>
  </si>
  <si>
    <t>Н-10518</t>
  </si>
  <si>
    <t>Н-10230</t>
  </si>
  <si>
    <t>км 0,0-1,745</t>
  </si>
  <si>
    <t>бель-лобковичи 0,0-1,4</t>
  </si>
  <si>
    <t>км 1,180-1,580</t>
  </si>
  <si>
    <t>км 0,0-2,300</t>
  </si>
  <si>
    <t xml:space="preserve">   </t>
  </si>
  <si>
    <t>км 0,0-1,300</t>
  </si>
  <si>
    <t>Артюхи-Бороньки-Жуковка км 0,0-15,035</t>
  </si>
  <si>
    <t>км 0,0-0,417</t>
  </si>
  <si>
    <t>Н-10721</t>
  </si>
  <si>
    <t>Н-10722</t>
  </si>
  <si>
    <t>Н-10539</t>
  </si>
  <si>
    <t>Н-10540</t>
  </si>
  <si>
    <t>совмещ.</t>
  </si>
  <si>
    <t>Н-10077</t>
  </si>
  <si>
    <t xml:space="preserve">  </t>
  </si>
  <si>
    <t>км 1,100-1,420</t>
  </si>
  <si>
    <t>км 12,800-14,400</t>
  </si>
  <si>
    <t>км 14,400-15,400</t>
  </si>
  <si>
    <t>км 15,400-16,514</t>
  </si>
  <si>
    <t>км 4,800-8,900</t>
  </si>
  <si>
    <t>Коробчино-Большая Лещенка км 0,0-2,400</t>
  </si>
  <si>
    <t>км 2,500-3,200</t>
  </si>
  <si>
    <t>км 0,0-1,860 совмещен с Р-74 Чериков-Краснополье-Хотимск</t>
  </si>
  <si>
    <t>км 1,215-2,710</t>
  </si>
  <si>
    <t>км 0,700-2,060</t>
  </si>
  <si>
    <t>Липовка</t>
  </si>
  <si>
    <t>Круглянский</t>
  </si>
  <si>
    <t>Н-10021</t>
  </si>
  <si>
    <t>Кричевский</t>
  </si>
  <si>
    <t>Стрикили-Клин-Ольховка км 0,0-7,930</t>
  </si>
  <si>
    <t>Хотимск-Пограничник-граница Российской Федерации км 0,0-16,690</t>
  </si>
  <si>
    <t>км 0,100-1,860</t>
  </si>
  <si>
    <t>км 0,250-1,000</t>
  </si>
  <si>
    <t>Панкратовка-Добрая км 0,0-2,300</t>
  </si>
  <si>
    <t>Подъезды от автодороги Р-75 Климовичи (от автомобильной дороги Р-43)-Костюковичи-граница Российской Федерации (Смольки):</t>
  </si>
  <si>
    <t>км 20,850-21,110</t>
  </si>
  <si>
    <t>км 21,110-21,730</t>
  </si>
  <si>
    <t>км 21,730-21,830</t>
  </si>
  <si>
    <t>Долговичи-Андраны-Мишни км 0,0-10,140</t>
  </si>
  <si>
    <t>км 2,000-2,400</t>
  </si>
  <si>
    <t>Н-11167</t>
  </si>
  <si>
    <t>Павловичи-Переселье-Шелковинье км 0,0-4,100</t>
  </si>
  <si>
    <t>км 2,900-4,100</t>
  </si>
  <si>
    <t>Подъезды от автодороги Р-15 Кричев-Орша-Лепель:</t>
  </si>
  <si>
    <t>Н-11471</t>
  </si>
  <si>
    <t>км 2,590-3,270</t>
  </si>
  <si>
    <t>подъезд к Курганье 0,0-1,5</t>
  </si>
  <si>
    <t>Н-10091</t>
  </si>
  <si>
    <t>Н-10092</t>
  </si>
  <si>
    <t xml:space="preserve"> км 0,000-1,000</t>
  </si>
  <si>
    <t xml:space="preserve"> км 1,000-3,600</t>
  </si>
  <si>
    <t xml:space="preserve"> км 0,0-1,900</t>
  </si>
  <si>
    <t xml:space="preserve"> Телуша-Дубовка км 0,0-8,400</t>
  </si>
  <si>
    <t>км 0,800-1,270</t>
  </si>
  <si>
    <t>Восточное-Студенка км 0,0-5,300</t>
  </si>
  <si>
    <t>км 0,800-5,300</t>
  </si>
  <si>
    <t>Липовка-Ректа км 0,0-2,540</t>
  </si>
  <si>
    <t>км 16,819-17,913 совмещен с Р-96 Могилев-Рясно-Мстиславль</t>
  </si>
  <si>
    <t>км 11,390-16,819</t>
  </si>
  <si>
    <t>км 17,913-18,100</t>
  </si>
  <si>
    <t>км 18,100-18,590</t>
  </si>
  <si>
    <t>км 18,590-20,200</t>
  </si>
  <si>
    <t>км 20,200-21,268</t>
  </si>
  <si>
    <t>км 0,0-3,640</t>
  </si>
  <si>
    <t>Красная Слобода-Радьков-Радькова Слобода-Липовка км 0,0-8,620</t>
  </si>
  <si>
    <t>км 2,200-2,900</t>
  </si>
  <si>
    <t>км 0,0-0,330</t>
  </si>
  <si>
    <t>Н-11051</t>
  </si>
  <si>
    <t>Н-10828</t>
  </si>
  <si>
    <t>Ректа-Шиворовка-Сеньково 0,0-7,1</t>
  </si>
  <si>
    <t>Негино-Забычанье км 0,0-7,900</t>
  </si>
  <si>
    <t>Маринополье-Струменск км 0,0-3,100</t>
  </si>
  <si>
    <t>Н-11610</t>
  </si>
  <si>
    <t>Н-11611</t>
  </si>
  <si>
    <t>Н-11612</t>
  </si>
  <si>
    <t>Н-11613</t>
  </si>
  <si>
    <t>Н-11614</t>
  </si>
  <si>
    <t>Н-11615</t>
  </si>
  <si>
    <t>Н-11616</t>
  </si>
  <si>
    <t>Н-11617</t>
  </si>
  <si>
    <t>Канава-Павловка км 0,0-2,820</t>
  </si>
  <si>
    <t>Н-11025</t>
  </si>
  <si>
    <t>Подъезды от автодороги Р-67 Борисов- Березино-Бобруйск:</t>
  </si>
  <si>
    <t>Волоськовня</t>
  </si>
  <si>
    <t>км 7,000-8,300</t>
  </si>
  <si>
    <t>км 8,300-12,000</t>
  </si>
  <si>
    <t>как пролетарский-телуша</t>
  </si>
  <si>
    <t>Н-10616</t>
  </si>
  <si>
    <t>км 18,019-18,806</t>
  </si>
  <si>
    <t>км 18,806-23,209</t>
  </si>
  <si>
    <t>км 0,0-0,056</t>
  </si>
  <si>
    <t>км 3,766-3,855</t>
  </si>
  <si>
    <t>км 3,855-4,063</t>
  </si>
  <si>
    <t>км 3,412-3,766</t>
  </si>
  <si>
    <t>Н-10093</t>
  </si>
  <si>
    <t>Н-10094</t>
  </si>
  <si>
    <t>Н-10763</t>
  </si>
  <si>
    <t>Н-10767</t>
  </si>
  <si>
    <t>Н-10772</t>
  </si>
  <si>
    <t>Н-10775</t>
  </si>
  <si>
    <t>уч. Старина-Дружное 15,0-18,0</t>
  </si>
  <si>
    <t>км 0,0-0,520</t>
  </si>
  <si>
    <t xml:space="preserve"> 14-9</t>
  </si>
  <si>
    <t>15-14</t>
  </si>
  <si>
    <t>км 1,000-1,100</t>
  </si>
  <si>
    <t>км 1,745-2,600</t>
  </si>
  <si>
    <t xml:space="preserve"> км 0,700-0,900</t>
  </si>
  <si>
    <t>км 0,0-0,250</t>
  </si>
  <si>
    <t>Костюковичи-Вишеньки км 0,0-8,471</t>
  </si>
  <si>
    <t>км 0,0-1,447</t>
  </si>
  <si>
    <t xml:space="preserve"> км 0,0-0,250</t>
  </si>
  <si>
    <t xml:space="preserve"> км 0,250-1,500</t>
  </si>
  <si>
    <t>Закупленье-Должанка км 0,0-7,175</t>
  </si>
  <si>
    <t>Черная Сосна-Прибережье км 0,0-2,800</t>
  </si>
  <si>
    <t>Рики-Пастернаки км 0,0-1,400</t>
  </si>
  <si>
    <t>км 0,700-1,400</t>
  </si>
  <si>
    <t>Мушино-Золочево км 0,0-3,000</t>
  </si>
  <si>
    <t>км 0,800-1,750</t>
  </si>
  <si>
    <t>км 0,0-0,630</t>
  </si>
  <si>
    <t>км 0,630-2,100</t>
  </si>
  <si>
    <t>км 2,600-4,800</t>
  </si>
  <si>
    <t>км 0,500-0,840</t>
  </si>
  <si>
    <t>км 0,0-0,280</t>
  </si>
  <si>
    <t>Н-10553</t>
  </si>
  <si>
    <t>Н-10554</t>
  </si>
  <si>
    <t>Малое Хоново-Большое Хоново км 0,0-1,800</t>
  </si>
  <si>
    <t>км 0,0-1,740</t>
  </si>
  <si>
    <t>км 1,740-2,210</t>
  </si>
  <si>
    <t>км 0,0-0,414</t>
  </si>
  <si>
    <t>км 0,414-0,608</t>
  </si>
  <si>
    <t>км 8,777-12,107 совмещен с Р-34 Осиповичи-Глуск-Озаричи</t>
  </si>
  <si>
    <t>км 0,870-5,890</t>
  </si>
  <si>
    <t>Н-10720</t>
  </si>
  <si>
    <t>как Хатки-Волоки</t>
  </si>
  <si>
    <t>от г. Осиповичи</t>
  </si>
  <si>
    <t>Р-72</t>
  </si>
  <si>
    <t>Р-91</t>
  </si>
  <si>
    <t>Р-139</t>
  </si>
  <si>
    <t>Р-138</t>
  </si>
  <si>
    <t>Р-143</t>
  </si>
  <si>
    <t>км 0,200-0,500</t>
  </si>
  <si>
    <t>км 0,0-0,883</t>
  </si>
  <si>
    <t>км 0,883-3,080</t>
  </si>
  <si>
    <t>Н-11426</t>
  </si>
  <si>
    <t>Н-11427</t>
  </si>
  <si>
    <t>Н-11428</t>
  </si>
  <si>
    <t>Н-11429</t>
  </si>
  <si>
    <t>Н-11430</t>
  </si>
  <si>
    <t>Н-11031</t>
  </si>
  <si>
    <t>Н-11032</t>
  </si>
  <si>
    <t>Н-11033</t>
  </si>
  <si>
    <t>км 0,0-2,440</t>
  </si>
  <si>
    <t>км 2,440-2,520</t>
  </si>
  <si>
    <t>Н-10259</t>
  </si>
  <si>
    <t>Судзилы-Сидоровка-Мыслевщина-Недведь км 0,0-7,600</t>
  </si>
  <si>
    <t>км 2,700-4,500</t>
  </si>
  <si>
    <t>км 4,500-7,600</t>
  </si>
  <si>
    <t>Н-10033</t>
  </si>
  <si>
    <t>Н-10034</t>
  </si>
  <si>
    <t>в т.ч. на дорогах</t>
  </si>
  <si>
    <t>км 0,860-3,220</t>
  </si>
  <si>
    <t>км 0,0-2,770</t>
  </si>
  <si>
    <t>Шкловский</t>
  </si>
  <si>
    <t>км 0,0-4,600</t>
  </si>
  <si>
    <t>?? Как хасевка-хоньковичи</t>
  </si>
  <si>
    <t>км 0,0-1,647</t>
  </si>
  <si>
    <t>км 1,647-2,148</t>
  </si>
  <si>
    <t>км 2,148-2,415</t>
  </si>
  <si>
    <t>Турье-Юный Пахарь км 0,0-2,900</t>
  </si>
  <si>
    <t>Зори-Ямки км 0,0-2,430</t>
  </si>
  <si>
    <t>км 2,185-2,430</t>
  </si>
  <si>
    <t>Н-11036</t>
  </si>
  <si>
    <t>Н-10860</t>
  </si>
  <si>
    <t>Н-10861</t>
  </si>
  <si>
    <t>Н-10862</t>
  </si>
  <si>
    <t>Н-11001</t>
  </si>
  <si>
    <t>км 1,100-1,568</t>
  </si>
  <si>
    <t>км 1,568-4,360</t>
  </si>
  <si>
    <t>Болонов Селец-Козел-Черногрязь км 0,0-3,000</t>
  </si>
  <si>
    <t>Н-10623</t>
  </si>
  <si>
    <t>км 0,0-2,289</t>
  </si>
  <si>
    <t>Н-10184</t>
  </si>
  <si>
    <t>Ботвиновка-Лучки км 0,0-3,800</t>
  </si>
  <si>
    <t>Р15</t>
  </si>
  <si>
    <t>"Онуфриево-Воровского" 7,0 км</t>
  </si>
  <si>
    <t>км 0,0-0,685</t>
  </si>
  <si>
    <t>км 2,962-3,592</t>
  </si>
  <si>
    <t>км 0,0-0,070</t>
  </si>
  <si>
    <t>Н-11468</t>
  </si>
  <si>
    <t>Н-11469</t>
  </si>
  <si>
    <t>км 4,558-4,600</t>
  </si>
  <si>
    <t>подъезд к станции Ясень (13,3-16,3)</t>
  </si>
  <si>
    <t>470-р</t>
  </si>
  <si>
    <t>подъезд к Селище 0,0-2,3</t>
  </si>
  <si>
    <t>Ходоровка-Чистики-Старина км 0,0-13,140</t>
  </si>
  <si>
    <t>ДРСУ №217</t>
  </si>
  <si>
    <t>ДРСУ №197</t>
  </si>
  <si>
    <t>ДРСУ №172</t>
  </si>
  <si>
    <t>ДРСУ №130</t>
  </si>
  <si>
    <t>ДРСУ №126</t>
  </si>
  <si>
    <t>ДРСУ №198</t>
  </si>
  <si>
    <t>ДРСУ №214</t>
  </si>
  <si>
    <t>ДРСУ №128</t>
  </si>
  <si>
    <t>ДРСУ №174</t>
  </si>
  <si>
    <t>Н-10257</t>
  </si>
  <si>
    <t>Н-10764</t>
  </si>
  <si>
    <t>Н-10152</t>
  </si>
  <si>
    <t>Н-11512</t>
  </si>
  <si>
    <t>Н-11507</t>
  </si>
  <si>
    <t>Н-11508</t>
  </si>
  <si>
    <t>Дудаковичи-Замышки-Козебродье км 0,0-11,430</t>
  </si>
  <si>
    <t>Н-11014</t>
  </si>
  <si>
    <t>км 0,0-2,540</t>
  </si>
  <si>
    <t>км 2,540-3,260</t>
  </si>
  <si>
    <t>км 4,783-5,000</t>
  </si>
  <si>
    <t>Горы-Волынцево-Быстрая увел. на 1,2 км</t>
  </si>
  <si>
    <t>Осиповичский</t>
  </si>
  <si>
    <t>Славгородский</t>
  </si>
  <si>
    <t>Хотимский</t>
  </si>
  <si>
    <t>км 3,200-6,400</t>
  </si>
  <si>
    <t>км 0,508-1,800</t>
  </si>
  <si>
    <t>км 1,100-1,600</t>
  </si>
  <si>
    <t>км 0,540-0,600 совмещен с Н-10008 Корытница-Староселье-Эсьмоны</t>
  </si>
  <si>
    <t>км 0,600-4,700</t>
  </si>
  <si>
    <t>Большая Крапивня</t>
  </si>
  <si>
    <t>км 0,0-4,160</t>
  </si>
  <si>
    <t>км 0,0-1,627</t>
  </si>
  <si>
    <t>км 1,627-2,510</t>
  </si>
  <si>
    <t>км 0,0-0,019</t>
  </si>
  <si>
    <t>км 0,019-1,788</t>
  </si>
  <si>
    <t>км 0,0-9,166</t>
  </si>
  <si>
    <t xml:space="preserve">км 9,166-13,188 совмещен с Р-121 Шклов-Круглое </t>
  </si>
  <si>
    <t>км 13,188-13,213</t>
  </si>
  <si>
    <t>км 13,213-14,691</t>
  </si>
  <si>
    <t>км 14,691-18,940</t>
  </si>
  <si>
    <t>км 18,940- 20,978</t>
  </si>
  <si>
    <t xml:space="preserve">км 20,978-22,210 совмещен с Р-77 Шклов-Белыничи (через Пригани) </t>
  </si>
  <si>
    <t>км.22,210-25,913</t>
  </si>
  <si>
    <t>км 25,913-28,926</t>
  </si>
  <si>
    <t>Городище-Благовка км 0,0-1,850</t>
  </si>
  <si>
    <t>км 0,019-0,544</t>
  </si>
  <si>
    <t>км 2,600-3,376</t>
  </si>
  <si>
    <t>км 0,544-0,800</t>
  </si>
  <si>
    <t>км 0,800-2,000</t>
  </si>
  <si>
    <t>км 0,0-2,638</t>
  </si>
  <si>
    <t>км 2,638--3,372</t>
  </si>
  <si>
    <t>км 3,372-3,490</t>
  </si>
  <si>
    <t>Клеевичи</t>
  </si>
  <si>
    <t>Колодезки</t>
  </si>
  <si>
    <t xml:space="preserve"> км 1,000-1,700</t>
  </si>
  <si>
    <t>Белый Камень</t>
  </si>
  <si>
    <t>км 0,114-2,331</t>
  </si>
  <si>
    <t>км 0,0-0,110</t>
  </si>
  <si>
    <t>км 0,0-0,247</t>
  </si>
  <si>
    <t>км 1,300-1,500</t>
  </si>
  <si>
    <t>км 0,800-1,300</t>
  </si>
  <si>
    <t>км 1,850-2,350</t>
  </si>
  <si>
    <t>Круглое</t>
  </si>
  <si>
    <t>км 0,0-1,130</t>
  </si>
  <si>
    <t>км 0,0-1,495</t>
  </si>
  <si>
    <t>Подъезды от автодороги Р-120 Быхов-Белыничи:</t>
  </si>
  <si>
    <t>Заходы-Кричеватка км 0,0-5,200</t>
  </si>
  <si>
    <t>км 1,000-3,000</t>
  </si>
  <si>
    <t>км 3,000-5,200</t>
  </si>
  <si>
    <t>как химы-Д.Слобода</t>
  </si>
  <si>
    <t>Долгая Выгорь-Гора-Дубровка км 0,0-2,300</t>
  </si>
  <si>
    <t>км 2,300-2,753</t>
  </si>
  <si>
    <t>км 8,880-11,670</t>
  </si>
  <si>
    <t>Бороньки-Новая Ивановка км 0,0-3,800</t>
  </si>
  <si>
    <t>Збышин-Шалаевка-Пильники км 0,0-10,222</t>
  </si>
  <si>
    <t>Н-10355</t>
  </si>
  <si>
    <t>Н-10356</t>
  </si>
  <si>
    <t>Н-10357</t>
  </si>
  <si>
    <t>Н-10360</t>
  </si>
  <si>
    <t>км 0,0-6,484</t>
  </si>
  <si>
    <t>км 6,484-6,900</t>
  </si>
  <si>
    <t>км 0,0-0,060</t>
  </si>
  <si>
    <t>км 0,0-2,535</t>
  </si>
  <si>
    <t>км 2,535-2,926</t>
  </si>
  <si>
    <t>км 2,926-5,817</t>
  </si>
  <si>
    <t>км 0,0-8,000</t>
  </si>
  <si>
    <t>км 22,448-25,348</t>
  </si>
  <si>
    <t>Волынеж</t>
  </si>
  <si>
    <t>Печары</t>
  </si>
  <si>
    <t>Н-10790</t>
  </si>
  <si>
    <t>Н-11037</t>
  </si>
  <si>
    <t>Добосна-Добротино-Харлаповичи км 0,0-17,866</t>
  </si>
  <si>
    <t>Н-11038</t>
  </si>
  <si>
    <t>Н-11039</t>
  </si>
  <si>
    <t>Н-10237</t>
  </si>
  <si>
    <t>Н-11276</t>
  </si>
  <si>
    <t>Н-11294</t>
  </si>
  <si>
    <t>Н-11292</t>
  </si>
  <si>
    <t>Н-11278</t>
  </si>
  <si>
    <t>Н-11279</t>
  </si>
  <si>
    <t>Н-10158</t>
  </si>
  <si>
    <t>км 2,000-5,925</t>
  </si>
  <si>
    <t>км 5,925-13,000</t>
  </si>
  <si>
    <t>Гоорки</t>
  </si>
  <si>
    <t>км 0,950-3,200</t>
  </si>
  <si>
    <t>зона</t>
  </si>
  <si>
    <t>Слободка-Малиновое км 0,0-1,700</t>
  </si>
  <si>
    <t>Новоселки-Караси км 0,0-5,200</t>
  </si>
  <si>
    <t>км 2,800-5,300</t>
  </si>
  <si>
    <t>Ивановка-Лейчицы км 0,0-5,560</t>
  </si>
  <si>
    <t>км 0,0-0,130</t>
  </si>
  <si>
    <t>Тростино-Подлесная-Фомино км 0,0-4,230</t>
  </si>
  <si>
    <t>км 0,600-2,200</t>
  </si>
  <si>
    <t>Н-11454</t>
  </si>
  <si>
    <t>Н-11456</t>
  </si>
  <si>
    <t>Н-11457</t>
  </si>
  <si>
    <t>Н-11458</t>
  </si>
  <si>
    <t>Н-11459</t>
  </si>
  <si>
    <t>Н-11460</t>
  </si>
  <si>
    <t>Н-11461</t>
  </si>
  <si>
    <t>Н-11462</t>
  </si>
  <si>
    <t>Н-10096</t>
  </si>
  <si>
    <t>км  0,0-1,600</t>
  </si>
  <si>
    <t>км 1,600-2,080</t>
  </si>
  <si>
    <t>Людогощь-Селец-Пирогово км 0,0-21,100</t>
  </si>
  <si>
    <t>как п-д к кривель</t>
  </si>
  <si>
    <t>км 1,750-3,000</t>
  </si>
  <si>
    <t>км 0,0-5,900</t>
  </si>
  <si>
    <t>км 0,0-3,010</t>
  </si>
  <si>
    <t>км 0,0-1,839</t>
  </si>
  <si>
    <t>км 1,839-4,336</t>
  </si>
  <si>
    <t>км 4,336-4,710</t>
  </si>
  <si>
    <t>км 4,710-4,778</t>
  </si>
  <si>
    <t>Н-10455</t>
  </si>
  <si>
    <t>Н-10689</t>
  </si>
  <si>
    <t>Н-10696</t>
  </si>
  <si>
    <t>Н-10691</t>
  </si>
  <si>
    <t>км 0,340-0,640</t>
  </si>
  <si>
    <t>км 0,640-2,500</t>
  </si>
  <si>
    <t>км 2,040-2,800</t>
  </si>
  <si>
    <t>км 0,640-3,500</t>
  </si>
  <si>
    <r>
      <t xml:space="preserve"> км 2,000-3,018  (км 0,0</t>
    </r>
    <r>
      <rPr>
        <sz val="12"/>
        <color indexed="17"/>
        <rFont val="Times New Roman"/>
        <family val="1"/>
        <charset val="204"/>
      </rPr>
      <t>'-0,530', км 0,0''-0,488'')</t>
    </r>
  </si>
  <si>
    <t>Антоновка</t>
  </si>
  <si>
    <t>Н-10557</t>
  </si>
  <si>
    <t>Н-10558</t>
  </si>
  <si>
    <t>Н-10559</t>
  </si>
  <si>
    <t>Н-10560</t>
  </si>
  <si>
    <t>Н-10051</t>
  </si>
  <si>
    <t>км 0,100-0,900</t>
  </si>
  <si>
    <t>Забелышин-Орловка-Тихань-Пограничник км 0,0-17,670</t>
  </si>
  <si>
    <t>км 0,0-1,270</t>
  </si>
  <si>
    <t>км 1,270-2,010</t>
  </si>
  <si>
    <t>км 3,230-3,700</t>
  </si>
  <si>
    <t>км 3,700-5,460</t>
  </si>
  <si>
    <t>км 0,0-1,020</t>
  </si>
  <si>
    <t>км 1,020-1,820</t>
  </si>
  <si>
    <t>км 1,100-3,745</t>
  </si>
  <si>
    <t>Дручаны-Рубеж-Замочулье-Падевичи км 0,0-8,937</t>
  </si>
  <si>
    <t>Сластены-Глиницкий км 0,0-1,390</t>
  </si>
  <si>
    <t>Н-11581</t>
  </si>
  <si>
    <t>Н-11582</t>
  </si>
  <si>
    <t>Н-11583</t>
  </si>
  <si>
    <t>Н-11584</t>
  </si>
  <si>
    <t>Н-11585</t>
  </si>
  <si>
    <t>км 0,0-0,862</t>
  </si>
  <si>
    <t>км 0,050-0,600</t>
  </si>
  <si>
    <t>км 0,500-4,690</t>
  </si>
  <si>
    <t>км 0,0-17,300</t>
  </si>
  <si>
    <t>км 6,270-8,180</t>
  </si>
  <si>
    <t>км 0,650-2,740</t>
  </si>
  <si>
    <t xml:space="preserve">Всего местных автодорог: </t>
  </si>
  <si>
    <t>Н-10118</t>
  </si>
  <si>
    <t>км 0,0-1,750</t>
  </si>
  <si>
    <t>км 0,140-2,000</t>
  </si>
  <si>
    <t>Подъезды от автодороги Р-72 Осиповичи-Свислочь:</t>
  </si>
  <si>
    <t>км 0,0-1,360</t>
  </si>
  <si>
    <t>км 1,360-3,500</t>
  </si>
  <si>
    <t>Первое Мая</t>
  </si>
  <si>
    <t>Трусок</t>
  </si>
  <si>
    <t>км 2,100-6,700</t>
  </si>
  <si>
    <t>Лудчицы-Слобода км 0,0-3,260</t>
  </si>
  <si>
    <t>км 0,830-3,260</t>
  </si>
  <si>
    <t>км 21,861-22,148</t>
  </si>
  <si>
    <t>км 22,148-22,480</t>
  </si>
  <si>
    <t>Н-10920</t>
  </si>
  <si>
    <t>Медведовка-Лютня-Лютнянская Буда-Городецкая км 0,0-8,150</t>
  </si>
  <si>
    <t>км 2,100-3,200</t>
  </si>
  <si>
    <t>км 0,0-2,100</t>
  </si>
  <si>
    <t>км 1,200-7,350</t>
  </si>
  <si>
    <t>Разрытое</t>
  </si>
  <si>
    <t>км 7,470-10,830</t>
  </si>
  <si>
    <t>км 1,660-2,900</t>
  </si>
  <si>
    <t xml:space="preserve"> Пасека-Вилы км 0,0-1,930</t>
  </si>
  <si>
    <t>кировск-Добосна-Добротино-Харлаповичи км 18,0-36,8</t>
  </si>
  <si>
    <t>Дручаны-Рубеж 0,0-2,9</t>
  </si>
  <si>
    <t>Падевичи-Замочулье 0,0-1,5</t>
  </si>
  <si>
    <t>Зоевка</t>
  </si>
  <si>
    <t>Подъезды от автодороги  Р-96 Могилев-Рясно-Мстиславль:</t>
  </si>
  <si>
    <t>км 0,800-1,500</t>
  </si>
  <si>
    <t>км 3,500-4,000</t>
  </si>
  <si>
    <t>Рамшино-Бабчино км 0,0-3,800</t>
  </si>
  <si>
    <t>км 3,370-4,000</t>
  </si>
  <si>
    <t>км 4,000-5,466</t>
  </si>
  <si>
    <t>км 0,400-1,460</t>
  </si>
  <si>
    <t>Н-10829</t>
  </si>
  <si>
    <t>Н-10830</t>
  </si>
  <si>
    <t>Н-10831</t>
  </si>
  <si>
    <t>Н-10832</t>
  </si>
  <si>
    <t>Н-11435</t>
  </si>
  <si>
    <t>Н-11436</t>
  </si>
  <si>
    <t>Петровичи-Брожа 0,0-6,8</t>
  </si>
  <si>
    <t>Дубровка-Новая Культура км 0,0-2,000</t>
  </si>
  <si>
    <t>км 0,0-1,170</t>
  </si>
  <si>
    <t>ист</t>
  </si>
  <si>
    <t>прир</t>
  </si>
  <si>
    <t>км 0,0-3,340</t>
  </si>
  <si>
    <t>км 3,340-4,800</t>
  </si>
  <si>
    <t>км 0,0-2,670</t>
  </si>
  <si>
    <t>км 2,670-3,900</t>
  </si>
  <si>
    <t>км 3,540-10,600</t>
  </si>
  <si>
    <t>Н-10624</t>
  </si>
  <si>
    <t>Н-10625</t>
  </si>
  <si>
    <t>км 22,480-22,590</t>
  </si>
  <si>
    <t>км 0,0-4,850</t>
  </si>
  <si>
    <t>км 0,0-1,250</t>
  </si>
  <si>
    <t>км 6,453-12,120</t>
  </si>
  <si>
    <t>Усохи-Старый Спор-Великая Старина км 0,0-6,880</t>
  </si>
  <si>
    <t>Липница-Палом км 0,0-2,100</t>
  </si>
  <si>
    <t>км 0,500-3,000</t>
  </si>
  <si>
    <t>км 3,000-3,273</t>
  </si>
  <si>
    <t>Н-10394</t>
  </si>
  <si>
    <t>Н-10456</t>
  </si>
  <si>
    <t>Н-10473</t>
  </si>
  <si>
    <t>Н-10457</t>
  </si>
  <si>
    <t>км 0,056-0,554</t>
  </si>
  <si>
    <t>км 0,554-2,749</t>
  </si>
  <si>
    <t>км 2,749-3,412</t>
  </si>
  <si>
    <t>км 0,850-1,300</t>
  </si>
  <si>
    <t>км 0,444-1,180</t>
  </si>
  <si>
    <t>км 0,0-1,530</t>
  </si>
  <si>
    <t>км 1,038-1,087 совмещен с Н-10004 Светиловичи-Лебедянка-Борок</t>
  </si>
  <si>
    <t>км 0,200-0,750</t>
  </si>
  <si>
    <t>км 0,400-13,140</t>
  </si>
  <si>
    <t>Н-11602</t>
  </si>
  <si>
    <t xml:space="preserve"> км 0,0-1,300</t>
  </si>
  <si>
    <t>Прусино</t>
  </si>
  <si>
    <t>Алесенково</t>
  </si>
  <si>
    <t>км 16,514-22,895</t>
  </si>
  <si>
    <t>Скачек-Городец-Зеленица км 0,0-19,775</t>
  </si>
  <si>
    <t>км 2,600-4,300</t>
  </si>
  <si>
    <t>Никоновичи-Усохи км 0,0-3,040</t>
  </si>
  <si>
    <t>как п-д к д. зыли 1,5 км</t>
  </si>
  <si>
    <t>как сухари-хорошки-рики 0,9 км грунт</t>
  </si>
  <si>
    <t>км 0,0-12,800</t>
  </si>
  <si>
    <t>Мартыновка</t>
  </si>
  <si>
    <t>Заболотье-Ракитенка-Михайлово-Юшковичи км 0,0-9,000</t>
  </si>
  <si>
    <t>км 0,210-2,900</t>
  </si>
  <si>
    <t>Н-10181</t>
  </si>
  <si>
    <t>Н-10334</t>
  </si>
  <si>
    <t>км 0,10,0-0,700</t>
  </si>
  <si>
    <t>Хоминичи-Кустовка км 0,0-3,970</t>
  </si>
  <si>
    <t>в 2004 предлагалось перевести в гравийное км 0,0-3,0</t>
  </si>
  <si>
    <t>Шепелевка-Ольховка км 0,0-3,100</t>
  </si>
  <si>
    <t>км 1,250-1,500</t>
  </si>
  <si>
    <t>Софиевка-Новоселки-2-Заболотье-Речки км 0,0-8,409</t>
  </si>
  <si>
    <t>п.м.</t>
  </si>
  <si>
    <t>Большие Аниковичи-Малые Аниковичи км 0,0-2,200</t>
  </si>
  <si>
    <t>км 0,280-0,500</t>
  </si>
  <si>
    <t>км 0,0-0,500</t>
  </si>
  <si>
    <t>Глубоковичи-Лещенка км 0,0-2,575</t>
  </si>
  <si>
    <t>Глуск-Мыслотино км 0,0-4,796</t>
  </si>
  <si>
    <t>Погорелое-Бережки км 0,0-1,360</t>
  </si>
  <si>
    <t>км 0,0-4,783</t>
  </si>
  <si>
    <t>как Славня-Черняковка</t>
  </si>
  <si>
    <t>как самотевичи-прудок</t>
  </si>
  <si>
    <t>как пролетарское-печары-тупичено</t>
  </si>
  <si>
    <t>км 3,795-5,445</t>
  </si>
  <si>
    <t>Н-10045</t>
  </si>
  <si>
    <t>Тупичино-Ивановка км 0,0-2,300</t>
  </si>
  <si>
    <t>км 0,600-2,300</t>
  </si>
  <si>
    <t>км 14,350-16,240</t>
  </si>
  <si>
    <t>км 0,0-1,110</t>
  </si>
  <si>
    <t>Смольки</t>
  </si>
  <si>
    <t>Смольковская Буда</t>
  </si>
  <si>
    <t>Н-10100</t>
  </si>
  <si>
    <t>км 11,300-11,980</t>
  </si>
  <si>
    <t>км 11,980-13,000</t>
  </si>
  <si>
    <t>км 13,000-17,240</t>
  </si>
  <si>
    <t>км 17,240-18,160</t>
  </si>
  <si>
    <t>Н-10541</t>
  </si>
  <si>
    <t>Н-10542</t>
  </si>
  <si>
    <t>Н-10543</t>
  </si>
  <si>
    <t>Н-10544</t>
  </si>
  <si>
    <t>км 4,492-5,323</t>
  </si>
  <si>
    <t>Н-10164</t>
  </si>
  <si>
    <t>Н-10165</t>
  </si>
  <si>
    <t>Н-10166</t>
  </si>
  <si>
    <t>как уборок-слободка</t>
  </si>
  <si>
    <t>как брицаловичи-устиж</t>
  </si>
  <si>
    <t>??? как заручевье-ставище 2,646 км грав</t>
  </si>
  <si>
    <t>как п-д к Балашевичи км 0,0-3,1</t>
  </si>
  <si>
    <t>Н-10603</t>
  </si>
  <si>
    <t>Н-10604</t>
  </si>
  <si>
    <t>Н-10605</t>
  </si>
  <si>
    <t>Н-10606</t>
  </si>
  <si>
    <t>км 1,100-1,800</t>
  </si>
  <si>
    <t>км 1,800-2,200</t>
  </si>
  <si>
    <t>Н-10038</t>
  </si>
  <si>
    <t>Н-10040</t>
  </si>
  <si>
    <t>Н-10041</t>
  </si>
  <si>
    <t>Н-11463</t>
  </si>
  <si>
    <t>Н-11464</t>
  </si>
  <si>
    <t>Н-10695</t>
  </si>
  <si>
    <t>км 5,925-18,672</t>
  </si>
  <si>
    <t>км 18,672-18,690</t>
  </si>
  <si>
    <t>км 0,320-0,800</t>
  </si>
  <si>
    <t>км 0,0-1,628</t>
  </si>
  <si>
    <t>км 1,628-1,965</t>
  </si>
  <si>
    <t>Дубровица-Попехинка км 0,0-4,686</t>
  </si>
  <si>
    <t>км 0,0-0,439</t>
  </si>
  <si>
    <t>км 0,439-4,686</t>
  </si>
  <si>
    <t>Лозовица-Шумовка км 0,0-2,819</t>
  </si>
  <si>
    <t>км 0,0-0,435</t>
  </si>
  <si>
    <t>км 2,448-2,819</t>
  </si>
  <si>
    <t>км 0,435-2,448</t>
  </si>
  <si>
    <t>км 0,0-1,506</t>
  </si>
  <si>
    <t>км 1,506-3,977</t>
  </si>
  <si>
    <t>км 6,002-6,502</t>
  </si>
  <si>
    <t>км 1,200-1,900</t>
  </si>
  <si>
    <t>км 0,0-2,310</t>
  </si>
  <si>
    <t>км 2,000-2,600</t>
  </si>
  <si>
    <t>как тростино-тихань-пограничник</t>
  </si>
  <si>
    <t>км 0,862-1,689</t>
  </si>
  <si>
    <t>км 0,0-3,700</t>
  </si>
  <si>
    <t>км 0,0-1,155</t>
  </si>
  <si>
    <t>ходоровка-Чистики-Старина 0,0-12,5</t>
  </si>
  <si>
    <t>подъезд к Староселье 0,0-4,0</t>
  </si>
  <si>
    <t>подъезд к Климатичи 0,0-2,8</t>
  </si>
  <si>
    <t>км 0,0-2,475</t>
  </si>
  <si>
    <t>Секерка-Вольница км 0,0-3,250</t>
  </si>
  <si>
    <t>Н-11437</t>
  </si>
  <si>
    <t>км 0,830-2,660</t>
  </si>
  <si>
    <t>Н-11000</t>
  </si>
  <si>
    <t>км 16,630-17,600</t>
  </si>
  <si>
    <t>км 1,020-1,330</t>
  </si>
  <si>
    <t>км 1,330-2,500</t>
  </si>
  <si>
    <t>км 2,500-14,800</t>
  </si>
  <si>
    <t>Прусинская Буда</t>
  </si>
  <si>
    <t>ул гр</t>
  </si>
  <si>
    <t>км 0,800-2,050</t>
  </si>
  <si>
    <t>км 0,815-2,330</t>
  </si>
  <si>
    <t>Химы-Новая Шараевщина км 0,0-2,300</t>
  </si>
  <si>
    <t>Устерхи-Крюковщина-Вьюнище км 0,0-7,070</t>
  </si>
  <si>
    <t>км 1,680-3,320</t>
  </si>
  <si>
    <t>Лобановка-Победа км 0,0-2,060</t>
  </si>
  <si>
    <t>км 0,0-4,430</t>
  </si>
  <si>
    <t>Бацевичи-Любичи км 0,0-3,800</t>
  </si>
  <si>
    <t>км 0,250-0,600</t>
  </si>
  <si>
    <t>км 0,600-2,500</t>
  </si>
  <si>
    <t>км 0,0-9,000</t>
  </si>
  <si>
    <t>км 0,0-3,600</t>
  </si>
  <si>
    <t>км 9,381-9,650</t>
  </si>
  <si>
    <t>Мошевое-Вишни-Шабли км 0,0-9,650</t>
  </si>
  <si>
    <t>км 0,0-0,700</t>
  </si>
  <si>
    <t>км 0,700-1,500</t>
  </si>
  <si>
    <t>км 0,800-1,800</t>
  </si>
  <si>
    <t>км 1,400-2,300</t>
  </si>
  <si>
    <t>Пролетарская Коммуна</t>
  </si>
  <si>
    <t>Р-118</t>
  </si>
  <si>
    <t>км 7,40-9,381</t>
  </si>
  <si>
    <t>км 15,630-24,100</t>
  </si>
  <si>
    <t>км 24,100-26,300</t>
  </si>
  <si>
    <t>км 0,0-7,700</t>
  </si>
  <si>
    <t>км 0,0-4,490</t>
  </si>
  <si>
    <t>км 4,490-8,620</t>
  </si>
  <si>
    <t>Н-10012</t>
  </si>
  <si>
    <t>Н-10013</t>
  </si>
  <si>
    <t>Н-10025</t>
  </si>
  <si>
    <t>Н-10026</t>
  </si>
  <si>
    <t>Н-10027</t>
  </si>
  <si>
    <t>км 0,020-0,461</t>
  </si>
  <si>
    <t>км 0,461-0,625</t>
  </si>
  <si>
    <t>км 0,625-0,930</t>
  </si>
  <si>
    <t>км 0,930-1,700</t>
  </si>
  <si>
    <t>км 1,700-2,109</t>
  </si>
  <si>
    <t>как пригани-дрозды-поповка-баньки-криулино</t>
  </si>
  <si>
    <t>Н-10773</t>
  </si>
  <si>
    <t>Н-10253</t>
  </si>
  <si>
    <t>Н-10254</t>
  </si>
  <si>
    <t>Н-10995</t>
  </si>
  <si>
    <t>Н-10996</t>
  </si>
  <si>
    <t>Н-10997</t>
  </si>
  <si>
    <t>Н-10099</t>
  </si>
  <si>
    <t>Н-10328</t>
  </si>
  <si>
    <t>Н-10330</t>
  </si>
  <si>
    <t>км 0,400-1,040</t>
  </si>
  <si>
    <t>Н-10702</t>
  </si>
  <si>
    <t>Н-10703</t>
  </si>
  <si>
    <t>Н-10704</t>
  </si>
  <si>
    <t>Н-10187</t>
  </si>
  <si>
    <t>км 2,500-4,230</t>
  </si>
  <si>
    <t>км 2,800-3,000</t>
  </si>
  <si>
    <t>км 7,845-15,53</t>
  </si>
  <si>
    <t>Н-10380</t>
  </si>
  <si>
    <t>Н-10381</t>
  </si>
  <si>
    <t>в 2004 предлагалось перевести в гравийное км 0,0-2,0</t>
  </si>
  <si>
    <t>км 0,0-1,000</t>
  </si>
  <si>
    <t>км 0,0-0,210</t>
  </si>
  <si>
    <t>как Голочево-Броды</t>
  </si>
  <si>
    <t>Лысая Горка-Бибковщина км 0,0-3,643</t>
  </si>
  <si>
    <t>км 1,700-3,400</t>
  </si>
  <si>
    <t>Н-11148</t>
  </si>
  <si>
    <t>Н-11142</t>
  </si>
  <si>
    <t>Белынковичи</t>
  </si>
  <si>
    <t>км 11,100-16,100</t>
  </si>
  <si>
    <t>км 16,100-16,250</t>
  </si>
  <si>
    <t>км 1,630-2,000</t>
  </si>
  <si>
    <t>км 0,0-0,460</t>
  </si>
  <si>
    <t>км 0,0-1,260</t>
  </si>
  <si>
    <t>км 0,0-0,059</t>
  </si>
  <si>
    <t>км 0,059-2,962</t>
  </si>
  <si>
    <t>Н-10723</t>
  </si>
  <si>
    <t>км 27,946-28,703</t>
  </si>
  <si>
    <t>Малиновка-Мастицкая Слобода-Мирная км 0,0-8,210</t>
  </si>
  <si>
    <t>Ленино-Костюшково км 0,0-1,900</t>
  </si>
  <si>
    <t>км 0,820-1,440</t>
  </si>
  <si>
    <t>Катка-Слободка км 0,0-4,400</t>
  </si>
  <si>
    <t>км 0,0-3,350</t>
  </si>
  <si>
    <t>км 3,350-4,400</t>
  </si>
  <si>
    <t>км 1,515-1,557 совмещен с Н-10474 Павловичи-Малиновка</t>
  </si>
  <si>
    <t>км 1,400-4,900</t>
  </si>
  <si>
    <t>Н-10715</t>
  </si>
  <si>
    <t>Н-10716</t>
  </si>
  <si>
    <t>км 0,0-3,080</t>
  </si>
  <si>
    <t xml:space="preserve"> км 0,0-0,292</t>
  </si>
  <si>
    <t xml:space="preserve"> км 0,292-0,728</t>
  </si>
  <si>
    <t xml:space="preserve"> км 3,337-4,072</t>
  </si>
  <si>
    <t xml:space="preserve"> км 4,072-4,109</t>
  </si>
  <si>
    <t xml:space="preserve"> км 0,728-0,909</t>
  </si>
  <si>
    <t xml:space="preserve"> км 0,909-1,462</t>
  </si>
  <si>
    <t xml:space="preserve"> км 1,462-1,803</t>
  </si>
  <si>
    <t xml:space="preserve"> км 1,803-2,606</t>
  </si>
  <si>
    <t xml:space="preserve"> км 2,606-3,337</t>
  </si>
  <si>
    <t xml:space="preserve"> км 0,0-0,942</t>
  </si>
  <si>
    <t xml:space="preserve"> км 4,433-4,473</t>
  </si>
  <si>
    <t xml:space="preserve"> км 0,942-1,000</t>
  </si>
  <si>
    <t xml:space="preserve"> км 1,000-4,433</t>
  </si>
  <si>
    <t>Михеевичи-Каменка км 0,0-5,167</t>
  </si>
  <si>
    <t>Лучки-Юрковка-Зайцева Слобода км 0,0-4,432</t>
  </si>
  <si>
    <t xml:space="preserve"> км 0,0-4,388</t>
  </si>
  <si>
    <t>км 2,739-2,898</t>
  </si>
  <si>
    <t>км 2,436-2,739</t>
  </si>
  <si>
    <t>как п-д к Татарка</t>
  </si>
  <si>
    <t>Н-10467</t>
  </si>
  <si>
    <t xml:space="preserve">Н-10452 </t>
  </si>
  <si>
    <t>Н-10526</t>
  </si>
  <si>
    <t>Н-10527</t>
  </si>
  <si>
    <t>Н-10528</t>
  </si>
  <si>
    <t>Н-10247</t>
  </si>
  <si>
    <t>Н-10248</t>
  </si>
  <si>
    <t>Н-10249</t>
  </si>
  <si>
    <t>Н-10246</t>
  </si>
  <si>
    <t>Охотичи-Городец км 0,0-5,920</t>
  </si>
  <si>
    <t>км 0,685-5,920</t>
  </si>
  <si>
    <t>Борки-Грибовец-Грибова Слобода км 0,0-8,880</t>
  </si>
  <si>
    <t>км 2,100-5,300</t>
  </si>
  <si>
    <t>км 5,300-5,780</t>
  </si>
  <si>
    <t>км 5,780-8,793</t>
  </si>
  <si>
    <t>км 8,793-8,880</t>
  </si>
  <si>
    <t>км 2,475-3,400</t>
  </si>
  <si>
    <t>Колбово-Подлужье км 0,0-3,620</t>
  </si>
  <si>
    <t>Славики-газораспределительная станция Горки км 0,0-1,000</t>
  </si>
  <si>
    <t>км 14,300-14,800</t>
  </si>
  <si>
    <t>км 0,0-2,080</t>
  </si>
  <si>
    <t>км 2,080-2,680</t>
  </si>
  <si>
    <t>Н-10385</t>
  </si>
  <si>
    <t>Н-10386</t>
  </si>
  <si>
    <t>Н-10387</t>
  </si>
  <si>
    <t>км 0,0-0,014</t>
  </si>
  <si>
    <t>как подъезд к д. торгонщина</t>
  </si>
  <si>
    <t>Н-11620</t>
  </si>
  <si>
    <t>Н-11621</t>
  </si>
  <si>
    <t>Н-10345</t>
  </si>
  <si>
    <t>Н-10346</t>
  </si>
  <si>
    <t>Н-10347</t>
  </si>
  <si>
    <t>Н-10348</t>
  </si>
  <si>
    <t>Н-10349</t>
  </si>
  <si>
    <t>Н-10350</t>
  </si>
  <si>
    <t>Н-10352</t>
  </si>
  <si>
    <t>как Н-11057 Зимница-Князевка</t>
  </si>
  <si>
    <t>Н-10838</t>
  </si>
  <si>
    <t>Н-10839</t>
  </si>
  <si>
    <t>Н-10124</t>
  </si>
  <si>
    <t>Н-10043</t>
  </si>
  <si>
    <t>Н-10153</t>
  </si>
  <si>
    <t>Н-10154</t>
  </si>
  <si>
    <t>Н-10155</t>
  </si>
  <si>
    <t>Н-11159</t>
  </si>
  <si>
    <t>Н-11160</t>
  </si>
  <si>
    <t>Н-11161</t>
  </si>
  <si>
    <t>Н-11162</t>
  </si>
  <si>
    <t>Н-11163</t>
  </si>
  <si>
    <t>Н-11164</t>
  </si>
  <si>
    <t>Н-11165</t>
  </si>
  <si>
    <t>Н-11166</t>
  </si>
  <si>
    <t>км 0,0-7,852</t>
  </si>
  <si>
    <t>км 7,852-10,240</t>
  </si>
  <si>
    <t>км 12,235-14,990</t>
  </si>
  <si>
    <t>км 1,000-1,390</t>
  </si>
  <si>
    <t>км 2,500-3,000</t>
  </si>
  <si>
    <t>км 2,900-3,600</t>
  </si>
  <si>
    <t>км 3,600-5,100</t>
  </si>
  <si>
    <t>км 1,500-2,000</t>
  </si>
  <si>
    <t>Темровичи-Васьковичи-Городня км 0,0-23,940</t>
  </si>
  <si>
    <t xml:space="preserve"> 28-12</t>
  </si>
  <si>
    <t>км 0,8-3,0 как Подъезд к Черногрязь</t>
  </si>
  <si>
    <t>км 1,454-1,550</t>
  </si>
  <si>
    <t>Борисовичи-Ганновка км 0,0-1,550</t>
  </si>
  <si>
    <t>км 0,0-1,454</t>
  </si>
  <si>
    <t>Н-10305</t>
  </si>
  <si>
    <t>Н-10782</t>
  </si>
  <si>
    <t>Н-10783</t>
  </si>
  <si>
    <t>км 0,600-3,150</t>
  </si>
  <si>
    <t>км 11,000-11,224</t>
  </si>
  <si>
    <t>Шеды-Осиповичи-Сальники км 0,0-11,224</t>
  </si>
  <si>
    <t>км 0,900-0,928</t>
  </si>
  <si>
    <t>км 0,963-3,864</t>
  </si>
  <si>
    <t>км 1,028-2,000</t>
  </si>
  <si>
    <t>км 0,0-13,440</t>
  </si>
  <si>
    <t>Н-10343</t>
  </si>
  <si>
    <t>км 0,0-0,910</t>
  </si>
  <si>
    <t>км 0,500-2,600</t>
  </si>
  <si>
    <t>км 0,0-2,912</t>
  </si>
  <si>
    <t>км 2,912-9,545</t>
  </si>
  <si>
    <t>км 9,545-10,434</t>
  </si>
  <si>
    <t>км 10,434-13,961</t>
  </si>
  <si>
    <t>км 13,961-28,830</t>
  </si>
  <si>
    <t>Локути-Августово км 0,0-6,200</t>
  </si>
  <si>
    <t>шт. к памятникам природы протяженностью, км -</t>
  </si>
  <si>
    <t>шт. к кладбищам и захоронениям протяженностью, км -</t>
  </si>
  <si>
    <t>шт. к местам индивидуального жилого строит-ва протяженностью, км -</t>
  </si>
  <si>
    <t>шт. к садоводческим товариществам протяженностью, км -</t>
  </si>
  <si>
    <t xml:space="preserve"> - из них подъездов:</t>
  </si>
  <si>
    <t>Старое Село-Клещевка км 0,0-6,951</t>
  </si>
  <si>
    <t>км 2,100-2,700</t>
  </si>
  <si>
    <t>км 1,000-4,160</t>
  </si>
  <si>
    <t>Бони-Селецкое-Журбин км 0,0-8,860</t>
  </si>
  <si>
    <t>Н-10258</t>
  </si>
  <si>
    <t>Н-11501</t>
  </si>
  <si>
    <t>км 0,000-1,300</t>
  </si>
  <si>
    <t>км 1,300-1,900</t>
  </si>
  <si>
    <t>Ковали-Постраш км 0,0-7,600</t>
  </si>
  <si>
    <t>км 16,421-18,772</t>
  </si>
  <si>
    <t>км 18,772-23,057</t>
  </si>
  <si>
    <t>км 23,057-24,180</t>
  </si>
  <si>
    <t>км 2,072-3,023</t>
  </si>
  <si>
    <t>Подрайск</t>
  </si>
  <si>
    <t>как недведь-стайки-соболевка</t>
  </si>
  <si>
    <t>п-д к Попехинка</t>
  </si>
  <si>
    <t>как городище-караси</t>
  </si>
  <si>
    <t>как староселье-волосовичи</t>
  </si>
  <si>
    <t>км 0,000-2,344</t>
  </si>
  <si>
    <t>Н-11131</t>
  </si>
  <si>
    <t>Н-11173</t>
  </si>
  <si>
    <t>Н-10128</t>
  </si>
  <si>
    <t>км 1,650-4,113</t>
  </si>
  <si>
    <t xml:space="preserve"> Каменка-Петровичи-Мартыновка км 0,0-15,388</t>
  </si>
  <si>
    <t>км 1,087-4,899</t>
  </si>
  <si>
    <t>Н-10170</t>
  </si>
  <si>
    <t>Н-10171</t>
  </si>
  <si>
    <t>Н-10907</t>
  </si>
  <si>
    <t>Н-10978</t>
  </si>
  <si>
    <t>Н-10979</t>
  </si>
  <si>
    <t>Н-10980</t>
  </si>
  <si>
    <t>Н-10981</t>
  </si>
  <si>
    <t>Н-10982</t>
  </si>
  <si>
    <t>Н-10983</t>
  </si>
  <si>
    <t>Н-10984</t>
  </si>
  <si>
    <t>км 17,980-18,662</t>
  </si>
  <si>
    <t>км 0,0-6,460</t>
  </si>
  <si>
    <t>км 6,460-12,160</t>
  </si>
  <si>
    <t>км 12,160-15,320</t>
  </si>
  <si>
    <t>км 22,007-22,038</t>
  </si>
  <si>
    <t>км 21,351-22,007</t>
  </si>
  <si>
    <t xml:space="preserve"> км 0,0-3,570</t>
  </si>
  <si>
    <t xml:space="preserve"> км 3,570-4,608</t>
  </si>
  <si>
    <t xml:space="preserve"> км 0,0-3,099</t>
  </si>
  <si>
    <t xml:space="preserve"> км 3,099-7,065</t>
  </si>
  <si>
    <t xml:space="preserve"> км 7,065-9,148</t>
  </si>
  <si>
    <t xml:space="preserve"> км 9,148-11,422</t>
  </si>
  <si>
    <t xml:space="preserve"> км 11,422-11,941</t>
  </si>
  <si>
    <t xml:space="preserve"> км 11,941-12,635</t>
  </si>
  <si>
    <t xml:space="preserve"> км 12,635-15,629</t>
  </si>
  <si>
    <t xml:space="preserve"> км 0,0-1,573</t>
  </si>
  <si>
    <t xml:space="preserve"> км 1,573-4,533</t>
  </si>
  <si>
    <t xml:space="preserve"> км 0,0-1,509</t>
  </si>
  <si>
    <t xml:space="preserve"> км 1,509-5,167</t>
  </si>
  <si>
    <t>км 4,400-4,600</t>
  </si>
  <si>
    <t>Заводок-Маринополье км 0,0-9,880</t>
  </si>
  <si>
    <t>км 0,0-0,430</t>
  </si>
  <si>
    <t>км 0,430-9,880</t>
  </si>
  <si>
    <t>км 0,000-1,200</t>
  </si>
  <si>
    <t>Новый Городок-Стайки-Чигиринка км 0,0-34,590</t>
  </si>
  <si>
    <t>км 4,360-5,360</t>
  </si>
  <si>
    <t>км 2,100-4,000</t>
  </si>
  <si>
    <t>км 3,010-5,040</t>
  </si>
  <si>
    <t>км 5,040-13,080</t>
  </si>
  <si>
    <t>км 5,144-10,104</t>
  </si>
  <si>
    <t>км 10,104-11,244</t>
  </si>
  <si>
    <t>км 11,244-14,064</t>
  </si>
  <si>
    <t>км 14,064-14,694</t>
  </si>
  <si>
    <t>км 14,694-17,174</t>
  </si>
  <si>
    <t>км 17,174-19,244</t>
  </si>
  <si>
    <t>Рясно-Красное км 5,144-19,244</t>
  </si>
  <si>
    <t>Борейки</t>
  </si>
  <si>
    <t>Искань-Лосевка-Долгое км 0,0-4,230</t>
  </si>
  <si>
    <t>км 10,240-14,245</t>
  </si>
  <si>
    <t>км 1,340-4,743</t>
  </si>
  <si>
    <t>км 4,743-6,368</t>
  </si>
  <si>
    <t>км 1,270-6,250</t>
  </si>
  <si>
    <t>км 6,250-6,620</t>
  </si>
  <si>
    <t>км 6,620-8,500</t>
  </si>
  <si>
    <t>км 8,500-8,670</t>
  </si>
  <si>
    <t>Н-11277</t>
  </si>
  <si>
    <t>Н-11290</t>
  </si>
  <si>
    <t>Н-11291</t>
  </si>
  <si>
    <t>Н-11293</t>
  </si>
  <si>
    <t>Н-10999</t>
  </si>
  <si>
    <t>км 0,0-0,340</t>
  </si>
  <si>
    <t>чигиринка-подлипки-немки</t>
  </si>
  <si>
    <t>как темный лес - шаблавы 0,0-5,8</t>
  </si>
  <si>
    <t>Павловичи-Малиновка км 0,0-5,320</t>
  </si>
  <si>
    <t>км 0,0-5,364</t>
  </si>
  <si>
    <t>км 1,400-3,380</t>
  </si>
  <si>
    <t>км 0,0-0,540</t>
  </si>
  <si>
    <t>км 2,500-4,500</t>
  </si>
  <si>
    <t>км 1,250-2,290</t>
  </si>
  <si>
    <t>Супшинка-Николаевка км 0,0-2,900</t>
  </si>
  <si>
    <t>км 0,500-1,400</t>
  </si>
  <si>
    <t>км 1,110-4,270</t>
  </si>
  <si>
    <t>км 4,270-6,300</t>
  </si>
  <si>
    <t>п-д к д.Константов</t>
  </si>
  <si>
    <t>км 1,495-2,020</t>
  </si>
  <si>
    <t>Сычики-Милятино км 0,0-3,000</t>
  </si>
  <si>
    <t xml:space="preserve">Н-11365 </t>
  </si>
  <si>
    <t>км 7,700-8,570</t>
  </si>
  <si>
    <t>Н-10382</t>
  </si>
  <si>
    <t>Н-10174</t>
  </si>
  <si>
    <t>Н-10159</t>
  </si>
  <si>
    <t>В том числе:</t>
  </si>
  <si>
    <t>Сеньково-Холмы км 0,0-3,800</t>
  </si>
  <si>
    <t>км 0,0-3,500</t>
  </si>
  <si>
    <t>км 3,500-4,190</t>
  </si>
  <si>
    <t>Н-10019</t>
  </si>
  <si>
    <t>км 0,0-4,360</t>
  </si>
  <si>
    <t>км 4,360-6,060</t>
  </si>
  <si>
    <t>как копейно-бортняки 1,4 км</t>
  </si>
  <si>
    <t>Н-10458</t>
  </si>
  <si>
    <t>Н-10459</t>
  </si>
  <si>
    <t>Н-10575</t>
  </si>
  <si>
    <t>Н-10574</t>
  </si>
  <si>
    <t>Усакино-Замикитка км 0,0-2,345</t>
  </si>
  <si>
    <t>как городня-левковщина с подъездом к д.Малиновка</t>
  </si>
  <si>
    <t>км 1,260-1,550</t>
  </si>
  <si>
    <t>Н-11597</t>
  </si>
  <si>
    <t>Н-11598</t>
  </si>
  <si>
    <t>Н-11599</t>
  </si>
  <si>
    <t>Н-11600</t>
  </si>
  <si>
    <t>Н-11601</t>
  </si>
  <si>
    <t>Н-11604</t>
  </si>
  <si>
    <t>Н-11605</t>
  </si>
  <si>
    <t>Р-123</t>
  </si>
  <si>
    <t>Р-15</t>
  </si>
  <si>
    <t>км 0,420,0-1,760</t>
  </si>
  <si>
    <t>км 0,0-0,420</t>
  </si>
  <si>
    <t>Мурин Бор</t>
  </si>
  <si>
    <t>км 2,100-2,400</t>
  </si>
  <si>
    <t>Бобровичи-Никитиничи км 0,0-2,753</t>
  </si>
  <si>
    <t>Досовичи-Чернобель-Загрезье км 0,0-2,000</t>
  </si>
  <si>
    <t>км 0,0-0,450</t>
  </si>
  <si>
    <t>Н-11280</t>
  </si>
  <si>
    <t>Н-11281</t>
  </si>
  <si>
    <t>Н-11282</t>
  </si>
  <si>
    <t>Н-11283</t>
  </si>
  <si>
    <t>Н-11284</t>
  </si>
  <si>
    <t xml:space="preserve">трубы </t>
  </si>
  <si>
    <t>общая</t>
  </si>
  <si>
    <t>обслуж.</t>
  </si>
  <si>
    <t>Н-11588</t>
  </si>
  <si>
    <t>Н-11049</t>
  </si>
  <si>
    <t>Н-11050</t>
  </si>
  <si>
    <t>км 7,350-10,900</t>
  </si>
  <si>
    <t>км 0,0-2,034</t>
  </si>
  <si>
    <t>км 2,034-5,900</t>
  </si>
  <si>
    <t>км 0,0-2,400</t>
  </si>
  <si>
    <t xml:space="preserve"> км 2,400-2,800</t>
  </si>
  <si>
    <t>Р-75</t>
  </si>
  <si>
    <t>Р-62</t>
  </si>
  <si>
    <t>Р-79</t>
  </si>
  <si>
    <t>Р-74</t>
  </si>
  <si>
    <t>Р-140</t>
  </si>
  <si>
    <t>Р-38</t>
  </si>
  <si>
    <t>Р-121</t>
  </si>
  <si>
    <t>от г. Могилева</t>
  </si>
  <si>
    <t>км 0,0-3,540</t>
  </si>
  <si>
    <t>лучки-юрковка-зайцева слобода</t>
  </si>
  <si>
    <t>подъезд к Брянск</t>
  </si>
  <si>
    <t>км.2,129-3,648</t>
  </si>
  <si>
    <t>Н-10492</t>
  </si>
  <si>
    <t>Трубы</t>
  </si>
  <si>
    <t>км 0,0-1,650</t>
  </si>
  <si>
    <t>Н-11466</t>
  </si>
  <si>
    <t>Н-10932</t>
  </si>
  <si>
    <t>км 0,300-1,700</t>
  </si>
  <si>
    <t>Н-10707</t>
  </si>
  <si>
    <t xml:space="preserve">Н-11359 </t>
  </si>
  <si>
    <t>Н-10987</t>
  </si>
  <si>
    <t>км 0,400-0,600</t>
  </si>
  <si>
    <t>км 1,300-4,600</t>
  </si>
  <si>
    <t>Прудок-Замошье км 0,0-3,640</t>
  </si>
  <si>
    <t>км 0,0-0,142</t>
  </si>
  <si>
    <t>км 0,142-3,420</t>
  </si>
  <si>
    <t>км 3,420-4,065</t>
  </si>
  <si>
    <t>Каменичи-Казимирово км 0,0-4,065</t>
  </si>
  <si>
    <t>км 0,0-2,610</t>
  </si>
  <si>
    <t>Замошье-Лучицы-Большая Горожа-Малая Горожа км 0,0-12,701</t>
  </si>
  <si>
    <t>Заручевье-Дубролево-Побоковичи км 0,0-8,110</t>
  </si>
  <si>
    <t>Баевка-2-Мирная км 0,0-3,600</t>
  </si>
  <si>
    <t>Бояры-Стаборщина км 0,0-1,300</t>
  </si>
  <si>
    <t>Н-10453</t>
  </si>
  <si>
    <t>Н-10156</t>
  </si>
  <si>
    <t xml:space="preserve">Н-11351 </t>
  </si>
  <si>
    <t>км 7,300-9,050</t>
  </si>
  <si>
    <t xml:space="preserve">Н-11353 </t>
  </si>
  <si>
    <t>км 0,940-3,330</t>
  </si>
  <si>
    <t>км 2,250-2,890</t>
  </si>
  <si>
    <t>Жуковка-Трояновка км 0,0-3,450</t>
  </si>
  <si>
    <t>км 0,380-3,450</t>
  </si>
  <si>
    <t>км 0,300-1,200</t>
  </si>
  <si>
    <t>Подъезды от автодороги Р-96 Могилев-Рясно-Мстиславль:</t>
  </si>
  <si>
    <t>Асфальтобетонный завод-Осовец км 0,0-3,243</t>
  </si>
  <si>
    <t>Н-10717</t>
  </si>
  <si>
    <t>Н-10718</t>
  </si>
  <si>
    <t>Н-10719</t>
  </si>
  <si>
    <t>а/бетон</t>
  </si>
  <si>
    <t>ч/грав.</t>
  </si>
  <si>
    <t>Н-10626</t>
  </si>
  <si>
    <t>Н-10627</t>
  </si>
  <si>
    <t>Н-10628</t>
  </si>
  <si>
    <t>Н-10629</t>
  </si>
  <si>
    <t>Н-10630</t>
  </si>
  <si>
    <t>Н-10631</t>
  </si>
  <si>
    <t>Н-10632</t>
  </si>
  <si>
    <t>Н-10633</t>
  </si>
  <si>
    <t>Н-10635</t>
  </si>
  <si>
    <t>Н-10636</t>
  </si>
  <si>
    <t>Н-10928</t>
  </si>
  <si>
    <t>Н-10929</t>
  </si>
  <si>
    <t>Н-10930</t>
  </si>
  <si>
    <t>Н-10311</t>
  </si>
  <si>
    <t>Н-10315</t>
  </si>
  <si>
    <t>Грибино-Арава км 0,0-5,800</t>
  </si>
  <si>
    <t>км 0,0-0,528</t>
  </si>
  <si>
    <t>км 0,528-13,299</t>
  </si>
  <si>
    <t>км 13,299-16,277</t>
  </si>
  <si>
    <t>Корытное-Деменка-Ясень км 0,0-16,277</t>
  </si>
  <si>
    <t>км 0,0-0,764</t>
  </si>
  <si>
    <t>Подъезды от автодороги Р-139 Хотимск-Родня:</t>
  </si>
  <si>
    <t>Подъезды от автодороги  Р-121 Шклов-Круглое:</t>
  </si>
  <si>
    <t>км 0,850-3,755</t>
  </si>
  <si>
    <t>Н-10913</t>
  </si>
  <si>
    <t>Н-10914</t>
  </si>
  <si>
    <t>Н-10915</t>
  </si>
  <si>
    <t>Н-10908</t>
  </si>
  <si>
    <t>бул.</t>
  </si>
  <si>
    <t>Веремейки-Селище-Ляхи км 0,0-4,700</t>
  </si>
  <si>
    <t>Староселье-Городок км 0,0-3,300</t>
  </si>
  <si>
    <t>км 1,900-2,392</t>
  </si>
  <si>
    <t>км 1,145-1,620</t>
  </si>
  <si>
    <t>км 1,620-3,450</t>
  </si>
  <si>
    <t>Катка-Бобровичи км 0,0-6,086</t>
  </si>
  <si>
    <t>км 5,100-5,800</t>
  </si>
  <si>
    <t>Н-10852</t>
  </si>
  <si>
    <t>Н-10853</t>
  </si>
  <si>
    <t>км 1,500-5,000</t>
  </si>
  <si>
    <t>км 1,785-2,345</t>
  </si>
  <si>
    <t>Городок-Кривель-Фащевка- Старые Чемоданы км 0,0-16,000</t>
  </si>
  <si>
    <t>Подъезды от автодороги Р-79 Кличев-Чечевичи:</t>
  </si>
  <si>
    <t>Н-10188</t>
  </si>
  <si>
    <t>Н-10189</t>
  </si>
  <si>
    <t>Н-10190</t>
  </si>
  <si>
    <t>Н-10191</t>
  </si>
  <si>
    <t>Н-10192</t>
  </si>
  <si>
    <t>Н-10194</t>
  </si>
  <si>
    <t>Н-10195</t>
  </si>
  <si>
    <t>Н-10196</t>
  </si>
  <si>
    <t>Н-10197</t>
  </si>
  <si>
    <t>Н-10692</t>
  </si>
  <si>
    <t>Н-11130</t>
  </si>
  <si>
    <t>Н-11156</t>
  </si>
  <si>
    <t>Заболотье-Михайлово км 0,0-2,500</t>
  </si>
  <si>
    <t>км 1,150-1,750</t>
  </si>
  <si>
    <t>км 4,350-7,530</t>
  </si>
  <si>
    <t>км 53,880-54,024</t>
  </si>
  <si>
    <t>км 54,024-54,136</t>
  </si>
  <si>
    <t>км 54,136-55,060</t>
  </si>
  <si>
    <t>Н-11618</t>
  </si>
  <si>
    <t>Н-11619</t>
  </si>
  <si>
    <t>км 0,0-0,760</t>
  </si>
  <si>
    <t>км 0,760-2,890</t>
  </si>
  <si>
    <t>км 0,0-0,470</t>
  </si>
  <si>
    <t>км 0,470-6,900</t>
  </si>
  <si>
    <t>км 6,900-19,050</t>
  </si>
  <si>
    <t>как Ржавка1-Ржавка2</t>
  </si>
  <si>
    <t>Лотва-Каменные Лавы км 0,0-4,600</t>
  </si>
  <si>
    <t>км 0,145-0,595</t>
  </si>
  <si>
    <t>Н-10044</t>
  </si>
  <si>
    <t>Н-10047</t>
  </si>
  <si>
    <t>Н-10784</t>
  </si>
  <si>
    <t>Н-10785</t>
  </si>
  <si>
    <t>км 0,700-1,000</t>
  </si>
  <si>
    <t>Крупня</t>
  </si>
  <si>
    <t>Подломье-Щетинка 0,0-0,9</t>
  </si>
  <si>
    <t>Задорожье-Суровцево-Волковщина 0,0-5,3</t>
  </si>
  <si>
    <t>км 3,700-4,400</t>
  </si>
  <si>
    <t>Устье-Хоменки км 0,0-2,620</t>
  </si>
  <si>
    <t>Н-10470</t>
  </si>
  <si>
    <t xml:space="preserve"> км 1,530-2,700</t>
  </si>
  <si>
    <t>км 3,000-4,420</t>
  </si>
  <si>
    <t>км 0,0-3,160</t>
  </si>
  <si>
    <t>Гавриленка-Сигеевка км 0,0-4,000</t>
  </si>
  <si>
    <t>Студенец-Колодливо км 0,0-7,560</t>
  </si>
  <si>
    <t>км 5,750-6,360</t>
  </si>
  <si>
    <t>км 6,360-7,560</t>
  </si>
  <si>
    <t>Красный Берег-Истопки км 0,0-5,690</t>
  </si>
  <si>
    <t>км 20,996-21,939</t>
  </si>
  <si>
    <t>км 21,939-23,855</t>
  </si>
  <si>
    <t>км 19,500-20,996</t>
  </si>
  <si>
    <t>км 14,500-16,500</t>
  </si>
  <si>
    <t>км 17,500-19,500</t>
  </si>
  <si>
    <t>км 16,500-17,500</t>
  </si>
  <si>
    <t>км 0,0-14,500</t>
  </si>
  <si>
    <t>Смолка-Горбовичи-Красница-Гладково км 0,0-23,855</t>
  </si>
  <si>
    <t>км 0,0-0,876</t>
  </si>
  <si>
    <t xml:space="preserve"> км 0,876-1,681</t>
  </si>
  <si>
    <t>км 1,681-2,277</t>
  </si>
  <si>
    <t>Пячковичи-Белынец км 0,0-9,730</t>
  </si>
  <si>
    <t>км 0,0-4,520</t>
  </si>
  <si>
    <t>км 8,380-9,730</t>
  </si>
  <si>
    <t>Кричев-Ходосы-Курманово-Рубановка км 0,0-19,250</t>
  </si>
  <si>
    <t xml:space="preserve"> км 6,837-6,937</t>
  </si>
  <si>
    <t xml:space="preserve"> км 6,937-9,194</t>
  </si>
  <si>
    <t xml:space="preserve"> км 0,0-2,995</t>
  </si>
  <si>
    <t xml:space="preserve"> км 2,995-6,551</t>
  </si>
  <si>
    <t xml:space="preserve"> км 6,551-6,782</t>
  </si>
  <si>
    <t xml:space="preserve"> км 6,782-9,955</t>
  </si>
  <si>
    <t>км 3,745-4,346</t>
  </si>
  <si>
    <t>Сидоровка-Лютня км 0,0-3,700</t>
  </si>
  <si>
    <t>км 0,0-1,680</t>
  </si>
  <si>
    <t>км 1,680-3,700</t>
  </si>
  <si>
    <t>Кировск-Добосна км 0,0-19,383</t>
  </si>
  <si>
    <t>км 1,920-2,280</t>
  </si>
  <si>
    <t>км 0,0-2,200</t>
  </si>
  <si>
    <t>обслуживаемая по типам покрытий</t>
  </si>
  <si>
    <t>мосты</t>
  </si>
  <si>
    <t>шт</t>
  </si>
  <si>
    <t>Малая Горожа-Липень-Каменичи км 0,0-28,830</t>
  </si>
  <si>
    <t>Жорновка-Дуброва км 0,0-0,900</t>
  </si>
  <si>
    <t>Н-10327</t>
  </si>
  <si>
    <t>Н-10329</t>
  </si>
  <si>
    <t>Н-10340</t>
  </si>
  <si>
    <t>Н-10341</t>
  </si>
  <si>
    <t>Н-10342</t>
  </si>
  <si>
    <t>Н-11441</t>
  </si>
  <si>
    <t>Н-11442</t>
  </si>
  <si>
    <t>Н-11443</t>
  </si>
  <si>
    <t xml:space="preserve">Н-11444 </t>
  </si>
  <si>
    <t>Н-10201</t>
  </si>
  <si>
    <t>Н-10202</t>
  </si>
  <si>
    <t>город</t>
  </si>
  <si>
    <t>Н-10761</t>
  </si>
  <si>
    <t xml:space="preserve">Н-11433 </t>
  </si>
  <si>
    <t>Н-10916</t>
  </si>
  <si>
    <t>грав.</t>
  </si>
  <si>
    <t>Н-10228</t>
  </si>
  <si>
    <t>Н-10229</t>
  </si>
  <si>
    <t>км 9,110-9,960</t>
  </si>
  <si>
    <t>км 9,960-10,760</t>
  </si>
  <si>
    <t>км 10,760-12,400</t>
  </si>
  <si>
    <t>км 12,400-13,272</t>
  </si>
  <si>
    <t>км 5,364-6,240</t>
  </si>
  <si>
    <t>Новоселки-Южный Жабин-Подберезье км 0,0-3,400</t>
  </si>
  <si>
    <t xml:space="preserve"> 6-20</t>
  </si>
  <si>
    <t xml:space="preserve"> 8-5</t>
  </si>
  <si>
    <t>км 0,0-0,364</t>
  </si>
  <si>
    <t>км 0,364-1,108 совмещен с М-4 Минск-Могилев (съезд развязки)</t>
  </si>
  <si>
    <t>км 1,108-2,314</t>
  </si>
  <si>
    <t>км 2,314-3,062</t>
  </si>
  <si>
    <t xml:space="preserve"> км 1,500-1,569</t>
  </si>
  <si>
    <t xml:space="preserve"> км 0,0-3,351</t>
  </si>
  <si>
    <t xml:space="preserve"> км 3,351-6,007</t>
  </si>
  <si>
    <t xml:space="preserve"> км 0,0-7,742</t>
  </si>
  <si>
    <t xml:space="preserve"> км 7,742-9,308</t>
  </si>
  <si>
    <t xml:space="preserve"> км 9,308-12,300</t>
  </si>
  <si>
    <t>Низки-Полоница км 0,0-2,060</t>
  </si>
  <si>
    <t xml:space="preserve"> км 0,0-0,032</t>
  </si>
  <si>
    <t xml:space="preserve"> км 0,032-0,904</t>
  </si>
  <si>
    <t xml:space="preserve"> км 0,904-1,088</t>
  </si>
  <si>
    <t xml:space="preserve"> км 1,088-1,486</t>
  </si>
  <si>
    <t xml:space="preserve"> км 1,486-1,743</t>
  </si>
  <si>
    <t xml:space="preserve"> км 1,743-1,819</t>
  </si>
  <si>
    <t xml:space="preserve"> км 1,819-1,980</t>
  </si>
  <si>
    <r>
      <t xml:space="preserve"> км 1,980-2,060 (0,0'-0,080</t>
    </r>
    <r>
      <rPr>
        <sz val="12"/>
        <rFont val="Arial"/>
        <family val="2"/>
        <charset val="204"/>
      </rPr>
      <t>')</t>
    </r>
  </si>
  <si>
    <t>Осовец-Даленщина км 0,0-4,533</t>
  </si>
  <si>
    <t>км 2,330-3,600</t>
  </si>
  <si>
    <t>км 0,520-1,280</t>
  </si>
  <si>
    <t>км 0,000-2,000</t>
  </si>
  <si>
    <t>в титул был включ. бывш. Подъезд к пос. Зеленый Бор км 0,0-0,970</t>
  </si>
  <si>
    <t>д. Малиновка в Бобруйском р-не</t>
  </si>
  <si>
    <t>км 0,350-0,600</t>
  </si>
  <si>
    <t>км 5,926-6,002</t>
  </si>
  <si>
    <t>Подъезды от города Могилева:</t>
  </si>
  <si>
    <t>км 0,0-1,240</t>
  </si>
  <si>
    <t>км 1,240-1,540</t>
  </si>
  <si>
    <t>км 0,530-1,020</t>
  </si>
  <si>
    <t>Горы-Волынцево 1,6-7,1; Волынцево-Быстрая, 4,5 км</t>
  </si>
  <si>
    <t>Шишево-Орлы 0,0-2,2; 0,0-1,9</t>
  </si>
  <si>
    <t>км 4,160-4,300</t>
  </si>
  <si>
    <t>км 4,300-4,700</t>
  </si>
  <si>
    <t>Н-11168</t>
  </si>
  <si>
    <t>км 0,0-7,360</t>
  </si>
  <si>
    <t>Турец-Дулебня-Владимировка-Колбча км 0,0-17,850</t>
  </si>
  <si>
    <t>Вендорож-Березовка-Поддубье-Александров-Большие Белевичи 0,000-15,200</t>
  </si>
  <si>
    <t>км 7,207-8,306</t>
  </si>
  <si>
    <t>км 8,306-14,210</t>
  </si>
  <si>
    <t>км 14,210-15,200</t>
  </si>
  <si>
    <t>Староселье-Сафоново км 0,0-2,2</t>
  </si>
  <si>
    <t>подъезд к Запрудье 0,0-1,2</t>
  </si>
  <si>
    <t>подъезд к Слобода 0,0-1,8</t>
  </si>
  <si>
    <t>Каменка-Оршани км 0,0-3,0</t>
  </si>
  <si>
    <t>подъезд к Никодимово 0,0-1,5</t>
  </si>
  <si>
    <t>км 0,210-3,500</t>
  </si>
  <si>
    <t>км 0,0-1,100</t>
  </si>
  <si>
    <t>км 1,100-1,150</t>
  </si>
  <si>
    <t>Подъезды от автодороги Р-138 Чаусы-Славгород (до автомобильной дороги Р-71):</t>
  </si>
  <si>
    <t>Н-10601</t>
  </si>
  <si>
    <t>Н-10602</t>
  </si>
  <si>
    <t>км 3,76-3,925</t>
  </si>
  <si>
    <t>Н-10708</t>
  </si>
  <si>
    <t>Н-10709</t>
  </si>
  <si>
    <t>Н-10710</t>
  </si>
  <si>
    <t>Н-10711</t>
  </si>
  <si>
    <t>Н-10712</t>
  </si>
  <si>
    <t>км 10,327-13,940</t>
  </si>
  <si>
    <t>км 0,472-1,028</t>
  </si>
  <si>
    <t>Н-10762</t>
  </si>
  <si>
    <t>п-д. к Любичи</t>
  </si>
  <si>
    <t>Мстиславль-граница Российской Федерации км 0,0-10,578</t>
  </si>
  <si>
    <t>км 0,920-10,578</t>
  </si>
  <si>
    <t>Н-10837</t>
  </si>
  <si>
    <t>Н-10774</t>
  </si>
  <si>
    <t>Н-10776</t>
  </si>
  <si>
    <t>км 0,0-1,785</t>
  </si>
  <si>
    <t xml:space="preserve">км 0,430-0,600 </t>
  </si>
  <si>
    <t>30-2</t>
  </si>
  <si>
    <t>Н-10564</t>
  </si>
  <si>
    <t>Н-10565</t>
  </si>
  <si>
    <t>Н-10566</t>
  </si>
  <si>
    <t>Н-10567</t>
  </si>
  <si>
    <t>Н-10568</t>
  </si>
  <si>
    <t>Н-10569</t>
  </si>
  <si>
    <t>Н-10570</t>
  </si>
  <si>
    <t>Горки-Березуга км 0,0-2,700</t>
  </si>
  <si>
    <t>Техни-ческая катего-рия</t>
  </si>
  <si>
    <t>транз. уч-ки</t>
  </si>
  <si>
    <t>совм. уч-ки</t>
  </si>
  <si>
    <t>Ректа-Шишево-Нежково км 0,0-5,360</t>
  </si>
  <si>
    <t>км 2,200-3,900</t>
  </si>
  <si>
    <t>км 0,400-1,400</t>
  </si>
  <si>
    <t>Савичи-Коймино-Ивановка км 0,0-7,403</t>
  </si>
  <si>
    <t>км 3,116-4,062</t>
  </si>
  <si>
    <t>Кричев-Поклады км 0,0-5,859</t>
  </si>
  <si>
    <t>Залесовичи-Кричев км 0,0-3,378</t>
  </si>
  <si>
    <t>Н-10529</t>
  </si>
  <si>
    <t>Н-10530</t>
  </si>
  <si>
    <t>Н-10551</t>
  </si>
  <si>
    <t>Н-10552</t>
  </si>
  <si>
    <t>км 0,0-0,020</t>
  </si>
  <si>
    <t>км 0,750-2,700</t>
  </si>
  <si>
    <t>Трубильня-Курганье-Дубровка км 0,0-3,650</t>
  </si>
  <si>
    <t>км 0,0-1,780</t>
  </si>
  <si>
    <t>Горы-Полядки км 0,0-3,480</t>
  </si>
  <si>
    <t>Выдренка-Боровая км 0,0-4,700</t>
  </si>
  <si>
    <t>км 0,0-1,730</t>
  </si>
  <si>
    <t>км 1,730-7,550</t>
  </si>
  <si>
    <t>км 0-0,031</t>
  </si>
  <si>
    <t>км 0,031-1,387</t>
  </si>
  <si>
    <t>км 1,387-2,081</t>
  </si>
  <si>
    <t>км 0,0-10,793</t>
  </si>
  <si>
    <t>км 10,793-12,079</t>
  </si>
  <si>
    <t>км 0,0-0,360</t>
  </si>
  <si>
    <t>км 0,360-3,100</t>
  </si>
  <si>
    <t>Турья-Клясино-Гора км 0,0-4,900</t>
  </si>
  <si>
    <t>в 2004 предлагалось перевести в гравийное</t>
  </si>
  <si>
    <t>в 2004 предлагалось перевести в гравийное км 2,6-4,83</t>
  </si>
  <si>
    <t>км 0,0-1,075</t>
  </si>
  <si>
    <t>км 1,075-9,400</t>
  </si>
  <si>
    <t xml:space="preserve"> км 1,400-5,500</t>
  </si>
  <si>
    <t>км 0,800-2,090</t>
  </si>
  <si>
    <t>км 6,240-6,475</t>
  </si>
  <si>
    <t>км 6,475-6,503</t>
  </si>
  <si>
    <t>Н-11152</t>
  </si>
  <si>
    <t>Н-11153</t>
  </si>
  <si>
    <t>Н-10871</t>
  </si>
  <si>
    <t>Н-10872</t>
  </si>
  <si>
    <t>Н-10874</t>
  </si>
  <si>
    <t>км 0,0-7,578</t>
  </si>
  <si>
    <t>км 7,578-9,740</t>
  </si>
  <si>
    <t>км 9,740-11,001</t>
  </si>
  <si>
    <t>Дричин-Кремок-Великий Бор км 0,0-11,001</t>
  </si>
  <si>
    <t>км 0,0-0,605</t>
  </si>
  <si>
    <t>км 0,605-1,454</t>
  </si>
  <si>
    <t>км 0,0-3,420</t>
  </si>
  <si>
    <t>км 3,420-3,475</t>
  </si>
  <si>
    <t>Великий Бор-Песчанка км 0,0-4,990</t>
  </si>
  <si>
    <t>км 3,475-4,130</t>
  </si>
  <si>
    <t>км 4,130-4,990</t>
  </si>
  <si>
    <t>км 0,400-2,436</t>
  </si>
  <si>
    <t>Н-10368</t>
  </si>
  <si>
    <t>Н-10699</t>
  </si>
  <si>
    <t>Н-10846</t>
  </si>
  <si>
    <t>Н-10693</t>
  </si>
  <si>
    <t>Н-10694</t>
  </si>
  <si>
    <t>Н-10697</t>
  </si>
  <si>
    <t>Н-10698</t>
  </si>
  <si>
    <t>Н-10690</t>
  </si>
  <si>
    <t>Н-10700</t>
  </si>
  <si>
    <t>км 4,280-5,926</t>
  </si>
  <si>
    <t>км 3,750-4,813</t>
  </si>
  <si>
    <t>Жиличи-Борки-Копачевка км 0,0-11,010</t>
  </si>
  <si>
    <t>как микуличи-прогресс</t>
  </si>
  <si>
    <t>Н-10366</t>
  </si>
  <si>
    <t>км 3,100-4,344</t>
  </si>
  <si>
    <t>Н-10859</t>
  </si>
  <si>
    <t>Н-11589</t>
  </si>
  <si>
    <t>Н-11594</t>
  </si>
  <si>
    <t>Н-11595</t>
  </si>
  <si>
    <t>Н-10376</t>
  </si>
  <si>
    <t>Н-10167</t>
  </si>
  <si>
    <t>Н-11043</t>
  </si>
  <si>
    <t>Н-11044</t>
  </si>
  <si>
    <t>Н-11045</t>
  </si>
  <si>
    <t>Н-11046</t>
  </si>
  <si>
    <t>км 6,674-8,200</t>
  </si>
  <si>
    <t>км 8,200-11,049</t>
  </si>
  <si>
    <t>км 4,640-6,860</t>
  </si>
  <si>
    <t>км 13,148-15,075</t>
  </si>
  <si>
    <t>км 0,300-4,350</t>
  </si>
  <si>
    <t>км 10,190-14,600 как Нестерово-Лужки</t>
  </si>
  <si>
    <t>Н-10637</t>
  </si>
  <si>
    <t>Запрудье-Тубышки-Бразгучка км 0,0-7,500</t>
  </si>
  <si>
    <t>Тетерино-Дубрава км 0,0-6,300</t>
  </si>
  <si>
    <t>км 0,0-2,500</t>
  </si>
  <si>
    <t>км 0,0-1,600</t>
  </si>
  <si>
    <t>км 2,176-3,207</t>
  </si>
  <si>
    <t>км 3,207-3,243</t>
  </si>
  <si>
    <t>км 0,0-0,148</t>
  </si>
  <si>
    <t>км 9,150-11,100</t>
  </si>
  <si>
    <t>км 7,360-9,150</t>
  </si>
  <si>
    <t>Сычики-Губинщина км 0,0-2,700</t>
  </si>
  <si>
    <t>км 1,738-2,300</t>
  </si>
  <si>
    <t>км 1,200-3,280</t>
  </si>
  <si>
    <t>км 15,400-16,421</t>
  </si>
  <si>
    <t>Корытница-Пороховка км 0,0-4,690</t>
  </si>
  <si>
    <t>км 3,000-4,800</t>
  </si>
  <si>
    <t>Н-10322</t>
  </si>
  <si>
    <t>км 0,0-0,145</t>
  </si>
  <si>
    <t>Н-11026</t>
  </si>
  <si>
    <t>км 0,145-1,680</t>
  </si>
  <si>
    <t>км 1,680-1,705</t>
  </si>
  <si>
    <t xml:space="preserve"> км 0,700-2,450</t>
  </si>
  <si>
    <t>в том числе по уровням требований -</t>
  </si>
  <si>
    <t xml:space="preserve"> км 0,0-0,400</t>
  </si>
  <si>
    <t xml:space="preserve"> км 0,400-2,800</t>
  </si>
  <si>
    <t>Дрибинский</t>
  </si>
  <si>
    <t>Краснополье-Горы-граница Российской Федерации км 0,0-16,100</t>
  </si>
  <si>
    <t>км 0,0-0,850</t>
  </si>
  <si>
    <t>км 0,0-0,032</t>
  </si>
  <si>
    <t>км 0,032-0,119</t>
  </si>
  <si>
    <t>км 0,119-1,335</t>
  </si>
  <si>
    <t>км 0,0-1,855</t>
  </si>
  <si>
    <t>км 1,855-2,105</t>
  </si>
  <si>
    <t>км 2,105-3,131</t>
  </si>
  <si>
    <t>км 1,602-2,085</t>
  </si>
  <si>
    <t>км 0,0-1,180</t>
  </si>
  <si>
    <t>км 1,180-1,602</t>
  </si>
  <si>
    <t>км 2,085-2,752</t>
  </si>
  <si>
    <t>км 2,752-4,261</t>
  </si>
  <si>
    <t>км 0,0-0,039</t>
  </si>
  <si>
    <t>км 2,083-2,100 (КХ2)</t>
  </si>
  <si>
    <t xml:space="preserve"> км 0,039-1,888 (КХ1)</t>
  </si>
  <si>
    <t xml:space="preserve"> км 1,888-2,083 (НХ2 - продолжение от км 1,181)</t>
  </si>
  <si>
    <t>км 0,0-0,512</t>
  </si>
  <si>
    <t>км 0,512-0,948</t>
  </si>
  <si>
    <t>км 0,948-1,784</t>
  </si>
  <si>
    <t>км 1,299-2,049</t>
  </si>
  <si>
    <t>км 0,019-1,299</t>
  </si>
  <si>
    <t xml:space="preserve"> км 4,388-4,432</t>
  </si>
  <si>
    <t xml:space="preserve"> км 0,0-0,261</t>
  </si>
  <si>
    <t xml:space="preserve"> км 1,245-1,281</t>
  </si>
  <si>
    <t xml:space="preserve"> км 0,261-0,440</t>
  </si>
  <si>
    <t xml:space="preserve"> км 0,440-1,245</t>
  </si>
  <si>
    <t xml:space="preserve"> км 1,281-1,514</t>
  </si>
  <si>
    <t xml:space="preserve"> км 1,514-1,848</t>
  </si>
  <si>
    <t xml:space="preserve"> км 0,0-0,627</t>
  </si>
  <si>
    <t xml:space="preserve"> км 0,627-1,000</t>
  </si>
  <si>
    <t xml:space="preserve"> км 0,0-0,028</t>
  </si>
  <si>
    <t xml:space="preserve"> км 0,028-2,000</t>
  </si>
  <si>
    <t>Круглое-Дудаковичи-Ореховка км 0,0-13,180</t>
  </si>
  <si>
    <t>Н-10799</t>
  </si>
  <si>
    <t>Н-11593</t>
  </si>
  <si>
    <t>Н-11608</t>
  </si>
  <si>
    <t>Н-11609</t>
  </si>
  <si>
    <t>км 2,000-10,338</t>
  </si>
  <si>
    <t>км 10,338-17,440</t>
  </si>
  <si>
    <t>Дрибин-Темный Лес-Коптевка км 0,0-17,440</t>
  </si>
  <si>
    <t>км 0,0-15,889</t>
  </si>
  <si>
    <t>км 17,426-19,452</t>
  </si>
  <si>
    <t>км 0,0-4,876</t>
  </si>
  <si>
    <t>км 5,995-11,390</t>
  </si>
  <si>
    <t>Добрица-Осовник-Барчицы км 0,0-8,360</t>
  </si>
  <si>
    <t>км 6,600-8,360</t>
  </si>
  <si>
    <t>Бересневка-Неговля-Скриплица км 0,0-3,780</t>
  </si>
  <si>
    <t>Бобровичи-Заелица км 0,0-4,727</t>
  </si>
  <si>
    <t>Кричев-Ходосы-Курманово-Рубановка км 19,250-64,127</t>
  </si>
  <si>
    <t>км 0,0-2,700</t>
  </si>
  <si>
    <t>км 0,0-0,978</t>
  </si>
  <si>
    <t>км 0,978-2,900</t>
  </si>
  <si>
    <t>Н-11140</t>
  </si>
  <si>
    <t>Н-11141</t>
  </si>
  <si>
    <t>Левковичи-Нептун км 0,0-3,630</t>
  </si>
  <si>
    <t>Почепы-Князевка км 0,0-2,520</t>
  </si>
  <si>
    <t xml:space="preserve"> км 10,645-12,840</t>
  </si>
  <si>
    <t>Губино-Абраимовка км 0,0-2,600</t>
  </si>
  <si>
    <t>км 2,055-6,600</t>
  </si>
  <si>
    <t>км 0,0-5,607 совмещен с лесохозяйственной дорогой Климовичского лесхоза</t>
  </si>
  <si>
    <t>км 5,607-6,200</t>
  </si>
  <si>
    <t>как п-д к д. Березовка от ст.Вендриж-Белевичи-ст.Семукачи</t>
  </si>
  <si>
    <t>есть акт чернобель-калаша 90-х ??</t>
  </si>
  <si>
    <t>Несущ. способн.  дор.  одежды, тн/ось</t>
  </si>
  <si>
    <t>км 0,0-2,745</t>
  </si>
  <si>
    <t>км 2,745-5,600</t>
  </si>
  <si>
    <t>км 5,149-6,200</t>
  </si>
  <si>
    <t>км 6,200-8,400</t>
  </si>
  <si>
    <t>Подъезды от автодороги Р-91 Осиповичи-Барановичи:</t>
  </si>
  <si>
    <t>км 0,764-1,048</t>
  </si>
  <si>
    <t>км 1,048-1,215</t>
  </si>
  <si>
    <t>Подъезды от автодороги Р-74 Чериков-Краснополье-Хотимск-граница Российской Федерации (Горня):</t>
  </si>
  <si>
    <t>Октябрь-Юрьево км 0,0-2,900</t>
  </si>
  <si>
    <t>км 0,0-2,760</t>
  </si>
  <si>
    <t>Н-10020</t>
  </si>
  <si>
    <t>Н-10014</t>
  </si>
  <si>
    <t>км 0,850-0,962</t>
  </si>
  <si>
    <t>км 14,438-18,128</t>
  </si>
  <si>
    <t>Н-11211</t>
  </si>
  <si>
    <t>Н-11212</t>
  </si>
  <si>
    <t>20-33</t>
  </si>
  <si>
    <t>02.10.200</t>
  </si>
  <si>
    <t>28-21</t>
  </si>
  <si>
    <t>км 13,850-16,630</t>
  </si>
  <si>
    <t>Быхов-Хомичи-Нижняя Тощица км 0,0-55,060</t>
  </si>
  <si>
    <t>Гатная Слободка- Забока км 0,0-3,380</t>
  </si>
  <si>
    <t>км 0,0-0,880</t>
  </si>
  <si>
    <t>470-р 1992г. Задорржье-Нежково 3,2 км, 1995:Филиппово-Красулино 1,7 км, Филиппово-Нежково 2,6 км</t>
  </si>
  <si>
    <t>км 1,200-1,700</t>
  </si>
  <si>
    <t>Н-10177</t>
  </si>
  <si>
    <t>Заполье-Лютино км 0,0-9,240</t>
  </si>
  <si>
    <t>км 3,987-7,342</t>
  </si>
  <si>
    <t>км 7,342-7,366</t>
  </si>
  <si>
    <t>км 0,0-0,052</t>
  </si>
  <si>
    <t>км 0,052-3,987</t>
  </si>
  <si>
    <t>Елизово-Шейпичи км 0,0-3,456</t>
  </si>
  <si>
    <t>км 9,184-10,840</t>
  </si>
  <si>
    <t xml:space="preserve">Жуковка </t>
  </si>
  <si>
    <t>км 10,460-13,100</t>
  </si>
  <si>
    <t>км 1,355-3,250</t>
  </si>
  <si>
    <t>Преображенск-Голобурды км 0,0-7,947</t>
  </si>
  <si>
    <t>км 0,000-4,686</t>
  </si>
  <si>
    <t>км 4,686-6,418</t>
  </si>
  <si>
    <t>км 6,418-7,738</t>
  </si>
  <si>
    <t xml:space="preserve"> км 0,0-1,400</t>
  </si>
  <si>
    <t>Н-10039</t>
  </si>
  <si>
    <t>по терр. Минской обл.</t>
  </si>
  <si>
    <t>км 0,0-0,015</t>
  </si>
  <si>
    <t>км 0,015-1,842</t>
  </si>
  <si>
    <t>км 18,662-19,950</t>
  </si>
  <si>
    <t>км 19,950-21,622</t>
  </si>
  <si>
    <t>км 21,622-21,861</t>
  </si>
  <si>
    <t>км 23,209-28,671</t>
  </si>
  <si>
    <t>км 28,671-45,263</t>
  </si>
  <si>
    <t>км 0,0-1,303</t>
  </si>
  <si>
    <t>км 1,303-5,009</t>
  </si>
  <si>
    <t>км 5,009-6,972</t>
  </si>
  <si>
    <t>км 6,972-8,016</t>
  </si>
  <si>
    <t>км 8,016-9,280</t>
  </si>
  <si>
    <t>км 9,280-11,738</t>
  </si>
  <si>
    <t>км 0,0-1,200</t>
  </si>
  <si>
    <t>км 6,900-9,700</t>
  </si>
  <si>
    <t>км 9,700-12,600</t>
  </si>
  <si>
    <t>км 12,600-14,300</t>
  </si>
  <si>
    <t>Н-10989</t>
  </si>
  <si>
    <t>Н-10095</t>
  </si>
  <si>
    <t>км 2,000-3,600</t>
  </si>
  <si>
    <t>км 3,600-4,400</t>
  </si>
  <si>
    <t>км 1,800-2,000</t>
  </si>
  <si>
    <t>км 0,0-1,800</t>
  </si>
  <si>
    <t>км 1,000-1,400</t>
  </si>
  <si>
    <t>Н-11137</t>
  </si>
  <si>
    <t>Н-11138</t>
  </si>
  <si>
    <t>Н-11139</t>
  </si>
  <si>
    <t>км 3,270-8,000</t>
  </si>
  <si>
    <t>км 8,000-11,430</t>
  </si>
  <si>
    <t>Рубеж-Хралищево км 0,0-4,790</t>
  </si>
  <si>
    <t>км 1,701-1,760</t>
  </si>
  <si>
    <t>км 0,031-1,701</t>
  </si>
  <si>
    <t>как жорновка-б.грава</t>
  </si>
  <si>
    <t>Вишни</t>
  </si>
  <si>
    <t>ул</t>
  </si>
  <si>
    <t>км 5,600-9,660</t>
  </si>
  <si>
    <t>км 0,210-1,500</t>
  </si>
  <si>
    <t>км 0,0-6,450</t>
  </si>
  <si>
    <t>км 6,450-8,880</t>
  </si>
  <si>
    <t>км 9,955-10,645</t>
  </si>
  <si>
    <t>км 12,840-13,263</t>
  </si>
  <si>
    <t>км 0,900-5,700</t>
  </si>
  <si>
    <t>км 0,0-0,530</t>
  </si>
  <si>
    <t>Олешковичи-Белинка км 0,0-1,700</t>
  </si>
  <si>
    <t>км 0,0-0,964</t>
  </si>
  <si>
    <t>км 15,491-15,503</t>
  </si>
  <si>
    <t>км 6,116-6,342</t>
  </si>
  <si>
    <t>км 0,964-6,116</t>
  </si>
  <si>
    <t>км 6,342-9,361</t>
  </si>
  <si>
    <t>км 9,361-10,500</t>
  </si>
  <si>
    <t>Ковгары-Краи-Концы км 0,0-15,503</t>
  </si>
  <si>
    <t>км 12,500-15,491</t>
  </si>
  <si>
    <t>км 11,500-12,500</t>
  </si>
  <si>
    <t>км 10,500-11,500</t>
  </si>
  <si>
    <t>км 0,0-0,009</t>
  </si>
  <si>
    <t>км 0,009-0,755</t>
  </si>
  <si>
    <t>км 0,032-1,325</t>
  </si>
  <si>
    <t>км 0,0-0,412</t>
  </si>
  <si>
    <t>км 0,412-0,543</t>
  </si>
  <si>
    <t>км 0,600-1,800</t>
  </si>
  <si>
    <t>км 1,800-1,991</t>
  </si>
  <si>
    <t>км 0,0-3,357</t>
  </si>
  <si>
    <t>км 3,357-5,005</t>
  </si>
  <si>
    <t>км 13,718-13,739</t>
  </si>
  <si>
    <t>км 0,0-2,737</t>
  </si>
  <si>
    <t>км 2,737-6,841</t>
  </si>
  <si>
    <t>км 7,031-14,395</t>
  </si>
  <si>
    <t xml:space="preserve"> Думановщина-Ясный Лес-Слобода км 0,0-14,395</t>
  </si>
  <si>
    <t>км 0,0-4,695</t>
  </si>
  <si>
    <t>км 4,695-7,936</t>
  </si>
  <si>
    <t>км 5,891-6,514</t>
  </si>
  <si>
    <t>км 6,514-7,073</t>
  </si>
  <si>
    <t>км 7,073-7,925</t>
  </si>
  <si>
    <t>км 0,0-1,045</t>
  </si>
  <si>
    <t>км 1,045-4,674</t>
  </si>
  <si>
    <t>км 0,0-0,096</t>
  </si>
  <si>
    <t>км 0,096-3,957</t>
  </si>
  <si>
    <t>км 3,957-8,700</t>
  </si>
  <si>
    <t>км 8,700-9,674</t>
  </si>
  <si>
    <t>км 9,674-9,689</t>
  </si>
  <si>
    <t>км 0,0-2,673</t>
  </si>
  <si>
    <t>км 2,673-3,500</t>
  </si>
  <si>
    <t>км 3,500-3,667</t>
  </si>
  <si>
    <t>км 1,505-2,216</t>
  </si>
  <si>
    <t>км 0,0-0,037</t>
  </si>
  <si>
    <t>км 0,037-1,505</t>
  </si>
  <si>
    <t>км 0,0-1,068</t>
  </si>
  <si>
    <t>км 1,068-3,811</t>
  </si>
  <si>
    <t>км 3,811-4,952</t>
  </si>
  <si>
    <t>км 0,0-4,123</t>
  </si>
  <si>
    <t>км 4,123-4,480</t>
  </si>
  <si>
    <t>км 1,000-2,748</t>
  </si>
  <si>
    <t>км 3,504-3,570</t>
  </si>
  <si>
    <t>км 2,748-3,504</t>
  </si>
  <si>
    <t>км 0,0-1,645</t>
  </si>
  <si>
    <t>км 1,645-4,132</t>
  </si>
  <si>
    <t>км 3,839-4,308</t>
  </si>
  <si>
    <t>км 1,760-3,839</t>
  </si>
  <si>
    <t>км 0,500-1,500</t>
  </si>
  <si>
    <t>км 1,500-3,588</t>
  </si>
  <si>
    <t>км 5,000-5,110</t>
  </si>
  <si>
    <t>км 0,012-5,000</t>
  </si>
  <si>
    <t>км 0,0-0,012</t>
  </si>
  <si>
    <t>км 0,0-2,538</t>
  </si>
  <si>
    <t>км 2,538-2,553</t>
  </si>
  <si>
    <t>км 0,0-0,077</t>
  </si>
  <si>
    <t>км 0,077-4,603</t>
  </si>
  <si>
    <t>км 4,603-4,809</t>
  </si>
  <si>
    <t>км 0,0-0,469</t>
  </si>
  <si>
    <t>км 1,054-1,887</t>
  </si>
  <si>
    <t>км 1,887-2,154</t>
  </si>
  <si>
    <t>км 2,154-3,269</t>
  </si>
  <si>
    <t>км 0,500-0,926</t>
  </si>
  <si>
    <t>км 1,200-1,805</t>
  </si>
  <si>
    <t>км 1,500-8,845</t>
  </si>
  <si>
    <t>Могилев-Ямница км 0,0-9,850</t>
  </si>
  <si>
    <t>км 9,471-9,850</t>
  </si>
  <si>
    <t>км 1,587-1,896</t>
  </si>
  <si>
    <t>км 4,916-6,456</t>
  </si>
  <si>
    <t>км 0,800-1,453</t>
  </si>
  <si>
    <t>км 1,453-2,250</t>
  </si>
  <si>
    <t>км 1,900-3,377</t>
  </si>
  <si>
    <t>км 2,289-3,210</t>
  </si>
  <si>
    <t>км 3,210-3,686</t>
  </si>
  <si>
    <t>км 3,686-4,385</t>
  </si>
  <si>
    <t>км 4,385-6,260</t>
  </si>
  <si>
    <t>км 1,800-3,270</t>
  </si>
  <si>
    <t>Софийск-Акулинцы км 0,0-3,270</t>
  </si>
  <si>
    <t>км 0,0-5,285</t>
  </si>
  <si>
    <t>км 5,285-7,878</t>
  </si>
  <si>
    <t>км 1,323-2,351</t>
  </si>
  <si>
    <t>км 2,351-3,377</t>
  </si>
  <si>
    <t>км 0,0-0,027</t>
  </si>
  <si>
    <t>км 0,027-6,527</t>
  </si>
  <si>
    <t>км 6,527-10,878</t>
  </si>
  <si>
    <t>км 1,900-6,500</t>
  </si>
  <si>
    <t>км 6,500-6,746</t>
  </si>
  <si>
    <t xml:space="preserve"> км 0,0-3,526</t>
  </si>
  <si>
    <t xml:space="preserve"> км 3,526-12,394</t>
  </si>
  <si>
    <t xml:space="preserve"> км 13,071-14,074</t>
  </si>
  <si>
    <t xml:space="preserve"> км 12,394-12,677</t>
  </si>
  <si>
    <t xml:space="preserve"> км 12,677-13,071</t>
  </si>
  <si>
    <t>Сычики-Костюковка км 0,0-2,189</t>
  </si>
  <si>
    <t>ул гр км 0,0-1,2</t>
  </si>
  <si>
    <t>Жорновка-Лочин км 0,0-11,645</t>
  </si>
  <si>
    <t>как подъезд к Ермаки, выделено в отд. наим. В 2018</t>
  </si>
  <si>
    <t>км 0,0-1,339</t>
  </si>
  <si>
    <t>км 1,339-1,864</t>
  </si>
  <si>
    <t>км 1,864-1,972</t>
  </si>
  <si>
    <t>км 2,900-3,916</t>
  </si>
  <si>
    <t>км 5,139-8,000</t>
  </si>
  <si>
    <t>км 8,000-11,645</t>
  </si>
  <si>
    <t>км 0,0-1,172</t>
  </si>
  <si>
    <t>км 1,172-1,820</t>
  </si>
  <si>
    <t>км 2,669-5,770</t>
  </si>
  <si>
    <t>км 5,770-7,946</t>
  </si>
  <si>
    <t>км 4,274-4,393</t>
  </si>
  <si>
    <t>км 4,393-5,488</t>
  </si>
  <si>
    <t>км 4,939-5,161</t>
  </si>
  <si>
    <t>км 5,161-6,360</t>
  </si>
  <si>
    <t>км 0,0-3,170</t>
  </si>
  <si>
    <t>км 3,170-14,438</t>
  </si>
  <si>
    <t>км 0,0-0,927</t>
  </si>
  <si>
    <t>км 0,927-0,981 совмещен с Н-10089 Думановщина-Ясный Лес Слобода</t>
  </si>
  <si>
    <t>км 0,981-1,002</t>
  </si>
  <si>
    <t>км 1,002-1,859</t>
  </si>
  <si>
    <t>км 2,719-3,276</t>
  </si>
  <si>
    <t>км 0,0-0,325</t>
  </si>
  <si>
    <t>км 0,325-2,719</t>
  </si>
  <si>
    <t>км 25,817-29,646</t>
  </si>
  <si>
    <t>км 29,646-32,726</t>
  </si>
  <si>
    <t>км 32,726-37,989</t>
  </si>
  <si>
    <t>км 37,989-41,526</t>
  </si>
  <si>
    <t>км 41,526-42,477</t>
  </si>
  <si>
    <t>Могилев-Махово-Грудиновка-Годылево км 25,817-42,477</t>
  </si>
  <si>
    <t>км 0,0-0,493</t>
  </si>
  <si>
    <t>км 0,493-2,300</t>
  </si>
  <si>
    <t>Горки-Каменка-Ленино км 0,0-32,166</t>
  </si>
  <si>
    <t>км 27,700-32,166</t>
  </si>
  <si>
    <t>км 9,248-10,224 совмещен с Н-10303 Овсянка-Поленка-Маслаки</t>
  </si>
  <si>
    <t>км 4,000-9,248</t>
  </si>
  <si>
    <t>км 10,224-17,450</t>
  </si>
  <si>
    <t>Овсянка-Поленка-Маслаки км 0,0-18,645</t>
  </si>
  <si>
    <t>км 28,331-30,060</t>
  </si>
  <si>
    <t>км 4,884-16,430</t>
  </si>
  <si>
    <t>км 16,705-28,331</t>
  </si>
  <si>
    <t>км 8,276-8,827</t>
  </si>
  <si>
    <t>км 8,827-9,452</t>
  </si>
  <si>
    <t>км 1,614-3,410</t>
  </si>
  <si>
    <t>км 0,0-1,507</t>
  </si>
  <si>
    <t>км 1,507-2,981</t>
  </si>
  <si>
    <t>км 2,981-4,790</t>
  </si>
  <si>
    <t>км 0,023-2,601</t>
  </si>
  <si>
    <t>км 0,0-0,034</t>
  </si>
  <si>
    <t>км 0,034-1,846</t>
  </si>
  <si>
    <t>км 1,846-2,265</t>
  </si>
  <si>
    <t>Андеколово-Луки-Староселье км 0,0-10,043</t>
  </si>
  <si>
    <t>км 0,0-8,861</t>
  </si>
  <si>
    <t>км 8,861-9,273</t>
  </si>
  <si>
    <t>км 9,273-10,043</t>
  </si>
  <si>
    <t>км 0,0-1,419</t>
  </si>
  <si>
    <t>км 0,0-0,017</t>
  </si>
  <si>
    <t>км 0,017-2,020</t>
  </si>
  <si>
    <t>Задорожье-Филиппово-Красулино км 0,0-8,765</t>
  </si>
  <si>
    <t>км 0,040-3,225</t>
  </si>
  <si>
    <t>км 3,225-3,387</t>
  </si>
  <si>
    <t>км 3,387-8,713</t>
  </si>
  <si>
    <t>км 8,713-8,765</t>
  </si>
  <si>
    <t>км 0,0-0,261 совмещен с Н-3104 Овсянка-Застенки Оршанского района Витебской области</t>
  </si>
  <si>
    <t>км 0,261-0,455</t>
  </si>
  <si>
    <t>км 0,455-0,742</t>
  </si>
  <si>
    <t>Комаровка-Полоница км 0,0-3,800</t>
  </si>
  <si>
    <t xml:space="preserve"> км 0,0-3,300</t>
  </si>
  <si>
    <t xml:space="preserve"> км 4,500-6,500</t>
  </si>
  <si>
    <t>км 6,500-7,000 совмещен с Н-10827 Кричев-Ходосы-Курманово-Рубановка</t>
  </si>
  <si>
    <t xml:space="preserve"> км 1,200-2,800</t>
  </si>
  <si>
    <t>км 0,0-7,264</t>
  </si>
  <si>
    <t>км 7,264-9,175</t>
  </si>
  <si>
    <t>Ректа-Шиворовка-Сеньково км 0,0-8,221</t>
  </si>
  <si>
    <t>Стан-Комаровичи-Осиновка км 0,0-13,095</t>
  </si>
  <si>
    <t>км 7,600-13,095</t>
  </si>
  <si>
    <t>Добрая-Мошково км 0,0-9,530</t>
  </si>
  <si>
    <t>км 0,0-4,862</t>
  </si>
  <si>
    <t>км 4,862-9,530</t>
  </si>
  <si>
    <t>км 0,0-1,225</t>
  </si>
  <si>
    <t>км 1,225-6,296</t>
  </si>
  <si>
    <t>км 6,296-6,322</t>
  </si>
  <si>
    <t>км 0,350-1,300</t>
  </si>
  <si>
    <t>км 0,032-3,872</t>
  </si>
  <si>
    <t>Мосток-Павловка-Колесище км 0,0-8,610</t>
  </si>
  <si>
    <t>км 1,110-1,174</t>
  </si>
  <si>
    <t>км 1,174-3,800</t>
  </si>
  <si>
    <t>км 6,800-8,610</t>
  </si>
  <si>
    <t>км 6,500-6,800</t>
  </si>
  <si>
    <t>км 1,495-1,531</t>
  </si>
  <si>
    <t>км 0,0-0,443</t>
  </si>
  <si>
    <t>км 0,443-1,495</t>
  </si>
  <si>
    <t>Макаровка-Красулино-Черничный км 0,0-19,572</t>
  </si>
  <si>
    <t>км 1,200-1,940</t>
  </si>
  <si>
    <t>км 0,0-2,242</t>
  </si>
  <si>
    <t>км 2,242-2,300</t>
  </si>
  <si>
    <t>км 2,300-2,541</t>
  </si>
  <si>
    <t>км 0,328-0,518</t>
  </si>
  <si>
    <t>км 0,0-0,328</t>
  </si>
  <si>
    <t>км 0,800-4,000</t>
  </si>
  <si>
    <t>км 0,600-1,430</t>
  </si>
  <si>
    <t>км 0,850-7,900</t>
  </si>
  <si>
    <t>км 7,900-19,572</t>
  </si>
  <si>
    <t>км 0,0-8,487</t>
  </si>
  <si>
    <t>км 8,487-13,234</t>
  </si>
  <si>
    <t>км 8,633-10,516</t>
  </si>
  <si>
    <t>км 10,516-11,036</t>
  </si>
  <si>
    <t>км 11,036-12,235</t>
  </si>
  <si>
    <t>км 18,452-18,912</t>
  </si>
  <si>
    <t>км 18,912-19,200</t>
  </si>
  <si>
    <t>км 19,200-19,670</t>
  </si>
  <si>
    <t>км 0,0-11,026</t>
  </si>
  <si>
    <t>км 11,026-12,500</t>
  </si>
  <si>
    <t>км 12,500-13,208</t>
  </si>
  <si>
    <t>км 13,208-13,224</t>
  </si>
  <si>
    <t>км 10,484-15,685</t>
  </si>
  <si>
    <t>км 15,685-15,715</t>
  </si>
  <si>
    <t>км 15,715-17,917 совмещен с Р-71 Могилев-Славгород</t>
  </si>
  <si>
    <t>км 0,0-2,366</t>
  </si>
  <si>
    <t>км 2,366-3,984</t>
  </si>
  <si>
    <t>км 3,984-5,994</t>
  </si>
  <si>
    <t>км 5,994-10,484</t>
  </si>
  <si>
    <t>км 25,003-25,055</t>
  </si>
  <si>
    <t>км 17,917-17,959</t>
  </si>
  <si>
    <t>км 17,959-25,003</t>
  </si>
  <si>
    <t>км 0,0-2,005</t>
  </si>
  <si>
    <t>км 2,005-3,408</t>
  </si>
  <si>
    <t>км 0,0-1,1,137</t>
  </si>
  <si>
    <t>км 8,676-8,695</t>
  </si>
  <si>
    <t>км 7,059-8,005</t>
  </si>
  <si>
    <t>км 8,005-8,676</t>
  </si>
  <si>
    <t>км 1,137-2,967</t>
  </si>
  <si>
    <t>км 2,967-6,690</t>
  </si>
  <si>
    <t>км 6,690-7,059</t>
  </si>
  <si>
    <t>км 0,0-2,410</t>
  </si>
  <si>
    <t>км 2,410-6,145</t>
  </si>
  <si>
    <t>км 1,800-3,330</t>
  </si>
  <si>
    <t>участок по территории РФ</t>
  </si>
  <si>
    <t>участок км 0,0-1,45 по территории РФ</t>
  </si>
  <si>
    <t>км 3,000-4,916</t>
  </si>
  <si>
    <t>км 0,570-1,000</t>
  </si>
  <si>
    <t>км 0,0-1,133</t>
  </si>
  <si>
    <t>км 1,133-1,606</t>
  </si>
  <si>
    <t>км 1,606-5,338</t>
  </si>
  <si>
    <t>км 5,338-9,599</t>
  </si>
  <si>
    <t>км 9,599-9,620</t>
  </si>
  <si>
    <t>Малый Осовец-Волковичи км 0,0-9,620</t>
  </si>
  <si>
    <t>км 0,0-0,256 транзит по городу Могилев обслуживается филиалом КУП "Могилевоблдорстрой" - ДРСУ № 128</t>
  </si>
  <si>
    <t>км 0,0-1,129</t>
  </si>
  <si>
    <t>км 1,129-2,262</t>
  </si>
  <si>
    <t>км 3,815-21,887</t>
  </si>
  <si>
    <t>км 5,100-5,728</t>
  </si>
  <si>
    <t>км 0,300-0,703</t>
  </si>
  <si>
    <t>км 0,0-0,904</t>
  </si>
  <si>
    <t xml:space="preserve"> Купелы-Николаевка-Половинный Лог км 0,0-21,214</t>
  </si>
  <si>
    <t>км 0,904-2,991</t>
  </si>
  <si>
    <t>км 2,991-10,777</t>
  </si>
  <si>
    <t>км 11,213-12,314</t>
  </si>
  <si>
    <t>км 14,365-16,297</t>
  </si>
  <si>
    <t>км 16,297-19,643</t>
  </si>
  <si>
    <t>км 19,643-21,214</t>
  </si>
  <si>
    <t>Н-12000</t>
  </si>
  <si>
    <t>Н-12001</t>
  </si>
  <si>
    <t>Н-12002</t>
  </si>
  <si>
    <t>Н-12003</t>
  </si>
  <si>
    <t>Н-12004</t>
  </si>
  <si>
    <t>Н-12005</t>
  </si>
  <si>
    <t>Н-12006</t>
  </si>
  <si>
    <t>Н-12007</t>
  </si>
  <si>
    <t>Н-12008</t>
  </si>
  <si>
    <t>Н-12009</t>
  </si>
  <si>
    <t>Н-12010</t>
  </si>
  <si>
    <t>Н-12011</t>
  </si>
  <si>
    <t>Н-12012</t>
  </si>
  <si>
    <t>Н-12013</t>
  </si>
  <si>
    <t>Н-12014</t>
  </si>
  <si>
    <t>Н-12015</t>
  </si>
  <si>
    <t>Н-12016</t>
  </si>
  <si>
    <t>Н-12017</t>
  </si>
  <si>
    <t>Н-12018</t>
  </si>
  <si>
    <t>Н-12019</t>
  </si>
  <si>
    <t>Н-12020</t>
  </si>
  <si>
    <t>Н-12021</t>
  </si>
  <si>
    <t>Н-12022</t>
  </si>
  <si>
    <t>Н-12023</t>
  </si>
  <si>
    <t>Н-12024</t>
  </si>
  <si>
    <t>Н-12025</t>
  </si>
  <si>
    <t>Н-12026</t>
  </si>
  <si>
    <t>Н-12027</t>
  </si>
  <si>
    <t>Н-12028</t>
  </si>
  <si>
    <t>Н-12029</t>
  </si>
  <si>
    <t>Н-12030</t>
  </si>
  <si>
    <t>Н-12031</t>
  </si>
  <si>
    <t>Н-12032</t>
  </si>
  <si>
    <t>Н-12033</t>
  </si>
  <si>
    <t>Н-12034</t>
  </si>
  <si>
    <t>Н-12035</t>
  </si>
  <si>
    <t>Н-12036</t>
  </si>
  <si>
    <t>Н-12037</t>
  </si>
  <si>
    <t>Н-12038</t>
  </si>
  <si>
    <t>Н-12039</t>
  </si>
  <si>
    <t>Н-12040</t>
  </si>
  <si>
    <t>Н-12041</t>
  </si>
  <si>
    <t>Н-12042</t>
  </si>
  <si>
    <t>Н-12043</t>
  </si>
  <si>
    <t>Н-12044</t>
  </si>
  <si>
    <t>Н-12045</t>
  </si>
  <si>
    <t>Н-12046</t>
  </si>
  <si>
    <t>Н-12047</t>
  </si>
  <si>
    <t>Н-12048</t>
  </si>
  <si>
    <t>Н-12049</t>
  </si>
  <si>
    <t>Н-12050</t>
  </si>
  <si>
    <t>Н-12051</t>
  </si>
  <si>
    <t>Н-12052</t>
  </si>
  <si>
    <t>Н-12053</t>
  </si>
  <si>
    <t>Н-12054</t>
  </si>
  <si>
    <t>Н-12055</t>
  </si>
  <si>
    <t>Н-12056</t>
  </si>
  <si>
    <t>Н-12057</t>
  </si>
  <si>
    <t>Н-12058</t>
  </si>
  <si>
    <t>Н-12059</t>
  </si>
  <si>
    <t>Н-12060</t>
  </si>
  <si>
    <t>Н-12061</t>
  </si>
  <si>
    <t>Н-12062</t>
  </si>
  <si>
    <t>Н-12063</t>
  </si>
  <si>
    <t>Н-12064</t>
  </si>
  <si>
    <t>Н-12065</t>
  </si>
  <si>
    <t>Н-12066</t>
  </si>
  <si>
    <t>Н-12067</t>
  </si>
  <si>
    <t>Н-12068</t>
  </si>
  <si>
    <t>Н-12069</t>
  </si>
  <si>
    <t>Н-12070</t>
  </si>
  <si>
    <t>Н-12071</t>
  </si>
  <si>
    <t>Н-12072</t>
  </si>
  <si>
    <t>Н-12073</t>
  </si>
  <si>
    <t>Н-12074</t>
  </si>
  <si>
    <t>Н-12075</t>
  </si>
  <si>
    <t>Н-12076</t>
  </si>
  <si>
    <t>Н-12077</t>
  </si>
  <si>
    <t>Н-12078</t>
  </si>
  <si>
    <t>Н-12079</t>
  </si>
  <si>
    <t>Н-12080</t>
  </si>
  <si>
    <t>Н-12081</t>
  </si>
  <si>
    <t>Н-12082</t>
  </si>
  <si>
    <t>Н-12083</t>
  </si>
  <si>
    <t>Н-12084</t>
  </si>
  <si>
    <t>Н-12085</t>
  </si>
  <si>
    <t>Н-12086</t>
  </si>
  <si>
    <t>Н-12087</t>
  </si>
  <si>
    <t>Н-12088</t>
  </si>
  <si>
    <t>Н-12089</t>
  </si>
  <si>
    <t>Н-12090</t>
  </si>
  <si>
    <t>Н-12091</t>
  </si>
  <si>
    <t>Н-12092</t>
  </si>
  <si>
    <t>Н-12093</t>
  </si>
  <si>
    <t>Н-12094</t>
  </si>
  <si>
    <t>Н-12095</t>
  </si>
  <si>
    <t>Н-12096</t>
  </si>
  <si>
    <t>Н-12097</t>
  </si>
  <si>
    <t>Н-12098</t>
  </si>
  <si>
    <t>Н-12099</t>
  </si>
  <si>
    <t>Н-12100</t>
  </si>
  <si>
    <t>Н-12101</t>
  </si>
  <si>
    <t>Н-12102</t>
  </si>
  <si>
    <t>Н-12103</t>
  </si>
  <si>
    <t>Н-12104</t>
  </si>
  <si>
    <t>Н-12105</t>
  </si>
  <si>
    <t>Н-12106</t>
  </si>
  <si>
    <t>Н-12107</t>
  </si>
  <si>
    <t>Н-12108</t>
  </si>
  <si>
    <t>Н-12109</t>
  </si>
  <si>
    <t>Н-12110</t>
  </si>
  <si>
    <t>Н-12111</t>
  </si>
  <si>
    <t>Н-12112</t>
  </si>
  <si>
    <t>Н-12113</t>
  </si>
  <si>
    <t>Н-12114</t>
  </si>
  <si>
    <t>Н-12115</t>
  </si>
  <si>
    <t>Н-12116</t>
  </si>
  <si>
    <t>Н-12117</t>
  </si>
  <si>
    <t>Н-12118</t>
  </si>
  <si>
    <t>Н-12119</t>
  </si>
  <si>
    <t>Н-12120</t>
  </si>
  <si>
    <t>Н-12121</t>
  </si>
  <si>
    <t>Н-12122</t>
  </si>
  <si>
    <t>Н-12123</t>
  </si>
  <si>
    <t>Н-12124</t>
  </si>
  <si>
    <t>Н-12125</t>
  </si>
  <si>
    <t>Н-12126</t>
  </si>
  <si>
    <t>Н-12127</t>
  </si>
  <si>
    <t>Н-12128</t>
  </si>
  <si>
    <t>Н-12135</t>
  </si>
  <si>
    <t>Н-12136</t>
  </si>
  <si>
    <t>Н-12137</t>
  </si>
  <si>
    <t>Н-12138</t>
  </si>
  <si>
    <t>Н-12139</t>
  </si>
  <si>
    <t>Н-12140</t>
  </si>
  <si>
    <t>Н-12141</t>
  </si>
  <si>
    <t>Н-12142</t>
  </si>
  <si>
    <t>Н-12143</t>
  </si>
  <si>
    <t>Н-12144</t>
  </si>
  <si>
    <t>Н-12145</t>
  </si>
  <si>
    <t>Н-12146</t>
  </si>
  <si>
    <t>Н-12147</t>
  </si>
  <si>
    <t>Н-12148</t>
  </si>
  <si>
    <t>Н-12149</t>
  </si>
  <si>
    <t>Н-12150</t>
  </si>
  <si>
    <t>Н-12151</t>
  </si>
  <si>
    <t>Н-12152</t>
  </si>
  <si>
    <t>Н-12153</t>
  </si>
  <si>
    <t>Н-12154</t>
  </si>
  <si>
    <t>Н-12155</t>
  </si>
  <si>
    <t>Н-12156</t>
  </si>
  <si>
    <t>Н-12157</t>
  </si>
  <si>
    <t>Н-12158</t>
  </si>
  <si>
    <t>Н-12159</t>
  </si>
  <si>
    <t>Н-12160</t>
  </si>
  <si>
    <t>Н-12161</t>
  </si>
  <si>
    <t>Н-12162</t>
  </si>
  <si>
    <t>Н-12163</t>
  </si>
  <si>
    <t>Н-12164</t>
  </si>
  <si>
    <t>Н-12165</t>
  </si>
  <si>
    <t>Н-12166</t>
  </si>
  <si>
    <t>Н-12167</t>
  </si>
  <si>
    <t>Н-12168</t>
  </si>
  <si>
    <t>Н-12169</t>
  </si>
  <si>
    <t>Н-12170</t>
  </si>
  <si>
    <t>Н-12171</t>
  </si>
  <si>
    <t>Н-12172</t>
  </si>
  <si>
    <t>Н-12180</t>
  </si>
  <si>
    <t>Н-12181</t>
  </si>
  <si>
    <t>Н-12182</t>
  </si>
  <si>
    <t>Н-12183</t>
  </si>
  <si>
    <t>Н-12184</t>
  </si>
  <si>
    <t>Н-12185</t>
  </si>
  <si>
    <t>Н-12186</t>
  </si>
  <si>
    <t>Н-12187</t>
  </si>
  <si>
    <t>Н-12188</t>
  </si>
  <si>
    <t>Н-12189</t>
  </si>
  <si>
    <t>Н-12190</t>
  </si>
  <si>
    <t>Н-12191</t>
  </si>
  <si>
    <t>Н-12192</t>
  </si>
  <si>
    <t>Н-12193</t>
  </si>
  <si>
    <t>Н-12194</t>
  </si>
  <si>
    <t>Н-12195</t>
  </si>
  <si>
    <t>Н-12196</t>
  </si>
  <si>
    <t>Н-12197</t>
  </si>
  <si>
    <t>Н-12198</t>
  </si>
  <si>
    <t>Н-12199</t>
  </si>
  <si>
    <t>Н-12200</t>
  </si>
  <si>
    <t>Н-12201</t>
  </si>
  <si>
    <t>Н-12202</t>
  </si>
  <si>
    <t>Н-12203</t>
  </si>
  <si>
    <t>Н-12204</t>
  </si>
  <si>
    <t>Н-12205</t>
  </si>
  <si>
    <t>Н-12206</t>
  </si>
  <si>
    <t>Н-12207</t>
  </si>
  <si>
    <t>Н-12208</t>
  </si>
  <si>
    <t>Н-12209</t>
  </si>
  <si>
    <t>Н-12210</t>
  </si>
  <si>
    <t>Н-12211</t>
  </si>
  <si>
    <t>Н-12212</t>
  </si>
  <si>
    <t>Н-12213</t>
  </si>
  <si>
    <t>Н-12214</t>
  </si>
  <si>
    <t>Н-12215</t>
  </si>
  <si>
    <t>Н-12216</t>
  </si>
  <si>
    <t>Н-12217</t>
  </si>
  <si>
    <t>Н-12218</t>
  </si>
  <si>
    <t>Н-12219</t>
  </si>
  <si>
    <t>Н-12220</t>
  </si>
  <si>
    <t>Н-12221</t>
  </si>
  <si>
    <t>Н-12222</t>
  </si>
  <si>
    <t>Н-12223</t>
  </si>
  <si>
    <t>Н-12224</t>
  </si>
  <si>
    <t>Н-12225</t>
  </si>
  <si>
    <t>Н-12226</t>
  </si>
  <si>
    <t>Н-12227</t>
  </si>
  <si>
    <t>Н-12228</t>
  </si>
  <si>
    <t>Н-12229</t>
  </si>
  <si>
    <t>Н-12230</t>
  </si>
  <si>
    <t>Н-12231</t>
  </si>
  <si>
    <t>Н-12232</t>
  </si>
  <si>
    <t>Н-12233</t>
  </si>
  <si>
    <t>Н-12234</t>
  </si>
  <si>
    <t>Н-12235</t>
  </si>
  <si>
    <t>Н-12236</t>
  </si>
  <si>
    <t>Н-12237</t>
  </si>
  <si>
    <t>Н-12238</t>
  </si>
  <si>
    <t>Н-12239</t>
  </si>
  <si>
    <t>Н-12240</t>
  </si>
  <si>
    <t>Н-12241</t>
  </si>
  <si>
    <t>Н-12242</t>
  </si>
  <si>
    <t>Н-12243</t>
  </si>
  <si>
    <t>Н-12244</t>
  </si>
  <si>
    <t>Н-12245</t>
  </si>
  <si>
    <t>Н-12246</t>
  </si>
  <si>
    <t>Н-12247</t>
  </si>
  <si>
    <t>Н-12248</t>
  </si>
  <si>
    <t>Н-12249</t>
  </si>
  <si>
    <t>Н-12250</t>
  </si>
  <si>
    <t>Н-12251</t>
  </si>
  <si>
    <t>Н-12253</t>
  </si>
  <si>
    <t>Н-12254</t>
  </si>
  <si>
    <t>Н-12255</t>
  </si>
  <si>
    <t>Н-12256</t>
  </si>
  <si>
    <t>Н-12257</t>
  </si>
  <si>
    <t>Н-12258</t>
  </si>
  <si>
    <t>Н-12259</t>
  </si>
  <si>
    <t>Н-12260</t>
  </si>
  <si>
    <t>Н-12261</t>
  </si>
  <si>
    <t>Н-12262</t>
  </si>
  <si>
    <t>Н-12263</t>
  </si>
  <si>
    <t>Н-12264</t>
  </si>
  <si>
    <t>Н-12265</t>
  </si>
  <si>
    <t>Н-12267</t>
  </si>
  <si>
    <t>Н-12268</t>
  </si>
  <si>
    <t>Н-12269</t>
  </si>
  <si>
    <t>Н-12270</t>
  </si>
  <si>
    <t>Н-12271</t>
  </si>
  <si>
    <t>Н-12272</t>
  </si>
  <si>
    <t>Н-12273</t>
  </si>
  <si>
    <t>Н-12274</t>
  </si>
  <si>
    <t>Н-12275</t>
  </si>
  <si>
    <t>Н-12276</t>
  </si>
  <si>
    <t>Н-12277</t>
  </si>
  <si>
    <t>Н-12278</t>
  </si>
  <si>
    <t>Н-12279</t>
  </si>
  <si>
    <t>Н-12280</t>
  </si>
  <si>
    <t>Н-12281</t>
  </si>
  <si>
    <t>Н-12282</t>
  </si>
  <si>
    <t>Н-12283</t>
  </si>
  <si>
    <t>Н-12284</t>
  </si>
  <si>
    <t>Н-12285</t>
  </si>
  <si>
    <t>Н-12287</t>
  </si>
  <si>
    <t>Н-12288</t>
  </si>
  <si>
    <t>Н-12293</t>
  </si>
  <si>
    <t>Н-12294</t>
  </si>
  <si>
    <t>Н-12295</t>
  </si>
  <si>
    <t>Н-12296</t>
  </si>
  <si>
    <t>Н-12297</t>
  </si>
  <si>
    <t>Н-12298</t>
  </si>
  <si>
    <t>Н-12299</t>
  </si>
  <si>
    <t>Н-12301</t>
  </si>
  <si>
    <t>Н-12302</t>
  </si>
  <si>
    <t>Н-12303</t>
  </si>
  <si>
    <t>Н-12304</t>
  </si>
  <si>
    <t>Н-12305</t>
  </si>
  <si>
    <t>Н-12306</t>
  </si>
  <si>
    <t>Н-12307</t>
  </si>
  <si>
    <t>Н-12308</t>
  </si>
  <si>
    <t>Н-12309</t>
  </si>
  <si>
    <t>Н-12311</t>
  </si>
  <si>
    <t>Н-12312</t>
  </si>
  <si>
    <t>Н-12313</t>
  </si>
  <si>
    <t>Н-12314</t>
  </si>
  <si>
    <t>Н-12315</t>
  </si>
  <si>
    <t>Н-12316</t>
  </si>
  <si>
    <t>Н-12317</t>
  </si>
  <si>
    <t>Н-12318</t>
  </si>
  <si>
    <t>Н-12319</t>
  </si>
  <si>
    <t>Н-12320</t>
  </si>
  <si>
    <t>Н-12321</t>
  </si>
  <si>
    <t>Н-12322</t>
  </si>
  <si>
    <t>Н-12323</t>
  </si>
  <si>
    <t>Н-12324</t>
  </si>
  <si>
    <t>Н-12325</t>
  </si>
  <si>
    <t>Н-12326</t>
  </si>
  <si>
    <t>Н-12327</t>
  </si>
  <si>
    <t>Н-12328</t>
  </si>
  <si>
    <t>Н-12329</t>
  </si>
  <si>
    <t>Н-12330</t>
  </si>
  <si>
    <t>Н-12331</t>
  </si>
  <si>
    <t>Н-12332</t>
  </si>
  <si>
    <t>Н-12333</t>
  </si>
  <si>
    <t>Н-12334</t>
  </si>
  <si>
    <t>Н-12335</t>
  </si>
  <si>
    <t>Н-12336</t>
  </si>
  <si>
    <t>Н-12337</t>
  </si>
  <si>
    <t>Н-12338</t>
  </si>
  <si>
    <t>Н-12339</t>
  </si>
  <si>
    <t>Н-12340</t>
  </si>
  <si>
    <t>Н-12345</t>
  </si>
  <si>
    <t>Н-12346</t>
  </si>
  <si>
    <t>Н-12347</t>
  </si>
  <si>
    <t>Н-12348</t>
  </si>
  <si>
    <t>Н-12349</t>
  </si>
  <si>
    <t>Н-12350</t>
  </si>
  <si>
    <t>Н-12351</t>
  </si>
  <si>
    <t>Н-12352</t>
  </si>
  <si>
    <t>Н-12353</t>
  </si>
  <si>
    <t>Н-12354</t>
  </si>
  <si>
    <t>Н-12355</t>
  </si>
  <si>
    <t>Н-12356</t>
  </si>
  <si>
    <t>Н-12357</t>
  </si>
  <si>
    <t>Н-12358</t>
  </si>
  <si>
    <t>Н-12359</t>
  </si>
  <si>
    <t>Н-12360</t>
  </si>
  <si>
    <t>Н-12361</t>
  </si>
  <si>
    <t>Н-12362</t>
  </si>
  <si>
    <t>Н-12363</t>
  </si>
  <si>
    <t>Н-12364</t>
  </si>
  <si>
    <t>Н-12365</t>
  </si>
  <si>
    <t>Н-12366</t>
  </si>
  <si>
    <t>Н-12367</t>
  </si>
  <si>
    <t>Н-12368</t>
  </si>
  <si>
    <t>Н-12369</t>
  </si>
  <si>
    <t>Н-12370</t>
  </si>
  <si>
    <t>Н-12371</t>
  </si>
  <si>
    <t>Н-12372</t>
  </si>
  <si>
    <t>Н-12373</t>
  </si>
  <si>
    <t>Н-12374</t>
  </si>
  <si>
    <t>Н-12375</t>
  </si>
  <si>
    <t>Н-12376</t>
  </si>
  <si>
    <t>Н-12377</t>
  </si>
  <si>
    <t>Н-12378</t>
  </si>
  <si>
    <t>Н-12379</t>
  </si>
  <si>
    <t>Н-12380</t>
  </si>
  <si>
    <t>Н-12381</t>
  </si>
  <si>
    <t>Н-12382</t>
  </si>
  <si>
    <t>Н-12383</t>
  </si>
  <si>
    <t>Н-12384</t>
  </si>
  <si>
    <t>Н-12385</t>
  </si>
  <si>
    <t>Н-12386</t>
  </si>
  <si>
    <t>Н-12387</t>
  </si>
  <si>
    <t>Н-12388</t>
  </si>
  <si>
    <t>Н-12389</t>
  </si>
  <si>
    <t>Н-12390</t>
  </si>
  <si>
    <t>Н-12391</t>
  </si>
  <si>
    <t>Н-12392</t>
  </si>
  <si>
    <t>Н-12393</t>
  </si>
  <si>
    <t>Н-12394</t>
  </si>
  <si>
    <t>Н-12395</t>
  </si>
  <si>
    <t>Н-12396</t>
  </si>
  <si>
    <t>Н-12397</t>
  </si>
  <si>
    <t>Н-12398</t>
  </si>
  <si>
    <t>Н-12399</t>
  </si>
  <si>
    <t>Н-12400</t>
  </si>
  <si>
    <t>Н-12401</t>
  </si>
  <si>
    <t>Н-12402</t>
  </si>
  <si>
    <t>Н-12403</t>
  </si>
  <si>
    <t>Н-12404</t>
  </si>
  <si>
    <t>Н-12405</t>
  </si>
  <si>
    <t>Н-12406</t>
  </si>
  <si>
    <t>Н-12407</t>
  </si>
  <si>
    <t>Н-12408</t>
  </si>
  <si>
    <t>Н-12409</t>
  </si>
  <si>
    <t>Н-12410</t>
  </si>
  <si>
    <t>Н-12411</t>
  </si>
  <si>
    <t>Н-12412</t>
  </si>
  <si>
    <t>Н-12413</t>
  </si>
  <si>
    <t>Н-12414</t>
  </si>
  <si>
    <t>Н-12415</t>
  </si>
  <si>
    <t>Н-12416</t>
  </si>
  <si>
    <t>Н-12417</t>
  </si>
  <si>
    <t>Н-12418</t>
  </si>
  <si>
    <t>Н-12419</t>
  </si>
  <si>
    <t>Н-12420</t>
  </si>
  <si>
    <t>Н-12422</t>
  </si>
  <si>
    <t>Н-12423</t>
  </si>
  <si>
    <t>Н-12424</t>
  </si>
  <si>
    <t>Н-12425</t>
  </si>
  <si>
    <t>Н-12426</t>
  </si>
  <si>
    <t>Н-12427</t>
  </si>
  <si>
    <t>Н-12428</t>
  </si>
  <si>
    <t>Н-12429</t>
  </si>
  <si>
    <t>Н-12430</t>
  </si>
  <si>
    <t>Н-12431</t>
  </si>
  <si>
    <t>Н-12432</t>
  </si>
  <si>
    <t>Н-12433</t>
  </si>
  <si>
    <t>Н-12434</t>
  </si>
  <si>
    <t>Н-12436</t>
  </si>
  <si>
    <t>Н-12437</t>
  </si>
  <si>
    <t>Н-12438</t>
  </si>
  <si>
    <t>Н-12439</t>
  </si>
  <si>
    <t>Н-12440</t>
  </si>
  <si>
    <t>Н-12441</t>
  </si>
  <si>
    <t>Н-12442</t>
  </si>
  <si>
    <t>Н-12443</t>
  </si>
  <si>
    <t>Н-12444</t>
  </si>
  <si>
    <t>Н-12445</t>
  </si>
  <si>
    <t>Н-12446</t>
  </si>
  <si>
    <t>Н-12447</t>
  </si>
  <si>
    <t>Н-12448</t>
  </si>
  <si>
    <t>Н-12449</t>
  </si>
  <si>
    <t>Н-12450</t>
  </si>
  <si>
    <t>Н-12451</t>
  </si>
  <si>
    <t>Н-12452</t>
  </si>
  <si>
    <t>Н-12453</t>
  </si>
  <si>
    <t>Н-12454</t>
  </si>
  <si>
    <t>Н-12455</t>
  </si>
  <si>
    <t>Н-12456</t>
  </si>
  <si>
    <t>Н-12457</t>
  </si>
  <si>
    <t>Н-12458</t>
  </si>
  <si>
    <t>Н-12459</t>
  </si>
  <si>
    <t>Н-12460</t>
  </si>
  <si>
    <t>Н-12461</t>
  </si>
  <si>
    <t>Н-12462</t>
  </si>
  <si>
    <t>Н-12463</t>
  </si>
  <si>
    <t>Н-12464</t>
  </si>
  <si>
    <t>Н-12465</t>
  </si>
  <si>
    <t>Н-12466</t>
  </si>
  <si>
    <t>Н-12467</t>
  </si>
  <si>
    <t>Н-12468</t>
  </si>
  <si>
    <t>Н-12469</t>
  </si>
  <si>
    <t>Н-12470</t>
  </si>
  <si>
    <t>Н-12471</t>
  </si>
  <si>
    <t>Н-12472</t>
  </si>
  <si>
    <t>Н-12473</t>
  </si>
  <si>
    <t>Н-12474</t>
  </si>
  <si>
    <t>Н-12475</t>
  </si>
  <si>
    <t>Н-12476</t>
  </si>
  <si>
    <t>Н-12477</t>
  </si>
  <si>
    <t>Н-12478</t>
  </si>
  <si>
    <t>Н-12479</t>
  </si>
  <si>
    <t>Н-12480</t>
  </si>
  <si>
    <t>Н-12481</t>
  </si>
  <si>
    <t>Н-12482</t>
  </si>
  <si>
    <t>Н-12484</t>
  </si>
  <si>
    <t>Н-12485</t>
  </si>
  <si>
    <t>Н-12486</t>
  </si>
  <si>
    <t>Н-12488</t>
  </si>
  <si>
    <t>Н-12489</t>
  </si>
  <si>
    <t>Н-12490</t>
  </si>
  <si>
    <t>Н-12491</t>
  </si>
  <si>
    <t>Н-12492</t>
  </si>
  <si>
    <t>Н-12493</t>
  </si>
  <si>
    <t>Н-12494</t>
  </si>
  <si>
    <t>Н-12495</t>
  </si>
  <si>
    <t>Н-12496</t>
  </si>
  <si>
    <t>Н-12497</t>
  </si>
  <si>
    <t>Н-12498</t>
  </si>
  <si>
    <t>Н-12499</t>
  </si>
  <si>
    <t>Н-12501</t>
  </si>
  <si>
    <t>Н-12502</t>
  </si>
  <si>
    <t>Н-12503</t>
  </si>
  <si>
    <t>Н-12504</t>
  </si>
  <si>
    <t>Н-12505</t>
  </si>
  <si>
    <t>Н-12506</t>
  </si>
  <si>
    <t>Н-12507</t>
  </si>
  <si>
    <t>Н-12508</t>
  </si>
  <si>
    <t>Н-12509</t>
  </si>
  <si>
    <t>Н-12510</t>
  </si>
  <si>
    <t>Н-12511</t>
  </si>
  <si>
    <t>Н-12512</t>
  </si>
  <si>
    <t>Н-12513</t>
  </si>
  <si>
    <t>Н-12514</t>
  </si>
  <si>
    <t>Н-12515</t>
  </si>
  <si>
    <t>Н-12516</t>
  </si>
  <si>
    <t>Н-12517</t>
  </si>
  <si>
    <t>Н-12518</t>
  </si>
  <si>
    <t>Н-12519</t>
  </si>
  <si>
    <t>Н-12520</t>
  </si>
  <si>
    <t>Н-12527</t>
  </si>
  <si>
    <t>Н-12805</t>
  </si>
  <si>
    <t>Н-12807</t>
  </si>
  <si>
    <t>Н-12808</t>
  </si>
  <si>
    <t>Н-12809</t>
  </si>
  <si>
    <t>Н-12810</t>
  </si>
  <si>
    <t>Н-12811</t>
  </si>
  <si>
    <t>Н-12812</t>
  </si>
  <si>
    <t>Н-12813</t>
  </si>
  <si>
    <t>Н-12814</t>
  </si>
  <si>
    <t>Н-12815</t>
  </si>
  <si>
    <t>Н-12816</t>
  </si>
  <si>
    <t>Н-12817</t>
  </si>
  <si>
    <t>Н-12818</t>
  </si>
  <si>
    <t>Н-12819</t>
  </si>
  <si>
    <t>Н-12820</t>
  </si>
  <si>
    <t>Н-12821</t>
  </si>
  <si>
    <t>Н-12822</t>
  </si>
  <si>
    <t>Н-12823</t>
  </si>
  <si>
    <t>Н-12824</t>
  </si>
  <si>
    <t>Н-12825</t>
  </si>
  <si>
    <t>Н-12826</t>
  </si>
  <si>
    <t>Н-12827</t>
  </si>
  <si>
    <t>Н-12828</t>
  </si>
  <si>
    <t>Н-12829</t>
  </si>
  <si>
    <t>Н-12830</t>
  </si>
  <si>
    <t>Н-12831</t>
  </si>
  <si>
    <t>Н-12832</t>
  </si>
  <si>
    <t>Н-12833</t>
  </si>
  <si>
    <t>Н-12835</t>
  </si>
  <si>
    <t>Н-12836</t>
  </si>
  <si>
    <t>Н-12837</t>
  </si>
  <si>
    <t>Н-12838</t>
  </si>
  <si>
    <t>Н-12839</t>
  </si>
  <si>
    <t>Н-12840</t>
  </si>
  <si>
    <t>Н-12841</t>
  </si>
  <si>
    <t>Н-12842</t>
  </si>
  <si>
    <t>Н-12843</t>
  </si>
  <si>
    <t>Н-12844</t>
  </si>
  <si>
    <t>Н-12845</t>
  </si>
  <si>
    <t>Н-12846</t>
  </si>
  <si>
    <t>Н-12847</t>
  </si>
  <si>
    <t>Н-12848</t>
  </si>
  <si>
    <t>Н-12849</t>
  </si>
  <si>
    <t>Н-12850</t>
  </si>
  <si>
    <t>Н-12851</t>
  </si>
  <si>
    <t>Н-12852</t>
  </si>
  <si>
    <t>Н-12853</t>
  </si>
  <si>
    <t>Н-12854</t>
  </si>
  <si>
    <t>Н-12855</t>
  </si>
  <si>
    <t>Н-12856</t>
  </si>
  <si>
    <t>Н-12857</t>
  </si>
  <si>
    <t>Н-12858</t>
  </si>
  <si>
    <t>Н-12859</t>
  </si>
  <si>
    <t>Н-12860</t>
  </si>
  <si>
    <t>Н-12861</t>
  </si>
  <si>
    <t>Н-12863</t>
  </si>
  <si>
    <t>Н-12864</t>
  </si>
  <si>
    <t>Н-12865</t>
  </si>
  <si>
    <t>Н-12866</t>
  </si>
  <si>
    <t>Н-12867</t>
  </si>
  <si>
    <t>Н-12868</t>
  </si>
  <si>
    <t>Н-12869</t>
  </si>
  <si>
    <t>Н-12870</t>
  </si>
  <si>
    <t>Н-12871</t>
  </si>
  <si>
    <t>Н-12872</t>
  </si>
  <si>
    <t>Н-12873</t>
  </si>
  <si>
    <t>Н-12874</t>
  </si>
  <si>
    <t>Н-12875</t>
  </si>
  <si>
    <t>Н-12876</t>
  </si>
  <si>
    <t>Н-12877</t>
  </si>
  <si>
    <t>Н-12878</t>
  </si>
  <si>
    <t>Н-12879</t>
  </si>
  <si>
    <t>Н-12880</t>
  </si>
  <si>
    <t>Н-12881</t>
  </si>
  <si>
    <t>Н-12882</t>
  </si>
  <si>
    <t>Н-12883</t>
  </si>
  <si>
    <t>Н-12884</t>
  </si>
  <si>
    <t>Н-12885</t>
  </si>
  <si>
    <t>Н-12886</t>
  </si>
  <si>
    <t>Н-12887</t>
  </si>
  <si>
    <t>Н-12888</t>
  </si>
  <si>
    <t>Н-12889</t>
  </si>
  <si>
    <t>Н-12890</t>
  </si>
  <si>
    <t>Н-12891</t>
  </si>
  <si>
    <t>Н-12892</t>
  </si>
  <si>
    <t>Н-12893</t>
  </si>
  <si>
    <t>Н-12894</t>
  </si>
  <si>
    <t>Н-12895</t>
  </si>
  <si>
    <t>Н-12896</t>
  </si>
  <si>
    <t>Н-12897</t>
  </si>
  <si>
    <t>Н-12898</t>
  </si>
  <si>
    <t>Н-12899</t>
  </si>
  <si>
    <t>Н-12900</t>
  </si>
  <si>
    <t>Н-12901</t>
  </si>
  <si>
    <t>Н-12902</t>
  </si>
  <si>
    <t>Н-12903</t>
  </si>
  <si>
    <t>Н-12904</t>
  </si>
  <si>
    <t>Н-12905</t>
  </si>
  <si>
    <t>Н-12906</t>
  </si>
  <si>
    <t>Н-12907</t>
  </si>
  <si>
    <t>Н-12908</t>
  </si>
  <si>
    <t>Н-12909</t>
  </si>
  <si>
    <t>Н-12910</t>
  </si>
  <si>
    <t>Н-12911</t>
  </si>
  <si>
    <t>Н-12912</t>
  </si>
  <si>
    <t>Н-12913</t>
  </si>
  <si>
    <t>Н-12915</t>
  </si>
  <si>
    <t>Н-12916</t>
  </si>
  <si>
    <t>Н-12917</t>
  </si>
  <si>
    <t>Н-12918</t>
  </si>
  <si>
    <t>Н-12919</t>
  </si>
  <si>
    <t>Н-12920</t>
  </si>
  <si>
    <t>Н-12921</t>
  </si>
  <si>
    <t>Н-12922</t>
  </si>
  <si>
    <t>Н-12923</t>
  </si>
  <si>
    <t>Н-12924</t>
  </si>
  <si>
    <t>Н-12925</t>
  </si>
  <si>
    <t>Н-12528</t>
  </si>
  <si>
    <t>Н-12529</t>
  </si>
  <si>
    <t>Н-12530</t>
  </si>
  <si>
    <t>Н-12531</t>
  </si>
  <si>
    <t>Н-12532</t>
  </si>
  <si>
    <t>Н-12533</t>
  </si>
  <si>
    <t>Н-12534</t>
  </si>
  <si>
    <t>Н-12535</t>
  </si>
  <si>
    <t>Н-12536</t>
  </si>
  <si>
    <t>Н-12537</t>
  </si>
  <si>
    <t>Н-12538</t>
  </si>
  <si>
    <t>Н-12539</t>
  </si>
  <si>
    <t>Н-12540</t>
  </si>
  <si>
    <t>Н-12541</t>
  </si>
  <si>
    <t>Н-12542</t>
  </si>
  <si>
    <t>Н-12543</t>
  </si>
  <si>
    <t>Н-12544</t>
  </si>
  <si>
    <t>Н-12545</t>
  </si>
  <si>
    <t>Н-12546</t>
  </si>
  <si>
    <t>Н-12547</t>
  </si>
  <si>
    <t>Н-12548</t>
  </si>
  <si>
    <t>Н-12549</t>
  </si>
  <si>
    <t>Н-12550</t>
  </si>
  <si>
    <t>Н-12551</t>
  </si>
  <si>
    <t>Н-12552</t>
  </si>
  <si>
    <t>Н-12553</t>
  </si>
  <si>
    <t>Н-12554</t>
  </si>
  <si>
    <t>Н-12555</t>
  </si>
  <si>
    <t>Н-12556</t>
  </si>
  <si>
    <t>Н-12557</t>
  </si>
  <si>
    <t>Н-12558</t>
  </si>
  <si>
    <t>Н-12559</t>
  </si>
  <si>
    <t>Н-12560</t>
  </si>
  <si>
    <t>Н-12561</t>
  </si>
  <si>
    <t>Н-12562</t>
  </si>
  <si>
    <t>Н-12563</t>
  </si>
  <si>
    <t>Н-12564</t>
  </si>
  <si>
    <t>Н-12565</t>
  </si>
  <si>
    <t>Н-12566</t>
  </si>
  <si>
    <t>Н-12567</t>
  </si>
  <si>
    <t>Н-12568</t>
  </si>
  <si>
    <t>Н-12569</t>
  </si>
  <si>
    <t>Н-12570</t>
  </si>
  <si>
    <t>Н-12571</t>
  </si>
  <si>
    <t>Н-12572</t>
  </si>
  <si>
    <t>Н-12573</t>
  </si>
  <si>
    <t>Н-12574</t>
  </si>
  <si>
    <t>Н-12575</t>
  </si>
  <si>
    <t>Н-12576</t>
  </si>
  <si>
    <t>Н-12577</t>
  </si>
  <si>
    <t>Н-12578</t>
  </si>
  <si>
    <t>Н-12579</t>
  </si>
  <si>
    <t>Н-12580</t>
  </si>
  <si>
    <t>Н-12581</t>
  </si>
  <si>
    <t>Н-12582</t>
  </si>
  <si>
    <t>Н-12583</t>
  </si>
  <si>
    <t>Н-12584</t>
  </si>
  <si>
    <t>Н-12585</t>
  </si>
  <si>
    <t>Н-12586</t>
  </si>
  <si>
    <t>Н-12587</t>
  </si>
  <si>
    <t>Н-12588</t>
  </si>
  <si>
    <t>Н-12589</t>
  </si>
  <si>
    <t>Н-12590</t>
  </si>
  <si>
    <t>Н-12591</t>
  </si>
  <si>
    <t>Н-12592</t>
  </si>
  <si>
    <t>Н-12593</t>
  </si>
  <si>
    <t>Н-12594</t>
  </si>
  <si>
    <t>Н-12595</t>
  </si>
  <si>
    <t>Н-12596</t>
  </si>
  <si>
    <t>Н-12597</t>
  </si>
  <si>
    <t>Н-12598</t>
  </si>
  <si>
    <t>Н-12600</t>
  </si>
  <si>
    <t>Н-12601</t>
  </si>
  <si>
    <t>Н-12602</t>
  </si>
  <si>
    <t>Н-12603</t>
  </si>
  <si>
    <t>Н-12604</t>
  </si>
  <si>
    <t>Н-12605</t>
  </si>
  <si>
    <t>Н-12606</t>
  </si>
  <si>
    <t>Н-12607</t>
  </si>
  <si>
    <t>Н-12608</t>
  </si>
  <si>
    <t>Н-12609</t>
  </si>
  <si>
    <t>Н-12610</t>
  </si>
  <si>
    <t>Н-12611</t>
  </si>
  <si>
    <t>Н-12612</t>
  </si>
  <si>
    <t>Н-12617</t>
  </si>
  <si>
    <t>Н-12618</t>
  </si>
  <si>
    <t>Н-12619</t>
  </si>
  <si>
    <t>Н-12620</t>
  </si>
  <si>
    <t>Н-12621</t>
  </si>
  <si>
    <t>Н-12622</t>
  </si>
  <si>
    <t>Н-12623</t>
  </si>
  <si>
    <t>Н-12624</t>
  </si>
  <si>
    <t>Н-12625</t>
  </si>
  <si>
    <t>Н-12626</t>
  </si>
  <si>
    <t>Н-12627</t>
  </si>
  <si>
    <t>Н-12628</t>
  </si>
  <si>
    <t>Н-12629</t>
  </si>
  <si>
    <t>Н-12630</t>
  </si>
  <si>
    <t>Н-12631</t>
  </si>
  <si>
    <t>Н-12632</t>
  </si>
  <si>
    <t>Н-12633</t>
  </si>
  <si>
    <t>Н-12634</t>
  </si>
  <si>
    <t>Н-12635</t>
  </si>
  <si>
    <t>Н-12636</t>
  </si>
  <si>
    <t>Н-12637</t>
  </si>
  <si>
    <t>Н-12638</t>
  </si>
  <si>
    <t>Н-12639</t>
  </si>
  <si>
    <t>Н-12640</t>
  </si>
  <si>
    <t>Н-12641</t>
  </si>
  <si>
    <t>Н-12642</t>
  </si>
  <si>
    <t>Н-12643</t>
  </si>
  <si>
    <t>Н-12644</t>
  </si>
  <si>
    <t>Н-12645</t>
  </si>
  <si>
    <t>Н-12646</t>
  </si>
  <si>
    <t>Н-12647</t>
  </si>
  <si>
    <t>Н-12648</t>
  </si>
  <si>
    <t>Н-12649</t>
  </si>
  <si>
    <t>Н-12650</t>
  </si>
  <si>
    <t>Н-12651</t>
  </si>
  <si>
    <t>Н-12652</t>
  </si>
  <si>
    <t>Н-12653</t>
  </si>
  <si>
    <t>Н-12654</t>
  </si>
  <si>
    <t>Н-12655</t>
  </si>
  <si>
    <t>Н-12656</t>
  </si>
  <si>
    <t>Н-12657</t>
  </si>
  <si>
    <t>Н-12658</t>
  </si>
  <si>
    <t>Н-12659</t>
  </si>
  <si>
    <t>Н-12660</t>
  </si>
  <si>
    <t>Н-12661</t>
  </si>
  <si>
    <t>Н-12662</t>
  </si>
  <si>
    <t>Н-12663</t>
  </si>
  <si>
    <t>Н-12664</t>
  </si>
  <si>
    <t>Н-12665</t>
  </si>
  <si>
    <t>Н-12666</t>
  </si>
  <si>
    <t>Н-12667</t>
  </si>
  <si>
    <t>Н-12668</t>
  </si>
  <si>
    <t>Н-12669</t>
  </si>
  <si>
    <t>Н-12670</t>
  </si>
  <si>
    <t>Н-12671</t>
  </si>
  <si>
    <t>Н-12672</t>
  </si>
  <si>
    <t>Н-12673</t>
  </si>
  <si>
    <t>Н-12674</t>
  </si>
  <si>
    <t>Н-12675</t>
  </si>
  <si>
    <t>Н-12676</t>
  </si>
  <si>
    <t>Н-12677</t>
  </si>
  <si>
    <t>Н-12679</t>
  </si>
  <si>
    <t>Н-12680</t>
  </si>
  <si>
    <t>Н-12681</t>
  </si>
  <si>
    <t>Н-12682</t>
  </si>
  <si>
    <t>Н-12683</t>
  </si>
  <si>
    <t>Н-12684</t>
  </si>
  <si>
    <t>Н-12685</t>
  </si>
  <si>
    <t>Н-12686</t>
  </si>
  <si>
    <t>Н-12687</t>
  </si>
  <si>
    <t>Н-12688</t>
  </si>
  <si>
    <t>Н-12689</t>
  </si>
  <si>
    <t>Н-12690</t>
  </si>
  <si>
    <t>Н-12691</t>
  </si>
  <si>
    <t>Н-12692</t>
  </si>
  <si>
    <t>Н-12693</t>
  </si>
  <si>
    <t>Н-12694</t>
  </si>
  <si>
    <t>Н-12695</t>
  </si>
  <si>
    <t>Н-12696</t>
  </si>
  <si>
    <t>Н-12697</t>
  </si>
  <si>
    <t>Н-12699</t>
  </si>
  <si>
    <t>Н-12700</t>
  </si>
  <si>
    <t>Н-12701</t>
  </si>
  <si>
    <t>Н-12702</t>
  </si>
  <si>
    <t>Н-12704</t>
  </si>
  <si>
    <t>Н-12705</t>
  </si>
  <si>
    <t>Н-12706</t>
  </si>
  <si>
    <t>Н-12707</t>
  </si>
  <si>
    <t>Н-12708</t>
  </si>
  <si>
    <t>Н-12709</t>
  </si>
  <si>
    <t>Н-12710</t>
  </si>
  <si>
    <t>Н-12711</t>
  </si>
  <si>
    <t>Н-12712</t>
  </si>
  <si>
    <t>Н-12713</t>
  </si>
  <si>
    <t>Н-12715</t>
  </si>
  <si>
    <t>Н-12716</t>
  </si>
  <si>
    <t>Н-12717</t>
  </si>
  <si>
    <t>Н-12718</t>
  </si>
  <si>
    <t>Н-12719</t>
  </si>
  <si>
    <t>Н-12720</t>
  </si>
  <si>
    <t>Н-12721</t>
  </si>
  <si>
    <t>Н-12722</t>
  </si>
  <si>
    <t>Н-12723</t>
  </si>
  <si>
    <t>Н-12726</t>
  </si>
  <si>
    <t>Н-12727</t>
  </si>
  <si>
    <t>Н-12728</t>
  </si>
  <si>
    <t>Н-12729</t>
  </si>
  <si>
    <t>Н-12730</t>
  </si>
  <si>
    <t>Н-12731</t>
  </si>
  <si>
    <t>Н-12732</t>
  </si>
  <si>
    <t>Н-12733</t>
  </si>
  <si>
    <t>Н-12734</t>
  </si>
  <si>
    <t>Н-12735</t>
  </si>
  <si>
    <t>Н-12736</t>
  </si>
  <si>
    <t>Н-12738</t>
  </si>
  <si>
    <t>Н-12739</t>
  </si>
  <si>
    <t>Н-12740</t>
  </si>
  <si>
    <t>Н-12741</t>
  </si>
  <si>
    <t>Н-12742</t>
  </si>
  <si>
    <t>Н-12743</t>
  </si>
  <si>
    <t>Н-12744</t>
  </si>
  <si>
    <t>Н-12745</t>
  </si>
  <si>
    <t>Н-12746</t>
  </si>
  <si>
    <t>Н-12747</t>
  </si>
  <si>
    <t>Н-12749</t>
  </si>
  <si>
    <t>Н-12750</t>
  </si>
  <si>
    <t>Н-12751</t>
  </si>
  <si>
    <t>Н-12752</t>
  </si>
  <si>
    <t>Н-12753</t>
  </si>
  <si>
    <t>Н-12754</t>
  </si>
  <si>
    <t>Н-12755</t>
  </si>
  <si>
    <t>Н-12756</t>
  </si>
  <si>
    <t>Н-12757</t>
  </si>
  <si>
    <t>Н-12758</t>
  </si>
  <si>
    <t>Н-12759</t>
  </si>
  <si>
    <t>Н-12760</t>
  </si>
  <si>
    <t>Н-12761</t>
  </si>
  <si>
    <t>Н-12762</t>
  </si>
  <si>
    <t>Н-12763</t>
  </si>
  <si>
    <t>Н-12764</t>
  </si>
  <si>
    <t>Н-12765</t>
  </si>
  <si>
    <t>Н-12766</t>
  </si>
  <si>
    <t>Н-12767</t>
  </si>
  <si>
    <t>Н-12768</t>
  </si>
  <si>
    <t>Н-12769</t>
  </si>
  <si>
    <t>Н-12770</t>
  </si>
  <si>
    <t>Н-12771</t>
  </si>
  <si>
    <t>Н-12772</t>
  </si>
  <si>
    <t>Н-12773</t>
  </si>
  <si>
    <t>Н-12774</t>
  </si>
  <si>
    <t>Н-12775</t>
  </si>
  <si>
    <t>Н-12776</t>
  </si>
  <si>
    <t>Н-12777</t>
  </si>
  <si>
    <t>Н-12778</t>
  </si>
  <si>
    <t>Н-12779</t>
  </si>
  <si>
    <t>Н-12780</t>
  </si>
  <si>
    <t>Н-12781</t>
  </si>
  <si>
    <t>Н-12782</t>
  </si>
  <si>
    <t>Н-12783</t>
  </si>
  <si>
    <t>Н-12784</t>
  </si>
  <si>
    <t>Н-12785</t>
  </si>
  <si>
    <t>Н-12786</t>
  </si>
  <si>
    <t>Н-12787</t>
  </si>
  <si>
    <t>Н-12788</t>
  </si>
  <si>
    <t>Н-12789</t>
  </si>
  <si>
    <t>Н-12790</t>
  </si>
  <si>
    <t>Н-12791</t>
  </si>
  <si>
    <t>Н-12792</t>
  </si>
  <si>
    <t>Н-12793</t>
  </si>
  <si>
    <t>Н-12794</t>
  </si>
  <si>
    <t>Н-12795</t>
  </si>
  <si>
    <t>Н-12796</t>
  </si>
  <si>
    <t>Н-12797</t>
  </si>
  <si>
    <t>Н-12798</t>
  </si>
  <si>
    <t>Н-12799</t>
  </si>
  <si>
    <t>Н-12800</t>
  </si>
  <si>
    <t>Н-13000</t>
  </si>
  <si>
    <t>Н-13001</t>
  </si>
  <si>
    <t>Н-13002</t>
  </si>
  <si>
    <t>Н-13003</t>
  </si>
  <si>
    <t>Н-13004</t>
  </si>
  <si>
    <t>Н-13005</t>
  </si>
  <si>
    <t>Н-13006</t>
  </si>
  <si>
    <t>Н-13007</t>
  </si>
  <si>
    <t>Н-13008</t>
  </si>
  <si>
    <t>Н-13009</t>
  </si>
  <si>
    <t>Н-13010</t>
  </si>
  <si>
    <t>Н-13011</t>
  </si>
  <si>
    <t>Н-13012</t>
  </si>
  <si>
    <t>Н-13013</t>
  </si>
  <si>
    <t>Н-13014</t>
  </si>
  <si>
    <t>Н-13015</t>
  </si>
  <si>
    <t>Н-13016</t>
  </si>
  <si>
    <t>Н-13017</t>
  </si>
  <si>
    <t>Н-13018</t>
  </si>
  <si>
    <t>Н-13019</t>
  </si>
  <si>
    <t>Н-13020</t>
  </si>
  <si>
    <t>Н-13021</t>
  </si>
  <si>
    <t>Н-13022</t>
  </si>
  <si>
    <t>Н-13023</t>
  </si>
  <si>
    <t>Н-13024</t>
  </si>
  <si>
    <t>Н-13025</t>
  </si>
  <si>
    <t>Н-13026</t>
  </si>
  <si>
    <t>Н-13027</t>
  </si>
  <si>
    <t>Н-13028</t>
  </si>
  <si>
    <t>Н-13029</t>
  </si>
  <si>
    <t>Н-13030</t>
  </si>
  <si>
    <t>Н-13031</t>
  </si>
  <si>
    <t>Н-13032</t>
  </si>
  <si>
    <t>Н-13033</t>
  </si>
  <si>
    <t>Н-13034</t>
  </si>
  <si>
    <t>Н-13035</t>
  </si>
  <si>
    <t>Н-13036</t>
  </si>
  <si>
    <t>Н-13037</t>
  </si>
  <si>
    <t>Н-13038</t>
  </si>
  <si>
    <t>Н-13039</t>
  </si>
  <si>
    <t>Н-13040</t>
  </si>
  <si>
    <t>Н-13041</t>
  </si>
  <si>
    <t>Н-13042</t>
  </si>
  <si>
    <t>Н-13043</t>
  </si>
  <si>
    <t>Н-13044</t>
  </si>
  <si>
    <t>Н-13045</t>
  </si>
  <si>
    <t>Н-13046</t>
  </si>
  <si>
    <t>Н-13047</t>
  </si>
  <si>
    <t>Н-13048</t>
  </si>
  <si>
    <t>Н-13049</t>
  </si>
  <si>
    <t>Н-13050</t>
  </si>
  <si>
    <t>Н-13051</t>
  </si>
  <si>
    <t>Н-13052</t>
  </si>
  <si>
    <t>Н-13053</t>
  </si>
  <si>
    <t>Н-13054</t>
  </si>
  <si>
    <t>Н-13055</t>
  </si>
  <si>
    <t>Н-13056</t>
  </si>
  <si>
    <t>Н-13057</t>
  </si>
  <si>
    <t>Н-13058</t>
  </si>
  <si>
    <t>Н-13059</t>
  </si>
  <si>
    <t>Н-13060</t>
  </si>
  <si>
    <t>Н-13061</t>
  </si>
  <si>
    <t>Н-13062</t>
  </si>
  <si>
    <t>Н-13063</t>
  </si>
  <si>
    <t>Н-13064</t>
  </si>
  <si>
    <t>Н-13065</t>
  </si>
  <si>
    <t>Н-13066</t>
  </si>
  <si>
    <t>Н-13067</t>
  </si>
  <si>
    <t>Н-13068</t>
  </si>
  <si>
    <t>Н-13069</t>
  </si>
  <si>
    <t>Н-13070</t>
  </si>
  <si>
    <t>Н-13071</t>
  </si>
  <si>
    <t>Н-13072</t>
  </si>
  <si>
    <t>Н-13073</t>
  </si>
  <si>
    <t>Н-13074</t>
  </si>
  <si>
    <t>Н-13075</t>
  </si>
  <si>
    <t>Н-13076</t>
  </si>
  <si>
    <t>Н-13077</t>
  </si>
  <si>
    <t>Н-13078</t>
  </si>
  <si>
    <t>Н-13079</t>
  </si>
  <si>
    <t>Н-13080</t>
  </si>
  <si>
    <t>Н-13081</t>
  </si>
  <si>
    <t>Н-13082</t>
  </si>
  <si>
    <t>Н-13083</t>
  </si>
  <si>
    <t>Н-13084</t>
  </si>
  <si>
    <t>Н-13085</t>
  </si>
  <si>
    <t>Н-13086</t>
  </si>
  <si>
    <t>Н-13087</t>
  </si>
  <si>
    <t>Н-13088</t>
  </si>
  <si>
    <t>Н-13089</t>
  </si>
  <si>
    <t>Н-13090</t>
  </si>
  <si>
    <t>Н-13091</t>
  </si>
  <si>
    <t>Н-13092</t>
  </si>
  <si>
    <t>Н-13093</t>
  </si>
  <si>
    <t>Н-13094</t>
  </si>
  <si>
    <t>Н-13095</t>
  </si>
  <si>
    <t>Н-13096</t>
  </si>
  <si>
    <t>Н-13097</t>
  </si>
  <si>
    <t>Н-13098</t>
  </si>
  <si>
    <t>Н-13099</t>
  </si>
  <si>
    <t>Н-13100</t>
  </si>
  <si>
    <t>Н-13101</t>
  </si>
  <si>
    <t>Н-13102</t>
  </si>
  <si>
    <t>Н-13103</t>
  </si>
  <si>
    <t>Н-13104</t>
  </si>
  <si>
    <t>Н-13105</t>
  </si>
  <si>
    <t>Н-13106</t>
  </si>
  <si>
    <t>Н-13107</t>
  </si>
  <si>
    <t>Н-13108</t>
  </si>
  <si>
    <t>Н-13109</t>
  </si>
  <si>
    <t>Н-13110</t>
  </si>
  <si>
    <t>Н-13111</t>
  </si>
  <si>
    <t>Н-13112</t>
  </si>
  <si>
    <t>Н-13113</t>
  </si>
  <si>
    <t>Н-13114</t>
  </si>
  <si>
    <t>Н-13115</t>
  </si>
  <si>
    <t>Н-13116</t>
  </si>
  <si>
    <t>Н-13117</t>
  </si>
  <si>
    <t>Н-13118</t>
  </si>
  <si>
    <t>Н-13119</t>
  </si>
  <si>
    <t>Н-13120</t>
  </si>
  <si>
    <t>Н-13121</t>
  </si>
  <si>
    <t>Н-13122</t>
  </si>
  <si>
    <t>Н-13123</t>
  </si>
  <si>
    <t>Н-13124</t>
  </si>
  <si>
    <t>Н-13125</t>
  </si>
  <si>
    <t>Н-13126</t>
  </si>
  <si>
    <t>Н-13127</t>
  </si>
  <si>
    <t>Н-13128</t>
  </si>
  <si>
    <t>Н-13129</t>
  </si>
  <si>
    <t>Н-13131</t>
  </si>
  <si>
    <t>Н-13132</t>
  </si>
  <si>
    <t>Н-13133</t>
  </si>
  <si>
    <t>Н-13134</t>
  </si>
  <si>
    <t>Н-13135</t>
  </si>
  <si>
    <t>Н-13136</t>
  </si>
  <si>
    <t>Н-13137</t>
  </si>
  <si>
    <t>Н-13138</t>
  </si>
  <si>
    <t>Н-13139</t>
  </si>
  <si>
    <t>Н-13140</t>
  </si>
  <si>
    <t>Н-13141</t>
  </si>
  <si>
    <t>Н-13142</t>
  </si>
  <si>
    <t>Н-13143</t>
  </si>
  <si>
    <t>Н-13144</t>
  </si>
  <si>
    <t>Н-13145</t>
  </si>
  <si>
    <t>Н-13146</t>
  </si>
  <si>
    <t>Н-13147</t>
  </si>
  <si>
    <t>Н-13148</t>
  </si>
  <si>
    <t>Н-13149</t>
  </si>
  <si>
    <t>Н-13150</t>
  </si>
  <si>
    <t>Н-13151</t>
  </si>
  <si>
    <t>Н-13152</t>
  </si>
  <si>
    <t>Н-13153</t>
  </si>
  <si>
    <t>Н-13154</t>
  </si>
  <si>
    <t>Н-13155</t>
  </si>
  <si>
    <t>Н-13156</t>
  </si>
  <si>
    <t>Н-12931</t>
  </si>
  <si>
    <t>Н-12932</t>
  </si>
  <si>
    <t>Н-12933</t>
  </si>
  <si>
    <t>Н-12934</t>
  </si>
  <si>
    <t>Н-12935</t>
  </si>
  <si>
    <t>Н-12936</t>
  </si>
  <si>
    <t>Н-12937</t>
  </si>
  <si>
    <t>Н-12938</t>
  </si>
  <si>
    <t>Н-12939</t>
  </si>
  <si>
    <t>Н-12940</t>
  </si>
  <si>
    <t>Н-12941</t>
  </si>
  <si>
    <t>Н-12942</t>
  </si>
  <si>
    <t>Н-12943</t>
  </si>
  <si>
    <t>Н-12944</t>
  </si>
  <si>
    <t>Н-12945</t>
  </si>
  <si>
    <t>Н-12946</t>
  </si>
  <si>
    <t>Н-12947</t>
  </si>
  <si>
    <t>Н-12948</t>
  </si>
  <si>
    <t>Н-12949</t>
  </si>
  <si>
    <t>Н-12950</t>
  </si>
  <si>
    <t>Н-12951</t>
  </si>
  <si>
    <t>Н-12952</t>
  </si>
  <si>
    <t>Н-12953</t>
  </si>
  <si>
    <t>Н-12954</t>
  </si>
  <si>
    <t>Н-12955</t>
  </si>
  <si>
    <t>Н-12956</t>
  </si>
  <si>
    <t>Н-12957</t>
  </si>
  <si>
    <t>Н-12958</t>
  </si>
  <si>
    <t>Н-12959</t>
  </si>
  <si>
    <t>Н-12960</t>
  </si>
  <si>
    <t>Н-12961</t>
  </si>
  <si>
    <t>Н-12962</t>
  </si>
  <si>
    <t>Н-12963</t>
  </si>
  <si>
    <t>Н-12964</t>
  </si>
  <si>
    <t>Н-12965</t>
  </si>
  <si>
    <t>Н-12966</t>
  </si>
  <si>
    <t>Н-12967</t>
  </si>
  <si>
    <t>Н-12968</t>
  </si>
  <si>
    <t>Н-12969</t>
  </si>
  <si>
    <t>Н-12970</t>
  </si>
  <si>
    <t>Н-12971</t>
  </si>
  <si>
    <t>Н-12972</t>
  </si>
  <si>
    <t>Н-12973</t>
  </si>
  <si>
    <t>Н-12974</t>
  </si>
  <si>
    <t>Н-12975</t>
  </si>
  <si>
    <t>Н-12976</t>
  </si>
  <si>
    <t>Н-12977</t>
  </si>
  <si>
    <t>Н-12978</t>
  </si>
  <si>
    <t>Н-12979</t>
  </si>
  <si>
    <t>Н-12980</t>
  </si>
  <si>
    <t>Н-12981</t>
  </si>
  <si>
    <t>Н-12982</t>
  </si>
  <si>
    <t>Н-12983</t>
  </si>
  <si>
    <t>Н-12984</t>
  </si>
  <si>
    <t>Н-12985</t>
  </si>
  <si>
    <t>Н-12986</t>
  </si>
  <si>
    <t>Н-12987</t>
  </si>
  <si>
    <t>Н-12988</t>
  </si>
  <si>
    <t>Н-12989</t>
  </si>
  <si>
    <t>Н-12990</t>
  </si>
  <si>
    <t>км 0,450-1,000</t>
  </si>
  <si>
    <t>Н-13289</t>
  </si>
  <si>
    <t>Н-13290</t>
  </si>
  <si>
    <t>Н-13291</t>
  </si>
  <si>
    <t>Н-13292</t>
  </si>
  <si>
    <t>Н-13293</t>
  </si>
  <si>
    <t>Н-13294</t>
  </si>
  <si>
    <t>Н-13295</t>
  </si>
  <si>
    <t>Н-13296</t>
  </si>
  <si>
    <t>Н-13297</t>
  </si>
  <si>
    <t>Н-13298</t>
  </si>
  <si>
    <t>Н-13299</t>
  </si>
  <si>
    <t>Н-13300</t>
  </si>
  <si>
    <t>Н-13301</t>
  </si>
  <si>
    <t>Н-13302</t>
  </si>
  <si>
    <t>Н-13303</t>
  </si>
  <si>
    <t>Н-13304</t>
  </si>
  <si>
    <t>Н-13305</t>
  </si>
  <si>
    <t>Н-13306</t>
  </si>
  <si>
    <t>Н-13307</t>
  </si>
  <si>
    <t>Н-13308</t>
  </si>
  <si>
    <t>Н-13309</t>
  </si>
  <si>
    <t>Н-13310</t>
  </si>
  <si>
    <t>Н-13311</t>
  </si>
  <si>
    <t>Н-13312</t>
  </si>
  <si>
    <t>Н-13313</t>
  </si>
  <si>
    <t>Н-13314</t>
  </si>
  <si>
    <t>Н-13315</t>
  </si>
  <si>
    <t>Н-13316</t>
  </si>
  <si>
    <t>Н-13317</t>
  </si>
  <si>
    <t>Н-13318</t>
  </si>
  <si>
    <t>Н-13320</t>
  </si>
  <si>
    <t>Н-13321</t>
  </si>
  <si>
    <t>Н-13322</t>
  </si>
  <si>
    <t>Н-13323</t>
  </si>
  <si>
    <t>Н-13324</t>
  </si>
  <si>
    <t>Н-13325</t>
  </si>
  <si>
    <t>Н-13326</t>
  </si>
  <si>
    <t>Н-13327</t>
  </si>
  <si>
    <t>Н-13328</t>
  </si>
  <si>
    <t>Н-13329</t>
  </si>
  <si>
    <t>Н-13330</t>
  </si>
  <si>
    <t>Н-13331</t>
  </si>
  <si>
    <t>Н-13332</t>
  </si>
  <si>
    <t>Н-13333</t>
  </si>
  <si>
    <t>Н-13334</t>
  </si>
  <si>
    <t>Н-13335</t>
  </si>
  <si>
    <t>Н-13336</t>
  </si>
  <si>
    <t>Н-13337</t>
  </si>
  <si>
    <t>Н-13338</t>
  </si>
  <si>
    <t>Н-13339</t>
  </si>
  <si>
    <t>Н-13340</t>
  </si>
  <si>
    <t>Н-13341</t>
  </si>
  <si>
    <t>Н-13342</t>
  </si>
  <si>
    <t>Н-13343</t>
  </si>
  <si>
    <t>Н-13344</t>
  </si>
  <si>
    <t>Н-13345</t>
  </si>
  <si>
    <t>Н-13346</t>
  </si>
  <si>
    <t>Н-13347</t>
  </si>
  <si>
    <t>Н-13348</t>
  </si>
  <si>
    <t>Н-13349</t>
  </si>
  <si>
    <t>Н-13350</t>
  </si>
  <si>
    <t>Н-13351</t>
  </si>
  <si>
    <t>Н-13352</t>
  </si>
  <si>
    <t>Н-13353</t>
  </si>
  <si>
    <t>Н-13354</t>
  </si>
  <si>
    <t>Н-13355</t>
  </si>
  <si>
    <t>Н-13356</t>
  </si>
  <si>
    <t>Н-13357</t>
  </si>
  <si>
    <t>Н-13358</t>
  </si>
  <si>
    <t>Н-13359</t>
  </si>
  <si>
    <t>Н-13360</t>
  </si>
  <si>
    <t>Н-13361</t>
  </si>
  <si>
    <t>Н-13362</t>
  </si>
  <si>
    <t>Н-13363</t>
  </si>
  <si>
    <t>Н-13364</t>
  </si>
  <si>
    <t>Н-13365</t>
  </si>
  <si>
    <t>Н-13366</t>
  </si>
  <si>
    <t>Н-13367</t>
  </si>
  <si>
    <t>Н-13368</t>
  </si>
  <si>
    <t>Н-13369</t>
  </si>
  <si>
    <t>Н-13370</t>
  </si>
  <si>
    <t>Н-13371</t>
  </si>
  <si>
    <t>Н-13372</t>
  </si>
  <si>
    <t>Н-13373</t>
  </si>
  <si>
    <t>Н-13374</t>
  </si>
  <si>
    <t>Н-13375</t>
  </si>
  <si>
    <t>Н-13376</t>
  </si>
  <si>
    <t>Н-13377</t>
  </si>
  <si>
    <t>Н-13378</t>
  </si>
  <si>
    <t>Н-13379</t>
  </si>
  <si>
    <t>Н-13380</t>
  </si>
  <si>
    <t>Н-13381</t>
  </si>
  <si>
    <t>Н-13382</t>
  </si>
  <si>
    <t>Н-13383</t>
  </si>
  <si>
    <t>Н-13384</t>
  </si>
  <si>
    <t>Н-13385</t>
  </si>
  <si>
    <t>Н-13386</t>
  </si>
  <si>
    <t>Н-13387</t>
  </si>
  <si>
    <t>Н-13388</t>
  </si>
  <si>
    <t>Н-13389</t>
  </si>
  <si>
    <t>Н-13390</t>
  </si>
  <si>
    <t>Н-13391</t>
  </si>
  <si>
    <t>Н-13392</t>
  </si>
  <si>
    <t>Н-13393</t>
  </si>
  <si>
    <t>Н-13394</t>
  </si>
  <si>
    <t>Н-13395</t>
  </si>
  <si>
    <t>Н-13396</t>
  </si>
  <si>
    <t>Н-13397</t>
  </si>
  <si>
    <t>Н-13398</t>
  </si>
  <si>
    <t>Н-13399</t>
  </si>
  <si>
    <t>Н-13400</t>
  </si>
  <si>
    <t>Н-13401</t>
  </si>
  <si>
    <t>Н-13402</t>
  </si>
  <si>
    <t>Н-13162</t>
  </si>
  <si>
    <t>Н-13163</t>
  </si>
  <si>
    <t>Н-13164</t>
  </si>
  <si>
    <t>Н-13165</t>
  </si>
  <si>
    <t>Н-13166</t>
  </si>
  <si>
    <t>Н-13167</t>
  </si>
  <si>
    <t>Н-13168</t>
  </si>
  <si>
    <t>Н-13169</t>
  </si>
  <si>
    <t>Н-13170</t>
  </si>
  <si>
    <t>Н-13171</t>
  </si>
  <si>
    <t>Н-13172</t>
  </si>
  <si>
    <t>Н-13173</t>
  </si>
  <si>
    <t>Н-13174</t>
  </si>
  <si>
    <t>Н-13175</t>
  </si>
  <si>
    <t>Н-13176</t>
  </si>
  <si>
    <t>Н-13177</t>
  </si>
  <si>
    <t>Н-13178</t>
  </si>
  <si>
    <t>Н-13179</t>
  </si>
  <si>
    <t>Н-13180</t>
  </si>
  <si>
    <t>Н-13181</t>
  </si>
  <si>
    <t>Н-13182</t>
  </si>
  <si>
    <t>Н-13183</t>
  </si>
  <si>
    <t>Н-13184</t>
  </si>
  <si>
    <t>Н-13185</t>
  </si>
  <si>
    <t>Н-13186</t>
  </si>
  <si>
    <t>Н-13187</t>
  </si>
  <si>
    <t>Н-13188</t>
  </si>
  <si>
    <t>Н-13189</t>
  </si>
  <si>
    <t>Н-13190</t>
  </si>
  <si>
    <t>Н-13191</t>
  </si>
  <si>
    <t>Н-13192</t>
  </si>
  <si>
    <t>Н-13193</t>
  </si>
  <si>
    <t>Н-13194</t>
  </si>
  <si>
    <t>Н-13195</t>
  </si>
  <si>
    <t>Н-13196</t>
  </si>
  <si>
    <t>Н-13197</t>
  </si>
  <si>
    <t>Н-13198</t>
  </si>
  <si>
    <t>Н-13199</t>
  </si>
  <si>
    <t>Н-13200</t>
  </si>
  <si>
    <t>Н-13201</t>
  </si>
  <si>
    <t>Н-13202</t>
  </si>
  <si>
    <t>Н-13203</t>
  </si>
  <si>
    <t>Н-13204</t>
  </si>
  <si>
    <t>Н-13205</t>
  </si>
  <si>
    <t>Н-13206</t>
  </si>
  <si>
    <t>Н-13207</t>
  </si>
  <si>
    <t>Н-13208</t>
  </si>
  <si>
    <t>Н-13209</t>
  </si>
  <si>
    <t>Н-13210</t>
  </si>
  <si>
    <t>Н-13211</t>
  </si>
  <si>
    <t>Н-13212</t>
  </si>
  <si>
    <t>Н-13213</t>
  </si>
  <si>
    <t>Н-13214</t>
  </si>
  <si>
    <t>Н-13215</t>
  </si>
  <si>
    <t>Н-13216</t>
  </si>
  <si>
    <t>Н-13217</t>
  </si>
  <si>
    <t>Н-13218</t>
  </si>
  <si>
    <t>Н-13219</t>
  </si>
  <si>
    <t>Н-13220</t>
  </si>
  <si>
    <t>Н-13221</t>
  </si>
  <si>
    <t>Н-13222</t>
  </si>
  <si>
    <t>Н-13223</t>
  </si>
  <si>
    <t>Н-13224</t>
  </si>
  <si>
    <t>Н-13225</t>
  </si>
  <si>
    <t>Н-13226</t>
  </si>
  <si>
    <t>Н-13227</t>
  </si>
  <si>
    <t>Н-13228</t>
  </si>
  <si>
    <t>Н-13229</t>
  </si>
  <si>
    <t>Н-13230</t>
  </si>
  <si>
    <t>Н-13231</t>
  </si>
  <si>
    <t>Н-13232</t>
  </si>
  <si>
    <t>Н-13233</t>
  </si>
  <si>
    <t>Н-13234</t>
  </si>
  <si>
    <t>Н-13235</t>
  </si>
  <si>
    <t>Н-13236</t>
  </si>
  <si>
    <t>Н-13237</t>
  </si>
  <si>
    <t>Н-13238</t>
  </si>
  <si>
    <t>Н-13239</t>
  </si>
  <si>
    <t>Н-13240</t>
  </si>
  <si>
    <t>Н-13241</t>
  </si>
  <si>
    <t>Н-13242</t>
  </si>
  <si>
    <t>Н-13243</t>
  </si>
  <si>
    <t>Н-13244</t>
  </si>
  <si>
    <t>Н-13245</t>
  </si>
  <si>
    <t>Н-13246</t>
  </si>
  <si>
    <t>Н-13247</t>
  </si>
  <si>
    <t>Н-13248</t>
  </si>
  <si>
    <t>Н-13249</t>
  </si>
  <si>
    <t>Н-13250</t>
  </si>
  <si>
    <t>Н-13252</t>
  </si>
  <si>
    <t>Н-13253</t>
  </si>
  <si>
    <t>Н-13254</t>
  </si>
  <si>
    <t>Н-13255</t>
  </si>
  <si>
    <t>Н-13256</t>
  </si>
  <si>
    <t>Н-13257</t>
  </si>
  <si>
    <t>Н-13258</t>
  </si>
  <si>
    <t>Н-13259</t>
  </si>
  <si>
    <t>Н-13260</t>
  </si>
  <si>
    <t>Н-13261</t>
  </si>
  <si>
    <t>Н-13262</t>
  </si>
  <si>
    <t>Н-13263</t>
  </si>
  <si>
    <t>Н-13264</t>
  </si>
  <si>
    <t>Н-13265</t>
  </si>
  <si>
    <t>Н-13266</t>
  </si>
  <si>
    <t>Н-13267</t>
  </si>
  <si>
    <t>Н-13268</t>
  </si>
  <si>
    <t>Н-13269</t>
  </si>
  <si>
    <t>Н-13270</t>
  </si>
  <si>
    <t>Н-13271</t>
  </si>
  <si>
    <t>Н-13272</t>
  </si>
  <si>
    <t>Н-13273</t>
  </si>
  <si>
    <t>Н-13274</t>
  </si>
  <si>
    <t>Н-13275</t>
  </si>
  <si>
    <t>Н-13276</t>
  </si>
  <si>
    <t>Н-13277</t>
  </si>
  <si>
    <t>Н-13278</t>
  </si>
  <si>
    <t>Н-13279</t>
  </si>
  <si>
    <t>Н-13280</t>
  </si>
  <si>
    <t>Н-13281</t>
  </si>
  <si>
    <t>Н-13282</t>
  </si>
  <si>
    <t>Н-13283</t>
  </si>
  <si>
    <t>Н-13407</t>
  </si>
  <si>
    <t>Н-13408</t>
  </si>
  <si>
    <t>Н-13409</t>
  </si>
  <si>
    <t>Н-13410</t>
  </si>
  <si>
    <t>Н-13411</t>
  </si>
  <si>
    <t>Н-13412</t>
  </si>
  <si>
    <t>Н-13413</t>
  </si>
  <si>
    <t>Н-13414</t>
  </si>
  <si>
    <t>Н-13415</t>
  </si>
  <si>
    <t>Н-13416</t>
  </si>
  <si>
    <t>Н-13417</t>
  </si>
  <si>
    <t>Н-13418</t>
  </si>
  <si>
    <t>Н-13419</t>
  </si>
  <si>
    <t>Н-13420</t>
  </si>
  <si>
    <t>Н-13421</t>
  </si>
  <si>
    <t>Н-13422</t>
  </si>
  <si>
    <t>Н-13423</t>
  </si>
  <si>
    <t>Н-13424</t>
  </si>
  <si>
    <t>Н-13425</t>
  </si>
  <si>
    <t>Н-13426</t>
  </si>
  <si>
    <t>Н-13427</t>
  </si>
  <si>
    <t>Н-13428</t>
  </si>
  <si>
    <t>Н-13429</t>
  </si>
  <si>
    <t>Н-13430</t>
  </si>
  <si>
    <t>Н-13432</t>
  </si>
  <si>
    <t>Н-13433</t>
  </si>
  <si>
    <t>Н-13436</t>
  </si>
  <si>
    <t>Н-13437</t>
  </si>
  <si>
    <t>Н-13438</t>
  </si>
  <si>
    <t>Н-13439</t>
  </si>
  <si>
    <t>Н-13440</t>
  </si>
  <si>
    <t>Н-13441</t>
  </si>
  <si>
    <t>Н-13442</t>
  </si>
  <si>
    <t>Н-13444</t>
  </si>
  <si>
    <t>Н-13445</t>
  </si>
  <si>
    <t>Н-13446</t>
  </si>
  <si>
    <t>Н-13447</t>
  </si>
  <si>
    <t>Н-13448</t>
  </si>
  <si>
    <t>Н-13449</t>
  </si>
  <si>
    <t>Н-13450</t>
  </si>
  <si>
    <t>Н-13452</t>
  </si>
  <si>
    <t>Н-13453</t>
  </si>
  <si>
    <t>Н-13454</t>
  </si>
  <si>
    <t>Н-13455</t>
  </si>
  <si>
    <t>Н-13456</t>
  </si>
  <si>
    <t>Н-13457</t>
  </si>
  <si>
    <t>Н-13458</t>
  </si>
  <si>
    <t>Н-13459</t>
  </si>
  <si>
    <t>Н-13460</t>
  </si>
  <si>
    <t>Н-13461</t>
  </si>
  <si>
    <t>Н-13462</t>
  </si>
  <si>
    <t>Н-13463</t>
  </si>
  <si>
    <t>Н-13464</t>
  </si>
  <si>
    <t>Н-13465</t>
  </si>
  <si>
    <t>Н-13466</t>
  </si>
  <si>
    <t>Н-13467</t>
  </si>
  <si>
    <t>Н-13468</t>
  </si>
  <si>
    <t>Н-13469</t>
  </si>
  <si>
    <t>Н-13470</t>
  </si>
  <si>
    <t>Н-13471</t>
  </si>
  <si>
    <t>Н-13472</t>
  </si>
  <si>
    <t>Н-13473</t>
  </si>
  <si>
    <t>Н-13474</t>
  </si>
  <si>
    <t>Н-13475</t>
  </si>
  <si>
    <t>Н-13476</t>
  </si>
  <si>
    <t>Н-13477</t>
  </si>
  <si>
    <t>Н-13478</t>
  </si>
  <si>
    <t>Н-13479</t>
  </si>
  <si>
    <t>Н-13480</t>
  </si>
  <si>
    <t>Н-13481</t>
  </si>
  <si>
    <t>Н-13482</t>
  </si>
  <si>
    <t>Н-13483</t>
  </si>
  <si>
    <t>Н-13484</t>
  </si>
  <si>
    <t>Н-13486</t>
  </si>
  <si>
    <t>Н-13487</t>
  </si>
  <si>
    <t>Н-13489</t>
  </si>
  <si>
    <t>Н-13490</t>
  </si>
  <si>
    <t>Н-13491</t>
  </si>
  <si>
    <t>Н-13492</t>
  </si>
  <si>
    <t>Н-13493</t>
  </si>
  <si>
    <t>Н-13496</t>
  </si>
  <si>
    <t>Н-13497</t>
  </si>
  <si>
    <t>Н-13498</t>
  </si>
  <si>
    <t>Н-13501</t>
  </si>
  <si>
    <t>Н-13503</t>
  </si>
  <si>
    <t>Н-13504</t>
  </si>
  <si>
    <t>Н-13505</t>
  </si>
  <si>
    <t>Н-13506</t>
  </si>
  <si>
    <t>Н-13507</t>
  </si>
  <si>
    <t>Н-13510</t>
  </si>
  <si>
    <t>Н-13511</t>
  </si>
  <si>
    <t>Н-13512</t>
  </si>
  <si>
    <t>Н-13513</t>
  </si>
  <si>
    <t>Н-13515</t>
  </si>
  <si>
    <t>Н-13516</t>
  </si>
  <si>
    <t>Н-13518</t>
  </si>
  <si>
    <t>Н-13519</t>
  </si>
  <si>
    <t>Н-13520</t>
  </si>
  <si>
    <t>Н-13521</t>
  </si>
  <si>
    <t>Н-13522</t>
  </si>
  <si>
    <t>Н-13523</t>
  </si>
  <si>
    <t>Н-13524</t>
  </si>
  <si>
    <t>Н-13525</t>
  </si>
  <si>
    <t>Н-13526</t>
  </si>
  <si>
    <t>Н-13527</t>
  </si>
  <si>
    <t>Н-13528</t>
  </si>
  <si>
    <t>Н-13529</t>
  </si>
  <si>
    <t>Н-13530</t>
  </si>
  <si>
    <t>Н-13532</t>
  </si>
  <si>
    <t>Н-13533</t>
  </si>
  <si>
    <t>Н-13534</t>
  </si>
  <si>
    <t>Н-13535</t>
  </si>
  <si>
    <t>Н-13536</t>
  </si>
  <si>
    <t>Н-13537</t>
  </si>
  <si>
    <t>Н-13538</t>
  </si>
  <si>
    <t>Н-13539</t>
  </si>
  <si>
    <t>Н-13540</t>
  </si>
  <si>
    <t>Н-13541</t>
  </si>
  <si>
    <t>Н-13542</t>
  </si>
  <si>
    <t>Н-13544</t>
  </si>
  <si>
    <t>Н-13545</t>
  </si>
  <si>
    <t>Н-13546</t>
  </si>
  <si>
    <t>Н-13547</t>
  </si>
  <si>
    <t>Н-13548</t>
  </si>
  <si>
    <t>Н-13549</t>
  </si>
  <si>
    <t>Н-13550</t>
  </si>
  <si>
    <t>Н-13551</t>
  </si>
  <si>
    <t>Н-13552</t>
  </si>
  <si>
    <t>Н-13553</t>
  </si>
  <si>
    <t>Н-13554</t>
  </si>
  <si>
    <t>Н-13560</t>
  </si>
  <si>
    <t>Н-13561</t>
  </si>
  <si>
    <t>Н-13562</t>
  </si>
  <si>
    <t>Н-13563</t>
  </si>
  <si>
    <t>Н-13564</t>
  </si>
  <si>
    <t>Н-13565</t>
  </si>
  <si>
    <t>Н-13566</t>
  </si>
  <si>
    <t>Н-13567</t>
  </si>
  <si>
    <t>Н-13568</t>
  </si>
  <si>
    <t>Н-13569</t>
  </si>
  <si>
    <t>Н-13570</t>
  </si>
  <si>
    <t>Н-13571</t>
  </si>
  <si>
    <t>Н-13572</t>
  </si>
  <si>
    <t>Н-13573</t>
  </si>
  <si>
    <t>Н-13574</t>
  </si>
  <si>
    <t>Н-13575</t>
  </si>
  <si>
    <t>Н-13576</t>
  </si>
  <si>
    <t>Н-13577</t>
  </si>
  <si>
    <t>Н-13578</t>
  </si>
  <si>
    <t>Н-13579</t>
  </si>
  <si>
    <t>Н-13580</t>
  </si>
  <si>
    <t>Н-13581</t>
  </si>
  <si>
    <t>Н-13582</t>
  </si>
  <si>
    <t>Н-13583</t>
  </si>
  <si>
    <t>Н-13584</t>
  </si>
  <si>
    <t>Н-13585</t>
  </si>
  <si>
    <t>Н-13586</t>
  </si>
  <si>
    <t>Н-13587</t>
  </si>
  <si>
    <t>Н-13588</t>
  </si>
  <si>
    <t>Н-13589</t>
  </si>
  <si>
    <t>Н-13590</t>
  </si>
  <si>
    <t>Н-13591</t>
  </si>
  <si>
    <t>Н-13592</t>
  </si>
  <si>
    <t>Н-13593</t>
  </si>
  <si>
    <t>Н-13594</t>
  </si>
  <si>
    <t>Н-13595</t>
  </si>
  <si>
    <t>Н-13596</t>
  </si>
  <si>
    <t>Н-13597</t>
  </si>
  <si>
    <t>Н-13598</t>
  </si>
  <si>
    <t>Н-13599</t>
  </si>
  <si>
    <t>Н-13600</t>
  </si>
  <si>
    <t>Н-13601</t>
  </si>
  <si>
    <t>Н-13602</t>
  </si>
  <si>
    <t>Н-13603</t>
  </si>
  <si>
    <t>Н-13604</t>
  </si>
  <si>
    <t>Н-13605</t>
  </si>
  <si>
    <t>Н-13606</t>
  </si>
  <si>
    <t>Н-13607</t>
  </si>
  <si>
    <t>Н-13608</t>
  </si>
  <si>
    <t>Н-13609</t>
  </si>
  <si>
    <t>Н-13610</t>
  </si>
  <si>
    <t>Н-13611</t>
  </si>
  <si>
    <t>Н-13612</t>
  </si>
  <si>
    <t>Н-13613</t>
  </si>
  <si>
    <t>Н-13614</t>
  </si>
  <si>
    <t>Н-13615</t>
  </si>
  <si>
    <t>Н-13616</t>
  </si>
  <si>
    <t>Н-13617</t>
  </si>
  <si>
    <t>Н-13618</t>
  </si>
  <si>
    <t>Н-13619</t>
  </si>
  <si>
    <t>Н-13620</t>
  </si>
  <si>
    <t>Н-13621</t>
  </si>
  <si>
    <t>Н-13622</t>
  </si>
  <si>
    <t>Н-13623</t>
  </si>
  <si>
    <t>Н-13624</t>
  </si>
  <si>
    <t>Н-13625</t>
  </si>
  <si>
    <t>Н-13626</t>
  </si>
  <si>
    <t>Н-13627</t>
  </si>
  <si>
    <t>Н-13628</t>
  </si>
  <si>
    <t>Н-13629</t>
  </si>
  <si>
    <t>Н-13630</t>
  </si>
  <si>
    <t>Н-13631</t>
  </si>
  <si>
    <t>Н-13632</t>
  </si>
  <si>
    <t>Н-13633</t>
  </si>
  <si>
    <t>Н-13634</t>
  </si>
  <si>
    <t>Н-13635</t>
  </si>
  <si>
    <t>Н-13636</t>
  </si>
  <si>
    <t>Н-13637</t>
  </si>
  <si>
    <t>Н-13638</t>
  </si>
  <si>
    <t>Н-13639</t>
  </si>
  <si>
    <t>Н-13640</t>
  </si>
  <si>
    <t>Н-13641</t>
  </si>
  <si>
    <t>Н-13642</t>
  </si>
  <si>
    <t>Н-13643</t>
  </si>
  <si>
    <t>Н-13644</t>
  </si>
  <si>
    <t>Н-13645</t>
  </si>
  <si>
    <t>Н-13646</t>
  </si>
  <si>
    <t>Н-13647</t>
  </si>
  <si>
    <t>Н-13648</t>
  </si>
  <si>
    <t>Н-13654</t>
  </si>
  <si>
    <t>Н-13655</t>
  </si>
  <si>
    <t>Н-13656</t>
  </si>
  <si>
    <t>Н-13657</t>
  </si>
  <si>
    <t>Н-13658</t>
  </si>
  <si>
    <t>Н-13659</t>
  </si>
  <si>
    <t>Н-13660</t>
  </si>
  <si>
    <t>Н-13661</t>
  </si>
  <si>
    <t>Н-13662</t>
  </si>
  <si>
    <t>Н-13664</t>
  </si>
  <si>
    <t>Н-13665</t>
  </si>
  <si>
    <t>Н-13666</t>
  </si>
  <si>
    <t>Н-13667</t>
  </si>
  <si>
    <t>Н-13668</t>
  </si>
  <si>
    <t>Н-13669</t>
  </si>
  <si>
    <t>Н-13670</t>
  </si>
  <si>
    <t>Н-13671</t>
  </si>
  <si>
    <t>Н-13673</t>
  </si>
  <si>
    <t>Н-13674</t>
  </si>
  <si>
    <t>Н-13675</t>
  </si>
  <si>
    <t>Н-13677</t>
  </si>
  <si>
    <t>Н-13678</t>
  </si>
  <si>
    <t>Н-13679</t>
  </si>
  <si>
    <t>Н-13680</t>
  </si>
  <si>
    <t>Н-13681</t>
  </si>
  <si>
    <t>Н-13682</t>
  </si>
  <si>
    <t>Н-13683</t>
  </si>
  <si>
    <t>Н-13684</t>
  </si>
  <si>
    <t>Н-13685</t>
  </si>
  <si>
    <t>Н-13686</t>
  </si>
  <si>
    <t>Н-13687</t>
  </si>
  <si>
    <t>Н-13688</t>
  </si>
  <si>
    <t>Н-13689</t>
  </si>
  <si>
    <t>Н-13690</t>
  </si>
  <si>
    <t>Н-13691</t>
  </si>
  <si>
    <t>Н-13692</t>
  </si>
  <si>
    <t>Н-13693</t>
  </si>
  <si>
    <t>Н-13694</t>
  </si>
  <si>
    <t>Н-13695</t>
  </si>
  <si>
    <t>Н-13696</t>
  </si>
  <si>
    <t>Н-13697</t>
  </si>
  <si>
    <t>Н-13698</t>
  </si>
  <si>
    <t>Н-13699</t>
  </si>
  <si>
    <t>Н-13700</t>
  </si>
  <si>
    <t>Н-13701</t>
  </si>
  <si>
    <t>Н-13702</t>
  </si>
  <si>
    <t>Н-13703</t>
  </si>
  <si>
    <t>Н-13704</t>
  </si>
  <si>
    <t>Н-13705</t>
  </si>
  <si>
    <t>Н-13706</t>
  </si>
  <si>
    <t>Н-13707</t>
  </si>
  <si>
    <t>Н-13708</t>
  </si>
  <si>
    <t>Н-13709</t>
  </si>
  <si>
    <t>Н-13711</t>
  </si>
  <si>
    <t>Н-13712</t>
  </si>
  <si>
    <t>Н-13713</t>
  </si>
  <si>
    <t>Н-13714</t>
  </si>
  <si>
    <t>Н-13715</t>
  </si>
  <si>
    <t>Н-13716</t>
  </si>
  <si>
    <t>Н-13717</t>
  </si>
  <si>
    <t>Н-13718</t>
  </si>
  <si>
    <t>Н-13719</t>
  </si>
  <si>
    <t>Н-13720</t>
  </si>
  <si>
    <t>Н-13721</t>
  </si>
  <si>
    <t>Н-13722</t>
  </si>
  <si>
    <t>Н-13723</t>
  </si>
  <si>
    <t>Н-13724</t>
  </si>
  <si>
    <t>Н-13725</t>
  </si>
  <si>
    <t>Н-13726</t>
  </si>
  <si>
    <t>Н-13727</t>
  </si>
  <si>
    <t>Н-13728</t>
  </si>
  <si>
    <t>Н-13729</t>
  </si>
  <si>
    <t>Н-13730</t>
  </si>
  <si>
    <t>Н-13731</t>
  </si>
  <si>
    <t>Н-13732</t>
  </si>
  <si>
    <t>Н-13733</t>
  </si>
  <si>
    <t>Н-13734</t>
  </si>
  <si>
    <t>Н-13735</t>
  </si>
  <si>
    <t>Н-13736</t>
  </si>
  <si>
    <t>Н-13737</t>
  </si>
  <si>
    <t>Н-13738</t>
  </si>
  <si>
    <t>Н-13739</t>
  </si>
  <si>
    <t>Н-13740</t>
  </si>
  <si>
    <t>Н-13741</t>
  </si>
  <si>
    <t>Н-13742</t>
  </si>
  <si>
    <t>Н-13743</t>
  </si>
  <si>
    <t>Н-13744</t>
  </si>
  <si>
    <t>Н-13745</t>
  </si>
  <si>
    <t>Н-13746</t>
  </si>
  <si>
    <t>Н-13747</t>
  </si>
  <si>
    <t>Н-13748</t>
  </si>
  <si>
    <t>Н-13749</t>
  </si>
  <si>
    <t>Н-13750</t>
  </si>
  <si>
    <t>Н-13751</t>
  </si>
  <si>
    <t>Н-13752</t>
  </si>
  <si>
    <t>Н-13753</t>
  </si>
  <si>
    <t>Н-13754</t>
  </si>
  <si>
    <t>Н-13755</t>
  </si>
  <si>
    <t>Н-13756</t>
  </si>
  <si>
    <t>Н-13757</t>
  </si>
  <si>
    <t>Н-13758</t>
  </si>
  <si>
    <t>Н-13759</t>
  </si>
  <si>
    <t>Н-13760</t>
  </si>
  <si>
    <t>Н-13761</t>
  </si>
  <si>
    <t>Н-13762</t>
  </si>
  <si>
    <t>Н-13763</t>
  </si>
  <si>
    <t>Н-13764</t>
  </si>
  <si>
    <t>Н-13765</t>
  </si>
  <si>
    <t>Н-13766</t>
  </si>
  <si>
    <t>Н-13767</t>
  </si>
  <si>
    <t>Н-13768</t>
  </si>
  <si>
    <t>Н-13769</t>
  </si>
  <si>
    <t>Н-13770</t>
  </si>
  <si>
    <t>Н-13771</t>
  </si>
  <si>
    <t>Н-13772</t>
  </si>
  <si>
    <t>Н-13773</t>
  </si>
  <si>
    <t>Н-13774</t>
  </si>
  <si>
    <t>Н-13775</t>
  </si>
  <si>
    <t>Н-13781</t>
  </si>
  <si>
    <t>Н-13782</t>
  </si>
  <si>
    <t>Н-13783</t>
  </si>
  <si>
    <t>Н-13784</t>
  </si>
  <si>
    <t>Н-13785</t>
  </si>
  <si>
    <t>Н-13786</t>
  </si>
  <si>
    <t>Н-13787</t>
  </si>
  <si>
    <t>Н-13788</t>
  </si>
  <si>
    <t>Н-13789</t>
  </si>
  <si>
    <t>Н-13790</t>
  </si>
  <si>
    <t>Н-13791</t>
  </si>
  <si>
    <t>Н-13792</t>
  </si>
  <si>
    <t>Н-13793</t>
  </si>
  <si>
    <t>Н-13794</t>
  </si>
  <si>
    <t>Н-13795</t>
  </si>
  <si>
    <t>Н-13796</t>
  </si>
  <si>
    <t>Н-13797</t>
  </si>
  <si>
    <t>Н-13798</t>
  </si>
  <si>
    <t>Н-13799</t>
  </si>
  <si>
    <t>Н-13800</t>
  </si>
  <si>
    <t>Н-13801</t>
  </si>
  <si>
    <t>Н-13802</t>
  </si>
  <si>
    <t>Н-13803</t>
  </si>
  <si>
    <t>Н-13804</t>
  </si>
  <si>
    <t>Н-13805</t>
  </si>
  <si>
    <t>Н-13806</t>
  </si>
  <si>
    <t>Н-13807</t>
  </si>
  <si>
    <t>Н-13808</t>
  </si>
  <si>
    <t>Н-13809</t>
  </si>
  <si>
    <t>Н-13810</t>
  </si>
  <si>
    <t>Н-13811</t>
  </si>
  <si>
    <t>Н-13812</t>
  </si>
  <si>
    <t>Н-13813</t>
  </si>
  <si>
    <t>Н-13814</t>
  </si>
  <si>
    <t>Н-13815</t>
  </si>
  <si>
    <t>Н-13816</t>
  </si>
  <si>
    <t>Н-13817</t>
  </si>
  <si>
    <t>Н-13818</t>
  </si>
  <si>
    <t>Н-13819</t>
  </si>
  <si>
    <t>Н-13820</t>
  </si>
  <si>
    <t>Н-13821</t>
  </si>
  <si>
    <t>Н-13822</t>
  </si>
  <si>
    <t>Н-13823</t>
  </si>
  <si>
    <t>Н-13824</t>
  </si>
  <si>
    <t>Н-13825</t>
  </si>
  <si>
    <t>Н-13826</t>
  </si>
  <si>
    <t>Н-13827</t>
  </si>
  <si>
    <t>Н-13828</t>
  </si>
  <si>
    <t>Н-13829</t>
  </si>
  <si>
    <t>Н-13830</t>
  </si>
  <si>
    <t>Н-13831</t>
  </si>
  <si>
    <t>Н-13832</t>
  </si>
  <si>
    <t>Н-13833</t>
  </si>
  <si>
    <t>Н-13834</t>
  </si>
  <si>
    <t>Н-13835</t>
  </si>
  <si>
    <t>Н-13836</t>
  </si>
  <si>
    <t>Н-13837</t>
  </si>
  <si>
    <t>Н-13838</t>
  </si>
  <si>
    <t>Н-13839</t>
  </si>
  <si>
    <t>Н-13840</t>
  </si>
  <si>
    <t>Н-13841</t>
  </si>
  <si>
    <t>Н-13842</t>
  </si>
  <si>
    <t>Н-13843</t>
  </si>
  <si>
    <t>Н-13844</t>
  </si>
  <si>
    <t>Н-13845</t>
  </si>
  <si>
    <t>Н-13846</t>
  </si>
  <si>
    <t>Н-13847</t>
  </si>
  <si>
    <t>Н-13848</t>
  </si>
  <si>
    <t>Н-13849</t>
  </si>
  <si>
    <t>Н-13850</t>
  </si>
  <si>
    <t>Н-13851</t>
  </si>
  <si>
    <t>Н-13852</t>
  </si>
  <si>
    <t>Н-13853</t>
  </si>
  <si>
    <t>Н-13854</t>
  </si>
  <si>
    <t>Н-13855</t>
  </si>
  <si>
    <t>Н-13856</t>
  </si>
  <si>
    <t>Н-13857</t>
  </si>
  <si>
    <t>Н-13858</t>
  </si>
  <si>
    <t>Н-13859</t>
  </si>
  <si>
    <t>Н-13860</t>
  </si>
  <si>
    <t>Н-13861</t>
  </si>
  <si>
    <t>Н-13862</t>
  </si>
  <si>
    <t>Н-13863</t>
  </si>
  <si>
    <t>Н-13864</t>
  </si>
  <si>
    <t>Н-13865</t>
  </si>
  <si>
    <t>Н-13866</t>
  </si>
  <si>
    <t>Н-13867</t>
  </si>
  <si>
    <t>Н-13868</t>
  </si>
  <si>
    <t>Н-13869</t>
  </si>
  <si>
    <t>Н-13870</t>
  </si>
  <si>
    <t>Н-13871</t>
  </si>
  <si>
    <t>Н-13872</t>
  </si>
  <si>
    <t>Н-13873</t>
  </si>
  <si>
    <t>Н-13874</t>
  </si>
  <si>
    <t>Н-13875</t>
  </si>
  <si>
    <t>Н-13876</t>
  </si>
  <si>
    <t>Н-13877</t>
  </si>
  <si>
    <t>Н-13878</t>
  </si>
  <si>
    <t>Н-13879</t>
  </si>
  <si>
    <t>Н-13880</t>
  </si>
  <si>
    <t>Н-13881</t>
  </si>
  <si>
    <t>Н-13882</t>
  </si>
  <si>
    <t>Н-13883</t>
  </si>
  <si>
    <t>Н-13884</t>
  </si>
  <si>
    <t>Н-13885</t>
  </si>
  <si>
    <t>Н-13886</t>
  </si>
  <si>
    <t>Н-13887</t>
  </si>
  <si>
    <t>Н-13888</t>
  </si>
  <si>
    <t>Н-13889</t>
  </si>
  <si>
    <t>Н-13890</t>
  </si>
  <si>
    <t>Н-13891</t>
  </si>
  <si>
    <t>Н-13892</t>
  </si>
  <si>
    <t>Н-13893</t>
  </si>
  <si>
    <t>Н-13895</t>
  </si>
  <si>
    <t>Н-13896</t>
  </si>
  <si>
    <t>Н-13897</t>
  </si>
  <si>
    <t>Н-13898</t>
  </si>
  <si>
    <t>Н-13899</t>
  </si>
  <si>
    <t>Н-13900</t>
  </si>
  <si>
    <t>Н-13901</t>
  </si>
  <si>
    <t>Н-13902</t>
  </si>
  <si>
    <t>Н-13903</t>
  </si>
  <si>
    <t>Н-13904</t>
  </si>
  <si>
    <t>Н-13905</t>
  </si>
  <si>
    <t>Н-13906</t>
  </si>
  <si>
    <t>Н-13907</t>
  </si>
  <si>
    <t>Н-13908</t>
  </si>
  <si>
    <t>Н-13909</t>
  </si>
  <si>
    <t>Н-13910</t>
  </si>
  <si>
    <t>Н-13911</t>
  </si>
  <si>
    <t>Н-13912</t>
  </si>
  <si>
    <t>Н-13913</t>
  </si>
  <si>
    <t>Н-13914</t>
  </si>
  <si>
    <t>Н-13915</t>
  </si>
  <si>
    <t>Н-13916</t>
  </si>
  <si>
    <t>Н-13917</t>
  </si>
  <si>
    <t>Н-13918</t>
  </si>
  <si>
    <t>Н-13919</t>
  </si>
  <si>
    <t>Н-13920</t>
  </si>
  <si>
    <t>Н-13921</t>
  </si>
  <si>
    <t>Н-13922</t>
  </si>
  <si>
    <t>Н-13923</t>
  </si>
  <si>
    <t>Н-13924</t>
  </si>
  <si>
    <t>Н-13925</t>
  </si>
  <si>
    <t>Н-13926</t>
  </si>
  <si>
    <t>Н-13927</t>
  </si>
  <si>
    <t>Н-13928</t>
  </si>
  <si>
    <t>Н-13929</t>
  </si>
  <si>
    <t>Н-13930</t>
  </si>
  <si>
    <t>Н-13931</t>
  </si>
  <si>
    <t>Н-13932</t>
  </si>
  <si>
    <t>Н-13933</t>
  </si>
  <si>
    <t>Н-13934</t>
  </si>
  <si>
    <t>Н-13935</t>
  </si>
  <si>
    <t>Н-13936</t>
  </si>
  <si>
    <t>Н-13937</t>
  </si>
  <si>
    <t>Н-13939</t>
  </si>
  <si>
    <t>Н-13940</t>
  </si>
  <si>
    <t>Н-13941</t>
  </si>
  <si>
    <t>Н-13942</t>
  </si>
  <si>
    <t>Н-13943</t>
  </si>
  <si>
    <t>Н-13944</t>
  </si>
  <si>
    <t>Н-13945</t>
  </si>
  <si>
    <t>Н-13946</t>
  </si>
  <si>
    <t>Н-13947</t>
  </si>
  <si>
    <t>Н-13948</t>
  </si>
  <si>
    <t>Н-13949</t>
  </si>
  <si>
    <t>Н-13950</t>
  </si>
  <si>
    <t>Н-13951</t>
  </si>
  <si>
    <t>Н-13952</t>
  </si>
  <si>
    <t>Н-13953</t>
  </si>
  <si>
    <t>Н-13954</t>
  </si>
  <si>
    <t>Н-13955</t>
  </si>
  <si>
    <t>Н-13956</t>
  </si>
  <si>
    <t>Н-13957</t>
  </si>
  <si>
    <t>Н-13958</t>
  </si>
  <si>
    <t>Н-13959</t>
  </si>
  <si>
    <t>Н-13960</t>
  </si>
  <si>
    <t>Н-13961</t>
  </si>
  <si>
    <t>Н-13962</t>
  </si>
  <si>
    <t>Н-13963</t>
  </si>
  <si>
    <t>Н-13964</t>
  </si>
  <si>
    <t>Н-13965</t>
  </si>
  <si>
    <t>Н-13966</t>
  </si>
  <si>
    <t>Н-13967</t>
  </si>
  <si>
    <t>Н-13968</t>
  </si>
  <si>
    <t>Н-13969</t>
  </si>
  <si>
    <t>Н-13970</t>
  </si>
  <si>
    <t>Н-13971</t>
  </si>
  <si>
    <t>Н-13972</t>
  </si>
  <si>
    <t>Н-13973</t>
  </si>
  <si>
    <t>Н-13974</t>
  </si>
  <si>
    <t>Н-13975</t>
  </si>
  <si>
    <t>Н-13977</t>
  </si>
  <si>
    <t>Н-13978</t>
  </si>
  <si>
    <t>Н-13979</t>
  </si>
  <si>
    <t>Н-13981</t>
  </si>
  <si>
    <t>Н-13982</t>
  </si>
  <si>
    <t>Н-13983</t>
  </si>
  <si>
    <t>Н-13984</t>
  </si>
  <si>
    <t>Н-13985</t>
  </si>
  <si>
    <t>Н-13986</t>
  </si>
  <si>
    <t>Н-13987</t>
  </si>
  <si>
    <t>Н-13988</t>
  </si>
  <si>
    <t>Н-13989</t>
  </si>
  <si>
    <t>Н-13990</t>
  </si>
  <si>
    <t>Н-13992</t>
  </si>
  <si>
    <t>Н-13993</t>
  </si>
  <si>
    <t>Н-13994</t>
  </si>
  <si>
    <t>Н-13995</t>
  </si>
  <si>
    <t>Н-13996</t>
  </si>
  <si>
    <t>Н-13997</t>
  </si>
  <si>
    <t>Н-13998</t>
  </si>
  <si>
    <t>Н-13999</t>
  </si>
  <si>
    <t>Н-14000</t>
  </si>
  <si>
    <t>Н-14001</t>
  </si>
  <si>
    <t>Н-14002</t>
  </si>
  <si>
    <t>Н-14003</t>
  </si>
  <si>
    <t>Н-14004</t>
  </si>
  <si>
    <t>Н-14005</t>
  </si>
  <si>
    <t>Н-14006</t>
  </si>
  <si>
    <t>Н-14007</t>
  </si>
  <si>
    <t>Н-14008</t>
  </si>
  <si>
    <t>Н-14009</t>
  </si>
  <si>
    <t>Н-14010</t>
  </si>
  <si>
    <t>Н-14011</t>
  </si>
  <si>
    <t>Н-14012</t>
  </si>
  <si>
    <t>Н-14013</t>
  </si>
  <si>
    <t>Н-14014</t>
  </si>
  <si>
    <t>Н-14016</t>
  </si>
  <si>
    <t>Н-14017</t>
  </si>
  <si>
    <t>Н-14018</t>
  </si>
  <si>
    <t>Н-14019</t>
  </si>
  <si>
    <t>Н-14020</t>
  </si>
  <si>
    <t>Н-14021</t>
  </si>
  <si>
    <t>Н-14022</t>
  </si>
  <si>
    <t>Н-14023</t>
  </si>
  <si>
    <t>Н-14024</t>
  </si>
  <si>
    <t>Н-14025</t>
  </si>
  <si>
    <t>Н-14026</t>
  </si>
  <si>
    <t>Н-14027</t>
  </si>
  <si>
    <t>Н-14028</t>
  </si>
  <si>
    <t>Н-14029</t>
  </si>
  <si>
    <t>Н-14030</t>
  </si>
  <si>
    <t>Н-14031</t>
  </si>
  <si>
    <t>Н-14032</t>
  </si>
  <si>
    <t>Н-14034</t>
  </si>
  <si>
    <t>Н-14035</t>
  </si>
  <si>
    <t>Н-14036</t>
  </si>
  <si>
    <t>Н-14037</t>
  </si>
  <si>
    <t>Н-14038</t>
  </si>
  <si>
    <t>Н-14039</t>
  </si>
  <si>
    <t>Н-14040</t>
  </si>
  <si>
    <t>Н-14041</t>
  </si>
  <si>
    <t>Н-14042</t>
  </si>
  <si>
    <t>Н-14043</t>
  </si>
  <si>
    <t>Н-14044</t>
  </si>
  <si>
    <t>Н-14045</t>
  </si>
  <si>
    <t>Н-14046</t>
  </si>
  <si>
    <t>Н-14047</t>
  </si>
  <si>
    <t>Н-14048</t>
  </si>
  <si>
    <t>Н-14049</t>
  </si>
  <si>
    <t>Н-14050</t>
  </si>
  <si>
    <t>Н-14051</t>
  </si>
  <si>
    <t>Н-14052</t>
  </si>
  <si>
    <t>Н-14053</t>
  </si>
  <si>
    <t>Н-14054</t>
  </si>
  <si>
    <t>Н-14055</t>
  </si>
  <si>
    <t>Н-14056</t>
  </si>
  <si>
    <t>Н-14057</t>
  </si>
  <si>
    <t>Н-14058</t>
  </si>
  <si>
    <t>Н-14059</t>
  </si>
  <si>
    <t>Н-14060</t>
  </si>
  <si>
    <t>Н-14061</t>
  </si>
  <si>
    <t>Н-14062</t>
  </si>
  <si>
    <t>Н-14063</t>
  </si>
  <si>
    <t>Н-14064</t>
  </si>
  <si>
    <t>Н-14065</t>
  </si>
  <si>
    <t>Н-14066</t>
  </si>
  <si>
    <t>Н-14067</t>
  </si>
  <si>
    <t>Н-14068</t>
  </si>
  <si>
    <t>Н-14069</t>
  </si>
  <si>
    <t>Н-14070</t>
  </si>
  <si>
    <t>Н-14071</t>
  </si>
  <si>
    <t>Н-14072</t>
  </si>
  <si>
    <t>Н-14073</t>
  </si>
  <si>
    <t>Н-14075</t>
  </si>
  <si>
    <t>Н-14076</t>
  </si>
  <si>
    <t>Н-14077</t>
  </si>
  <si>
    <t>Н-14078</t>
  </si>
  <si>
    <t>Н-14079</t>
  </si>
  <si>
    <t>Н-14080</t>
  </si>
  <si>
    <t>Н-14081</t>
  </si>
  <si>
    <t>Н-14082</t>
  </si>
  <si>
    <t>Н-14083</t>
  </si>
  <si>
    <t>Н-14084</t>
  </si>
  <si>
    <t>Н-14085</t>
  </si>
  <si>
    <t>Н-14086</t>
  </si>
  <si>
    <t>Н-14087</t>
  </si>
  <si>
    <t>Н-14088</t>
  </si>
  <si>
    <t>Н-14089</t>
  </si>
  <si>
    <t>Н-14090</t>
  </si>
  <si>
    <t>Н-14091</t>
  </si>
  <si>
    <t>Н-14092</t>
  </si>
  <si>
    <t>Н-14093</t>
  </si>
  <si>
    <t>Н-14094</t>
  </si>
  <si>
    <t>Н-14095</t>
  </si>
  <si>
    <t>Н-14096</t>
  </si>
  <si>
    <t>Н-14097</t>
  </si>
  <si>
    <t>Н-14098</t>
  </si>
  <si>
    <t>Н-14099</t>
  </si>
  <si>
    <t>Н-14100</t>
  </si>
  <si>
    <t>Н-14101</t>
  </si>
  <si>
    <t>Н-14102</t>
  </si>
  <si>
    <t>Н-14103</t>
  </si>
  <si>
    <t>Н-14104</t>
  </si>
  <si>
    <t>Н-14105</t>
  </si>
  <si>
    <t>Н-14106</t>
  </si>
  <si>
    <t>Н-14107</t>
  </si>
  <si>
    <t>Н-14108</t>
  </si>
  <si>
    <t>Н-14109</t>
  </si>
  <si>
    <t>Н-14110</t>
  </si>
  <si>
    <t>Н-14111</t>
  </si>
  <si>
    <t>Н-14112</t>
  </si>
  <si>
    <t>Н-14113</t>
  </si>
  <si>
    <t>Н-14114</t>
  </si>
  <si>
    <t>Н-14115</t>
  </si>
  <si>
    <t>Н-14116</t>
  </si>
  <si>
    <t>Н-14117</t>
  </si>
  <si>
    <t>Н-14118</t>
  </si>
  <si>
    <t>Н-14119</t>
  </si>
  <si>
    <t>Н-14120</t>
  </si>
  <si>
    <t>Н-14121</t>
  </si>
  <si>
    <t>Н-14122</t>
  </si>
  <si>
    <t>Н-14123</t>
  </si>
  <si>
    <t>Н-14124</t>
  </si>
  <si>
    <t>Н-14125</t>
  </si>
  <si>
    <t>Н-14126</t>
  </si>
  <si>
    <t>Н-14127</t>
  </si>
  <si>
    <t>Н-14128</t>
  </si>
  <si>
    <t>Н-14129</t>
  </si>
  <si>
    <t>Н-14130</t>
  </si>
  <si>
    <t>Н-14131</t>
  </si>
  <si>
    <t>Н-14132</t>
  </si>
  <si>
    <t>Н-14133</t>
  </si>
  <si>
    <t>Н-14134</t>
  </si>
  <si>
    <t>Н-14139</t>
  </si>
  <si>
    <t>Н-14140</t>
  </si>
  <si>
    <t>Н-14141</t>
  </si>
  <si>
    <t>Н-14142</t>
  </si>
  <si>
    <t>Н-14143</t>
  </si>
  <si>
    <t>Н-14144</t>
  </si>
  <si>
    <t>Н-14145</t>
  </si>
  <si>
    <t>Н-14146</t>
  </si>
  <si>
    <t>Н-14147</t>
  </si>
  <si>
    <t>Н-14148</t>
  </si>
  <si>
    <t>Н-14149</t>
  </si>
  <si>
    <t>Н-14150</t>
  </si>
  <si>
    <t>Н-14151</t>
  </si>
  <si>
    <t>Н-14153</t>
  </si>
  <si>
    <t>Н-14154</t>
  </si>
  <si>
    <t>Н-14155</t>
  </si>
  <si>
    <t>Н-14156</t>
  </si>
  <si>
    <t>Н-14157</t>
  </si>
  <si>
    <t>Н-14158</t>
  </si>
  <si>
    <t>Н-14159</t>
  </si>
  <si>
    <t>Н-14160</t>
  </si>
  <si>
    <t>Н-14161</t>
  </si>
  <si>
    <t>Н-14162</t>
  </si>
  <si>
    <t>Н-14163</t>
  </si>
  <si>
    <t>Н-14164</t>
  </si>
  <si>
    <t>Н-14165</t>
  </si>
  <si>
    <t>Н-14166</t>
  </si>
  <si>
    <t>Н-14167</t>
  </si>
  <si>
    <t>Н-14169</t>
  </si>
  <si>
    <t>Н-14170</t>
  </si>
  <si>
    <t>Н-14171</t>
  </si>
  <si>
    <t>Н-14172</t>
  </si>
  <si>
    <t>Н-14173</t>
  </si>
  <si>
    <t>Н-14174</t>
  </si>
  <si>
    <t>Н-14175</t>
  </si>
  <si>
    <t>Н-14176</t>
  </si>
  <si>
    <t>Н-14178</t>
  </si>
  <si>
    <t>Н-14179</t>
  </si>
  <si>
    <t>Н-14180</t>
  </si>
  <si>
    <t>Н-14181</t>
  </si>
  <si>
    <t>Н-14182</t>
  </si>
  <si>
    <t>Н-14183</t>
  </si>
  <si>
    <t>Н-14184</t>
  </si>
  <si>
    <t>Н-14185</t>
  </si>
  <si>
    <t>Н-14186</t>
  </si>
  <si>
    <t>Н-14187</t>
  </si>
  <si>
    <t>Н-14188</t>
  </si>
  <si>
    <t>Н-14189</t>
  </si>
  <si>
    <t>Н-14190</t>
  </si>
  <si>
    <t>Н-14191</t>
  </si>
  <si>
    <t>Н-14192</t>
  </si>
  <si>
    <t>Н-14193</t>
  </si>
  <si>
    <t>Н-14194</t>
  </si>
  <si>
    <t>Н-14195</t>
  </si>
  <si>
    <t>Н-14196</t>
  </si>
  <si>
    <t>Н-14197</t>
  </si>
  <si>
    <t>Н-14198</t>
  </si>
  <si>
    <t>Н-14199</t>
  </si>
  <si>
    <t>Н-14200</t>
  </si>
  <si>
    <t>Н-14202</t>
  </si>
  <si>
    <t>Н-14203</t>
  </si>
  <si>
    <t>Н-14204</t>
  </si>
  <si>
    <t>Н-14205</t>
  </si>
  <si>
    <t>Н-14206</t>
  </si>
  <si>
    <t>Н-14207</t>
  </si>
  <si>
    <t>Н-14208</t>
  </si>
  <si>
    <t>Н-14209</t>
  </si>
  <si>
    <t>Н-14210</t>
  </si>
  <si>
    <t>Н-14211</t>
  </si>
  <si>
    <t>Н-14212</t>
  </si>
  <si>
    <t>Н-14213</t>
  </si>
  <si>
    <t>Н-14214</t>
  </si>
  <si>
    <t>Н-14215</t>
  </si>
  <si>
    <t>Н-14216</t>
  </si>
  <si>
    <t>Н-14217</t>
  </si>
  <si>
    <t>Н-14218</t>
  </si>
  <si>
    <t>Н-14219</t>
  </si>
  <si>
    <t>Н-14220</t>
  </si>
  <si>
    <t>Н-14221</t>
  </si>
  <si>
    <t>Н-14222</t>
  </si>
  <si>
    <t>Н-14223</t>
  </si>
  <si>
    <t>Н-14225</t>
  </si>
  <si>
    <t>Н-14226</t>
  </si>
  <si>
    <t>Н-14227</t>
  </si>
  <si>
    <t>Н-14228</t>
  </si>
  <si>
    <t>Н-14229</t>
  </si>
  <si>
    <t>Н-14230</t>
  </si>
  <si>
    <t>Н-14231</t>
  </si>
  <si>
    <t>Н-14232</t>
  </si>
  <si>
    <t>Н-14233</t>
  </si>
  <si>
    <t>Н-14234</t>
  </si>
  <si>
    <t>Н-14235</t>
  </si>
  <si>
    <t>Н-14236</t>
  </si>
  <si>
    <t>Н-14237</t>
  </si>
  <si>
    <t>Н-14238</t>
  </si>
  <si>
    <t>Н-14239</t>
  </si>
  <si>
    <t>Н-14240</t>
  </si>
  <si>
    <t>Н-14241</t>
  </si>
  <si>
    <t>Н-14242</t>
  </si>
  <si>
    <t>Н-14243</t>
  </si>
  <si>
    <t>Н-14244</t>
  </si>
  <si>
    <t>Н-14245</t>
  </si>
  <si>
    <t>Н-14246</t>
  </si>
  <si>
    <t>Н-14247</t>
  </si>
  <si>
    <t>Н-14248</t>
  </si>
  <si>
    <t>Н-14249</t>
  </si>
  <si>
    <t>Н-14250</t>
  </si>
  <si>
    <t>Н-14251</t>
  </si>
  <si>
    <t>Н-14252</t>
  </si>
  <si>
    <t>Н-14253</t>
  </si>
  <si>
    <t>Н-14254</t>
  </si>
  <si>
    <t>Н-14255</t>
  </si>
  <si>
    <t>Н-14256</t>
  </si>
  <si>
    <t>Н-14257</t>
  </si>
  <si>
    <t>Н-14258</t>
  </si>
  <si>
    <t>Н-14259</t>
  </si>
  <si>
    <t>Н-14260</t>
  </si>
  <si>
    <t>Н-14261</t>
  </si>
  <si>
    <t>Н-14262</t>
  </si>
  <si>
    <t>Н-14263</t>
  </si>
  <si>
    <t>Н-14264</t>
  </si>
  <si>
    <t>Н-14265</t>
  </si>
  <si>
    <t>Н-14266</t>
  </si>
  <si>
    <t>Н-14267</t>
  </si>
  <si>
    <t>Н-14268</t>
  </si>
  <si>
    <t>Н-14269</t>
  </si>
  <si>
    <t>Н-14270</t>
  </si>
  <si>
    <t>Н-14271</t>
  </si>
  <si>
    <t>Н-14272</t>
  </si>
  <si>
    <t>Н-14273</t>
  </si>
  <si>
    <t>Н-14274</t>
  </si>
  <si>
    <t>Н-14275</t>
  </si>
  <si>
    <t>Н-14276</t>
  </si>
  <si>
    <t>Н-14277</t>
  </si>
  <si>
    <t>Н-14278</t>
  </si>
  <si>
    <t>Н-14279</t>
  </si>
  <si>
    <t>Н-14280</t>
  </si>
  <si>
    <t>Н-14281</t>
  </si>
  <si>
    <t>Н-14282</t>
  </si>
  <si>
    <t>Н-14283</t>
  </si>
  <si>
    <t>Н-14284</t>
  </si>
  <si>
    <t>Н-14285</t>
  </si>
  <si>
    <t>Н-14286</t>
  </si>
  <si>
    <t>Н-14287</t>
  </si>
  <si>
    <t>Н-14288</t>
  </si>
  <si>
    <t>Н-14289</t>
  </si>
  <si>
    <t>Н-14290</t>
  </si>
  <si>
    <t>Н-14291</t>
  </si>
  <si>
    <t>Н-14292</t>
  </si>
  <si>
    <t>Н-14293</t>
  </si>
  <si>
    <t>Н-14294</t>
  </si>
  <si>
    <t>Н-14295</t>
  </si>
  <si>
    <t>Н-14296</t>
  </si>
  <si>
    <t>Н-14297</t>
  </si>
  <si>
    <t>Н-14298</t>
  </si>
  <si>
    <t>Н-14299</t>
  </si>
  <si>
    <t>Н-14300</t>
  </si>
  <si>
    <t>Н-14301</t>
  </si>
  <si>
    <t>Н-14302</t>
  </si>
  <si>
    <t>Н-14303</t>
  </si>
  <si>
    <t>Н-14304</t>
  </si>
  <si>
    <t>Н-14305</t>
  </si>
  <si>
    <t>Н-14306</t>
  </si>
  <si>
    <t>Н-14307</t>
  </si>
  <si>
    <t>Н-14309</t>
  </si>
  <si>
    <t>Н-14310</t>
  </si>
  <si>
    <t>Н-14311</t>
  </si>
  <si>
    <t>Н-14312</t>
  </si>
  <si>
    <t>Н-14313</t>
  </si>
  <si>
    <t>Н-14314</t>
  </si>
  <si>
    <t>Н-14315</t>
  </si>
  <si>
    <t>Н-14316</t>
  </si>
  <si>
    <t>Н-14317</t>
  </si>
  <si>
    <t>Н-14318</t>
  </si>
  <si>
    <t>Н-14319</t>
  </si>
  <si>
    <t>Н-14320</t>
  </si>
  <si>
    <t>Н-14321</t>
  </si>
  <si>
    <t>Н-14322</t>
  </si>
  <si>
    <t>Н-14323</t>
  </si>
  <si>
    <t>Н-14324</t>
  </si>
  <si>
    <t>Н-14325</t>
  </si>
  <si>
    <t>Н-14326</t>
  </si>
  <si>
    <t>Н-14327</t>
  </si>
  <si>
    <t>Н-14328</t>
  </si>
  <si>
    <t>Н-14329</t>
  </si>
  <si>
    <t>Н-14330</t>
  </si>
  <si>
    <t>Н-14331</t>
  </si>
  <si>
    <t>Н-14332</t>
  </si>
  <si>
    <t>Н-14333</t>
  </si>
  <si>
    <t>Н-14334</t>
  </si>
  <si>
    <t>Н-14335</t>
  </si>
  <si>
    <t>Н-14336</t>
  </si>
  <si>
    <t>Н-14337</t>
  </si>
  <si>
    <t>Н-14338</t>
  </si>
  <si>
    <t>Н-14339</t>
  </si>
  <si>
    <t>Н-14340</t>
  </si>
  <si>
    <t>Н-14341</t>
  </si>
  <si>
    <t>Н-14342</t>
  </si>
  <si>
    <t>Н-14343</t>
  </si>
  <si>
    <t>Н-14344</t>
  </si>
  <si>
    <t>Н-14346</t>
  </si>
  <si>
    <t>Н-14347</t>
  </si>
  <si>
    <t>Н-14348</t>
  </si>
  <si>
    <t>Н-14349</t>
  </si>
  <si>
    <t>Н-14350</t>
  </si>
  <si>
    <t>Н-14351</t>
  </si>
  <si>
    <t>Н-14352</t>
  </si>
  <si>
    <t>Н-14353</t>
  </si>
  <si>
    <t>Н-14354</t>
  </si>
  <si>
    <t>Н-14355</t>
  </si>
  <si>
    <t>Н-14356</t>
  </si>
  <si>
    <t>Н-14357</t>
  </si>
  <si>
    <t>Н-14358</t>
  </si>
  <si>
    <t>Н-14359</t>
  </si>
  <si>
    <t>Н-14360</t>
  </si>
  <si>
    <t>Н-14361</t>
  </si>
  <si>
    <t>Н-14362</t>
  </si>
  <si>
    <t>Н-14368</t>
  </si>
  <si>
    <t>Н-14369</t>
  </si>
  <si>
    <t>Н-14370</t>
  </si>
  <si>
    <t>Н-14371</t>
  </si>
  <si>
    <t>Н-14372</t>
  </si>
  <si>
    <t>Н-14373</t>
  </si>
  <si>
    <t>Н-14374</t>
  </si>
  <si>
    <t>Н-14375</t>
  </si>
  <si>
    <t>Н-14376</t>
  </si>
  <si>
    <t>Н-14377</t>
  </si>
  <si>
    <t>Н-14378</t>
  </si>
  <si>
    <t>Н-14379</t>
  </si>
  <si>
    <t>Н-14380</t>
  </si>
  <si>
    <t>Н-14381</t>
  </si>
  <si>
    <t>Н-14382</t>
  </si>
  <si>
    <t>Н-14383</t>
  </si>
  <si>
    <t>Н-14384</t>
  </si>
  <si>
    <t>Н-14385</t>
  </si>
  <si>
    <t>Н-14386</t>
  </si>
  <si>
    <t>Н-14387</t>
  </si>
  <si>
    <t>Н-14388</t>
  </si>
  <si>
    <t>Н-14389</t>
  </si>
  <si>
    <t>Н-14390</t>
  </si>
  <si>
    <t>Н-14391</t>
  </si>
  <si>
    <t>Н-14392</t>
  </si>
  <si>
    <t>Н-14393</t>
  </si>
  <si>
    <t>Н-14394</t>
  </si>
  <si>
    <t>Н-14395</t>
  </si>
  <si>
    <t>Н-14396</t>
  </si>
  <si>
    <t>Н-14397</t>
  </si>
  <si>
    <t>Н-14398</t>
  </si>
  <si>
    <t>Н-14399</t>
  </si>
  <si>
    <t>Н-14400</t>
  </si>
  <si>
    <t>Н-14401</t>
  </si>
  <si>
    <t>Н-14402</t>
  </si>
  <si>
    <t>Н-14403</t>
  </si>
  <si>
    <t>Н-14404</t>
  </si>
  <si>
    <t>Н-14405</t>
  </si>
  <si>
    <t>Н-14406</t>
  </si>
  <si>
    <t>Н-14407</t>
  </si>
  <si>
    <t>Н-14408</t>
  </si>
  <si>
    <t>Н-14409</t>
  </si>
  <si>
    <t>Н-14410</t>
  </si>
  <si>
    <t>Н-14411</t>
  </si>
  <si>
    <t>Н-14412</t>
  </si>
  <si>
    <t>Н-14413</t>
  </si>
  <si>
    <t>Н-14414</t>
  </si>
  <si>
    <t>Н-14415</t>
  </si>
  <si>
    <t>Н-14416</t>
  </si>
  <si>
    <t>Н-14417</t>
  </si>
  <si>
    <t>Н-14418</t>
  </si>
  <si>
    <t>Н-14419</t>
  </si>
  <si>
    <t>Н-14420</t>
  </si>
  <si>
    <t>Н-14421</t>
  </si>
  <si>
    <t>Н-14422</t>
  </si>
  <si>
    <t>Н-14423</t>
  </si>
  <si>
    <t>Н-14424</t>
  </si>
  <si>
    <t>Н-14425</t>
  </si>
  <si>
    <t>Н-14426</t>
  </si>
  <si>
    <t>Н-14427</t>
  </si>
  <si>
    <t>Н-14428</t>
  </si>
  <si>
    <t>Н-14429</t>
  </si>
  <si>
    <t>Н-14430</t>
  </si>
  <si>
    <t>Н-14431</t>
  </si>
  <si>
    <t>Н-14432</t>
  </si>
  <si>
    <t>Н-14433</t>
  </si>
  <si>
    <t>Н-14434</t>
  </si>
  <si>
    <t>Н-14435</t>
  </si>
  <si>
    <t>Н-14436</t>
  </si>
  <si>
    <t>Н-14437</t>
  </si>
  <si>
    <t>Н-14438</t>
  </si>
  <si>
    <t>Н-14439</t>
  </si>
  <si>
    <t>Н-14440</t>
  </si>
  <si>
    <t>Н-14441</t>
  </si>
  <si>
    <t>Н-14442</t>
  </si>
  <si>
    <t>Н-14443</t>
  </si>
  <si>
    <t>Н-14444</t>
  </si>
  <si>
    <t>Н-14445</t>
  </si>
  <si>
    <t>Н-14446</t>
  </si>
  <si>
    <t>Н-14448</t>
  </si>
  <si>
    <t>Н-14449</t>
  </si>
  <si>
    <t>Н-14450</t>
  </si>
  <si>
    <t>Н-14451</t>
  </si>
  <si>
    <t>Н-14452</t>
  </si>
  <si>
    <t>Н-14453</t>
  </si>
  <si>
    <t>Н-14454</t>
  </si>
  <si>
    <t>Н-14455</t>
  </si>
  <si>
    <t>Н-14456</t>
  </si>
  <si>
    <t>Н-14457</t>
  </si>
  <si>
    <t>Н-14458</t>
  </si>
  <si>
    <t>Н-14459</t>
  </si>
  <si>
    <t>Н-14460</t>
  </si>
  <si>
    <t>Н-14461</t>
  </si>
  <si>
    <t>Н-14462</t>
  </si>
  <si>
    <t>Н-14463</t>
  </si>
  <si>
    <t>Н-14464</t>
  </si>
  <si>
    <t>Н-14465</t>
  </si>
  <si>
    <t>Н-14466</t>
  </si>
  <si>
    <t>Н-14467</t>
  </si>
  <si>
    <t>Н-14468</t>
  </si>
  <si>
    <t>Н-14469</t>
  </si>
  <si>
    <t>Н-14470</t>
  </si>
  <si>
    <t>Н-14471</t>
  </si>
  <si>
    <t>Н-14472</t>
  </si>
  <si>
    <t>Н-14473</t>
  </si>
  <si>
    <t>Н-14474</t>
  </si>
  <si>
    <t>Н-14475</t>
  </si>
  <si>
    <t>Н-14481</t>
  </si>
  <si>
    <t>Н-14482</t>
  </si>
  <si>
    <t>Н-14483</t>
  </si>
  <si>
    <t>Н-14484</t>
  </si>
  <si>
    <t>Н-14485</t>
  </si>
  <si>
    <t>Н-14486</t>
  </si>
  <si>
    <t>Н-14487</t>
  </si>
  <si>
    <t>Н-14488</t>
  </si>
  <si>
    <t>Н-14489</t>
  </si>
  <si>
    <t>Н-14490</t>
  </si>
  <si>
    <t>Н-14491</t>
  </si>
  <si>
    <t>Н-14492</t>
  </si>
  <si>
    <t>Н-14493</t>
  </si>
  <si>
    <t>Н-14494</t>
  </si>
  <si>
    <t>Н-14495</t>
  </si>
  <si>
    <t>Н-14496</t>
  </si>
  <si>
    <t>Н-14497</t>
  </si>
  <si>
    <t>Н-14498</t>
  </si>
  <si>
    <t>Н-14499</t>
  </si>
  <si>
    <t>Н-14500</t>
  </si>
  <si>
    <t>Н-14501</t>
  </si>
  <si>
    <t>Н-14502</t>
  </si>
  <si>
    <t>Н-14503</t>
  </si>
  <si>
    <t>Н-14504</t>
  </si>
  <si>
    <t>Н-14505</t>
  </si>
  <si>
    <t>Н-14506</t>
  </si>
  <si>
    <t>Н-14507</t>
  </si>
  <si>
    <t>Н-14508</t>
  </si>
  <si>
    <t>Н-14509</t>
  </si>
  <si>
    <t>Н-14510</t>
  </si>
  <si>
    <t>Н-14511</t>
  </si>
  <si>
    <t>Н-14512</t>
  </si>
  <si>
    <t>Н-14513</t>
  </si>
  <si>
    <t>Н-14514</t>
  </si>
  <si>
    <t>Н-14515</t>
  </si>
  <si>
    <t>Н-14516</t>
  </si>
  <si>
    <t>Н-14517</t>
  </si>
  <si>
    <t>Н-14518</t>
  </si>
  <si>
    <t>Н-14519</t>
  </si>
  <si>
    <t>Н-14520</t>
  </si>
  <si>
    <t>Н-14521</t>
  </si>
  <si>
    <t>Н-14522</t>
  </si>
  <si>
    <t>Н-14523</t>
  </si>
  <si>
    <t>Н-14524</t>
  </si>
  <si>
    <t>Н-14525</t>
  </si>
  <si>
    <t>Н-14526</t>
  </si>
  <si>
    <t>Н-14527</t>
  </si>
  <si>
    <t>Н-14528</t>
  </si>
  <si>
    <t>Н-14529</t>
  </si>
  <si>
    <t>Н-14530</t>
  </si>
  <si>
    <t>Н-14531</t>
  </si>
  <si>
    <t>Н-14532</t>
  </si>
  <si>
    <t>Н-14533</t>
  </si>
  <si>
    <t>Н-14534</t>
  </si>
  <si>
    <t>Н-14535</t>
  </si>
  <si>
    <t>Н-14536</t>
  </si>
  <si>
    <t>Н-14537</t>
  </si>
  <si>
    <t>Н-14538</t>
  </si>
  <si>
    <t>Н-14539</t>
  </si>
  <si>
    <t>Н-14540</t>
  </si>
  <si>
    <t>Н-14541</t>
  </si>
  <si>
    <t>Н-14542</t>
  </si>
  <si>
    <t>Н-14543</t>
  </si>
  <si>
    <t>Н-14544</t>
  </si>
  <si>
    <t>Н-14545</t>
  </si>
  <si>
    <t>Н-14546</t>
  </si>
  <si>
    <t>Н-14547</t>
  </si>
  <si>
    <t>Н-14548</t>
  </si>
  <si>
    <t>Н-14549</t>
  </si>
  <si>
    <t>Н-14550</t>
  </si>
  <si>
    <t>Н-14551</t>
  </si>
  <si>
    <t>Н-14552</t>
  </si>
  <si>
    <t>Н-14553</t>
  </si>
  <si>
    <t>Н-14554</t>
  </si>
  <si>
    <t>Н-14555</t>
  </si>
  <si>
    <t>Н-14556</t>
  </si>
  <si>
    <t>Н-14557</t>
  </si>
  <si>
    <t>Н-14558</t>
  </si>
  <si>
    <t>Н-14559</t>
  </si>
  <si>
    <t>Н-14560</t>
  </si>
  <si>
    <t>Н-14561</t>
  </si>
  <si>
    <t>Н-14562</t>
  </si>
  <si>
    <t>Н-14563</t>
  </si>
  <si>
    <t>Н-14564</t>
  </si>
  <si>
    <t>Н-14565</t>
  </si>
  <si>
    <t>Н-14566</t>
  </si>
  <si>
    <t>Н-14567</t>
  </si>
  <si>
    <t>Н-14568</t>
  </si>
  <si>
    <t>Н-14569</t>
  </si>
  <si>
    <t>Н-14570</t>
  </si>
  <si>
    <t>Н-14571</t>
  </si>
  <si>
    <t>Н-14572</t>
  </si>
  <si>
    <t>Н-14578</t>
  </si>
  <si>
    <t>Н-14579</t>
  </si>
  <si>
    <t>Н-14580</t>
  </si>
  <si>
    <t>Н-14581</t>
  </si>
  <si>
    <t>Н-14582</t>
  </si>
  <si>
    <t>Н-14583</t>
  </si>
  <si>
    <t>Н-14584</t>
  </si>
  <si>
    <t>Н-14585</t>
  </si>
  <si>
    <t>Н-14586</t>
  </si>
  <si>
    <t>Н-14587</t>
  </si>
  <si>
    <t>Н-14588</t>
  </si>
  <si>
    <t>Н-14589</t>
  </si>
  <si>
    <t>Н-14590</t>
  </si>
  <si>
    <t>Н-14591</t>
  </si>
  <si>
    <t>Н-14592</t>
  </si>
  <si>
    <t>Н-14593</t>
  </si>
  <si>
    <t>Н-14594</t>
  </si>
  <si>
    <t>Н-14595</t>
  </si>
  <si>
    <t>Н-14596</t>
  </si>
  <si>
    <t>Н-14597</t>
  </si>
  <si>
    <t>Н-14598</t>
  </si>
  <si>
    <t>Н-14599</t>
  </si>
  <si>
    <t>Н-14600</t>
  </si>
  <si>
    <t>Н-14601</t>
  </si>
  <si>
    <t>Н-14602</t>
  </si>
  <si>
    <t>Н-14603</t>
  </si>
  <si>
    <t>Н-14604</t>
  </si>
  <si>
    <t>Н-14605</t>
  </si>
  <si>
    <t>Н-14606</t>
  </si>
  <si>
    <t>Н-14607</t>
  </si>
  <si>
    <t>Н-14608</t>
  </si>
  <si>
    <t>Н-14609</t>
  </si>
  <si>
    <t>Н-14610</t>
  </si>
  <si>
    <t>Н-14611</t>
  </si>
  <si>
    <t>Н-14612</t>
  </si>
  <si>
    <t>Н-14613</t>
  </si>
  <si>
    <t>Н-14614</t>
  </si>
  <si>
    <t>Н-14615</t>
  </si>
  <si>
    <t>Н-14616</t>
  </si>
  <si>
    <t>Н-14617</t>
  </si>
  <si>
    <t>Н-14618</t>
  </si>
  <si>
    <t>Н-14619</t>
  </si>
  <si>
    <t>Н-14620</t>
  </si>
  <si>
    <t>Н-14621</t>
  </si>
  <si>
    <t>Н-14622</t>
  </si>
  <si>
    <t>Н-14623</t>
  </si>
  <si>
    <t>Н-14624</t>
  </si>
  <si>
    <t>Н-14625</t>
  </si>
  <si>
    <t>Н-14626</t>
  </si>
  <si>
    <t>Н-14627</t>
  </si>
  <si>
    <t>Н-14628</t>
  </si>
  <si>
    <t>Н-14629</t>
  </si>
  <si>
    <t>Н-14630</t>
  </si>
  <si>
    <t>Н-14631</t>
  </si>
  <si>
    <t>Н-14632</t>
  </si>
  <si>
    <t>Н-14633</t>
  </si>
  <si>
    <t>Н-14634</t>
  </si>
  <si>
    <t>Н-14635</t>
  </si>
  <si>
    <t>Н-14636</t>
  </si>
  <si>
    <t>Н-14637</t>
  </si>
  <si>
    <t>Н-14638</t>
  </si>
  <si>
    <t>Н-14639</t>
  </si>
  <si>
    <t>Н-14640</t>
  </si>
  <si>
    <t>Н-14641</t>
  </si>
  <si>
    <t>Н-14642</t>
  </si>
  <si>
    <t>Н-14643</t>
  </si>
  <si>
    <t>Н-14644</t>
  </si>
  <si>
    <t>Н-14645</t>
  </si>
  <si>
    <t>Н-14646</t>
  </si>
  <si>
    <t>Н-14647</t>
  </si>
  <si>
    <t>Н-14648</t>
  </si>
  <si>
    <t>Н-14649</t>
  </si>
  <si>
    <t>Н-14650</t>
  </si>
  <si>
    <t>Н-14651</t>
  </si>
  <si>
    <t>Н-14652</t>
  </si>
  <si>
    <t>Н-14653</t>
  </si>
  <si>
    <t>Н-14654</t>
  </si>
  <si>
    <t>Н-14655</t>
  </si>
  <si>
    <t>Н-14656</t>
  </si>
  <si>
    <t>Н-14657</t>
  </si>
  <si>
    <t>Н-14658</t>
  </si>
  <si>
    <t>Н-14659</t>
  </si>
  <si>
    <t>Н-14660</t>
  </si>
  <si>
    <t>Н-14661</t>
  </si>
  <si>
    <t>Н-14662</t>
  </si>
  <si>
    <t>Н-14663</t>
  </si>
  <si>
    <t>Н-14664</t>
  </si>
  <si>
    <t>Н-14665</t>
  </si>
  <si>
    <t>Н-14666</t>
  </si>
  <si>
    <t>Н-14672</t>
  </si>
  <si>
    <t>Н-14673</t>
  </si>
  <si>
    <t>Н-14674</t>
  </si>
  <si>
    <t>Н-14675</t>
  </si>
  <si>
    <t>Н-14676</t>
  </si>
  <si>
    <t>Н-14677</t>
  </si>
  <si>
    <t>Н-14678</t>
  </si>
  <si>
    <t>Н-14679</t>
  </si>
  <si>
    <t>Н-14680</t>
  </si>
  <si>
    <t>Н-14681</t>
  </si>
  <si>
    <t>Н-14682</t>
  </si>
  <si>
    <t>Н-14683</t>
  </si>
  <si>
    <t>Н-14684</t>
  </si>
  <si>
    <t>Н-14685</t>
  </si>
  <si>
    <t>Н-14686</t>
  </si>
  <si>
    <t>Н-14687</t>
  </si>
  <si>
    <t>Н-14688</t>
  </si>
  <si>
    <t>Н-14689</t>
  </si>
  <si>
    <t>Н-14690</t>
  </si>
  <si>
    <t>Н-14691</t>
  </si>
  <si>
    <t>Н-14692</t>
  </si>
  <si>
    <t>Н-14693</t>
  </si>
  <si>
    <t>Н-14694</t>
  </si>
  <si>
    <t>Н-14695</t>
  </si>
  <si>
    <t>Н-14696</t>
  </si>
  <si>
    <t>Н-14697</t>
  </si>
  <si>
    <t>Н-14698</t>
  </si>
  <si>
    <t>Н-14699</t>
  </si>
  <si>
    <t>Н-14700</t>
  </si>
  <si>
    <t>Н-14701</t>
  </si>
  <si>
    <t>Н-14702</t>
  </si>
  <si>
    <t>Н-14703</t>
  </si>
  <si>
    <t>Н-14704</t>
  </si>
  <si>
    <t>Н-14705</t>
  </si>
  <si>
    <t>Н-14706</t>
  </si>
  <si>
    <t>Н-14707</t>
  </si>
  <si>
    <t>Н-14708</t>
  </si>
  <si>
    <t>Н-14709</t>
  </si>
  <si>
    <t>Н-14710</t>
  </si>
  <si>
    <t>Н-14711</t>
  </si>
  <si>
    <t>Н-14712</t>
  </si>
  <si>
    <t>Н-14713</t>
  </si>
  <si>
    <t>Н-14714</t>
  </si>
  <si>
    <t>Н-14715</t>
  </si>
  <si>
    <t>Н-14716</t>
  </si>
  <si>
    <t>Н-14717</t>
  </si>
  <si>
    <t>Н-14718</t>
  </si>
  <si>
    <t>Н-14719</t>
  </si>
  <si>
    <t>Н-14720</t>
  </si>
  <si>
    <t>Н-14721</t>
  </si>
  <si>
    <t>Н-14722</t>
  </si>
  <si>
    <t>Н-14723</t>
  </si>
  <si>
    <t>Н-14724</t>
  </si>
  <si>
    <t>Н-14725</t>
  </si>
  <si>
    <t>Н-14726</t>
  </si>
  <si>
    <t>Н-14727</t>
  </si>
  <si>
    <t>Н-14728</t>
  </si>
  <si>
    <t>Н-14729</t>
  </si>
  <si>
    <t>Н-14730</t>
  </si>
  <si>
    <t>Н-14731</t>
  </si>
  <si>
    <t>Н-14732</t>
  </si>
  <si>
    <t>Н-14733</t>
  </si>
  <si>
    <t>Н-14734</t>
  </si>
  <si>
    <t>Н-14735</t>
  </si>
  <si>
    <t>Н-14736</t>
  </si>
  <si>
    <t>Н-14738</t>
  </si>
  <si>
    <t>Н-14739</t>
  </si>
  <si>
    <t>Н-14740</t>
  </si>
  <si>
    <t>Н-14741</t>
  </si>
  <si>
    <t>Н-14742</t>
  </si>
  <si>
    <t>Н-14743</t>
  </si>
  <si>
    <t>Н-14744</t>
  </si>
  <si>
    <t>Н-14745</t>
  </si>
  <si>
    <t>Н-14747</t>
  </si>
  <si>
    <t>Н-14748</t>
  </si>
  <si>
    <t>Н-14749</t>
  </si>
  <si>
    <t>Н-14750</t>
  </si>
  <si>
    <t>Н-14751</t>
  </si>
  <si>
    <t>Н-14752</t>
  </si>
  <si>
    <t>Н-14753</t>
  </si>
  <si>
    <t>Н-14754</t>
  </si>
  <si>
    <t>Н-14755</t>
  </si>
  <si>
    <t>Н-14756</t>
  </si>
  <si>
    <t>Н-14757</t>
  </si>
  <si>
    <t>Н-14758</t>
  </si>
  <si>
    <t>Н-14759</t>
  </si>
  <si>
    <t>Н-14760</t>
  </si>
  <si>
    <t>Н-14761</t>
  </si>
  <si>
    <t>Н-14762</t>
  </si>
  <si>
    <t>Н-14763</t>
  </si>
  <si>
    <t>Н-14764</t>
  </si>
  <si>
    <t>Н-14765</t>
  </si>
  <si>
    <t>Н-14766</t>
  </si>
  <si>
    <t>Н-14767</t>
  </si>
  <si>
    <t>Н-14768</t>
  </si>
  <si>
    <t>Н-14769</t>
  </si>
  <si>
    <t>Н-14770</t>
  </si>
  <si>
    <t>Н-14771</t>
  </si>
  <si>
    <t>Н-14772</t>
  </si>
  <si>
    <t>Н-14773</t>
  </si>
  <si>
    <t>Н-14774</t>
  </si>
  <si>
    <t>Н-14775</t>
  </si>
  <si>
    <t>Н-14776</t>
  </si>
  <si>
    <t>Н-14777</t>
  </si>
  <si>
    <t>Н-14778</t>
  </si>
  <si>
    <t>Н-14779</t>
  </si>
  <si>
    <t>Н-14780</t>
  </si>
  <si>
    <t>Н-14781</t>
  </si>
  <si>
    <t>Н-14782</t>
  </si>
  <si>
    <t>Н-14783</t>
  </si>
  <si>
    <t>Н-14784</t>
  </si>
  <si>
    <t>Н-14785</t>
  </si>
  <si>
    <t>Н-14786</t>
  </si>
  <si>
    <t>Н-14787</t>
  </si>
  <si>
    <t>Н-14788</t>
  </si>
  <si>
    <t>Н-14789</t>
  </si>
  <si>
    <t>Н-14790</t>
  </si>
  <si>
    <t>Н-14791</t>
  </si>
  <si>
    <t>Н-14792</t>
  </si>
  <si>
    <t>Н-14793</t>
  </si>
  <si>
    <t>Н-14794</t>
  </si>
  <si>
    <t>Н-14795</t>
  </si>
  <si>
    <t>Н-14796</t>
  </si>
  <si>
    <t>Н-14797</t>
  </si>
  <si>
    <t>Н-14798</t>
  </si>
  <si>
    <t>Н-14799</t>
  </si>
  <si>
    <t>Н-14800</t>
  </si>
  <si>
    <t>Н-14801</t>
  </si>
  <si>
    <t>Н-14802</t>
  </si>
  <si>
    <t>Н-14803</t>
  </si>
  <si>
    <t>Н-14804</t>
  </si>
  <si>
    <t>Н-14805</t>
  </si>
  <si>
    <t>Н-14806</t>
  </si>
  <si>
    <t>Н-14807</t>
  </si>
  <si>
    <t>Н-14808</t>
  </si>
  <si>
    <t>Н-14810</t>
  </si>
  <si>
    <t>Н-14811</t>
  </si>
  <si>
    <t>Н-14812</t>
  </si>
  <si>
    <t>Н-14813</t>
  </si>
  <si>
    <t>Н-14814</t>
  </si>
  <si>
    <t>Н-14815</t>
  </si>
  <si>
    <t>Н-14816</t>
  </si>
  <si>
    <t>Н-14817</t>
  </si>
  <si>
    <t>Н-14818</t>
  </si>
  <si>
    <t>Н-14819</t>
  </si>
  <si>
    <t>Н-14820</t>
  </si>
  <si>
    <t>Н-14821</t>
  </si>
  <si>
    <t>Н-14822</t>
  </si>
  <si>
    <t>Н-14823</t>
  </si>
  <si>
    <t>Н-14824</t>
  </si>
  <si>
    <t>Н-14825</t>
  </si>
  <si>
    <t>Н-14826</t>
  </si>
  <si>
    <t>Н-14827</t>
  </si>
  <si>
    <t>Н-14828</t>
  </si>
  <si>
    <t>Н-14829</t>
  </si>
  <si>
    <t>Н-14830</t>
  </si>
  <si>
    <t>Н-14831</t>
  </si>
  <si>
    <t>Н-14832</t>
  </si>
  <si>
    <t>Н-14833</t>
  </si>
  <si>
    <t>Н-14834</t>
  </si>
  <si>
    <t>Н-14835</t>
  </si>
  <si>
    <t>Н-14836</t>
  </si>
  <si>
    <t>Н-14837</t>
  </si>
  <si>
    <t>Н-14838</t>
  </si>
  <si>
    <t>Н-14839</t>
  </si>
  <si>
    <t>Н-14840</t>
  </si>
  <si>
    <t>Н-14841</t>
  </si>
  <si>
    <t>Н-14842</t>
  </si>
  <si>
    <t>Н-14843</t>
  </si>
  <si>
    <t>Н-14844</t>
  </si>
  <si>
    <t>Н-14845</t>
  </si>
  <si>
    <t>Н-14846</t>
  </si>
  <si>
    <t>Н-14847</t>
  </si>
  <si>
    <t>Н-14848</t>
  </si>
  <si>
    <t>Н-14849</t>
  </si>
  <si>
    <t>Н-14850</t>
  </si>
  <si>
    <t>Н-14851</t>
  </si>
  <si>
    <t>Н-14857</t>
  </si>
  <si>
    <t>Н-14858</t>
  </si>
  <si>
    <t>Н-14859</t>
  </si>
  <si>
    <t>Н-14860</t>
  </si>
  <si>
    <t>Н-14861</t>
  </si>
  <si>
    <t>Н-14862</t>
  </si>
  <si>
    <t>Н-14863</t>
  </si>
  <si>
    <t>Н-14864</t>
  </si>
  <si>
    <t>Н-14865</t>
  </si>
  <si>
    <t>Н-14866</t>
  </si>
  <si>
    <t>Н-14867</t>
  </si>
  <si>
    <t>Н-14868</t>
  </si>
  <si>
    <t>Н-14869</t>
  </si>
  <si>
    <t>Н-14870</t>
  </si>
  <si>
    <t>Н-14871</t>
  </si>
  <si>
    <t>Н-14872</t>
  </si>
  <si>
    <t>Н-14873</t>
  </si>
  <si>
    <t>Н-14874</t>
  </si>
  <si>
    <t>Н-14875</t>
  </si>
  <si>
    <t>Н-14876</t>
  </si>
  <si>
    <t>Н-14877</t>
  </si>
  <si>
    <t>Н-14878</t>
  </si>
  <si>
    <t>Н-14879</t>
  </si>
  <si>
    <t>Н-14880</t>
  </si>
  <si>
    <t>Н-14881</t>
  </si>
  <si>
    <t>Н-14882</t>
  </si>
  <si>
    <t>Н-14883</t>
  </si>
  <si>
    <t>Н-14884</t>
  </si>
  <si>
    <t>Н-14885</t>
  </si>
  <si>
    <t>Н-14886</t>
  </si>
  <si>
    <t>Н-14888</t>
  </si>
  <si>
    <t>Н-14889</t>
  </si>
  <si>
    <t>Н-14890</t>
  </si>
  <si>
    <t>Н-14891</t>
  </si>
  <si>
    <t>Н-14892</t>
  </si>
  <si>
    <t>Н-14893</t>
  </si>
  <si>
    <t>Н-14894</t>
  </si>
  <si>
    <t>Н-14895</t>
  </si>
  <si>
    <t>Н-14896</t>
  </si>
  <si>
    <t>Н-14897</t>
  </si>
  <si>
    <t>Н-14898</t>
  </si>
  <si>
    <t>Н-14899</t>
  </si>
  <si>
    <t>Н-14900</t>
  </si>
  <si>
    <t>Н-14901</t>
  </si>
  <si>
    <t>Н-14902</t>
  </si>
  <si>
    <t>Н-14903</t>
  </si>
  <si>
    <t>Н-14904</t>
  </si>
  <si>
    <t>Н-14905</t>
  </si>
  <si>
    <t>Н-14906</t>
  </si>
  <si>
    <t>Н-14907</t>
  </si>
  <si>
    <t>Н-14908</t>
  </si>
  <si>
    <t>Н-14909</t>
  </si>
  <si>
    <t>Н-14910</t>
  </si>
  <si>
    <t>Н-14911</t>
  </si>
  <si>
    <t>Н-14912</t>
  </si>
  <si>
    <t>Н-14913</t>
  </si>
  <si>
    <t>Н-14914</t>
  </si>
  <si>
    <t>Н-14915</t>
  </si>
  <si>
    <t>Н-14916</t>
  </si>
  <si>
    <t>Н-14917</t>
  </si>
  <si>
    <t>Н-14918</t>
  </si>
  <si>
    <t>Н-14919</t>
  </si>
  <si>
    <t>Н-14920</t>
  </si>
  <si>
    <t>Н-14921</t>
  </si>
  <si>
    <t>Н-14922</t>
  </si>
  <si>
    <t>Н-14923</t>
  </si>
  <si>
    <t>Н-14924</t>
  </si>
  <si>
    <t>Н-14925</t>
  </si>
  <si>
    <t>Н-14926</t>
  </si>
  <si>
    <t>Н-14927</t>
  </si>
  <si>
    <t>Н-14928</t>
  </si>
  <si>
    <t>Н-14929</t>
  </si>
  <si>
    <t>Н-14930</t>
  </si>
  <si>
    <t>Н-14931</t>
  </si>
  <si>
    <t>Н-14932</t>
  </si>
  <si>
    <t>Н-14933</t>
  </si>
  <si>
    <t>Н-14934</t>
  </si>
  <si>
    <t>Н-14935</t>
  </si>
  <si>
    <t>Н-14936</t>
  </si>
  <si>
    <t>Н-14937</t>
  </si>
  <si>
    <t>Н-14938</t>
  </si>
  <si>
    <t>Н-14939</t>
  </si>
  <si>
    <t>Н-14940</t>
  </si>
  <si>
    <t>Н-14941</t>
  </si>
  <si>
    <t>Н-14942</t>
  </si>
  <si>
    <t>Н-14943</t>
  </si>
  <si>
    <t>Н-14944</t>
  </si>
  <si>
    <t>Н-14945</t>
  </si>
  <si>
    <t>Н-14946</t>
  </si>
  <si>
    <t>Н-14947</t>
  </si>
  <si>
    <t>Н-14948</t>
  </si>
  <si>
    <t>Н-14949</t>
  </si>
  <si>
    <t>Н-14950</t>
  </si>
  <si>
    <t>Н-14951</t>
  </si>
  <si>
    <t>Н-14952</t>
  </si>
  <si>
    <t>Н-14953</t>
  </si>
  <si>
    <t>Н-14954</t>
  </si>
  <si>
    <t>Н-14955</t>
  </si>
  <si>
    <t>Н-14956</t>
  </si>
  <si>
    <t>Н-14957</t>
  </si>
  <si>
    <t>Н-14958</t>
  </si>
  <si>
    <t>Н-14959</t>
  </si>
  <si>
    <t>Н-14960</t>
  </si>
  <si>
    <t>Н-14961</t>
  </si>
  <si>
    <t>Н-14962</t>
  </si>
  <si>
    <t>Н-14963</t>
  </si>
  <si>
    <t>Н-14964</t>
  </si>
  <si>
    <t>Н-14965</t>
  </si>
  <si>
    <t>Н-14966</t>
  </si>
  <si>
    <t>Н-14967</t>
  </si>
  <si>
    <t>Н-14968</t>
  </si>
  <si>
    <t>Н-14969</t>
  </si>
  <si>
    <t>Н-14970</t>
  </si>
  <si>
    <t>Н-14971</t>
  </si>
  <si>
    <t>Н-14972</t>
  </si>
  <si>
    <t>Н-14973</t>
  </si>
  <si>
    <t>Н-14974</t>
  </si>
  <si>
    <t>Н-14975</t>
  </si>
  <si>
    <t>Н-14976</t>
  </si>
  <si>
    <t>Н-14977</t>
  </si>
  <si>
    <t>Н-14978</t>
  </si>
  <si>
    <t>Н-14979</t>
  </si>
  <si>
    <t>Н-14980</t>
  </si>
  <si>
    <t>Н-14981</t>
  </si>
  <si>
    <t>Н-14982</t>
  </si>
  <si>
    <t>Н-14983</t>
  </si>
  <si>
    <t>Н-14984</t>
  </si>
  <si>
    <t>Н-14985</t>
  </si>
  <si>
    <t>Н-14986</t>
  </si>
  <si>
    <t>Н-14987</t>
  </si>
  <si>
    <t>Н-14988</t>
  </si>
  <si>
    <t>Н-14989</t>
  </si>
  <si>
    <t>Н-14990</t>
  </si>
  <si>
    <t>Н-14991</t>
  </si>
  <si>
    <t>Н-14992</t>
  </si>
  <si>
    <t>Н-14993</t>
  </si>
  <si>
    <t>Н-14994</t>
  </si>
  <si>
    <t>Н-14995</t>
  </si>
  <si>
    <t>Н-14996</t>
  </si>
  <si>
    <t>Н-11624</t>
  </si>
  <si>
    <t>Н-11625</t>
  </si>
  <si>
    <t>Н-11626</t>
  </si>
  <si>
    <t>Н-11627</t>
  </si>
  <si>
    <t>Н-11628</t>
  </si>
  <si>
    <t>Н-11629</t>
  </si>
  <si>
    <t>Н-11630</t>
  </si>
  <si>
    <t>Н-11631</t>
  </si>
  <si>
    <t>Н-11632</t>
  </si>
  <si>
    <t>Н-11633</t>
  </si>
  <si>
    <t>Н-11634</t>
  </si>
  <si>
    <t>Н-11635</t>
  </si>
  <si>
    <t>Н-11636</t>
  </si>
  <si>
    <t>Н-11638</t>
  </si>
  <si>
    <t>Н-11639</t>
  </si>
  <si>
    <t>Н-11640</t>
  </si>
  <si>
    <t>Н-11641</t>
  </si>
  <si>
    <t>Н-11642</t>
  </si>
  <si>
    <t>Н-11643</t>
  </si>
  <si>
    <t>Н-11644</t>
  </si>
  <si>
    <t>Н-11645</t>
  </si>
  <si>
    <t>Н-11646</t>
  </si>
  <si>
    <t>Н-11647</t>
  </si>
  <si>
    <t>Н-11648</t>
  </si>
  <si>
    <t>Н-11649</t>
  </si>
  <si>
    <t>Н-11650</t>
  </si>
  <si>
    <t>Н-11651</t>
  </si>
  <si>
    <t>Н-11652</t>
  </si>
  <si>
    <t>Н-11653</t>
  </si>
  <si>
    <t>Н-11654</t>
  </si>
  <si>
    <t>Н-11655</t>
  </si>
  <si>
    <t>Н-11656</t>
  </si>
  <si>
    <t>Н-11657</t>
  </si>
  <si>
    <t>Н-11658</t>
  </si>
  <si>
    <t>Н-11659</t>
  </si>
  <si>
    <t>Н-11660</t>
  </si>
  <si>
    <t>Н-11661</t>
  </si>
  <si>
    <t>Н-11662</t>
  </si>
  <si>
    <t>Н-11663</t>
  </si>
  <si>
    <t>Н-11664</t>
  </si>
  <si>
    <t>Н-11665</t>
  </si>
  <si>
    <t>Н-11666</t>
  </si>
  <si>
    <t>Н-11667</t>
  </si>
  <si>
    <t>Н-11668</t>
  </si>
  <si>
    <t>Н-11669</t>
  </si>
  <si>
    <t>Н-11670</t>
  </si>
  <si>
    <t>Н-11671</t>
  </si>
  <si>
    <t>Н-11672</t>
  </si>
  <si>
    <t>Н-11673</t>
  </si>
  <si>
    <t>Н-11674</t>
  </si>
  <si>
    <t>Н-11675</t>
  </si>
  <si>
    <t>Н-11676</t>
  </si>
  <si>
    <t>Н-11677</t>
  </si>
  <si>
    <t>Н-11678</t>
  </si>
  <si>
    <t>Н-11679</t>
  </si>
  <si>
    <t>Н-11680</t>
  </si>
  <si>
    <t>Н-11681</t>
  </si>
  <si>
    <t>Н-11682</t>
  </si>
  <si>
    <t>Н-11683</t>
  </si>
  <si>
    <t>Н-11684</t>
  </si>
  <si>
    <t>Н-11685</t>
  </si>
  <si>
    <t>Н-11686</t>
  </si>
  <si>
    <t>Н-11687</t>
  </si>
  <si>
    <t>Н-11688</t>
  </si>
  <si>
    <t>Н-11689</t>
  </si>
  <si>
    <t>Н-11690</t>
  </si>
  <si>
    <t>Н-11691</t>
  </si>
  <si>
    <t>Н-11692</t>
  </si>
  <si>
    <t>Н-11693</t>
  </si>
  <si>
    <t>Н-11694</t>
  </si>
  <si>
    <t>Н-11695</t>
  </si>
  <si>
    <t>Н-11696</t>
  </si>
  <si>
    <t>Н-11697</t>
  </si>
  <si>
    <t>Н-11698</t>
  </si>
  <si>
    <t>Н-11699</t>
  </si>
  <si>
    <t>Н-11700</t>
  </si>
  <si>
    <t>Н-11701</t>
  </si>
  <si>
    <t>Н-11702</t>
  </si>
  <si>
    <t>Н-11703</t>
  </si>
  <si>
    <t>Н-11705</t>
  </si>
  <si>
    <t>Н-11706</t>
  </si>
  <si>
    <t>Н-11707</t>
  </si>
  <si>
    <t>Н-11708</t>
  </si>
  <si>
    <t>Н-11709</t>
  </si>
  <si>
    <t>Н-11710</t>
  </si>
  <si>
    <t>Н-11711</t>
  </si>
  <si>
    <t>Н-11712</t>
  </si>
  <si>
    <t>Н-11713</t>
  </si>
  <si>
    <t>Н-11714</t>
  </si>
  <si>
    <t>Н-11715</t>
  </si>
  <si>
    <t>Н-11716</t>
  </si>
  <si>
    <t>Н-11717</t>
  </si>
  <si>
    <t>Н-11718</t>
  </si>
  <si>
    <t>Н-11719</t>
  </si>
  <si>
    <t>Н-11720</t>
  </si>
  <si>
    <t>Н-11721</t>
  </si>
  <si>
    <t>Н-11722</t>
  </si>
  <si>
    <t>Н-11723</t>
  </si>
  <si>
    <t>Н-11724</t>
  </si>
  <si>
    <t>Н-11725</t>
  </si>
  <si>
    <t>Н-11726</t>
  </si>
  <si>
    <t>Н-11727</t>
  </si>
  <si>
    <t>Н-11728</t>
  </si>
  <si>
    <t>Н-11729</t>
  </si>
  <si>
    <t>Н-11730</t>
  </si>
  <si>
    <t>Н-11731</t>
  </si>
  <si>
    <t>Н-11732</t>
  </si>
  <si>
    <t>Н-11733</t>
  </si>
  <si>
    <t>Н-11734</t>
  </si>
  <si>
    <t>Н-11735</t>
  </si>
  <si>
    <t>Н-11736</t>
  </si>
  <si>
    <t>Н-11737</t>
  </si>
  <si>
    <t>Н-11738</t>
  </si>
  <si>
    <t>Н-11739</t>
  </si>
  <si>
    <t>Н-11740</t>
  </si>
  <si>
    <t>Н-11741</t>
  </si>
  <si>
    <t>Н-11742</t>
  </si>
  <si>
    <t>Н-11743</t>
  </si>
  <si>
    <t>Н-11744</t>
  </si>
  <si>
    <t>Н-11745</t>
  </si>
  <si>
    <t>Н-11746</t>
  </si>
  <si>
    <t>Н-11747</t>
  </si>
  <si>
    <t>Н-11748</t>
  </si>
  <si>
    <t>Н-11749</t>
  </si>
  <si>
    <t>Н-11750</t>
  </si>
  <si>
    <t>Н-11751</t>
  </si>
  <si>
    <t>Н-11752</t>
  </si>
  <si>
    <t>Н-11753</t>
  </si>
  <si>
    <t>Н-11754</t>
  </si>
  <si>
    <t>Н-11755</t>
  </si>
  <si>
    <t>Н-11756</t>
  </si>
  <si>
    <t>Н-11757</t>
  </si>
  <si>
    <t>Н-11758</t>
  </si>
  <si>
    <t>Н-11759</t>
  </si>
  <si>
    <t>Н-11760</t>
  </si>
  <si>
    <t>Н-11761</t>
  </si>
  <si>
    <t>Н-11762</t>
  </si>
  <si>
    <t>Н-11763</t>
  </si>
  <si>
    <t>Н-11764</t>
  </si>
  <si>
    <t>Н-11765</t>
  </si>
  <si>
    <t>Н-11766</t>
  </si>
  <si>
    <t>Н-11767</t>
  </si>
  <si>
    <t>Н-11768</t>
  </si>
  <si>
    <t>Н-11769</t>
  </si>
  <si>
    <t>Н-11770</t>
  </si>
  <si>
    <t>Н-11771</t>
  </si>
  <si>
    <t>Н-11772</t>
  </si>
  <si>
    <t>Н-11773</t>
  </si>
  <si>
    <t>Н-11774</t>
  </si>
  <si>
    <t>Н-11775</t>
  </si>
  <si>
    <t>Н-11776</t>
  </si>
  <si>
    <t>Н-11777</t>
  </si>
  <si>
    <t>Н-11778</t>
  </si>
  <si>
    <t>Н-11779</t>
  </si>
  <si>
    <t>Н-11780</t>
  </si>
  <si>
    <t>Н-11781</t>
  </si>
  <si>
    <t>Н-11782</t>
  </si>
  <si>
    <t>Н-11783</t>
  </si>
  <si>
    <t>Н-11784</t>
  </si>
  <si>
    <t>Н-11785</t>
  </si>
  <si>
    <t>Н-11786</t>
  </si>
  <si>
    <t>Н-11787</t>
  </si>
  <si>
    <t>Н-11788</t>
  </si>
  <si>
    <t>Н-11789</t>
  </si>
  <si>
    <t>Н-11790</t>
  </si>
  <si>
    <t>Н-11791</t>
  </si>
  <si>
    <t>Н-11792</t>
  </si>
  <si>
    <t>Н-11793</t>
  </si>
  <si>
    <t>Н-11794</t>
  </si>
  <si>
    <t>Н-11795</t>
  </si>
  <si>
    <t>Н-11796</t>
  </si>
  <si>
    <t>Н-11797</t>
  </si>
  <si>
    <t>Н-11798</t>
  </si>
  <si>
    <t>Н-11799</t>
  </si>
  <si>
    <t>Н-11800</t>
  </si>
  <si>
    <t>Н-11801</t>
  </si>
  <si>
    <t>Н-11802</t>
  </si>
  <si>
    <t>Н-11803</t>
  </si>
  <si>
    <t>Н-11804</t>
  </si>
  <si>
    <t>Н-11805</t>
  </si>
  <si>
    <t>Н-11806</t>
  </si>
  <si>
    <t>Н-11807</t>
  </si>
  <si>
    <t>Н-11808</t>
  </si>
  <si>
    <t>Н-11809</t>
  </si>
  <si>
    <t>Н-11810</t>
  </si>
  <si>
    <t>Н-11811</t>
  </si>
  <si>
    <t>Н-11812</t>
  </si>
  <si>
    <t>Н-11813</t>
  </si>
  <si>
    <t>Н-11814</t>
  </si>
  <si>
    <t>Н-11815</t>
  </si>
  <si>
    <t>Н-11816</t>
  </si>
  <si>
    <t>Н-11817</t>
  </si>
  <si>
    <t>Н-11818</t>
  </si>
  <si>
    <t>Н-11819</t>
  </si>
  <si>
    <t>Н-11820</t>
  </si>
  <si>
    <t>Н-11821</t>
  </si>
  <si>
    <t>Н-11822</t>
  </si>
  <si>
    <t>Н-11823</t>
  </si>
  <si>
    <t>Н-11824</t>
  </si>
  <si>
    <t>Н-11825</t>
  </si>
  <si>
    <t>Н-11826</t>
  </si>
  <si>
    <t>Н-11827</t>
  </si>
  <si>
    <t>Н-11828</t>
  </si>
  <si>
    <t>Н-11829</t>
  </si>
  <si>
    <t>Н-11830</t>
  </si>
  <si>
    <t>Н-11831</t>
  </si>
  <si>
    <t>Н-11832</t>
  </si>
  <si>
    <t>Н-11833</t>
  </si>
  <si>
    <t>Н-11834</t>
  </si>
  <si>
    <t>Н-11835</t>
  </si>
  <si>
    <t>Н-11836</t>
  </si>
  <si>
    <t>Н-11837</t>
  </si>
  <si>
    <t>Н-11838</t>
  </si>
  <si>
    <t>Н-11839</t>
  </si>
  <si>
    <t>Н-11840</t>
  </si>
  <si>
    <t>Н-11841</t>
  </si>
  <si>
    <t>Индекс и номер дороги</t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</si>
  <si>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М-5/П 1 Подъезд к г. Бобруйску № 1 от автомобильной дороги М-5/Е 271</t>
    </r>
    <r>
      <rPr>
        <b/>
        <u/>
        <sz val="12"/>
        <color indexed="12"/>
        <rFont val="Times New Roman"/>
        <family val="1"/>
        <charset val="204"/>
      </rPr>
      <t>:</t>
    </r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</si>
  <si>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М-5/П 2 Подъезд к г. Бобруйску № 2 от автомобильной дороги М-5/Е 271</t>
    </r>
    <r>
      <rPr>
        <b/>
        <u/>
        <sz val="12"/>
        <color indexed="12"/>
        <rFont val="Times New Roman"/>
        <family val="1"/>
        <charset val="204"/>
      </rPr>
      <t>:</t>
    </r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</si>
  <si>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Р-31/П 1 Подъезд к г. Бобруйску № 3 от автомобильной дороги Р-31</t>
    </r>
    <r>
      <rPr>
        <b/>
        <u/>
        <sz val="12"/>
        <color indexed="12"/>
        <rFont val="Times New Roman"/>
        <family val="1"/>
        <charset val="204"/>
      </rPr>
      <t>:</t>
    </r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</si>
  <si>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Р-96/П 2 Подъезд к г.п. Дрибин от автомобильной дороги Р-96</t>
    </r>
    <r>
      <rPr>
        <b/>
        <u/>
        <sz val="12"/>
        <color indexed="12"/>
        <rFont val="Times New Roman"/>
        <family val="1"/>
        <charset val="204"/>
      </rPr>
      <t>:</t>
    </r>
  </si>
  <si>
    <t>км 27,647-28,923 совмещен с Р-73 Чаусы-Мстиславль-граница Российской Федерации (Каськово)</t>
  </si>
  <si>
    <t>км 7,020-8,380 совмещен с Р-73 Чаусы-Мстиславль-граница Российской Федерации (Каськово)</t>
  </si>
  <si>
    <t>км 2,250-2,740 совмещен с Р-73 Чаусы-Мстиславль-граница Российской Федерации (Каськово)</t>
  </si>
  <si>
    <r>
      <t xml:space="preserve">Подъезды от автодороги </t>
    </r>
    <r>
      <rPr>
        <b/>
        <u/>
        <sz val="12"/>
        <color indexed="10"/>
        <rFont val="Times New Roman"/>
        <family val="1"/>
        <charset val="204"/>
      </rPr>
      <t>Р-43/П 2 Подъезд к г. Черикову № 1 от автомобильной дороги Р-43</t>
    </r>
    <r>
      <rPr>
        <b/>
        <u/>
        <sz val="12"/>
        <color indexed="12"/>
        <rFont val="Times New Roman"/>
        <family val="1"/>
        <charset val="204"/>
      </rPr>
      <t>:</t>
    </r>
  </si>
  <si>
    <r>
      <t>Подъезды от автодороги</t>
    </r>
    <r>
      <rPr>
        <b/>
        <u/>
        <sz val="12"/>
        <color indexed="10"/>
        <rFont val="Times New Roman"/>
        <family val="1"/>
        <charset val="204"/>
      </rPr>
      <t xml:space="preserve"> Р-43/П 3 Подъезд к г. Черикову № 2 от автомобильной дороги Р-43</t>
    </r>
    <r>
      <rPr>
        <b/>
        <u/>
        <sz val="12"/>
        <color indexed="12"/>
        <rFont val="Times New Roman"/>
        <family val="1"/>
        <charset val="204"/>
      </rPr>
      <t>:</t>
    </r>
  </si>
  <si>
    <t>Суровцево-Волковщина-Андрюхи км 0,0-7,366</t>
  </si>
  <si>
    <t>км 0,0-0,046 обслуживается РУП "Могилевавтодор" (съезд М-4 Минск-Могилев)</t>
  </si>
  <si>
    <t>км 0,046-3,494</t>
  </si>
  <si>
    <t>км 3,751-7,180</t>
  </si>
  <si>
    <t>км 7,180-7,925</t>
  </si>
  <si>
    <t>км 0,0-0,036</t>
  </si>
  <si>
    <t>км 0,036-1,511</t>
  </si>
  <si>
    <t>км 1,511-3,794</t>
  </si>
  <si>
    <t>км 3,312-3,552</t>
  </si>
  <si>
    <t>км 3,552-5,507</t>
  </si>
  <si>
    <t>км 5,507-9,200</t>
  </si>
  <si>
    <t>км 9,200-9,436</t>
  </si>
  <si>
    <t>км 9,436-12,024</t>
  </si>
  <si>
    <t>км 12,024-12,049</t>
  </si>
  <si>
    <t>км 0,015-0,750</t>
  </si>
  <si>
    <t>км 0,750-1,900</t>
  </si>
  <si>
    <t>км 1,900-2,400</t>
  </si>
  <si>
    <t>км 2,400-3,312</t>
  </si>
  <si>
    <t>км 0,013-1,400</t>
  </si>
  <si>
    <t>км 1,400-4,500</t>
  </si>
  <si>
    <t>км 4,500-4,751</t>
  </si>
  <si>
    <t>км 4,751-5,266 совмещен с Н-11002 Могилев-Ямница</t>
  </si>
  <si>
    <t>км 5,266-10,106</t>
  </si>
  <si>
    <t>км 10,106-16,407</t>
  </si>
  <si>
    <t>км 16,407-16,948 совмещен с М-4 Минск-Могилев</t>
  </si>
  <si>
    <t>км 16,948-18,737</t>
  </si>
  <si>
    <t>км 18,737-18,839</t>
  </si>
  <si>
    <t>км 18,839-18,892</t>
  </si>
  <si>
    <t>км 18,892-19,593</t>
  </si>
  <si>
    <t>км 0,0-0,179</t>
  </si>
  <si>
    <t>км 0,179-2,438</t>
  </si>
  <si>
    <t>км 2,438-8,385</t>
  </si>
  <si>
    <t>км 8,385-12,540</t>
  </si>
  <si>
    <t>Мосток-Колесище км 0,0-3,872</t>
  </si>
  <si>
    <t>ул гр 2019</t>
  </si>
  <si>
    <t>км 1,300-2,050</t>
  </si>
  <si>
    <t>км 14,337-14,364</t>
  </si>
  <si>
    <t>км 14,364-16,435</t>
  </si>
  <si>
    <t>км 16,435-17,054</t>
  </si>
  <si>
    <t>км 17,054-19,132</t>
  </si>
  <si>
    <t>км 5,817-7,599</t>
  </si>
  <si>
    <t>км 7,599-8,409</t>
  </si>
  <si>
    <t>км 0,600-5,160</t>
  </si>
  <si>
    <t>км 19,283-21,603</t>
  </si>
  <si>
    <t>км 0,0-19,283</t>
  </si>
  <si>
    <t>км 2,400-8,471</t>
  </si>
  <si>
    <t>км 0,0-1,012</t>
  </si>
  <si>
    <t>км 4,248-18,224</t>
  </si>
  <si>
    <t>км 18,224-31,268</t>
  </si>
  <si>
    <t>км 31,268-37,207</t>
  </si>
  <si>
    <t>км 0,020-0,972</t>
  </si>
  <si>
    <t>км 0,972-5,616</t>
  </si>
  <si>
    <t>км 5,616-9,982</t>
  </si>
  <si>
    <t>км 37,207-37,229 обслуживается РУП "Могилевавтодор" (съезд Р-120)</t>
  </si>
  <si>
    <t xml:space="preserve"> км 9,194-14,640</t>
  </si>
  <si>
    <t xml:space="preserve"> км 17,539-19,440</t>
  </si>
  <si>
    <t>км 0,0-0,410</t>
  </si>
  <si>
    <t>км 0,410-0,490</t>
  </si>
  <si>
    <t>км 0,490-4,240</t>
  </si>
  <si>
    <t>км 4,240-5,630</t>
  </si>
  <si>
    <t>км 0,0-0,920</t>
  </si>
  <si>
    <t>км 0,920-1,300</t>
  </si>
  <si>
    <t>км 1,300-2,500</t>
  </si>
  <si>
    <t>км 2,500-3,550</t>
  </si>
  <si>
    <t>км 0,0-6,250</t>
  </si>
  <si>
    <t>км 6,250-7,250</t>
  </si>
  <si>
    <t>км 7,250-7,600</t>
  </si>
  <si>
    <t>км 0,250-1,300</t>
  </si>
  <si>
    <t>км 1,275-1,335 транзит по ул. Рабоче-Крестьянская г. Осиповичи обслуживается организацией жилищно-коммунального хозяйства</t>
  </si>
  <si>
    <t>км 0,0-0,959</t>
  </si>
  <si>
    <t>км 0,959-4,816</t>
  </si>
  <si>
    <t>км 4,816-5,690</t>
  </si>
  <si>
    <t>км 5,690-7,800</t>
  </si>
  <si>
    <t>км 0,0-0,026 обслуживается РУП "Могилевавтодор" (съезд Р-71 Могилев-Славгород)</t>
  </si>
  <si>
    <t>км 0,026-1,056</t>
  </si>
  <si>
    <t>км 1,056-2,251</t>
  </si>
  <si>
    <t>км 2,500-3,121</t>
  </si>
  <si>
    <t>км 2,251-2,500</t>
  </si>
  <si>
    <t>км 3,213-4,500</t>
  </si>
  <si>
    <t>км 4,500-4,833</t>
  </si>
  <si>
    <t>км 0,0-3,284</t>
  </si>
  <si>
    <t>км 3,284-6,753</t>
  </si>
  <si>
    <t>км 6,753-19,614</t>
  </si>
  <si>
    <t>км 19,614-25,817</t>
  </si>
  <si>
    <t>км 0,036-0,071</t>
  </si>
  <si>
    <t>км 0,071-2,793</t>
  </si>
  <si>
    <t>км 2,793-4,464</t>
  </si>
  <si>
    <t>км 4,464-6,915</t>
  </si>
  <si>
    <t>км 6,915-8,013</t>
  </si>
  <si>
    <t>км 1,0-1,235</t>
  </si>
  <si>
    <t>км 1,235-2,900</t>
  </si>
  <si>
    <t>км 0,026-1,103</t>
  </si>
  <si>
    <t>км 1,103-2,363</t>
  </si>
  <si>
    <t>км 2,363-2,905</t>
  </si>
  <si>
    <t>км 2,905-3,175</t>
  </si>
  <si>
    <t>км 0,0-0,020 обслуживается РУП "Могилевавтодор" (съезд Р-96)</t>
  </si>
  <si>
    <t>км 0,020-0,055</t>
  </si>
  <si>
    <t>км 4,801-4,983</t>
  </si>
  <si>
    <t>км 4,983-5,339</t>
  </si>
  <si>
    <t>км 5,339-5,385</t>
  </si>
  <si>
    <t>км 5,385-8,405</t>
  </si>
  <si>
    <t>км 8,405-18,027</t>
  </si>
  <si>
    <t>км 18,027-20,204</t>
  </si>
  <si>
    <t>км 20,204-20,242 обслуживается РУП "Могилевавтодор" (пересечение и съезды Р-123)</t>
  </si>
  <si>
    <t>км 20,242-21,620</t>
  </si>
  <si>
    <t>км 0,055-4,801</t>
  </si>
  <si>
    <t>Таймоново–Красный Берег–Верхняя Тощица км 0,0-17,700</t>
  </si>
  <si>
    <t>км 2,120-4,450</t>
  </si>
  <si>
    <t>Кузьковичи–Красница-1 км 0,0-9,400</t>
  </si>
  <si>
    <t>Дунаек–Проточное км 0,0-8,250</t>
  </si>
  <si>
    <t>Нижняя Тощица–Заводчик–Тощица км 0,0-8,200</t>
  </si>
  <si>
    <t>Пролетарий–Поляниновичи км 0,0-5,470</t>
  </si>
  <si>
    <t>Неряж–Савичев Рог км 0,0-4,375</t>
  </si>
  <si>
    <t>Тощица-Синеж км 0,0-0,800</t>
  </si>
  <si>
    <t>Чечевичи–турбаза «Радуга»–Грудичино км 0,0-6,650</t>
  </si>
  <si>
    <t>Чечевичи–Коровчено–Барсуки (нежилая) км 0,0-6,700</t>
  </si>
  <si>
    <t>Пузан–Пасека км 0,0-1,000</t>
  </si>
  <si>
    <t>Средне-Крушниковский–Малый Крушниковский км 0,0-0,800</t>
  </si>
  <si>
    <t>Тристивка–Кулага км 0,0-2,900</t>
  </si>
  <si>
    <t>Подлесье–Новая Боярщина 1–Новая Бояpщина 2 км 0,0-5,460</t>
  </si>
  <si>
    <t>Вишов–Лямница–Николаевка–Малиновка 2 км 0,0-12,009</t>
  </si>
  <si>
    <t>Вишов-Новоселки км 0,0-5,000</t>
  </si>
  <si>
    <t>км 0,0-5,930</t>
  </si>
  <si>
    <t>км 5,930-6,680</t>
  </si>
  <si>
    <t>Н-12129</t>
  </si>
  <si>
    <t>Большая Мощаница–Дробовка км 0,0-6,680</t>
  </si>
  <si>
    <t>Рубеж–Глубокий Брод–Иглица–Подкряжник км 0,0-10,300</t>
  </si>
  <si>
    <t>Мистровка–Курганье–Забавы км 0,0-3,365</t>
  </si>
  <si>
    <t>Ланьково–Ивановка км 0,0-1,705</t>
  </si>
  <si>
    <t>Красная Слобода–Гарцев км 0,0-5,000</t>
  </si>
  <si>
    <t>Михасёвка–Бискупка км 0,0-4,700</t>
  </si>
  <si>
    <t>Лямница–Пряльня км 0,0-3,300</t>
  </si>
  <si>
    <t>Н-12130</t>
  </si>
  <si>
    <t>Низьки–Волосковня–Печары км 0,0-19,444</t>
  </si>
  <si>
    <t>Деряжня–Видуйцы км 0,0-15,346</t>
  </si>
  <si>
    <t>Демидовичи–Витунь–Каничи–Новые Самотевичи км 0,0-20,900</t>
  </si>
  <si>
    <t>Пролетарское-Пролетарская Коммуна км 0,0-2,100</t>
  </si>
  <si>
    <t>Пролетарий–Осиновка–Прусино км 0,0-2,834</t>
  </si>
  <si>
    <t>км 5,000-9,800</t>
  </si>
  <si>
    <t>км 3,160-3,590</t>
  </si>
  <si>
    <t>Клеевичи–Белая Дуброва км 0,0-3,840</t>
  </si>
  <si>
    <t>Каничи–Вишенский км 0,0-1,200</t>
  </si>
  <si>
    <t>Фроловка–Ангеловка–Теханичи км 0,0-3,440</t>
  </si>
  <si>
    <t>Печары–Колодезски км 0,0-3,640</t>
  </si>
  <si>
    <t>км 3,300-6,300</t>
  </si>
  <si>
    <t>км 0,0-3,300</t>
  </si>
  <si>
    <t>км 1,280-2,930</t>
  </si>
  <si>
    <t>Замосточье–Птичь–Холопеничи–Катка км 0,0-9,907</t>
  </si>
  <si>
    <t>Стяг-Малково км 0,0-4,150</t>
  </si>
  <si>
    <t>км 0,600-1,700</t>
  </si>
  <si>
    <t>км 1,700-2,066</t>
  </si>
  <si>
    <t>км 0,900-1,080</t>
  </si>
  <si>
    <t>Н-12613</t>
  </si>
  <si>
    <t>км 0,0-0,395</t>
  </si>
  <si>
    <t>км 0,395-0,830</t>
  </si>
  <si>
    <t>км 0,330-1,000</t>
  </si>
  <si>
    <t>км 0,830-6,100</t>
  </si>
  <si>
    <t>Палуж 1–Новый Свет–Ленина км 0,0-10,205</t>
  </si>
  <si>
    <t>Н-13555</t>
  </si>
  <si>
    <t>км 1,600-1,850</t>
  </si>
  <si>
    <t>Городецкая-Устиновичи-Лютнянская Буда–Почепы км 0,0-8,620</t>
  </si>
  <si>
    <t>км 0,380-0,600</t>
  </si>
  <si>
    <t>км 0,595-2,300</t>
  </si>
  <si>
    <t>Яновка–Козелье км 0,0-5,820</t>
  </si>
  <si>
    <t>Малюшино–Ясенка км 0,0-3,600</t>
  </si>
  <si>
    <t>Ленина–Артехов км 0,0-4,330</t>
  </si>
  <si>
    <t>Сидоровка-Большие Хуторы км 0,0-4,600</t>
  </si>
  <si>
    <t>км 1,0-1,200</t>
  </si>
  <si>
    <t>Полядки–Горы км 0,0-3,300</t>
  </si>
  <si>
    <t>км 3,100-4,100</t>
  </si>
  <si>
    <t>км 4,280-8,150</t>
  </si>
  <si>
    <t>км 4,100-4,280 совмещен с Н-10760 Городецкая-Устиновичи-Лютнянская Буда–Почепы</t>
  </si>
  <si>
    <t>Широкий–Малюшино км 0,0-5,040</t>
  </si>
  <si>
    <t>км 1,200-3,700</t>
  </si>
  <si>
    <t>км 1,780-3,500</t>
  </si>
  <si>
    <t>Н-13557</t>
  </si>
  <si>
    <t>км 0,670-3,070</t>
  </si>
  <si>
    <t>Н-13556</t>
  </si>
  <si>
    <t>км 1,345-1,700</t>
  </si>
  <si>
    <t>км 1,900-3,500</t>
  </si>
  <si>
    <t>км 0,070-0,380</t>
  </si>
  <si>
    <t>Н-13558</t>
  </si>
  <si>
    <t>Н-13559</t>
  </si>
  <si>
    <t>Шклов–Сосновка 1–Старые Стайки км 0,0-10,530</t>
  </si>
  <si>
    <t>Н-11842</t>
  </si>
  <si>
    <t>Н-11843</t>
  </si>
  <si>
    <t>км 1,100-2,300</t>
  </si>
  <si>
    <t>Н-11844</t>
  </si>
  <si>
    <t>Городище–Ордать–Редишено–Дивново–Доманы км 0,0-15,600</t>
  </si>
  <si>
    <t>Борки-1–Староселье–Хатьково км 0,0-10,200</t>
  </si>
  <si>
    <t xml:space="preserve">км 0,0-0,390 совмещен с автомобильной дорогой необщего пользования ОАО «Александрийское» </t>
  </si>
  <si>
    <t>Садоводческое товарищество «Буровик»–Барсуки–Бушляки км 0,0-5,781</t>
  </si>
  <si>
    <t>Старая Водва–Новые Комсиничи км 0,0-3,100</t>
  </si>
  <si>
    <t>км 0,0-0,260 совмещен с улицей д. Городянка</t>
  </si>
  <si>
    <t>км 0,260-1,006</t>
  </si>
  <si>
    <t>км 0,390-0,600</t>
  </si>
  <si>
    <t>км 0,900-2,730</t>
  </si>
  <si>
    <t>Евдокимовичи–Озерье км 0,0-3,588</t>
  </si>
  <si>
    <t>Ордать-Шестаки км 0,0-3,300</t>
  </si>
  <si>
    <t>Н-11845</t>
  </si>
  <si>
    <t>Старое Высокое–Требушки–Новое Высокое км 0,0-3,269</t>
  </si>
  <si>
    <t>Н-11846</t>
  </si>
  <si>
    <t>Тудорово–Ступляны (до мелиоративного канала) км 0,0-9,400</t>
  </si>
  <si>
    <t>Н-11847</t>
  </si>
  <si>
    <t>Апполоновка–Хотимка  км 0,0-3,300</t>
  </si>
  <si>
    <t>Малое Черное–Лутно–Тросна–Дуброво–Малая Лотва км 0,0-9,689</t>
  </si>
  <si>
    <t>Городище–Благовка км 0,0-3,300</t>
  </si>
  <si>
    <t>Н-11848</t>
  </si>
  <si>
    <t>Заборье–Борки-1 км 0,0-3,200</t>
  </si>
  <si>
    <t>Малый Старый Шклов–Земцы км 0,0-3,570</t>
  </si>
  <si>
    <t>Евдокимовичи–Заходы–Пруды км 0,0-4,809</t>
  </si>
  <si>
    <t>км 1,200-2,550</t>
  </si>
  <si>
    <t>км 2,990-4,600</t>
  </si>
  <si>
    <t>км 0,0-3,430</t>
  </si>
  <si>
    <t>км 3,430-7,500</t>
  </si>
  <si>
    <t>Шклов–садоводческое товарищество «Ленок-Шклов» км 0,0-7,500</t>
  </si>
  <si>
    <t>Н-11849</t>
  </si>
  <si>
    <t>км 1,000-1,600</t>
  </si>
  <si>
    <t>км 1,801-2,681</t>
  </si>
  <si>
    <t>Н-11850</t>
  </si>
  <si>
    <t>Н-11851</t>
  </si>
  <si>
    <t xml:space="preserve">Подъезды от автодороги Р-77 Шклов–Белыничи (через Пригани 2): </t>
  </si>
  <si>
    <t>Н-11852</t>
  </si>
  <si>
    <t>Заря-Зеленый Дуб-Подломье км 0,0-3,670</t>
  </si>
  <si>
    <t>км 1,200-1,574</t>
  </si>
  <si>
    <t>Бельгийский–Красный км 0,0-1,160</t>
  </si>
  <si>
    <t>км 0,0-0,150 совмещен с улицей д. Глинь</t>
  </si>
  <si>
    <t>км 0,210-0,380</t>
  </si>
  <si>
    <t>км 0,0-0,800 совмещен с улицей д. Вербеж</t>
  </si>
  <si>
    <t>Административное здание Сормовского сельского исполнительного комитета–Чериков км 0,0-1,433</t>
  </si>
  <si>
    <t>км 0,0-0,500 совмещен с улицей аг. Лобановка</t>
  </si>
  <si>
    <t>км 0,500-0,850</t>
  </si>
  <si>
    <t>км 1,400-3,700</t>
  </si>
  <si>
    <t>км 0,0-1,300 совмещен с внутрихозяйственной дорогой</t>
  </si>
  <si>
    <t>км 1,300-1,864</t>
  </si>
  <si>
    <t>Н-13157</t>
  </si>
  <si>
    <t>км 0,0-0,800 совмещен с ул. Пролетарская д. Лопатовичи</t>
  </si>
  <si>
    <t>км 0,800-0,969</t>
  </si>
  <si>
    <t>Высокая Буда–Яновка–Красавичи–Меженин–Автуховка км 0,0-16,568</t>
  </si>
  <si>
    <t>км 0,0-0,170 совмещен с улицей д. Хотовиж</t>
  </si>
  <si>
    <t>км 0,170-0,443</t>
  </si>
  <si>
    <t>км 0,0-1,100 совмещен с внутрихозяйственной дорогой</t>
  </si>
  <si>
    <t>км 1,100-3,226</t>
  </si>
  <si>
    <t>Стайки–Семёновка–Кукуевка–Лубянка км 0,0-4,155</t>
  </si>
  <si>
    <t>км 0,0-0,800 совмещен с ул. Центральная д. Семёновка</t>
  </si>
  <si>
    <t>км 0,800-1,092</t>
  </si>
  <si>
    <t>км 0,0-0,725 совмещен с улицей д. Лубянка</t>
  </si>
  <si>
    <t>км 0,725-2,316</t>
  </si>
  <si>
    <t>Тимоново–Плющево–Новые Жарки–Гута км 0,0-18,690</t>
  </si>
  <si>
    <t>км 0,0-0,610 совмещен с внутрихозяйственной дорогой</t>
  </si>
  <si>
    <t>км 0,610-1,717</t>
  </si>
  <si>
    <t>Галичи–Малышковичи–Якубовка км 0,0-14,800</t>
  </si>
  <si>
    <t>км 0,450-1,117</t>
  </si>
  <si>
    <t>км 0,200-0,551</t>
  </si>
  <si>
    <t>км 1,250-1,567</t>
  </si>
  <si>
    <t>Осмоловичи–Федотовка км 0,0-4,900</t>
  </si>
  <si>
    <t>Яновка–Новый Строй  км 0,0-2,600</t>
  </si>
  <si>
    <t>км 0,0-0,190 совмещен с внутрихозяйственной дорогой</t>
  </si>
  <si>
    <t>км 0,190-0,316</t>
  </si>
  <si>
    <t>Казусевка–Матеевка–Малышковичи км 0,0-5,700</t>
  </si>
  <si>
    <t>км 0,400-5,820</t>
  </si>
  <si>
    <t>Родня–Федотовка км 0,0-5,820</t>
  </si>
  <si>
    <t>км 0,0-0,290 совмещен с улицей д. Холдеевка</t>
  </si>
  <si>
    <t>км 0,290-0,446</t>
  </si>
  <si>
    <t>км 0,0-0,220 совмещен с улицей аг. Родня</t>
  </si>
  <si>
    <t>км 0,220-0,370</t>
  </si>
  <si>
    <t>км 0,370-0,510</t>
  </si>
  <si>
    <t>Михалево 1–Ковали км 0,0-9,400</t>
  </si>
  <si>
    <t>Сычково–Мирадино–Барановичи 1 км 0,0-11,190</t>
  </si>
  <si>
    <t>Бояры-Барановичи 1-Забудьки км 0,0-23,360</t>
  </si>
  <si>
    <t>Малые Бортники–Малиновка км 0,0-6,500</t>
  </si>
  <si>
    <t>Мосты–Красный Огород–Коробовщина–Дойничево км 0,0-7,852</t>
  </si>
  <si>
    <t>Ленинцы–Кисловщина км 0,0-1,052</t>
  </si>
  <si>
    <t>Круглониво–Дворище–Рымовцы–Ляды км 0,0-5,810</t>
  </si>
  <si>
    <t>Околица–Рогоселье–Островы км 0,0-4,100</t>
  </si>
  <si>
    <t>Калинино–Щатково–Антоновка–Бобруйск км 0,0-7,936</t>
  </si>
  <si>
    <t>Слобода Богушовка–Барсуки км 0,0-3,360</t>
  </si>
  <si>
    <t>Н-12266</t>
  </si>
  <si>
    <t>Павловичи–Польковичи–Старые Дворяниновичи–Волчья Гора–Липняки км 6,827-9,452</t>
  </si>
  <si>
    <t>км 15,690-15,910</t>
  </si>
  <si>
    <t>км 10,268-15,600</t>
  </si>
  <si>
    <t>км 15,910-16,540</t>
  </si>
  <si>
    <t>Михалево 1–Узнога–Новики–Микуличи–Прогресс км 0,0-16,540</t>
  </si>
  <si>
    <t>км 15,600-15,690 совмещен с Н-10090 Ковали-Постраш</t>
  </si>
  <si>
    <t>Н-12801</t>
  </si>
  <si>
    <t>Моисеево–Николенка км 0,0-3,670</t>
  </si>
  <si>
    <t>Н-10318</t>
  </si>
  <si>
    <t>Н-12802</t>
  </si>
  <si>
    <t>км 1,335-3,696</t>
  </si>
  <si>
    <t>км 6,060-7,450</t>
  </si>
  <si>
    <t>Каменка-Оршани-Ольховец км 0,0-7,450</t>
  </si>
  <si>
    <t>Поленка–Тушевая км 0,0-2,370</t>
  </si>
  <si>
    <t>Ленино–Победная–Костюшково км 0,0-5,500</t>
  </si>
  <si>
    <t>Малые Аниковичи–Зимник–Тудоровка км 0,0-4,200</t>
  </si>
  <si>
    <t>км 2,310-4,200</t>
  </si>
  <si>
    <t>Коптевка–Голенки–Ярцевка км 0,0-2,930</t>
  </si>
  <si>
    <t>Сорокопуды–Гущено км 0,0-2,500</t>
  </si>
  <si>
    <t>км 1,290-2,370</t>
  </si>
  <si>
    <t>Барсуки-Дубовый Угол км 0,0-2,370</t>
  </si>
  <si>
    <t>Зимник–Леща (до границы Шкловского района) км 0,0-1,300</t>
  </si>
  <si>
    <t>Турищево-Никулино км 0,0-4,261</t>
  </si>
  <si>
    <t>км 0,0-0,170</t>
  </si>
  <si>
    <t>км 0,170-0,270</t>
  </si>
  <si>
    <t>Н-12803</t>
  </si>
  <si>
    <t>Н-12804</t>
  </si>
  <si>
    <t>Н-13130</t>
  </si>
  <si>
    <t>км 0,0-0,495 совмещен с улицей д. Щежерь-1</t>
  </si>
  <si>
    <t>км 0,495-0,950</t>
  </si>
  <si>
    <t>Княжицы–Булыжицы км 0,0-4,600</t>
  </si>
  <si>
    <t>Н-14135</t>
  </si>
  <si>
    <t>км 0,107-0,690</t>
  </si>
  <si>
    <t>Брыли-Малеевка км 0,0-2,700</t>
  </si>
  <si>
    <t>км 2,050-2,650 совмещен с автомобильной дорогой необщего пользования - подъездом к полигону коммунальных отходов</t>
  </si>
  <si>
    <t>км 0,0-2,050</t>
  </si>
  <si>
    <t>км 2,650-2,800</t>
  </si>
  <si>
    <t>Н-14136</t>
  </si>
  <si>
    <t>км 0,0-0,730 совмещен с улицей д. Ларьяново</t>
  </si>
  <si>
    <t>км 0,730-0,830</t>
  </si>
  <si>
    <t>Мстиславль-Парадино км 0,0-12,317</t>
  </si>
  <si>
    <t>км 0,0-0,520 совмещен с улицей д. Березуйки</t>
  </si>
  <si>
    <t>км 0,520-0,680</t>
  </si>
  <si>
    <t>Безводичи–Победа–Ходосы км 0,0-4,200</t>
  </si>
  <si>
    <t>Шамово–Соколово км 0,0-2,280</t>
  </si>
  <si>
    <t>Мстиславль–Печковка км 0,0-2,800</t>
  </si>
  <si>
    <t>км 0,0-0,800 совмещен с улицей д. Свердлово</t>
  </si>
  <si>
    <t>км 0,800-1,200</t>
  </si>
  <si>
    <t>км 0,0-0,820 совмещен с улицей д. Шамовщина</t>
  </si>
  <si>
    <t>км 0,820-2,200</t>
  </si>
  <si>
    <t>км 0,0-1,270 совмещен с улицей д. Шамовщина</t>
  </si>
  <si>
    <t>км 1,270-2,370</t>
  </si>
  <si>
    <t>Н-14363</t>
  </si>
  <si>
    <t>Н-14364</t>
  </si>
  <si>
    <t>км 0,0-0,600 совмещен с улицей аг. Мазолово</t>
  </si>
  <si>
    <t>км 0,600-0,900</t>
  </si>
  <si>
    <t>Мазолово-Мышкино км 0,0-5,400</t>
  </si>
  <si>
    <t>Кледневичи–Прибужье Старое км 0,0-19,452</t>
  </si>
  <si>
    <t>км 1,300-2,300</t>
  </si>
  <si>
    <t>Яськовщина–Миловье км 0,0-7,288</t>
  </si>
  <si>
    <t>Н-12926</t>
  </si>
  <si>
    <t>Прибужье Старое–Головичи км 0,0-4,500</t>
  </si>
  <si>
    <t>Новоселки-Бабинки км 0,0-3,000</t>
  </si>
  <si>
    <t>Рясно-Дубровка-Каменка км 0,0-6,300</t>
  </si>
  <si>
    <t>Трилесино–Первомайск км 0,0-2,400</t>
  </si>
  <si>
    <t>Каратышки–Ленинский км 0,0-1,400</t>
  </si>
  <si>
    <t>Черневка–Алюты–Новые Ждановичи км 0,0-4,500</t>
  </si>
  <si>
    <t>Дроздовка-Шаблавы км 0,0-3,200</t>
  </si>
  <si>
    <t>Н-12927</t>
  </si>
  <si>
    <t>км 2,400-2,450</t>
  </si>
  <si>
    <t>Столпище–Костричи–Власовичи км 0,0-22,895</t>
  </si>
  <si>
    <t>Павловичи–Польковичи–Старые Дворяниновичи–Волчья Гора–Липняки км 0,0-6,827</t>
  </si>
  <si>
    <t>Скриплица–Хвойница км 0,0-6,911</t>
  </si>
  <si>
    <t>Букино–Столпище км 0,0-2,485</t>
  </si>
  <si>
    <t>Шалаевка–Старый Юзин км 0,0-5,300</t>
  </si>
  <si>
    <t>Зеленая Роща–Веленка км 0,0-4,760</t>
  </si>
  <si>
    <t>Кировск–Мышковичи–Столпище км 0,0-14,990</t>
  </si>
  <si>
    <t>Жиличи–Красный Бережок–Скубятино км 0,0-4,585</t>
  </si>
  <si>
    <t>Малинье–Дубно–Вишнёвка–Долгое км 0,0-29,736</t>
  </si>
  <si>
    <t>Несята–Вирков–Ленёвка км 0,0-18,757</t>
  </si>
  <si>
    <t>Дмитриевка-2–Турчилов–Слободка км 0,0-9,973</t>
  </si>
  <si>
    <t>Кавяза–Биордо–Константов км 0,0-10,560</t>
  </si>
  <si>
    <t>Дуброва–Черевач–Старое Курганье–Владимировка км 0,0-15,530</t>
  </si>
  <si>
    <t>Кличев–Ивановка–Несята км 0,0-5,133</t>
  </si>
  <si>
    <t>Новое Село–Грядки–Октябрьск–Миложень–Старые Наборки км 0,0-12,120</t>
  </si>
  <si>
    <t>Замикитка–Воничи–Гонча км 0,0-9,530</t>
  </si>
  <si>
    <t>Калиновка–Михалов–Новый Остров км 0,0-10,780</t>
  </si>
  <si>
    <t>Брилёвка–Новая Слободка км 0,0-3,273</t>
  </si>
  <si>
    <t>Н-13403</t>
  </si>
  <si>
    <t>Юзофин-Михаловка км 0,0-2,080</t>
  </si>
  <si>
    <t>Закупленье–Вестник км 0,0-0,920</t>
  </si>
  <si>
    <t>Н-13649</t>
  </si>
  <si>
    <t>км 0,0-0,300 совмещен с улицей аг. Ботвиновка</t>
  </si>
  <si>
    <t xml:space="preserve"> км 0,300-1,000</t>
  </si>
  <si>
    <t xml:space="preserve"> км 0,547-2,147</t>
  </si>
  <si>
    <t>Глушнево–Лобковичи–Буньковщина–Селец км 0,0-12,300</t>
  </si>
  <si>
    <t>Вородьков 2–Ратная км 0,0-4,109</t>
  </si>
  <si>
    <t>Молятичи–Кашаны–Буньковщина км 0,0-15,629</t>
  </si>
  <si>
    <t>Сокольничи–Хатиловичи–Свадковичи км 0,0-4,473</t>
  </si>
  <si>
    <t>Луты-Бродок-Сосновский км 0,0-3,840</t>
  </si>
  <si>
    <t xml:space="preserve"> км 1,900-3,840</t>
  </si>
  <si>
    <t>Сетное-Горки км 0,0-2,100</t>
  </si>
  <si>
    <t>км 0,600-0,640 совмещен с Н-10845 Михеевичи-Каменка</t>
  </si>
  <si>
    <t xml:space="preserve"> км 0,640-1,040</t>
  </si>
  <si>
    <t>Н-13650</t>
  </si>
  <si>
    <t>км 0,0-0,800 совмещен с улицами аг. Ракушево</t>
  </si>
  <si>
    <t>км 0,800-1,120</t>
  </si>
  <si>
    <t>Н-13776</t>
  </si>
  <si>
    <t>Н-13777</t>
  </si>
  <si>
    <t>км 0,750-1,300</t>
  </si>
  <si>
    <t>Н-13778</t>
  </si>
  <si>
    <t>Бовсевичи–Смогиловка (до границы Круглянского района) км 0,0-1,630</t>
  </si>
  <si>
    <t>Некрасово–Красино (до границы Круглянского района) км 0,0-3,500</t>
  </si>
  <si>
    <t>Н-13779</t>
  </si>
  <si>
    <t>Красное–Копча–Буда км 0,0-1,976</t>
  </si>
  <si>
    <t>Лобковица–Рафалин–Вязычин км 0,0-8,095</t>
  </si>
  <si>
    <t>Брицаловичи–Мотовило км 0,0-11,623</t>
  </si>
  <si>
    <t>км 0,540-0,710</t>
  </si>
  <si>
    <t>Кузьминичи–Роман-Вина км 0,0-5,000</t>
  </si>
  <si>
    <t>Хотетово–Сталка–Забава–Митавье км 0,0-7,830</t>
  </si>
  <si>
    <t>Чаусы–Бординичи–Слободка км 0,0-8,600</t>
  </si>
  <si>
    <t>Малый Грязивец–Грязивец км 0,0-4,240</t>
  </si>
  <si>
    <t>Голочевка–Прудок–Ключ–Ново-Егоровка км 0,0-10,660</t>
  </si>
  <si>
    <t>Антоновка–Лапени–Высокое–Ново-Егоровка км 0,0-7,610</t>
  </si>
  <si>
    <t>Пырцы–Рябиновая Слобода км 0,0-3,980</t>
  </si>
  <si>
    <t>км 1,957-19,360</t>
  </si>
  <si>
    <t>Уречье–Шеломы км 0,0-2,920</t>
  </si>
  <si>
    <t>Хотимск–граница Российской Федерации на Рославль км 0,0-9,050</t>
  </si>
  <si>
    <t>Ельня–Кленовка км 0,0-3,820</t>
  </si>
  <si>
    <t>Пограничник–Круглый км 0,0-1,200</t>
  </si>
  <si>
    <t>Красная Заря–Берёзки км 0,0-3,490</t>
  </si>
  <si>
    <t>Ивкино–Черчёное км 0,0-2,300</t>
  </si>
  <si>
    <t>3 ур.треб.</t>
  </si>
  <si>
    <t>4 ур.треб.</t>
  </si>
  <si>
    <t>5 ур.треб.</t>
  </si>
  <si>
    <t>проверка суммы:</t>
  </si>
  <si>
    <t>4 категория</t>
  </si>
  <si>
    <t>5 категория</t>
  </si>
  <si>
    <t>Дашковка-Лежневка-Межисетки км 0,0-8,317</t>
  </si>
  <si>
    <t>км 0,997-3,404</t>
  </si>
  <si>
    <t>км 0,014-0,997</t>
  </si>
  <si>
    <t>км 3,404-8,289</t>
  </si>
  <si>
    <t>км 0,0-0,014 обслуживается РУП "Могилевавтодор" (съезд Р-97)</t>
  </si>
  <si>
    <t>км 8,289-8,317 обслуживается РУП "Могилевавтодор" (съезд Р-93)</t>
  </si>
  <si>
    <t>км 0,018-7,569</t>
  </si>
  <si>
    <t>км 11,216-12,809</t>
  </si>
  <si>
    <t>км 7,569-11,216</t>
  </si>
  <si>
    <t>км 0,0-0,018 обслуживается РУП "Могилевавтодор" (съезд Р-97)</t>
  </si>
  <si>
    <t>км 12,809-12,824 обслуживается РУП "Могилевавтодор" (съезд Р-93)</t>
  </si>
  <si>
    <t>км 0,0-3,548</t>
  </si>
  <si>
    <t>Присно-Севостьяновичи км 0,0-6,425</t>
  </si>
  <si>
    <t>Княжицы-Горная Улица км 0,0-3,354</t>
  </si>
  <si>
    <t>Воронино-Трилесино-Бовки км 0,0-27,186</t>
  </si>
  <si>
    <t>км 17,790-18,853</t>
  </si>
  <si>
    <t>км 18,853-20,145</t>
  </si>
  <si>
    <t>км 20,145-21,660</t>
  </si>
  <si>
    <t>км 21,660-27,186</t>
  </si>
  <si>
    <t>км 0,025-14,360</t>
  </si>
  <si>
    <t>Каменка-Авхимки-Чернавцы-Городец км 0,0-10,900</t>
  </si>
  <si>
    <t>Павловичи–Турки–Красный Берег (до границы Могилевской области) км 4,884-30,060</t>
  </si>
  <si>
    <t>Павловичи–Турки–Красный Берег (до границы Могилевской области) км 0,0-4,884</t>
  </si>
  <si>
    <t>Краснополье–Корма на Кляпин (до границы Могилевской области) км 0,0-26,300</t>
  </si>
  <si>
    <t>Ректа–Октябрёво (до границы Могилевской области) км 0,0-2,200</t>
  </si>
  <si>
    <t>Волосовичи–Любиничи–Сосновка 2 (до границы Могилевской области) км 0,0-12,800</t>
  </si>
  <si>
    <t>Старые Стайки–Новые Стайки (до границы Могилевской области) км 0,0-3,312</t>
  </si>
  <si>
    <t>км 10,096-10,118</t>
  </si>
  <si>
    <t>км 3,602-10,096</t>
  </si>
  <si>
    <t>км 10,118-15,265</t>
  </si>
  <si>
    <t>Новоселки–Рогач км 0,0-2,000</t>
  </si>
  <si>
    <t>Смогиловка–Стехово–Калиновка км 0,0-5,445</t>
  </si>
  <si>
    <t>Светиловичи–Студенка км 0,0-3,826</t>
  </si>
  <si>
    <t>Барановичи 1–Баневка 2 км 0,0-4,790</t>
  </si>
  <si>
    <t>Баневка 2–Бобовье км 0,0-3,160</t>
  </si>
  <si>
    <t>Слобода–Плессы км 0,0-9,660</t>
  </si>
  <si>
    <t>Плессы–Симгоровичи км 0,0-4,700</t>
  </si>
  <si>
    <t>Подъезды от автодороги Р-15/П 2 Подъезд к г. Горки № 2 от автомобильной дороги Р-15:</t>
  </si>
  <si>
    <t>Подъезды от автодороги Р-75/П 1 Подъезд к г. Климовичи № 1 от автомобильной дороги Р-75:</t>
  </si>
  <si>
    <t>Подъезды от автодороги Р-75/П3 Подъезд к г. Костюковичи № 1 от автомобильной дороги Р-75:</t>
  </si>
  <si>
    <t>Подъезды от города Круглое:</t>
  </si>
  <si>
    <t>Подъезды от автодороги М-4/П 1 Подъезд к аэропорту Могилев от автомобильной дороги М-4:</t>
  </si>
  <si>
    <t>Василевка–Милославичи км 0,0-12,769</t>
  </si>
  <si>
    <t>Климовичи–Галичи–Артемовка км 0,0-35,150</t>
  </si>
  <si>
    <t>Любиничи–Окуневка км 0,0-6,322</t>
  </si>
  <si>
    <t>км 0,0-2,563</t>
  </si>
  <si>
    <t>км 2,563-5,075</t>
  </si>
  <si>
    <t>км 5,075-7,234</t>
  </si>
  <si>
    <t>км 7,234-7,408</t>
  </si>
  <si>
    <t>км 7,408-11,226</t>
  </si>
  <si>
    <t>км 11,584-16,558</t>
  </si>
  <si>
    <t>км 11,553-11,584 обслуживается РУП "Могилевавтодор" (пересечение с Р-120 Быхов-Белыничи)</t>
  </si>
  <si>
    <t>км 11,226-11,553</t>
  </si>
  <si>
    <t>км 0,0-5,614</t>
  </si>
  <si>
    <t>км 8,926-8,956 обслуживается РУП "Могилевавтодор" (съезд Р-119)</t>
  </si>
  <si>
    <t>км 8,030-8,069</t>
  </si>
  <si>
    <t>км 5,614-8,030</t>
  </si>
  <si>
    <t>км 8,069-8,926</t>
  </si>
  <si>
    <t>км 2,249-3,139</t>
  </si>
  <si>
    <t>км 3,139-4,362</t>
  </si>
  <si>
    <t>км 4,362-6,364</t>
  </si>
  <si>
    <t>км 6,364-8,561</t>
  </si>
  <si>
    <t>км 8,561-8,734</t>
  </si>
  <si>
    <t>км 8,734-8,862</t>
  </si>
  <si>
    <t>км 8,862-9,890</t>
  </si>
  <si>
    <t>км 9,890-11,167</t>
  </si>
  <si>
    <t>км 3,453-3,476</t>
  </si>
  <si>
    <t>км 3,476-3,604</t>
  </si>
  <si>
    <t>км 3,187-3,453</t>
  </si>
  <si>
    <t>км 3,026-3,187</t>
  </si>
  <si>
    <t>км 1,440-3,026</t>
  </si>
  <si>
    <t>км 0,620-1,440</t>
  </si>
  <si>
    <t>км 5,046-9,608</t>
  </si>
  <si>
    <t>км 0,0-5,046</t>
  </si>
  <si>
    <t>км  0,0-1,382</t>
  </si>
  <si>
    <t>км 0,0-1,134</t>
  </si>
  <si>
    <t>км 1,134-3,880</t>
  </si>
  <si>
    <t>км 3,880-4,373</t>
  </si>
  <si>
    <t>км 4,373-4,750</t>
  </si>
  <si>
    <t>км 4,750-6,931</t>
  </si>
  <si>
    <t>км 6,931-7,050</t>
  </si>
  <si>
    <t>км 0,0-1,201</t>
  </si>
  <si>
    <t>км 3,457-4,356</t>
  </si>
  <si>
    <t>км 2,000-4,100</t>
  </si>
  <si>
    <t>км 0,0-8,786</t>
  </si>
  <si>
    <t>км 8,786-10,820</t>
  </si>
  <si>
    <t>км 10,820-10,941</t>
  </si>
  <si>
    <t>км 10,941-11,391</t>
  </si>
  <si>
    <t>км 0,0-2,396</t>
  </si>
  <si>
    <t>км 3,108-3,544</t>
  </si>
  <si>
    <t>км 3,544-4,108</t>
  </si>
  <si>
    <t>км 4,108-4,627</t>
  </si>
  <si>
    <t>км 0,013-2,998</t>
  </si>
  <si>
    <t>км 2,998-3,084</t>
  </si>
  <si>
    <t>км 3,084-4,111</t>
  </si>
  <si>
    <t>км 4,111-4,419</t>
  </si>
  <si>
    <t>км 0,031-0,596</t>
  </si>
  <si>
    <t>км 2,224-2,853</t>
  </si>
  <si>
    <t>км 3,183-3,648</t>
  </si>
  <si>
    <t>км 2,029-2,224</t>
  </si>
  <si>
    <t>км 2,853-3,015</t>
  </si>
  <si>
    <t>км 3,015-3,183</t>
  </si>
  <si>
    <t>км 0,596-2,029</t>
  </si>
  <si>
    <t>км 3,648-3,708</t>
  </si>
  <si>
    <t>км 0,023-6,706</t>
  </si>
  <si>
    <t>км 6,706-8,258</t>
  </si>
  <si>
    <t>км 8,258-9,294</t>
  </si>
  <si>
    <t>км 9,294-12,371</t>
  </si>
  <si>
    <t>км 12,371-13,236</t>
  </si>
  <si>
    <t>км 1,201-1,424</t>
  </si>
  <si>
    <t>км 1,424-3,457</t>
  </si>
  <si>
    <t>км 4,100-4,700</t>
  </si>
  <si>
    <t>км 4,700-5,826</t>
  </si>
  <si>
    <t>Подъезды от автодороги М-4/П 5 Подъезд к г. Белыничи от а/д М-4:</t>
  </si>
  <si>
    <t>п-д к савичи от а/д М-5</t>
  </si>
  <si>
    <t>Подъезд к садоводческому товариществу «Крапивка» от а/д М-5/П 2 Подъезд к г. Бобруйску № 2 от автомобильной дороги М-5/Е 271 км 0,0-0,600</t>
  </si>
  <si>
    <t>Подъезд к садоводческим товариществам «Весовщик», «Коммунальник», «Радуга», «Волна», «Буратино», «Приборист» от а/д М-5/П 2 Подъезд к г. Бобруйску № 2 от автомобильной дороги М-5/Е 271 км 0,0-1,200</t>
  </si>
  <si>
    <t>Подъезд к садоводческому товариществу «Ремонтник» от а/д М-5/П 2 Подъезд к г. Бобруйску № 2 от автомобильной дороги М-5/Е 271 км 0,0-0,350</t>
  </si>
  <si>
    <t>Подъезд к садоводческому товариществу «Ясная Поляна» от а/д М-5/П 2 Подъезд к г. Бобруйску № 2 от автомобильной дороги М-5/Е 271 км 0,0-0,600</t>
  </si>
  <si>
    <t>Подъезд к санаторию"Зарница" от а/д М-4 Минск-Могилев км 0,0-1,100</t>
  </si>
  <si>
    <t>П-д к Аэропорту от а/д М-4</t>
  </si>
  <si>
    <t>П-д к Могилеву от а/д М-8</t>
  </si>
  <si>
    <t>Подъезд к комплексу открытого акционерного общества «Агрокомбинат «Восход» от а/д М-8/П 5 Подъезд к г. Могилеву от автомобильной дороги М-8/Е 95 км 0,0-2,971</t>
  </si>
  <si>
    <t>Подъезд к заводу по производству битумной эмульсии от а/д М-8/П 5 Подъезд к г. Могилеву от автомобильной дороги М-8/Е 95 км 0,0-1,680</t>
  </si>
  <si>
    <t>Подъезд к автобазе от а/д М-8/П 5 Подъезд к г. Могилеву от автомобильной дороги М-8/Е 95 км 0,0-0,317</t>
  </si>
  <si>
    <t>Подъезд к месту массового отдыха в урочище Любуж от а/д М-8/П 5 Подъезд к г. Могилеву от автомобильной дороги М-8/Е 95 км 0,0-0,400</t>
  </si>
  <si>
    <t>как подъезд к Плещицы от а/д М-8, 4 км</t>
  </si>
  <si>
    <t>Подъезд к Шкловской центральной районной больнице от а/д М-8/П 4 Подъезд к г. Шклову от автомобильной дороги М-8/Е 95 км 0,0-0,201</t>
  </si>
  <si>
    <t>Подъезд к зданию Техтинского сельского Совета депутатов от а/д Р-120 Быхов-Белыничи км 0,0-0,150</t>
  </si>
  <si>
    <t>Подъезд к садоводческому товариществу «Дружба» от а/д Р-31/П 1 Подъезд к г. Бобруйску № 3 от автомобильной дороги Р-31 км 0,0-0,070</t>
  </si>
  <si>
    <t>Подъезд к садоводческому товариществу "Колосок" от а/д Р-31 Бобруйск (от автомобильной дороги М-5/Е 271)–Мозырь-граница Украины (Новая Рудня) км 0,0-0,700</t>
  </si>
  <si>
    <t>Подъезд к садоводческому товариществу "Гидролизник" от а/д Р-43 Граница Российской Федерации (Звенчатка)-Кричев-Бобруйск-Ивацевичи (до автомобильной дороги Р-2/Е 85) км 0,0-0,800</t>
  </si>
  <si>
    <t>Подъезд к садоводческому товариществу "Физкультурник" от а/д Р-43 Граница Российской Федерации (Звенчатка)-Кричев-Бобруйск-Ивацевичи (до автомобильной дороги Р-2/Е 85) км 0,0-1,000</t>
  </si>
  <si>
    <t>Подъезд к садоводческому товариществу "Домостроитель" от а/д Р-97 Могилев-Быхов-Рогачев км 0,0-2,300</t>
  </si>
  <si>
    <t>Стан-Лазурный 3,3 км; к Лазурный от а/д Р-70 км 0,0-2,5 акт 25.01.94</t>
  </si>
  <si>
    <t>Подъезд к садоводческому товариществу «Труд» от а/д Р-15/П 2 Подъезд к г. Горки № 2 от автомобильной дороги Р-15 км 0,0-0,920</t>
  </si>
  <si>
    <t>Подъезд к базе отдыха "Купалинка" от а/д Р-70 Княжицы-Горки-Ленино-граница Российской Федерации (Дружная) км 0,0-0,200</t>
  </si>
  <si>
    <t>Подъезд к асфальтобетонному заводу от а/д Р-75 Климовичи (от автомобильной дороги Р-43)-Костюковичи-граница Российской Федерации (Смольки) км 0,0-2,400</t>
  </si>
  <si>
    <t>Подъезд к асфальтобетонному заводу "Сугроб" от а/д Р-118 Любоничи (от автомобильной дороги Р-62)-Кировск км 0,0-3,450</t>
  </si>
  <si>
    <t>Подъезд к Белорусскому цементному заводу от а/д Р-74 Чериков-Краснополье-Хотимск-граница Российской Федерации (Горня) км 0,0-6,870</t>
  </si>
  <si>
    <t>Подъезд к железнодорожной ветке от а/д Р-75/П3 Подъезд к г. Костюковичи № 1 от автомобильной дороги Р-75 км 0,0-1,500</t>
  </si>
  <si>
    <t>км 0,0-0,013 обслуживается РУП "Могилевавтодор" (съезд от а/д Р-96)</t>
  </si>
  <si>
    <t>км 0,0-0,031 обслуживается РУП "Могилевавтодор" (съезд от а/д Р-96)</t>
  </si>
  <si>
    <t>км 3,708-3,726 обслуживается РУП "Могилевавтодор" (съезд от а/д Р-96)</t>
  </si>
  <si>
    <t>км 0,0-0,013 обслуживается организацией жилищно-коммунального хозяйства (съезд от а/д Р-93)</t>
  </si>
  <si>
    <t>Подъезд к садоводческому товариществу "Ремонтник" от а/д Р-120 Быхов-Белыничи км 0,0-0,500</t>
  </si>
  <si>
    <t>Подъезд к садоводческому товариществу "Приднепровка" от а/д Р-122 Могилев-Чериков-Костюковичи км 0,0-0,500</t>
  </si>
  <si>
    <t>Подъезд к садоводческому товариществу "Бытовик" от а/д Р-71 Могилев-Славгород км 0,0-0,100</t>
  </si>
  <si>
    <t>как п-д к д. Лужки от а/д Р-76</t>
  </si>
  <si>
    <t>Подъезд к государственному учреждению социального обслуживания «Солтановский психоневрологический дом-интернат» от а/д Р-93 Могилев-Бобруйск км 0,0-0,550</t>
  </si>
  <si>
    <t>Подъезд к садоводческому товариществу "Березка-1" от а/д Р-93 Могилев-Бобруйск км 0,0-2,500</t>
  </si>
  <si>
    <t>Подъезд к садоводческому товариществу "Мелиоратор" от а/д Р-93 Могилев-Бобруйск км 0,0-1,000</t>
  </si>
  <si>
    <t>Подъезд к садоводческому товариществу "Технолог" от а/д Р-93 Могилев-Бобруйск км 0,0-0,600</t>
  </si>
  <si>
    <t>Подъезд к садоводческому товариществу "Буйничи" от а/д Р-93 Могилев-Бобруйск км 0,0-0,300</t>
  </si>
  <si>
    <t>Подъезд к садоводческому товариществу "Пуща энергонадзор" от а/д Р-93 Могилев-Бобруйск км 0,0-0,100</t>
  </si>
  <si>
    <t>Подъезд к кладбищу деревень Досовичи, Подбродье, Репище от а/д Р-93 Могилев-Бобруйск км 0,0-0,800</t>
  </si>
  <si>
    <t>Подъезд к садоводческому товариществу «Сухари»  от а/д Р-96 Могилев–Рясно–Мстиславль км 0,0-1,400</t>
  </si>
  <si>
    <t>Подъезд к садоводческому товариществу "Текстильщик" (Быховский район) от а/д Р-97 Могилев-Быхов-Рогачев км 0,0-2,000</t>
  </si>
  <si>
    <t>Подъезд к санаторию "Вязье" от а/д Р-72 Осиповичи-Свислочь км 0,0-2,152</t>
  </si>
  <si>
    <t>Подъезд к садоводческим товариществам "Мелиоратор" и "Садовина" от а/д Р-91 Осиповичи-Барановичи км 0,0-1,325</t>
  </si>
  <si>
    <t>как часть п-д к д. Рабовичи от а/д Р-71 Могилев-Славгород</t>
  </si>
  <si>
    <t>Подъезд к льнозаводу от а/д Р-122 Могилев-Чериков-Костюковичи км 0,0-2,415</t>
  </si>
  <si>
    <t>Подъезд к садоводческим товариществам «Бетон» и «Город–сад» от а/д Р-122 Могилев–Чериков–Костюковичи км 0,0-0,180</t>
  </si>
  <si>
    <t>Подъезд к садоводческому товариществу «Сувенир» от а/д Р-122 Могилев–Чериков–Костюковичи км 0,0-1,700</t>
  </si>
  <si>
    <t>Подъезд к садоводческому товариществу "Реста" от а/д Р-71 Могилев-Славгород км 0,0-0,780</t>
  </si>
  <si>
    <t>Подъезд к садоводческому товариществу "Кооператор" от а/д Р-71 Могилев-Славгород км 0,0-1,600</t>
  </si>
  <si>
    <t>??? как п-д к зори от а/д Р-43</t>
  </si>
  <si>
    <t>Подъезд к садоводческому товариществу "Удожка" от а/д Р-43 Граница Российской Федерации (Звенчатка)-Кричев-Бобруйск-Ивацевичи (до автомобильной дороги Р-2/Е 85) км 0,0-1,300</t>
  </si>
  <si>
    <t>Подъезд к зданию Речицкого сельского Совета депутатов от а/д Р-43 Граница Российской Федерации (Звенчатка)-Кричев-Бобруйск-Ивацевичи (до автомобильной дороги Р-2/Е 85) км 0,0-0,150</t>
  </si>
  <si>
    <t>Подъезд к садоводческому товариществу «Керамик» от а/д Р-76 Орша–Шклов–Могилев км 0,0-0,600</t>
  </si>
  <si>
    <t>Подъезд к садоводческому товариществу «Подснежник» (Опытноэкспериментальный завод) от а/д Р-76 Орша–Шклов–Могилев км 0,0-2,510</t>
  </si>
  <si>
    <t>Подъезд к оздоровительному лагерю христианской благотворительной общественной организации "Табея" от а/д Н-10032 Техтин-Малиновка-Прибор-Калиновка км 0,0-1,050</t>
  </si>
  <si>
    <t>Подъезд к садоводческим товариществам «Заря», «Строитель» от а/д Н-10084 Бояры–Барановичи 1–Забудьки км 0,0-0,800</t>
  </si>
  <si>
    <t>Подъезд к садоводческому товариществу «Сосновый» от а/д Н-10084 Бояры–Барановичи 1–Забудьки км 0,0-0,100</t>
  </si>
  <si>
    <t>Подъезд к садоводческому товариществу «Колос» от а/д Н-10084 Бояры–Барановичи 1–Забудьки км 0,0-0,100</t>
  </si>
  <si>
    <t>Подъезд к садоводческим товариществам «Швейник», «Речник», «Надомник», «Умелец», «Токари» от а/д Н-10084 Бояры–Барановичи 1–Забудьки км 0,0-0,700</t>
  </si>
  <si>
    <t>Подъезд к садоводческому товариществу «Прогресс» от а/д Н-10084 Бояры–Барановичи 1–Забудьки км 0,0-0,400</t>
  </si>
  <si>
    <t>Подъезд к садоводческим товариществам «Малиновка», «Зодчий», «Пищевик» от а/д Н-10084 Бояры–Барановичи 1–Забудьки км 0,0-0,900</t>
  </si>
  <si>
    <t>как Подъезд к зданию Осовского сельского Совета депутатов от а/д Н-10085</t>
  </si>
  <si>
    <t>Поъдезд к садоводческому товариществу "Наставник" (Кировский район) от а/д Н-10089 Думановщина-Ясный Лес-Слобода км 0,0-1,200</t>
  </si>
  <si>
    <t>Подъезд к садоводческому товариществу "Мичуринец"от а/д Н-10095 Воротынь-Данилов Мост км 0,0-1,500</t>
  </si>
  <si>
    <t>Подъезд к садоводческому товариществу «Пасека» от а/д Н-12210 Подъезд к садоводческому товариществу «Мичуринец» от а/д Н-10095 Воротынь–Данилов Мост км 0,0-0,600</t>
  </si>
  <si>
    <t>Подъезд к садоводческому товариществу "Березка" от а/д Н-10107 Лысая Горка-Бибковщина км 0,0-0,100</t>
  </si>
  <si>
    <t>Подъезд к садоводческому товариществу "Ола" от а/д Н-10122 Пасека-Вилы км 0,0-0,100</t>
  </si>
  <si>
    <t>Подъезд к садоводческому товариществу «Антоновка» от а/д Н-10123 Калинино–Щатково–Антоновка–Бобруйск км 0,0-0,100</t>
  </si>
  <si>
    <t>Подъезд к садоводческому товариществу "Нежково" от а/д Н-10322 Задорожье-Филиппово-Красулино км 0,0-0,300</t>
  </si>
  <si>
    <t>Подъезд к зданию Черневского сельского Совета депутатов от а/д Н-10380 Черневка-Белая-Рябки км 0,0-0,200</t>
  </si>
  <si>
    <t>Подъезд к зданию Галичского сельского Совета депутатов от а/д Н-10537 Климовичи–Галичи–Артемовка  км 0,0-0,700</t>
  </si>
  <si>
    <t>Подъезд к государственному учреждению образования «Районный оздоровительный лагерь «Орленок» Климовичского района» от а/д Н-10545 Селец-Ивановск км 0,0-5,800</t>
  </si>
  <si>
    <t>Подъезд к кладбищу деревень Новое Столпище, Столпище от а/д Н-10472 Букино–Столпище км 0,0-3,005</t>
  </si>
  <si>
    <t>Подъезд к садоводческому товариществу "Приозерное" от а/д Н-10479 Кировск-Вилы-Виленка км 0,0-0,200</t>
  </si>
  <si>
    <t>Подъезд № 1 к мемориальному комплексу «Усакино» от а/д Н-10609 Потока–Усакино км 0,0-0,600</t>
  </si>
  <si>
    <t>Подъезд № 2 к мемориальному комплексу «Усакино» от а/д Н-10609 Потока–Усакино км 0,0-0,500</t>
  </si>
  <si>
    <t>Подъезд к садоводческому товариществу "Сосновка" от а/д Н-10688 Коробаново-Шарейки-Черченовка км 0,0-0,300</t>
  </si>
  <si>
    <t>Подъезд к садоводческому товариществу «Мясокомбинат» от а/д Н-10834 Кричев–Поклады км 0,0-2,500</t>
  </si>
  <si>
    <t>Подъезд к зданию Комсеничского сельского Совета депутатов от а/д Н-10916 Солодовня-Комсеничи-Кляпиничи-Рябиновка-Комсеничи км 0,0-0,100</t>
  </si>
  <si>
    <t>Подъезд к асфальтобетонному заводу от а/д Н-10991 Присно-Севостьяновичи км 0,0-0,335</t>
  </si>
  <si>
    <t>Подъезд к садоводческому товариществу «Новая Нива» от а/д Н-10994 Коркать–Новая Нива км 0,0-0,500</t>
  </si>
  <si>
    <t>Подъезд к садоводческому товариществу «Красная Звезда» от а/д Н-10998 Вендорож–Завережье–Понизов км 0,0-0,720</t>
  </si>
  <si>
    <t>Подъезд к садоводческому товариществу «ПСК Садко ПМК-247» от а/д Н-11003 Тишовка–Михалёво–Вендорож км 0,0-0,600</t>
  </si>
  <si>
    <t>Подъезд к садоводческому товариществу «Виктория» от а/д Н-11003 Тишовка–Михалёво–Вендриж км 0,0-1,000</t>
  </si>
  <si>
    <t>Подъезд к посту гражданской обороны от а/д Н-11006 Дашковка-Лежневка-Межисетки км 0,0-3,443</t>
  </si>
  <si>
    <t>Подъезд к садоводческому товариществу "Николаевка-1" от а/д Н-11008 Купелы-Николаевка-Половинный Лог км 0,0-0,700</t>
  </si>
  <si>
    <t>Подъезд к садоводческому товариществу "Бобровичи ПМК-268" от а/д Н-11027 Бобровичи-Никитиничи км 0,0-0,600</t>
  </si>
  <si>
    <t>Подъезд к садоводческому товариществу "Росинка" от а/д Н-11033 Браково-Лохва-Заболотье км 0,0-0,500</t>
  </si>
  <si>
    <t>Подъезд к садоводческому товариществу «Мелиоратор» от а/д Н-11434 Темровичи-Васьковичи-Городня км 0,0-3,000</t>
  </si>
  <si>
    <t>Подъезд к водохранилищу от а/д Н-14025 Подъезд к комплексу открытого акционерного общества «Агрокомбинат «Восход» от а/д М-8/П 5 Подъезд к г. Могилеву от автомобильной дороги М-8/Е 95 км 0,0-0,440</t>
  </si>
  <si>
    <t>Подъезд к памятнику природы "Крыница Белково" от а/д Н-11132 Мстиславль-Милейково-Подсолтово км 0,0-1,400</t>
  </si>
  <si>
    <t>Подъезд к святому источнику Свято-Успенского Пустынского монастыря от а/д Н-11141 Мстиславль-граница Российской Федерации км 0,0-0,600</t>
  </si>
  <si>
    <t>Подъезд к государственному учреждению социального обеспечения «Хотимский психоневралогический дом-интернат» от а/д Н-11359 Хотимск-Пограничник-граница Российской Федерации км 0,0-1,060</t>
  </si>
  <si>
    <t>Подъезд к садоводческому товариществу "Реста" (общество слепых) от а/д Н-11430 Антоновка-Долгий Мох км 0,0-1,290</t>
  </si>
  <si>
    <t>Подъезд к садоводческому товариществу "Красный металлист" от а/д Н-11433 Смолка-Горбовичи-Красница-Гладково км 0,0-1,210</t>
  </si>
  <si>
    <t>Подъезд к садоводческому товариществу «Бобрец» от а/д Н-11433 Смолка–Горбовичи–Красница–Гладково км 0,0-0,600</t>
  </si>
  <si>
    <t>Подъезд к садоводческому товариществу "Зеленый огонек" от а/д Н-11434 Темровичи-Васьковичи-Городня км 0,0-1,240</t>
  </si>
  <si>
    <t>Подъезд к садоводческому товариществу "Автомобилист" от а/д Н-11434 Темровичи-Васьковичи-Городня км 0,0-0,200</t>
  </si>
  <si>
    <t>Подъезд к садоводческому товариществу "Железнодорожник" от а/д Н-11448 Антоновка-Горбовичи км 0,0-0,420</t>
  </si>
  <si>
    <t>Подъезд к садоводческому товариществу "Солнечная поляна" от а/д Н-11448 Антоновка-Горбовичи км 0,0-0,500</t>
  </si>
  <si>
    <t xml:space="preserve">Подъезд к памятнику природы «Родники «Байково» от а/д Н-11468 Антоновка–Лапени–Высокое–Ново-Егоровка км 0,0-2,500                   
</t>
  </si>
  <si>
    <t>Подъезд к административному зданию сельскохозяйственного производственного кооператива "Искра" от а/д Н-11503 Чериков-Удога-Веремейки км 0,0-0,500</t>
  </si>
  <si>
    <t>Подъезд к туристско-экскурсионному комплексу «Лысая Гора» от а/д Н-11577 Шклов–Сосновка 1–Старые Стайки км 0,0-1,959</t>
  </si>
  <si>
    <t>Подъезд к садоводческому товариществу «Колос» от а/д Н-11580 Калиновка–Черноручье–Говяды км 0,0-1,300</t>
  </si>
  <si>
    <t>Подъезд к садоводческому товариществу «Силикатчик» от а/д Н-11585 Садоводческое товарищество «Буровик»–Барсуки–Бушляки км 0,0-2,392</t>
  </si>
  <si>
    <t>Подъезд к садоводческому товариществу «Друть-Пруды» от а/д Н-11617 Евдокимовичи–Заходы–Пруды км 0,0-0,836</t>
  </si>
  <si>
    <t>Подъезд к кладбищу «Большое Заречье» от а/д Н-11621 Шклов–садоводческое товарищество «Ленок-Шклов» км 0,0-1,000</t>
  </si>
  <si>
    <t>Подъезд к упраздненной д. Купленка от а/д Н-10001 Белыничи–Шепелевичи–Круча км 0,0-0,600</t>
  </si>
  <si>
    <t>Подъезд к д. Крюки от а/д Н-10003 Вишов–Лямница–Николаевка–Малиновка 2 км 0,0-0,500</t>
  </si>
  <si>
    <t>Подъезд к д. Павлинка от а/д Н-10003 Вишов–Лямница–Николаевка–Малиновка 2 км 0,0-0,500</t>
  </si>
  <si>
    <t>Подъезд к д. Красное от а/д Н-10004 Светиловичи-Лебедянка-Борок км 0,0-1,100</t>
  </si>
  <si>
    <t>Подъезд к д. Кармановка от а/д Н-10005 Мокровичи-Эсьмоны-Заозерье км 0,0-1,665</t>
  </si>
  <si>
    <t>Подъезд к д. Майск от а/д Н-10005 Мокровичи-Эсьмоны-Заозерье км 0,0-1,600</t>
  </si>
  <si>
    <t>Подъезд к упраздненной д. Красногорье от а/д Н-10006 Искра–Выйлово–Сиваи км 0,0-2,025</t>
  </si>
  <si>
    <t>Подъезд к д. Ясная Поляна от а/д Н-10006 Искра–Выйлово–Сиваи км 0,0-0,100</t>
  </si>
  <si>
    <t>Подъезд к д. Октябрино от а/д Н-10006 Искра–Выйлово–Сиваи км 0,0-1,300</t>
  </si>
  <si>
    <t>Подъезд к д. Маковка от а/д Н-10007 Осовец-Заполье-Дручаны-Межонка км 0,0-2,000</t>
  </si>
  <si>
    <t>Подъезд к д. Добриловичи от а/д Н-10007 Осовец-Заполье-Дручаны-Межонка км 0,0-2,750</t>
  </si>
  <si>
    <t>Подъезд к д. Старина от а/д Н-10007 Осовец-Заполье-Дручаны-Межонка км 0,0-2,640</t>
  </si>
  <si>
    <t>Подъезд к д. Мазки от а/д Н-10007 Осовец-Заполье-Дручаны-Межонка км 0,0-0,600</t>
  </si>
  <si>
    <t>Подъезд к д. Старая Клевка от а/д Н-10008 Корытница–Староселье–Эсьмоны км 0,0-0,930</t>
  </si>
  <si>
    <t>Подъезд к д. Клева от а/д Н-10008 Корытница-Староселье-Эсьмоны км 0,0-1,970</t>
  </si>
  <si>
    <t>Подъезд к д. Девошичи от а/д Н-10008 Корытница-Староселье-Эсьмоны км 0,0-1,000</t>
  </si>
  <si>
    <t>Подъезд к д. Кулаковка от а/д Н-10008 Корытница-Староселье-Эсьмоны км 0,0-0,329</t>
  </si>
  <si>
    <t>Подъезд к д. Гнездин от а/д Н-10009 Вишов-Новоселки км 0,0-2,330</t>
  </si>
  <si>
    <t>Подъезд к д. Анисковщина от а/д Н-10009 Вишов-Новоселки км 0,0-0,400</t>
  </si>
  <si>
    <t>Подъезд к д. Клины от а/д Н-10011 Ермоловичи-Рафолово-Лямница км 0,0-1,600</t>
  </si>
  <si>
    <t>Подъезд к д. Митьковщина от а/д Н-10011 Ермоловичи-Рафолово-Лямница км 0,0-1,365</t>
  </si>
  <si>
    <t>Подъезд к д. Синьково от а/д Н-10013 Дручаны–Рубеж–Замочулье–Падевичи км 0,0-1,560</t>
  </si>
  <si>
    <t>Подъезд к упраздненной д. Красный Бор от а/д Н-10019 Бахани–Дутьки–Техтин км 0,0-1,200</t>
  </si>
  <si>
    <t>Подъезд к д. Лисовка от а/д Н-10020 Большая Мощаница–Дробовка км 0,0-0,55</t>
  </si>
  <si>
    <t>Подъезд к д. Малая Мощаница от а/д Н-10020 Большая Мощаница–Дробовка км 0,0-1,765</t>
  </si>
  <si>
    <t>Подъезд к д. Студенка от а/д Н-10022 Рубеж–Глубокий Брод–Иглица–Подкряжник км 0,0-0,400</t>
  </si>
  <si>
    <t>Подъезд к д. Поливники от а/д Н-10024 Мистровка–Курганье–Забавы км 0,0-1,800</t>
  </si>
  <si>
    <t>Подъезд к д. Гордово от а/д Н-10026 Заболотье–Кулаковка–Селянская Клевка км 0,0-0,500</t>
  </si>
  <si>
    <t>Подъезд к упраздненной д. Кастрычник от а/д Н-10027 Светиловичи–Малый Кудин км 0,0-1,200</t>
  </si>
  <si>
    <t>Подъезд к д. Отверница от а/д Н-10030 Ланьково–Ивановка км 0,0-1,300</t>
  </si>
  <si>
    <t>Подъезд к д. Осовец от а/д Н-10034 Асфальтобетонный завод-Осовец км 0,0-0,710</t>
  </si>
  <si>
    <t>Подъезд к д. Ильковичи от а/д Н-10043 Искра–Ильковичи км 0,0-0,490</t>
  </si>
  <si>
    <t>Подъезд к району индивидуальной жилой застройки в д. Новоселки от а/д Н-10055 Новоселки–Рогач км 0,0-0,400</t>
  </si>
  <si>
    <t>Подъезд к д. Осмоловка от а/д Р-120 Быхов-Белыничи км 0,0-2,354</t>
  </si>
  <si>
    <t>Подъезд к д. Угольщина от а/д Р-120 Быхов-Белыничи км 0,0-1,417</t>
  </si>
  <si>
    <t>Подъезд к д. Станция Друть от а/д Р-120 Быхов–Белыничи км 0,0-0,410</t>
  </si>
  <si>
    <t>Подъезд к д. Гуры от а/д Р-26 Толочин-Круглое-Вишов км 0,0-1,580</t>
  </si>
  <si>
    <t>Подъезд № 1 к д. Малиновка от а/д Р-77 Шклов-Белыничи (через Пригани 2) км 0,0-0,400</t>
  </si>
  <si>
    <t>Подъезд № 2 к д. Малиновка от а/д Н-12124 Подъезд № 1 к д. Малиновка от а/д Р-77 Шклов–Белыничи (через Пригани 2) км 0,0-0,250</t>
  </si>
  <si>
    <t>Подъезд к д. Бор от а/д Р-77 Шклов–Белыничи (через Пригани 2) км 0,0-1,280</t>
  </si>
  <si>
    <t>Подъезд к д. Кисловщина от а/д Н-10077 Глуша-Макаровка-Гороховка км 0,0-0,990</t>
  </si>
  <si>
    <t>Подъезд к д. Фортуны от а/д Н-10077 Глуша-Макаровка-Гороховка км 0,0-0,800</t>
  </si>
  <si>
    <t>Подъезд к д. Каменка от а/д Н-10077 Глуша-Макаровка-Гороховка км 0,0-1,100</t>
  </si>
  <si>
    <t>Подъезд к д. Барановичи-3 от а/д Н-10082 Сычково-Мирадино-Барановичи 1 км 0,0-1,545</t>
  </si>
  <si>
    <t>Подъезд к садоводческому товариществу «Старинки» от а/д Н-12161 Подъезд к д. Старинки от а/д Н-10084 Бояры–Барановичи 1–Забудьки км 0,0-0,500</t>
  </si>
  <si>
    <t>Подъезд к упраздненной д. Еленовка от а/д Н-10084 Бояры–Барановичи 1–Забудьки км 0,0-1,200</t>
  </si>
  <si>
    <t>Подъезд к д. Слобода от а/д Н-10084 Бояры–Барановичи 1–Забудьки км 0,0-1,000</t>
  </si>
  <si>
    <t>Подъезд к д. Красная Дуброва от а/д Н-10086 Слобода– Плессы км 0,0-0,600</t>
  </si>
  <si>
    <t>Подъезд № 1  к д. Мартыновка Н-10087 Каменка-Петровичи-Мартыновка км 0,0-0,350</t>
  </si>
  <si>
    <t>Подъезд  № 2 к д. Мартыновка Н-10087 Каменка-Петровичи-Мартыновка км 0,0-0,730</t>
  </si>
  <si>
    <t>Подъезд № 3 к д. Мартыновка Н-10087 Каменка-Петровичи-Мартыновка км 0,0-0,400</t>
  </si>
  <si>
    <t>Подъезд к д. Околица от а/д Н-10087 Каменка-Петровичи-Мартыновка км 0,0-1,000</t>
  </si>
  <si>
    <t>Подъезд к д. Гончаровка от а/д Н-10089 Думановщина-Ясный Лес-Слобода км 0,0-1,859</t>
  </si>
  <si>
    <t>Подъезд к д. Терешково от а/д Н-10089 Думановщина-Ясный Лес-Слобода км 0,0-1,000</t>
  </si>
  <si>
    <t>Подъезд к д. Горохово от а/д Н-10089 Думановщина-Ясный Лес-Слобода км 0,0-2,810</t>
  </si>
  <si>
    <t>Подъезд к д. Мошки от а/д Н-12193 Подъезд к д. Горохово от а/д Н-10089 Думановщина–Ясный Лес–Слобода км 0,0-2,350</t>
  </si>
  <si>
    <t>Подъезд к д. Ступени от а/д Н-10091 Телуша-Дубовка км 0,0-1,720</t>
  </si>
  <si>
    <t>Подъезд к д. Пустошка от а/д Н-10093 Малые Бортники–Малиновка км 0,0-2,265</t>
  </si>
  <si>
    <t>Подъезд к д. Мартыновка от а/д Н-10093 Малые Бортники–Малиновка км 0,0-1,500</t>
  </si>
  <si>
    <t xml:space="preserve">Подъезд к д. Авсимовичи от а/д Н-10096 Воротынь-Долгий Клин км 0,0-0,800 </t>
  </si>
  <si>
    <t>Подъезд к д. Восход от а/д Н-10098 Телуша-Пролетарский-Тажиловичи-Ламбово км 0,0-1,220</t>
  </si>
  <si>
    <t>Подъезд к д. Полошково от а/д Н-10117 Круглониво–Дворище–Рымовцы–Ляды км 0,0-0,800</t>
  </si>
  <si>
    <t>Подъезд к д. Городчина от а/д Н-10117 Круглониво–Дворище–Рымовцы–Ляды км 0,0-2,640</t>
  </si>
  <si>
    <t>Подъезд к д. Антоновка от а/д Н-10123 Калинино–Щатково–Антоновка–Бобруйск км 0,0-0,860</t>
  </si>
  <si>
    <t>Подъезд к д. Панюшковичи от а/д Н-10123 Калинино–Щатково–Антоновка–Бобруйск км 0,0-2,120</t>
  </si>
  <si>
    <t>Подъезд к д. Виноградовка от а/д Н-10123 Калинино–Щатково–Антоновка–Бобруйск км 0,0-2,550</t>
  </si>
  <si>
    <t>Подъезд к д. Черница от а/д Н-12257 Подъезд к д. Виноградовка от а/д Н-10123 Калинино–Щатково–Антоновка–Бобруйск км 0,0-0,965</t>
  </si>
  <si>
    <t>Подъезд к д. Турковская Слобода от а/д Н-10452 Павловичи–Турки– Красный Берег (до границы Могилевской области) км 0,0-1,930</t>
  </si>
  <si>
    <t>Подъезд к д. Омеленская Слобода от а/д Н-10452 Павловичи–Турки– Красный Берег (до границы Могилевской области) км 0,0-1,270</t>
  </si>
  <si>
    <t>Подъезд к садоводческому товариществу «Строитель» от а/д Н-12262 Подъезд к д. Омеленская Слобода от а/д Н-10452 Павловичи–Турки– Красный Берег (до границы Могилевской области) км 0,0-0,700</t>
  </si>
  <si>
    <t>Подъезд к садоводческому товариществу «Омельно» от а/д Н-12262 Подъезд к д. Омеленская Слобода от а/д Н-10452 Павловичи– Красный Берег (до границы Могилевской области) км 0,0-0,600</t>
  </si>
  <si>
    <t>Подъезд к садоводческому товариществу «Раница» от а/д Н-12262 Подъезд к д. Омеленская Слобода от а/д Н-10452 Павловичи–Турки– Красный Берег (до границы Могилевской области) км 0,0-0,800</t>
  </si>
  <si>
    <t>Подъезд к д. Волчья Гора от а/д Н-10463 Павловичи–Польковичи–Старые Дворяниновичи–Волчья Гора–Липняки км 0,0-1,405</t>
  </si>
  <si>
    <t>Подъезд к д. Казаково от а/д Р-31/П 1 Подъезд к г. Бобруйску № 3 от автомобильной дороги Р-31 км 0,0-0,940</t>
  </si>
  <si>
    <t>Проезд по д. Казаково от а/д Н-12294 Подъезд к д. Казаково от а/д Р-31/П 1 Подъезд к г. Бобруйску № 3 от автомобильной дороги Р-31 км 0,0-1,060</t>
  </si>
  <si>
    <t>Подъезд к д. Стасевка от а/д Р-31 Бобруйск (от автомобильной дороги М-5/Е 271)–Мозырь-граница Украины (Новая Рудня) км 0,0-5,515</t>
  </si>
  <si>
    <t>Подъезд к д. Продвино от а/д Р-31 Бобруйск (от автомобильной дороги М-5/Е 271)–Мозырь-граница Украины (Новая Рудня) км 0,0-0,940</t>
  </si>
  <si>
    <t>Подъезд к д. Боровая от а/д Р-31 Бобруйск (от автомобильной дороги М-5/Е 271)–Мозырь-граница Украины (Новая Рудня) км 0,0-0,270</t>
  </si>
  <si>
    <t>Подъезд к д. Дойничево от а/д Р-34 Осиповичи-Глуск-Озаричи км 0,0-1,285</t>
  </si>
  <si>
    <t>Подъезд к д. Забудьки от а/д Р-34 Осиповичи-Глуск-Озаричи км 0,0-1,454</t>
  </si>
  <si>
    <t>Подъезд к д. Каменка от а/д Р-43 Граница Российской Федерации (Звенчатка)-Кричев-Бобруйск-Ивацевичи (до автомобильной дороги Р-2/Е 85) км 0,0-1,215</t>
  </si>
  <si>
    <t>Подъезд к д. Бабино-1 от а/д Р-43 Граница Российской Федерации (Звенчатка)-Кричев-Бобруйск-Ивацевичи (до автомобильной дороги Р-2/Е 85) км 0,0-1,440</t>
  </si>
  <si>
    <t>Подъезд к д. Березовичи от а/д Р-43 Граница Российской Федерации (Звенчатка)-Кричев-Бобруйск-Ивацевичи (до автомобильной дороги Р-2/Е 85) км 0,0-2,607</t>
  </si>
  <si>
    <t>Подъезд к д. Слобода Богушовка от а/д Р-43 Граница Российской Федерации (Звенчатка)–Кричев–Бобруйск–Ивацевичи (до автомобильной дороги Р-2/Е 85) км 0,0-0,850</t>
  </si>
  <si>
    <t>Подъезд к д. Михалево 2 от а/д Р-43 Граница Российской Федерации (Звенчатка)–Кричев–Бобруйск–Ивацевичи (до автомобильной дороги Р-2/Е 85) км 0,0-1,340</t>
  </si>
  <si>
    <t>Подъезд к д. Крушинка от а/д Р-43 Граница Российской Федерации (Звенчатка)-Кричев-Бобруйск-Ивацевичи (до автомобильной дороги Р-2/Е 85) км 0,0-1,160</t>
  </si>
  <si>
    <t>Подъезд к д. Заглубокое от а/д Р-43 Граница Российской Федерации (Звенчатка)-Кричев-Бобруйск-Ивацевичи (до автомобильной дороги Р-2/Е 85) км 0,0-2,370</t>
  </si>
  <si>
    <t>Подъезд к д. Маяк от а/д Р-43 Граница Российской Федерации (Звенчатка)-Кричев-Бобруйск-Ивацевичи (до автомобильной дороги Р-2/Е 85) км 0,0-0,800</t>
  </si>
  <si>
    <t>Подъезд к д. Слободка от а/д Р-43 Граница Российской Федерации (Звенчатка)-Кричев-Бобруйск-Ивацевичи (до автомобильной дороги Р-2/Е 85) км 0,0-0,800</t>
  </si>
  <si>
    <t>Подъезд к садоводческому товариществу «Дубрава» от а/д Н-12333 Подъезд к д. Вербки от а/д Р-67 Борисов–Березино–Бобруйск км 0,0-0,200</t>
  </si>
  <si>
    <t>Подъезд к садоводческому товариществу «Надежда»  от а/д Н-12333 Подъезд к д. Вербки от а/д Р-67 Борисов–Березино–Бобруйск км 0,0-0,200</t>
  </si>
  <si>
    <t>Подъезд к д. Красное от а/д Р-67 Борисов-Березино-Бобруйск км 0,0-0,730</t>
  </si>
  <si>
    <t>Подъезд к д. Сосновая от а/д Р-67 Борисов–Березино–Бобруйск км 0,0-0,800</t>
  </si>
  <si>
    <t>Подъезд к д. Величково от а/д Р-93 Могилев-Бобруйск км 0,0-3,550</t>
  </si>
  <si>
    <t>Подъезд к д. Хатмилье от а/д Н-10151 Воронино-Трилесино-Бовки км 0,0-1,460</t>
  </si>
  <si>
    <t>Подъезд к д. Великий Лес от а/д Н-10152 Таймоново–Красный Берег–Верхняя Тощица км 0,0-2,770</t>
  </si>
  <si>
    <t>Подъезд к д. Ямное от а/д Н-10157 Быхов-Хомичи-Нижняя Тощица км 0,0-3,240</t>
  </si>
  <si>
    <t>Подъезд к д. Красная Беларусь от а/д Н-10157 Быхов-Хомичи-Нижняя Тощица км 0,0-6,660</t>
  </si>
  <si>
    <t>Подъезд к д. Романяцкая Гута от а/д Н-12378 Подъезд к д. Красная Беларусь от а/д Н-10157 Быхов–Хомичи–Нижняя Тощица км 0,0-4,450</t>
  </si>
  <si>
    <t>Подъезд к д. Вязьма от а/д Н-10157 Быхов-Хомичи-Нижняя Тощица км 0,0-2,010</t>
  </si>
  <si>
    <t>Подъезд к д. Первое Мая от а/д Н-10157 Быхов–Хомичи–Нижняя Тощица км 0,0-1,430</t>
  </si>
  <si>
    <t>Подъезд к д. Клетное от а/д Н-10157 Быхов-Хомичи-Нижняя Тощица км 0,0-2,300</t>
  </si>
  <si>
    <t>Подъезд к д. Лагодово от а/д Н-10157 Быхов-Хомичи-Нижняя Тощица км 0,0-1,710</t>
  </si>
  <si>
    <t>Подъезд к д. Выгода от а/д Н-10157 Быхов-Хомичи-Нижняя Тощица км 0,0-0,857</t>
  </si>
  <si>
    <t>Подъезд к упраздненной д. Езва от а/д Н-10157 Быхов–Хомичи–Нижняя Тощица км 0,0-3,000</t>
  </si>
  <si>
    <t>Подъезд к д. Золотва от а/д Н-10160 Городец-Студенка-Глухи-Ямище км 0,0-5,190</t>
  </si>
  <si>
    <t>Подъезд к д. Забродье от а/д Н-10160 Городец-Студенка-Глухи-Ямище км 0,0-0,728</t>
  </si>
  <si>
    <t>Подъезд к д. Ходутичи от а/д Н-10165 Залохвенье-Ходутичи-Косичи-Липовка-Боровка км 0,0-1,350</t>
  </si>
  <si>
    <t>Подъезд к д. Михалевка от а/д Н-10172 Красный Берег–Истопки км 0,0-0,770</t>
  </si>
  <si>
    <t>Подъезд к д. Малиновка от а/д Н-10172 Красный Берег–Истопки км 0,0-0,940</t>
  </si>
  <si>
    <t>Подъезд к д. Осовщина от а/д Н-10178 Неряж–Савичев Рог км 0,0-1,360</t>
  </si>
  <si>
    <t>Подъезд к д. Красница-2 от а/д Н-10180 Красница-2-Латколония км 0,0-0,270</t>
  </si>
  <si>
    <t>Подъезд № 1 к д. Латколония от а/д Н-10180 Красница-2- Латколония км 0,0-0,570</t>
  </si>
  <si>
    <t>Подъезд № 2 к д. Латколония от а/д Н-10180 Красница-2- Латколония км 0,0-0,550</t>
  </si>
  <si>
    <t>Подъезд к территории фермы в д. Латколония от а/д Н-10180 Красница-2- Латколония км 0,0-0,290</t>
  </si>
  <si>
    <t>Подъезд к д. Болоновка от а/д Н-10188 Болоновка-Галеевка-Короткие км 0,0-0,660</t>
  </si>
  <si>
    <t>Подъезд к д. Чечевичи от а/д Н-10189 Чечевичи–турбаза «Радуга»–Грудичино км 0,0-0,180</t>
  </si>
  <si>
    <t>Подъезд к д. Прибережье от а/д Н-10976 Могилев-Махово-Грудиновка-Годылево км 0,0-3,440</t>
  </si>
  <si>
    <t>Подъезд к д. Бутрамеевка от а/д Н-10976 Могилев-Махово-Грудиновка-Годылево км 0,0-5,222</t>
  </si>
  <si>
    <t>Подъезд к д. Новый Кучин от а/д Р-120 Быхов-Белыничи км 0,0-0,950</t>
  </si>
  <si>
    <t>Подъезд к д. Селище от а/д Р-120 Быхов-Белыничи км 0,0-1,580</t>
  </si>
  <si>
    <t>Подъезд к д. Людков от а/д Р-120 Быхов-Белыничи км 0,0-1,250</t>
  </si>
  <si>
    <t>Подъезд к д. Стаховщина от а/д Р-93 Могилев-Бобруйск км 0,0-1,520</t>
  </si>
  <si>
    <t>Подъезд к д. Виляховка от а/д Р-97 Могилев-Быхов-Рогачев км 0,0-3,700</t>
  </si>
  <si>
    <t>Подъезд к д. Дубовка от а/д Р-97 Могилев-Быхов-Рогачев км 0,0- 3,060</t>
  </si>
  <si>
    <t>Подъезд к д. Заяченье от а/д Р-97 Могилев-Быхов-Рогачев км 0,0-1,100</t>
  </si>
  <si>
    <t>Подъезд к д. Амур от а/д Н-10228 Глуск-Славковичи-Зорька км 0,0-2,520</t>
  </si>
  <si>
    <t xml:space="preserve">Подъезд к д. Лучки от а/д Н-10228 Глуск-Славковичи-Зорька км 0,0-0,800 </t>
  </si>
  <si>
    <t>Подъезд к д. Дуброва от а/д Н-10229 Карповичи-Маковичи-Боровище км 0,0-0,500</t>
  </si>
  <si>
    <t>Подъезд к д. Калюга от а/д Н-10229 Карповичи-Маковичи-Боровище км 0,0-1,050</t>
  </si>
  <si>
    <t>Подъезд к д. Заполье от а/д Н-10234 Заволочицы-Дворец-Городок км 0,0-1,410</t>
  </si>
  <si>
    <t>ППодъезд № 2 к д. Заполье от а/д Н-12559 Подъезд к д. Заполье от а/д Н-10234 Заволочицы–Дворец–Городок км 0,0-0,630</t>
  </si>
  <si>
    <t>Подъезд к д. Дворец от а/д Н-10234 Заволочицы-Дворец-Городок км 0,0-0,990</t>
  </si>
  <si>
    <t>Подъезд к д. Подлужье от а/д Н-10237 Жуковичи-Поблин км 0,0-1,546</t>
  </si>
  <si>
    <t>Подъезд к д. Приворотье от а/д Н-10242 Старое Село-Клещевка км 0,0-1,635</t>
  </si>
  <si>
    <t>Подъезд к д. Подзамша от а/д Р-34 Осиповичи-Глуск-Озаричи км 0,0-1,300</t>
  </si>
  <si>
    <t>Подъезд к д. Городище (Заволочицкий сельсовет) от а/д Р-34 Осиповичи–Глуск–Озаричи км 0,0-2,870</t>
  </si>
  <si>
    <t>Подъезд № 1 к д. Борисовщина от а/д Р-34 Осиповичи–Глуск–Озаричи км 0,0-1,080</t>
  </si>
  <si>
    <t>Подъезд № 2 к д. Борисовщина от а/д Р-34 Осиповичи–Глуск–Озаричи км 0,0-2,720</t>
  </si>
  <si>
    <t>Подъезд к д. Заполье от а/д Р-34 Осиповичи-Глуск-Озаричи км 0,0-3,200</t>
  </si>
  <si>
    <t>Подъезд к д. Войтехово от а/д Р-34 Осиповичи-Глуск-Озаричи км 0,0-1,420</t>
  </si>
  <si>
    <t>Подъезд к д. Кныши от а/д Р-34 Осиповичи-Глуск-Озаричи км 0,0-2,300</t>
  </si>
  <si>
    <t>Подъезд к д. Турки от а/д Р-34 Осиповичи-Глуск-Озаричи км 0,0-2,180</t>
  </si>
  <si>
    <t>Подъезд к д. Городище (Славковичский сельсовет) от а/д Р-34 Осиповичи–Глуск–Озаричи км 0,0-1,560</t>
  </si>
  <si>
    <t>Подъезд к д. Евсеевичи от а/д Р-43 Граница Российской Федерации (Звенчатка)-Кричев-Бобруйск-Ивацевичи (до автомобильной дороги Р-2/Е 85) км 0,0-3,040</t>
  </si>
  <si>
    <t>Подъезд к д. Симоновичи от а/д Р-43 Граница Российской Федерации (Звенчатка)-Кричев-Бобруйск-Ивацевичи (до автомобильной дороги Р-2/Е 85) км 0,0-3,490</t>
  </si>
  <si>
    <t>Подъезд к д. Ясенцы от а/д Р-43 Граница Российской Федерации (Звенчатка)-Кричев-Бобруйск-Ивацевичи (до автомобильной дороги Р-2/Е 85) км 0,0-0,630</t>
  </si>
  <si>
    <t>Подъезд к д. Горное от а/д Р-43 Граница Российской Федерации (Звенчатка)-Кричев-Бобруйск-Ивацевичи (до автомобильной дороги Р-2/Е 85) км 0,0-0,610</t>
  </si>
  <si>
    <t>Подъезд к д. Стефаново от а/д Н-10301 Горки-Каменка-Ленино км 0,0-1,000</t>
  </si>
  <si>
    <t>Подъезд к д. Ходоровка от а/д Н-10301 Горки-Каменка-Ленино км 0,0-0,600</t>
  </si>
  <si>
    <t>Подъезд к д. Полишино от а/д Н-10301 Горки-Каменка-Ленино км 0,0-2,800</t>
  </si>
  <si>
    <t>Подъезд к д. Шавнево от а/д Н-10301Горки-Каменка-Ленино км 0,0-1,300</t>
  </si>
  <si>
    <t>Подъезд к д. Зайцево от а/д Н-10302 Макаровка-Красулино-Черничный км 0,0-0,600</t>
  </si>
  <si>
    <t>Подъезд к д. Масалыки от а/д Н-10302 Макаровка-Красулино-Черничный км 0,0-1,900</t>
  </si>
  <si>
    <t>Подъезд к д. Ходоровка от а/д Н-10303 Овсянка-Поленка-Маслаки км 0,0-0,882</t>
  </si>
  <si>
    <t>Подъезд к д. Хаминичи от а/д Н-10304 Рудковщина–Маслаки–Аниковичи км 0,0-3,200</t>
  </si>
  <si>
    <t>Подъезд к д. Варьково от а/д Н-10304 Рудковщина-Маслаки-Аниковичи км 0,0-1,100</t>
  </si>
  <si>
    <t>Подъезд к д. Михайловичи от а/д Н-10304 Рудковщина-Маслаки-Аниковичи км 0,0-2,100</t>
  </si>
  <si>
    <t>Подъезд к д. Шепелевка от а/д Н-10304 Рудковщина-Маслаки-Аниковичи км 0,0-1,600</t>
  </si>
  <si>
    <t>Подъезд к д. Ермоловка от а/д Н-10304 Рудковщина-Маслаки-Аниковичи км 0,0-1,000</t>
  </si>
  <si>
    <t>Подъезд к д. Ферма от а/д Н-10304 Рудковщина-Маслаки-Аниковичи км 0,0-0,700</t>
  </si>
  <si>
    <t>Подъезд № 1 к д. Запрудье от а/д Н-10306 Запрудье–Шавнево км 0,0-0,800</t>
  </si>
  <si>
    <t>Подъезд № 2 к д. Запрудье от а/д Н-12652 Подъезд № 1 к д. Запрудье от а/д Н-10306 Запрудье–Шавнево км 0,0-0,200</t>
  </si>
  <si>
    <t>Подъезд к д. Соколово от а/д Н-10306 Запрудье-Шавнево км 0,0-1,00</t>
  </si>
  <si>
    <t>Подъезд к д. Запрудье от а/д Н-10311 Горы-Волынцево-Быстрая км 0,0-1,380</t>
  </si>
  <si>
    <t>Подъезд к д. Слобода от а/д Н-10311 Горы-Волынцево-Быстрая км 0,0-3,131</t>
  </si>
  <si>
    <t>Подъезд к д. Волынцево от а/д Н-10311 Горы-Волынцево-Быстрая км 0,0-0,915</t>
  </si>
  <si>
    <t>Подъезд к упраздненной д. Климатичи от а/д Н-10312 Андеколово–Луки–Староселье км 0,0-3,100</t>
  </si>
  <si>
    <t>Подъезд к д. Староселье от а/д Н-10313 Ходоровка-Чистики-Старина км 0,0-4,500</t>
  </si>
  <si>
    <t>Подъезд к д. Городец от а/д Н-10313 Ходоровка-Чистики-Старина км 0,0-1,300</t>
  </si>
  <si>
    <t>Подъезд к д. Клин от а/д Н-10314 Стрикили-Клин-Ольховка км 0,0-1,750</t>
  </si>
  <si>
    <t>Подъезд к д. Вишня от а/д Н-10320 Красулино-Юрково-Поташи км 0,0-0,550</t>
  </si>
  <si>
    <t>Подъезд к д. Голышено от а/д Н-10321 Панкратовка-Добрая км 0,0-2,200</t>
  </si>
  <si>
    <t>Подъезд к д. Ермаки от а/д Н-12695 Подъезд к д. Голышено от а/д Н-10321 Панкратовка–Добрая км 0,0-0,500</t>
  </si>
  <si>
    <t>Подъезд к д. Задорожье от а/д Н-10324 Суровцево-Волковщина-Андрюхи км 0,0-1,640</t>
  </si>
  <si>
    <t>Подъезд к д. Попковка от а/д Н-10328 Ректа-Шиворовка-Сеньково км 0,0-0,700</t>
  </si>
  <si>
    <t>Подъезд к д. Глиньково от а/д Н-10329 Ректа-Шишево-Нежково км 0,0-1,200</t>
  </si>
  <si>
    <t>Подъезд к д. Высоцкие от а/д Н-10330 Каменка-Оршани-Ольховец км 0,0-1,700</t>
  </si>
  <si>
    <t>Подъезд к д. Напрасновка от а/д Н-10334 Шепелевка-Ольховка км 0,0-0,700</t>
  </si>
  <si>
    <t>Подъезд к д. Студенец от а/д Н-10350 Студенец-Ленполье-Никольский км 0,0-1,490</t>
  </si>
  <si>
    <t>Подъезд к д. Полящицы от а/д Н-10353 Паршино-Телешовка км 0,0-1,600</t>
  </si>
  <si>
    <t>Подъезд к д. Полящицы от а/д Р-15 Кричев-Орша-Лепель км 0,0-1,100</t>
  </si>
  <si>
    <t>Подъезд к д. Сеньково от а/д Р-15 Кричев-Орша-Лепель км 0,0-0,400</t>
  </si>
  <si>
    <t>Подъезд к д. Воловцы от а/д Р-15 Кричев-Орша-Лепель км 0,0-1,600</t>
  </si>
  <si>
    <t>Подъезд к д. Буда от а/д Р-15 Кричев-Орша-Лепель км 0,0-2,300</t>
  </si>
  <si>
    <t>Подъезд к д. Пневщина от а/д Р-15 Кричев-Орша-Лепель км 0,0-2,970</t>
  </si>
  <si>
    <t>Подъезд к д. Буды от а/д Р-15 Кричев-Орша-Лепель км 0,0-4,970</t>
  </si>
  <si>
    <t>Подъезд к д. Харьковка от а/д Р-15 Кричев-Орша-Лепель км 0,0-5,080</t>
  </si>
  <si>
    <t>Подъезд к д. Курганье от а/д Р-15 Кричев-Орша-Лепель км 0,0-1,500</t>
  </si>
  <si>
    <t>Подъезд к д. Никодимово от а/д Р-15 Кричев-Орша-Лепель км 0,0-1,580</t>
  </si>
  <si>
    <t>Подъезд к д. Козлы от а/д Р-15 Кричев-Орша-Лепель км 0,0-0,500</t>
  </si>
  <si>
    <t>Подъезд к д. Лебедево от а/д Р-15 Кричев-Орша-Лепель км 0,0-1,500</t>
  </si>
  <si>
    <t>Подъезд № 1 к д. Сахаровка от а/д Р-70 Княжицы–Горки–Ленино–граница Российской Федерации (Дружная) км 0,0-0,959</t>
  </si>
  <si>
    <t>Подъезд № 2 к д. Сахаровка от а/д Н-12781 Подъезд № 1 к д. Сахаровка от а/д Р-70 Княжицы–Горки–Ленино–граница Российской Федерации (Дружная) км 0,0-0,638</t>
  </si>
  <si>
    <t>Подъезд к д. Душки от а/д Р-70 Княжицы-Горки-Ленино-граница Российской Федерации (Дружная) км 0,0-2,120</t>
  </si>
  <si>
    <t>Подъезд к д. Тимоховка от а/д Р-70 Княжицы-Горки-Ленино-граница Российской Федерации (Дружная) км 0,0-0,650</t>
  </si>
  <si>
    <t>Подъезд к д. Болбечино от а/д Р-70 Княжицы–Горки–Ленино–граница Российской Федерации (Дружная) км 0,0-2,840</t>
  </si>
  <si>
    <t>Подъезд к д. Чашники от а/д Р-70 Княжицы-Горки-Ленино-граница Российской Федерации (Дружная) км 0,0-2,020</t>
  </si>
  <si>
    <t>Подъезд к д. Гощ-Чарный от а/д Р-70 Княжицы-Горки-Ленино-граница Российской Федерации (Дружная) км 0,0-1,60</t>
  </si>
  <si>
    <t>Подъезд к д. Кривцы от а/д Р-70 Княжицы-Горки-Ленино-граница Российской Федерации (Дружная) км 0,0-1,800</t>
  </si>
  <si>
    <t>Подъезд к д. Ледешня от а/д Н-10376 Дрибин-Темный Лес-Коптевка км 0,0-0,900</t>
  </si>
  <si>
    <t>Подъезд к д. Абраимовка от а/д Н-10377 Кледневичи–Прибужье Старое км 0,0-5,277</t>
  </si>
  <si>
    <t>Подъезд к д. Калинка от а/д Н-12813 Подъезд к д. Абраимовка от а/д Н-10377 Кледневичи–Прибужье Старое км 0,0-0,700</t>
  </si>
  <si>
    <t>Подъезд к д. Крюковщина от а/д Н-10377 Кледневичи–Прибужье Старое км 0,0-1,600</t>
  </si>
  <si>
    <t>Подъезд к д. Городецк от а/д Н-10377 Кледневичи–Прибужье Старое км 0,0-1,600</t>
  </si>
  <si>
    <t>Подъезд к д. Старокожевка от а/д Н-10377 Кледневичи–Прибужье Старое км 0,0-0,700</t>
  </si>
  <si>
    <t>Подъезд к д. Шестаки от а/д Н-10379 Белая-Коровчино-Жаковка км 0,0-2,300</t>
  </si>
  <si>
    <t>Подъезд к д. Хасевка от а/д Н-10379 Белая-Коровчино-Жаковка км 0,0-2,000</t>
  </si>
  <si>
    <t>Подъезд к д. Полуи от а/д Н-10379 Белая-Коровчино-Жаковка км 0,0-1,500</t>
  </si>
  <si>
    <t>Подъезд к д. Белая от а/д Н-10380 Черневка-Белая-Рябки км 0,0-2,699</t>
  </si>
  <si>
    <t>Подъезд к д. Новая Черневка от а/д Н-12844 Подъезд к д. Белая от а/д Н-10380 Черневка–Белая–Рябки км 0,0-1,800</t>
  </si>
  <si>
    <t>Подъезд к д. Новоселки от а/д Н-10381 Рясно-Красное км 0,0-2,824</t>
  </si>
  <si>
    <t>Подъезд к д. Боброво от а/д Н-10381 Рясно-Красное, км 0,0-0,600</t>
  </si>
  <si>
    <t>Подъезд к д. Ждановичи от а/д Н-10382 Яськовщина–Миловье км 0,0-0,800</t>
  </si>
  <si>
    <t>Подъезд к д. Лесковка от а/д Н-10383 Лесковка-Каребы-Затоны км 0,0-0,600</t>
  </si>
  <si>
    <t>Подъезд к д. Панеча от а/д Н-10383 Лесковка-Каребы-Затоны км 0,0-1,280</t>
  </si>
  <si>
    <t>Подъезд к д. Гололобовка от а/д Н-10384 Темный Лес-Рясно км 0,0-0,500</t>
  </si>
  <si>
    <t>Подъезд к д. Верба от а/д Н-10384 Темный Лес-Рясно км 0,0-0,400</t>
  </si>
  <si>
    <t>Подъезд к д. Васильевка от а/д Н-10385 Преображенск-Голобурды км 0,0-1,200</t>
  </si>
  <si>
    <t>Подъезд к д. Кищицы от а/д Н-10385 Преображенск-Голобурды км 0,0-1,500</t>
  </si>
  <si>
    <t>Подъезд № 1 к д. Преображенск от а/д Н-10385 Преображенск–Голобурды км 0,0-2,600</t>
  </si>
  <si>
    <t>Подъезд № 2 к д. Преображенск от а/д Н-12869 Подъезд № 1 к д. Преображенск от а/д Н-10385 Преображенск–Голобурды км 0,0-0,300</t>
  </si>
  <si>
    <t>Подъезд к д. Перелоги от а/д Н-10389 Прибужье Старое –Головичи км 0,0-1,500</t>
  </si>
  <si>
    <t>Подъезд к д. Дроздовка от а/д Р-96/П 2 Подъезд к г.п. Дрибин от автомобильной дороги Р-96 км 0,0-1,500</t>
  </si>
  <si>
    <t>Подъезд к памятнику природы «Пан-ключ» в д. Дроздовка от а/д Н-12878 Подъезд к д. Дроздовка от а/д Р-96/П 2 Подъезд к г.п. Дрибин от автомобильной дороги Р-96 км 0,0-0,300</t>
  </si>
  <si>
    <t>Подъезд к д. Бестрень от а/д Р-96/П 2 Подъезд к г.п. Дрибин от автомобильной дороги Р-96 км 0,0-0,800</t>
  </si>
  <si>
    <t>Подъезд к д. Немерка от а/д Р-96/П 2 Подъезд к г.п. Дрибин от автомобильной дороги Р-96 км 0,0-1,000</t>
  </si>
  <si>
    <t>Подъезд к д. Каменка от а/д Р-96 Могилев-Рясно-Мстиславль км 0,0-5,753</t>
  </si>
  <si>
    <t>Подъезд к д. Каменская Горка от а/д Н-12910 Подъезд к д. Каменка от а/д Р-96 Могилев–Рясно–Мстиславль км 0,0-1,600</t>
  </si>
  <si>
    <t>Подъезд к д. Робцы от а/д Н-12910 Подъезд к д. Каменка от а/д Р-96 Могилев–Рясно–Мстиславль км 0,0-1,500</t>
  </si>
  <si>
    <t>Подъезд к д. Щекотовская Слабодка от а/д Р-96 Могилев–Рясно–Мстиславль км 0,0-1,100</t>
  </si>
  <si>
    <t>Подъезд к д. Застенки от а/д Р-96 Могилев-Рясно-Мстиславль км 0,0-2,450</t>
  </si>
  <si>
    <t xml:space="preserve"> Подъезд к д. Прилеповка от а/д Р-96 Могилев-Рясно-Мстиславль км 0,0-0,300</t>
  </si>
  <si>
    <t xml:space="preserve"> Подъезд к д. Черноречка от а/д Р-96 Могилев-Рясно-Мстиславль км 0,0-0,400</t>
  </si>
  <si>
    <t>Подъезд к д. Дубровка от а/д Р-96 Могилев-Рясно-Мстиславль км 0,0-1,800</t>
  </si>
  <si>
    <t>Подъезд к д. Зубовка от а/д Н-12918 Подъезд к д. Дубровка от а/д Р-96 Могилев–Рясно–Мстиславль км 0,0-0,950</t>
  </si>
  <si>
    <t>Подъезд к д. Затоны–1 от а/д Р-96 Могилев–Рясно–Мстиславль км 0,0-1,200</t>
  </si>
  <si>
    <t>Подъезд к д. Пески от а/д Р-96 Могилев-Рясно-Мстиславль км 0,0-1,200</t>
  </si>
  <si>
    <t>Подъезд к д. Горлово от а/д Р-96 Могилев-Рясно-Мстиславль км 0,0-1,500</t>
  </si>
  <si>
    <t>Подъезд к д. Якимовичи от а/д Н-10527 Шестеровка-Макеевичи-граница Российской Федерации км 0,0-1,000</t>
  </si>
  <si>
    <t>Подъезд к д. Переволочня от а/д Н-10527 Шестеровка-Макеевичи-граница Российской Федерации км 0,0-5,630</t>
  </si>
  <si>
    <t>Подъезд к д. Юрьевичи от а/д Н-13010 Подъезд к д. Переволочня от а/д Н-10527 Шестеровка–Макеевичи–граница Российской Федерации км 0,0-2,202</t>
  </si>
  <si>
    <t>Подъезд к д. Тарасовичи от а/д Н-10528 Остров-Склимин км 0,0-1,000</t>
  </si>
  <si>
    <t>Подъезд к д. Селище от а/д Н-10529 Климовичи-Селище-Ерошовка-Коноховка км 0,0-1,200</t>
  </si>
  <si>
    <t>Подъезд к д. Ерошовка от а/д Н-10529 Климовичи-Селище-Ерошовка-Коноховка км 0,0-1,000</t>
  </si>
  <si>
    <t>Подъезд к д. Николаевка от а/д Н-10531 Василевка–Милославичи км 0,0-1,000</t>
  </si>
  <si>
    <t>Подъезд к д. Василевка от а/д Н-10531 Василевка–Милославичи км 0,0-0,700</t>
  </si>
  <si>
    <t>Подъезд к д. Прудок от а/д Н-10532 Родня-Соболевка км 0,0-0,500</t>
  </si>
  <si>
    <t>Подъезд к д. Клов от а/д Н-10534 Высокая Буда–Яновка–Красавичи–Меженин–Автуховка км 0,0-2,100</t>
  </si>
  <si>
    <t>Подъезд к д. Озерцы от а/д Н-10537 Климовичи–Галичи–Артемовка км 0,0-3,000</t>
  </si>
  <si>
    <t>Подъезд к д. Остров от а/д Н-10537 Климовичи–Галичи–Артемовка км 0,0-0,900</t>
  </si>
  <si>
    <t>Подъезд к д. Павловичи от а/д Н-10537 Климовичи–Галичи–Артемовка км 0,0-3,408</t>
  </si>
  <si>
    <t>Подъезд к д. Пожарь от а/д Н-10537 Климовичи–Галичи–Артемовка км 0,0-1,500</t>
  </si>
  <si>
    <t>Подъезд к д. Чепельки от а/д Н-10537 Климовичи–Галичи–Артемовка км 0,0-3,800</t>
  </si>
  <si>
    <t>Подъезд к д. Селище от а/д Н-10537 Климовичи–Галичи–Артемовка км 0,0-0,400</t>
  </si>
  <si>
    <t>Подъезд к д. Балешин от а/д Н-10538 Тимоново-Балешин-Медведовка км 0,0-0,900</t>
  </si>
  <si>
    <t>Подъезд к д. Соболевка от а/д Н-10539 Путимель-Недведь-Соболевка км 0,0-1,800</t>
  </si>
  <si>
    <t>Подъезд к д. Старые Жарки от а/д Н-10543 Тимоново–Плющево–Новые Жарки–Гута км 0,0-0,400</t>
  </si>
  <si>
    <t>Подъезд к д. Плющево от а/д Н-10543 Тимоново–Плющево–Новые Жарки–Гута км 0,0-0,800</t>
  </si>
  <si>
    <t>Подъезд к д. Гута от а/д Н-10543 Тимоново–Плющево–Новые Жарки–Гута км 0,0-1,100</t>
  </si>
  <si>
    <t>Подъезд к д. Новые Жарки от а/д Н-10543 Тимоново–Плющево–Новые Жарки–Гута км 0,0-1,000</t>
  </si>
  <si>
    <t>Подъезд к д. Дорогинь от а/д Н-10543 Тимоново–Плющево–Новые Жарки–Гута км 0,0-1,965</t>
  </si>
  <si>
    <t>Подъезд к д. Ясная Поляна от а/д Н-10543 Тимоново–Плющево–Новые Жарки–Гута км 0,0-1,000</t>
  </si>
  <si>
    <t>Подъезд к д. Соколовка от а/д Н-10548 Галичи–Малышковичи–Якубовка км 0,0-1,300</t>
  </si>
  <si>
    <t>Подъезд к д. Роськов от а/д Н-10549 Старый Дедин-Роськов-Кулешовка км 0,0-2,000</t>
  </si>
  <si>
    <t>Подъезд к д. Слобода от а/д Н-10550 Судзилы-Сидоровка-Мыслевщина-Недведь км 0,0-1,600</t>
  </si>
  <si>
    <t>Подъезд к д. Зеленый Клин от а/д Н-10553 Свирель-Блиунг км 0,0-1,072</t>
  </si>
  <si>
    <t>Подъезд к д. Матеевка от а/д Н-10570 Казусевка–Матеевка– Малышковичи км 0,0-0,400</t>
  </si>
  <si>
    <t>Подъезд к д. Рысин от а/д Р-122 Могилев-Чериков-Костюковичи км 0,0-1,200</t>
  </si>
  <si>
    <t>Подъезд к д. Залесье от а/д Р-43 Граница Российской Федерации (Звенчатка)-Кричев-Бобруйск-Ивацевичи (до автомобильной дороги Р-2/Е 85) км 0,0-3,377</t>
  </si>
  <si>
    <t>Подъезд к д. Шестеровка от а/д Р-43 Граница Российской Федерации (Звенчатка)-Кричев-Бобруйск-Ивацевичи (до автомобильной дороги Р-2/Е 85) км 0,0-1,200</t>
  </si>
  <si>
    <t>Подъезд к д. Папоротка от а/д Р-43 Граница Российской Федерации (Звенчатка)-Кричев-Бобруйск-Ивацевичи (до автомобильной дороги Р-2/Е 85) км 0,0-1,000</t>
  </si>
  <si>
    <t>Подъезд к д. Новый Дедин от а/д Р-43 Граница Российской Федерации (Звенчатка)-Кричев-Бобруйск-Ивацевичи (до автомобильной дороги Р-2/Е 85) км 0,0-7,878</t>
  </si>
  <si>
    <t>Подъезд к д. Барсуки от а/д Р-43 Граница Российской Федерации (Звенчатка)-Кричев-Бобруйск-Ивацевичи (до автомобильной дороги Р-2/Е 85) км 0,0-0,400</t>
  </si>
  <si>
    <t>Подъезд к д. Лозовица от а/д Р-75 Климовичи (от автомобильной дороги Р-43)-Костюковичи-граница Российской Федерации (Смольки) км 0,0-0,800</t>
  </si>
  <si>
    <t>Подъезд к д. Церковище от а/д Р-75 Климовичи (от автомобильной дороги Р-43)-Костюковичи-граница Российской Федерации (Смольки) км 0,0-2,265</t>
  </si>
  <si>
    <t>Подъезд к д. Холдеевка от а/д Р-75 Климовичи (от автомобильной дороги Р-43)-Костюковичи-граница Российской Федерации (Смольки) км 0,0-4,900</t>
  </si>
  <si>
    <t>Подъезд к д. Гришин от а/д Р-75 Климовичи (от автомобильной дороги Р-43)-Костюковичи-граница Российской Федерации (Смольки) км 0,0-0,600</t>
  </si>
  <si>
    <t>Подъезд к д. Семеновка от а/д Р-75 Климовичи (от автомобильной дороги Р-43)-Костюковичи-граница Российской Федерации (Смольки) км 0,0-0,500</t>
  </si>
  <si>
    <t>Подъезд к д. Осмоловичи от а/д Р-75 Климовичи (от автомобильной дороги Р-43)-Костюковичи-граница Российской Федерации (Смольки) км 0,0-6,105</t>
  </si>
  <si>
    <t>Подъезд к д. Кривая от а/д Р-75 Климовичи (от автомобильной дороги Р-43)-Костюковичи-граница Российской Федерации (Смольки) км 0,0-0,500</t>
  </si>
  <si>
    <t>Подъезд к д. Десятины от а/д Н-10451 Кировск-Жиличи-граница Гомельской области км 0,0-2,090</t>
  </si>
  <si>
    <t>Подъезд к д. Пархимковичи от а/д Н-10451 Кировск-Жиличи-граница Гомельской области км 0,0-6,385</t>
  </si>
  <si>
    <t>Подъезд к д. Селиба от а/д Н-10454 Стайки-Подселы км 0,0-1,800</t>
  </si>
  <si>
    <t>Подъезд к д. Дубцы от а/д Н-10454 Стайки-Подселы км 0,0-3,936</t>
  </si>
  <si>
    <t>Подъезд к д. Викторовка от а/д Н-10455 Кировск-Добосна км 0,0-2,370</t>
  </si>
  <si>
    <t>Подъезд к д. Подречье от а/д Н-10458 Столпище–Костричи–Власовичи км 0,0-2,850</t>
  </si>
  <si>
    <t>Подъезд к д. Рудня от а/д Н-10460 Кировск-Охотичи-Боровица км 0,0-7,985</t>
  </si>
  <si>
    <t>Подъезд к д. Новые Дворяниновичи от а/д Н-10463 Павловичи–Польковичи– Старые Дворяниновичи–Волчья Гора–Липняки км 0,0-3,700</t>
  </si>
  <si>
    <t>Подъезд к садоводческому товариществу «Наставник» от а/д Н-12957 Подъезд к д. Новые Дворяниновичи от а/д Н-10463 Павловичи–Польковичи– Старые Дворяниновичи–Волчья Гора–Липняки км 0,0-0,400</t>
  </si>
  <si>
    <t>Подъезд к братской могиле в д. Новое Столпищи от а/д Н-10472 Букино-Столпищи км 0,0-0,800</t>
  </si>
  <si>
    <t>Подъезд к районному детскому социальному приюту в д. Левковичи от а/д Н-10487 Левковичи-Нептун км 0,0-0,300</t>
  </si>
  <si>
    <t>Подъезд к д. Мошок от а/д Н-10489 Павловичи-Зарубин Угол км 0,0-1,260</t>
  </si>
  <si>
    <t>Подъезд к д. Колодино от а/д Р-118 Любоничи (от автомобильной дороги Р-62)-Кировск км 0,0-1,240</t>
  </si>
  <si>
    <t>Подъезд к д. Подкозуличье  от а/д Р-118 Любоничи (от автомобильной дороги Р-62)-Кировск км 0,0-0,570</t>
  </si>
  <si>
    <t>Подъезд к д. Выжары от а/д Р-93 Могилев-Бобруйск км 0,0-1,400</t>
  </si>
  <si>
    <t>Подъезд к д. Даклонь от а/д Н-10601 Кличев–Несята–Усохи–Сергеевичи км 0,0-4,590</t>
  </si>
  <si>
    <t>Подъезд к д. Симоновка от а/д Н-10603 Малинье–Дубно–Вишнёвка–Долгое км 0,0-2,600</t>
  </si>
  <si>
    <t>Подъезд к д. Еловка от а/д Н-10603 Малинье–Дубно–Вишнёвка–Долгое км 0,0-2,750</t>
  </si>
  <si>
    <t>Подъезд к д. Буднево от а/д Н-10605 Несята–Вирков–Ленёвка км 0,0-3,506</t>
  </si>
  <si>
    <t>Подъезд к д. Альховка от а/д Н-10609 Потока–Усакино км 0,0-2,190</t>
  </si>
  <si>
    <t>Подъезд к д. Алексеевка от а/д Н-10610 Дмитриевка-2–Турчилов–Слободка км 0,0-1,285</t>
  </si>
  <si>
    <t>Подъезд к д. Дмитриевка1 от а/д Н-10610 Дмитриевка-2–Турчилов–Слободка км 0,0-0,530</t>
  </si>
  <si>
    <t>Подъезд к д. Орлино от а/д Н-10611 Заполье-Лютино км 0,0-0,936</t>
  </si>
  <si>
    <t>Подъезд к д. Победа от а/д Н-10611 Заполье-Лютино км 0,0-0,370</t>
  </si>
  <si>
    <t>Подъезд к д. Осов от а/д Н-10613 Кавяза–Биордо–Константов км 0,0-0,480</t>
  </si>
  <si>
    <t>Подъезд к д. Осиновка от а/д Н-10615 Дуброва–Черевач–Старое Курганье–Владимировка км 0,0-2,500</t>
  </si>
  <si>
    <t>Подъезд к д. Рубеж от а/д Н-10618 Биордо-Городец км 0,0-1,500</t>
  </si>
  <si>
    <t>Подъезд к д. Должанка от а/д Н-10619 Закупленье-Должанка км 0,0-0,800</t>
  </si>
  <si>
    <t>Подъезд к д. Воничи от а/д Н-10626 Замикитка–Воничи–Гонча км 0,0-0,600</t>
  </si>
  <si>
    <t>Подъезд к д. Лазьё от а/д Н-10613 Кавяза–Биордо–Константов км 0,0-0,880</t>
  </si>
  <si>
    <t>Подъезд к д. Новые Наборки от а/д Н-10635 Старые Максимовичи-Старые Наборки- Новые Максимовичи км 0,0-1,300</t>
  </si>
  <si>
    <t>Подъезд к д. Юзофин от а/д Н-10636 Юзофин–Михаловка км 0,0-0,640</t>
  </si>
  <si>
    <t>Подъезд к д. Репище от а/д Р-62 Чашники-Бобр-Бобруйск (через Кличев) км 0,0-1,120</t>
  </si>
  <si>
    <t>Подъезд к д. Якимово Лядо от а/д Р-62 Чашники-Бобр-Бобруйск (через Кличев) км 0,0-1,850</t>
  </si>
  <si>
    <t>Подъезд к д. Берёзовка от а/д Р-62 Чашники-Бобр-Бобруйск (через Кличев) км 0,0-6,519</t>
  </si>
  <si>
    <t>Подъезд к д. Красный Берег от а/д Р-62 Чашники-Бобр-Бобруйск (через Кличев) км 0,0-3,890</t>
  </si>
  <si>
    <t>Подъезд к д. Ганаратово от а/д Р-62 Чашники–Бобр–Бобруйск (через Кличев) км 0,0-1,000</t>
  </si>
  <si>
    <t>Подъезд к д. Драни от а/д Р-79 Кличев-Чечевичи км 0,0-3,592</t>
  </si>
  <si>
    <t>Подъезд к д. Межное от а/д Р-79 Кличев-Чечевичи км 0,0-4,020</t>
  </si>
  <si>
    <t>Подъезд к д. Бобовка от а/д Р-79 Кличев-Чечевичи км 0,0-0,575</t>
  </si>
  <si>
    <t>Подъезд к д. Точище от а/д Р-79 Кличев-Чечевичи км 0,0-1,460</t>
  </si>
  <si>
    <t>Подъезд к д. Подстружье от а/д Р-79 Кличев-Чечевичи км 0,0-0,600</t>
  </si>
  <si>
    <t>Подъезд к д. Волосковня от а/д Н-10677 Низьки–Волосковня–Печары км 0,0-2,700</t>
  </si>
  <si>
    <t>Подъезд к д. Борейки от а/д Н-10678 Артюхи-Бороньки-Жуковка км 0,0-1,000</t>
  </si>
  <si>
    <t>Подъезд к д. Первое Мая от а/д Н-10682 Демидовичи–Витунь–Каничи–Новые Самотевичи км 0,0-1,300</t>
  </si>
  <si>
    <t>Подъезд к д. Горбачевка от а/д Н-10682 Демидовичи–Витунь–Каничи–Новые Самотевичи км 0,0-1,500</t>
  </si>
  <si>
    <t>Подъезд к д. Витунь от а/д Н-10682 Демидовичи–Витунь–Каничи–Новые Самотевичи км 0,0-2,000</t>
  </si>
  <si>
    <t>Подъезд к упраздненной д. Трусок от а/д Н-10683 Белынковичи–Крапивня–Селецкое км 0,0-4,160</t>
  </si>
  <si>
    <t>Подъезд к д. Голочевка от а/д Н-10685 Негино-Забычанье км 0,0-0,700</t>
  </si>
  <si>
    <t>Подъезд к д. Норкино от а/д Н-10685 Негино-Забычанье км 0,0-1,430</t>
  </si>
  <si>
    <t>Подъезд к д. Валынеж от а/д Н-10688 Коробаново–Шарейки–Черченовка км 0,0-3,558</t>
  </si>
  <si>
    <t>Подъезд к упраздненной д. Затишье от а/д Н-10689 Печары–Крутой Ров км 0,0-2,500</t>
  </si>
  <si>
    <t>Подъезд к д. Липовка от а/д Н-10701 Студенец-Колодливо км 0,0-2,890</t>
  </si>
  <si>
    <t>Подъезд к д. Раек от а/д Н-10715 Мошевое-Вишни-Шабли км 0,0-3,700</t>
  </si>
  <si>
    <t>Подъезд к д. Василевка от а/д Р-74 Чериков-Краснополье-Хотимск-граница Российской Федерации (Горня) км 0,0-1,700</t>
  </si>
  <si>
    <t>Подъезд к д. Красный от а/д Р-74 Чериков-Краснополье-Хотимск-граница Российской Федерации (Горня) км 0,0-1,222</t>
  </si>
  <si>
    <t>Подъезд к д. Деряжня от а/д Р-74 Чериков-Краснополье-Хотимск-граница Российской Федерации (Горня) км 0,0-1,200</t>
  </si>
  <si>
    <t>Подъезд к д. Бони от а/д Р-75 Климовичи (от автомобильной дороги Р-43)-Костюковичи-граница Российской Федерации (Смольки) км 0,0-0,700</t>
  </si>
  <si>
    <t>Подъезд к д. Смольковская Буда от а/д Р-75 Климовичи (от автомобильной дороги Р-43)-Костюковичи-граница Российской Федерации (Смольки) км 0,0-1,640</t>
  </si>
  <si>
    <t>Подъезд к д. Журбинская Буда от а/д Р-75 Климовичи (от автомобильной дороги Р-43)-Костюковичи-граница Российской Федерации (Смольки) км 0,0-4,700</t>
  </si>
  <si>
    <t>Подъезд к д. Пролетарское от а/д Р-75 Климовичи (от автомобильной дороги Р-43)-Костюковичи-граница Российской Федерации (Смольки) км 0,0-1,440</t>
  </si>
  <si>
    <t>Подъезд к д. Кубраковка от а/д Р-75 Климовичи (от автомобильной дороги Р-43)-Костюковичи-граница Российской Федерации (Смольки) км 0,0-2,350</t>
  </si>
  <si>
    <t>Подъезд к д. Кисели от а/д Р-75 Климовичи (от автомобильной дороги Р-43)-Костюковичи-граница Российской Федерации (Смольки) км 0,0-1,000</t>
  </si>
  <si>
    <t>Подъезд к упраздненной д. Непобедимый от а/д Н-10752 Краснополье–Горы–граница Российской Федерации км 0,0-3,755</t>
  </si>
  <si>
    <t>Подъезд к д. Овчинец от а/д Н-10756 Заводок-Маринополье км 0,0-2,900</t>
  </si>
  <si>
    <t>Подъезд к д. Соболи от а/д Н-10756 Заводок-Маринополье км 0,0-1,000</t>
  </si>
  <si>
    <t>Подъезд к упраздненной д. Загоренье от а/д Н-10758 Палуж 1–Новый Свет–Ленина км 0,0-1,960</t>
  </si>
  <si>
    <t>Подъезд к д. Романов от а/д Н-10758 Палуж 1–Новый Свет–Ленина км 0,0-1,180</t>
  </si>
  <si>
    <t>Подъезд к д. Яснополье от а/д Н-10759 Краснополье–Малые Хуторы км 0,0-1,850</t>
  </si>
  <si>
    <t>Подъезд к д. Малюшино от а/д Н-10777 Турья-Клясино-Гора км 0,0-5,150</t>
  </si>
  <si>
    <t>Подъезд к д. Заводок от а/д Р-74 Чериков–Краснополье–Хотимск–граница Российской Федерации (Горня) км 0,0-0,400</t>
  </si>
  <si>
    <t>Подъезд к д. Трубильня от а/д Р-38 Буда-Кошелево (от автомобильной дороги М-5/Е 271)-Чечерск-Краснополье км 0,0-2,700</t>
  </si>
  <si>
    <t>Подъезд № 1 к д. Глыбов от а/д Р-38 Буда-Кошелево (от автомобильной дороги М-5/Е 271)–Чечерск–Краснополье км 0,0-3,070</t>
  </si>
  <si>
    <t>Подъезд № 2 к д. Глыбов от а/д Н-13523  Подъезд № 1 к д. Глыбов от а/д Р-38 Буда-Кошелево (от автомобильной дороги М-5/Е 271)–Чечерск–Краснополье км 0,0-0,700</t>
  </si>
  <si>
    <t>Подъезд № 3 к д. Глыбов от а/д Н-13523  Подъезд №  1 к д. Глыбов от а/д Р-38 Буда-Кошелево (от автомобильной дороги М-5/Е 271)–Чечерск–Краснополье км 0,0-0,760</t>
  </si>
  <si>
    <t>Подъезд к д. Буглаи от а/д Р-38 Буда-Кошелево (от автомобильной дороги М-5/Е 271)-Чечерск-Краснополье км 0,0-1,290</t>
  </si>
  <si>
    <t>Подъезд к д. Выдренка от а/д Р-38 Буда-Кошелево (от автомобильной дороги М-5/Е 271)-Чечерск-Краснополье км 0,0-1,700</t>
  </si>
  <si>
    <t>Подъезд к д. Заборье от а/д Р-74 Чериков-Краснополье-Хотимск-граница Российской Федерации (Горня) км 0,0-1,800</t>
  </si>
  <si>
    <t>Подъезд к д. Брылевка от а/д Р-74 Чериков–Краснополье–Хотимск–граница Российской Федерации (Горня) км 0,0-2,400</t>
  </si>
  <si>
    <t>Подъезд к д. Какойск от а/д Р-74 Чериков–Краснополье–Хотимск–граница Российской Федерации (Горня) км 0,0-1,600</t>
  </si>
  <si>
    <t>Подъезд к упраздненной д. Князевка (до карьера «Лесное») от а/д Р-74 Чериков–Краснополье–Хотимск–граница Российской Федерации (Горня) км 0,0-6,200</t>
  </si>
  <si>
    <t>Подъезд № 1 к д. Палуж-2 от а/д Р-74 Чериков–Краснополье–Хотимск–граница Российской Федерации (Горня) км 0,0-1,500</t>
  </si>
  <si>
    <t>Подъезд № 2 к д. Палуж-2 от а/д Н-13551 Подъезд  № 1 к д. Палуж-2 от а/д Р-74 Чериков–Краснополье–Хотимск–граница Российской Федерации (Горня) км 0,0-0,550</t>
  </si>
  <si>
    <t>Подъезд № 3 к д. Палуж-2 от а/д Н-13551 Подъезд  № 1 к д. Палуж-2 от а/д Р-74 Чериков–Краснополье–Хотимск–граница Российской Федерации (Горня) км 0,0-0,670</t>
  </si>
  <si>
    <t>Подъезд № 4 к д. Палуж-2 от а/д Н-13551 Подъезд  № 1 к д. Палуж-2 от а/д Р-74 Чериков–Краснополье–Хотимск–граница Российской Федерации (Горня) км 0,0-0,230</t>
  </si>
  <si>
    <t>Подъезд № 1 к д. Ясенка от а/д Р-74 Чериков–Краснополье–Хотимск–граница Российской Федерации (Горня) км 0,0-1,790</t>
  </si>
  <si>
    <t>Подъезд № 2 к д. Ясенка от а/д Н-13553 Подъезд №  1 к д. Ясенка от а/д Р-74 Чериков–Краснополье–Хотимск–граница Российской Федерации (Горня) км 0,0-0,280</t>
  </si>
  <si>
    <t>Подъезд к д. Луты от а/д Н-10827 Кричев-Ходосы-Курманово-Рубановка км 0,0-2,147</t>
  </si>
  <si>
    <t>Подъезд к д. Литвиново от а/д Н-10830 Красная Буда-Дяговичи-Зарубец-Егоровка км 0,0-1,569</t>
  </si>
  <si>
    <t>Подъезд к д. Мастицкая Слобода от а/д Н-10840 Ботвиновка-Лучки км 0,0-1,268</t>
  </si>
  <si>
    <t>Подъезд к д. Дружки от а/д Н-10841 Осовец-Даленщина км 0,0-3,160</t>
  </si>
  <si>
    <t>Подъезд к д. Мышковичи от а/д Н-10843 Молятичи–Кашаны–Буньковщина км 0,0-2,450</t>
  </si>
  <si>
    <t>Подъезд № 2 к д. Хатиловичи от а/д Н-10844 Сокольничи–Хатиловичи–Свадковичи км 0,0-0,200</t>
  </si>
  <si>
    <t>Подъезд к д. Брянск от а/д Н-10848 Лучки-Юрковка-Зайцева Слобода км 0,0-1,984</t>
  </si>
  <si>
    <t>Подъезд к д. Зуи от а/д Р-15 Кричев-Орша-Лепель км 0,0-1,600</t>
  </si>
  <si>
    <t>Подъезд к д. Лобковичи от а/д Р-15 Кричев-Орша-Лепель км 0,0-1,550</t>
  </si>
  <si>
    <t>Подъезд № 1 к д. Михеевичи от а/д Р-43 Граница Российской Федерации (Звенчатка)–Кричев–Бобруйск–Ивацевичи (до автомобильной дороги Р-2/Е 85) км 0,0-1,040</t>
  </si>
  <si>
    <t>Подъезд № 2 к д. Михеевичи от а/д Р-43 Граница Российской Федерации (Звенчатка)–Кричев–Бобруйск–Ивацевичи (до автомобильной дороги Р-2/Е 85) км 0,0-1,100</t>
  </si>
  <si>
    <t>Подъезд к д. Прыговка от а/д Р-43 Граница Российской Федерации (Звенчатка)-Кричев-Бобруйск-Ивацевичи (до автомобильной дороги Р-2/Е 85) км 0,0-1,600</t>
  </si>
  <si>
    <t>Подъезд к д. Краснополье от а/д Р-43 Граница Российской Федерации (Звенчатка)-Кричев-Бобруйск-Ивацевичи (до автомобильной дороги Р-2/Е 85) км 0,0-3,018</t>
  </si>
  <si>
    <t>Подъезд к д. Прудок от а/д Р-43 Граница Российской Федерации (Звенчатка)-Кричев-Бобруйск-Ивацевичи (до автомобильной дороги Р-2/Е 85) км 0,0-2,400</t>
  </si>
  <si>
    <t>Подъезд к братской могиле от а/д Н-13646 Подъезд к д. Прудок от а/д Р-43 Граница Российской Федерации (Звенчатка)–Кричев–Бобруйск–Ивацевичи (до автомобильной дороги Р-2/Е 85) км 0,0-0,700</t>
  </si>
  <si>
    <t>Подъезд к д. Залосье от а/д Н-10001 Белыничи-Шепелевичи-Круча км 0,0-0,800</t>
  </si>
  <si>
    <t>Подъезд к д. Гоенка от а/д Н-10001 Белыничи-Шепелевичи-Круча км 0,0-5,850</t>
  </si>
  <si>
    <t>Подъезд к д. Новое Полесье от а/д Н-10001 Белыничи-Шепелевичи-Круча км 0,0-0,700</t>
  </si>
  <si>
    <t>Подъезд к д. Беларусь от а/д Н-10001 Белыничи-Шепелевичи-Круча км 0,0-0,400</t>
  </si>
  <si>
    <t>Подъезд к д. Хильковичи от а/д Н-10901 Круглое-Славное км 0,0-2,290</t>
  </si>
  <si>
    <t>Подъезд к д. Весна от а/д Н-10901 Круглое-Славное км 0,0-0,440</t>
  </si>
  <si>
    <t>Подъезд к д. Карниловка от а/д Н-10901 Круглое-Славное км 0,0-0,430</t>
  </si>
  <si>
    <t>Подъезд к д. Дорожковичи от а/д Н-10901 Круглое-Славное км 0,0-1,910</t>
  </si>
  <si>
    <t>Подъезд к д. Микулинка от а/д Н-10901 Круглое-Славное км 0,0-2,250</t>
  </si>
  <si>
    <t>Подъезд к д. Затетерка от а/д Н-10903 Круглое-Тетерино км 0,0-1,170</t>
  </si>
  <si>
    <t>Подъезд к д. Малые Каскевичи от а/д Н-10904 Рубеж-Хралищево км 0,0-2,180</t>
  </si>
  <si>
    <t>Подъезд к д. Шипяги от а/д Н-10909 Храпы-Глубокое-Павловичи км 0,0-1,230</t>
  </si>
  <si>
    <t>Подъезд к д. Каменка от а/д Н-10909 Храпы-Глубокое-Павловичи км 0,0-0,300</t>
  </si>
  <si>
    <t>Подъезд к д. Темные от а/д Н-10910 Загоряны-Буровщина-Озеры км 0,0-1,300</t>
  </si>
  <si>
    <t>Подъезд к д. Рожки от а/д Н-10913 Грибино-Арава км 0,0-1,720</t>
  </si>
  <si>
    <t>Подъезд к д. Овсище от а/д Н-10915 Шепелевичи-Падар км 0,0-0,650</t>
  </si>
  <si>
    <t>Подъезд к д. Рябиновка от а/д Н-10916 Солодовня-Комсеничи-Кляпиничи-Рябиновка-Комсеничи км 0,0-0,430</t>
  </si>
  <si>
    <t>Подъезд к д. Скляпово от а/д Н-10917 Дудаковичи-Замышки-Козебродье км 0,0-1,000</t>
  </si>
  <si>
    <t>Подъезд к д. Краснополье от а/д Н-10918 Тетерино-Шепелевичи км 0,0-0,850</t>
  </si>
  <si>
    <t>Подъезд к д. Корма от а/д Н-10918 Тетерино-Шепелевичи км 0,0-1,000</t>
  </si>
  <si>
    <t>Подъезд № 1 к д. Новая Ельковщина от а/д Н-10919 Ельковщина–Загоряны км 0,0-0,813</t>
  </si>
  <si>
    <t>Подъезд № 2 к д. Новая Ельковщина от а/д Н-13732 Подъезд № 1 к д. Новая Ельковщина от а/д Н-10919 Ельковщина–Загоряны км 0,0-0,282</t>
  </si>
  <si>
    <t>Подъезд к д. Мехово от а/д Н-10919 Ельковщина-Загоряны км 0,0-2,000</t>
  </si>
  <si>
    <t>Подъезд к д. Малые Угляны от а/д Н-10929 Круча-Яново-Погребище км 0,0-0,660</t>
  </si>
  <si>
    <t>Подъезд к д. Галое от а/д Р-26 Толочин-Круглое-Вишов км 0,0-1,470</t>
  </si>
  <si>
    <t>Подъезд № 1 к д. Пролетарий от а/д Р-26 Толочин–Круглое–Вишов км 0,0-1,190</t>
  </si>
  <si>
    <t>Подъезд № 2 к д. Пролетарий от а/д Н-13759 Подъезд № 1 к д. Пролетарий от а/д Р-26 Толочин–Круглое–Вишов км 0,0-0,280</t>
  </si>
  <si>
    <t>Подъезд к д. Новое Радча от а/д Р-26 Толочин-Круглое-Вишов км 0,0-1,040</t>
  </si>
  <si>
    <t>Подъезд к д. Павлово от а/д Р-26 Толочин-Круглое-Вишов км 0,0-2,030</t>
  </si>
  <si>
    <t>Подъезд к д. Баньки от а/д Р-26 Толочин-Круглое-Вишов км 0,0-1,400</t>
  </si>
  <si>
    <t>Подъезд к д. Дубовка от а/д Р-26 Толочин-Круглое-Вишов км 0,0-2,210</t>
  </si>
  <si>
    <t>Подъезд к д. Козебродье от а/д Р-26 Толочин-Круглое-Вишов км 0,0-0,700</t>
  </si>
  <si>
    <t>Подъезд к д. Петушки от а/д Р-77 Шклов-Белыничи (через Пригани 2) км 0,0-2,000</t>
  </si>
  <si>
    <t>Подъезд к д. Красногорье от а/д Р-77 Шклов-Белыничи (через Пригани 2) км 0,0-0,780</t>
  </si>
  <si>
    <t>Подъезд к д. Запрудье от а/д Н-10976 Могилев-Махово-Грудиновка-Годылево км 0,0-1,500</t>
  </si>
  <si>
    <t>Подъезд к д. Большая Дубровка от а/д Н-10980 Малый Осовец–Волковичи км 0,0-1,500</t>
  </si>
  <si>
    <t>Подъезд к д. Павловка от а/д Н-10985 Мосток-Павловка-Колесище км 0,0-1,531</t>
  </si>
  <si>
    <t>Подъезд к д. Тетеревник от а/д Н-10988 Малое Бушково-Большое Бушково-Зарестье-Тетеревник-Макрусинка км 0,0-0,809</t>
  </si>
  <si>
    <t>Подъезд к д. Зарестье от а/д Н-10988 Малое Бушково-Большое Бушково-Зарестье-Тетеревник-Макрусинка км 0,0-1,200</t>
  </si>
  <si>
    <t xml:space="preserve">Подъезд к д. Ольховка от а/д Н-10994 Коркать-Новая Нива км 0,0-0,700 </t>
  </si>
  <si>
    <t>Подъезд к д. Черноземовка от а/д Р-93 Могилев–Бобруйск км 0,0-1,500</t>
  </si>
  <si>
    <t>Подъезд к д. Концы от а/д Н-10998 Вендорож-Завережье-Понизов км 0,0-1,750</t>
  </si>
  <si>
    <t>Подъезд к садоводческому товариществу «Сантехник» от а/д Н-13839 Подъезд к д. Концы от а/д Н-10998 Вендорож–Завережье–Понизов км 0,0-1,000</t>
  </si>
  <si>
    <t>Подъезд к д. Ракузовка от а/д Н-11002 Могилев-Ямница км 0,0-2,862</t>
  </si>
  <si>
    <t>Подъезд к д. Бутримовка от а/д Н-13843 Подъезд к д. Ракузовка от а/д Н-11002 Могилев–Ямница км 0,0-0,600</t>
  </si>
  <si>
    <t>Подъезд к д. Масальщина от а/д Н-11003 Тишовка-Михалёво-Вендорож км 0,0-3,200</t>
  </si>
  <si>
    <t>Подъезд к д. Ямница от а/д Н-11003 Тишовка-Михалёво-Вендорож км 0,0-3,500</t>
  </si>
  <si>
    <t>Подъезд к садоводческому товариществу «Березка» от а/д Н-13854 Подъезд к д. Ямница от а/д Н-11003 Тишовка–Михалёво–Вендорож км 0,0-1,000</t>
  </si>
  <si>
    <t>Подъезд №1 к д. Сеньково от а/д Н-11007 Буйничи-Тишовка-Севостьяновичи-Сеньково-Ильинка км 0,0-2,541</t>
  </si>
  <si>
    <t>Подъезд к садоводческому товариществу «Березка-2» от а/д Н-13881 Подъезд № 1 к д. Сеньково от а/д Н-11007 Буйничи–Тишовка–Севостьяновичи–Сеньково–Ильинка км 0,0-1,500</t>
  </si>
  <si>
    <t>Подъезд к садоводческому товариществу «Нарцисс» от а/д Н-13882 Подъезд к садоводческому товариществу «Березка-2» от а/д Н-13881 Подъезд № 1 к д. Сеньково от а/д Н-11007 Буйничи–Тишовка–Севостьяновичи–Сеньково–Ильинка км 0,0-0,600</t>
  </si>
  <si>
    <t>Подъезд № 3 к д. Сеньково от а/д Н-13881 Подъезд № 1 к д. Сеньково от а/д Н-11007 Буйничи-Тишовка-Севостьяновичи-Сеньково-Ильинка км 0,0-0,450</t>
  </si>
  <si>
    <t>Подъезд №2 к д. Сеньково от а/д Н-11007 Буйничи-Тишовка-Севостьяновичи-Сеньково-Ильинка км 0,0-0,518</t>
  </si>
  <si>
    <t>Подъезд к д. Щеглица от а/д Н-11007 Буйничи-Тишовка-Севостьяновичи-Сеньково-Ильинка км 0,0-3,600</t>
  </si>
  <si>
    <t>Подъезд к д. Заборье от а/д Н-13886 Подъезд к д. Щеглица от а/д Н-11007 Буйничи–Тишовка–Севостьяновичи–Сеньково–Ильинка км 0,0-0,300</t>
  </si>
  <si>
    <t>Подъезд к д. Голынец-2 от а/д Н-11007 Буйничи-Тишовка-Севостьяновичи-Сеньково-Ильинка км 0,0-2,000</t>
  </si>
  <si>
    <t>Подъезд к д. Бруски от а/д Н-11007 Буйничи-Тишовка-Севостьяновичи-Сеньково-Ильинка км 0,0-1,000</t>
  </si>
  <si>
    <t>Подъезд к д. Калиновая от а/д Н-11008 Купелы-Николаевка-Половинный Лог км 0,0-1,962</t>
  </si>
  <si>
    <t xml:space="preserve">Подъезд к садоводческому товариществу «ПСК Днепр управление промышленности» от а/д Н-13900 Подъезд к д. Калиновая от а/д Н-11008 Купелы–Николаевка–Половинный Лог км 0,0-0,500 
</t>
  </si>
  <si>
    <t>Подъезд к д. Низкая Улица от а/д Н-11011 Княжицы-Горная Улица км 0,0-0,800</t>
  </si>
  <si>
    <t>Подъезд к д. Прокшеничи от а/д Н-11015 Никитиничи-Щеглица-Песчанка км 0,0-1,000</t>
  </si>
  <si>
    <t>Подъезд к кладбищу № 1 в д. Песчанка от а/д Н-11015 Никитиничи-Щеглица-Песчанка км 0,0-1,500</t>
  </si>
  <si>
    <t>Подъезд к кладбищу № 2 в д. Песчанка от а/д Н-13927 Подъезд к кладбищу № 1 в д. Песчанка от а/д Н-11015 Никитиничи–Щеглица–Песчанка км 0,0-2,000</t>
  </si>
  <si>
    <t>Подъезд к д. Кострицы от а/д Н-11023 Мосток-Колесище км 0,0-1,940</t>
  </si>
  <si>
    <t>Подъезд к садоводческому товариществу «Ремонтник» от а/д Н-13933 Подъезд к д. Кострицы от а/д Н-11023 Мосток–Колесище км 0,0-1,000</t>
  </si>
  <si>
    <t xml:space="preserve">Подъезд к д. Майщина от а/д Н-11042 Малые Белевичи-Катвино км 0,0-2,730 </t>
  </si>
  <si>
    <t>Подъезд к д. Старый Синин от а/д Н-11049 Вендорож-Березовка-Поддубье-Александров-Большие Белевичи км 0,0-1,500</t>
  </si>
  <si>
    <t>Подъезд к садоводческому товариществу «Хоново-2» от а/д Н-13971 Подъезд к д. Старый Синин от а/д Н-11049 Вендорож–Березовка–Поддубье–Александров–Большие Белевичи км 0,0-0,400</t>
  </si>
  <si>
    <t>Подъезд к д. Угалье от а/д Н-11049 Вендорож-Березовка-Поддубье-Александров-Большие Белевичи км 0,0-1,340</t>
  </si>
  <si>
    <t>Подъезд к д. Новый Синин от а/д Н-11049 Вендорож-Березовка-Поддубье-Александров-Большие Белевичи км 0,0-1,700</t>
  </si>
  <si>
    <t>Подъезд к д. Новый Вендорож от а/д Н-11049 Вендорож-Березовка-Поддубье-Александров-Большие Белевичи км 0,0-0,640</t>
  </si>
  <si>
    <t>Подъезд к д. Сумароково от а/д М-4 Минск-Могилев км 0,0-0,800</t>
  </si>
  <si>
    <t>Подъезд к д. Никитиничи (Аэропорт) от а/д М-4/П 1 Подъезд к аэропорту Могилев от автомобильной дороги М-4 км 0,0-0,400</t>
  </si>
  <si>
    <t>Подъезд № 1 к д. Вильчицы от а/д Н-14025 Подъезд к комплексу открытого акционерного общества «Агрокомбинат «Восход» от а/д М-8/П 5 Подъезд к г. Могилеву от автомобильной дороги М-8/Е 95 км 0,0-3,114</t>
  </si>
  <si>
    <t>Подъезд № 2 к д. Вильчицы от а/д Н-14025 Подъезд к комплексу открытого акционерного общества «Агрокомбинат «Восход» от а/д М-8/П 5 Подъезд к г. Могилеву от автомобильной дороги М-8/Е 95 км 0,0-1,374</t>
  </si>
  <si>
    <t>Подъезд к д. Черемушки от а/д М-8/П 5 Подъезд к г. Могилеву от автомобильной дороги М-8/Е 95 км 0,0-2,398</t>
  </si>
  <si>
    <t>Подъезд к д. Любуж от а/д М-8/П 5 Подъезд к г. Могилеву от автомобильной дороги М-8/Е 95 км 0,0-1,100</t>
  </si>
  <si>
    <t>Подъезд к д. Возрождение от а/д Р-120 Быхов-Белыничи км 0,0-1,460</t>
  </si>
  <si>
    <t>Подъезд к д. Большая Боровка от а/д Р-122 Могилев-Чериков-Костюковичи км 0,0-0,400</t>
  </si>
  <si>
    <t>Подъезд к д. Городня от а/д Р-122 Могилев-Чериков-Костюковичи км 0,0-1,812</t>
  </si>
  <si>
    <t>Подъезд к д. Медведовка от а/д Р-122 Могилев-Чериков-Костюковичи км 0,0-0,900</t>
  </si>
  <si>
    <t>Подъезд № 1 к д. Подбелье от а/д Р-122 Могилев–Чериков–Костюковичи км 0,0-0,700</t>
  </si>
  <si>
    <t>Подъезд № 2 к д. Подбелье от а/д Р-122 Могилев–Чериков–Костюковичи км 0,0-0,500</t>
  </si>
  <si>
    <t>Подъезд к садоводческому товариществу «Дубок» от а/д Н-14049 Подъезд к садоводческому товариществу «ПСК Дары» от а/д Н-14136 Подъезд № 2 к д. Подбелье от а/д Р-122 Могилев–Чериков–Костюковичи  км 0,0-0,100</t>
  </si>
  <si>
    <t>Подъезд к садоводческому товариществу «ПСК Дары» от а/д Н-14136 Подъезд № 2 к д. Подбелье от а/д Р-122 Могилев–Чериков–Костюковичи км 0,0-0,500</t>
  </si>
  <si>
    <t>Подъезд к д. Затишье от а/д Р-71 Могилев-Славгород км 0,0-0,600</t>
  </si>
  <si>
    <t>Подъезд к д. Зимница от а/д Р-71 Могилев-Славгород км 0,0-0,800</t>
  </si>
  <si>
    <t>Подъезд к д. Селище от а/д Р-76 Орша-Шклов-Могилев км 0,0-13,224</t>
  </si>
  <si>
    <t>Подъезд к садоводческому товариществу «Лотос» от а/д Н-14068 Подъезд к д. Селище от а/д Р-76 Орша–Шклов–Могилев км 0,0-1,000</t>
  </si>
  <si>
    <t>Подъезд к садоводческому товариществу «Лужки ЖБИ-7» от а/д Н-14068 Подъезд к д. Селище от а/д Р-76 Орша–Шклов–Могилев км 0,0-0,500</t>
  </si>
  <si>
    <t>Подъезд к кладбищу в д. Купелы от а/д Н-14077 Подъезд к д. Купелы от а/д Р-76 Орша–Шклов–Могилев км 0,0-0,900</t>
  </si>
  <si>
    <t>Подъезд к оздоровительному лагерю «Ракета» в д. Салтановка от а/д Р-93 Могилев-Бобруйск км 0,0-0,500</t>
  </si>
  <si>
    <t>Подъезд к д. Зыли от а/д Р-96 Могилев-Рясно-Мстиславль км 0,0-2,900</t>
  </si>
  <si>
    <t>Подъезд к д. Салтановка от а/д Р-97 Могилев-Быхов-Рогачев км 0,0-0,600</t>
  </si>
  <si>
    <t>Подъезд к каплице в д. Стайки (кладбище) от а/д Р-97 Могилев-Быхов-Рогачев км 0,0-1,000</t>
  </si>
  <si>
    <t>Подъезд к д. Мальковка от а/д Н-10381 Рясно-Красное км 0,0-1,000</t>
  </si>
  <si>
    <t>Подъезд к д. Березетня от а/д Н-10827 Кричев-Ходосы-Курманово-Рубановка км 0,0-1,500</t>
  </si>
  <si>
    <t>Подъезд к д. Сычевка от а/д Н-10827 Кричев-Ходосы-Курманово-Рубановка км 0,0-2,300</t>
  </si>
  <si>
    <t>Подъезд к д. Залесье (улица Лесная) от а/д Н-10827 Кричев-Ходосы-Курманово-Рубановка км 0,0-0,750</t>
  </si>
  <si>
    <t>Подъезд к д. Гимботовка от а/д Н-11132 Мстиславль-Милейково-Подсолтово км 0,0-3,900</t>
  </si>
  <si>
    <t>Подъезд к д. Красный Берег от а/д Н-14172 Подъезд к д. Гимботовка от а/д Н-11132 Мстиславль–Милейково–Подсолтово км 0,0-0,400</t>
  </si>
  <si>
    <t>Подъезд к д. Большая Зятица от а/д Н-11133 Галковичи-Кудричи-Подлужье-Митьковщина км 0,0-1,100</t>
  </si>
  <si>
    <t>Подъезд к д. Людогощь от а/д Н-11133 Галковичи-Кудричи-Подлужье-Митьковщина км 0,0-1,430</t>
  </si>
  <si>
    <t>Подъезд к д. Красная Горка от а/д Н-11133 Галковичи-Кудричи-Подлужье-Митьковщина км 0,0-1,300</t>
  </si>
  <si>
    <t>Подъезд к д. Жигалово от а/д Н-11133 Галковичи-Кудричи-Подлужье-Митьковщина км 0,0-1,540</t>
  </si>
  <si>
    <t>Подъезд к д. Ковшово (улица Центральная) от а/д Н-11133 Галковичи-Кудричи-Подлужье-Митьковщина км 0,0-0,950</t>
  </si>
  <si>
    <t>Подъезд к д. Засожье от а/д Н-11134 Мстиславль-Парадино км 0,0-3,500</t>
  </si>
  <si>
    <t>Подъезд к д. Малая Лещенка от а/д Н-11134 Мстиславль-Парадино км 0,0-1,000</t>
  </si>
  <si>
    <t>Подъезд к д. Калиновка от а/д Н-11135 Мстиславль-Мушино-Воловники км 0,0-0,800</t>
  </si>
  <si>
    <t>Подъезд к д. Тыща от а/д Н-11136 Долговичи-Андраны-Мишни км 0,0-2,400</t>
  </si>
  <si>
    <t>Подъезд к д. Терени от а/д Н-11136 Долговичи-Андраны-Мишни км 0,0-0,500</t>
  </si>
  <si>
    <t>Подъезд к д. Пячковичский льнозавод от а/д Н-11137 Пячковичи–Белынец км 0,0-2,000</t>
  </si>
  <si>
    <t>Подъезд к д. Воровского от а/д Н-11142 Людогощь-Селец-Пирогово км 0,0-0,700</t>
  </si>
  <si>
    <t>Подъезд к д. Телятково от а/д Н-11142 Людогощь-Селец-Пирогово км 0,0-0,800</t>
  </si>
  <si>
    <t>Подъезд к д. Баньковщина (улица Центральная) от а/д Н-11143 Рассвет-Баньковщина-Кондратовск км 0,0-0,400</t>
  </si>
  <si>
    <t>Подъезд к д. Коленьково от а/д Н-11146 Селец-Дудчицы-Слезки км 0,0-0,650</t>
  </si>
  <si>
    <t>Подъезд к д. Буденовка от а/д Н-11150 Ракшино-Заполье км 0,0-0,400</t>
  </si>
  <si>
    <t>Подъезд к д. Волковка от а/д Н-11152 Лыкинка-Черная Сосна-Ракитенка км 0,0-0,400</t>
  </si>
  <si>
    <t>Подъезд к д. Борисовка (улица Центральная) от а/д Н-11154 Мушино-Доброе-Лопатино-Веркеевщина км 0,0-0,0,750</t>
  </si>
  <si>
    <t>Подъезд к д. Осиновка от а/д Н-11155 Раздел-Глинье км 0,0-0,500</t>
  </si>
  <si>
    <t>Подъезд к д. Крутая от а/д Р-15 Кричев-Орша-Лепель км 0,0-5,400</t>
  </si>
  <si>
    <t>Подъезд к д. Митьковщина от а/д Р-15 Кричев-Орша-Лепель км 0,0-2,100</t>
  </si>
  <si>
    <t>Подъезд к д. Святозерье от а/д Р-15 Кричев-Орша-Лепель км 0,0-1,500</t>
  </si>
  <si>
    <t>Подъезд к д. Заньковщина от а/д Р-15 Кричев-Орша-Лепель км 0,0-2,140</t>
  </si>
  <si>
    <t>Подъезд к д. Малая Зятица (улица Центральная) от а/д Р-15 Кричев-Орша-Лепель км 0,0-0,750</t>
  </si>
  <si>
    <t>Подъезд к д. Чернилово (улица Центральная) от а/д Р-15 Кричев-Орша-Лепель км 0,0-0,800</t>
  </si>
  <si>
    <t>Подъезд к д. Бель (улица Центральная) от а/д Р-15 Кричев-Орша-Лепель км 0,0-1,100</t>
  </si>
  <si>
    <t>Подъезд к упраздненной д. Карписоновка от а/д Р-73 Чаусы–Мстиславль–граница Российской Федерации (Каськово) км 0,0-0,800</t>
  </si>
  <si>
    <t>Подъезд к д. Курковщина от а/д Р-73 Чаусы-Мстиславль-граница Российской Федерации (Каськово) км 0,0-1,000</t>
  </si>
  <si>
    <t>Подъезд к д. Бескаково от а/д Р-73 Чаусы-Мстиславль-граница Российской Федерации (Каськово) км 0,0-4,800</t>
  </si>
  <si>
    <t>Подъезд к д. Браги от а/д Р-73 Чаусы-Мстиславль-граница Российской Федерации (Каськово) км 0,0-3,200</t>
  </si>
  <si>
    <t>Подъезд к д. Заречье от а/д Р-73 Чаусы-Мстиславль-граница Российской Федерации (Каськово) км 0,0-0,900</t>
  </si>
  <si>
    <t>Подъезд к д. Печковка от а/д Р-73 Чаусы–Мстиславль–граница Российской Федерации (Каськово) км 0,0-1,000</t>
  </si>
  <si>
    <t>Подъезд к д. Рожево от а/д Р-73 Чаусы-Мстиславль-граница Российской Федерации (Каськово) км 0,0-0,798</t>
  </si>
  <si>
    <t>Подъезд к д. Гуторовщина от а/д Р-96 Могилев-Рясно-Мстиславль км 0,0-1,400</t>
  </si>
  <si>
    <t>Подъезд к д. Ширки от а/д Р-96 Могилев-Рясно-Мстиславль км 0,0-0,840</t>
  </si>
  <si>
    <t>Подъезд к д. Рожево от а/д Р-96 Могилев-Рясно-Мстиславль км 0,0-1,300</t>
  </si>
  <si>
    <t>Подъезд к д. Сутоки от а/д Р-96 Могилев-Рясно-Мстиславль км 0,0-1,000</t>
  </si>
  <si>
    <t>Подъезд к д. Кошь от а/д Р-96 Могилев-Рясно-Мстиславль км 0,0-0,500</t>
  </si>
  <si>
    <t>Подъезд к д. Рудодимо от а/д Р-96 Могилев–Рясно–Мстиславль км 0,0-2,100</t>
  </si>
  <si>
    <t>Подъезд к д. Асмоловичи от а/д Р-96 Могилев–Рясно–Мстиславль км 0,0-2,800</t>
  </si>
  <si>
    <t>Подъезд к д. Быстрица (улица Полевая) от а/д Н-14356 Подъезд к д. Асмоловичи от а/д Р-96 Могилев–Рясно–Мстиславль км 0,0-0,650</t>
  </si>
  <si>
    <t>Подъезд к д. Ставище от а/д Н-11202 Осиповичи-Дараганово км 0,0-3,163</t>
  </si>
  <si>
    <t>Подъезд к д. Лука от а/д Н-11202 Осиповичи-Дараганово км 0,0-7,946</t>
  </si>
  <si>
    <t>Подъезд к д. Задняя Гряда от а/д Н-11202 Осиповичи-Дараганово км 0,0-1,820</t>
  </si>
  <si>
    <t>Подъезд к д. Клепчаный Мост от а/д Н-11202 Осиповичи-Дараганово км 0,0-2,800</t>
  </si>
  <si>
    <t>Подъезд к д. Деревцы от а/д Н-11202 Осиповичи-Дараганово км 0,0-3,977</t>
  </si>
  <si>
    <t>Подъезд к д. Заручевье от а/д Н-11202 Осиповичи-Дараганово км 0,0-0,524</t>
  </si>
  <si>
    <t>Подъезд к д. Ягодное от а/д Н-11202 Осиповичи-Дараганово км 0,0-1,428</t>
  </si>
  <si>
    <t>Подъезд к д. Молотино от а/д Н-11202 Осиповичи-Дараганово км 0,0-1,600</t>
  </si>
  <si>
    <t>Подъезд к д. Устиж от а/д Н-11204 Малая Горожа-Липень-Каменичи км 0,0-3,568</t>
  </si>
  <si>
    <t>Подъезд к д. Бозок от а/д Н-11204 Малая Горожа-Липень-Каменичи км 0,0-6,360</t>
  </si>
  <si>
    <t>Подъезд к д. Островки от а/д Н-11205 Дричин-Кремок-Великий Бор км 0,0-3,400</t>
  </si>
  <si>
    <t>Подъезд к д. Слободка от а/д Н-11209 Жорновка-Лочин км 0,0-3,250</t>
  </si>
  <si>
    <t>Подъезд к д. Сухлово от а/д Н-11212 Корытное-Деменка-Ясень км 0,0-1,454</t>
  </si>
  <si>
    <t>Подъезд к д. Гриневка от а/д Н-11212 Корытное-Деменка-Ясень км 0,0-1,100</t>
  </si>
  <si>
    <t>Подъезд к д. Ясеневка от а/д Н-14420 Подъезд к д. Гриневка от а/д Н-11212 Корытное–Деменка–Ясень км 0,0-1,000</t>
  </si>
  <si>
    <t>Подъезд № 1 к д. Осовок от а/д Н-11214 Каменичи-Казимирово км 0,0-1,162</t>
  </si>
  <si>
    <t>Подъезд № 2 к д. Осовок от а/д Н-14425 Подъезд № 1 к д. Осовок от а/д Н-11214 Каменичи–Казимирово км 0,0-1,442</t>
  </si>
  <si>
    <t>Подъезд к д. Тарасовичи от а/д Р-34 Осиповичи-Глуск-Озаричи км 0,0-2,850</t>
  </si>
  <si>
    <t>Подъезд к д. Притерпа от а/д Р-67 Борисов-Березино-Бобруйск км 0,0-1,300</t>
  </si>
  <si>
    <t>Подъезд к д. Столяры от а/д Р-67 Борисов-Березино-Бобруйск км 0,0-1,600</t>
  </si>
  <si>
    <t>Подъезд к д. Голынка от а/д Р-67 Борисов-Березино-Бобруйск км 0,0-1,784</t>
  </si>
  <si>
    <t>Подъезд к д. Теплухи от а/д Р-72 Осиповичи-Свислочь км 0,0-1,587</t>
  </si>
  <si>
    <t>Подъезд к д. Нечье от а/д Р-72 Осиповичи-Свислочь км 0,0-1,000</t>
  </si>
  <si>
    <t>Подъезд к д. Поплавы от а/д Р-91 Осиповичи-Барановичи км 0,0-1,600</t>
  </si>
  <si>
    <t>Подъезд к д. Дворок от а/д Р-91 Осиповичи–Барановичи км 0,0-0,450</t>
  </si>
  <si>
    <t>Подъезд к д. Занетечье от а/д Р-91 Осиповичи-Барановичи  км 0,0-2,049</t>
  </si>
  <si>
    <t>Подъезд к д. Гончаровка от а/д Н-11276 Васьковичи-Бахань-Ректа км 0,0-2,50</t>
  </si>
  <si>
    <t>Подъезд к д. Приволье от а/д Н-11276 Васьковичи-Бахань-Ректа км 0,0-2,780</t>
  </si>
  <si>
    <t>Подъезд к упраздненной д. Смолигов от а/д Н-11276 Васьковичи–Бахань–Ректа км 0,0-3,980</t>
  </si>
  <si>
    <t>Подъезд к д. Затишье от а/д Н-11276 Васьковичи-Бахань-Ректа км 0,0-7,100</t>
  </si>
  <si>
    <t>Подъезд к д. Машецкая Слобода от а/д Н-11278 Потеряевка-Иванищевичи км 0,0-2,940</t>
  </si>
  <si>
    <t>Подъезд к д. Хворостяны от а/д Н-11279 Хоронев-Хворостяны-Азаричи км 0,0-2,080</t>
  </si>
  <si>
    <t>Подъезд к д. Заглинное от а/д Н-11280 Ходорово-Телеши-Улуки км 0,0-2,050</t>
  </si>
  <si>
    <t>Подъезд к д. Усохи от а/д Н-11280 Ходорово-Телеши-Улуки км 0,0-1,800</t>
  </si>
  <si>
    <t>Подъезд к д. Александровка-1 от а/д Н-11280 Ходорово-Телеши-Улуки км 0,0-2,846</t>
  </si>
  <si>
    <t>Подъезд к упраздненной д. Дашковка от а/д Н-11281 Телеши–Любаны км 0,0-2,780</t>
  </si>
  <si>
    <t>Подъезд к магазину в д. Шеломы от а/д Н-11282 Уречье–Шеломы км 0,0-0,450</t>
  </si>
  <si>
    <t>Подъезд № 2 к д. Тереховка от а/д Н-14519 Подъезд № 1 к д. Тереховка от а/д Н-11284 Гайшин–Безуевичи–Лебедёвка км 0,0-0,620</t>
  </si>
  <si>
    <t>Подъезд к д. Есяновица от а/д Н-11290 Славгород–Корма (до границы Могилевской области) км 0,0-1,130</t>
  </si>
  <si>
    <t>Подъезд к д. Кабина Гора от а/д Р-119 Славгород-Никоновичи (до автомобильной дороги М-8/Е 95) км 0,0-3,460</t>
  </si>
  <si>
    <t>Подъезд к д. Чечёровка от а/д Р-43 Граница Российской Федерации (Звенчатка)–Кричев–Бобруйск–Ивацевичи (до автомобильной дороги Р-2/Е 85) км 0,0-1,490</t>
  </si>
  <si>
    <t>Подъезд к д. Михайлов от а/д Р-43 Граница Российской Федерации (Звенчатка)-Кричев-Бобруйск-Ивацевичи (до автомобильной дороги Р-2/Е 85) км 0,0-1,050</t>
  </si>
  <si>
    <t>Подъезд к д. Узгорск от а/д Р-71 Могилев-Славгород км 0,0-4,360</t>
  </si>
  <si>
    <t>Подъезд к д. Чиковка от а/д Р-71 Могилев-Славгород км 0,0-2,800</t>
  </si>
  <si>
    <t>Подъезд к д. Рабовичи от а/д Р-71 Могилев-Славгород км 0,0-0,330</t>
  </si>
  <si>
    <t>Подъезд к социально-педагогическому центру в д. Новая Слобода от а/д Р-71 Могилев-Славгород км 0,0-0,350</t>
  </si>
  <si>
    <t>Подъезд к фельдшерско-акушерскому пункту в д. Юзефовка от а/д Н-11354 Хотимск–Батаево–Ивкино км 0,0-0,610</t>
  </si>
  <si>
    <t>Подъезд к д. Юзефовка от а/д Н-11354 Хотимск–Батаево–Ивкино км 0,0-0,050</t>
  </si>
  <si>
    <t>Подъезд к д. Еленовка от а/д Н-11354 Хотимск–Батаево–Ивкино км 0,0-4,500</t>
  </si>
  <si>
    <t>Подъезд к д. Михайловка от а/д Н-11354 Хотимск–Батаево–Ивкино км 0,0-3,200</t>
  </si>
  <si>
    <t>Подъезд к д. Василёвка-1 от а/д Н-11356 Яновка–Шелодоновка км 0,0-1,487</t>
  </si>
  <si>
    <t>Подъезд к д. Таклёвка от а/д Н-11357 Забелышин–Орловка–Тихань–Пограничник км 0,0-0,768</t>
  </si>
  <si>
    <t>Подъезд к д. Орловка от а/д Н-11357 Забелышин-Орловка-Тихань-Пограничник км 0,0-0,800</t>
  </si>
  <si>
    <t>Подъезд № 1 к д. Буда от а/д Н-11357 Забелышин–Орловка–Тихань–Пограничник км 0,0-1,810</t>
  </si>
  <si>
    <t>Подъезд № 2 к д. Буда от а/д Н-14607 Подъезд № 1 к д. Буда от а/д Н-11357 Забелышин–Орловка–Тихань–Пограничник км 0,0-0,580</t>
  </si>
  <si>
    <t>Подъезд № 3 к д. Буда от а/д Н-11357 Забелышин–Орловка–Тихань–Пограничник км 0,0-0,940</t>
  </si>
  <si>
    <t>Подъезд к д. Ольшов-2 от а/д Н-11359 Хотимск-Пограничник-граница Российской Федерации км 0,0-2,000</t>
  </si>
  <si>
    <t>Подъезд к упраздненной д. Владимировка от а/д Р-74 Чериков–Краснополье–Хотимск–граница Российской Федерации (Горня) км 0,0-1,000</t>
  </si>
  <si>
    <t>Подъезд к д. Янополье от а/д Р-74 Чериков-Краснополье-Хотимск-граница Российской Федерации (Горня) км 0,0-1,760</t>
  </si>
  <si>
    <t>Подъезд к д. Роскошь от а/д Р-74 Чериков-Краснополье-Хотимск-граница Российской Федерации (Горня) км 0,0-1,180</t>
  </si>
  <si>
    <t>Подъезд к д. Мосин от а/д Р-74 Чериков-Краснополье-Хотимск-граница Российской Федерации (Горня) км 0,0-8,270</t>
  </si>
  <si>
    <t>Подъезд к д. Павловка от а/д Р-74 Чериков-Краснополье-Хотимск-граница Российской Федерации (Горня) км 0,0-3,200</t>
  </si>
  <si>
    <t>Подъезд к д. Беседский Прудок от а/д Р-74 Чериков–Краснополье–Хотимск–граница Российской Федерации (Горня) км 0,0-1,290</t>
  </si>
  <si>
    <t>Подъезд к д. Варваровка от а/д Р-74 Чериков-Краснополье-Хотимск-граница Российской Федерации (Горня) км 0,0-1,100</t>
  </si>
  <si>
    <t>Подъезд к д. Горня от а/д Р-74 Чериков-Краснополье-Хотимск-граница Российской Федерации (Горня) км 0,0-0,400</t>
  </si>
  <si>
    <t>Подъезд к д. Дружба от а/д Р-139 Хотимск-Родня км 0,0-6,900</t>
  </si>
  <si>
    <t>Подъезд к детскому саду в д. Тростино от а/д Р-139 Хотимск-Родня км 0,0-0,800</t>
  </si>
  <si>
    <t>Подъезд к д. Прудок от а/д Р-139 Хотимск–Родня км 0,0-1,200</t>
  </si>
  <si>
    <t>Подъезд к д. Радучи от а/д Н-11431 Чаусы-Заложье км 0,0-0,710</t>
  </si>
  <si>
    <t>Подъезд к д. Александровка от а/д Н-11431 Чаусы-Заложье км 0,0-1,100</t>
  </si>
  <si>
    <t>Подъезд к д. Чижи от а/д Н-11431 Чаусы-Заложье км 0,0-2,200</t>
  </si>
  <si>
    <t>Подъезд к д. Колесянка от а/д Н-11431 Чаусы-Заложье км 0,0-1,670</t>
  </si>
  <si>
    <t>Подъезд к д. Русиновка от а/д Н-11431 Чаусы-Заложье км 0,0-0,400</t>
  </si>
  <si>
    <t>Подъезд к д. Лужок от а/д Н-11432 Войнилы-Копани км 0,0-0,700</t>
  </si>
  <si>
    <t>Подъезд к д. Ново-Васильевск от а/д Н-11432 Войнилы-Копани км 0,0-0,410</t>
  </si>
  <si>
    <t>Подъезд к д. Бахотец от а/д Н-11433 Смолка-Горбовичи-Красница-Гладково км 0,0-1,020</t>
  </si>
  <si>
    <t>Подъезд к д. Приозерная от а/д Н-11433 Смолка-Горбовичи-Красница-Гладково км 0,0-1,400</t>
  </si>
  <si>
    <t>Подъезд к д. Холмы от а/д Н-11434 Темровичи-Васьковичи-Городня км 0,0-1,170</t>
  </si>
  <si>
    <t>Подъезд к д. Малые Амхиничи от а/д Н-11434 Темровичи-Васьковичи-Городня км 0,0-1,860</t>
  </si>
  <si>
    <t>Подъезд к д. Большие Амхиничи от а/д Н-11434 Темровичи–Васьковичи–Городня км 0,0-1,140</t>
  </si>
  <si>
    <t>Подъезд к д. Драчково от а/д Н-11434 Темровичи-Васьковичи-Городня км 0,0-1,120</t>
  </si>
  <si>
    <t>Подъезд к садоводческому товариществу «Благовичи» от а/д Н-14748 Подъезд к д. Воложенка от а/д Н-11437 Харьковка–Астрени–Загоренка км 0,0-1,790</t>
  </si>
  <si>
    <t>Подъезд к д. Скоклево от а/д Н-11439 Дужевка-Пороевка-Кононовка км 0,0-0,920</t>
  </si>
  <si>
    <t>Подъезд к д. Чернавцы от Н 11453 Каменка-Авхимки-Чернавцы-Городец км 0,0-0,300</t>
  </si>
  <si>
    <t>Подъезд к д. Глинище от а/д Н-11459 Каменка-Сущи км 0,0-1,380</t>
  </si>
  <si>
    <t>Подъезд к д. Вилейка от Р -122 Могилев-Чериков-Костюковичи км 0,0-1,600</t>
  </si>
  <si>
    <t>Подъезд к д. Удовск от а/д Р-122 Могилев-Чериков-Костюковичи км 0,0-1,020</t>
  </si>
  <si>
    <t>Подъезд к д. Ляховщина от а/д Р-122 Могилев-Чериков-Костюковичи км 0,0-1,950</t>
  </si>
  <si>
    <t>Подъезд к д. Атражье от а/д Р-122 Могилев-Чериков-Костюковичи км 0,0-1,800</t>
  </si>
  <si>
    <t>Подъезд к д. Колосовщина от а/д Р-122 Могилев-Чериков-Костюковичи км 0,0-7,530</t>
  </si>
  <si>
    <t>Подъезд к д. Видлин от а/д Н-14803 Подъезд к д. Колосовщина от а/д Р-122 Могилев–Чериков–Костюковичи км 0,0-0,450</t>
  </si>
  <si>
    <t>Подъезд к д. Красная Буда от а/д Р-138 Чаусы-Славгород (до автомобильной дороги Р-71) км 0,0-1,176</t>
  </si>
  <si>
    <t>Подъезд к д. Голочево от а/д Р-138 Чаусы–Славгород (до автомобильной дороги Р-71) км 0,0-0,440</t>
  </si>
  <si>
    <t>Подъезд к д. Петуховка от а/д Р-138 Чаусы-Славгород (до автомобильной дороги Р-71) км 0,0-5,240</t>
  </si>
  <si>
    <t>Подъезд к д. Сутоки от а/д Р-71 Могилев-Славгород км 0,0-1,880</t>
  </si>
  <si>
    <t>Подъезд к д. Черенки от а/д Р-71 Могилев-Славгород км 0,0-1,270</t>
  </si>
  <si>
    <t>Подъезд к д. Ольховка от а/д Р-73 Чаусы-Мстиславль-граница Российской Федерации (Каськово) км 0,0-1,150</t>
  </si>
  <si>
    <t>Подъезд к д. Прилесье от а/д Р-73 Чаусы-Мстиславль-граница Российской Федерации (Каськово) км 0,0-1,200</t>
  </si>
  <si>
    <t>Подъезд к д. Ново-Александровка от а/д Р-73 Чаусы-Мстиславль-граница Российской Федерации (Каськово) км 0,0-2,000</t>
  </si>
  <si>
    <t>Подъезд к д. Каменка от а/д Р-73 Чаусы-Мстиславль-граница Российской Федерации (Каськово) км 0,0-2,240</t>
  </si>
  <si>
    <t>Подъезд к д. Зеленый Прудок от а/д Р-73 Чаусы-Мстиславль-граница Российской Федерации (Каськово) км 0,0-2,050</t>
  </si>
  <si>
    <t>Подъезд к д. Граболово от а/д Р-73 Чаусы-Мстиславль-граница Российской Федерации (Каськово) км 0,0-3,460</t>
  </si>
  <si>
    <t>Подъезд к д. Нежковка от а/д Р-73 Чаусы-Мстиславль-граница Российской Федерации (Каськово) км 0,0-1,950</t>
  </si>
  <si>
    <t>Подъезд к д. Шиманы от а/д Н-11502 Чериков-Езеры-Гижня км 0,0-0,710</t>
  </si>
  <si>
    <t>Подъезд к д. Селище от а/д Н-11502 Чериков-Езеры-Гижня км 0,0-2,420</t>
  </si>
  <si>
    <t>Подъезд к д. Лобча от а/д Н-11502 Чериков-Езеры-Гижня км 0,0-2,450</t>
  </si>
  <si>
    <t>Подъезд к д. Дубровка от а/д Н-11502 Чериков-Езеры-Гижня км 0,0-3,325</t>
  </si>
  <si>
    <t>Подъезд к д. Анютино от а/д Н-11503 Чериков-Удога-Веремейки км 0,0-1,260</t>
  </si>
  <si>
    <t>Подъезд к д. Загурковище от а/д Н-11503 Чериков-Удога-Веремейки км 0,0-0,800</t>
  </si>
  <si>
    <t>Подъезд к упраздненной д. Корма от а/д Н-11503 Чериков–Удога–Веремейки км 0,0-0,670</t>
  </si>
  <si>
    <t>Подъезд к братской могиле в д. Удога от а/д Н-11503 Чериков-Удога-Веремейки км 0,0-2,000</t>
  </si>
  <si>
    <t>Подъезд к району индивидуальной жилой застройки в д. Удога от а/д Н-11503 Чериков-Удога-Веремейки км 0,0-0,800</t>
  </si>
  <si>
    <t>Подъезд к д. Михалин от а/д Н-11504 Охорь-Речица-Холоблин км 0,0-1,500</t>
  </si>
  <si>
    <t>Подъезд к обелиску в упраздненной д. Комаровичи от а/д Н-11504 Охорь–Речица–Холоблин км 0,0-0,500</t>
  </si>
  <si>
    <t>Подъезд к д. Еловка от а/д Р-122 Могилев-Чериков-Костюковичи км 0,0-1,580</t>
  </si>
  <si>
    <t>Подъезд к д. Гронов от а/д Р-122 Могилев-Чериков-Костюковичи км 0,0-3,180</t>
  </si>
  <si>
    <t>Подъезд к фельдшерско-акушерскому пункту в д. Гронов от а/д Н-14948 Подъезд к д. Гронов от а/д Р-122 Могилев–Чериков–Костюковичи км 0,0-0,900</t>
  </si>
  <si>
    <t>Подъезд к д. Турье от а/д Р-122 Могилев-Чериков-Костюковичи км 0,0-3,150</t>
  </si>
  <si>
    <t>Подъезд к д. Шароевка от а/д Р-122 Могилев-Чериков-Костюковичи км 0,0-1,740</t>
  </si>
  <si>
    <t>Подъезд к д. Васьковка от а/д Р-122 Могилев-Чериков-Костюковичи км 0,0-1,490</t>
  </si>
  <si>
    <t>Подъезд №1 к д. Устье от а/д Р-43 Граница Российской Федерации (Звенчатка)-Кричев-Бобруйск-Ивацевичи (до автомобильной дороги Р-2/Е 85) км 0,0-2,710</t>
  </si>
  <si>
    <t>Подъезд № 2 к д. Устье от а/д Н-14965 Подъезд № 1 к д. Устье от а/д Р-43 Граница Российской Федерации (Звенчатка)–Кричев–Бобруйск–Ивацевичи (до автомобильной дороги Р-2/Е 85) км 0,0-1,640</t>
  </si>
  <si>
    <t>Подъезд № 3 к д. Устье от а/д Н-14965 Подъезд № 1 к д. Устье от а/д Р-43 Граница Российской Федерации (Звенчатка)–Кричев–Бобруйск–Ивацевичи (до автомобильной дороги Р-2/Е 85) км 0,0-2,060</t>
  </si>
  <si>
    <t>Подъезд к зоне отдыха в д. Мирогощь от а/д Р-43 Граница Российской Федерации (Звенчатка)-Кричев-Бобруйск-Ивацевичи (до автомобильной дороги Р-2/Е 85) км 0,0-3,400</t>
  </si>
  <si>
    <t>Подъезд к д. Баков от а/д Р-43 Граница Российской Федерации (Звенчатка)-Кричев-Бобруйск-Ивацевичи (до автомобильной дороги Р-2/Е 85) км 0,0-4,280</t>
  </si>
  <si>
    <t>Подъезд к д. Богдановка (к территории бывшего санатория «Сож») от а/д Р-43/П 2 Подъезд к г. Черикову № 1 от автомобильной дороги Р-43 км 0,0-0,673</t>
  </si>
  <si>
    <t>Подъезд № 1 к д. Мирогощь от а/д Р-43/П 3 Подъезд к г. Черикову № 2 от автомобильной дороги Р-43 км 0,0-5,000</t>
  </si>
  <si>
    <t>Подъезд к могиле Родивилова П.Н. (кладбище) в д. Мирогощь от а/д Н-14979 Подъезд № 1 к д. Мирогощь от а/д Р-43/П 3 Подъезд к г. Черикову № 2 от автомобильной дороги Р-43 км 0,0-0,200</t>
  </si>
  <si>
    <t>Подъезд к д. Пильня от а/д Р-74 Чериков-Краснополье-Хотимск-граница Российской Федерации (Горня) км 0,0-2,465</t>
  </si>
  <si>
    <t>Подъезд к упраздненной д. Ушаки от а/д Р-74 Чериков–Краснополье–Хотимск–граница Российской Федерации (Горня) км 0,0-8,570</t>
  </si>
  <si>
    <t>Подъезд к д. Монастырек от а/д Н-14983 Подъезд к упраздненной д. Ушаки от а/д Р-74 Чериков–Краснополье–Хотимск–граница Российской Федерации (Горня) км 0,0-2,000</t>
  </si>
  <si>
    <t>Подъезд к д. Головчицы от а/д Р-74 Чериков-Краснополье-Хотимск-граница Российской Федерации (Горня) км 0,0-6,273</t>
  </si>
  <si>
    <t>Подъезд к д. Ржавцы от а/д Н-11577 Шклов–Сосновка 1–Старые Стайки км 0,0-2,900</t>
  </si>
  <si>
    <t>Подъезд № 1 к д. Сосновка 1 от а/д Н-11577 Шклов–Сосновка 1–Старые Стайки км 0,0-0,650</t>
  </si>
  <si>
    <t>Подъезд № 2 к д. Сосновка 1 от а/д Н-11636 Подъезд № 1 к д. Сосновка 1 от а/д Н-11577 Шклов–Сосновка 1–Старые Стайки км 0,0-0,300</t>
  </si>
  <si>
    <t>Подъезд к д. Сисенево от а/д Н-11580 Калиновка-Черноручье-Говяды км 0,0-0,900</t>
  </si>
  <si>
    <t>Подъезд к д. Сметаничи от а/д Н-11580 Калиновка-Черноручье-Говяды км 0,0-1,100</t>
  </si>
  <si>
    <t>Подъезд к д. Редишено от а/д Н-11582 Городище–Ордать–Редишено–Дивново–Доманы км 0,0-0,900</t>
  </si>
  <si>
    <t>Подъезд к д. Новое Вильяново от а/д Н-11582 Городище–Ордать–Редишено–Дивново–Доманы км 0,0-0,800</t>
  </si>
  <si>
    <t>Подъезд к д. Клин от а/д Н-11583 Калиновка-Староселье-Смольянцы км 0,0-1,000</t>
  </si>
  <si>
    <t>Подъезд к д. Дымово от а/д Н-11584 Борки-1–Староселье–Хатьково км 0,0-1,200</t>
  </si>
  <si>
    <t>Подъезд к д. Лидино от а/д Н-11683 Подъезд к д. Дымово от а/д Н-11584 Борки-1–Староселье–Хатьково км 0,0-1,500</t>
  </si>
  <si>
    <t>Подъезд к д. Гвалтовник от а/д Н-11584 Борки-1–Староселье–Хатьково км 0,0-0,420</t>
  </si>
  <si>
    <t>Подъезд к д. Старые Чемоданы от а/д Н-11586 Городок–Кривель–Фащевка–Старые Чемоданы км 0,0-0,900</t>
  </si>
  <si>
    <t>Подъезд к д. Сосновка 2 от а/д Н-11591 Волосовичи–Любиничи–Сосновка 2 (до границы Могилевской области) км 0,0-1,500</t>
  </si>
  <si>
    <t>Подъезд к д. Шестаки от а/д Н-11600 Ордать-Шестаки км 0,0-0,900</t>
  </si>
  <si>
    <t>Подъезд к д. Подгайцы от а/д Н-11601 Локути-Августово км 0,0-2,000</t>
  </si>
  <si>
    <t>Подъезд № 1 к д. Грамоки от а/д Н-11608 Ордать–Рудицы–Займище–Дивново км 0,0-0,880</t>
  </si>
  <si>
    <t>Подъезд № 1 к д. Вабичи от а/д Н-11609 Тудорово–Ступляны (до мелиоративного канала) км 0,0-1,300</t>
  </si>
  <si>
    <t>Подъезд № 2 к д. Вабичи от а/д Н-11731 Подъезд № 1 к д. Вабичи от а/д Н-11609 Тудорово–Ступляны (до мелиоративного канала) км 0,0-0,500</t>
  </si>
  <si>
    <t>Подъезд к упраздненной д. Березовка  от а/д Н-11613 Заборье–Борки-1 км 0,0-2,200</t>
  </si>
  <si>
    <t>Подъезд к д. Дубровка-2 от а/д Н-11616 Евдокимовичи-Островец км 0,0-2,840</t>
  </si>
  <si>
    <t>Подъезд к д. Большой Михайлов от а/д Н-11619 Лотва–Каменные Лавы км 0,0-1,500</t>
  </si>
  <si>
    <t>Подъезд к садоводческому товариществу «Ветеран» от а/д Н-11640 Подъезд к д. Большой Михайлов от а/д Н-11619 Лотва–Каменные Лавы км 0,0-1,400</t>
  </si>
  <si>
    <t>Подъезд к д. Ходулы от а/д М-8/П 4 Подъезд к г. Шклову от автомобильной дороги М-8/Е 95 км 0,0-2,081</t>
  </si>
  <si>
    <t>Подъезд к д. Путники от а/д М-8/П 4 Подъезд к г. Шклову от автомобильной дороги М-8/Е 95 км 0,0-4,417</t>
  </si>
  <si>
    <t>Подъезд к д. Большое Уланово от а/д Р-121 Шклов–Круглое км 0,0-2,500</t>
  </si>
  <si>
    <t>Подъезд к д. Большой Старый Шклов от а/д Р-121 Шклов–Круглое км 0,0-1,657</t>
  </si>
  <si>
    <t>Подъезд к д. Хотимка от а/д Р-121 Шклов-Круглое км 0,0-2,259</t>
  </si>
  <si>
    <t>Подъезд к д. Заровцы от а/д Р-121 Шклов-Круглое км 0,0-1,736</t>
  </si>
  <si>
    <t>Подъезд к д. Песчанка от а/д Р-121 Шклов-Круглое км 0,0-1,600</t>
  </si>
  <si>
    <t>Подъезд к д. Застенки от а/д Р-121 Шклов-Круглое км 0,0-1,600</t>
  </si>
  <si>
    <t>Подъезд к д. Дяжки от а/д Р-121 Шклов-Круглое км 0,0-1,100</t>
  </si>
  <si>
    <t>Подъезд к д. Красное от а/д Р-121 Шклов-Круглое км 0,0-1,100</t>
  </si>
  <si>
    <t>Подъезд к д. Брус от а/д Р-121 Шклов-Круглое км 0,0-0,560</t>
  </si>
  <si>
    <t>Подъезд к д. Мацево от а/д Р-121 Шклов-Круглое км 0,0-1,776</t>
  </si>
  <si>
    <t>Подъезд к д. Поповка от а/д Р-121 Шклов-Круглое км 0,0-0,700</t>
  </si>
  <si>
    <t>Подъезд к д. Церковище от а/д Р-70 Княжицы-Горки-Ленино-граница Российской Федерации (Дружная) км 0,0-1,000</t>
  </si>
  <si>
    <t>Подъезд к д. Сертиславль от а/д Р-70 Княжицы-Горки-Ленино-граница Российской Федерации (Дружная) км 0,0-1,000</t>
  </si>
  <si>
    <t>Подъезд к д. Слободка от а/д Р-70 Княжицы–Горки–Ленино–граница Российской Федерации (Дружная) км 0,0-1,100</t>
  </si>
  <si>
    <t>Подъезд к д. Новоселки от а/д Р-70 Княжицы-Горки-Ленино-граница Российской Федерации (Дружная) км 0,0-2,500</t>
  </si>
  <si>
    <t>Подъезд к д. Большой Межник от а/д Р-76 Орша–Шклов–Могилев км 0,0-0,535</t>
  </si>
  <si>
    <t>Подъезд к д. Тросенка от а/д Р-76 Орша-Шклов-Могилев км 0,0-3,060</t>
  </si>
  <si>
    <t>Подъезд к д. Церковище от а/д Р-76 Орша-Шклов-Могилев км 0,0-2,010</t>
  </si>
  <si>
    <t>Подъезд к д. Малое Уланово от а/д Р-76 Орша–Шклов–Могилев км 0,0-4,000</t>
  </si>
  <si>
    <t>Подъезд к д. Реполово от а/д Р-76 Орша-Шклов-Могилев км 0,0-1,805</t>
  </si>
  <si>
    <t>Подъезд к д. Подкняженье от а/д Р-76 Орша–Шклов–Могилев км 0,0-1,600</t>
  </si>
  <si>
    <t>Подъезд к д. Маньково от а/д Р-76 Орша-Шклов-Могилев км 0,0-0,700</t>
  </si>
  <si>
    <t>Подъезд № 1 к д. Копысица от а/д Р-76 Орша–Шклов–Могилев км 0,0-2,681</t>
  </si>
  <si>
    <t>Подъезд № 2 к д. Копысица от а/д Н-11808 Подъезд № 1 к д. Копысица от а/д Р-76 Орша–Шклов–Могилев км 0,0-0,789</t>
  </si>
  <si>
    <t>Подъезд № 3 к д. Копысица от а/д Н-11808 Подъезд № 1 к д. Копысица от а/д Р-76 Орша–Шклов–Могилев км 0,0-0,540</t>
  </si>
  <si>
    <t>Подъезд к д. Герасимовщина от а/д Н-11808 Подъезд № 1 к д. Копысица от а/д Р-76 Орша–Шклов–Могилев км 0,0-2,764</t>
  </si>
  <si>
    <t>Подъезд к д. Большая Мухоморовщина от а/д Р-76 Орша-Шклов-Могилев км 0,0-0,926</t>
  </si>
  <si>
    <t>Подъезд к садоводческому товариществу «Елочка» от а/д Н-11825 Подъезд к лечебному корпусу учреждения здравоохранения «Могилевская областная психиатрическая больница» в д. Барсуки от а/д Р-76 Орша–Шклов–Могилев км 0,0-1,500</t>
  </si>
  <si>
    <t>Подъезд к д. Низовцы от а/д Р-76 Орша-Шклов-Могилев км 0,0-1,500</t>
  </si>
  <si>
    <t>Подъезд к д. Савеленки от а/д Р-76 Орша-Шклов-Могилев км 0,0-6,754</t>
  </si>
  <si>
    <t>Подъезд к д. Моховое от а/д Н-11819 Подъезд к д. Савеленки от а/д Р-76 Орша–Шклов–Могилев км 0,0-3,667</t>
  </si>
  <si>
    <t>Подъезд к д. Николаевка-1 от а/д Н-11819 Подъезд к д. Савеленки от а/д Р-76 Орша–Шклов–Могилев  км 0,0-2,300</t>
  </si>
  <si>
    <t>Подъезд к лечебному корпусу учреждения здравоохранения «Могилевская областная психиатрическая больница» в д. Барсуки от а/д Р-76 Орша-Шклов-Могилев км 0,0-0,300</t>
  </si>
  <si>
    <t>Подъезд к д. Хилец от а/д Р-76 Орша-Шклов-Могилев км 0,0-1,200</t>
  </si>
  <si>
    <t>Подъезд к д. Климовичи от а/д Р-77 Шклов–Белыничи (через Пригани 2) км 0,0-1,700</t>
  </si>
  <si>
    <t>Подъезд к д. Овчиненки от а/д Р-77 Шклов–Белыничи (через Пригани 2) км 0,0-2,553</t>
  </si>
  <si>
    <t>Подъезд к д. Новые Овчиненки от а/д Р-77 Шклов–Белыничи (через Пригани 2) км 0,0-1,700</t>
  </si>
  <si>
    <t>Подъезд к д. Александровка от а/д Р-77 Шклов–Белыничи (через Пригани 2) км 0,0-0,617</t>
  </si>
  <si>
    <t>Проезд по д. Александровка от а/д Н-11836 Подъезд к д. Александровка от а/д Р-77 Шклов–Белыничи (через Пригани 2) км 0,0-0,647</t>
  </si>
  <si>
    <t>Подъезд к д. Большие Овчиненки от а/д Р-77 Шклов–Белыничи (через Пригани 2) км 0,0-1,500</t>
  </si>
  <si>
    <t>Подъезд к кладбищу д. Олешковичи от а/д Н-10001 Белыничи-Шепелевичи-Круча км 0,0-0,330</t>
  </si>
  <si>
    <t>Подъезд к кладбищу д. Крюки от а/д Н-12015 Подъезд к д. Крюки от а/д Н-10003 Вишов–Лямница–Николаевка–Малиновка 2 км 0,0-0,500</t>
  </si>
  <si>
    <t>Подъезд к кладбищу д. Павлинка от а/д Н-12017 Подъезд к д. Павлинка от а/д Н-10003 Вишов–Лямница–Николаевка–Малиновка 2 км 0,0-1,000</t>
  </si>
  <si>
    <t>Подъезд к кладбищу д. Лямница от а/д Н-10003 Вишов–Лямница–Николаевка–Малиновка 2 км 0,0-0,400</t>
  </si>
  <si>
    <t>Подъезд к кладбищу д. Николаевка от а/д Н-10003 Вишов–Лямница–Николаевка–Малиновка 2 км 0,0-1,200</t>
  </si>
  <si>
    <t>Подъезд к кладбищу д. Борок от а/д Н-10004 Светиловичи-Лебедянка-Борок км 0,0-0,675</t>
  </si>
  <si>
    <t>Подъезд к кладбищу д. Майск от а/д Н-10005 Мокровичи-Эсьмоны-Заозерье км 0,0-0,100</t>
  </si>
  <si>
    <t>Подъезд к кладбищу д. Заозерье от а/д Н-10005 Мокровичи-Эсьмоны-Заозерье км 0,0-0,620</t>
  </si>
  <si>
    <t>Подъезд к кладбищу д. Кармановка от а/д Н-10005 Мокровичи-Эсьмоны-Заозерье км 0,0-0,190</t>
  </si>
  <si>
    <t>Подъезд к кладбищу д. Выйлово от а/д Н-10006 Искра–Выйлово–Сиваи км 0,0-0,200</t>
  </si>
  <si>
    <t>Подъезд к кладбищу д. Добриловичи от а/д Н-12037 Подъезд к д. Добриловичи от а/д Н-10007 Осовец–Заполье–Дручаны–Межонка км 0,0-0,050</t>
  </si>
  <si>
    <t>Подъезд к кладбищу д. Дручаны от а/д Н-10007 Осовец-Заполье-Дручаны-Межонка км 0,0-0,100</t>
  </si>
  <si>
    <t>Подъезд к кладбищу д. Межонка от а/д Н-10007 Осовец-Заполье-Дручаны-Межонка км 0,0-2,000</t>
  </si>
  <si>
    <t>Подъезд к кладбищу д. Клева от а/д Н-12045 Подъезд к д. Клева от а/д Н-10008 Корытница–Староселье–Эсьмоны км 0,0-0,100</t>
  </si>
  <si>
    <t>Подъезд к кладбищу д. Туалин от а/д Н-10010 Ермоловичи-Изобище км 0,0-0,400</t>
  </si>
  <si>
    <t>Подъезд к кладбищу д. Клины от а/д Н-12054 Подъезд к д. Клины от а/д Н-10011 Ермоловичи–Рафолово–Лямница км 0,0-1,000</t>
  </si>
  <si>
    <t>Подъезд к кладбищу д. Голубовка от а/д Н-10011 Ермоловичи-Рафолово-Лямница км 0,0-0,610</t>
  </si>
  <si>
    <t>Подъезд к кладбищу д. Рафолово от а/д Н-10011 Ермоловичи-Рафолово-Лямница км 0,0-0,780</t>
  </si>
  <si>
    <t>Подъезд к кладбищу д. Восток от а/д Н-10011 Ермоловичи-Рафолово-Лямница км 0,0-0,100</t>
  </si>
  <si>
    <t>Подъезд к кладбищу д. Заболотье от а/д Н-10012 Васильки-Заболотье км 0,0-0,200</t>
  </si>
  <si>
    <t>Подъезд к кладбищу д. Васильки от а/д Н-10012 Васильки-Заболотье км 0,0-0,150</t>
  </si>
  <si>
    <t>Подъезд к кладбищу д. Рубеж от а/д Н-10013 Дручаны-Рубеж-Замочулье-Падевичи км 0,0-0,100</t>
  </si>
  <si>
    <t>Подъезд к кладбищу д. Фойна от а/д Н-10015 Белыничи–Фойна–Ланьково км 0,0-0,700</t>
  </si>
  <si>
    <t>Подъезд к кладбищу д. Рогач от а/д Н-10015 Белыничи–Фойна–Ланьково км 0,0-0,700</t>
  </si>
  <si>
    <t>Подъезд к кладбищу д. Рудня от а/д Н-10018 Лебедянка-Рудня км 0,0-0,800</t>
  </si>
  <si>
    <t>Подъезд к кладбищу д. Малая Мощаница от а/д Н-12072 Подъезд к д. Малая Мощаница от а/д Н-10020 Большая Мощаница–Дробовка км 0,0-0,250</t>
  </si>
  <si>
    <t>Подъезд к кладбищу д. Мистровка от а/д Н-10024 Мистровка–Курганье–Забавы км 0,0-1,400</t>
  </si>
  <si>
    <t>Подъезд к кладбищу д. Заболотье от а/д Н-10026 Заболотье–Кулаковка–Селянская Клевка км 0,0-0,440</t>
  </si>
  <si>
    <t>Подъезд к кладбищу д. Малый Трилесин от а/д Н-10027 Светиловичи-Малый Кудин км 0,0-1,300</t>
  </si>
  <si>
    <t>Подъезд к кладбищу д. Секерка от а/д Н-10029 Секерка-Вольница км 0,0-0,450</t>
  </si>
  <si>
    <t>Подъезд к кладбищу д. Отверница от а/д Н-12085 Подъезд к д. Отверница от а/д Н-10030 Ланьково–Ивановка км 0,0-0,200</t>
  </si>
  <si>
    <t>Подъезд к кладбищу д. Чигири от а/д Н-10031 Кардон–Чигири км 0,0-0,060</t>
  </si>
  <si>
    <t>Подъезд к кладбищу д. Прибор от а/д Н-12088 Подъезд к оздоровительному лагерю христианской благотворительной общественной организации «Табея» от а/д Н-10032 Техтин–Малиновка–Прибор–Калиновка км 0,0-0,300</t>
  </si>
  <si>
    <t>Подъезд к кладбищу д. Красная Слобода от а/д Н-10038 Красная Слобода–Гарцев км 0,0-0,500</t>
  </si>
  <si>
    <t>Подъезд к кладбищу д. Почепок от а/д Н-10039 Малый Кудин-Почепок км 0,0-0,120</t>
  </si>
  <si>
    <t>Подъезд к кладбищу д. Ильковичи от а/д Н-10043 Искра-Ильковичи км 0,0-0,800</t>
  </si>
  <si>
    <t>Подъезд к кладбищу д. Новоселки от а/д Н-10046 Супшинка–Николаевка км 0,0-0,600</t>
  </si>
  <si>
    <t>Подъезд к кладбищу д. Барсуки от а/д Н-10050 Барсуки-Прихабы-Снытки км 0,0-1,300</t>
  </si>
  <si>
    <t>Подъезд к кладбищу д. Пряльня от а/д Н-10054 Лямница–Пряльня км 0,0-0,150</t>
  </si>
  <si>
    <t>Подъезд к кладбищу д. Пильшичи от а/д Р-120 Быхов-Белыничи км 0,0-1,200</t>
  </si>
  <si>
    <t>Подъезд к кладбищу д. Калиновка от а/д Р-120 Быхов-Белыничи км 0,0-0,500</t>
  </si>
  <si>
    <t>Подъезд к кладбищу д. Старое Село от а/д Р-26 Толочин-Круглое-Вишов км 0,0-0,800</t>
  </si>
  <si>
    <t>Подъезд к кладбищу д. Сипайлы от а/д Р-26 Толочин-Круглое-Вишов км 0,0-0,600</t>
  </si>
  <si>
    <t>Подъезд к кладбищу д. Большой Нежков от а/д Р-26 Толочин-Круглое-Вишов км 0,0-1,150</t>
  </si>
  <si>
    <t>Подъезд к кладбищу д. Бор от а/д Н-12126 Подъезд к д. Бор от а/д Р-77 Шклов–Белыничи (через Пригани 2) км 0,0-0,400</t>
  </si>
  <si>
    <t>Подъезд к кладбищу д. Новоселки от а/д Р-77 Шклов–Белыничи (через Пригани 2) км 0,0-0,300</t>
  </si>
  <si>
    <t>Подъезд к кладбищу д. Макаровка от а/д Н-10077 Глуша-Макаровка-Гороховка км 0,0-0,100</t>
  </si>
  <si>
    <t>Подъезд к кладбищу д. Савичи от а/д Н-10078 Савичи-Коймино-Ивановка км 0,0-0,600</t>
  </si>
  <si>
    <t>Подъезд к кладбищу д. Барановичи 3 от а/д Н-12156 Подъезд к д. Барановичи 3 от а/д Н-10082 Сычково–Мирадино–Барановичи 1 км 0,0-0,800</t>
  </si>
  <si>
    <t>Подъезд к кладбищу д. Сычково от а/д Н-10082 Сычково-Мирадино-Барановичи 1 км 0,0-1,000</t>
  </si>
  <si>
    <t>Подъезд к кладбищу д. Мирадино от а/д Н-10082 Сычково-Мирадино-Барановичи 1 км 0,0-0,050</t>
  </si>
  <si>
    <t>Подъезд к кладбищу д. Новосёлки от а/д Н-10084 Бояры–Барановичи 1–Забудьки км 0,0-0,700</t>
  </si>
  <si>
    <t>Подъезд к кладбищу д. Новая Шараевщина от а/д Н-10089 Думановщина-Ясный Лес-Слобода км 0,0-0,100</t>
  </si>
  <si>
    <t>Подъезд к кладбищу д. Думановщина от а/д Н-10089 Думановщина-Ясный Лес-Слобода км 0,0-1,500</t>
  </si>
  <si>
    <t>Подъезд к садоводческому товариществу «Сосновый Бор» от а/д Н-12197 Подъезд к кладбищу д. Думановщина от а/д Н-10089 Думановщина–Ясный Лес–Слобода км 0,0-0,900</t>
  </si>
  <si>
    <t>Подъезд к кладбищу д. Постраш от а/д Н-10090 Ковали-Постраш км 0,0-0,700</t>
  </si>
  <si>
    <t>Подъезд к кладбищу д. Прогресс от а/д Н-10090 Ковали-Постраш км 0,0-0,870</t>
  </si>
  <si>
    <t>Подъезд к кладбищу д. Пустошка от а/д Н-12205 Подъезд к д. Пустошка от а/д Н-10093 Малые Бортники–Малиновка км 0,0-1,000</t>
  </si>
  <si>
    <t>Подъезд к кладбищу д. Малиновка от а/д Н-12208 Подъезд к д. Мартыновка от а/д Н-10093 Малые Бортники–Малиновка км 0,0-0,150</t>
  </si>
  <si>
    <t>Подъезд к кладбищу д. Микуличи от а/д Н-10097 Михалево 1-Узнога–Новики–Микуличи–Прогресс км 0,0-0,400</t>
  </si>
  <si>
    <t>Подъезд к кладбищу д. Новики от а/д Н-10097 Михалево 1-Узнога–Новики–Микуличи–Прогресс км 0,0-0,500</t>
  </si>
  <si>
    <t>Подъезд к кладбищу д. Крупичи от а/д Н-10101 Ивановка-Лейчицы км 0,0-0,200</t>
  </si>
  <si>
    <t>Подъезд к кладбищу д. Лейчицы от а/д Н-10101 Ивановка-Лейчицы км 0,0-0,400</t>
  </si>
  <si>
    <t>Подъезд к кладбищу д. Красная Дуброва от а/д Н-10102 Красная Дуброва-Коймино-Ивановка км 0,0-1,000</t>
  </si>
  <si>
    <t>Подъезд к кладбищу д. Симгоровичи от а/д Н-10105 Плессы–Симгоровичи км 0,0-0,480</t>
  </si>
  <si>
    <t>Подъезд к кладбищу д. Бибковщина от а/д Н-10107 Лысая Горка-Бибковщина км 0,0-0,200</t>
  </si>
  <si>
    <t>Подъезд к кладбищу д. Углы от а/д Н-10111 Мальево-Углы-Пересово км 0,0-1,000</t>
  </si>
  <si>
    <t>Подъезд к кладбищу д. Пересово от а/д Н-10111 Мальево-Углы-Пересово км 0,0-1,100</t>
  </si>
  <si>
    <t>Подъезд к кладбищу д. Рымовцы от а/д Н-10117 Круглониво–Дворище–Рымовцы–Ляды км 0,0-0,180</t>
  </si>
  <si>
    <t>Подъезд к кладбищу д. Турковская Слобода от а/д Н-12260 Подъезд к д. Турковская Слобода от а/д Н-10452 Павловичи–Турки– Красный Берег (до границы Могилевской области) км 0,0-0,600</t>
  </si>
  <si>
    <t>Подъезд к кладбищу д. Коврин от а/д Н-10452 Павловичи–Турки– Красный Берег (до границы Могилевской области) км 0,0-1,200</t>
  </si>
  <si>
    <t>Подъезд к кладбищу № 1 д. Бирча от а/д Н-10452 Павловичи–Турки– Красный Берег (до границы Могилевской области) км 0,0-0,300</t>
  </si>
  <si>
    <t>Подъезд к кладбищу № 2 д. Бирча от а/д Н-10452 Павловичи–Турки– Красный Берег (до границы Могилевской области) км 0,0-0,800</t>
  </si>
  <si>
    <t>Подъезд к кладбищу д. Глуша от а/д Р-34 Осиповичи-Глуск-Озаричи км 0,0-0,300</t>
  </si>
  <si>
    <t>Подъезд к кладбищу д. Забудьки от а/д Р-34 Осиповичи-Глуск-Озаричи км 0,0-0,600</t>
  </si>
  <si>
    <t>Подъезд к кладбищу д. Бабино-1 от а/д Р-43 Граница Российской Федерации (Звенчатка)-Кричев-Бобруйск-Ивацевичи (до автомобильной дороги Р-2/Е 85) км 0,0-0,500</t>
  </si>
  <si>
    <t>Подъезд к кладбищу д. Борщевка от а/д Р-43 Граница Российской Федерации (Звенчатка)-Кричев-Бобруйск-Ивацевичи (до автомобильной дороги Р-2/Е 85) км 0,0-0,500</t>
  </si>
  <si>
    <t>Подъезд к кладбищу д. Маяк от а/д Р-43 Граница Российской Федерации (Звенчатка)-Кричев-Бобруйск-Ивацевичи (до автомобильной дороги Р-2/Е 85) км 0,0-0,750</t>
  </si>
  <si>
    <t>Подъезд к кладбищу д. Ясный Лес от а/д Р-93 Могилев-Бобруйск км 0,0-0,500</t>
  </si>
  <si>
    <t>Подъезд к кладбищу № 1 д. Кузьковичи от а/д Н-12346 Подъезд к д. Кузьковичи от а/д Н-10151 Воронино–Трилесино–Бовки км 0,0-1,500</t>
  </si>
  <si>
    <t>Подъезд к кладбищу № 2 д. Кузьковичи от а/д Н-12346 Подъезд к д. Кузьковичи от а/д Н-10151 Воронино–Трилесино–Бовки км 0,0-1,000</t>
  </si>
  <si>
    <t>Подъезд к кладбищу д. Воронино от а/д Н-10151 Воронино–Трилесино–Бовки км 0,0-0,200</t>
  </si>
  <si>
    <t>Подъезд к кладбищу д. Трилесино от а/д Н-10151 Воронино-Трилесино-Бовки км 0,0-0,300</t>
  </si>
  <si>
    <t>Подъезд к кладбищу д. Бовки от а/д Н-10151 Воронино-Трилесино-Бовки км 0,0-0,100</t>
  </si>
  <si>
    <t>Подъезд к кладбищу д. Великий Лес от а/д Н-12355 Подъезд к д. Великий Лес от а/д Н-10152 Таймоново–Красный Берег–Верхняя Тощица км 0,0-0,740</t>
  </si>
  <si>
    <t>Подъезд к кладбищу д. Красный Берег от а/д Н-10152 Таймоново–Красный Берег–Верхняя Тощица км 0,0-0,100</t>
  </si>
  <si>
    <t>Подъезд к кладбищу д. Искань от а/д Н-10154 Обидовичи-Искань-Поляниновичи км 0,0-0,150</t>
  </si>
  <si>
    <t>Подъезд к кладбищу №2 д. Ямное от а/д Н-10157 Быхов-Хомичи-Нижняя Тощица км 0,0-0,200</t>
  </si>
  <si>
    <t>Подъезд к кладбищу д. Верхняя Тощица от а/д Н-10157 Быхов–Хомичи–Нижняя Тощица км 0,0-0,960</t>
  </si>
  <si>
    <t>Подъезд к кладбищу д. Красная Беларусь от а/д Н-12378 Подъезд к д. Красная Беларусь от а/д Н-10157 Быхов–Хомичи–Нижняя Тощица км 0,0-0,600</t>
  </si>
  <si>
    <t>Подъезд к кладбищу д. Старая Боярщина от а/д Н-12378 Подъезд к д. Красная Беларусь от а/д Н-10157 Быхов–Хомичи–Нижняя Тощица км 0,0-0,300</t>
  </si>
  <si>
    <t>Подъезд к кладбищу д. Романяцкая Гута от а/д Н-12381 Подъезд к д. Романяцкая Гута от а/д Н-12378 Подъезд к д. Красная Беларусь от а/д Н-10157 Быхов–Хомичи–Нижняя Тощица км 0,0-0,480</t>
  </si>
  <si>
    <t>Подъезд к кладбищу упраздненной д. Езва от а/д Н-12390 Подъезд к упраздненной д. Езва от а/д Н-10157 Быхов–Хомичи–Нижняя Тощица км 0,0-0,350</t>
  </si>
  <si>
    <t>Подъезд к кладбищу д. Дунаек от а/д Н-10157 Быхов-Хомичи-Нижняя Тощица км 0,0-0,800</t>
  </si>
  <si>
    <t>Подъезд к кладбищу № 1 д. Тощица от а/д Н-10157 Быхов–Хомичи–Нижняя Тощица км 0,0-0,250</t>
  </si>
  <si>
    <t>Подъезд к кладбищу № 2 д. Тощица от а/д Н-12393 Подъезд к кладбищу № 1 д. Тощица от а/д Н-10157 Быхов–Хомичи–Нижняя Тощица км 0,0-0,850</t>
  </si>
  <si>
    <t>Подъезд к кладбищу д. Вьюн от а/д Н-10157 Быхов-Хомичи-Нижняя Тощица км 0,0-0,200</t>
  </si>
  <si>
    <t>Подъезд к кладбищу д. Дедово от а/д Н-10157 Быхов-Хомичи-Нижняя Тощица км 0,0-1,000</t>
  </si>
  <si>
    <t>Подъезд к кладбищу д. Красница-1 от а/д Н-10158 Кузьковичи–Красница-1 км 0,0-0,100</t>
  </si>
  <si>
    <t>Подъезд к кладбищу д. Лисичник от а/д Н-10159 Рыжковка-Давыдовичи-Лисичник-Красный Осовец км 0,0-1,000</t>
  </si>
  <si>
    <t>Подъезд к кладбищу д. Красный Осовец от а/д Н-10159 Рыжковка-Давыдовичи-Лисичник-Красный Осовец км 0,0-1,000</t>
  </si>
  <si>
    <t>Подъезд к кладбищу д. Золотва от а/д Н-12401 Подъезд к д. Золотва от а/д Н-10160 Городец–Студенка–Глухи–Ямище км 0,0-1,780</t>
  </si>
  <si>
    <t>Подъезд к кладбищу д. Гальковка от а/д Н-12401 Подъезд к д. Золотва от а/д Н-10160 Городец–Студенка–Глухи–Ямище км 0,0-0,080</t>
  </si>
  <si>
    <t>Подъезд к кладбищу д. Забродье от а/д Н-12404 Подъезд к д. Забродье от а/д Н-10160 Городец–Студенка–Глухи–Ямище км 0,0-0,700</t>
  </si>
  <si>
    <t>Подъезд к кладбищу д. Звонцовка от а/д Н-10160 Городец-Студенка-Глухи-Ямище км 0,0-1,400</t>
  </si>
  <si>
    <t>Подъезд к кладбищу д. Усохи от а/д Н-10163 Никоновичи-Усохи км 0,0-1,000</t>
  </si>
  <si>
    <t>Подъезд к кладбищу д. Пенюги от а/д Н-10164 Холстово-Сущев-Подкленье-Пенюги км 0,0-0,600</t>
  </si>
  <si>
    <t>Подъезд к кладбищу д. Подкленье от а/д Н-10164 Холстово-Сущев-Подкленье-Пенюги км 0,0-0,420</t>
  </si>
  <si>
    <t>Подъезд к кладбищу д. Сущев от а/д Н-10164 Холстово-Сущев-Подкленье-Пенюги км 0,0-0,100</t>
  </si>
  <si>
    <t>Подъезд к кладбищу д. Залохвенье от а/д Н-10165 Залохвенье-Ходутичи-Косичи-Липовка-Боровка км 0,0-0,850</t>
  </si>
  <si>
    <t>Подъезд к кладбищу д. Липовка от а/д Н-10165 Залохвенье-Ходутичи-Косичи-Липовка-Боровка км 0,0-0,050</t>
  </si>
  <si>
    <t>Подъезд к кладбищу д. Сорочино от а/д Н-10165 Залохвенье-Ходутичи-Косичи-Липовка-Боровка км 0,0-0,120</t>
  </si>
  <si>
    <t>Подъезд к кладбищу д. Косичи от а/д Н-10165 Залохвенье-Ходутичи-Косичи-Липовка-Боровка км 0,0-0,070</t>
  </si>
  <si>
    <t>Подъезд к кладбищу д. Новый Свет от а/д Н-10167 Красная Слобода-Липовка-Хачинка км 0,0-0,230</t>
  </si>
  <si>
    <t>Подъезд к кладбищу д. Быново от а/д Н-10168 Грудиновка-Быново км 0,0-1,100</t>
  </si>
  <si>
    <t>Подъезд к кладбищу д. Ректа от а/д Н-10170 Липовка-Ректа км 0,0-0,650</t>
  </si>
  <si>
    <t>Подъезд к кладбищу д. Твердово от а/д Н-10171 Кучин-Краснополье-Твердово км 0,0-0,530</t>
  </si>
  <si>
    <t>Подъезд к кладбищу д. Истопки от а/д Н-10172 Красный Берег-Истопки км 0,0-0,300</t>
  </si>
  <si>
    <t>Подъезд к кладбищу упраздненной д. Чернолесье от а/д Н-10172 Красный Берег–Истопки км 0,0-3,600</t>
  </si>
  <si>
    <t>Подъезд к кладбищу д. Погорки от а/д Н-10177 Пролетарий–Поляниновичи км 0,0-1,350</t>
  </si>
  <si>
    <t>Подъезд к кладбищу д. Осовщина от а/д Н-12436 Подъезд к д. Осовщина от а/д Н-10178 Неряж–Савичев Рог км 0,0-0,120</t>
  </si>
  <si>
    <t>Подъезд к кладбищу д. Слобода от а/д Н-10178 Неряж–Савичев Рог  км 0,0-1,800</t>
  </si>
  <si>
    <t>Подъезд к кладбищу д. Радьков от а/д Н-10184 Красная Слобода-Радьков-Радькова Слобода-Липовка км 0,0-1,500</t>
  </si>
  <si>
    <t>Подъезд к кладбищу д. Черногрязь от а/д Н-10187  Болонов Селец-Козел-Черногрязь км 0,0-0,180</t>
  </si>
  <si>
    <t>Подъезд к кладбищу д. Болоновка от а/д Н-10188 Болоновка-Галеевка-Короткие км 0,0-0,040</t>
  </si>
  <si>
    <t>Подъезд к кладбищу д. Короткие от а/д Н-10188 Болоновка-Галеевка-Короткие км 0,0-0,770</t>
  </si>
  <si>
    <t>Подъезд к кладбищу № 2 д. Чечевичи от а/д Н-10189 Чечевичи–турбаза «Радуга»–Грудичино км 0,0-0,180</t>
  </si>
  <si>
    <t>Подъезд к кладбищу д. Коровчено от а/д Н-10190 Чечевичи–Коровчено– Барсуки (нежилая) км 0,0-0,050</t>
  </si>
  <si>
    <t>Подъезд к кладбищу д. Барсуки от а/д Н-10196 Дунаек-Барсуки км 0,0-0,320</t>
  </si>
  <si>
    <t>Подъезд к кладбищу д. Новая Трасна от а/д Н-10200 Никоновичи-Новая Трасна км 0,0-0,500</t>
  </si>
  <si>
    <t>Подъезд к кладбищу д. Селиба от а/д Н-10201 Бросовинка-Селиба км 0,0-0,400</t>
  </si>
  <si>
    <t>Подъезд к кладбищу д. Новая Боярщина 1 от а/д Н-10202 Подлесье– Новая Боярщина 1–Новая Бояpщина 2 км 0,0-0,900</t>
  </si>
  <si>
    <t>Подъезд к кладбищу д. Прибережье от а/д Н-12462 Подъезд к д. Прибережье от а/д Н-10976 Могилев–Махово–Грудиновка–Годылево км 0,0-0,270</t>
  </si>
  <si>
    <t>Подъезд к кладбищу д. Перекладовичи от а/д Н-10976 Могилев-Махово-Грудиновка-Годылево км 0,0-0,150</t>
  </si>
  <si>
    <t>Подъезд к кладбищу д. Рыжковка от а/д Н-10976 Могилев-Махово-Грудиновка-Годылево км 0,0-0,500</t>
  </si>
  <si>
    <t>Подъезд к кладбищу д. Годылево от а/д Н-10976 Могилев–Махово–Грудиновка–Годылево км 0,0-1,000</t>
  </si>
  <si>
    <t>Подъезд к кладбищу д. Подгорье от а/д Н-12477 Подъезд к д. Подгорье от а/д Р-119 Славгород–Никоновичи (до автомобильной дороги М-8/Е 95) км 0,0-0,500</t>
  </si>
  <si>
    <t>Подъезд к кладбищу упраздненной д. Малые Борки от а/д Р-119 Славгород–Никоновичи (до автомобильной дороги М-8/Е 95) км 0,0-0,490</t>
  </si>
  <si>
    <t>Подъезд к кладбищу №2 д. Никоновичи от а/д Р-119 Славгород-Никоновичи (до автомобильной дороги М-8/Е 95) км 0,0-0,370</t>
  </si>
  <si>
    <t>Подъезд к кладбищу д. Людков от а/д Н-12485 Подъезд к д. Людков от а/д Р-120 Быхов–Белыничи км 0,0-0,400</t>
  </si>
  <si>
    <t>Подъезд к кладбищу д. Холстово от а/д Р-120 Быхов-Белыничи км 0,0-0,120</t>
  </si>
  <si>
    <t>Подъезд к кладбищу д. Глухская Селиба от а/д Р-120 Быхов–Белыничи км 0,0-0,270</t>
  </si>
  <si>
    <t>Подъезд к кладбищу д. Стаховщина от а/д Н-12495 Подъезд к д. Стаховщина от а/д Р-93 Могилев–Бобруйск км 0,0-0,340</t>
  </si>
  <si>
    <t>Подъезд к кладбищу №1 д. Таймоново от а/д Р-97 Могилев-Быхов-Рогачев км 0,0-0,150</t>
  </si>
  <si>
    <t>Подъезд к кладбищу №2 д. Таймоново от а/д Р-97 Могилев-Быхов-Рогачев км 0,0-0,200</t>
  </si>
  <si>
    <t>Подъезд к кладбищу д. Нижняя Тощица от а/д Р-97 Могилев–Быхов–Рогачев км 0,0-0,500</t>
  </si>
  <si>
    <t xml:space="preserve">Подъезд к кладбищу д. Юзефово от а/д Н-10229 Карповичи-Маковичи-Боровище км 0,0-0,700 </t>
  </si>
  <si>
    <t>Подъезд к кладбищу д. Слободка от а/д Н-10233 Катка-Слободка км 0,0-0,600</t>
  </si>
  <si>
    <t>Подъезд в улицу д. Городок от а/д Н-10234 Заволочицы-Дворец-Городок км 0,0-0,792</t>
  </si>
  <si>
    <t>Подъезд к кладбищу д. Заполье от а/д Н-12560 Подъезд № 2 к д. Заполье от а/д Н-12559 Подъезд к д. Заполье от а/д Н-10234 Заволочицы–Дворец–Городок км 0,0-0,150</t>
  </si>
  <si>
    <t>Подъезд к кладбищу д. Бобровичи от а/д Н-10235 Катка-Бобровичи км 0,0-0,400</t>
  </si>
  <si>
    <t xml:space="preserve">Подъезд к кладбищу д. Поблин от а/д Н-10237 Жуковичи-Поблин км 0,0-0,200 </t>
  </si>
  <si>
    <t>Подъезд к кладбищу д. Замосточье от а/д Н-10241 Замосточье–Птичь–Холопеничи–Катка км 0,0-0,300</t>
  </si>
  <si>
    <t>Подъезд к кладбищу д. Клещевка от а/д Н-10242 Старое Село-Клещевка км 0,0-1,900</t>
  </si>
  <si>
    <t xml:space="preserve">Подъезд к кладбищу д. Малково от а/д Н-10250 Стяг-Малково км 0,0-0,200 </t>
  </si>
  <si>
    <t>Подъезд к кладбищу д. Вьюнище от а/д Н-10251 Устерхи-Крюковщина-Вьюнище км 0,0-0,300</t>
  </si>
  <si>
    <t>Подъезд к кладбищу д. Городище от а/д Н-12584 Подъезд к д. Городище (Заволочицкий сельсовет) от а/д Р-34 Осиповичи–Глуск–Озаричи км 0,0-0,300</t>
  </si>
  <si>
    <t>Подъезд к кладбищу д. Заполье от а/д Н-12588 Подъезд к д. Заполье от а/д Р-34 Осиповичи–Глуск–Озаричи км 0,0-0,110</t>
  </si>
  <si>
    <t>Подъезд к кладбищу д. Бережки от а/д Р-34 Осиповичи-Глуск-Озаричи км 0,0-0,300</t>
  </si>
  <si>
    <t>Подъезд к кладбищу д. Городок от а/д Р-34 Осиповичи-Глуск-Озаричи км 0,0-0,300</t>
  </si>
  <si>
    <t xml:space="preserve">Подъезд к кладбищу д. Кныши от а/д Н-12593 Подъезд к д. Кныши от а/д Р-34 Осиповичи–Глуск–Озаричи км 0,0-0,450 </t>
  </si>
  <si>
    <t>Подъезд к кладбищу д. Полишино от а/д Н-12619 Подъезд к д. Полишино от а/д Н-10301 Горки–Каменка–Ленино км 0,0-0,080</t>
  </si>
  <si>
    <t>Подъезд к кладбищу д. Староселье от а/д Н-10301 Горки-Каменка-Ленино км 0,0-0,100</t>
  </si>
  <si>
    <t>Подъезд к кладбищу д. Котелево от а/д Н-10301 Горки-Каменка-Ленино км 0,0-0,300</t>
  </si>
  <si>
    <t>Подъезд к кладбищу д. Большое Морозово от а/д Н-10301 Горки–Каменка–Ленино км 0,0-0,800</t>
  </si>
  <si>
    <t>Подъезд к кладбищу д. Зайцево от а/д Н-10302 Макаровка-Красулино-Черничный км 0,0-0,200</t>
  </si>
  <si>
    <t>Подъезд к кладбищу д. Широкие от а/д Н-10302 Макаровка-Красулино-Черничный км 0,0-0,250</t>
  </si>
  <si>
    <t>Подъезд к кладбищу д. Макаровка от а/д Н-10302 Макаровка-Красулино-Черничный км 0,0-0,350</t>
  </si>
  <si>
    <t>Подъезд к кладбищу д. Ходоровка от а/д Н-12633 Подъезд к д. Ходоровка от а/д Н-10303 Овсянка–Поленка–Маслаки км 0,0-0,150</t>
  </si>
  <si>
    <t>Подъезд к кладбищу д. Кривцы от а/д Н-10303 Овсянка-Поленка-Маслаки км 0,0-0,940</t>
  </si>
  <si>
    <t>Подъезд к кладбищу д. Варьково от а/д Н-10304 Рудковщина-Маслаки-Аниковичи км 0,0-0,150</t>
  </si>
  <si>
    <t>Подъезд к кладбищу д. Михайловичи от а/д Н-10304 Рудковщина-Маслаки-Аниковичи км 0,0-0,200</t>
  </si>
  <si>
    <t>Подъезд к кладбищу д. Шепелевка от а/д Н-10304 Рудковщина-Маслаки-Аниковичи км 0,0-0,800</t>
  </si>
  <si>
    <t>Подъезд к кладбищу д. Ермоловка от а/д Н-10304 Рудковщина-Маслаки-Аниковичи км 0,0-0,150</t>
  </si>
  <si>
    <t>Подъезд к кладбищу д. Ферма от а/д Н-12647 Подъезд к д. Ферма от а/д Н-10304 Рудковщина–Маслаки–Аниковичи км 0,0-0,150</t>
  </si>
  <si>
    <t>Подъезд к кладбищу д. Соколово от а/д Н-12653 Подъезд к д. Соколово от а/д Н-10306 Запрудье–Шавнево км 0,0-0,600</t>
  </si>
  <si>
    <t>Подъезд к кладбищу № 1 д. Мошково от а/д Н-12665 Подъезд к кладбищу № 2 д. Мошково от а/д Н-10310 Добрая–Мошково км 0,0-0,200</t>
  </si>
  <si>
    <t>Подъезд к кладбищу № 2 д. Мошково от а/д Н-10310 Добрая-Мошково км 0,0-0,300</t>
  </si>
  <si>
    <t>Подъезд к кладбищу д. Волынцево от а/д Н-10311 Горы-Волынцево-Быстрая км 0,0-1,400</t>
  </si>
  <si>
    <t>Подъезд к кладбищу д. Андеколово от а/д Н-10312 Андеколово-Луки-Староселье км 0,0-0,200</t>
  </si>
  <si>
    <t>Подъезд к кладбищу д. Городец от а/д Н-12676 Подъезд к д. Городец от а/д Н-10313 Ходоровка–Чистики–Старина км 0,0-0,300</t>
  </si>
  <si>
    <t>Подъезд к кладбищу д. Ольховка от а/д Н-10314 Стрикили-Клин-Ольховка км 0,0-0,700</t>
  </si>
  <si>
    <t>Подъезд к кладбищу д. Стрикили от а/д Н-10314 Стрикили-Клин-Ольховка км 0,0-0,800</t>
  </si>
  <si>
    <t>Подъезд к кладбищу д. Ходоровичи от а/д Н-10316 Чурилово-Студенец-Ходоровичи км 0,0-0,100</t>
  </si>
  <si>
    <t>Подъезд к кладбищу д. Чурилово от а/д Н-10316 Чурилово-Студенец-Ходоровичи км 0,0-0,150</t>
  </si>
  <si>
    <t>Подъезд к кладбищу д. Юрково от а/д Н-10320 Красулино-Юрково-Поташи км 0,0-0,640</t>
  </si>
  <si>
    <t>Подъезд к кладбищу д. Поташи от а/д Н-10320 Красулино-Юрково-Поташи км 0,0-0,450</t>
  </si>
  <si>
    <t>Подъезд к кладбищу д. Ермаки от а/д Н-12696 Подъезд к д. Ермаки от а/д Н-12695 Подъезд к д. Голышено от а/д Н-10321 Панкратовка–Добрая км 0,0-0,600</t>
  </si>
  <si>
    <t>Подъезд к кладбищу д. Орлы от а/д Н-10322 Задорожье–Филиппово–Красулино км 0,0-0,700</t>
  </si>
  <si>
    <t>Подъезд к кладбищу д. Суровцево от а/д Н-10324 Суровцево-Волковщина-Андрюхи км 0,0-0,200</t>
  </si>
  <si>
    <t>Подъезд к кладбищу д. Андрюхи от а/д Н-10324 Суровцево-Волковщина-Андрюхи км 0,0-0,720</t>
  </si>
  <si>
    <t>Подъезд к кладбищу д. Стан от а/д Н-10327 Стан-Комаровичи-Осиновка км 0,0-0,050</t>
  </si>
  <si>
    <t>Подъезд к кладбищу д. Попковка от а/д Н-10328 Ректа-Шиворовка-Сеньково км 0,0-0,300</t>
  </si>
  <si>
    <t>Подъезд к кладбищу д. Глиньково от а/д Н-10329 Ректа-Шишево-Нежково км 0,0-0,200</t>
  </si>
  <si>
    <t>Подъезд к кладбищу № 1 д. Оршани от а/д Н-10330 Каменка-Оршани-Ольховец км 0,0-2,100</t>
  </si>
  <si>
    <t>Подъезд к кладбищу № 2 д. Оршани от а/д Н-12712 Подъезд к кладбищу № 1 д. Оршани от а/д Н-10330 Каменка–Оршани–Ольховец км 0,0-0,100</t>
  </si>
  <si>
    <t>Подъезд к кладбищу д. Ольховец от а/д Н-10330 Каменка-Оршани-Ольховец км 0,0-0,500</t>
  </si>
  <si>
    <t>Подъезд к кладбищу д. Логовино от а/д Н-10331 Староселье-Сафоново км 0,0-0,100</t>
  </si>
  <si>
    <t>Подъезд к кладбищу д. Сафоново от а/д Н-10331 Староселье-Сафоново км 0,0-0,250</t>
  </si>
  <si>
    <t>Подъезд к кладбищу д. Кустовка от а/д Н-10335 Хоминичи-Кустовка км 0,0-1,100</t>
  </si>
  <si>
    <t>Подъезд к кладбищу д. Ботвиньево от а/д Н-10336 Старина-Ботвиньево км 0,0-0,080</t>
  </si>
  <si>
    <t>Подъезд к кладбищу д. Победная от а/д Н-10337 Ленино–Победная– Костюшково км 0,0-0,900</t>
  </si>
  <si>
    <t>Подъезд к кладбищу д. Холмы от а/д Н-10339 Сеньково-Холмы км 0,0-1,300</t>
  </si>
  <si>
    <t>Подъезд к кладбищу д. Малые Аниковичи от а/д Н-10340 Малые Аниковичи–Зимник–Тудоровка км 0,0-1,400</t>
  </si>
  <si>
    <t>Подъезд к кладбищу д. Тудоровка от а/д Н-10340 Аниковичи-Зимник-Тудоровка км 0,0-0,630</t>
  </si>
  <si>
    <t>Подъезд к кладбищу д. Чеплеевка от а/д Н-10342 Коптевка-Чеплеевка км 0,0-0,150</t>
  </si>
  <si>
    <t>Подъезд к кладбищу д. Голенки от а/д Н-10343 Коптевка– Голенки–Ярцевка км 0,0-0,100</t>
  </si>
  <si>
    <t>Подъезд к кладбищу д. Сысоево от а/д Н-10344 Ленино-Сысоево км 0,0-0,200</t>
  </si>
  <si>
    <t>Подъезд к кладбищу д. Панкратовка от а/д Н-10346 Панкратовка-Комаровичи км 0,0-0,200</t>
  </si>
  <si>
    <t>Подъезд к кладбищу д. Лихачево от а/д Н-10349 Гривец-Лихачево км 0,0-0,150</t>
  </si>
  <si>
    <t>Подъезд к кладбищу д. Квартяны от а/д Н-10352 Буды-Квартяны км 0,0-0,800</t>
  </si>
  <si>
    <t>Подъезд к кладбищу д. Сорокопуды от а/д Н-10356 Сорокопуды–Гущено км 0,0-0,300</t>
  </si>
  <si>
    <t>Подъезд к кладбищу д. Гущено от а/д Н-10356 Сорокопуды–Гущено км 0,0-1,500</t>
  </si>
  <si>
    <t>Подъезд к кладбищу д. Никулино от а/д Н-10360 Турищево-Никулино км 0,0-0,050</t>
  </si>
  <si>
    <t>Подъезд к кладбищу д. Турищево от а/д Н-10360 Турищево-Никулино км 0,0-0,450</t>
  </si>
  <si>
    <t>Подъезд к кладбищу д. Сальники от а/д Н-10362 Шеды-Осиповичи-Сальники км 0,0-0,300</t>
  </si>
  <si>
    <t>Подъезд к кладбищу д. Шеды от а/д Н-10362 Шеды-Осиповичи-Сальники км 0,0-0,100</t>
  </si>
  <si>
    <t>Подъезд к кладбищу д. Зимник от а/д Н-10368 Зимник-Трасное км 0,0-0,100</t>
  </si>
  <si>
    <t>Подъезд к кладбищу д. Сеньково от а/д Р-15 Кричев-Орша-Лепель км 0,0-0,100</t>
  </si>
  <si>
    <t>Подъезд к кладбищу д. Воловцы от а/д Р-15 Кричев-Орша-Лепель км 0,0-0,600</t>
  </si>
  <si>
    <t>Подъезд к кладбищу д. Буды от а/д Н-12766 Подъезд к д. Буды от а/д Р-15 Кричев–Орша–Лепель км 0,0-0,100</t>
  </si>
  <si>
    <t>Подъезд к кладбищу д. Харьковка от а/д Н-12768 Подъезд к д. Харьковка от а/д Р-15 Кричев–Орша–Лепель км 0,0-0,900</t>
  </si>
  <si>
    <t>Подъезд к кладбищу д. Никодимово от а/д Н-12772 Подъезд к д. Никодимово от а/д Р-15 Кричев–Орша–Лепель км 0,0-0,050</t>
  </si>
  <si>
    <t>Подъезд к кладбищу д. Лебедево от а/д Р-15 Кричев-Орша-Лепель км 0,0-0,200</t>
  </si>
  <si>
    <t>Подъездная дорога к гражданскому кладбищу д. Ульяшино от а/д Р-15 Кричев-Орша-Лепель км 0,0-0,655</t>
  </si>
  <si>
    <t>Подъезд к кладбищу д. Душки от а/д Н-12782 Подъезд к д. Душки от а/д Р-70 Княжицы–Горки–Ленино–граница Российской Федерации (Дружная) км 0,0-0,300</t>
  </si>
  <si>
    <t>Подъезд к кладбищу д. Болбечино от а/д Н-12786 Подъезд к д. Болбечино от а/д Р-70 Княжицы–Горки–Ленино–граница Российской Федерации (Дружная) км 0,0-0,250</t>
  </si>
  <si>
    <t>Подъезд к кладбищу д. Гощ-Чарный от а/д Н-12790 Подъезд к д. Гощ-Чарный от а/д Р-70 Княжицы–Горки–Ленино–граница Российской Федерации (Дружная) км 0,0-0,050</t>
  </si>
  <si>
    <t>Подъезд к кладбищу д. Задорожье от а/д Р-70 Княжицы-Горки-Ленино-граница Российской Федерации (Дружная) км 0,0-0,200</t>
  </si>
  <si>
    <t>Подъезд к кладбищу д. Шелохановка от а/д Р-70 Княжицы-Горки-Ленино-граница Российской Федерации (Дружная) км 0,0-1,530</t>
  </si>
  <si>
    <t>Подъезд к кладбищу д. Старина от а/д Р-70 Княжицы-Горки-Ленино-граница Российской Федерации (Дружная) км 0,0-0,850</t>
  </si>
  <si>
    <t>Подъезд к кладбищу д. Дружная от а/д Р-70 Княжицы-Горки-Ленино-граница Российской Федерации (Дружная) км 0,0-0,500</t>
  </si>
  <si>
    <t>Подъезд к кладбищу д. Чашники от а/д Р-70 Княжицы–Горки–Ленино–граница Российской Федерации (Дружная) км 0,0-0,800</t>
  </si>
  <si>
    <t>Подъезд к кладбищу д. Абраимовка от а/д Н-12813 Подъезд к д. Абраимовка от а/д Н-10377 Кледневичи–Прибужье Старое км 0,0-0,260</t>
  </si>
  <si>
    <t>Подъезд к кладбищу д. Крюковщина от а/д Н-12816 Подъезд к д. Крюковщина от а/д Н-10377 Кледневичи–Прибужье Старое км 0,0-1,000</t>
  </si>
  <si>
    <t>Подъезд к кладбищу д. Городецк от а/д Н-10377 Кледневичи–Прибужье Старое км 0,0-0,500</t>
  </si>
  <si>
    <t>Подъезд к кладбищу д. Прибужье Старое от а/д Н-10377 Кледневичи–Прибужье Старое км 0,0-0,300</t>
  </si>
  <si>
    <t>Подъезд к кладбищу д. Ярыги от а/д Н-10377 Кледневичи–Прибужье Старое км 0,0-0,500</t>
  </si>
  <si>
    <t>Подъезд к кладбищу д. Старокожевка от а/д Н-10377 Кледневичи–Прибужье Старое км 0,0-0,400</t>
  </si>
  <si>
    <t>Подъезд к кладбищу д. Прибужье Новое от а/д Н-10377 Кледневичи–Прибужье Старое км 0,0-0,300</t>
  </si>
  <si>
    <t>Подъезд к кладбищу д. Хасевка от а/д Н-12837 Подъезд к д. Хасевка от а/д Н-10379 Белая–Коровчино–Жаковка км 0,0-0,300</t>
  </si>
  <si>
    <t>Подъезд к кладбищу д. Жаковка от а/д Н-10379 Белая-Коровчино-Жаковка км 0,0-0,450</t>
  </si>
  <si>
    <t>Подъезд к кладбищу д. Шатнево от а/д Н-10379 Белая-Коровчино-Жаковка км 0,0-0,150</t>
  </si>
  <si>
    <t>Подъезд к кладбищу д. Белая от а/д Н-10380 Черневка-Белая-Рябки км 0,0-0,400</t>
  </si>
  <si>
    <t>Подъезд к кладбищу д. Ждановичи от а/д Н-10382 Яськовщина–Миловье км 0,0-0,400</t>
  </si>
  <si>
    <t>Подъезд к кладбищу д. Миловье от а/д Н-10382 Яськовщина–Миловье км 0,0-0,600</t>
  </si>
  <si>
    <t>Подъезд к кладбищу д. Лесковка от а/д Н-12854 Подъезд к д. Лесковка от а/д Н-10383 Лесковка–Каребы–Затоны км 0,0-0,100</t>
  </si>
  <si>
    <t>Подъезд к кладбищу д. Панеча от а/д Н-12856 Подъезд к д. Панеча от а/д Н-10383 Лесковка–Каребы–Затоны км 0,0-0,400</t>
  </si>
  <si>
    <t>Подъезд к кладбищу д. Каребы от а/д Н-10383 Лесковка-Каребы-Затоны км 0,0-0,400</t>
  </si>
  <si>
    <t>Подъезд к кладбищу д. Заполье от а/д Н-10384 Темный Лес-Рясно км 0,0-0,800</t>
  </si>
  <si>
    <t>Подъезд к кладбищу д. Заходы от а/д Н-10387 Заходы-Кричеватка км 0,0-0,300</t>
  </si>
  <si>
    <t>Подъезд к кладбищу д. Первомайск от а/д Н-10392 Трилесино–Первомайск км 0,0-0,350</t>
  </si>
  <si>
    <t>Подъезд к кладбищу д. Покутье от а/д Н-10393 Покутье–Поташня км 0,0-0,100</t>
  </si>
  <si>
    <t>Подъезд к кладбищу д. Каратышки от а/д Н-10396 Каратышки–Ленинский км 0,0-0,300</t>
  </si>
  <si>
    <t>Подъезд к кладбищу д. Алюты от а/д Н-10399 Черневка–Алюты–Новые Ждановичи км 0,0-1,330</t>
  </si>
  <si>
    <t>Подъезд к кладбищу д. Немерка от а/д Р-96/П 2 Подъезд к г.п. Дрибин от автомобильной дороги Р-96 км 0,0-0,700</t>
  </si>
  <si>
    <t>Подъезд к кладбищу д. Лукоть от а/д Р-96 Могилев-Рясно-Мстиславль км 0,0-0,050</t>
  </si>
  <si>
    <t>Подъезд к кладбищу д. Шестеровка от а/д Н-10527 Шестеровка-Макеевичи-граница Российской Федерации км 0,0-1,600</t>
  </si>
  <si>
    <t>Подъезд к кладбищу упраздненной д. Тимошки от а/д Н-10527 Шестеровка–Макеевичи–граница Российской Федерации км 0,0-0,145</t>
  </si>
  <si>
    <t>Подъезд к кладбищу д. Титовка от а/д Н-10528 Остров-Склимин км 0,0-0,700</t>
  </si>
  <si>
    <t>Подъезд к кладбищу № 1 д. Селище от а/д Н-13020 Подъезд к д. Селище от а/д Н-10529 Климовичи–Селище–Ерошовка–Коноховка км 0,0-0,357</t>
  </si>
  <si>
    <t>Подъезд к кладбищу № 2 д. Селище от а/д Н-10529 Климовичи–Селище–Ерошовка–Коноховка км 0,0-0,460</t>
  </si>
  <si>
    <t xml:space="preserve">Подъезд к кладбищу д. Буховка от а/д Н-10529 Климовичи-Селище-Ерошовка-Коноховка км 0,0-0,707 </t>
  </si>
  <si>
    <t>Подъезд к кладбищу д. Иванова Слобода от а/д Н-10531 Василевка–Милославичи км 0,0-1,300</t>
  </si>
  <si>
    <t>Подъезд к кладбищу д. Клов от а/д Н-13041 Подъезд к д. Клов от а/д Н-10534 Высокая Буда–Яновка–Красавичи–Меженин–Автуховка км 0,0-0,324</t>
  </si>
  <si>
    <t>Подъезд к кладбищу д. Меженин от а/д Н-10534 Высокая Буда–Яновка–Красавичи–Меженин–Автуховка км 0,0-0,300</t>
  </si>
  <si>
    <t>Подъезд к кладбищу д. Яновка от а/д Н-10534 Высокая Буда–Яновка–Красавичи–Меженин–Автуховка км 0,0-0,137</t>
  </si>
  <si>
    <t xml:space="preserve">Подъезд к кладбищу д. Озерцы от а/д Н-13049 Подъезд к д. Озерцы от а/д Н-10537 Климовичи–Галичи–Артемовка км 0,0-0,700 </t>
  </si>
  <si>
    <t>Подъезд к кладбищу д. Остров от а/д Н-10537 Климовичи–Галичи–Артемовка км 0,0-0,500</t>
  </si>
  <si>
    <t>Подъезд к кладбищу упраздненной д. Пожарь-1 от а/д Н-10537 Климовичи–Галичи–Артемовка км 0,0-1,000</t>
  </si>
  <si>
    <t>Подъезд к кладбищу д. Федотова Буда от а/д Н-10537 Климовичи–Галичи–Артемовка км 0,0-0,700</t>
  </si>
  <si>
    <t xml:space="preserve">Подъезд к кладбищу д. Василевка от а/д Н-10537 Климовичи–Галичи–Артемовка км 0,0-0,039 </t>
  </si>
  <si>
    <t xml:space="preserve">Подъезд к кладбищу д. Селище от а/д Н-10537 Климовичи–Галичи–Артемовка км 0,0-0,101 </t>
  </si>
  <si>
    <t xml:space="preserve">Подъезд к кладбищу д. Артемовка от а/д Н-10537 Климовичи–Галичи–Артемовка км 0,0-0,0,153 </t>
  </si>
  <si>
    <t xml:space="preserve">Подъезд к кладбищу д. Недведь от а/д Н-10537 Климовичи–Галичи–Артемовка км 0,0-0,100 </t>
  </si>
  <si>
    <t>Подъезд к кладбищу д. Балешин от а/д Н-13064 Подъезд к д. Балешин от а/д Н-10538 Тимоново–Балешин–Медведовка км 0,0-0,874</t>
  </si>
  <si>
    <t xml:space="preserve">Подъезд к кладбищу д. Путимель от а/д Н-10539 Путимель-Недведь-Соболевка км 0,0-0,608 </t>
  </si>
  <si>
    <t xml:space="preserve">Подъезд к кладбищу д. Стайки от а/д Н-10539 Путимель-Недведь-Соболевка км 0,0-0,100 </t>
  </si>
  <si>
    <t>Подъезд к кладбищу д. Круглое от а/д Н-10541 Хотень-Круглое км 0,0-0,095</t>
  </si>
  <si>
    <t>Подъезд к кладбищу д. Семёновка от а/д Н-10542 Стайки–Семёновка–Кукуевка–Лубянка км 0,0-1,092</t>
  </si>
  <si>
    <t>Подъезд к кладбищу д. Кукуевка от а/д Н-10542 Стайки–Семёновка–Кукуевка–Лубянка км 0,0-0,300</t>
  </si>
  <si>
    <t>Подъезд к кладбищу д. Лубянка от а/д Н-10542 Стайки–Семёновка–Кукуевка–Лубянка км 0,0-2,316</t>
  </si>
  <si>
    <t>Подъезд к кладбищу д. Старые Жарки от а/д Н-10543 Тимоново–Плющево–Новые Жарки–Гута км 0,0-0,485</t>
  </si>
  <si>
    <t>Подъезд к кладбищу д. Гута от а/д Н-13079 Подъезд к д. Гута от а/д Н-10543 Тимоново–Плющево–Новые Жарки–Гута км 0,0-0,093</t>
  </si>
  <si>
    <t>Подъезд к кладбищу упраздненной д. Городок от а/д Н-13081 Подъезд к д. Новые Жарки от а/д Н-10543 Тимоново–Плющево–Новые Жарки–Гута км 0,0-1,717</t>
  </si>
  <si>
    <t>Подъезд к кладбищу д. Жадунька от а/д Н-10543 Тимоново–Плющево–Новые Жарки–Гута км 0,0-0,104</t>
  </si>
  <si>
    <t>Подъезд к кладбищу д. Павловичи от а/д Н-10547 Павловичи-Лозовица км 0,0-0,300</t>
  </si>
  <si>
    <t xml:space="preserve">Подъезд к кладбищу д. Соколовка от а/д Н-13092 Подъезд к д. Соколовка от а/д Н-10548 Галичи–Малышковичи–Якубовка км 0,0-0,036 </t>
  </si>
  <si>
    <t>Подъезд к кладбищу д. Галичи от а/д Н-10548 Галичи–Малышковичи–Якубовка км 0,0-0,700</t>
  </si>
  <si>
    <t xml:space="preserve">Подъезд к кладбищу д. Заходы от а/д Н-10548 Галичи–Малышковичи–Якубовка км 0,0-0,575 </t>
  </si>
  <si>
    <t>Подъезд к кладбищу д. Якубовка от а/д Н-10548 Галичи–Малышковичи–Якубовка км 0,0-0,327</t>
  </si>
  <si>
    <t>Подъезд к кладбищу д. Роськов от а/д Н-10549 Старый Дедин-Роськов-Кулешовка км 0,0-0,098</t>
  </si>
  <si>
    <t>Подъезд к кладбищу д. Кулешовка от а/д Н-10549 Старый Дедин-Роськов-Кулешовка км 0,0-0,220</t>
  </si>
  <si>
    <t>Подъезд к кладбищу д. Мыслевщина от а/д Н-10550 Судзилы-Сидоровка-Мыслевщина-Недведь км 0,0-0,200</t>
  </si>
  <si>
    <t>км 0,0-0,200 совмещен с улицей упраздненной д. Совна</t>
  </si>
  <si>
    <t xml:space="preserve">Подъезд к кладбищу д. Ильюхино от а/д Н-10555 Макеевичи-Ильюхино км 0,0-0,420 </t>
  </si>
  <si>
    <t>Подъезд к кладбищу д. Старые Прянички от а/д Н-10557 Киселева Буда-Новые Прянички-Старые Прянички   км 0,0-0,300</t>
  </si>
  <si>
    <t>Подъезд к кладбищу д. Зимницы от а/д Н-10561 Свирель-Зимницы км 0,0-0,800</t>
  </si>
  <si>
    <t>Подъезд к кладбищу №1 д. Попехинка от а/д Н-10562 Дубровица-Попехинка км 0,0-0,545</t>
  </si>
  <si>
    <t>Подъезд к кладбищу №2 д. Попехинка от а/д Н-10562 Дубровица-Попехинка км 0,0-1,037</t>
  </si>
  <si>
    <t>Подъезд к кладбищу д. Борисовка от а/д Н-10563 Борисовка-Полошково км 0,0-0,120</t>
  </si>
  <si>
    <t>Подъезд к кладбищу № 2 д. Осмоловичи от а/д Н-10564 Осмоловичи–Федотовка км 0,0-0,500</t>
  </si>
  <si>
    <t xml:space="preserve">Подъезд к кладбищу д. Суров от а/д Н-10568 Заходы-Суров-Васьковка км 0,0-0,600 </t>
  </si>
  <si>
    <t>Подъезд к кладбищу д. Васьковка от а/д Н-10568 Заходы-Суров-Васьковка км 0,0-0,126</t>
  </si>
  <si>
    <t xml:space="preserve">Подъезд к кладбищу д. Шумовка от а/д Н-10572 Лозовица-Шумовка км 0,0-0,300 </t>
  </si>
  <si>
    <t>Подъезд к кладбищу упраздненной д. Дрягилевка от а/д Н-10575 Родня–Федотовка км 0,0-1,704</t>
  </si>
  <si>
    <t>Подъезд к кладбищу упраздненной д. Богдановка от а/д Н-10575 Родня–Федотовка км 0,0-1,480</t>
  </si>
  <si>
    <t>Подъезд к кладбищу упраздненной д. Савиничи от а/д Р-122 Могилев–Чериков–Костюковичи км 0,0-0,049</t>
  </si>
  <si>
    <t>Подъезд к кладбищу упраздненной д. Горки от а/д Р-122 Могилев–Чериков–Костюковичи км 0,0-1,067</t>
  </si>
  <si>
    <t>Подъезд к кладбищу упраздненной д. Замошенье от а/д Р-122 Могилев–Чериков–Костюковичи км 0,0-5,100</t>
  </si>
  <si>
    <t>Подъезд к кладбищу д. Леонополье от а/д Р-139 Хотомск-Родня км 0,0-0,832</t>
  </si>
  <si>
    <t>Подъезд к кладбищу д. Кресовка от а/д Н-13133 Подъезд к д. Новый Дедин от а/д Р-43 Граница Российской Федерации (Звенчатка)–Кричев–Бобруйск–Ивацевичи (до автомобильной дороги Р-2/Е 85)  км 0,0-0,600</t>
  </si>
  <si>
    <t>Подъезд к кладбищу д. Новый Дедин от а/д Н-13133 Подъезд к д. Новый Дедин от а/д Р-43 Граница Российской Федерации (Звенчатка)–Кричев–Бобруйск–Ивацевичи (до автомобильной дороги Р-2/Е 85) км 0,0-0,890</t>
  </si>
  <si>
    <t>Подъезд к кладбищу д. Барсуки от а/д Р-43 Граница Российской Федерации (Звенчатка)-Кричев-Бобруйск-Ивацевичи (до автомобильной дороги Р-2/Е 85) км 0,0-0,600</t>
  </si>
  <si>
    <t>Подъезд к кладбищу д. Папоротка от а/д Р-43 Граница Российской Федерации (Звенчатка)-Кричев-Бобруйск-Ивацевичи (до автомобильной дороги Р-2/Е 85) км 0,0-1,200</t>
  </si>
  <si>
    <t>Подъезд к кладбищу д. Домамеричи от а/д Р-43 Граница Российской Федерации (Звенчатка)-Кричев-Бобруйск-Ивацевичи (до автомобильной дороги Р-2/Е 85) км 0,0-1,400</t>
  </si>
  <si>
    <t xml:space="preserve">Подъезд к кладбищу д. Селец от а/д Р-43 Граница Российской Федерации (Звенчатка)-Кричев-Бобруйск-Ивацевичи (до автомобильной дороги Р-2/Е 85) км 0,0-0,262 </t>
  </si>
  <si>
    <t>Подъезд к кладбищу д. Холдеевка от а/д Н-13145 Подъезд к д. Холдеевка от а/д Р-75 Климовичи (от автомобильной дороги Р-43)–Костюковичи–граница Российской Федерации (Смольки) км 0,0-0,446</t>
  </si>
  <si>
    <t>Подъезд к кладбищу № 1 д. Осмоловичи от а/д Н-13149 Подъезд к д. Осмоловичи от а/д Р-75 Климовичи (от автомобильной дороги Р-43)–Костюковичи–граница Российской Федерации (Смольки) км 0,0-0,400</t>
  </si>
  <si>
    <t>Подъезд к кладбищу №1 д. Уздевичи от а/д Р-75 Климовичи (от автомобильной дороги Р-43)-Костюковичи-граница Российской Федерации (Смольки) км 0,0-1,000</t>
  </si>
  <si>
    <t>Подъезд к кладбищу упраздненной д. Зарой от а/д Р-75 Климовичи (от автомобильной дороги Р-43)–Костюковичи–граница Российской Федерации (Смольки) км 0,0-0,600</t>
  </si>
  <si>
    <t>Подъезд к кладбищу упраздненной д. Поля от а/д Р-75 Климовичи (от автомобильной дороги Р-43)–Костюковичи–граница Российской Федерации (Смольки) км 0,0-1,400</t>
  </si>
  <si>
    <t>Подъезд к кладбищу д. Хотень от а/д Р-75/П 1 Подъезд к г. Климовичи № 1 от автомобильной дороги Р-75 км 0,0-0,033</t>
  </si>
  <si>
    <t>Подъезд к кладбищу д. Левковичи от а/д Н-12933 Подъезд к д. Пархимковичи от а/д Н-10451 Кировск–Жиличи–граница Гомельской области км 0,0-0,620</t>
  </si>
  <si>
    <t>Подъезд к кладбищу д. Хвойница от а/д Н-10453 Новый Городок-Стайки-Чигиринка км 0,0-0,230</t>
  </si>
  <si>
    <t>Подъезд к кладбищу д. Бересневка от а/д Н-10453 Новый Городок-Стайки-Чигиринка км 0,0-0,300</t>
  </si>
  <si>
    <t>Подъезд к кладбищу д. Подселы от а/д Н-10454 Стайки-Подселы км 0,0-0,800</t>
  </si>
  <si>
    <t>Подъезд к кладбищу д. Глубоковичи от а/д Н-10455 Кировск-Добосна км 0,0-0,170</t>
  </si>
  <si>
    <t>Подъезд к кладбищу д. Костричи от а/д Н-10458 Столпище–Костричи–Власовичи км 0,0-0,700</t>
  </si>
  <si>
    <t>Подъезд к кладбищу д. Городец от а/д Н-10459 Скачек-Городец-Зеленица км 0,0-0,500</t>
  </si>
  <si>
    <t>Подъезд к кладбищу д. Вилы от а/д Н-10460 Кировск-Охотичи-Боровица км 0,0-0,500</t>
  </si>
  <si>
    <t>Подъезд к кладбищу д. Подлещенка от а/д Н-10461 Широкое-Барсуки-Лещенка  км 0,0-0,900</t>
  </si>
  <si>
    <t>Подъезд к кладбищу д. Шалаевка от а/д Н-10464 Збышин-Шалаевка-Пильники км 0,0-0,200</t>
  </si>
  <si>
    <t>Подъезд к кладбищу д. Збышин от а/д Н-10464 Збышин-Шалаевка-Пильники км 0,0-0,150</t>
  </si>
  <si>
    <t>Подъезд к кладбищу д. Борки от а/д Н-10466 Жиличи-Борки-Копачевка км 0,0-0,300</t>
  </si>
  <si>
    <t>Подъезд к кладбищу д. Грибовец от а/д Н-10470 Борки-Грибовец-Грибова Слобода км 0,0-0,200</t>
  </si>
  <si>
    <t>Подъезд к кладбищу д. Грибова Слобода от а/д Н-10470 Борки-Грибовец-Грибова Слобода км 0,0-0,200</t>
  </si>
  <si>
    <t>Подъезд к кладбищу д. Песцово от а/д Н-10471 Добосна-Добротино-Харлаповичи км 0,0-0,500</t>
  </si>
  <si>
    <t>Подъезд к кладбищу д. Добрица от а/д Н-10471 Добосна-Добротино-Харлаповичи км 0,0-0,100</t>
  </si>
  <si>
    <t>Подъезд к кладбищу д. Старое Залитвинье от а/д Н-10477 Самодумовка-Новое Залитвинье-Старое Залитвинье км 0,0-0,800</t>
  </si>
  <si>
    <t>Подъезд к кладбищу д. Виленка от а/д Н-10479 Кировск-Вилы-Виленка км 0,0-0,320</t>
  </si>
  <si>
    <t>Подъезд к кладбищу д. Осовник от а/д Н-10482 Добрица-Осовник-Барчицы км 0,0-0,100</t>
  </si>
  <si>
    <t>Подъезд к кладбищу д. Тейковичи от а/д Н-10486 Кировск–Мышковичи–Столпище км 0,0-0,150</t>
  </si>
  <si>
    <t>Подъезд к кладбищу д. Выжары от а/д Р-93 Могилев-Бобруйск км 0,0-0,200</t>
  </si>
  <si>
    <t>Подъезд к кладбищу д. Татенка от а/д Н-10601 Кличев–Несята–Усохи–Сергеевичи км 0,0-0,100</t>
  </si>
  <si>
    <t>Подъезд к кладбищу д. Буднево от а/д Н-10601 Кличев–Несята–Усохи–Сергеевичи км 0,0-0,100</t>
  </si>
  <si>
    <t>Подъезд к кладбищу д. Симоновка от а/д Н-13304 Подъезд к д. Симоновка от а/д Н-10603 Малинье–Дубно–Вишнёвка–Долгое км 0,0-0,700</t>
  </si>
  <si>
    <t>Подъезд к кладбищу д. Еловка от а/д Н-13306 Подъезд к д. Еловка от а/д Н-10603 Малинье–Дубно–Вишнёвка–Долгое км 0,0-0,990</t>
  </si>
  <si>
    <t>Подъезд к кладбищу д. Дубно от а/д Н-10603 Малинье–Дубно–Вишнёвка–Долгое км 0,0-0,300</t>
  </si>
  <si>
    <t>Подъезд к кладбищу д. Малинье от а/д Н-10603 Малинье–Дубно–Вишнёвка–Долгое км 0,0-0,300</t>
  </si>
  <si>
    <t>Подъезд к кладбищу д. Вирков от а/д Н-10605 Несята–Вирков–Ленёвка км 0,0-1,500</t>
  </si>
  <si>
    <t>Подъезд к кладбищу д. Переколь от а/д Н-10605 Несята–Вирков–Ленёвка км 0,0-0,100</t>
  </si>
  <si>
    <t>Подъезд к кладбищу д. Ленёвка от а/д Н-10605 Несята–Вирков–Ленёвка км 0,0-0,350</t>
  </si>
  <si>
    <t>Подъезд к кладбищу д. Турец от а/д Н-10606 Турец-Дулебня-Владимировка-Колбча км 0,0-0,300</t>
  </si>
  <si>
    <t>Подъезд к кладбищу д. Дулебня от а/д Н-10606 Турец-Дулебня-Владимировка-Колбча км 0,0-0,160</t>
  </si>
  <si>
    <t>Подъезд к кладбищу д. Красный Лес от а/д Н-10606 Турец-Дулебня-Владимировка-Колбча км 0,0-2,150</t>
  </si>
  <si>
    <t>Подъезд к кладбищу упраздненной д. Николаевка от а/д Н-10606 Турец–Дулебня–Владимировка–Колбча км 0,0-3,000</t>
  </si>
  <si>
    <t>Подъезд к кладбищу д. Владимировка от а/д Н-10606 Турец–Дулебня–Владимировка–Колбча км 0,0-0,300</t>
  </si>
  <si>
    <t>Подъезд к кладбищу д. Дмитриевка 1 от а/д Н-10610 Дмитриевка-2–Турчилов–Слободка км 0,0-0,200</t>
  </si>
  <si>
    <t>Подъезд к кладбищу д. Турчилов от а/д Н-10610 Дмитриевка-2–Турчилов–Слободка км 0,0-0,150</t>
  </si>
  <si>
    <t>Подъезд к кладбищу д. Орлино от а/д Н-13343 Подъезд к д. Орлино от а/д Н-10611 Заполье–Лютино км 0,0-0,975</t>
  </si>
  <si>
    <t>Подъезд к кладбищу д. Лютино от а/д Н-10611 Заполье-Лютино км 0,0-0,350</t>
  </si>
  <si>
    <t>Подъезд к кладбищу д. Константов от а/д Н-10613 Кавяза–Биордо–Константов км 0,0-1,000</t>
  </si>
  <si>
    <t>Подъезд к кладбищу д. Биордо от а/д Н-10613 Кавяза–Биордо–Константов км 0,0-0,800</t>
  </si>
  <si>
    <t>Подъезд к братской могиле у д. Кавяза от а/д Н-10613 Кавяза–Биордо–Константов км 0,0-0,280</t>
  </si>
  <si>
    <t>Подъезд к кладбищу д. Усакино от а/д Н-10614 Долгое–Брусы–Подгорье–Развадово–Усакино км 0,0-0,430</t>
  </si>
  <si>
    <t>Подъезд к кладбищу д. Владимировка от а/д Н-10615 Дуброва–Черевач–Старое Курганье–Владимировка км 0,0-1,100</t>
  </si>
  <si>
    <t>Подъезд к кладбищу д. Кутин от а/д Н-10616 Липница-Кутин км 0,0-0,410</t>
  </si>
  <si>
    <t>Подъезд к кладбищу д. Любичи от а/д Н-10617 Бацевичи-Любичи км 0,0-0,100</t>
  </si>
  <si>
    <t>Подъезд к кладбищу д. Должанка от а/д Н-13361 Подъезд к д. Должанка от а/д Н-10619 Закупленье–Должанка км 0,0-0,210</t>
  </si>
  <si>
    <t>Подъезд к кладбищу упраздненной д. Буховка от а/д Н-10619 Закупленье–Должанка км 0,0-0,300</t>
  </si>
  <si>
    <t>Подъезд к кладбищу д. Осовы от а/д Н-10623 Чирвоная Нива-Осовы км 0,0-1,195</t>
  </si>
  <si>
    <t>Подъезд к кладбищу д. Грядки от а/д Н-10624 Новое Село–Грядки–Октябрьск–Миложень–Старые Наборки км 0,0-1,600</t>
  </si>
  <si>
    <t>Подъезд к кладбищу д. Великая Старина от а/д Н-10625 Усохи-Старый Спор-Великая Старина км 0,0-1,050</t>
  </si>
  <si>
    <t>Подъезд к кладбищу д. Усохи от а/д Н-10625 Усохи–Старый Спор–Великая Старина км 0,0-0,100</t>
  </si>
  <si>
    <t>Подъезд к кладбищу д. Смолярня от а/д Н-10628 Кличев-Смолярня-Буднево км 0,0-2,500</t>
  </si>
  <si>
    <t>Подъезд к кладбищу д. Палом от а/д Н-10629 Липница-Палом км 0,0-0,700</t>
  </si>
  <si>
    <t>Подъезд к кладбищу д. Ходечин от а/д Н-10634 Дулебня-Ходечин км 0,0-0,340</t>
  </si>
  <si>
    <t>Подъезд к кладбищу д. Каличёнка от а/д Р-120 Быхов–Белыничи км 0,0-0,500</t>
  </si>
  <si>
    <t>Подъезд к кладбищу д. Ядреная Слобода от а/д Р-120 Быхов–Белыничи км 0,0-0,400</t>
  </si>
  <si>
    <t>Подъезд к кладбищу д. Ганаратово от а/д Р-62 Чашники–Бобр–Бобруйск (через Кличев) км 0,0-0,100</t>
  </si>
  <si>
    <t>Подъезд к кладбищу д. Закутье от а/д Р-62 Чашники-Бобр-Бобруйск (через Кличев) км 0,0-0,200</t>
  </si>
  <si>
    <t>Подъезд к кладбищу д. Драни от а/д Н-13389 Подъезд к д. Драни от а/д Р-79 Кличев–Чечевичи  км 0,0-0,300</t>
  </si>
  <si>
    <t>Подъезд к кладбищу д. Межное от а/д Н-13391 Подъезд к д. Межное от а/д Р-79 Кличев–Чечевичи км 0,0-0,800</t>
  </si>
  <si>
    <t>Подъезд к кладбищу д. Точище от а/д Р-79 Кличев-Чечевичи км 0,0-0,600</t>
  </si>
  <si>
    <t>Подъезд к кладбищу д. Подстружье от а/д Р-79 Кличев-Чечевичи км 0,0-0,700</t>
  </si>
  <si>
    <t>Подъезд к кладбищу д. Поплавы от а/д Р-79 Кличев-Чечевичи км 0,0-0,100</t>
  </si>
  <si>
    <t>Подъезд к кладбищу д. Гонча от а/д Р-79 Кличев-Чечевичи км 0,0-0,250</t>
  </si>
  <si>
    <t>Подъезд к кладбищу упраздненной д. Холодок от а/д Р-79 Кличев–Чечевичи км 0,0-1,500</t>
  </si>
  <si>
    <t>Подъезды от д. Ореховка:</t>
  </si>
  <si>
    <t>Подъезд к кладбищу д. Волосковня от а/д Н-13172 Подъезд к д. Волосковня от а/д Н-10677 Низьки–Волосковня–Печары км 0,0-0,100</t>
  </si>
  <si>
    <t>Подъезд к кладбищу д. Борейки от а/д Н-13174 Подъезд к д. Борейки от а/д Н-10678 Артюхи–Бороньки–Жуковка км 0,0-0,800</t>
  </si>
  <si>
    <t>Подъезд к кладбищу упраздненной д. Кузьминка от а/д Н-10678 Артюхи–Бороньки–Жуковка км 0,0-1,700</t>
  </si>
  <si>
    <t>Подъезд к кладбищу д. Видуйцы от а/д Н-10680 Деряжня–Видуйцы км 0,0-0,800</t>
  </si>
  <si>
    <t>Подъезд к кладбищу д. Первое Мая от а/д Н-13190 Подъезд к д. Первое Мая от а/д Н-10682 Демидовичи–Витунь–Каничи–Новые Самотевичи км 0,0-0,100</t>
  </si>
  <si>
    <t>Подъезд к кладбищу д. Витунь от а/д Н-13193 Подъезд к д. Витунь от а/д Н-10682 Демидовичи–Витунь–Каничи–Новые Самотевичи км 0,0-0,100</t>
  </si>
  <si>
    <t>Подъезд к кладбищу д. Каничи от а/д Н-10682 Демидовичи–Витунь–Каничи–Новые Самотевичи км 0,0-0,100</t>
  </si>
  <si>
    <t>Подъезд к кладбищу упраздненной д. Трусок от а/д Н-13196 Подъезд к упраздненной д. Трусок от а/д Н-10683 Белынковичи–Крапивня–Селецкое км 0,0-1,060</t>
  </si>
  <si>
    <t>Подъезд к кладбищу д. Негино от а/д Н-10685 Негино-Забычанье км 0,0-0,350</t>
  </si>
  <si>
    <t>Подъезд к кладбищу д. Забычанье от а/д Н-10687 Крупня-Забычанье км 0,0-1,500</t>
  </si>
  <si>
    <t>Подъезд к кладбищу д. Коробаново от а/д Н-10688 Коробаново-Шарейки-Черченовка км 0,0-0,100</t>
  </si>
  <si>
    <t>Подъезд к кладбищу д. Черченовка от а/д Н-10688 Коробаново-Шарейки-Черченовка км 0,0-0,570</t>
  </si>
  <si>
    <t>Подъезд к кладбищу д. Валынеж от а/д Н-10689 Печары–Крутой Ров км 0,0-0,480</t>
  </si>
  <si>
    <t>Подъезд к кладбищу д. Фроловка от а/д Н-10689 Печары–Крутой Ров км 0,0-0,100</t>
  </si>
  <si>
    <t>Подъезд к кладбищу д. Городок от а/д Н-10690 Тупичино-Городок км 0,0-0,360</t>
  </si>
  <si>
    <t>Подъезд к кладбищу д. Пролетарская Коммуна от а/д Н-10692 Пролетарское-Пролетарская Коммуна км 0,0-0,600</t>
  </si>
  <si>
    <t>Подъезд к кладбищу д. Вишеньки от а/д Н-10693 Костюковичи-Вишеньки км 0,0-0,850</t>
  </si>
  <si>
    <t>Подъезд к кладбищу д. Прусино от а/д Н-10694 Пролетарий–Осиновка–Прусино км 0,0-0,300</t>
  </si>
  <si>
    <t>Подъезд к кладбищу д. Плоское от а/д Н-10696 Селецкое–Плоское км 0,0-0,400</t>
  </si>
  <si>
    <t>Подъезд к кладбищу д. Алесенково от а/д Н-10697 Селецкое-Алесенково км 0,0-0,400</t>
  </si>
  <si>
    <t>Подъезд к кладбищу д. Разрытое от а/д Н-10698 Смольки-Разрытое км 0,0-0,520</t>
  </si>
  <si>
    <t>Подъезд к кладбищу д. Сигеевка от а/д Н-10699 Гавриленка-Сигеевка км 0,0-0,240</t>
  </si>
  <si>
    <t>Подъезд к кладбищу д. Клеевичи от а/д Н-10700 Клеевичи–Белая Дуброва км 0,0-1,700</t>
  </si>
  <si>
    <t>Подъезд к кладбищу д. Жуковка от а/д Н-10702 Жуковка–Трояновка км 0,0-0,250</t>
  </si>
  <si>
    <t>Подъезд к кладбищу д. Теханичи от а/д Н-10704 Фроловка–Ангеловка–Теханичи км 0,0-0,960</t>
  </si>
  <si>
    <t>Подъезд к кладбищу д. Колодезски от а/д Н-10705 Печары–Колодезски км 0,0-0,560</t>
  </si>
  <si>
    <t>Подъезд к кладбищу д. Пушково от а/д Н-10709 Муравилье-Пушково км 0,0-0,100</t>
  </si>
  <si>
    <t>Подъезд к кладбищу д. Паньковская Буда от а/д Н-10710 Боровая-Паньковская Буда км 0,0-0,900</t>
  </si>
  <si>
    <t>Подъезд к кладбищу д. Боровая от а/д Н-10710 Боровая-Паньковская Буда км 0,0-0,200</t>
  </si>
  <si>
    <t>Подъезд к кладбищу д. Зоевка от а/д Н-10712 Алексеевка–Зоевка км 0,0-0,100</t>
  </si>
  <si>
    <t>Подъезд к кладбищу д. Фроловка от а/д Н-10714 Селецкое-Фроловка км 0,0-0,150</t>
  </si>
  <si>
    <t>Подъезд к кладбищу д. Вишни от а/д Н-10715 Мошевое-Вишни-Шабли км 0,0-0,450</t>
  </si>
  <si>
    <t>Подъезд к кладбищу д. Подрайск от а/д Н-10715 Мошевое-Вишни-Шабли км 0,0-0,300</t>
  </si>
  <si>
    <t>Подъезд к кладбищу д. Шабли от а/д Н-10715 Мошевое-Вишни-Шабли км 0,0-1,100</t>
  </si>
  <si>
    <t>Подъезд к кладбищу д. Белый Камень от а/д Н-10716 Белынковичи-Белый Камень км 0,0-0,600</t>
  </si>
  <si>
    <t>Подъезд к кладбищу д. Щегловка от а/д Н-10717 Малая Крапивня-Щегловка-Малиновка км 0,0-0,150</t>
  </si>
  <si>
    <t>Подъезд к кладбищу д. Антоновка от а/д Н-10719 Волоськовня-Антоновка км 0,0-0,620</t>
  </si>
  <si>
    <t>Подъезд к кладбищу д. Крупня от а/д Р-122 Могилев-Чериков-Костюковичи км 0,0-0,360</t>
  </si>
  <si>
    <t>Подъезд к кладбищу д. Мурин Бор от а/д Р-122 Могилев-Чериков-Костюковичи км 0,0-0,500</t>
  </si>
  <si>
    <t>Подъезд к кладбищу № 2 д. Прусино от а/д Н-13260 Подъезд к району индивидуальной жилой застройки в д. Прусино от а/д Р-74 Чериков–Краснополье–Хотимск–граница Российской Федерации (Горня) км 0,0-0,200</t>
  </si>
  <si>
    <t>Подъезд к кладбищу д. Прусинская Буда от а/д Р-74 Чериков-Краснополье-Хотимск-граница Российской Федерации (Горня) км 0,0-0,300</t>
  </si>
  <si>
    <t>Подъезд к кладбищу упраздненной д. Долгий Лог от а/д Р-74 Чериков–Краснополье–Хотимск–граница Российской Федерации (Горня) км 0,0-1,600</t>
  </si>
  <si>
    <t>Подъезд к кладбищу упраздненной д. Осов от а/д Р-74 Чериков–Краснополье–Хотимск–граница Российской Федерации (Горня) км 0,0-10,900</t>
  </si>
  <si>
    <t>Подъезд к кладбищу упраздненной д. Блудимля от а/д Н-13265 Подъезд к кладбищу упраздненной д. Осов от а/д Р-74 Чериков–Краснополье–Хотимск–граница Российской Федерации (Горня) км 0,0-4,000</t>
  </si>
  <si>
    <t>Подъезд к кладбищу д. Смольковская Буда от а/д Н-13269 Подъезд к д. Смольковская Буда от а/д Р-75 Климовичи (от автомобильной дороги Р-43)–Костюковичи–граница Российской Федерации (Смольки) км 0,0-0,200</t>
  </si>
  <si>
    <t>Подъезд к кладбищу д. Журбинская Буда от а/д Н-13271 Подъезд к д. Журбинская Буда от а/д Р-75 Климовичи (от автомобильной дороги Р-43)–Костюковичи–граница Российской Федерации (Смольки) км 0,0-0,300</t>
  </si>
  <si>
    <t>Подъезд к кладбищу д. Пролетарское от а/д Н-13273 Подъезд к д. Пролетарское от а/д Р-75 Климовичи (от автомобильной дороги Р-43)–Костюковичи–граница Российской Федерации (Смольки) км 0,0-0,600</t>
  </si>
  <si>
    <t>Подъезд к кладбищу д. Кубраковка от а/д Н-13275 Подъезд к д. Кубраковка от а/д Р-75 Климовичи (от автомобильной дороги Р-43)–Костюковичи–граница Российской Федерации (Смольки) км 0,0-0,100</t>
  </si>
  <si>
    <t>Подъед к кладбищу д. Белынковичи от а/д Р-75 Климовичи (от автомобильной дороги Р-43)-Костюковичи-граница Российской Федерации (Смольки) км 0,0-0,100</t>
  </si>
  <si>
    <t>Подъезд к кладбищу д. Липовка от а/д Р-75 Климовичи (от автомобильной дороги Р-43)-Костюковичи-граница Российской Федерации (Смольки) км 0,0-0,200</t>
  </si>
  <si>
    <t>Подъезд к кладбищу д. Смольки от а/д Р-75 Климовичи (от автомобильной дороги Р-43)-Костюковичи-граница Российской Федерации (Смольки) км 0,0-0,340</t>
  </si>
  <si>
    <t>Подъезд к кладбищу упраздненной д. Березяки 1 от а/д Н-10751 Краснополье–Корма на Кляпин (до границы Могилевской области) км 0,0-0,800</t>
  </si>
  <si>
    <t>Подъезд к кладбищу упраздненной д. Большой Осов от а/д Н-10751 Краснополье–Корма на Кляпин (до границы Могилевской области) км 0,0-1,500</t>
  </si>
  <si>
    <t>Подъезд к кладбищу упраздненной д. Березяки 2 от а/д Н-10751 Краснополье–Корма на Кляпин (до границы Могилевской области) км 0,0-0,400</t>
  </si>
  <si>
    <t>Подъезд к кладбищу упраздненной д. Болин от а/д Н-10751 Краснополье–Корма на Кляпин (до границы Могилевской области) км 0,0-2,700</t>
  </si>
  <si>
    <t>Подъезд к кладбищу упраздненной д. Ровнище от а/д Н-10751 Краснополье–Корма на Кляпин (до границы Могилевской области) км 0,0-3,900</t>
  </si>
  <si>
    <t>Подъезд к кладбищу д. Стайки от а/д Н-10752 Краснополье-Горы-граница Российской Федерации км 0,0-0,850</t>
  </si>
  <si>
    <t>Подъезд к кладбищу д. Бирюли от а/д Н-10752 Краснополье-Горы-граница Российской Федерации км 0,0-0,100</t>
  </si>
  <si>
    <t>Подъезд к кладбищу упраздненной д. Городный от а/д Н-10752 Краснополье–Горы–граница Российской Федерации км 0,0-1,100</t>
  </si>
  <si>
    <t>Подъезд к кладбищу д. Овчинец от а/д Н-13452 Подъезд к д. Овчинец от а/д Н-10756 Заводок–Маринополье км 0,0-1,100</t>
  </si>
  <si>
    <t>Подъезд к кладбищу упраздненной д. Черня от а/д Н-13452 Подъезд к д. Овчинец от а/д Н-10756 Заводок–Маринополье км 0,0-2,100</t>
  </si>
  <si>
    <t>Подъезд к кладбищу упраздненной д. Ляды от а/д Н-10756 Завадок–Маринополье км 0,0-1,680</t>
  </si>
  <si>
    <t>Подъезд к кладбищу упраздненной д. Хатыжин от а/д Н-13455 Подъезд к кладбищу упраздненной д. Ляды от а/д Н-10756 Завадок–Маринополье км 0,0-2,030</t>
  </si>
  <si>
    <t>Подъезд к кладбищу упраздненной д. Топкое от а/д Н-10756 Заводок–Маринополье км 0,0-0,570</t>
  </si>
  <si>
    <t>Подъезд к кладбищу д. Соболи от а/д Н-13458 Подъезд к д. Соболи от а/д Н-10756 Заводок–Маринополье км 0,0-0,600</t>
  </si>
  <si>
    <t>Подъезд к кладбищу упраздненной д. Загоренье от а/д Н-13424 Подъезд к упраздненной д. Загоренье от а/д Н-10758 Палуж 1–Новый Свет–Ленина км 0,0-0,900</t>
  </si>
  <si>
    <t>Подъезд к кладбищу д. Грибы от а/д Н-10758 Палуж 1–Новый Свет–Ленина км 0,0-0,900</t>
  </si>
  <si>
    <t>Подъезд к кладбищу д. Турейск от а/д Н-13555 Подъезд к д. Яснополье от а/д Н-10759 Краснополье–Малые Хуторы км 0,0-0,300</t>
  </si>
  <si>
    <t>Подъезд к кладбищу д. Малые Хуторы от а/д Н-10759 Краснополье–МалыеХуторы км 0,0-0,700</t>
  </si>
  <si>
    <t>Подъезд к кладбищу упраздненной д. Новая Ферма от а/д Н-10759 Краснополье–МалыеХуторы км 0,0-1,150</t>
  </si>
  <si>
    <t xml:space="preserve">Подъезд к кладбищу д. Устиновичи от а/д Н-10760 Городецкая–Устиновичи–Лютнянская Буда–Почепы км 0,0-0,150 </t>
  </si>
  <si>
    <t>Подъезд к кладбищу д. Городецкая от а/д Н-10760 Городецкая–Устиновичи–Лютнянская Буда–Почепы км 0,0-0,600</t>
  </si>
  <si>
    <t>Подъезд к кладбищу д. Козелье от а/д Н-10761 Холмы-Козелье-Ячная Буда км 0,0-0,710</t>
  </si>
  <si>
    <t>Подъезд к кладбищу д. Романьки от а/д Н-10761 Холмы- Козелье-Ячная Буда км 0,0-0,050</t>
  </si>
  <si>
    <t>Подъезд к кладбищу д. Козелье от а/д Н-10764 Яновка–Козелье км 0,0-1,200</t>
  </si>
  <si>
    <t>Подъезд к кладбищу д. Горенка от а/д Н-10766 Новый Свет-Горенка-Галузы км 0,0-0,200</t>
  </si>
  <si>
    <t>Подъезд к кладбищу д. Галузы от а/д Н-10766 Новый Свет-Горенка-Галузы км 0,0-0,280</t>
  </si>
  <si>
    <t>Подъезд к кладбищу д. Артехов от а/д Н-10768 Ленина–Артехов км 0,0-1,150</t>
  </si>
  <si>
    <t>Подъезд к кладбищу упраздненной д. Грязивец от а/д Н-10770 Горы–Полядки км 0,0-2,100</t>
  </si>
  <si>
    <t>Подъезд к кладбищу д. Боровая от а/д Н-10772 Выдренка-Боровая км 0,0-0,300</t>
  </si>
  <si>
    <t>Подъезд к кладбищу д. Лютня от а/д Н-10773 Сидоровка-Лютня км 0,0-0,300</t>
  </si>
  <si>
    <t>Подъезд к кладбищу д. Большие Хуторы от а/д Н-10774 Сидоровка–БольшиеХуторы км 0,0-1,240</t>
  </si>
  <si>
    <t>Подъезд к кладбищу д. Сидоровка от а/д Н-10774 Сидоровка-Большие Хуторы км 0,0-0,100</t>
  </si>
  <si>
    <t>Подъезд к кладбищу д. Малюшино от а/д Н-13489 Подъезд к д. Малюшино от а/д Н-10777 Турья–Клясино–Гора км 0,0-1,000</t>
  </si>
  <si>
    <t>Подъезд к кладбищу упраздненной д. Вешнецкий от а/д Н-10779 Полядки–Горы км 0,0-1,200</t>
  </si>
  <si>
    <t>Подъезд к кладбищу упраздненной д. Костяговка от а/д Н-10785 Яновка–Галузы км 0,0-2,100</t>
  </si>
  <si>
    <t>Подъезд к кладбищу д. Горки от а/д Н-10790 Горки-Березуга км 0,0-0,300</t>
  </si>
  <si>
    <t>Подъезд к кладбищу д. Князевка от а/д Н-10793 Почепы-Князевка км 0,0-0,700</t>
  </si>
  <si>
    <t>Подъезд к кладбищу д. Глыбов от а/д Н-13523 Подъезд  № 1 к д. Глыбов от а/д Р-38 Буда-Кошелево (от автомобильной дороги М-5/Е 271)–Чечерск–Краснополье км 0,0-0,400</t>
  </si>
  <si>
    <t>Подъезд к кладбищу д. Буглаи от а/д Н-13525 Подъезд к д. Буглаи от а/д Р-38 Буда-Кошелево (от автомобильной дороги М-5/Е 271)–Чечерск–Краснополье км 0,0-1,200</t>
  </si>
  <si>
    <t>Подъезд к кладбищу д. Выдренка от а/д Н-13527 Подъезд к д. Выдренка от а/д Р-38 Буда-Кошелево (от автомобильной дороги М-5/Е 271)–Чечерск–Краснополье км 0,0-1,600</t>
  </si>
  <si>
    <t>Подъезд к кладбищу упраздненной д. Готовец от а/д Р-38 Буда-Кошелево (от автомобильной дороги М-5/Е 271)–Чечерск–Краснополье км 0,0-3,500</t>
  </si>
  <si>
    <t>Подъезд к кладбищу упраздненной д. Марьина Буда от а/д Р-38 Буда-Кошелево (от автомобильной дороги М-5/Е 271)–Чечерск–Краснополье км 0,0-3,200</t>
  </si>
  <si>
    <t>Подъезд к кладбищу упраздненной д. Старая Буда от а/д Р-38 Буда-Кошелево (от автомобильной дороги М-5/Е 271)–Чечерск–Краснополье км 0,0-3,300</t>
  </si>
  <si>
    <t>Подъезд к кладбищу д. Победа от а/д Р-38 Буда-Кошелево (от автомобильной дороги М-5/Е 271)-Чечерск-Краснополье км 0,0-0,380</t>
  </si>
  <si>
    <t>Подъезд к кладбищу упраздненной д. Мхиничи от а/д Р-38 Буда-Кошелево (от автомобильной дороги М-5/Е 271)–Чечерск–Краснополье км 0,0-2,030</t>
  </si>
  <si>
    <t>Подъезд к кладбищу д. Заводок от а/д Р-38 Буда-Кошелево (от автомобильной дороги М-5/Е 271)-Чечерск-Краснополье км 0,0-1,350</t>
  </si>
  <si>
    <t>Подъезд к кладбищу д. Заборье от а/д Н-13538 Подъезд к д. Заборье от а/д Р-74 Чериков–Краснополье–Хотимск–граница Российской Федерации (Горня) км 0,0-0,800</t>
  </si>
  <si>
    <t>Подъезд к кладбищу д. Брылевка от а/д Н-13540 Подъезд к д. Брылевка от а/д Р-74 Чериков–Краснополье–Хотимск–граница Российской Федерации (Горня) км 0,0-0,300</t>
  </si>
  <si>
    <t>Подъезд к кладбищу д. Какойск от а/д Н-13542 Подъезд к д. Какойск от а/д Р-74 Чериков–Краснополье–Хотимск–граница Российской Федерации (Горня) км 0,0-0,350</t>
  </si>
  <si>
    <t>Подъезд к кладбищу упраздненной д. Широкоувелье от а/д Р-74 Чериков–Краснополье–Хотимск–граница Российской Федерации (Горня) км 0,0-0,260</t>
  </si>
  <si>
    <t>Подъезд к кладбищу д. Кожемякино от а/д Р-74 Чериков-Краснополье-Хотимск-граница Российской Федерации (Горня) км 0,0-0,100</t>
  </si>
  <si>
    <t>Подъезд к кладбищу упраздненной д. Горна от а/д Р-74 Чериков–Краснополье–Хотимск–граница Российской Федерации (Горня) км 0,0-2,300</t>
  </si>
  <si>
    <t>Подъезд к кладбищу упраздненной д. Степанов Хутор от а/д Р-74 Чериков–Краснополье–Хотимск–граница Российской Федерации (Горня) км 0,0-0,100</t>
  </si>
  <si>
    <t>Подъезд к кладбищу д. Палуж-1 от а/д Р-74 Чериков-Краснополье-Хотимск-граница Российской Федерации (Горня) км 0,0-0,600</t>
  </si>
  <si>
    <t>Подъезд к кладбищу д. Палуж-2 от а/д Н-13551 Подъезд № 1 к д. Палуж-2 от а/д Р-74 Чериков–Краснополье–Хотимск–граница Российской Федерации (Горня) ) км 0,0-0,400</t>
  </si>
  <si>
    <t>Подъезд к кладбищу д. Ясенка от а/д Н-13553 Подъезд № 1 к д. Ясенка от а/д Р-74 Чериков–Краснополье–Хотимск–граница Российской Федерации (Горня)  км 0,0-0,460</t>
  </si>
  <si>
    <t>Подъезд к кладбищу д. Луты от а/д Н-13565 Подъезд к д. Луты от а/д Н-10827 Кричев–Ходосы–Курманово–Рубановка км 0,0-0,290</t>
  </si>
  <si>
    <t>Подъезд к кладбищу д. Ивановка от а/д Н-10827 Кричев-Ходасы-Курманово-Рубановка км 0,0-0,100</t>
  </si>
  <si>
    <t>Подъезд к кладбищу д. Ермаковка от а/д Н-10827 Кричев-Ходосы-Курманово-Рубановка км 0,0-0,100</t>
  </si>
  <si>
    <t>Подъезд к кладбищу д. Егоровка от а/д Н-10830 Красная Буда-Дяговичи-Зарубец-Егоровка км 0,0-0,450</t>
  </si>
  <si>
    <t>Подъезд к кладбищу д. Прохоровка от а/д Н-10830 Красная Буда-Дяговичи-Зарубец-Егоровка км 0,0-0,700</t>
  </si>
  <si>
    <t>Подъезд к кладбищу №1 д. Зарубец от а/д Н-10830 Красная Буда-Дяговичи-Зарубец-Егоровка км 0,0-0,650</t>
  </si>
  <si>
    <t>Подъезд к кладбищу №2 д. Зарубец от а/д Н-10830 Красная Буда-Дяговичи-Зарубец-Егоровка км 0,0-0,100</t>
  </si>
  <si>
    <t>Подъезд к кладбищу д. Калинино от а/д Н-10834 Кричев-Поклады км 0,0-0,550</t>
  </si>
  <si>
    <t>Подъезд к кладбищу д. Глушнево от а/д Н-10837 Глушнево–Лобковичи–Буньковщина–Селец км 0,0-0,600</t>
  </si>
  <si>
    <t>Подъезд к кладбищу д. Полоница от а/д Н-10839 Низки-Полоница км 0,0-0,050</t>
  </si>
  <si>
    <t>Подъезд к кладбищу д. Прусино от а/д Н-10840 Ботвиновка-Лучки км 0,0-0,700</t>
  </si>
  <si>
    <t>Подъезд к кладбищу д. Осовец от а/д Н-10841 Осовец-Даленщина км 0,0-0,300</t>
  </si>
  <si>
    <t>Подъезд к кладбищу д. Вородьков 1 от а/д Н-10842 Вородьков 2–Ратная км 0,0-0,700</t>
  </si>
  <si>
    <t>Подъезд к кладбищу д. Ратная от а/д Н-10842 Вородьков 2–Ратная км 0,0-1,000</t>
  </si>
  <si>
    <t>Подъезд к кладбищу д. Плещино от а/д Н-10843 Молятичи–Кашаны–Буньковщина км 0,0-0,400</t>
  </si>
  <si>
    <t>Подъезд к кладбищу № 1 д. Мышковичи от а/д Н-13607 Подъезд к д. Мышковичи от а/д Н-10843 Молятичи–Кашаны–Буньковщина км 0,0-0,200</t>
  </si>
  <si>
    <t>Подъезд к кладбищу № 2 д. Мышковичи от а/д Н-13607 Подъезд к д. Мышковичи от а/д Н-10843 Молятичи–Кашаны–Буньковщина км 0,0-0,700</t>
  </si>
  <si>
    <t>Подъезд к кладбищу д. Кашаны от а/д Н-10843 Молятичи–Кашаны–Буньковщина км 0,0-0,200</t>
  </si>
  <si>
    <t>Подъезд к кладбищу д. Ананичи от а/д Н-10843 Молятичи–Кашаны–Буньковщина км 0,0-0,100</t>
  </si>
  <si>
    <t>Подъезд к кладбищу д. Хатиловичи от а/д Н-10844 Сокольничи–Хатиловичи–Свадковичи км 0,0-0,600</t>
  </si>
  <si>
    <t>Подъезд к кладбищу д. Костюковка от а/д Н-10847 Сычики-Костюковка км 0,0-0,400</t>
  </si>
  <si>
    <t>Подъезд к кладбищу д. Юрковка от а/д Н-10848 Лучки-Юрковка-Зайцева Слобода км 0,0-0,100</t>
  </si>
  <si>
    <t>Подъезд к кладбищу №1 д. Волчас от а/д Н-10855 Волчас-Коханов км 0,0-0,400</t>
  </si>
  <si>
    <t>Подъезд к кладбищу д. Милятино от а/д Н-10856 Сычики-Милятино км 0,0-0,200</t>
  </si>
  <si>
    <t>Подъезд к кладбищу д. Сычики от а/д Н-10857 Сычики-Губинщина км 0,0-1,000</t>
  </si>
  <si>
    <t>Подъезд к кладбищу д. Губинщина от а/д Н-10857 Сычики-Губинщина км 0,0-0,330</t>
  </si>
  <si>
    <t>Подъезд к кладбищу д. Дяговичи от а/д Н-10859 Дяговичи-Наносково км 0,0-0,500</t>
  </si>
  <si>
    <t>Подъезд к кладбищу д. Староселье от а/д Н-10860 Буньковщина-Староселье км 0,0-0,300</t>
  </si>
  <si>
    <t>Подъезд к кладбищу д. Стаборщина от а/д Н-10864 Бояры-Стаборщина км 0,0-0,180</t>
  </si>
  <si>
    <t>Подъезд к кладбищу д. Мастицкая Слобода от а/д Н-10865 Малиновка-Мастицкая Слобода-Мирная км 0,0-0,600</t>
  </si>
  <si>
    <t>Подъезд к кладбищу д. Лущевинка от а/д Н-10866 Волчас-Мальковка-Новики-Лущевинка км 0,0-0,100</t>
  </si>
  <si>
    <t>Подъезд к кладбищу д. Мальковка от а/д Н-10866 Волчас-Мальковка-Новики-Лущевинка км 0,0-0,200</t>
  </si>
  <si>
    <t>Подъезд к кладбищу д. Новики от а/д Н-10866 Волчас-Мальковка-Новики-Лущевинка км 0,0-0,100</t>
  </si>
  <si>
    <t>Подъезд к кладбищу д. Песьковичи от а/д Н-10867 Низки-Песьковичи-Павловичи км 0,0-1,143</t>
  </si>
  <si>
    <t>Подъезд к кладбищу д. Прыговка от а/д Н-13642 Подъезд к д. Прыговка от а/д Р-43 Граница Российской Федерации (Звенчатка)–Кричев–Бобруйск–Ивацевичи (до автомобильной дороги Р-2/Е 85) км 0,0-0,020</t>
  </si>
  <si>
    <t>Подъезд к кладбищу д. Краснополье от а/д Н-13644 Подъезд к д. Краснополье от а/д Р-43 Граница Российской Федерации (Звенчатка)–Кричев–Бобруйск–Ивацевичи (до автомобильной дороги Р-2/Е 85) км 0,0-0,900</t>
  </si>
  <si>
    <t>Подъезд к кладбищу д. Прудок от а/д Н-13646 Подъезд к д. Прудок от а/д Р-43 Граница Российской Федерации (Звенчатка)–Кричев–Бобруйск–Ивацевичи (до автомобильной дороги Р-2/Е 85) км 0,0-0,150</t>
  </si>
  <si>
    <t>Подъезд к кладбищу д. Залосье от а/д Н-13654 Подъезд к д. Залосье от а/д Н-10001 Белыничи–Шепелевичи–Круча км 0,0-1,000</t>
  </si>
  <si>
    <t>Подъезд к кладбищу д. Гоенка от а/д Н-13656 Подъезд к д. Гоенка от а/д Н-10001 Белыничи–Шепелевичи–Круча км 0,0-0,270</t>
  </si>
  <si>
    <t>Подъезд к кладбищу №1 д. Новое Полесье от подъезда к д. Новое Полесье от а/д Н-10001 Белыничи-Шепелевичи-Круча км 0,0-0,400</t>
  </si>
  <si>
    <t>Подъезд к кладбищу №2 д. Новое Полесье от а/д Н-10001 Белыничи-Шепелевичи-Круча км 0,0-0,200</t>
  </si>
  <si>
    <t>Подъезд к кладбищу д. Стаи от а/д Н-10001 Белыничи-Шепелевичи-Круча км 0,0-0,950</t>
  </si>
  <si>
    <t>Подъезд к кладбищу №2 д. Шепелевичи от а/д Н-10001 Белыничи-Шепелевичи-Круча км 0,0-1,000</t>
  </si>
  <si>
    <t>Подъезд к кладбищу д. Хильковичи от а/д Н-13665 Подъезд к д. Хильковичи от а/д Н-10901 Круглое–Славное км 0,0-1,300</t>
  </si>
  <si>
    <t>Подъезд к кладбищу д. Дорожковичи от а/д Н-13669 Подъезд к д. Дорожковичи от а/д Н-10901 Круглое–Славное км 0,0-0,580</t>
  </si>
  <si>
    <t>Подъезд к кладбищу д. Михейково от а/д Н-10901 Круглое-Славное км 0,0-0,150</t>
  </si>
  <si>
    <t>Подъезд к кладбищу д. Круча от а/д Н-10901 Круглое-Славное км 0,0-0,200</t>
  </si>
  <si>
    <t>Подъезд к кладбищу д. Затетерка от а/д Н-10903 Круглое-Тетерино км 0,0-0,700</t>
  </si>
  <si>
    <t>Подъезд к кладбищу д. Улужье от а/д Н-10903 Круглое-Тетерино км 0,0-0,300</t>
  </si>
  <si>
    <t>Подъезд к кладбищу д. Малые Каскевичи от а/д Н-13682 Подъезд к д. Малые Каскевичи от а/д Н-10904 Рубеж–Хралищево км 0,0-0,400</t>
  </si>
  <si>
    <t>Подъезд к кладбищу д. Шипяги от а/д Н-13700 Подъезд к д. Шипяги от а/д Н-10909 Храпы–Глубокое–Павловичи км 0,0-0,492</t>
  </si>
  <si>
    <t>Подъезд к кладбищу д. Глубокое от а/д Н-10909 Храпы-Глубокое-Павловичи км 0,0-0,050</t>
  </si>
  <si>
    <t>Подъезд к кладбищу д. Мартьяновичи от а/д Н-10909 Храпы-Глубокое-Павловичи км 0,0-0,800</t>
  </si>
  <si>
    <t>Подъезд к кладбищу д. Костюковичи от а/д Н-13703 Подъезд к д. Каменка от а/д Н-10909 Храпы–Глубокое–Павловичи км 0,0-0,700</t>
  </si>
  <si>
    <t>Подъезд к кладбищу д. Темные от а/д Н-13707 Подъезд к д. Темные от а/д Н-10910 Загоряны–Буровщина–Озеры км 0,0-0,500</t>
  </si>
  <si>
    <t>Подъезд к кладбищу д. Буровщина от а/д Н-10910 Загоряны-Буровщина-Озеры км 0,0-0,350</t>
  </si>
  <si>
    <t>Подъезд к кладбищу д. Лесные от а/д Н-10911 Дудаковичи-Лесные-Зубово км 0,0-0,250</t>
  </si>
  <si>
    <t>Подъезд к кладбищу д. Симоновичи от а/д Н-13712 Подъезд к д. Симоновичи от а/д Н-10912 Бовсевичи–Кононовичи–Кунцы км 0,0-0,450</t>
  </si>
  <si>
    <t>Подъезд к кладбищу д. Кунцы от а/д Н-10912 Бовсевичи-Кононовичи-Кунцы км 0,0-0,050</t>
  </si>
  <si>
    <t>Подъезд к кладбищу д. Кононовичи от а/д Н-10912 Бовсевичи-Кононовичи-Кунцы км 0,0-0,300</t>
  </si>
  <si>
    <t>Подъезд к кладбищу д. Рожки от а/д Н-13716 Подъезд к д. Рожки от а/д Н-10913 Грибино–Арава км 0,0-0,400</t>
  </si>
  <si>
    <t>Подъезд к кладбищу д. Арава от а/д Н-10913 Грибино-Арава км 0,0-0,770</t>
  </si>
  <si>
    <t>Подъезд к кладбищу д. Волконосово от а/д Н-10914 Старое Радча-Новопрудье-Волконосово км 0,0-0,100</t>
  </si>
  <si>
    <t>Подъезд к кладбищу д. Овсище от а/д Н-10915 Шепелевичи-Падар км 0,0-0,500</t>
  </si>
  <si>
    <t>Подъезд к кладбищу д. Белавка от а/д Н-10915 Шепелевичи-Падар км 0,0-0,600</t>
  </si>
  <si>
    <t>Подъезд к кладбищу д. Скляпово от а/д Н-10917 Дудаковичи-Замышки-Козебродье км 0,0-0,090</t>
  </si>
  <si>
    <t>Подъезд к кладбищу д. Храпы от а/д Н-10918 Тетерино-Шепелевичи км 0,0-0,400</t>
  </si>
  <si>
    <t>Подъезд к кладбищу д. Новая Ельковщина от а/д Н-10919 Ельковщина-Загоряны км 0,0-1,000</t>
  </si>
  <si>
    <t>Подъезд к кладбищу д. Кружки от а/д Н-10921 Тетерино-Дубрава км 0,0-0,080</t>
  </si>
  <si>
    <t>Подъезд к кладбищу д. Липск от а/д Н-10921 Тетерино-Дубрава км 0,0-0,200</t>
  </si>
  <si>
    <t>Подъезд к кладбищу д. Смогиловка от а/д Н-10923 Бовсевичи–Смогиловка (до границы Круглянского района) км 0,0-0,450</t>
  </si>
  <si>
    <t>Подъезд к кладбищу д. Шелковинье от а/д Н-10925 Павловичи-Переселье-Шелковинье км 0,0-1,000</t>
  </si>
  <si>
    <t>Подъезд к кладбищу д. Дрозды от а/д Н-10927 Пригани-Поповка-Криулино км 0,0-0,050</t>
  </si>
  <si>
    <t>Подъезд к кладбищу д. Поповка от а/д Н-10927 Пригани-Поповка-Криулино км 0,0-0,080</t>
  </si>
  <si>
    <t>Подъезд к кладбищу д. Криулино от а/д Н-10927 Пригани-Поповка-Криулино км 0,0-0,080</t>
  </si>
  <si>
    <t>Подъезд к кладбищу д. Баньки от а/д Н-10927 Пригани-Поповка-Криулино км 0,0-0,200</t>
  </si>
  <si>
    <t>Подъезд к кладбищу д. Воргутьево от а/д Н-10928 Филатово-Воргутьево км 0,0-1,000</t>
  </si>
  <si>
    <t>Подъезд к кладбищу д. Любище от а/д Н-10929 Круча-Яново-Погребище км 0,0-0,500</t>
  </si>
  <si>
    <t>Подъезд к кладбищу д. Дудаки от а/д Н-10929 Круча-Яново-Погребище км 0,0-0,251</t>
  </si>
  <si>
    <t>Подъезд к кладбищу д. Ольшаники 1 от а/д Р-121 Шклов–Круглое км 0,0-0,990</t>
  </si>
  <si>
    <t>Подъезд к кладбищу д. Дубовка от а/д Н-13763 Подъезд к д. Дубовка от а/д Р-26 Толочин–Круглое–Вишов км 0,0-0,110</t>
  </si>
  <si>
    <t>Подъезд к кладбищу д. Козебродье Р-26 Толочин-Круглое-Вишов км 0,0-0,150</t>
  </si>
  <si>
    <t>Подъезд к кладбищу д. Шупени Р-26 Толочин-Круглое-Вишов км 0,0-0,400</t>
  </si>
  <si>
    <t>Подъезд к кладбищу д. Петушки от а/д Н-13769 Подъезд к д. Петушки от а/д Р-77 Шклов–Белыничи (через Пригани 2) км 0,0-0,260</t>
  </si>
  <si>
    <t>Подъезд к кладбищу д. Липец от а/д Н-10979 Махово-Холмы-Липец-Махово км 0,0-0,400</t>
  </si>
  <si>
    <t>Подъезд к кладбищу д. Холмы от а/д Н-10979 Махово-Холмы-Липец-Махово км 0,0-1,000</t>
  </si>
  <si>
    <t>Подъезд к кладбищу д. Ходнево от а/д Н-10983 Сухари-Зарестье-Супоничи-Маковня-Русинка км 0,0-0,200</t>
  </si>
  <si>
    <t>Подъезд к кладбищу д. Малое Бушково от а/д Н-10983 Сухари-Зарестье-Супоничи-Маковня-Русинка км 0,0-0,300</t>
  </si>
  <si>
    <t>Подъезд к кладбищу д. Супоничи от а/д Н-10983 Сухари-Зарестье-Супоничи-Маковня-Русинка км 0,0-1,200</t>
  </si>
  <si>
    <t>Подъезд к кладбищу д. Русинка от а/д Н-10983 Сухари-Зарестье-Супоничи-Маковня-Русинка км 0,0-0,400</t>
  </si>
  <si>
    <t>Подъезд к кладбищу д. Сидоровка от а/д Н-10984 Подгорье-Сидоровка км 0,0-0,600</t>
  </si>
  <si>
    <t>Подъезд к кладбищу д. Павловка от а/д Н-10985 Мосток-Павловка-Колесище км 0,0-0,400</t>
  </si>
  <si>
    <t>Подъезд к кладбищу д. Иванов Дворец от а/д Н-10986 Сухари-Ивановичи-Иванов Дворец км 0,0-0,400</t>
  </si>
  <si>
    <t>Подъезд к кладбищу №1 д. Ивановичи от а/д Н-10986 Сухари-Ивановичи-Иванов Дворец км 0,0-1,150</t>
  </si>
  <si>
    <t>Подъезд к кладбищу №2 д. Ивановичи от а/д Н-10986 Сухари-Ивановичи-Иванов Дворец км 0,0-1,000</t>
  </si>
  <si>
    <t>Подъезд к кладбищу д. Зарестье от а/д Н-10988 Малое Бушково-Большое Бушково-Зарестье-Тетеревник-Макрусинка км 0,0-0,100</t>
  </si>
  <si>
    <t>Подъезд к кладбищу д. Василевичи от а/д Н-10988 Малое Бушково-Большое Бушково-Зарестье-Тетеревник-Макрусинка км 0,0-0,900</t>
  </si>
  <si>
    <t>Подъезд к кладбищу д. Хорошки от а/д Н-10989 Сухари-Хорошки-Рики км 0,0-1,000</t>
  </si>
  <si>
    <t>Подъезд к кладбищу д. Рики от а/д Н-10989 Сухари-Хорошки-Рики км 0,0-0,180</t>
  </si>
  <si>
    <t>Подъезд к кладбищу д. Качурино от а/д Н-10992 Качурино-Каменка км 0,0-0,230</t>
  </si>
  <si>
    <t xml:space="preserve">Подъезд к кладбищу д. Ольховка от а/д Н-13831 Подъезд к д. Ольховка от а/д Н-10994 Коркать–Новая Нива км 0,0-0,300 </t>
  </si>
  <si>
    <t>Подъезд к кладбищу д. Коркать от а/д Н-10994 Коркать-Новая Нива км 0,0-0,300</t>
  </si>
  <si>
    <t>Подъезд к кладбищу д. Булыжицы от а/д Н-11000 Княжицы–Булыжицы км 0,0-0,750</t>
  </si>
  <si>
    <t>Подъезд к кладбищу д. Ракузовка от а/д Н-13843 Подъезд к д. Ракузовка от а/д Н-11002 Могилев–Ямница км 0,0-0,500</t>
  </si>
  <si>
    <t>Подъезд к кладбищу д. Белявщина от а/д Н-13847 Подъезд к д. Масальщина от а/д Н-11003 Тишовка–Михалёво–Вендорож км 0,0-0,100</t>
  </si>
  <si>
    <t>Подъезд к кладбищу д. Дубинка от а/д Н-13849 Подъезд к д. Зелёная Слобода от а/д Н-11003 Тишовка–Михалёво–Вендорож км 0,0-0,100</t>
  </si>
  <si>
    <t>Подъезд к кладбищу д. Корчёмка от а/д Н-13849 Подъезд к д. Зелёная Слобода от а/д Н-11003 Тишовка–Михалёво–Вендорож км 0,0-0,600</t>
  </si>
  <si>
    <t>Подъезд к кладбищу д. Тишовка от а/д Н-11003 Тишовка-Михалёво-Вендорож км 0,0-0,100</t>
  </si>
  <si>
    <t>Подъезд к кладбищу д. Добросневичи от а/д Н-11003 Тишовка-Михалёво-Вендорож км 0,0-0,100</t>
  </si>
  <si>
    <t>Подъезд к кладбищу д. Лежневка от а/д Н-11006 Дашковка-Лежневка-Межисетки км 0,0-0,200</t>
  </si>
  <si>
    <t>Подъезд к кладбищу д. Щеглица от а/д Н-13886 Подъезд к д. Щеглица от а/д Н-11007 Буйничи–Тишовка–Севостьяновичи–Сеньково–Ильинка км 0,0-0,300</t>
  </si>
  <si>
    <t>Подъезд к кладбищу д. Сташино от а/д Н-13886 Подъезд к д. Щеглица от а/д Н-11007 Буйничи–Тишовка–Севостьяновичи–Сеньково–Ильинка км 0,0-0,700</t>
  </si>
  <si>
    <t>Подъезд к кладбищу д. Ильинка от а/д Н-11007 Буйничи-Тишовка-Севостьяновичи-Сеньково-Ильинка км 0,0-1,000</t>
  </si>
  <si>
    <t>Подъезд к кладбищу д. Сеньково от а/д Н-13885 Подъезд № 2 к д. Сеньково от а/д Н-11007 Буйничи–Тишовка–Севостьяновичи–Сеньково–Ильинка км 0,0-0,200</t>
  </si>
  <si>
    <t>Подъезд к кладбищу д. Севостьяновичи от а/д Н-11007 Буйничи-Тишовка-Севостьяновичи-Сеньково-Ильинка км 0,0-1,000</t>
  </si>
  <si>
    <t>Подъезд к кладбищу д. Половинный Лог от а/д Н-11008 Купелы-Николаевка-Половинный Лог км 0,0-1,420</t>
  </si>
  <si>
    <t>Подъезд к кладбищу д. Толпечицы от а/д Н-11009 Княжицы-Браково-Толпечицы км 0,0-0,200</t>
  </si>
  <si>
    <t>Подъезд к кладбищу д. Селище от а/д Н-11009 Княжицы-Браково-Толпечицы км 0,0-0,340</t>
  </si>
  <si>
    <t>Подъезд к кладбищу д. Городщина от а/д Н-11012 Ракузовка-Городщина км 0,0-0,200</t>
  </si>
  <si>
    <t>Подъезд к садоводческому товариществу «Лента» от а/д Н-13926 Подъезд к кладбищу д. Прокшеничи от а/д Н-13924 Подъезд к д. Прокшеничи от а/д Н-11015 Никитиничи–Щеглица–Песчанка км 0,0-0,900</t>
  </si>
  <si>
    <t>Подъезд к кладбищу д. Прокшеничи от а/д Н-13924 Подъезд к д. Прокшеничи от а/д Н-11015 Никитиничи–Щеглица–Песчанка км 0,0-0,800</t>
  </si>
  <si>
    <t>Подъезд к кладбищу д. Заболотье от а/д Н-11017 Софиевка-Новоселки-2-Заболотье-Речки км 0,0-1,930</t>
  </si>
  <si>
    <t>Подъезд к кладбищу д. Колесище от а/д Н-11023 Мосток–Колесище км 0,0-0,350</t>
  </si>
  <si>
    <t>Подъезд к кладбищу д. Кострицы от а/д Н-13933 Подъезд к д. Кострицы от а/д Н-11023 Мосток–Колесище км 0,0-0,700</t>
  </si>
  <si>
    <t>Подъезд к кладбищу д. Софийск от а/д Н-11032 Софийск-Акулинцы км 0,0-1,500</t>
  </si>
  <si>
    <t>Подъезд к кладбищу д. Акулинцы от а/д Н-11032 Софийск-Акулинцы км 0,0-0,600</t>
  </si>
  <si>
    <t>Подъезд к кладбищу д. Бокотовка от а/д Н-11034 Каменка-Бокотовка км 0,0-0,100</t>
  </si>
  <si>
    <t>Подъезд к кладбищу д. Малеевка и д. Брыли от а/д Н-11040 Брыли-Малеевка км 0,0-1,000</t>
  </si>
  <si>
    <t>Подъезд к кладбищу д. Борок (Белыничского района) от а/д Н-13964 Подъезд к д. Майщина от а/д Н-11042 Малые Белевичи–Катвино км 0,0-0,900</t>
  </si>
  <si>
    <t>Подъезд к кладбищу д. Лубнище от а/д Н-11048 Никитиничи-Лубнище-Залубнище км 0,0-0,200</t>
  </si>
  <si>
    <t>Подъезд к кладбищу д. Залубнище от а/д Н-11048 Никитиничи-Лубнище-Залубнище км 0,0-0,150</t>
  </si>
  <si>
    <t>Подъезд к кладбищу д. Березовка от а/д Н-11049 Вендорож-Березовка-Поддубье-Александров-Большие Белевичи км 0,0-0,100</t>
  </si>
  <si>
    <t>Подъезд к кладбищу д. Угалье от а/д Н-13974 Подъезд к д. Угалье от а/д Н-11049 Вендорож–Березовка–Поддубье–Александров–Большие Белевичи км 0,0-0,850</t>
  </si>
  <si>
    <t>Подъезд к кладбищу д. Тумановка от а/д Н-11050 Веккер-Тумановка км 0,0-0,400</t>
  </si>
  <si>
    <t>Подъезд к кладбищу д. Городня от а/д Н-14043 Подъезд к д. Городня от а/д Р-122 Могилев–Чериков–Костюковичи км 0,0-0,700</t>
  </si>
  <si>
    <t>Подъезд к кладбищу д. Медведовка от а/д Н-14045 Подъезд к д. Медведовка от а/д Р-122 Могилев–Чериков–Костюковичи км 0,0-0,600</t>
  </si>
  <si>
    <t>Подъезд к кладбищу д. Затишье от а/д Р-71 Могилев-Славгород км 0,0-1,100</t>
  </si>
  <si>
    <t>Подъезд к кладбищу д. Зимница от а/д Н-14066 Подъезд к д. Зимница от а/д Р-71 Могилев–Славгород км 0,0-0,700</t>
  </si>
  <si>
    <t>Подъезд к кладбищу д. Софиевка от а/д Н-14068 Подъезд к д. Селище от а/д Р-76 Орша–Шклов–Могилев км 0,0-0,200</t>
  </si>
  <si>
    <t>Подъезд к кладбищу д. Лужки от а/д Н-14068 Подъезд к д. Селище от а/д Р-76 Орша–Шклов–Могилев км 0,0-0,300</t>
  </si>
  <si>
    <t>Подъезд к кладбищу д. Селец от а/д Р-93 Могилев-Бобруйск км 0,0-0,300</t>
  </si>
  <si>
    <t>Подъезд к кладбищу д. Салтановка от а/д Р-97 Могилев-Быхов-Рогачев км 0,0-0,600</t>
  </si>
  <si>
    <t>Подъезд к кладбищу д. Мальковка от а/д Н-10381 Рясно-Красное км 0,0-0,400</t>
  </si>
  <si>
    <t>Подъезд к кладбищу д. Старинка  от а/д Н-10381 Рясно-Красное км 0,0-0,500</t>
  </si>
  <si>
    <t>Подъезд к кладбищу д. Долговичи от а/д Н-10381 Рясно-Красное км 0,0-0,150</t>
  </si>
  <si>
    <t>Подъезд к кладбищу д. Березетня от а/д Н-14143 Подъезд к д. Березетня от а/д Н-10827 Кричев–Ходосы–Курманово–Рубановка км 0,0-0,600</t>
  </si>
  <si>
    <t>Подъезд к кладбищу № 1 д. Сычевка от а/д Н-10827 Кричев-Ходосы-Курманово-Рубановка км 0,0-1,500</t>
  </si>
  <si>
    <t>Подъезд к кладбищу № 2 д. Сычевка от а/д Н-14145 Подъезд к д. Сычевка от а/д Н-10827 Кричев–Ходосы–Курманово–Рубановка км 0,0-0,350</t>
  </si>
  <si>
    <t>Подъезд к кладбищу № 1 д. Раздел от а/д Н-10827 Кричев-Ходосы-Курманово-Рубановка км 0,0-0,500</t>
  </si>
  <si>
    <t>Подъезд к кладбищу № 1 д. Залесье от а/д Н-10827 Кричев-Ходосы-Курманово-Рубановка км 0,0-0,600</t>
  </si>
  <si>
    <t>Подъезд к кладбищу № 2 д. Залесье от а/д Н-10827 Кричев-Ходосы-Курманово-Рубановка км 0,0-1,200</t>
  </si>
  <si>
    <t>Подъезд к кладбищу д. Ширки от а/д Н-10827 Кричев-Ходосы-Курманово-Рубановка км 0,0-0,200</t>
  </si>
  <si>
    <t>Подъезд к кладбищу д. Рубановка от а/д Н-10827 Кричев-Ходосы-Курманово-Рубановка км 0,0-0,800</t>
  </si>
  <si>
    <t>Подъезд к кладбищу № 2 д. Раздел от а/д Н-10827 Кричев-Ходосы-Курманово-Рубановка км 0,0-0,300</t>
  </si>
  <si>
    <t>Подъезд к кладбищу д. Вышово от а/д Н-10827 Кричев-Ходосы-Курманово-Рубановка км 0,0-0,500</t>
  </si>
  <si>
    <t>Подъезд к кладбищу д. Лужки от а/д Н-11130 Курманово-Булино-Нестерово км 0,0-0,100</t>
  </si>
  <si>
    <t>Подъезд к кладбищу д. Булино от а/д Н-11130 Курманово-Булино-Нестерово км 0,0-1,240</t>
  </si>
  <si>
    <t>Подъезд к кладбищу д. Нестерово от а/д Н-11130 Курманово-Булино-Нестерово км 0,0-1,000</t>
  </si>
  <si>
    <t>Подъезд к кладбищу д. Ослянка от а/д Н-11131 Южное Белищено-Ослянка-Новые Вихряны км 0,0-0,700</t>
  </si>
  <si>
    <t>Подъезд к кладбищу д. Новые Вихряны от а/д Н-11131 Южное Белищено-Ослянка-Новые Вихряны км 0,0-0,150</t>
  </si>
  <si>
    <t>Подъезд к кладбищу д. Гимботовка от а/д Н-14172 Подъезд к д. Гимботовка от а/д Н-11132 Мстиславль–Милейково–Подсолтово км 0,0-0,340</t>
  </si>
  <si>
    <t>Подъезд к кладбищу д. Красный Берег от а/д Н-14172 Подъезд к д. Гимботовка от а/д Н-11132 Мстиславль–Милейково–Подсолтово км 0,0-1,990</t>
  </si>
  <si>
    <t>Подъезд к кладбищу д. Милейково от а/д Н-11132 Мстиславль-Милейково-Подсолтово км 0,0-0,250</t>
  </si>
  <si>
    <t>Подъезд к кладбищу д. Деснокита от а/д Н-11132 Мстиславль-Милейково-Подсолтово км 0,0-0,050</t>
  </si>
  <si>
    <t>Подъезд к кладбищу упраздненной д. Князищево от а/д Н-11132 Мстиславль–Милейково–Подсолтово км 0,0-1,000</t>
  </si>
  <si>
    <t>Подъезд к кладбищу упраздненной д. Чапуркино от а/д Н-11132 Мстиславль–Милейково–Подсолтово км 0,0-0,500</t>
  </si>
  <si>
    <t>Подъезд к кладбищу д. Дубасно от а/д Н-11132 Мстиславль-Милейково-Подсолтово км 0,0-1,050</t>
  </si>
  <si>
    <t>Подъезд к кладбищу упраздненной д. Ржавец от а/д Н-11132 Мстиславль–Милейково–Подсолтово км 0,0-2,100</t>
  </si>
  <si>
    <t>Подъезд к кладбищу д. Большая Зятица от а/д Н-14184 Подъезд к д. Большая Зятица от а/д Н-11133 Галковичи–Кудричи–Подлужье–Митьковщина км 0,0-0,350</t>
  </si>
  <si>
    <t>Подъезд к кладбищу д. Красная Горка от а/д Н-14187 Подъезд к д. Красная Горка от а/д Н-11133 Галковичи–Кудричи–Подлужье–Митьковщина км 0,0-0,200</t>
  </si>
  <si>
    <t>Подъезд к кладбищу д. Жигалово от а/д Н-14189 Подъезд к д. Жигалово от а/д Н-11133 Галковичи–Кудричи–Подлужье–Митьковщина км 0,0-0,350</t>
  </si>
  <si>
    <t>Подъезд к кладбищу д. Галковичи от а/д Н-11133 Галковичи-Кудричи-Подлужье-Митьковщина км 0,0-0,080</t>
  </si>
  <si>
    <t>Подъезд к кладбищу № 1 д. Ларьяново от а/д Н-11133 Галковичи-Кудричи-Подлужье-Митьковщина км 0,0-0,830</t>
  </si>
  <si>
    <t>Подъезд к кладбищу № 2 д. Ларьяново от а/д Н-11133 Галковичи-Кудричи-Подлужье-Митьковщина км 0,0-0,500</t>
  </si>
  <si>
    <t>Подъезд к кладбищу д. Ковшово от а/д Н-11133 Галковичи-Кудричи-Подлужье-Митьковщина км 0,0-0,700</t>
  </si>
  <si>
    <t>Подъезд к кладбищу д. Дубейково от а/д Н-14199 Подъезд к д. Дубейково от а/д Н-11135 Мстиславль–Мушино–Воловники км 0,0-1,400</t>
  </si>
  <si>
    <t>Подъезд к кладбищу д. Калиновка от а/д Н-14202 Подъезд к д. Калиновка от а/д Н-11135 Мстиславль–Мушино–Воловники км 0,0-0,300</t>
  </si>
  <si>
    <t>Подъезд к кладбищу № 2 д. Лопатино от а/д Н-11135 Мстиславль-Мушино-Воловники км 0,0-1,000</t>
  </si>
  <si>
    <t>Подъезд к кладбищу № 1 д. Воловники от а/д Н-11135 Мстиславль-Мушино-Воловники км 0,0-2,000</t>
  </si>
  <si>
    <t>Подъезд к кладбищу № 2 д. Воловники от а/д Н-11135 Мстиславль-Мушино-Воловники км 0,0-0,500</t>
  </si>
  <si>
    <t>Подъезд к кладбищу № 3 д. Воловники от а/д Н-11135 Мстиславль-Мушино-Воловники км 0,0-2,500</t>
  </si>
  <si>
    <t>Подъезд к кладбищу № 4 д. Воловники от а/д Н-11135 Мстиславль-Мушино-Воловники км 0,0-2,000</t>
  </si>
  <si>
    <t>Подъезд к кладбищу д. Тыща от а/д Н-14209 Подъезд к д. Тыща от а/д Н-11136 Долговичи–Андраны–Мишни км 0,0-1,300</t>
  </si>
  <si>
    <t>Подъезд к кладбищу д. Терени от а/д Н-14211 Подъезд к д. Терени от а/д Н-11136 Долговичи–Андраны–Мишни км 0,0-0,420</t>
  </si>
  <si>
    <t>Подъезд к кладбищу д. Пячковичский льнозавод от а/д Н-14214 Подъезд к д. Пячковичский льнозавод от а/д Н-11137 Пячковичи–Белынец км 0,0-0,500</t>
  </si>
  <si>
    <t>Подъезд к кладбищу № 1 д. Белынец от а/д Н-11137 Пячковичи-Белынец км 0,0-0,500</t>
  </si>
  <si>
    <t>Подъезд к кладбищу № 2 д. Белынец от а/д Н-11137 Пячковичи-Белынец км 0,0-1,000</t>
  </si>
  <si>
    <t>Подъезд к кладбищу № 1 д. Пячковичи от а/д Н-11137 Пячковичи-Белынец км 0,0-0,100</t>
  </si>
  <si>
    <t>Подъезд к кладбищу № 2 д. Пячковичи от а/д Н-11137 Пячковичи-Белынец км 0,0-1,000</t>
  </si>
  <si>
    <t>Подъезд к кладбищу № 1 д. Петрыги от а/д Н-11138 Заболотье-Петрыги-Васильково км 0,0-1,820</t>
  </si>
  <si>
    <t>Подъезд к кладбищу № 2 д. Петрыги от а/д Н-11138 Заболотье-Петрыги-Васильково км 0,0-1,000</t>
  </si>
  <si>
    <t>Подъезд к кладбищу д. Бесковка от а/д Н-11138 Заболотье-Петрыги-Васильково км 0,0-0,100</t>
  </si>
  <si>
    <t>Подъезд к кладбищу № 1 и кладбищу № 2 д. Васильково от а/д Н-11138 Заболотье–Петрыги–Васильково км 0,0-1,700</t>
  </si>
  <si>
    <t>Подъезд к кладбищу № 1 д. Старое Село от а/д Н-11139 Шамовщина–Старое Село км 0,0-0,600</t>
  </si>
  <si>
    <t>Подъезд к кладбищу № 2 д. Старое Село от а/д Н-11139 Шамовщина–Старое Село км 0,0-0,600</t>
  </si>
  <si>
    <t>Подъезд к кладбищу д. Яновка от а/д Н-11140 Саприновичи-Яновка км 0,0-0,120</t>
  </si>
  <si>
    <t>Подъезд к кладбищу д. Людогощь от а/д Н-11142 Людогощ-Селец-Пирогово км 0,0-0,400</t>
  </si>
  <si>
    <t>Подъезд к кладбищу д. Воровского от а/д Н-14233 Подъезд к д. Воровского от а/д Н-11142 Людогощь–Селец–Пирогово км 0,0-0,0,400</t>
  </si>
  <si>
    <t>Подъезд к кладбищу д. Телятково от а/д Н-14235 Подъезд к д. Телятково от а/д Н-11142 Людогощь–Селец–Пирогово км 0,0-0,500</t>
  </si>
  <si>
    <t>Подъезд к кладбищу д. Колтово от а/д Н-11142 Людогощь-Селец-Пирогово км 0,0-0,400</t>
  </si>
  <si>
    <t>Подъезд к кладбищу д. Пирогово от а/д Н-11142 Людогощь-Селец-Пирогово км 0,0-0,200</t>
  </si>
  <si>
    <t>Подъезд к кладбищу д. Рассвет от а/д Н-11143 Рассвет-Баньковщина-Кондратовск км 0,0-0,100</t>
  </si>
  <si>
    <t>Подъезд к кладбищу д. Баньковщина от а/д Н-14241 Подъезд к д. Баньковщина (улица Центральная) от а/д Н-11143 Рассвет–Баньковщина–Кондратовск км 0,0-0,230</t>
  </si>
  <si>
    <t>Подъезд к кладбищу № 1 д. Богатьковка от а/д Н-11144 Курманово-Богатьковка км 0,0-0,100</t>
  </si>
  <si>
    <t>Подъезд к кладбищу № 2 д. Богатьковка от а/д Н-11144 Курманово-Богатьковка км 0,0-0,400</t>
  </si>
  <si>
    <t>Подъезд кладбищу д. Шейки от а/д Н-11145 Шейки-Безводичи-Копачи км 0,0-0,100</t>
  </si>
  <si>
    <t>Подъезд к кладбищу д. Дудчицы от а/д Н-11146 Селец-Дудчицы-Слезки км 0,0-0,250</t>
  </si>
  <si>
    <t>Подъезд к кладбищу д. Мышкино от а/д Н-11148 Мазолово-Мышкино км 0,0-1,800</t>
  </si>
  <si>
    <t>Подъезд к кладбищу д. Бабинки Дрибинского района от а/д Н-14259 Подъезд к д. Буденовка от а/д Н-11150 Ракшино–Заполье км 0,0-0,800</t>
  </si>
  <si>
    <t>Подъезд к кладбищу д. Ракитенка от а/д Н-11151 Заболотье-Ракитенка-Михайлово-Юшковичи км 0,0-0,200</t>
  </si>
  <si>
    <t>Подъезд к кладбищу д. Михайлово от а/д Н-11151 Заболотье-Ракитенка-Михайлово-Юшковичи км 0,0-0,300</t>
  </si>
  <si>
    <t>Подъезд к кладбищу д. Юшковичи от а/д Н-11151 Заболотье-Ракитенка-Михайлово-Юшковичи км 0,0-1,000</t>
  </si>
  <si>
    <t>Подъезд к кладбищу д. Волковка от а/д Н-11152 Лыкинка-Черная Сосна-Ракитенка км 0,0-0,1000</t>
  </si>
  <si>
    <t>Подъезд к кладбищу д. Черная Сосна от а/д Н-11152 Лыкинка-Черная Сосна-Ракитенка км 0,0-0,800</t>
  </si>
  <si>
    <t>Подъезд к кладбищу д. Лыкинка от а/д Н-11152 Лыкинка-Черная Сосна-Ракитенка км 0,0-0,200</t>
  </si>
  <si>
    <t>Подъезд к кладбищу д. Славное от а/д Н-11153 Курманово-Старина-Славное км 0,0-0,100</t>
  </si>
  <si>
    <t>Подъезд к кладбищу д. Борисовка от а/д Н-11154 Мушино-Доброе-Лопатино-Веркеевщина км 0,0-0,0,300</t>
  </si>
  <si>
    <t>Подъезд к кладбищу д. Доброе от а/д Н-11154 Мушино-Доброе-Лопатино-Веркеевщина км 0,0-1,580</t>
  </si>
  <si>
    <t>Подъезд к кладбищу д. Веркеевщина от а/д Н-11154 Мушино-Доброе-Лопатино-Веркеевщина км 0,0-0,340</t>
  </si>
  <si>
    <t>Подъезд к кладбищу д. Глинье от а/д Н-11155 Раздел-Глинье км 0,0-0,600</t>
  </si>
  <si>
    <t>Подъезд к кладбищу № 1 д. Путяты от а/д Н-11156 Залесье-Путяты км 0,0-0,820</t>
  </si>
  <si>
    <t>Подъезд к кладбищу № 2 д. Путяты от а/д Н-11156 Залесье-Путяты км 0,0-0,500</t>
  </si>
  <si>
    <t>Подъезд к кладбищу д. Кондратовск от а/д Н-11157 Красная Поляна-Кондратовск км 0,0-0,100</t>
  </si>
  <si>
    <t>Подъезд к кладбищу д. Прибережье от а/д Н-11158 Черная Сосна-Прибережье км 0,0-1,000</t>
  </si>
  <si>
    <t>Подъезд к кладбищу д. Золочево от а/д Н-11161 Мушино-Золочево км 0,0-0,200</t>
  </si>
  <si>
    <t>Подъезд к кладбищу д. Победа от а/д Н-11162 Безводичи–Победа–Ходосы км 0,0-0,700</t>
  </si>
  <si>
    <t>Подъезд к кладбищу д. Есьманово от а/д Н-11163 Усполье-Киселевка-Есьманово км 0,0-0,500</t>
  </si>
  <si>
    <t>Подъезд к кладбищу д. Киселевка от а/д Н-11163 Усполье-Киселевка-Есьманово км 0,0-0,300</t>
  </si>
  <si>
    <t>Подъезд к кладбищу д. Будогощь от а/д Н-11164 Лютня-Будогощь км 0,0-0,200</t>
  </si>
  <si>
    <t>Подъезд к кладбищу д. Даниловск от а/д Н-11166 Подсолтово-Даниловск км 0,0-0,350</t>
  </si>
  <si>
    <t>Подъезд к кладбищу д. Иртищево от а/д Н-11167 Подсолтово-Иртищево км 0,0-0,870</t>
  </si>
  <si>
    <t>Подъезд к кладбищу д. Каменка от а/д Н-11168 Курманово-Каменка км 0,0-0,350</t>
  </si>
  <si>
    <t>Подъезд к кладбищу д. Соколово от а/д Н-11169 Шамово–Соколово км 0,0-0,500</t>
  </si>
  <si>
    <t>Подъезд к кладбищу д. Космыничи от а/д Н-11170 Космыничи-Судовщина км 0,0-0,750</t>
  </si>
  <si>
    <t>Подъезд к кладбищу д. Судовщина от а/д Н-11170 Космыничи-Судовщина км 0,0-0,060</t>
  </si>
  <si>
    <t>Подъезд к кладбищу д. Шамово от а/д Н-11175 Шамово (улица Молодежная)–Нестерово (улица Центральная) км 0,0-0,100</t>
  </si>
  <si>
    <t>Подъезд к кладбищу д. Крутая от а/д Н-14295 Подъезд к д. Крутая от а/д Р-15 Кричев–Орша–Лепель км 0,0-0,400</t>
  </si>
  <si>
    <t>Подъезд к кладбищу № 1 д. Свердлово от а/д Р-15 Кричев-Орша-Лепель км 0,0-1,200</t>
  </si>
  <si>
    <t>Подъезд к кладбищу №2 д. Свердлово от а/д Р-15 Кричев-Орша-Лепель км 0,0-0,720</t>
  </si>
  <si>
    <t>Подъезд к кладбищу № 2 д. Шамовщина от а/д Р-15 Кричев-Орша-Лепель км 0,0-0,740</t>
  </si>
  <si>
    <t>Подъезд к кладбищу № 3 д. Шамовщина от а/д Р-15 Кричев-Орша-Лепель км 0,0-2,200</t>
  </si>
  <si>
    <t>Подъезд к кладбищу № 4 д. Шамовщина от а/д Р-15 Кричев-Орша-Лепель км 0,0-0,200</t>
  </si>
  <si>
    <t>Подъезд к кладбищу № 2 д. Чернилово от а/д Р-15 Кричев-Орша-Лепель км 0,0-0,700</t>
  </si>
  <si>
    <t>Подъезд к кладбищу № 3 д. Чернилово от а/д Н-14307 Подъезд к д. Чернилово (улица Центральная) от а/д Р-15 Кричев–Орша–Лепель км 0,0-1,000</t>
  </si>
  <si>
    <t>Подъезд к кладбищу д. Бель от а/д Р-15 Кричев-Орша-Лепель км 0,0-0,400</t>
  </si>
  <si>
    <t>Подъезд к кладбищу № 1 д. Шамовщина от а/д Р-15 Кричев-Орша-Лепель км 0,0-2,370</t>
  </si>
  <si>
    <t>Подъезд к кладбищу д. Курковщина от а/д Н-14315 Подъезд к д. Курковщина от а/д Р-73 Чаусы–Мстиславль–граница Российской Федерации (Каськово) км 0,0-0,320</t>
  </si>
  <si>
    <t>Подъезд к кладбищу д. Новое Село от а/д Н-14318 Подъезд к д. Бескаково от а/д Р-73 Чаусы–Мстиславль–граница Российской Федерации (Каськово) км 0,0-0,300</t>
  </si>
  <si>
    <t>Подъезд к кладбищу № 1 д. Бескаково от а/д Н-14318 Подъезд к д. Бескаково от а/д Р-73 Чаусы–Мстиславль–граница Российской Федерации (Каськово) км 0,0-0,500</t>
  </si>
  <si>
    <t>Подъезд к кладбищу № 2 д. Бескаково от а/д Н-14318 Подъезд к д. Бескаково от а/д Р-73 Чаусы–Мстиславль–граница Российской Федерации (Каськово) км 0,0-0,800</t>
  </si>
  <si>
    <t>Подъезд к кладбищу д. Красное от а/д Р-73 Чаусы–Мстиславль–граница Российской Федерации (Каськово) км 0,0-0,200</t>
  </si>
  <si>
    <t>Подъезд к кладбищу д. Печковка от а/д Н-14334 Подъезд к д. Печковка от а/д Р-73 Чаусы–Мстиславль–граница Российской Федерации (Каськово) км 0,0-0,900</t>
  </si>
  <si>
    <t>Подъезд к кладбищу д. Каськово от а/д Р-73 Чаусы-Мстиславль-граница Российской Федерации (Каськово) км 0,0-0,250</t>
  </si>
  <si>
    <t>Подъезд к кладбищу д. Гуторовщина от а/д Н-14343 Подъезд к д. Гуторовщина от а/д Р-96 Могилев–Рясно–Мстиславль км 0,0-0,650</t>
  </si>
  <si>
    <t>Подъезд к кладбищу д. Рожево от а/д Н-14347 Подъезд к д. Рожево от а/д Р-96 Могилев–Рясно–Мстиславль км 0,0-0,500</t>
  </si>
  <si>
    <t>Подъезд к кладбищу д. Кошь от а/д Н-14350 Подъезд к д. Кошь от а/д Р-96 Могилев–Рясно–Мстиславль км 0,0-1,000</t>
  </si>
  <si>
    <t>Подъезд к кладбищу д. Рудодимо от а/д Н-14352 Подъезд к д. Рудодимо от а/д Р-96 Могилев–Рясно–Мстиславль км 0,0-1,200</t>
  </si>
  <si>
    <t>Подъезд к кладбищу д. Асмоловичи от а/д Н-14356 Подъезд к д. Асмоловичи от а/д Р-96 Могилев–Рясно–Мстиславль км 0,0-0,950</t>
  </si>
  <si>
    <t>Подъезд к кладбищу №1 д. Башары от а/д Р-96 Могилев-Рясно-Мстиславль км 0,0-0,300</t>
  </si>
  <si>
    <t>Подъезд к кладбищу №2 д. Башары от а/д Р-96 Могилев-Рясно-Мстиславль км 0,0-0,200</t>
  </si>
  <si>
    <t>Подъезд к кладбищу д. Быковичи от а/д Р-96 Могилев-Рясно-Мстиславль км 0,0-0,800</t>
  </si>
  <si>
    <t>Подъезд к кладбищу д. Ставище от а/д Н-14374 Подъезд к д. Ставище от а/д Н-11202 Осиповичи–Дараганово км 0,0-0,300</t>
  </si>
  <si>
    <t>Подъезд к кладбищу д. Лука от а/д Н-14376 Подъезд к д. Лука от а/д Н-11202 Осиповичи–Дараганово км 0,0-0,500</t>
  </si>
  <si>
    <t>Подъезд к кладбищу д. Радутичи от а/д Н-14376 Подъезд к д. Лука от а/д Н-11202 Осиповичи–Дараганово км 0,0-0,650</t>
  </si>
  <si>
    <t>Подъезд к кладбищу д. Клепчаный Мост от а/д Н-14380 Подъезд к д. Клепчаный Мост от а/д Н-11202 Осиповичи–Дараганово км 0,0-0,500</t>
  </si>
  <si>
    <t>Подъезд к кладбищу д. Деревцы от а/д Н-14382 Подъезд к д. Деревцы от а/д Н-11202 Осиповичи–Дараганово км 0,0-0,800</t>
  </si>
  <si>
    <t>Подъезд к кладбищу д. Ягодное от а/д Н-11202 Осиповичи-Дараганово км 0,0-0,300</t>
  </si>
  <si>
    <t>Подъезд к кладбищу д. Устиж от а/д Н-14396 Подъезд к д. Устиж от а/д Н-11204 Малая Горожа–Липень–Каменичи км 0,0-0,350</t>
  </si>
  <si>
    <t>Подъезд к кладбищу д. Бозок от а/д Н-14400 Подъезд к д. Бозок от а/д Н-11204 Малая Горожа–Липень–Каменичи км 0,0-0,500</t>
  </si>
  <si>
    <t>Подъезд к кладбищу д. Яновка от а/д Н-11204 Малая Горожа-Липень-Каменичи км 0,0-0,450</t>
  </si>
  <si>
    <t>Подъезд к кладбищу д. Знаменка от а/д Н-11204 Малая Горожа-Липень-Каменичи км 0,0-0,500</t>
  </si>
  <si>
    <t>Подъезд к кладбищу д. Уборок от а/д Н-14415 Подъезд к д. Слободка от а/д Н-11209 Жорновка–Лочин км 0,0-0,050</t>
  </si>
  <si>
    <t>Подъезд к кладбищу д. Лочин от а/д Н-11209 Жорновка-Лочин км 0,0-0,500</t>
  </si>
  <si>
    <t>Подъезд к кладбищу д. Сухлово от а/д Н-14419 Подъезд к д. Сухлово от а/д Н-11212 Корытное–Деменка–Ясень км 0,0-0,650</t>
  </si>
  <si>
    <t>Подъезд к кладбищу д. Станция Ясень от а/д Н-11212 Корытное–Деменка–Ясень км 0,0-0,170</t>
  </si>
  <si>
    <t>Подъезд к кладбищу д. Шейпичи от а/д Н-11215 Елизово-Шейпичи км 0,0-0,250</t>
  </si>
  <si>
    <t>Подъезд к кладбищу д. Химное от а/д Н-11217 Химное-Игнатовка км 0,0-0,300</t>
  </si>
  <si>
    <t>Подъезд к кладбищу д. Игнатовка от а/д Н-11217 Химное-Игнатовка км 0,0-1,300</t>
  </si>
  <si>
    <t>Подъезд к кладбищу д. Большая Горожа от а/д Н-11218 Замошье-Лучицы-Большая Горожа-Малая Горожа км 0,0-1,150</t>
  </si>
  <si>
    <t>Подъезд к кладбищу д. Жуковка от а/д Н-11223 Лапичи-Гомоновка км 0,0-0,700</t>
  </si>
  <si>
    <t>Подъезд к кладбищу д. Семировичи от а/д Н-11225 Лобковица –Рафалин–Вязычин км 0,0-0,750</t>
  </si>
  <si>
    <t>Подъезд к кладбищу д. Вязычин от а/д Н-11225 Лобковица –Рафалин–Вязычин км 0,0-1,100</t>
  </si>
  <si>
    <t>Подъезд к кладбищу д. Краи от а/д Н-11230 Ковгары-Краи-Концы км 0,0-0,300</t>
  </si>
  <si>
    <t>Подъезд к кладбищу д. Верейцы от а/д Н-11231 Осиповичи-Верейцы км 0,0-1,630</t>
  </si>
  <si>
    <t>Подъезд к кладбищу д. Тарасовичи от а/д Р-34 Осиповичи-Глуск-Озаричи км 0,0-0,450</t>
  </si>
  <si>
    <t>Подъезд к кладбищу д. Караны от а/д Р-34 Осиповичи-Глуск-Озаричи км 0,0-0,400</t>
  </si>
  <si>
    <t>Подъезд к кладбищу д. Орча от а/д Р-72 Осиповичи-Свислочь км 0,0-0,650</t>
  </si>
  <si>
    <t>Подъезд к кладбищу д. Дворок от а/д Р-91 Осиповичи–Барановичи км 0,0-0,650</t>
  </si>
  <si>
    <t>Подъезд к кладбищу д. Побоковичи от а/д Р-91 Осиповичи-Барановичи км 0,0-0,050</t>
  </si>
  <si>
    <t>Подъезд к кладбищу д. Гончаровка от а/д Н-14483 Подъезд к д. Гончаровка от а/д Н-11276 Васьковичи–Бахань–Ректа км 0,0-1,000</t>
  </si>
  <si>
    <t>Подъезд к кладбищу д. Приволье от а/д Н-14485 Подъезд к д. Приволье от а/д Н-11276 Васьковичи–Бахань–Ректа км 0,0-0,700</t>
  </si>
  <si>
    <t>Подъезд к кладбищу д. Затишье от а/д Н-14488 Подъезд к д. Затишье от а/д Н-11276 Васьковичи–Бахань–Ректа км 0,0-0,900</t>
  </si>
  <si>
    <t>Подъезд к кладбищу д. Зеленая Роща от а/д Н-14488 Подъезд к д. Затишье от а/д Н-11276 Васьковичи–Бахань–Ректа км 0,0-0,600</t>
  </si>
  <si>
    <t>Подъезд к кладбищу д. Васьковичи от а/д Н-11276 Васьковичи-Бахань-Ректа км 0,0-0,540</t>
  </si>
  <si>
    <t>Подъезд к кладбищу д. Малая Зимница от а/д Н-11276 Васьковичи-Бахань-Ректа км 0,0-0,900</t>
  </si>
  <si>
    <t>Подъезд к кладбищу д. Машецкая Слобода от а/д Н-14496 Подъезд к д. Машецкая Слобода от а/д Н-11278 Потеряевка–Иванищевичи км 0,0-1,100</t>
  </si>
  <si>
    <t>Подъезд к кладбищу д. Иванищевичи от а/д Н-11278 Потеряевка-Иванищевичи км 0,0-0,150</t>
  </si>
  <si>
    <t>Подъезд к кладбищу д. Азаричи от а/д Н-11279 Хоронев-Хворостяны-Азаричи км 0,0-1,500</t>
  </si>
  <si>
    <t>Подъезд к кладбищу д. Заглинное от а/д Н-14501 Подъезд к д. Заглинное от а/д Н-11280 Ходорово–Телеши–Улуки км 0,0-0,300</t>
  </si>
  <si>
    <t>Подъезд к кладбищу д. Усохи от а/д Н-14503 Подъезд к д. Усохи от а/д Н-11280 Ходорово–Телеши–Улуки км 0,0-0,050</t>
  </si>
  <si>
    <t>Подъезд к кладбищу д. Березовка от а/д Н-11280 Ходорово-Телеши-Улуки км 0,0-1,100</t>
  </si>
  <si>
    <t>Подъезд к кладбищу д. Летяги от а/д Н-11280 Ходорово-Телеши-Улуки км 0,0-1,500</t>
  </si>
  <si>
    <t>Подъезд к кладбищу д. Ходорово от а/д Н-11280 Ходорово-Телеши-Улуки км 0,0-0,030</t>
  </si>
  <si>
    <t>Подъезд к кладбищу упраздненной д. Дашковка от а/д Н-14512 Подъезд к упраздненной д. Дашковка от а/д Н-11281 Телеши–Любаны км 0,0-1,000</t>
  </si>
  <si>
    <t>Подъезд к кладбищу д. Любаны от а/д Н-11281 Телеши-Любаны км 0,0-1,100</t>
  </si>
  <si>
    <t>Подъезд к кладбищу упраздненной д. Курганье от а/д Н-11282 Уречье–Шеломы км 0,0-0,900</t>
  </si>
  <si>
    <t>Подъезд к кладбищу д. Шеломы от а/д Н-11282 Уречье–Шеломы км 0,0-3,100</t>
  </si>
  <si>
    <t>Подъезд к кладбищу д. Перегон от а/д Н-11283 Ректа-Перегон км 0,0-0,400</t>
  </si>
  <si>
    <t>Подъезд к кладбищу д. Безуевичи от а/д Н-11284 Гайшин-Безуевичи-Лебедёвка км 0,0-1,500</t>
  </si>
  <si>
    <t>Подъезд к кладбищу д. Железинка от а/д Н-11285 Лесная-Железинка км 0,0-0,600</t>
  </si>
  <si>
    <t>Подъезд к кладбищу д. Рудня от а/д Н-11289 Летяги-Рудня км 0,0-0,500</t>
  </si>
  <si>
    <t>Подъезд к кладбищу д. Есяновица от а/д Н-14526 Подъезд к д. Есяновица от а/д Н-11290 Славгород–Корма (до границы Могилевской области) км 0,0-0,600</t>
  </si>
  <si>
    <t>Подъезд к кладбищу д. Кабина Гора от а/д Н-14538 Подъезд к д. Кабина Гора от а/д Р-119 Славгород–Никоновичи (до автомобильной дороги М-8/Е 95) км 0,0-0,400</t>
  </si>
  <si>
    <t>Подъезд к кладбищу д. Уречье-1 от а/д Р-119 Славгород-Никоновичи (до автомобильной дороги М-8/Е 95) км 0,0-0,250</t>
  </si>
  <si>
    <t>Подъезд к кладбищу д. Александровка-2 от а/д Н-14558 Подъезд к д. Александровка-2 от а/д Р-43 Граница Российской Федерации (Звенчатка)–Кричев–Бобруйск–Ивацевичи (до автомобильной дороги Р-2/Е 85) км 0,0-1,100</t>
  </si>
  <si>
    <t>Подъезд к кладбищу д. Чиковка от а/д Н-14564 Подъезд к д. Чиковка от а/д Р-71 Могилев–Славгород км 0,0-0,400</t>
  </si>
  <si>
    <t>Подъезд к кладбищу д. Новая Слобода от а/д Р-71 Могилев-Славгород км 0,0-0,050</t>
  </si>
  <si>
    <t>Подъезд к кладбищу д. Рабовичи от а/д Н-14571 Подъезд к д. Рабовичи от а/д Р-138 Чаусы–Славгород (до автомобильной дороги Р-71) км 0,0-0,400</t>
  </si>
  <si>
    <t>Подъезд к кладбищу д. Еловец от а/д Н-11351 Хотимск–граница Российской Федерации на Рославль км 0,0-0,300</t>
  </si>
  <si>
    <t>Подъезд к кладбищу упраздненной д. Ясное Утро от а/д Н-11351 Хотимск–граница Российской Федерации на Рославль км 0,0-1,500</t>
  </si>
  <si>
    <t>Подъезд к кладбищу д. Юзефовка от а/д Н-11354 Хотимск–Батаево–Ивкино км 0,0-0,250</t>
  </si>
  <si>
    <t>Подъезд к кладбищу д. Князёвка от а/д Н-11354 Хотимск–Батаево–Ивкино км 0,0-0,100</t>
  </si>
  <si>
    <t>Подъезд к кладбищу упраздненной д. Троицкий от а/д Н-11354 Хотимск–Батаево–Ивкино км 0,0-0,100</t>
  </si>
  <si>
    <t>Подъезд к кладбищу д. Дубровка от а/д Н-11354 Хотимск–Батаево–Ивкино км 0,0-1,100</t>
  </si>
  <si>
    <t>Подъезд к кладбищу д. Ивкино от а/д Н-11354 Хотимск–Батаево–Ивкино км 0,0-1,000</t>
  </si>
  <si>
    <t>Подъезд к кладбищу д. Михайловка от а/д Н-14596 Подъезд к д. Михайловка от а/д Н-11354 Хотимск–Батаево–Ивкино км 0,0-0,100</t>
  </si>
  <si>
    <t>Подъезд к кладбищу д. Ветка от а/д Н-14596 Подъезд к д. Михайловка от а/д Н-11354 Хотимск–Батаево–Ивкино км 0,0-0,560</t>
  </si>
  <si>
    <t>Подъезд к кладбищу д. Будочка от а/д Н-11355 Тростино-Ельня км 0,0-0,250</t>
  </si>
  <si>
    <t>Подъезд к кладбищу д. Кленовка от а/д Н-11355 Тростино-Ельня км 0,0-0,100</t>
  </si>
  <si>
    <t>Подъезд к кладбищу д. Василёвка-1 от а/д Н-14602 Подъезд к д. Василёвка-1 от а/д Н-11356 Яновка–Шелодоновка км 0,0-0,800</t>
  </si>
  <si>
    <t>Подъезд к кладбищу д. Таклёвка от а/д Н-14604 Подъезд к д. Таклёвка от а/д Н-11357 Забелышин–Орловка–Тихань–Пограничник км 0,0-0,700</t>
  </si>
  <si>
    <t>Подъезд к кладбищу № 1 д. Буда от а/д Н-14608 Подъезд № 2 к д. Буда от а/д Н-14607 Подъезд № 1 к д. Буда от а/д Н-11357 Забелышин–Орловка–Тихань–Пограничник км 0,0-0,300</t>
  </si>
  <si>
    <t>Подъезд к кладбищу № 2 д. Буда от а/д Н-11357 Забелышин–Орловка–Тихань–Пограничник км 0,0-0,600</t>
  </si>
  <si>
    <t>Подъезд к кладбищу д. Василёвка-2 от а/д Н-11359 Хотимск–Пограничник–граница Российской Федерации км 0,0-0,300</t>
  </si>
  <si>
    <t>Подъезд к кладбищу упраздненной д. Борки от а/д Н-11359 Хотимск–Пограничник–граница Российской Федерации км 0,0-4,000</t>
  </si>
  <si>
    <t>Подъезд к кладбищу д. Ольшов-2 от а/д Н-14616 Подъезд к д. Ольшов-2 от а/д Н-11359 Хотимск–Пограничник–граница Российской Федерации км 0,0-1,000</t>
  </si>
  <si>
    <t>Подъезд к кладбищу д. Молуновка от а/д Н-11359 Хотимск-Пограничник-граница Российской Федерации км 0,0-0,300</t>
  </si>
  <si>
    <t>Подъезд к кладбищу д. Узлоги от а/д Н-11360 Липовка-Узлоги км 0,0-0,500</t>
  </si>
  <si>
    <t>Подъезд к кладбищу д. Мартиновка от а/д Н-11367 Чернявка–Артюховка км 0,0-1,800</t>
  </si>
  <si>
    <t>Подъезд к кладбищу д. Артюховка от а/д Н-11367 Чернявка-Артюховка км 0,0-0,350</t>
  </si>
  <si>
    <t>Подъезд к кладбищу упраздненной д. Криничка от а/д Н-11369 Ельня–Кленовка км 0,0-0,500</t>
  </si>
  <si>
    <t>Подъезд к кладбищу д. Буросово от а/д Н-11374 Беседовичи-Новая Жизнь-Буросово км 0,0-1,230</t>
  </si>
  <si>
    <t>Подъезд к кладбищу д. Подлесная от а/д Н-11376 Тростино-Подлесная-Фомино км 0,0-2,200</t>
  </si>
  <si>
    <t>Подъезд к кладбищу д. Роскошь от а/д Н-14640 Подъезд к д. Роскошь от а/д Р-74 Чериков–Краснополье–Хотимск–граница Российской Федерации (Горня) км 0,0-0,350</t>
  </si>
  <si>
    <t>Подъезд к кладбищу д. Мосин от а/д Н-14642 Подъезд к д. Мосин от а/д Р-74 Чериков–Краснополье–Хотимск–граница Российской Федерации (Горня) км 0,0-0,500</t>
  </si>
  <si>
    <t>Подъезд к кладбищу д. Канава от а/д Н-14642 Подъезд к д. Мосин от а/д Р-74 Чериков–Краснополье–Хотимск–граница Российской Федерации (Горня) км 0,0-0,500</t>
  </si>
  <si>
    <t>Подъезд к кладбищу д. Беседский Прудок от а/д Н-14649 Подъезд к д. Беседский Прудок от а/д Р-74 Чериков–Краснополье–Хотимск–граница Российской Федерации (Горня) км 0,0-0,400</t>
  </si>
  <si>
    <t>Подъезд к кладбищу д. Горня от а/д Р-74 Чериков-Краснополье-Хотимск-граница Российской Федерации (Горня) км 0,0-0,800</t>
  </si>
  <si>
    <t>Подъезд к кладбищу д. Красная Заря от а/д Р-74 Чериков-Краснополье-Хотимск-граница Российской Федерации (Горня) км 0,0-0,100</t>
  </si>
  <si>
    <t>Подъезд к кладбищу д. Дружба от а/д Н-14658 Подъезд к д. Дружба от а/д Р-139 Хотимск–Родня км 0,0-0,800</t>
  </si>
  <si>
    <t>Подъезд к кладбищу д. Тростино (улица Озёрная) от а/д Р-139 Хотимск–Родня км 0,0-0,460</t>
  </si>
  <si>
    <t>Подъезд к кладбищу д. Тростино (улица Первомайская) от а/д Р-139 Хотимск-Родня км 0,0-0,450</t>
  </si>
  <si>
    <t>Подъезд к кладбищу № 2 д. Будочка (Жуковка) от а/д Р-139 Хотимск-Родня км 0,0-1,600</t>
  </si>
  <si>
    <t>Подъезд к кладбищу д. Прудок от а/д Р-139 Хотимск–Родня км 0,0-0,150</t>
  </si>
  <si>
    <t>Подъезд к кладбищу д. Новоселки от а/д Н-11426 Чаусы-Волковичи км 0,0-0,680</t>
  </si>
  <si>
    <t>Подъезд к кладбищу д. Барышевка от а/д Н-11428 Русиновка-Барышевка-Скварск-Дедня-Пухнова км 0,0-0,130</t>
  </si>
  <si>
    <t>Подъезд к кладбищу д. Скварск от а/д Н-11428 Русиновка-Барышевка-Скварск-Дедня-Пухнова км 0,0-0,150</t>
  </si>
  <si>
    <t>Подъезд к кладбищу д. Дедня от а/д Н-11428 Русиновка-Барышевка-Скварск-Дедня-Пухнова км 0,0-0,400</t>
  </si>
  <si>
    <t>Подъезд к кладбищу д. Пухнова от а/д Н-11428 Русиновка-Барышевка-Скварск-Дедня-Пухнова км 0,0-0,500</t>
  </si>
  <si>
    <t>Подъезд к кладбищу д. Усушек от а/д Н-11430 Антоновка-Долгий Мох км 0,0-0,260</t>
  </si>
  <si>
    <t>Подъезд к кладбищу № 1 д. Радучи от а/д Н-14694 Подъезд к д. Радучи от а/д Н-11431 Чаусы–Заложье км 0,0-1,320</t>
  </si>
  <si>
    <t>Подъезд к кладбищу № 2 д. Радучи от а/д Н-14695 Подъезд к кладбищу № 1 д. Радучи от а/д Н-14694 Подъезд к д. Радучи от а/д Н-11431 Чаусы–Заложье км 0,0-0,460</t>
  </si>
  <si>
    <t>Подъезд к кладбищу д. Колесянка от а/д Н-11431 Чаусы-Заложье км 0,0-2,100</t>
  </si>
  <si>
    <t>Подъезд к кладбищу №1 д. Русиновка от а/д Н-11431 Чаусы-Заложье км 0,0-0,290</t>
  </si>
  <si>
    <t>Подъезд к кладбищу №2 д. Русиновка от а/д Н-11431 Чаусы-Заложье км 0,0-0,200</t>
  </si>
  <si>
    <t>Подъезд к кладбищу д. Дубасник от а/д Н-11431 Чаусы-Заложье км 0,0-0,510</t>
  </si>
  <si>
    <t>Подъезд к кладбищу д. Новинка от а/д Н-11431 Чаусы-Заложье км 0,0-0,400</t>
  </si>
  <si>
    <t>Подъезд к кладбищу д. Лужок от а/д Н-14712 Подъезд к д. Лужок от а/д Н-11432 Войнилы–Копани км 0,0-0,200</t>
  </si>
  <si>
    <t>Подъезд к кладбищу д. Копани от а/д Н-11432 Войнилы-Копани км 0,0-0,150</t>
  </si>
  <si>
    <t>Подъезд к кладбищу д. Бахотец от а/д Н-14716 Подъезд к д. Бахотец от а/д Н-11433 Смолка–Горбовичи–Красница–Гладково км 0,0-1,240</t>
  </si>
  <si>
    <t>Подъезд к кладбищу №1 д. Хацковичи от а/д Н-11433 Смолка-Горбовичи-Красница-Гладково км 0,0-0,500</t>
  </si>
  <si>
    <t>Подъезд к кладбищу №2 д. Хацковичи от а/д Н-11433 Смолка-Горбовичи-Красница-Гладково км 0,0-0,600</t>
  </si>
  <si>
    <t>Подъезд к кладбищу №3 д. Хацковичи от а/д Н-11433 Смолка-Горбовичи-Красница-Гладково км 0,0-0,390</t>
  </si>
  <si>
    <t>Подъезд к кладбищу №4 д. Хацковичи от а/д Н-11433 Смолка-Горбовичи-Красница-Гладково км 0,0-1,270</t>
  </si>
  <si>
    <t>Подъезд к кладбищу д. Гладково от а/д Н-11433 Смолка-Горбовичи-Красница-Гладково км 0,0-0,560</t>
  </si>
  <si>
    <t>Подъезд к кладбищу д. Слобода от а/д Н-11433 Смолка-Горбовичи-Красница-Гладково км 0,0-1,100</t>
  </si>
  <si>
    <t>Подъезд к кладбищу № 1 д. Темровичи от а/д Н-11434 Темровичи-Васьковичи-Городня км 0,0-0,250</t>
  </si>
  <si>
    <t>Подъезд к кладбищу № 2 д. Темровичи от а/д Н-11434 Темровичи-Васьковичи-Городня км 0,0-0,350</t>
  </si>
  <si>
    <t>Подъезд к кладбищу д. Большие Амхиничи от а/д Н-11434 Темровичи-Васьковичи-Городня км 0,0-0,760</t>
  </si>
  <si>
    <t>Подъезд к кладбищу д. Воложенка от а/д Н-14749 Подъезд к садоводческому товариществу «Благовичи» от а/д Н-14748 Подъезд к д. Воложенка от а/д Н-11437 Харьковка–Астрени–Загоренка км 0,0-0,170</t>
  </si>
  <si>
    <t>Подъезд к кладбищу упраздненной д. Любавино от а/д Н-11437 Харьковка–Астрени–Загоренка км 0,0-0,800</t>
  </si>
  <si>
    <t>Подъезд к кладбищу д. Гиревцы от а/д Н-11438 Гиревцы-Галузы км 0,0-0,950</t>
  </si>
  <si>
    <t>Подъезд к кладбищу д. Галузы от а/д Н-11438 Гиревцы-Галузы км 0,0-0,160</t>
  </si>
  <si>
    <t>Подъезд к кладбищу д. Кононовка от а/д Н-11439 Дужевка-Пороевка-Кононовка км 0,0-0,600</t>
  </si>
  <si>
    <t>Подъезд к кладбищу д. Исакова Буда от а/д Н-11443 Смолка-Бесчинье-Кутня км 0,0-0,850</t>
  </si>
  <si>
    <t>Подъезд к кладбищу д. Кутня от а/д Н-11443 Смолка-Бесчинье-Кутня км 0,0-2,050</t>
  </si>
  <si>
    <t>Подъезд к кладбищу д. Пилещино от а/д Н-11445 Пилещино-Рагозинка км 0,0-0,600</t>
  </si>
  <si>
    <t>Подъезд к кладбищу д. Чигриновка от а/д Н-11446 Быново-Чигриновка-Кротки км 0,0-0,350</t>
  </si>
  <si>
    <t>Подъезд к кладбищу д. Кротки от а/д Н-11446 Быново-Чигриновка-Кротки км 0,0-1,500</t>
  </si>
  <si>
    <t>Подъезд к кладбищу д. Антоновка от а/д Н-11448 Антоновка-Горбовичи км 0,0-2,480</t>
  </si>
  <si>
    <t>Подъезд к кладбишу д. Авхимки от а/д Н-11453 Каменка-Авхимки-Чернавцы-Городец км 0,0-1,040</t>
  </si>
  <si>
    <t>Подъезд к кладбищу д. Городец от а/д Н-11453 Каменка-Авхимки-Чернавцы-Городец км 0,0-1,500</t>
  </si>
  <si>
    <t>Подъезд к кладбищу д. Грязивец от а/д Н-11463 Малый Грязивец–Грязивец км 0,0-0,460</t>
  </si>
  <si>
    <t>Подъезд к кладбищу д. Прудок от а/д Н-11464 Голочевка–Прудок–Ключ–Ново-Егоровка км 0,0-0,770</t>
  </si>
  <si>
    <t>Подъезд к кладбищу д. Желивье от а/д Н-11469 Пырцы–Рябиновая Слобода км 0,0-0,100</t>
  </si>
  <si>
    <t>Подъезд к кладбищу д. Гатная Слободка от а/д Н-11471 Гатная Слободка-Забока км 0,0-0,600</t>
  </si>
  <si>
    <t>Подъезд к кладбищу д. Самулки от а/д Н-11472 Самулки-Темнолесье км 0,0-0,880</t>
  </si>
  <si>
    <t>Подъезд к кладбищу д. Вилейка от а/д Н-14796 Подъезд к д. Вилейка от а/д Р-122 Могилев–Чериков–Костюковичи км 0,0-0,580</t>
  </si>
  <si>
    <t>Подъезд к кладбищу д. Атражье от а/д Н-14800 Подъезд к д. Атражье от а/д Р-122 Могилев–Чериков–Костюковичи км 0,0-0,920</t>
  </si>
  <si>
    <t>Подъезд к кладбищу д. Петуховка от а/д Н-14815 Подъезд к д. Петуховка от а/д Р-138 Чаусы–Славгород (до автомобильной дороги Р-71) км 0,0-1,000</t>
  </si>
  <si>
    <t>Подъезд к кладбищу д. Лапени от а/д Р-138 Чаусы-Славгород (до автомобильной дороги Р-71) км 0,0-2,160</t>
  </si>
  <si>
    <t>Подъезд к кладбищу №1 д. Кузьминичи от а/д Р-138 Чаусы-Славгород (до автомобильной дороги Р-71) км 0,0-0,420</t>
  </si>
  <si>
    <t>Подъезд к кладбищу №2 д. Кузьминичи от а/д Р-138 Чаусы-Славгород (до автомобильной дороги Р-71) км 0,0-1,970</t>
  </si>
  <si>
    <t>Подъезд к кладбищу д. Сутоки от а/д Н-14822 Подъезд к д. Сутоки от а/д Р-71 Могилев–Славгород км 0,0-0,900</t>
  </si>
  <si>
    <t>Подъезд к кладбищу д. Александрово от а/д Н-14822 Подъезд к д. Сутоки от а/д Р-71 Могилев–Славгород км 0,0-0,455</t>
  </si>
  <si>
    <t>Подъезд к кладбищу д. Черенки от а/д Н-14825 Подъезд к д. Черенки от а/д Р-71 Могилев–Славгород км 0,0-1,220</t>
  </si>
  <si>
    <t>Подъезд к кладбищу д. Ольховка от а/д Н-14830 Подъезд к д. Ольховка от а/д Р-73 Чаусы–Мстиславль–граница Российской Федерации (Каськово) км 0,0-0,350</t>
  </si>
  <si>
    <t>Подъезд к кладбищу д. Прилесье от а/д Н-14835 Подъезд к д. Прилесье от а/д Р-73 Чаусы–Мстиславль–граница Российской Федерации (Каськово) км 0,0-1,220</t>
  </si>
  <si>
    <t>Подъезд к кладбищу д. Ново-Александровка от а/д Н-14837 Подъезд к д. Ново-Александровка от а/д Р-73 Чаусы–Мстиславль–граница Российской Федерации (Каськово) км 0,0-0,320</t>
  </si>
  <si>
    <t>Подъезд к кладбищу д. Каменка от а/д Н-14839 Подъезд к д. Каменка от а/д Р-73 Чаусы–Мстиславль–граница Российской Федерации (Каськово) км 0,0-1,130</t>
  </si>
  <si>
    <t>Подъезд к кладбищу д. Зеленый Прудок от а/д Н-14841 Подъезд к д. Зеленый Прудок от а/д Р-73 Чаусы–Мстиславль–граница Российской Федерации (Каськово) км 0,0-0,720</t>
  </si>
  <si>
    <t>Подъезд к кладбищу д. Граболово от а/д Н-14843 Подъезд к д. Граболово от а/д Р-73 Чаусы–Мстиславль–граница Российской Федерации (Каськово) км 0,0-0,770</t>
  </si>
  <si>
    <t>Подъезд к кладбищу д. Хоньковичи от а/д Р-96 Могилев-Рясно-Мстиславль км 0,0-0,270</t>
  </si>
  <si>
    <t>Подъезд к кладбищу д. Хильковичи от а/д Р-96 Могилев-Рясно-Мстиславль км 0,0-0,550</t>
  </si>
  <si>
    <t>Подъезд к кладбищу д. Бракова Слобода от а/д Р-96/П 1 Подъезд к г. Чаусы от автомобильной дороги Р-96 км 0,0-0,250</t>
  </si>
  <si>
    <t>Подъезд к кладбищу д. Турье от а/д Н-10517 Турье-Юный Пахарь км 0,0-0,400</t>
  </si>
  <si>
    <t>Подъезд к кладбищу д. Каменка от а/д Н-10520 Забочев-Каменка км 0,0-1,300</t>
  </si>
  <si>
    <t>Подъезд к кладбищу д. Лобча от а/д Н-14879 Подъезд к д. Лобча от а/д Н-11502 Чериков–Езеры–Гижня км 0,0-0,500</t>
  </si>
  <si>
    <t>Подъезд к кладбищу д. Дубровка от а/д Н-14881 Подъезд к д. Дубровка от а/д Н-11502 Чериков–Езеры–Гижня км 0,0-0,600</t>
  </si>
  <si>
    <t>Подъезд к кладбищу д. Долгое от а/д Н-11502 Чериков-Езеры-Гижня, км 0,0-0,600</t>
  </si>
  <si>
    <t>Подъезд к кладбищу д. Гижня от а/д Н-11502 Чериков-Езеры-Гижня км 0,0-0,700</t>
  </si>
  <si>
    <t>Подъезд к кладбищу № 1 д. Удога от а/д Н-14897 Подъезд к административному зданию сельскохозяйственного производственного кооператива «Искра» от а/д Н-11503 Чериков–Удога–Веремейки км 0,0-1,000</t>
  </si>
  <si>
    <t>Подъезд к кладбищу №2 д. Удога от а/д Н-11503 Чериков-Удога-Веремейки км 0,0-0,100</t>
  </si>
  <si>
    <t>Подъезд к кладбищу д. Норки от а/д Н-11503 Чериков-Удога-Веремейки км 0,0-1,500</t>
  </si>
  <si>
    <t>Подъезд к кладбищу д. Глинь от а/д Н-11503 Чериков-Удога-Веремейки км 0,0-0,380</t>
  </si>
  <si>
    <t>Подъезд к школе в д. Глинь от а/д Н-14901 Подъезд к кладбищу д. Глинь от а/д Н-11503 Чериков–Удога–Веремейки км 0,0-0,970</t>
  </si>
  <si>
    <t>Подъезд к кладбищу упраздненной д. Гойков от а/д Н-11503 Чериков–Удога–Веремейки км 0,0-3,800</t>
  </si>
  <si>
    <t>Подъезд к кладбищу д. Холоблин от а/д Н-11504 Охорь-Речица-Холоблин км 0,0-0,600</t>
  </si>
  <si>
    <t>Подъезд к кладбищу № 1 д. Охорь от а/д Н-11504 Охорь–Речица–Холоблин км 0,0-0,600</t>
  </si>
  <si>
    <t>Подъезд к кладбищу упраздненной д. Степанов от а/д Н-14911 Подъезд к кладбищу № 1 д. Охорь от а/д Н-11504 Охорь–Речица–Холоблин км 0,0-1,300</t>
  </si>
  <si>
    <t>Подъезд к кладбищу № 2 д. Охорь от а/д Н-11504 Охорь–Речица–Холоблин км 0,0-0,200</t>
  </si>
  <si>
    <t>Подъезд к кладбищу упраздненной д. Торжев от а/д Н-11504 Охорь–Речица–Холоблин км 0,0-1,100</t>
  </si>
  <si>
    <t>Подъезд к кладбищу упраздненной д. Комаровичи от а/д Н-14914 Подъезд к обелиску в упраздненной д. Комаровичи от а/д Н-11504 Охорь–Речица–Холоблин км 0,0-0,600</t>
  </si>
  <si>
    <t>Подъезд к кладбищу упраздненной д. Глубокий Лог от а/д Н-11504 Охорь–Речица–Холоблин км 0,0-1,200</t>
  </si>
  <si>
    <t>Подъезд к кладбищу упраздненной д. Ближняя Речица от а/д Н-11504 Охорь–Речица–Холоблин км 0,0-0,600</t>
  </si>
  <si>
    <t>Подъезд к кладбищу д. Зори от а/д Н-11505 Вымочь-Зори км 0,0-0,300</t>
  </si>
  <si>
    <t>Подъезд к кладбищу д. Припечино от а/д Н-11506 Соколовка-Езеры км 0,0-0,250</t>
  </si>
  <si>
    <t>Подъезд к кладбищу № 1 д. Рогалино от а/д Н-11507 Соколовка–Долгое км 0,0-1,100</t>
  </si>
  <si>
    <t>Подъезд к кладбищу № 2 д. Рогалино от а/д Н-11507 Соколовка–Долгое км 0,0-1,500</t>
  </si>
  <si>
    <t>Подъезд к кладбищу № 3 д. Рогалино от а/д Н-11507 Соколовка–Долгое км 0,0-0,450</t>
  </si>
  <si>
    <t>Подъезд к кладбищу д. Селище от а/д Н-11512 Веремейки-Селище-Ляхи км 0,0-0,500</t>
  </si>
  <si>
    <t>Подъезд к кладбищу д. Ляхи от а/д Н-11512 Веремейки-Селище-Ляхи км 0,0-0,200</t>
  </si>
  <si>
    <t>Подъезд к кладбищу упраздненной д. Карковщина от а/д Н-11512 Веремейки–Седище–Ляхи  км 0,0-3,700</t>
  </si>
  <si>
    <t>Подъезд к кладбищу д. Еловка от а/д Н-14944 Подъезд к д. Еловка от а/д Р-122 Могилев–Чериков–Костюковичи км 0,0-0,600</t>
  </si>
  <si>
    <t>Подъезд к кладбищу упраздненной д. Лютровка от а/д Н-14951 Подъезд к д. Шароевка от а/д Р-122 Могилев–Чериков–Костюковичи км 0,0-1,500</t>
  </si>
  <si>
    <t>Подъезд к кладбищу №2 д. Васьковка от а/д Р-122 Могилев-Чериков-Костюковичи км 0,0-0,300</t>
  </si>
  <si>
    <t>Подъезд к кладбищу № 1 упраздненной д. Чудяны от а/д Р-122 Могилев–Чериков–Костюковичи км 0,0-0,150</t>
  </si>
  <si>
    <t>Подъезд к кладбищу № 2 упраздненной д. Чудяны от а/д Р-122 Могилев–Чериков–Костюковичи км 0,0-0,700</t>
  </si>
  <si>
    <t>Подъезд к кладбищу упраздненной д. Калютин от а/д Р-122 Могилев–Чериков–Костюковичи км 0,0-3,700</t>
  </si>
  <si>
    <t>Подъезд к кладбищу упраздненной д. Лысовка от а/д Н-14957 Подъезд к кладбищу упраздненной д. Калютин от а/д Р-122 Могилев–Чериков–Костюковичи км 0,0-6,500</t>
  </si>
  <si>
    <t>Подъезд к кладбищу упраздненной д. Островы от а/д Н-14958 Подъезд к кладбищу упраздненной д. Лысовка от а/д Н-14957 Подъезд к кладбищу упраздненной д. Калютин от а/д Р-122 Могилев–Чериков–Костюковичи км 0,0-2,100</t>
  </si>
  <si>
    <t>Подъезд к кладбищу д. Малиновка от а/д Р-122 Могилев–Чериков–Костюковичи км 0,0-0,420</t>
  </si>
  <si>
    <t>Подъезд к кладбищу упраздненной д. Язловица от а/д Н-14961 Подъезд к кладбищу д. Новомалиновка от а/д Р-122 Могилев–Чериков–Костюковичи км 0,0-2,200</t>
  </si>
  <si>
    <t>Подъезд к кладбищу упраздненной д. Клины от а/д Р-122 Могилев–Чериков–Костюковичи км 0,0-0,350</t>
  </si>
  <si>
    <t>Подъезд к кладбищу упраздненной д. Веприн от а/д Р-122 Могилев–Чериков–Костюковичи км 0,0-0,050</t>
  </si>
  <si>
    <t>Подъезд к кладбищу д. Устье от а/д Н-14965 Подъезд № 1 к д. Устье от а/д Р-43 Граница Российской Федерации (Звенчатка)–Кричев–Бобруйск–Ивацевичи (до автомобильной дороги Р-2/Е 85) км 0,0-0,700</t>
  </si>
  <si>
    <t>Подъезд к кладбищу д. Баков от а/д Н-14970 Подъезд к д. Баков от а/д Р-43 Граница Российской Федерации (Звенчатка)–Кричев–Бобруйск–Ивацевичи (до автомобильной дороги Р-2/Е 85) км 0,0-0,800</t>
  </si>
  <si>
    <t>Подъезд к кладбищу упраздненной д. Ремидовщина от а/д Н-14970 Подъезд к д. Баков от а/д Р-43 Граница Российской Федерации (Звенчатка)–Кричев–Бобруйск–Ивацевичи (до автомобильной дороги Р-2/Е 85) км 0,0-2,500</t>
  </si>
  <si>
    <t>Подъезд к кладбищу д. Полипень от а/д Н-14970 Подъезд к д. Баков от а/д Р-43 Граница Российской Федерации (Звенчатка)–Кричев–Бобруйск–Ивацевичи (до автомобильной дороги Р-2/Е 85) км 0,0-0,500</t>
  </si>
  <si>
    <t>Подъезд к кладбищу упраздненной д. Журавель от а/д Р-43 Граница Российской Федерации (Звенчатка)–Кричев–Бобруйск–Ивацевичи (до автомобильной дороги Р-2/Е 85) км 0,0-3,100</t>
  </si>
  <si>
    <t>Подъезд к кладбищу д. Богдановка от а/д Р-43/П 2 Подъезд к г. Черикову № 1 от автомобильной дороги Р-43 км 0,0-0,560</t>
  </si>
  <si>
    <t>Подъезд к кладбищу д. Пильня от а/д Н-14981 Подъезд к д. Пильня от а/д Р-74 Чериков–Краснополье–Хотимск–граница Российской Федерации (Горня) км 0,0-0,600</t>
  </si>
  <si>
    <t>Подъезд к кладбищу упраздненной д. Бакуновичи от а/д Н-14983 Подъезд к упраздненной д. Ушаки от а/д Р-74 Чериков–Краснополье–Хотимск–граница Российской Федерации (Горня) км 0,0-5,800</t>
  </si>
  <si>
    <t>Подъезд к кладбищу д. Головчицы от а/д Н-14988 Подъезд к д. Головчицы от а/д Р-74 Чериков–Краснополье–Хотимск–граница Российской Федерации (Горня) км 0,0-0,260</t>
  </si>
  <si>
    <t>Подъезд к кладбищу упраздненной д. Холменка и упраздненной д. Михайловка от а/д Н-14988 Подъезд к д. Головчицы от а/д Р-74 Чериков–Краснополье–Хотимск–граница Российской Федерации (Горня) км 0,0-9,900</t>
  </si>
  <si>
    <t>Подъезд к кладбищу упраздненной д. Князевка от а/д Н-14992 Подъезд к кладбищу упраздненной д. Холменка и упраздненной д. Михайловка от а/д Н-14988 Подъезд к д. Головчицы от а/д Р-74 Чериков–Краснополье–Хотимск–граница Российской Федерации (Горня) км 0,0-1,800</t>
  </si>
  <si>
    <t>Подъезд к кладбищу упраздненной д. Зябень от а/д Н-14992 Подъезд к кладбищу упраздненной д. Холменка и упраздненной д. Михайловка от а/д Н-14988 Подъезд к д. Головчицы от а/д Р-74 Чериков–Краснополье–Хотимск–граница Российской Федерации (Горня) км 0,0-0,650</t>
  </si>
  <si>
    <t>Подъезд к кладбищу упраздненной д. Дубровка от а/д Н-14992 Подъезд к кладбищу упраздненной д. Холменка и упраздненной д. Михайловка от а/д Н-14988 Подъезд к д. Головчицы от а/д Р-74 Чериков–Краснополье–Хотимск–граница Российской Федерации (Горня) км 0,0-1,200</t>
  </si>
  <si>
    <t>Подъезд к кладбищу д. Ржавцы от а/д Н-11633 Подъезд к д. Ржавцы от а/д Н-11577 Шклов–Сосновка 1–Старые Стайки км 0,0-1,000</t>
  </si>
  <si>
    <t>Подъезд к кладбищу д. Сапроньки от а/д Н-11577 Шклов–Сосновка 1–Старые Стайки км 0,0-0,800</t>
  </si>
  <si>
    <t>Подъезд к кладбищу д. Чирчино от а/д Н-11580 Калиновка-Черноручье-Говяды км 0,0-1,600</t>
  </si>
  <si>
    <t>Подъезд к кладбищу д. Тудорово от а/д Н-11580 Калиновка-Черноручье-Говяды км 0,0-0,400</t>
  </si>
  <si>
    <t>Подъезд к кладбищу д. Полыковичи от а/д Н-11580 Калиновка-Черноручье-Говяды км 0,0-1,000</t>
  </si>
  <si>
    <t>Подъезд к кладбищу д. Дивново от а/д Н-11582 Городище–Ордать–Редишено–Дивново–Доманы км 0,0-0,800</t>
  </si>
  <si>
    <t>Подъезд к кладбищу д. Ладыжено от а/д Н-11582 Городище–Ордать–Редишено–Дивново–Доманы км 0,0-0,800</t>
  </si>
  <si>
    <t>Подъезд к кладбищу д. Редишено от а/д Н-11582 Городище–Ордать–Редишено–Дивново–Доманы км 0,0-0,100</t>
  </si>
  <si>
    <t>Подъезд к кладбищу д. Смольянцы от а/д Н-11583 Калиновка-Староселье-Смольянцы км 0,0-0,300</t>
  </si>
  <si>
    <t>Подъезд к кладбищу д. Хатьково от а/д Н-11584 Борки-1–Староселье–Хатьково км 0,0-1,200</t>
  </si>
  <si>
    <t>Подъезд к кладбищу д. Борки-1 от а/д Н-11584 Борки-1–Староселье–Хатьково км 0,0-0,600</t>
  </si>
  <si>
    <t>Подъезд к кладбищу д. Бушляки от а/д Н-11690 Подъезд к садоводческому товариществу «Силикатчик» от а/д Н-11585 Садоводческое товарищество «Буровик»–Барсуки–Бушляки км 0,0-0,357</t>
  </si>
  <si>
    <t>Подъезд к кладбищу д. Барсуки от а/д Н-11585 Садоводческое товарищество «Буровик»–Барсуки–Бушляки км 0,0-1,200</t>
  </si>
  <si>
    <t>Подъезд к кладбищу д. Старые Чемоданы от а/д Н-11586 Городок-Кривель-Фащевка-Старые Чемоданы км 0,0-0,900</t>
  </si>
  <si>
    <t>Подъезд к кладбищу д. Караси от а/д Н-11590 Новоселки-Караси км 0,0-0,500</t>
  </si>
  <si>
    <t>Подъезд к кладбищу д. Старые Стайки от а/д Н-11597 Старые Стайки–Новые Стайки (до границы Могилевской области) км 0,0-0,600</t>
  </si>
  <si>
    <t>Подъезд к кладбищу д. Подгайцы от а/д Н-11719 Подъезд к д. Подгайцы от а/д Н-11601 Локути–Августово км 0,0-1,000</t>
  </si>
  <si>
    <t>Подъезд к кладбищу д. Августово от а/д Н-11601 Локути-Августово км 0,0-0,300</t>
  </si>
  <si>
    <t>Подъезд к кладбищу д. Рамшино от а/д Н-11603 Рамшино-Бабчино км 0,0-1,100</t>
  </si>
  <si>
    <t>Подъезд к кладбищу д. Дубровка от а/д Н-11607 Толкачи-Дубровка км 0,0-0,800</t>
  </si>
  <si>
    <t>Подъезд к кладбищу д. Старое Займище от а/д Н-11608 Ордать–Рудицы–Займище–Дивново км 0,0-0,500</t>
  </si>
  <si>
    <t>Подъезд к кладбищу д. Малое Черное от а/д Н-11611 Малое Черное–Лутно–Тросна–Дуброво–Малая Лотва км 0,0-0,300</t>
  </si>
  <si>
    <t>Подъезд к кладбищу д. Дуброво от а/д Н-11611 Малое Черное–Лутно–Тросна–Дуброво–Малая Лотва км 0,0-0,400</t>
  </si>
  <si>
    <t>Подъезд к кладбищу д. Лутно от а/д Н-11611 Малое Черное–Лутно–Тросна–Дуброво–Малая Лотва км 0,0-0,430</t>
  </si>
  <si>
    <t>Подъезд к кладбищу д. Заборье от а/д Н-11613 Заборье–Борки-1 км 0,0-0,300</t>
  </si>
  <si>
    <t>Подъезд к кладбищу д. Земцы от а/д Н-11615 Малый Старый Шклов–Земцы км 0,0-0,300</t>
  </si>
  <si>
    <t>Подъезд к кладбищу д. Озерье от а/д Н-11616 Евдокимовичи-Островец км 0,0-0,200</t>
  </si>
  <si>
    <t>Подъезд к кладбищу д. Заходы от а/д Н-11617 Евдокимовичи–Заходы–Пруды км 0,0-0,200</t>
  </si>
  <si>
    <t>Подъезд к кладбищу № 1 д. Пруды от а/д Н-11617 Евдокимовичи–Заходы–Пруды км 0,0-0,900</t>
  </si>
  <si>
    <t>Подъезд к кладбищу № 2 д. Пруды от а/д Н-11739 Подъезд к садоводческому товариществу «Друть-Пруды» от а/д Н-11617 Евдокимовичи–Заходы–Пруды км 0,0-0,100</t>
  </si>
  <si>
    <t>Подъезд к кладбищу д. Большой Михайлов от а/д Н-11640 Подъезд к д. Большой Михайлов от а/д Н-11619 Лотва–Каменные Лавы км 0,0-0,600</t>
  </si>
  <si>
    <t>Подъезд к кладбищу д. Лотва от а/д Н-11643 Подъезд к садоводческому товариществу «Связист-Лотва» от а/д Н-11619 Лотва–Каменные Лавы км 0,0-0,200</t>
  </si>
  <si>
    <t>Подъезд к кладбищу д. Каменые Лавы от а/д Н-11619 Лотва-Каменные Лавы км 0,0-0,500</t>
  </si>
  <si>
    <t>Подъезд к кладбищу д. Потапово от а/д Н-11622 Потапово-Дубровка-2- Завороты км 0,0-0,300</t>
  </si>
  <si>
    <t>Подъезд к кладбищу д. Завороты от а/д Н-11622 Потапово-Дубровка-2- Завороты км 0,0-0,500</t>
  </si>
  <si>
    <t>Подъезд к кладбищу д. Дубровка-2 от а/д Н-11622 Потапово-Дубровка-2- Завороты км 0,0-0,200</t>
  </si>
  <si>
    <t>Подъезд к кладбищу д. Ходулы от а/д Н-11761 Подъезд к д. Ходулы от а/д М-8/П 4 Подъезд к г. Шклову от автомобильной дороги М-8/Е 95 км 0,0-1,000</t>
  </si>
  <si>
    <t>Подъезд к кладбищу д. Большое Уланово от а/д Н-11766 Подъезд к д. Большое Уланово от а/д Р-121 Шклов–Круглое км 0,0-0,500</t>
  </si>
  <si>
    <t>Подъезд к кладбищу д. Мацево от а/д Н-11778 Подъезд к д. Мацево от а/д Р-121 Шклов–Круглое  км 0,0-0,400</t>
  </si>
  <si>
    <t>Подъезд к кладбищу д. Малая Лотва от а/д Р-121 Шклов–Круглое км 0,0-0,200</t>
  </si>
  <si>
    <t>Подъезд к кладбищу д. Говораки от а/д Р-121 Шклов-Круглое км 0,0-0,300</t>
  </si>
  <si>
    <t>Подъезд к кладбищу д. Сертиславль от а/д Н-11786 Подъезд к д. Сертиславль от а/д Р-70 Княжицы–Горки–Ленино–граница Российской Федерации (Дружная) км 0,0-0,800</t>
  </si>
  <si>
    <t>Подъезд к кладбищу д. Моисеенки от а/д Н-11788 Подъезд к д. Моисеенки от а/д Р-70 Княжицы–Горки–Ленино–граница Российской Федерации (Дружная) км 0,0-0,700</t>
  </si>
  <si>
    <t>Подъезд к кладбищу д. Слободка от а/д Р-70 Княжицы–Горки–Ленино–граница Российской Федерации (Дружная) км 0,0-1,500</t>
  </si>
  <si>
    <t>Подъезд к кладбищу д. Подкняженье от а/д Н-11805 Подъезд к д. Подкняженье от а/д Р-76 Орша–Шклов–Могилев км 0,0-0,100</t>
  </si>
  <si>
    <t>Подъезд к кладбищу д. Савеленки от а/д Н-11820 Подъезд к д. Моховое от а/д Н-11819 Подъезд к д. Савеленки от а/д Р-76 Орша–Шклов–Могилев км 0,0-0,800</t>
  </si>
  <si>
    <t>Подъезд к кладбищу д. Моховое от а/д Н-11820 Подъезд к д. Моховое от а/д Н-11819 Подъезд к д. Савеленки от а/д Р-76 Орша–Шклов–Могилев км 0,0-0,200</t>
  </si>
  <si>
    <t>Подъезд к кладбищу д. Большая Комаровка от а/д Н-11819 Подъезд к д. Савеленки от а/д Р-76 Орша–Шклов–Могилев км 0,0-0,100</t>
  </si>
  <si>
    <t>Подъезд к кладбищу д. Хилец от а/д Р-76 Орша-Шклов-Могилев км 0,0-0,300</t>
  </si>
  <si>
    <t>Подъезд к кладбищу д. Малый Межник от а/д Р-76 Орша–Шклов–Могилев км 0,0-1,500</t>
  </si>
  <si>
    <t>Подъезд к кладбищу д. Литовск от а/д Н-11819 Подъезд к д. Савеленки от а/д Р-76 Орша–Шклов–Могилев км 0,0-0,270</t>
  </si>
  <si>
    <t>Подъезд к кладбищу д. Климовичи от а/д Н-11830 Подъезд к д. Климовичи от а/д Р-77 Шклов–Белыничи (через Пригани 2) км 0,0-0,520</t>
  </si>
  <si>
    <t>Подъезд к кладбищу д. Малые Овчиненки от а/д Р-77 Шклов–Белыничи (через Пригани 2) км 0,0-0,700</t>
  </si>
  <si>
    <t>Подъезд к кладбищу д. Александровка от а/д Р-77 Шклов–Белыничи (через Пригани 2) км 0,0-0,300</t>
  </si>
  <si>
    <t>Подъезд к кладбищу д. Рагозно от а/д Р-77 Шклов–Белыничи (через Пригани 2) км 0,0-0,200</t>
  </si>
  <si>
    <t>Подъезд к д. Пересопня через д. Воевичи от а/д Р-62 Чашники-Бобр-Бобруйск (через Кличев) км 0,0-7,550</t>
  </si>
  <si>
    <t>Подъезд к кладбищу д. Воевичи от а/д Н-13380 Подъезд к д. Пересопня через д. Воевичи от а/д Р-62 Чашники–Бобр–Бобруйск (через Кличев) км 0,0-0,100</t>
  </si>
  <si>
    <t>Подъезд к кладбищу д. Пересопня от а/д Н-13380 Подъезд к д. Пересопня через д. Воевичи от а/д Р-62 Чашники–Бобр–Бобруйск (через Кличев) км 0,0-0,260</t>
  </si>
  <si>
    <t>Подъезд к д. Зборск через д. Верейцы от а/д Н-11207 Вязье–Зборск–Лапичи км 0,0-3,200</t>
  </si>
  <si>
    <t>Подъезд к д. Лутище через д. Ребятки от а/д Р-73 Чаусы-Мстиславль-граница Российской Федерации (Каськово) км 0,0-5,070</t>
  </si>
  <si>
    <t>Подъезд к кладбищу д. Ребятки от а/д Н-14832 Подъезд к д. Лутище через д. Ребятки от а/д Р-73 Чаусы–Мстиславль–граница Российской Федерации (Каськово) км 0,0-0,380</t>
  </si>
  <si>
    <t>Подъезд к кладбищу д. Лутище от а/д Н-14832 Подъезд к д. Лутище через д. Ребятки от а/д Р-73 Чаусы–Мстиславль–граница Российской Федерации (Каськово) км 0,0-0,600</t>
  </si>
  <si>
    <t>Подъезд к упраздненной д. Ясная Поляна через д. Ясная Заря от а/д Н-11503 Чериков–Удога–Веремейки км 0,0-2,600</t>
  </si>
  <si>
    <t>Подъезд к кладбищу упраздненной д. Ясная Поляна от а/д Н-14893 Подъезд к упраздненной д. Ясная Поляна через д. Ясная Заря от а/д Н-11503 Чериков–Удога–Веремейки км 0,0-0,500</t>
  </si>
  <si>
    <t>Подъезд к садоводческому товариществу «Конструктор» через д. Загорье от а/д Р-76 Орша–Шклов–Могилев км 0,0-2,400</t>
  </si>
  <si>
    <t>Подъезд к кладбищу № 2 д. Даньковичи от а/д Н-11801 Подъезд к садоводческому товариществу «Конструктор» через д. Загорье от а/д Р-76 Орша–Шклов–Могилев км 0,0-1,150</t>
  </si>
  <si>
    <t>Подъезд к садоводческому товариществу «Асвета» через д. Защита от а/д Р-76 Орша–Шклов–Могилев  км 0,0-2,216</t>
  </si>
  <si>
    <t>сидоровка-б.х.</t>
  </si>
  <si>
    <t>Подъезд к кладбищу № 1 д. Драгунские х. от а/д Н-14988 Подъезд к д. Головчицы от а/д Р-74 Чериков–Краснополье–Хотимск–граница Российской Федерации (Горня) км 0,0-0,500</t>
  </si>
  <si>
    <t>Подъезд к кладбищу № 2 д. Драгунские х. (Третьяковское) от а/д Н-14988 Подъезд к д. Головчицы от а/д Р-74 Чериков–Краснополье–Хотимск–граница Российской Федерации (Горня) км 0,0-2,600</t>
  </si>
  <si>
    <t>Подъезд к п. Возрождение от а/д Н-10004 Светиловичи–Лебедянка–Борок км 0,0-1,600</t>
  </si>
  <si>
    <t>Подъезд к п. Карповка от а/д Н-10009 Вишов–Новоселки км 0,0-0,400</t>
  </si>
  <si>
    <t>Подъезд к п. Новый Ланьков от а/д Н-10015 Белыничи–Фойна–Ланьково км 0,0-0,500</t>
  </si>
  <si>
    <t>Подъезд к п. Горка от а/д Н-10020 Большая Мощаница–Дробовка км 0,0-0,600</t>
  </si>
  <si>
    <t>Подъезд к п. Дуброво от а/д Н-10024 Мистровка-Курганье–Забавы км 0,0-0,780</t>
  </si>
  <si>
    <t>как п-д к жил.п. Б.Мощаница</t>
  </si>
  <si>
    <t>Подъезд к п. Малые Бортники от а/д Н-10093 Малые Бортники–Малиновка км 0,0-2,400</t>
  </si>
  <si>
    <t>Подъезд к п. Лекерта от а/д Р-43 Граница Российской Федерации (Звенчатка)–Кричев–Бобруйск–Ивацевичи (до автомобильной дороги Р-2/Е 85) км 0,0-2,252</t>
  </si>
  <si>
    <t>Подъезд к п. Барак от а/д Р-43 Граница Российской Федерации (Звенчатка)–Кричев–Бобруйск–Ивацевичи (до автомобильной дороги Р-2/Е 85) км 0,0-0,500</t>
  </si>
  <si>
    <t>Подъезд к п. Тартак от а/д Н-10157 Быхов–Хомичи–Нижняя Тощица км 0,0-2,100</t>
  </si>
  <si>
    <t>Подъезд к п. Ленина от а/д Н-10172 Красный Берег-Истопки км 0,0-0,540</t>
  </si>
  <si>
    <t>Подъезд к п. Грони от а/д Р-93 Могилев–Бобруйск км 0,0-1,300</t>
  </si>
  <si>
    <t>Подъезд к п. Ирдица от а/д Р-97 Могилев–Быхов–Рогачев км 0,0-1,530</t>
  </si>
  <si>
    <t>Подъезд к п. Калинина от а/д Р-97 Могилев–Быхов–Рогачев км 0,0-5,300</t>
  </si>
  <si>
    <t>Подъезд к п. Яново от а/д Р-97 Могилев–Быхов–Рогачев км 0,0-1,200</t>
  </si>
  <si>
    <t>Подъезд к п. Комсомольский от а/д Р-97 Могилев-Быхов-Рогачев км 0,0-0,500</t>
  </si>
  <si>
    <t>Подъезд к п. Красный от а/д Н-10228 Глуск-Славковичи-Зорька км 0,0-0,440</t>
  </si>
  <si>
    <t>Подъезд к п. Тушково от а/д Р-70 Княжицы–Горки–Ленино–граница Российской Федерации (Дружная) км 0,0-0,600</t>
  </si>
  <si>
    <t>Подъезд к п. Ленинский от а/д Н-10376 Дрибин-Темный Лес-Коптевка км 0,0-0,700</t>
  </si>
  <si>
    <t>Подъезд к п. Красный Курган от а/д Р-122 Могилев-Чериков-Костюковичи км 0,0-0,600</t>
  </si>
  <si>
    <t>Подъезд к п. Глубокое от а/д Р-75 Климовичи (от автомобильной дороги Р-43)–Костюковичи–граница Российской Федерации (Смольки) км 0,0-3,000</t>
  </si>
  <si>
    <t>Подъезд к п. Новое Житье от а/д Н-10751 Краснополье–Корма на Кляпин (до границы Могилевской области) км 0,0-1,800</t>
  </si>
  <si>
    <t>Подъезд к п. Некрасов от а/д Н-10752 Краснополье–Горы–граница Российской Федерации км 0,0-0,830</t>
  </si>
  <si>
    <t>Подъезд к п. Лесовой от а/д Н-10785 Яновка-Галузы км 0,0-1,200</t>
  </si>
  <si>
    <t>Подъезд к упраздненному п. Сосновский от а/д Р-38 Буда-Кошелево (от автомобильной дороги М-5/Е 271)–Чечерск–Краснополье км 0,0-1,200</t>
  </si>
  <si>
    <t>Подъезд к п. Ореховский от а/д Н-10853 Комаровка-Полоница км 0,0-0,900</t>
  </si>
  <si>
    <t>Подъезд к п. Восточный от а/д Р-121 Шклов-Круглое км 0,0-1,480</t>
  </si>
  <si>
    <t>Подъезд к п. Боброво от а/д Н-11015 Никитиничи-Щеглица-Песчанка км 0,0-0,500</t>
  </si>
  <si>
    <t>Подъезд к п. Сеньково от а/д Н-11031 Коминтерн-Березовка км 0,0-1,900</t>
  </si>
  <si>
    <t>Подъезд к п.Дубовый Лог от а/д Н-11292 Ректа–Октябрёво (до границы Могилевской области) км 0,0-2,300</t>
  </si>
  <si>
    <t>Подъезд к п. Силино Поле от а/д Р-43 Граница Российской Федерации (Звенчатка)–Кричев–Бобруйск–Ивацевичи (до автомобильной дороги Р-2/Е 85) км 0,0-1,280</t>
  </si>
  <si>
    <t>Подъезд к п. Селец от а/д Н-11431 Чаусы–Заложье км 0,0-2,680</t>
  </si>
  <si>
    <t>Подъезд к д. Чижи от а/д Н-14700 Подъезд к п. Селец от а/д Н-11431 Чаусы–Заложье км 0,0-0,700</t>
  </si>
  <si>
    <t>Подъезд к кладбищу д. Селец от а/д Н-14701 Подъезд к д. Чижи от а/д Н-14700 Подъезд к п. Селец от а/д Н-11431 Чаусы–Заложье км 0,0-0,210</t>
  </si>
  <si>
    <t>Подъезд к п. Заря Авхимковская от а/д Р-96/П 1 Подъезд к г. Чаусы от автомобильной дороги Р-96 км 0,0-1,200</t>
  </si>
  <si>
    <t>Подъезд к п. Городец от а/д Н-11503 Чериков–Удога–Веремейки км 0,0-1,200</t>
  </si>
  <si>
    <t>Подъезд к п. Лещевино от а/д Н-11503 Чериков–Удога–Веремейки км 0,0-1,250</t>
  </si>
  <si>
    <t>Подъезд к п. Мостково от а/д Н-11503 Чериков-Удога-Веремейки км 0,0-2,700</t>
  </si>
  <si>
    <t>Подъезд к п. Лимень от а/д Р-74 Чериков–Краснополье–Хотимск–граница Российской Федерации (Горня) км 0,0-2,100</t>
  </si>
  <si>
    <t>Подъезд к п. Станция Копысь от а/д Р-76 Орша–Шклов–Могилев км 0,0-1,788</t>
  </si>
  <si>
    <t>Подъезд к кладбищу п. Гута от а/д Н-10004 Светиловичи–Лебедянка–Борок км 0,0-0,800</t>
  </si>
  <si>
    <t>Подъезд к кладбищу п. Лекерта от а/д Н-12306 Подъезд к п. Лекерта от а/д Р-43 Граница Российской Федерации (Звенчатка)–Кричев–Бобруйск–Ивацевичи (до автомобильной дороги Р-2/Е 85) км 0,0-0,100</t>
  </si>
  <si>
    <t>Подъезд к кладбищу п. Ухлясть от а/д Н-12349 Подъезд к п. Ухлясть от а/д Н-10151 Воронино–Трилесино–Бовки км 0,0-0,100</t>
  </si>
  <si>
    <t>Подъезд к кладбищу п. Будище от а/д Н-10171 Кучин–Краснополье–Твердово км 0,0-1,270</t>
  </si>
  <si>
    <t>Подъезд к кладбищу п. Ирдица от а/д Н-12506 Подъезд к п. Ирдица от а/д Р-97 Могилев–Быхов–Рогачев км 0,0-0,650</t>
  </si>
  <si>
    <t>Подъезд к кладбищу п. Калинина от а/д Н-12508 Подъезд к п. Калинина от а/д Р-97 Могилев–Быхов–Рогачев км 0,0-0,070</t>
  </si>
  <si>
    <t>Подъезд к кладбищу п. Скачек, д. Новый Городок от а/д Р-93 Могилев–Бобруйск км 0,0-0,100</t>
  </si>
  <si>
    <t>Подъезд к кладбищу п. Новое Житье от а/д Н-10751 Краснополье–Корма на Кляпин (до границы Могилевской области) км 0,0-0,300</t>
  </si>
  <si>
    <t>Подъезд к кладбищу п. Вишь от а/д Н-14488 Подъезд к д. Затишье от а/д Н-11276 Васьковичи–Бахань–Ректа км 0,0-0,100</t>
  </si>
  <si>
    <t>Подъезд к кладбищу п. Дубовый Лог от а/д Н-14532 Подъезд к п. Дубовый Лог от а/д Н-11292 Ректа–Октябрёво (до границы Могилевской области) км 0,0-0,500</t>
  </si>
  <si>
    <t>Подъезд к кладбищу упраздненного п. Дальний от а/д Н-11292 Ректа– Октябрёво (до границы Могилевской области) км 0,0-0,600</t>
  </si>
  <si>
    <t>Подъезд к кладбищу п. Силино Поле от а/д Н-14555 Подъезд к п. Силино Поле от а/д Р-43 Граница Российской Федерации (Звенчатка)–Кричев–Бобруйск–Ивацевичи (до автомобильной дороги Р-2/Е 85) км 0,0-0,400</t>
  </si>
  <si>
    <t>Подъезд к кладбищу упраздненного п. Михайловский от а/д Н-14653 Подъезд к д. Варваровка от а/д Р-74 Чериков–Краснополье–Хотимск–граница Российской Федерации (Горня) км 0,0-2,200</t>
  </si>
  <si>
    <t>Подъезд к кладбищу п. Селец от а/д Н-14700 Подъезд к п. Селец от а/д Н-11431 Чаусы–Заложье км 0,0-0,570</t>
  </si>
  <si>
    <t>Подъезд к кладбищу п. Мостково от а/д Н-14891Подъезд к п. Мостково от а/д Н-11503 Чериков–Удога–Веремейки км 0,0-0,900</t>
  </si>
  <si>
    <t>Подъезд к кладбищу п. Новый Свет от а/д Н-11507 Соколовка–Долгое км 0,0-1,500</t>
  </si>
  <si>
    <t>Подъезд к кладбищу аг. Большая Мощаница от а/д Н-10020 Большая Мощаница–Дробовка км 0,0-0,800</t>
  </si>
  <si>
    <t>Подъезд к кладбищу аг. Искра от а/д Н-10043 Искра-Ильковичи км 0,0-0,600</t>
  </si>
  <si>
    <t>Подъезд к кладбищу аг. Светиловичи от а/д М-4 Минск-Могилев км 0,0-0,300</t>
  </si>
  <si>
    <t>Подъезд к кладбищу аг. Техтин от а/д Р-120 Быхов-Белыничи км 0,0-1,300</t>
  </si>
  <si>
    <t>Подъезд к кладбищу аг. Михалево 1 от а/д Н-10079 Михалево 1–Ковали км 0,0-1,100</t>
  </si>
  <si>
    <t>Подъезд к кладбищу аг. Телуша от а/д Н-10091 Телуша-Дубовка км 0,0-0,230</t>
  </si>
  <si>
    <t>Подъезд к кладбищу № 2 аг. Глухи от а/д Н-10160 Городец–Студенка–Глухи–Ямище км 0,0-0,550</t>
  </si>
  <si>
    <t>Подъезд к кладбищу аг. Грудиновка от а/д Н-12462 Подъезд к д. Прибережье от а/д Н-10976 Могилев–Махово–Грудиновка–Годылево км 0,0-1,000</t>
  </si>
  <si>
    <t>Подъезд к п. Тешемье от а/д Н-12494 Подъезд к кладбищу аг. Дуброва от а/д Н-12493 Подъезд № 2 к д. Дуброва от а/д Р-93 Могилев–Бобруйск км 0,0-0,800</t>
  </si>
  <si>
    <t>Подъезд к кладбищу аг. Черный Бор от а/д Р-93 Могилев-Бобруйск км 0,0-0,500</t>
  </si>
  <si>
    <t>Подъезд к кладбищу аг. Борколабово от а/д Р-97 Могилев–Быхов–Рогачев км 0,0-0,590</t>
  </si>
  <si>
    <t>Подъезд к кладбищу аг. Новый Быхов от а/д Р-97 Могилев-Быхов-Рогачев км 0,0-0,100</t>
  </si>
  <si>
    <t>Подъезд к кладбищу аг. Клетное от а/д Н-10228 Глуск-Славковичи-Зорька км 0,0-0,120</t>
  </si>
  <si>
    <t>Подъезд к кладбищу аг. Заелица от а/д Н-10228 Глуск-Славковичи-Зорька км 0,0-0,100</t>
  </si>
  <si>
    <t>Подъезд к кладбищу аг. Красулино от а/д Н-10302 Макаровка-Красулино-Черничный км 0,0-2,000</t>
  </si>
  <si>
    <t>Подъезд к кладбищу аг. Ленино от а/д Н-10309 Моисеево–Николенка км 0,0-2,500</t>
  </si>
  <si>
    <t>Подъезд к кладбищу аг. Добрая от а/д Н-10310 Добрая-Мошково км 0,0-0,250</t>
  </si>
  <si>
    <t>Подъезд к кладбищу аг. Коптевка от а/д Н-10376 Дрибин–Темный Лес–Коптевка км 0,0-0,100</t>
  </si>
  <si>
    <t>Подъезд к кладбищу аг. Сава от а/д Р-15 Кричев–Орша–Лепель км 0,0-0,200</t>
  </si>
  <si>
    <t>Подъезд к кладбищу аг. Горы от а/д Р-15 Кричев–Орша–Лепель км 0,0-0,450</t>
  </si>
  <si>
    <t>Подъезд к кладбищу аг. Михеевка от а/д Н-10377 Кледневичи–Прибужье Старое км 0,0-0,600</t>
  </si>
  <si>
    <t>Подъезд к кладбищу аг. Коровчино от а/д Н-10379 Белая-Коровчино-Жаковка км 0,0-2,500</t>
  </si>
  <si>
    <t>Подъезд к кладбищу аг.Тимоново от а/д Н-10543 Тимоново–Плющево–Новые Жарки–Гута км 0,0-0,417</t>
  </si>
  <si>
    <t>Подъезд к кладбищу аг. Малышковичи от а/д Н-10548 Галичи–Малышковичи–Якубовка км 0,0-1,117</t>
  </si>
  <si>
    <t>км 0,0-0,450 совмещен с улицей аг. Малышковичи</t>
  </si>
  <si>
    <t>Подъезд к кладбищу аг. Родня от а/д Р-75 Климовичи (от автомобильной дороги Р-43)–Костюковичи–граница Российской Федерации (Смольки) км 0,0-0,510</t>
  </si>
  <si>
    <t>Подъезд к кладбищу аг. Павловичи от а/д Н-10452 Павловичи–Турки–Красный Берег (до границы Могилевской области) км 0,0-1,050</t>
  </si>
  <si>
    <t>Подъезд к кладбищу аг. Добосна от а/д Н-10455 Кировск-Добосна км 0,0-0,070</t>
  </si>
  <si>
    <t>Подъезд к кладбищу аг. Барсуки от а/д Н-10461 Широкое-Барсуки-Лещенка км 0,0-1,000</t>
  </si>
  <si>
    <t>Подъезд к кладбищу аг. Боровица от а/д Н-10490 Боровица-Мазуровка-Неговля км 0,0-0,100</t>
  </si>
  <si>
    <t>Подъезд к кладбищу аг. Любоничи от а/д Р-118 Любоничи (от автомобильной дороги Р-62)-Кировск км 0,0-0,775</t>
  </si>
  <si>
    <t>Подъезд к кладбищу аг. Дмитриевка-2 от а/д Н-10601 Кличев–Несята–Усохи–Сергеевичи км 0,0-0,608</t>
  </si>
  <si>
    <t>Подъезд к кладбищу аг. Бацевичи от а/д Н-10601 Кличев–Несята–Усохи–Сергеевичи км 0,0-0,100</t>
  </si>
  <si>
    <t>Подъезд к кладбищу аг. Несята от а/д Н-10601 Кличев–Несята–Усохи–Сергеевичи км 0,0-0,100</t>
  </si>
  <si>
    <t>Подъезд к кладбищу аг. Долгое от а/д Н-10603 Малинье–Дубно–Вишнёвка–Долгое км 0,0-0,400</t>
  </si>
  <si>
    <t>Подъезд к кладбищу аг. Ореховка от а/д Н-10615 Дуброва–Черевач–Старое Курганье–Владимировка км 0,0-0,100</t>
  </si>
  <si>
    <t>Подъезд к кладбищу аг. Заполье от а/д Н-13377 Подъезд к д. Берёзовка от а/д Р-62 Чашники–Бобр–Бобруйск (через Кличев) км 0,0-0,100</t>
  </si>
  <si>
    <t>Подъезд к кладбищу аг. Бацевичи от а/д Р-62 Чашники-Бобр-Бобруйск (через Кличев) км 0,0-0,400</t>
  </si>
  <si>
    <t>Подъезд к кладбищу аг. Ореховка от улицы Озерная аг. Ореховка км 0,0-0,150</t>
  </si>
  <si>
    <t>Подъезд к кладбищу аг. Крапивня от а/д Н-10683 Белынковичи–Крапивня–Селецкое км 0,0-0,200</t>
  </si>
  <si>
    <t>Подъезд к кладбищу аг. Шарейки от а/д Н-10688 Коробаново-Шарейки-Черченовка км 0,0-0,100</t>
  </si>
  <si>
    <t>Подъезд к кладбищу аг. Бороньки от а/д Н-10723 Бороньки–Новая Ивановка км 0,0-0,180</t>
  </si>
  <si>
    <t>Подъезд к кладбищу аг. Почепы от а/д Н-10765 Станислав-Трубильня-Почепы км 0,0-0,400</t>
  </si>
  <si>
    <t>Подъезд к кладбищу аг. Яновка от а/д Н-10785 Яновка–Галузы км 0,0-0,400</t>
  </si>
  <si>
    <t>Подъезд к кладбищу аг. Холмы от а/д Р-38 Буда-Кошелево (от автомобильной дороги М-5/Е 271)-Чечерск-Краснополье  км 0,0-0,050</t>
  </si>
  <si>
    <t>Подъезд к кладбищу аг. Тетерино от а/д Н-10903 Круглое-Тетерино км 0,0-0,100</t>
  </si>
  <si>
    <t>Подъезд к кладбищу аг. Ракушево от а/д Н-10903 Круглое-Тетерино км 0,0-1,120</t>
  </si>
  <si>
    <t>Подъезд к кладбищу аг. Вейно от а/д Н-10976 Могилев-Махово-Грудиновка-Годылево км 0,0-1,800</t>
  </si>
  <si>
    <t>Подъезд к кладбищу аг. Мосток от а/д Н-10985 Мосток-Павловка-Колесище км 0,0-1,400</t>
  </si>
  <si>
    <t>Подъезд к кладбищу № 2 аг. Кадино от а/д Н-10993 Кадино-Романовичи км 0,0-1,400</t>
  </si>
  <si>
    <t>Подъезд к кладбищу аг. Вендорож от а/д Н-11003 Тишовка-Михалёво-Вендорож км 0,0-0,500</t>
  </si>
  <si>
    <t>Подъезд к кладбищу аг. Полыковичи от а/д Н-11008 Купелы-Николаевка-Половинный Лог км 0,0-0,200</t>
  </si>
  <si>
    <t>Подъезд к зоне отдыха на реке Днепр в районе аг. Полыковичи от а/д Н-11008 Купелы-Николаевка-Половинный Лог км 0,0-0,800</t>
  </si>
  <si>
    <t>Подъезд к кладбищу аг. Княжицы от а/д М-4 Минск–Могилев км 0,0-0,100</t>
  </si>
  <si>
    <t>Подъезд к кладбищу аг. Речки от а/д Н-14068 Подъезд к д. Селище от а/д Р-76 Орша–Шклов–Могилев км 0,0-0,500</t>
  </si>
  <si>
    <t>Подъезд к кладбищу аг. Межисетки от а/д Р-93  Могилев-Бобруйск км 0,0-0,950</t>
  </si>
  <si>
    <t>Подъезд к кладбищу аг. Сухари от а/д Р-96 Могилев-Рясно-Мстиславль км 0,0-0,320</t>
  </si>
  <si>
    <t>Подъезд к кладбищу аг. Ходосы (улица Калинина) от а/д Н-10827 Кричев-Ходосы-Курманово-Рубановка км 0,0-0,350</t>
  </si>
  <si>
    <t>Подъезд к кладбищу аг. Ходосы (улица Горького) от а/д Н-10827 Кричев-Ходосы-Курманово-Рубановка км 0,0-1,000</t>
  </si>
  <si>
    <t>Проезд по улице Онуфриевская аг. Селец от а/д Н-11142 Людогощь–Селец–Пирогово км 0,0-1,280</t>
  </si>
  <si>
    <t>Подъезд к кладбищу №2 аг. Мазолово от а/д Н-11148 Мазолово-Мышкино км 0,0-0,500</t>
  </si>
  <si>
    <t>Подъезд к кладбищу аг. Заболотье от а/д Н-11151 Заболотье-Ракитенка-Михайлово-Юшковичи км 0,0-0,500</t>
  </si>
  <si>
    <t>Подъезд к кладбищу № 1 аг. Мазолово от а/д Р-73 Чаусы–Мстиславль–граница Российской Федерации (Каськово) км 0,0-0,900</t>
  </si>
  <si>
    <t>Подъезд к кладбищу аг. Вязовница от а/д Н-14400 Подъезд к д. Бозок от а/д Н-11204 Малая Горожа–Липень–Каменичи км 0,0-1,200</t>
  </si>
  <si>
    <t>Подъезд к кладбищу аг. Дричин от а/д Н-11205 Дричин-Кремок-Великий Бор км 0,0-0,350</t>
  </si>
  <si>
    <t>Подъезд к кладбищу аг. Корытное от а/д Н-11212 Корытное-Деменка-Ясень км 0,0-0,030</t>
  </si>
  <si>
    <t>Подъезд к кладбищу аг. Ржавка 1 от а/д Н-11276 Васьковичи–Бахань–Ректа км 0,0-0,300</t>
  </si>
  <si>
    <t>Подъезд к кладбищу аг. Гиженка от а/д Н-11280 Ходорово-Телеши-Улуки км 0,0-1,000</t>
  </si>
  <si>
    <t>Подъезд к кладбищу аг. Лесная от а/д Н-11285 Лесная-Железинка км 0,0-0,250</t>
  </si>
  <si>
    <t>Подъезд к кладбищу аг. Поповка от а/д Р-43 Граница Российской Федерации (Звенчатка)–Кричев–Бобруйск–Ивацевичи (до автомобильной дороги Р-2/Е 85) км 0,0-0,300</t>
  </si>
  <si>
    <t>Подъезд к кладбищу аг. Свенск от а/д Р-43 Граница Российской Федерации (Звенчатка)-Кричев-Бобруйск-Ивацевичи (до автомобильной дороги Р-2/Е 85) км 0,0-0,300</t>
  </si>
  <si>
    <t>Подъезд к кладбищу аг. Беседовичи от а/д Н-11354 Хотимск–Батаево–Ивкино км 0,0-0,100</t>
  </si>
  <si>
    <t>Подъезд к кладбищу № 2 аг. Ельня от а/д Н-11355 Тростино-Ельня км 0,0-0,100</t>
  </si>
  <si>
    <t>Подъезд к кладбищу № 2 аг. Липовка от а/д Н-11360 Липовка-Узлоги км 0,0-0,700</t>
  </si>
  <si>
    <t>Подъезд к кладбищу аг. Антоновка от а/д Н-11426 Чаусы-Волковичи км 0,0-0,250</t>
  </si>
  <si>
    <t>Подъезд к кладбищу аг. Горбовичи от а/д Н-11433 Смолка-Горбовичи-Красница-Гладково км 0,0-2,277</t>
  </si>
  <si>
    <t>Подъезд к садоводческому товариществу «Медик-2» от а/д Н-14722 Подъезд к кладбищу аг. Горбовичи от а/д Н-11433 Смолка–Горбовичи–Красница–Гладково км 0,0-1,100</t>
  </si>
  <si>
    <t>Подъезд к кладбищу аг. Сластены от а/д Н-11447 Сластены-Киркоры-Селище км 0,0-1,000</t>
  </si>
  <si>
    <t>Подъезд к кладбищу аг. Дужевка от а/д Р-138 Чаусы-Славгород (до автомобильной дороги Р-71) км 0,0-0,110</t>
  </si>
  <si>
    <t>Подъезд к кладбищу аг. Соколовка от а/д Н-11506 Соколовка-Езеры км 0,0-0,240</t>
  </si>
  <si>
    <t>Подъезд к кладбищу № 3 аг. Городище от а/д Н-11582 Городище–Ордать–Редишено–Дивново–Доманы км 0,0-1,500</t>
  </si>
  <si>
    <t>км 0,0-0,480 совмещен с улицей аг. Староселье</t>
  </si>
  <si>
    <t>Подъезд к кладбищу № 4 аг. Городище от а/д Н-11587 Городище–Благовка км 0,0-0,530</t>
  </si>
  <si>
    <t>Подъезд к кладбищу аг. Ордать от а/д Н-11608 Ордать–Рудицы–Займище–Дивново км 0,0-1,200</t>
  </si>
  <si>
    <t>Подъезд к кладбищу № 1 аг. Городище от а/д Р-70 Княжицы–Горки–Ленино–граница Российской Федерации (Дружная) км 0,0-0,900</t>
  </si>
  <si>
    <t>Подъезд к кладбищу № 2 аг. Городище от а/д Р-70 Княжицы–Горки–Ленино–граница Российской Федерации (Дружная) км 0,0-1,000</t>
  </si>
  <si>
    <t>Подъезд к кладбищу № 3 аг. Городище от а/д Р-70 Княжицы–Горки–Ленино–граница Российской Федерации (Дружная) км 0,0-2,000</t>
  </si>
  <si>
    <t>Подъезд к кладбищу аг. Александрия от а/д Н-11816 Подъезд к п. Станция Копысь от а/д Р-76 Орша–Шклов–Могилев км 0,0-0,400</t>
  </si>
  <si>
    <t>Подъезд к кладбищу аг. Черноручье от а/д Р-77 Шклов–Белыничи (через Пригани 2) км 0,0-0,970</t>
  </si>
  <si>
    <t>Подъезд к зданию Мощаницкого сельского Совета депутатов в аг. Большая Мощаница от а/д Н-10020 Большая Мощаница–Дробовка км 0,0-0,100</t>
  </si>
  <si>
    <t>Подъезд к жилым домам в аг. Техтин от а/д Р-120 Быхов-Белыничи км 0,0-0,400</t>
  </si>
  <si>
    <t>Подъезд к району индивидуальной жилой застройки в аг. Смолица от а/д Н-10151 Воронино-Трилесино-Бовки км 0,0-0,800</t>
  </si>
  <si>
    <t>Подъезд к зданию Любижской сельской участковой больницы в аг. Овсянка от а/д Н-10303 Овсянка-Поленка-Маслаки км 0,0-0,800</t>
  </si>
  <si>
    <t>Подъезд к району индивидуальной жилой застройки в аг. Паршино Н-10308 Паршино–Полящицы км 0,0-0,920</t>
  </si>
  <si>
    <t>Подъезд к зданию Горской врачебной амбулатории в аг. Горы от а/д Н-10311 Горы-Волынцево-Быстрая км 0,0-0,400</t>
  </si>
  <si>
    <t>Подъезд к зданию сельской врачебной амбулатории в аг. Михеевка от а/д Н-10377 Кледневичи–Прибужье Старое км 0,0-0,600</t>
  </si>
  <si>
    <t>Подъезд к костелу и кладбищу в аг. Рясно от а/д Н-10384 Темный Лес-Рясно км 0,0-0,550</t>
  </si>
  <si>
    <t>Подъезд к памятнику природы «Гремящая Крыница» в аг. Рясно от а/д Н-12918 Подъезд к д. Дубровка от а/д Р-96 Могилев–Рясно–Мстиславль км 0,0-0,400</t>
  </si>
  <si>
    <t>Подъезд к зданию Любоничской амбулатории врача общей практики в аг. Любоничи (переулок Центральный) от а/д Р-118 Любоничи (от автомобильной дороги Р-62)-Кировск км 0,0-0,300</t>
  </si>
  <si>
    <t>Подъезд к зданию отделения круглосуточного пребывания «Дом ветеранов» учреждения «Кличевский районный центр социального обслуживания населения» в аг. Дмитриевка-2 от а/д Н-10601 Кличев–Несята–Усохи–Сергеевичи км 0,0-0,300</t>
  </si>
  <si>
    <t>Подъезд к памятнику в аг. Полыковичи от а/д Н-11008 Купелы-Николаевка-Половинный Лог км 0,0-0,300</t>
  </si>
  <si>
    <t>Подъезд к птицефабрике Филиал "Серволюкс Агро" закрытого акционерного общества "Серволюкс" в аг. Межисетки от а/д Р-93 Могилев-Бобруйск км 0,0-1,000</t>
  </si>
  <si>
    <t>Подъезд к зданию Дашковской участковой больницы в аг. Дашковка от а/д Р-97 Могилев-Быхов-Рогачев км 0,0-0,962</t>
  </si>
  <si>
    <t>Подъезд к церкви в аг. Дашковка от а/д Р-97 Могилев-Быхов-Рогачев км 0,0-0,800</t>
  </si>
  <si>
    <t>Подъезд к зданию Андрановской врачебной амбулатории в аг. Андраны от а/д Н-11136 Долговичи-Андраны-Мишни км 0,0-1,700</t>
  </si>
  <si>
    <t>Подъезд к зданию Дарагановской участковой больницы в аг. Дараганово от а/д Н-11202 Осиповичи-Дараганово км 0,0-0,300</t>
  </si>
  <si>
    <t>Подъезд к зданию Гиженского сельского Совета депутатов в аг. Гиженка от а/д Н-11280 Ходорово–Телеши–Улуки км 0,0-0,070</t>
  </si>
  <si>
    <t>Подъезд к зданию Васьковичского сельского Совета депутатов в аг. Поповка от а/д Р-43 Граница Российской Федерации (Звенчатка)-Кричев-Бобруйск-Ивацевичи (до автомобильной дороги Р-2/Е 85) км 0,0-0,100</t>
  </si>
  <si>
    <t>Подъезд к зданию Лопатичского сельского Совета депутатов в аг. Лопатичи от а/д Р-71 Могилев-Славгород км 0,0-0,050</t>
  </si>
  <si>
    <t>Подъезд к магазину в аг. Беседовичи от а/д Н-11354 Хотимск–Батаево–Ивкино км 0,0-0,400</t>
  </si>
  <si>
    <t>Подъезд к памятному знаку окруженцам, погибшим в межречье рек Сож и Проня, в аг. Веремейки от а/д Н-11503 Чериков-Удога-Веремейки км 0,0-0,100</t>
  </si>
  <si>
    <t>Подъезд №1 к району индивидуальной жилой застройки в аг. Речица от а/д Н-11504 Охорь-Речица-Холоблин км 0,0-0,350</t>
  </si>
  <si>
    <t>Подъезд №2 к району индивидуальной жилой застройки в аг. Речица от а/д Н-11504 Охорь-Речица-Холоблин км 0,0-0,300</t>
  </si>
  <si>
    <t>Подъезд к школе в аг. Соколовка от а/д Н-11506 Соколовка-Езеры км 0,0-1,500</t>
  </si>
  <si>
    <t>Подъезд к району индивидуальной жилой застройки в аг. Соколовка от а/д Н-11507 Соколовка-Долгое км 0,0-0,800</t>
  </si>
  <si>
    <t>Подъезд к аг. Вишов от а/д Н-10009 Вишов-Новоселки км 0,0-0,562</t>
  </si>
  <si>
    <t>Подъезд к аг. Химы от а/д Р-43 Граница Российской Федерации (Звенчатка)-Кричев-Бобруйск-Ивацевичи (до автомобильной дороги Р-2/Е 85) км 0,0-3,410</t>
  </si>
  <si>
    <t>Подъезд к аг. Неряж от а/д Н-10157 Быхов-Хомичи-Нижняя Тощица км 0,0-3,760</t>
  </si>
  <si>
    <t>Подъезд к аг. Следюки от а/д Н-10976 Могилев–Махово–Грудиновка–Годылево км 0,0-3,986</t>
  </si>
  <si>
    <t>Подъезд № 1 к аг. Дуброва от а/д Р-93 Могилев–Бобруйск км 0,0-0,777</t>
  </si>
  <si>
    <t>Подъезд № 2 к аг. Дуброва от а/д Р-93 Могилев–Бобруйск км 0,0-1,030</t>
  </si>
  <si>
    <t>Подъезд к кладбищу аг. Дуброва от а/д Н-12493 Подъезд № 2 к аг. Дуброва от а/д Р-93 Могилев–Бобруйск км 0,0-1,330</t>
  </si>
  <si>
    <t>Подъезд к аг. Неряж от а/д Р-97 Могилев-Быхов-Рогачев км 0,0-3,590</t>
  </si>
  <si>
    <t>Подъезд к аг. Мокрое от а/д Р-97 Могилев-Быхов-Рогачев км 0,0-3,157</t>
  </si>
  <si>
    <t>Подъезд к кладбищу аг. Мокрое от а/д Н-12510 Подъезд к аг. Мокрое от а/д Р-97 Могилев–Быхов–Рогачев км 0,0-0,200</t>
  </si>
  <si>
    <t>Подъезд к аг. Ленино от а/д Н-10301 Горки–Каменка–Ленино км 0,0-0,300</t>
  </si>
  <si>
    <t>Подъезд к аг. Маслаки от а/д Н-10303 Овсянка-Поленка-Маслаки км 0,0-3,330</t>
  </si>
  <si>
    <t>Подъезд к аг. Овсянка от а/д Н-10303 Овсянка–Поленка–Маслаки км 0,0-1,789</t>
  </si>
  <si>
    <t>Подъезд к аг. Добрая от а/д Н-10310 Добрая-Мошково км 0,0-0,600</t>
  </si>
  <si>
    <t>Подъезд к аг. Сава от а/д Р-15 Кричев–Орша–Лепель км 0,0-0,900</t>
  </si>
  <si>
    <t>Подъезд к аг. Ректа от а/д Р-15 Кричев–Орша–Лепель км 0,0-0,790</t>
  </si>
  <si>
    <t>Подъезд к аг. Полошково от а/д Р-43 Граница Российской Федерации (Звенчатка)-Кричев-Бобруйск-Ивацевичи (до автомобильной дороги Р-2/Е 85) км 0,0-0,800</t>
  </si>
  <si>
    <t>Подъезд к аг. Барчицы от а/д Н-10465 Скриплица–Хвойница км 0,0-4,813</t>
  </si>
  <si>
    <t>Подъезд к аг. Заполье от а/д Р-62 Чашники-Бобр-Бобруйск (через Кличев) км 0,0-1,500</t>
  </si>
  <si>
    <t>Подъезд к аг. Тупичино от а/д Н-10690 Тупичино-Городок км 0,0-1,400</t>
  </si>
  <si>
    <t>Подъезд к аг. Горы от а/д Н-10752 Краснополье-Горы-граница Российской Федерации км 0,0-2,131</t>
  </si>
  <si>
    <t>Подъезд к кладбищу аг. Горы от а/д Н-13417 Подъезд к аг. Горы от а/д Н-10752 Краснополье–Горы–граница Российской Федерации км 0,0-0,200</t>
  </si>
  <si>
    <t>Подъезд к аг. Турья от а/д Р-38 Буда-Кошелево (от автомобильной дороги М-5/Е 271)-Чечерск-Краснополье км 0,0-0,740</t>
  </si>
  <si>
    <t>Подъезд к аг. Буйничи от а/д Н-11002 Могилев-Ямница км 0,0-1,500</t>
  </si>
  <si>
    <t>Подъезд к аг. Вендорож от а/д Н-11003 Тишовка-Михалёво-Вендорож км 0,0-0,550</t>
  </si>
  <si>
    <t>Подъезд к кладбищу аг. Вендорож от а/д Н-13852 Подъезд к аг. Вендорож от а/д Н-11003 Тишовка–Михалёво–Вендорож км 0,0-0,428</t>
  </si>
  <si>
    <t>Подъезд к аг. Княжицы от а/д М-4 Минск-Могилев км 0,0-2,700</t>
  </si>
  <si>
    <t>Подъезд к аг. Кадино от а/д Р-122 Могилев-Чериков-Костюковичи км 0,0-4,000</t>
  </si>
  <si>
    <t>Подъезд к кладбищу № 1 аг. Кадино от а/д Н-14037 Подъезд к аг. Кадино от а/д Р-122 Могилев–Чериков–Костюковичи км 0,0-1,000</t>
  </si>
  <si>
    <t>Подъезд к д. Тараново от а/д Н-14037 Подъезд к аг. Кадино от а/д Р-122 Могилев–Чериков–Костюковичи км 0,0-1,100</t>
  </si>
  <si>
    <t xml:space="preserve"> Подъезд к аг. Романовичи от а/д Р-122 Могилев-Чериков-Костюковичи км 0,0-1,929</t>
  </si>
  <si>
    <t>Подъезд к аг. Речки от а/д Н-14068 Подъезд к д. Селище от а/д Р-76 Орша–Шклов–Могилев км 0,0-0,650</t>
  </si>
  <si>
    <t xml:space="preserve">Подъезд к аг. Полыковичи от а/д Р-76 Орша-Шклов-Могилев км 0,0-2,759 </t>
  </si>
  <si>
    <t>Подъезд №1 к аг. Сухари от а/д Р-96 Могилев-Рясно-Мстиславль км 0,0-2,600</t>
  </si>
  <si>
    <t>Подъезд №2 к аг. Сухари от а/д Р-96 Могилев-Рясно-Мстиславль км 0,0-0,300</t>
  </si>
  <si>
    <t>Подъезд №3 к аг. Сухари от а/д Р-96 Могилев-Рясно-Мстиславль км 0,0-0,286</t>
  </si>
  <si>
    <t>Подъезд к аг. Копачи от а/д Р-73 Чаусы–Мстиславль–граница Российской Федерации (Каськово) км 0,0-9,000</t>
  </si>
  <si>
    <t>Подъезд к кладбищу аг. Копачи от а/д Н-14322 Подъезд к аг. Копачи от а/д Р-73 Чаусы–Мстиславль–граница Российской Федерации (Каськово) км 0,0-0,400</t>
  </si>
  <si>
    <t>Подъезд к кладбищу д. Клин от а/д Н-14322 Подъезд к аг. Копачи от а/д Р-73 Чаусы–Мстиславль–граница Российской Федерации (Каськово) км 0,0-0,060</t>
  </si>
  <si>
    <t>Подъезд № 1 к аг. Ходосы от а/д Р-73 Чаусы–Мстиславль–граница Российской Федерации (Каськово) км 0,0-1,970</t>
  </si>
  <si>
    <t>Подъезд к аг. Липень от а/д Н-11204 Малая Горожа-Липень-Каменичи км 0,0-2,929</t>
  </si>
  <si>
    <t>Подъезд к кладбищу аг. Липень от а/д Н-14398 Подъезд к аг. Липень от а/д Н-11204 Малая Горожа–Липень–Каменичи км 0,0-0,850</t>
  </si>
  <si>
    <t>Подъезд к аг. Красное от а/д Р-67 Борисов-Березино-Бобруйск км 0,0-3,100</t>
  </si>
  <si>
    <t>Подъезд к аг. Дричин от а/д Р-91 Осиповичи-Барановичи км 0,0-1,080</t>
  </si>
  <si>
    <t>Подъезд к аг. Ржавка 1 от а/д Н-11276 Васьковичи–Бахань–Ректа км 0,0-2,940</t>
  </si>
  <si>
    <t>км 0,172-0,223 совмещен с Н-14632 Подъезд к аг. Ельня от а/д Р-74 Чериков-Краснополье-Хотимск-граница Российской Федерации (Горня)</t>
  </si>
  <si>
    <t>Подъезд к аг. Ельня от а/д Р-74 Чериков-Краснополье-Хотимск-граница Российской Федерации (Горня) км 0,0-8,140</t>
  </si>
  <si>
    <t>Подъезд к д. Чернявка от а/д Н-14632 Подъезд к аг. Ельня от а/д Р-74 Чериков–Краснополье–Хотимск–граница Российской Федерации (Горня) км 0,0-2,020</t>
  </si>
  <si>
    <t>Подъезд к кладбищу д. Чернявка от а/д Н-14633 Подъезд к д. Чернявка от а/д Н-14632 Подъезд к аг. Ельня от а/д Р-74 Чериков–Краснополье–Хотимск–граница Российской Федерации (Горня) км 0,0-0,300</t>
  </si>
  <si>
    <t>Подъезд к д. Мартиновка от а/д Н-14632 Подъезд к аг. Ельня от а/д Р-74 Чериков–Краснополье–Хотимск–граница Российской Федерации (Горня) км 0,0-1,830</t>
  </si>
  <si>
    <t>Подъезд к кладбищу д. Мартиновка от а/д Н-14635 Подъезд к д. Мартиновка от а/д Н-14632 Подъезд к аг. Ельня от а/д Р-74 Чериков–Краснополье–Хотимск–граница Российской Федерации (Горня) км 0,0-1,900</t>
  </si>
  <si>
    <t>Подъезд к аг. Боханы от а/д Р-74 Чериков–Краснополье–Хотимск–граница Российской Федерации (Горня) км 0,0-2,400</t>
  </si>
  <si>
    <t>Подъезд к кладбищу № 1 аг. Боханы (Слободское) от а/д Н-14645 Подъезд к аг. Боханы от а/д Р-74 Чериков–Краснополье–Хотимск–граница Российской Федерации (Горня) км 0,0-1,200</t>
  </si>
  <si>
    <t>Подъезд к кладбищу № 2 аг. Боханы от а/д Н-14645 Подъезд к аг. Боханы от а/д Р-74 Чериков–Краснополье–Хотимск–граница Российской Федерации (Горня) км 0,0-0,330</t>
  </si>
  <si>
    <t>Подъезд к аг. Лобановка от а/д Р-122 Могилев-Чериков-Костюковичи км 0,0-1,920</t>
  </si>
  <si>
    <t>Подъезд к кладбищу аг. Лобановка от а/д Н-14946 Подъезд к аг. Лобановка от а/д Р-122 Могилев–Чериков–Костюковичи км 0,0-0,850</t>
  </si>
  <si>
    <t>Подъезд к аг. Городец от а/д М-8/П 4 Подъезд к г. Шклову от автомобильной дороги М-8/Е 95 км 0,0-0,552</t>
  </si>
  <si>
    <t>Осово–железнодорожный остановочный пункт «Токари» км 0,0-6,888</t>
  </si>
  <si>
    <t>Подъезд к д. Михайловщина от а/д Н-10119 Осово–железнодорожный остановочный пункт «Токари» км 0,0-1,300</t>
  </si>
  <si>
    <t>Подъезд к садоводческому товариществу «Поляна» от а/д Н-10119 Осово–железнодорожный остановочный пункт «Токари» км 0,0-0,300</t>
  </si>
  <si>
    <t>Подъезд к кладбищу д. Осово от а/д Н-10119 Осово–железнодорожный остановочный пункт «Токари» км 0,0-0,100</t>
  </si>
  <si>
    <t>Телуша–железнодорожный остановочный пункт «331 км» железной дороги Минск–Гомель км 0,0-1,500</t>
  </si>
  <si>
    <t>Подъезд к школе в аг. Телуша от а/д Н-10129 Телуша–железнодорожный остановочный пункт «331 км» железной дороги Минск–Гомель км 0,0-0,934</t>
  </si>
  <si>
    <t>Долгое–Должанка–Ядреная Слобода–железнодорожный остановочный пункт «Милое» км 0,0-26,090</t>
  </si>
  <si>
    <t>Подъезд к д. Будовля от а/д Н-10995 Заводская Слобода–железнодорожный остановочный пункт «Хоново» км 0,0-0,670</t>
  </si>
  <si>
    <t>Подъезд к садоводческому товариществу «Хоново» от а/д Н-10995 Заводская Слобода–железнодорожный остановочный пункт «Хоново» км 0,0-1,000</t>
  </si>
  <si>
    <t>Подъезд к кладбищу д. Будовля от а/д Н-10995 Заводская Слобода–железнодорожный остановочный пункт «Хоново» км 0,0-0,260</t>
  </si>
  <si>
    <t>Подъезд к д. Новобелица от а/д Н-11004 Станция Вендриж–Белевичи–железнодорожный остановочный пункт «Семуковичи»–Олень км 0,0-0,910</t>
  </si>
  <si>
    <t>Подъезд к садоводческим товариществам «Автомобилист» УБОН» и «Друть» от а/д Н-13954 Подъезд к д. Малое Запоточье от а/д Н-11039 Семукачи–железнодорожный остановочный пункт «Синюга»–Большое Запоточье км 0,0-1,000</t>
  </si>
  <si>
    <t>Подъезд к кладбищу д. Городище от а/д Н-13956 Подъезд к д. Городище от а/д Н-11039 Семукачи–железнодорожный остановочный пункт «Синюга»–Большое Запоточье км 0,0-2,140</t>
  </si>
  <si>
    <t>Глуск–Берёзовка–железнодорожная станция Ратмировичи км 0,0-25,348</t>
  </si>
  <si>
    <t>Подъезд к д. Зеленковичи от а/д Н-10226 Глуск–Берёзовка–железнодорожная станция Ратмировичи км 0,0-0,900</t>
  </si>
  <si>
    <t>Подъезд к д. Поблин от а/д Н-10226 Глуск-Берёзовка-железнодорожная станция Ратмировичи км 0,0-3,043</t>
  </si>
  <si>
    <t xml:space="preserve">Подъезд к кладбищу д. Зуборевичи от а/д Н-10226 Глуск-Берёзовка-железнодорожная станция Ратмировичи км 0,0-0,200 </t>
  </si>
  <si>
    <t>Подъезд к кладбищу д. Згода от а/д Н-10226 Глуск-Берёзовка-железнодорожная станция Ратмировичи км 0,0-0,200</t>
  </si>
  <si>
    <t>Подъезд к д. Юдовка от а/д Н-11501 Лобановка–железнодорожная станция Веремейки–Старая Белица км 0,0-1,450</t>
  </si>
  <si>
    <t>Подъезд к кладбищу п. Чернышен от а/д Н-14866 Подъезд к п. Чернышен от а/д Н-11501 Лобановка–железнодорожная станция Веремейки–Старая Белица км 0,0-0,100</t>
  </si>
  <si>
    <t>Подъезд к д. Каменка от а/д Н-11501 Лобановка–железнодорожная станция Веремейки–Старая Белица км 0,0-1,370</t>
  </si>
  <si>
    <t>Подъезд к аг. Веремейки от а/д Н-11501 Лобановка–железнодорожная станция Веремейки–Старая Белица км 0,0-1,320</t>
  </si>
  <si>
    <t>Подъезд к району индивидуальной жилой застройки в аг. Веремейки от а/д Н-11501 Лобановка–железнодорожная станция Веремейки–Старая Белица км 0,0-0,450</t>
  </si>
  <si>
    <t>Подъезд к д. Забочев от а/д Н-11501 Лобановка–железнодорожная станция Веремейки–Старая Белица км 0,0-3,400</t>
  </si>
  <si>
    <t>Подъезд к кладбищу д. Старая Белица от а/д Н-11501 Лобановка–железнодорожная станция Веремейки–Старая Белица км 0,0-0,050</t>
  </si>
  <si>
    <t>Подъезд № 1 к д. Цвырково от а/д Н-11578 Добрейка–железнодорожная станция Лотва–Старая Водва–Моисеенки км 0,0-3,370</t>
  </si>
  <si>
    <t>Подъезд № 2 к д. Цвырково от а/д Н-11645 Подъезд № 1 к д. Цвырково от а/д Н-11578 Добрейка–железнодорожная станция Лотва–Старая Водва–Моисеенки км 0,0-0,980</t>
  </si>
  <si>
    <t>Подъезд к кладбищу д. Цвырково от а/д Н-11645 Подъезд № 1 к д. Цвырково от а/д Н-11578 Добрейка–железнодорожная станция Лотва–Старая Водва–Моисеенки  км 0,0-0,300</t>
  </si>
  <si>
    <t>Подъезд № 1 к аг. Добрейка от а/д Н-11578 Добрейка–железнодорожная станция Лотва–Старая Водва–Моисеенки  км 0,0-2,300</t>
  </si>
  <si>
    <t>Подъезд № 2 к аг. Добрейка от а/д Н-11647 Подъезд № 1 к аг. Добрейка от а/д Н-11578 Добрейка–железнодорожная станция Лотва–Старая Водва–Моисеенки  км 0,0-1,300</t>
  </si>
  <si>
    <t>Подъезд к кладбищу аг. Добрейка от а/д Н-11647 Подъезд № 1 к аг. Добрейка от а/д Н-11578 Добрейка–железнодорожная станция Лотва–Старая Водва–Моисеенки км 0,0-0,600</t>
  </si>
  <si>
    <t>км 2,550-2,990 совмещен с Н-11578 Добрейка-железнодорожная станция Лотва-Старая Водва-Моисеенки</t>
  </si>
  <si>
    <t>Подъезд к железнодорожной станции Несета от а/д Н-10610 Дмитриевка-2–Турчилов–Слободка км 0,0-3,648</t>
  </si>
  <si>
    <t>Подъезд к асфальтобетонному заводу от а/д Н-13338 Подъезд к железнодорожной станции Несета от а/д Н-10610 Дмитриевка-2–Турчилов–Слободка км 0,0-0,150</t>
  </si>
  <si>
    <t>Подъезд к железнодорожной станции Голынец от а/д Н-14087 Подъезд к железнодорожной станции Вендриж от а/д Р-93 Могилев–Бобруйск км 0,0-6,456</t>
  </si>
  <si>
    <t>Подъезд к садоводческому товариществу «Берёзонька Бобруйского района» от а/д Н-10088 Миратино–Соломенка–автодорога М-5/Е 271 Минск–Гомель км 0,0-1,050</t>
  </si>
  <si>
    <t>Подъезд к садоводческому товариществу «Соломенка» от а/д Н-12188 Подъезд к садоводческому товариществу «Берёзонька Бобруйского района» от а/д Н-10088 Миратино–Соломенка–автодорога М-5/Е 271 Минск–Гомель км 0,0-0,400</t>
  </si>
  <si>
    <t>Подъезд к кладбищу д. Соломенка от а/д Н-10088 Миратино–Соломенка–автодорога М-5/Е 271 Минск–Гомель км 0,0-0,100</t>
  </si>
  <si>
    <t>км 6,841-7,031 совмещен с М-5/Е 271 Минск-Гомель</t>
  </si>
  <si>
    <t>км 16,430-16,705 совмещен с М-5/Е 271 Минск-Гомель</t>
  </si>
  <si>
    <t>М-5/Е 271</t>
  </si>
  <si>
    <t>Подъезды от автодороги М-5/Е 271 Минск-Гомель:</t>
  </si>
  <si>
    <t>Подъезд к д. Бабино-2 от а/д М-5/Е 271 Минск-Гомель км 0,0-1,900</t>
  </si>
  <si>
    <t>Подъезд к д. Плессы от а/д М-5/Е 271 Минск–Гомель км 0,0-1,300</t>
  </si>
  <si>
    <t>Подъезд к д. Заболотье от а/д М-5/Е 271 Минск-Гомель км 0,0-2,880</t>
  </si>
  <si>
    <t>Подъезд к кладбищу д. Заболотье от а/д Н-12272 Подъезд к д. Заболотье от а/д М-5/Е 271 Минск–Гомель км 0,0-0,150</t>
  </si>
  <si>
    <t>Подъезд к д. Турки от а/д М-5/Е 271 Минск-Гомель км 0,0-1,200</t>
  </si>
  <si>
    <t>Подъезд к кладбищу д. Турки от а/д М-5/Е 271 Минск-Гомель км 0,0-0,053</t>
  </si>
  <si>
    <t>Подъезд к д. Токари от а/д М-5/Е 271 Минск-Гомель км 0,0-1,830</t>
  </si>
  <si>
    <t>Подъезд к х. Токари от а/д Н-12276 Подъезд к д. Токари от а/д М-5/Е 271 Минск–Гомель км 0,0-0,400</t>
  </si>
  <si>
    <t>Подъезд к кладбищу д. Бабино-2 от а/д М-5/Е 271 Минск-Гомель км 0,0-0,200</t>
  </si>
  <si>
    <t>Подъезд к д. Бояры от а/д М-5/Е 271 Минск-Гомель км 0,0-1,500</t>
  </si>
  <si>
    <t>Подъезд к кладбищу д. Бояры от а/д Н-12280 Подъезд к д. Бояры от а/д М-5/Е 271 Минск–Гомель км 0,0-0,250</t>
  </si>
  <si>
    <t>Подъезд к д. Гута от а/д М-5/Е 271 Минск-Гомель км 0,0-3,040</t>
  </si>
  <si>
    <t>Подъезд к садоводческому товариществу «Малая Гута» от а/д Н-12977 Подъезд к д. Гута от а/д М-5/Е 271 Минск–Гомель км 0,0-0,400</t>
  </si>
  <si>
    <t>Подъезд к садоводческому товариществу «Большая Гута» от а/д Н-12977 Подъезд к д. Гута от а/д М-5/Е 271 Минск–Гомель км 0,0-0,400</t>
  </si>
  <si>
    <t>Подъезд к садоводческому товариществу «Ветеран» от а/д М-5/Е 271 Минск–Гомель км 0,0-2,100</t>
  </si>
  <si>
    <t>Подъезд к садоводческому товариществу «Подрецкое поле» от а/д М-5/Е 271 Минск–Гомель км 0,0-1,700</t>
  </si>
  <si>
    <t>Подъезд к садоводческим товариществам "Башмачок" и "Подречье" от а/д М-5/Е 271 Минск-Гомель км 0,0-0,200</t>
  </si>
  <si>
    <t>км 3,525-4,300 совмещен с М-5/Е 271 Минск-Гомель</t>
  </si>
  <si>
    <t>Подъезд к д. Комарино от а/д М-5/Е 271 Минск-Гомель км 0,0-1,000</t>
  </si>
  <si>
    <t>Подъезд к д. Смык от а/д М-5/Е 271 Минск-Гомель км 0,0-3,916</t>
  </si>
  <si>
    <t>Подъезд к кладбищу д. Смык от а/д Н-14442 Подъезд к д. Смык от а/д М-5/Е 271 Минск–Гомель км 0,0-0,400</t>
  </si>
  <si>
    <t>Подъезд к садоводческому товариществу «Спутник» от а/д Н-14442 Подъезд к д. Смык от а/д М-5/Е 271 Минск–Гомель км 0,0-0,755</t>
  </si>
  <si>
    <t>Подъезд к д. Войнилово от а/д М-5/Е 271 Минск-Гомель км 0,0-1,115</t>
  </si>
  <si>
    <t>км 0,0-0,025 обслуживается РУП "Могилевавтодор" (съезд М-8/Е 95)</t>
  </si>
  <si>
    <t>км 0,0-0,023 обслуживается РУП "Могилевавтодор" (съезд от а/д М-8/Е 95)</t>
  </si>
  <si>
    <t>Подъезды от автодороги М-8/Е 95 Граница Российской Федерации (Езерище)-Витебск-Гомель-граница Украины (Новая Гута):</t>
  </si>
  <si>
    <t>Подъезд к д. Онелино от а/д М-8/Е 95 Граница Российской Федерации (Езерище)-Витебск-Гомель-граница Украины (Новая Гута) км 0,0-13,100</t>
  </si>
  <si>
    <t>Подъезд к кладбищу аг. Поляниновичи от а/д Н-12470 Подъезд к д. Онелино от а/д М-8/Е 95 Граница Российской Федерации (Езерище)–Витебск–Гомель–граница Украины (Новая Гута) км 0,0-0,250</t>
  </si>
  <si>
    <t>Подъезд к кладбищу д. Веть от а/д М-8/Е 95 Граница Российской Федерации (Езерище)-Витебск-Гомель-граница Украины (Новая Гута) км 0,0-0,680</t>
  </si>
  <si>
    <t>Подъезд к кладбищу д. Селец от а/д М-8/Е 95 Граница Российской Федерации (Езерище)–Витебск–Гомель–граница Украины (Новая Гута) км 0,0-0,400</t>
  </si>
  <si>
    <t>км 0,0-0,020 обслуживается РУП "Могилевавтодор" (съезд М-8/Е 95)</t>
  </si>
  <si>
    <t xml:space="preserve">км 3,121-3,213 совмещен с М-8/Е 95 Граница Российской Федерации (Езерище)-Витебск-Гомель-граница Украины (Новая Гута) </t>
  </si>
  <si>
    <t>М-8/Е 95</t>
  </si>
  <si>
    <t>Подъезд к д. Агеевка от а/д М-8/Е 95 Граница Российской Федерации (Езерище)-Витебск-Гомель-граница Украины (Новая Гута) км 0,0-1,900</t>
  </si>
  <si>
    <t xml:space="preserve">Подъезд к д. Новая Милеевка от а/д М-8/Е 95 Граница Российской Федерации (Езерище)-Витебск-Гомель-граница Украины (Новая Гута) км 0,0-3,100 </t>
  </si>
  <si>
    <t>Подъезд к д. Мошенаки от а/д М-8/Е 95 Граница Российской Федерации (Езерище)–Витебск–Гомель–граница Украины (Новая Гута) км 0,0-8,013</t>
  </si>
  <si>
    <t>км 0,0-0,036 обслуживается РУП "Могилевавтодор" (съезд М-8/Е 95)</t>
  </si>
  <si>
    <t>Подъезд к кладбищу д. Мошенаки от а/д Н-13992 Подъезд к д. Мошенаки от а/д М-8/Е 95 Граница Российской Федерации (Езерище)–Витебск–Гомель–граница Украины (Новая Гута) км 0,0-0,500</t>
  </si>
  <si>
    <t>Подъезд к д. Мишковка от а/д Н-13992 Подъезд к д. Мошенаки от а/д М-8/Е 95 Граница Российской Федерации (Езерище)–Витебск–Гомель–граница Украины (Новая Гута) км 0,0-1,896</t>
  </si>
  <si>
    <t>Подъезд к кладбищу д. Мишковка от а/д Н-13994 Подъезд к д. Мишковка от а/д Н-13992 Подъезд к д. Мошенаки от а/д М-8/Е 95 Граница Российской Федерации (Езерище)–Витебск–Гомель–граница Украины (Новая Гута) км 0,0-0,700</t>
  </si>
  <si>
    <t>Подъезд к д. Агеевка от а/д Н-13992 Подъезд к д. Мошенаки от а/д М-8/Е 95 Граница Российской Федерации (Езерище)–Витебск–Гомель–граница Украины (Новая Гута) км 0,0-0,900</t>
  </si>
  <si>
    <t>Подъезд к д. Макаренцы от а/д Н-13992 Подъезд к д. Мошенаки от а/д М-8/Е 95 Граница Российской Федерации (Езерище)–Витебск–Гомель–граница Украины (Новая Гута) км 0,0-2,500</t>
  </si>
  <si>
    <t>Подъезд к кладбищу д. Макаренцы от а/д Н-13992 Подъезд к д. Макаренцы от а/д М-8/Е 95 Граница Российской Федерации (Езерище)–Витебск–Гомель–граница Украины (Новая Гута) км 0,0-0,940</t>
  </si>
  <si>
    <t>Подъезд к д. Шапчицы от а/д М-8/Е 95 Граница Российской Федерации (Езерище)-Витебск-Гомель-граница Украины (Новая Гута) км 0,0-2,331</t>
  </si>
  <si>
    <t>Подъезд к кладбищу д. Шапчицы от а/д Н-13999 Подъезд к д. Шапчицы от а/д М-8/Е 95 Граница Российской Федерации (Езерище)–Витебск–Гомель–граница Украины (Новая Гута) км 0,0-0,500</t>
  </si>
  <si>
    <t>Подъезд к паромной переправе через реку Днепр от а/д М-8/Е 95 Граница Российской Федерации (Езерище)-Витебск-Гомель-граница Украины (Новая Гута) км 0,0-6,690</t>
  </si>
  <si>
    <t>Подъезд к кладбищу д. Боровка от а/д Н-14002 Подъезд к паромной переправе через реку Днепр от а/д М-8/Е 95 Граница Российской Федерации (Езерище)–Витебск–Гомель–граница Украины (Новая Гута) км 0,0-0,400</t>
  </si>
  <si>
    <t>Подъезд к кладбищу д. Фойно от а/д М-8/Е 95 Граница Российской Федерации (Езерище)-Витебск-Гомель-граница Украины (Новая Гута) км 0,0-0,600</t>
  </si>
  <si>
    <t>Подъезд к д. Лыково от а/д М-8/Е 95 Граница Российской Федерации (Езерище)-Витебск-Гомель-граница Украины (Новая Гута) км 0,0-3,175</t>
  </si>
  <si>
    <t>км 0,0-0,026 обслуживается РУП "Могилевавтодор" (съезд М-8/Е 95)</t>
  </si>
  <si>
    <t>Подъезд к кладбищу д. Лыково от а/д Н-14010 Подъезд к д. Лыково от а/д М-8/Е 95 Граница Российской Федерации (Езерище)–Витебск–Гомель–граница Украины (Новая Гута) км 0,0- 0,700</t>
  </si>
  <si>
    <t>Подъезд к д. Константиновка от а/д М-8/Е 95 Граница Российской Федерации (Езерище)-Витебск-Гомель-граница Украины (Новая Гута) км 0,0-1,850</t>
  </si>
  <si>
    <t>Подъезд к д. Мирный от а/д М-8/Е 95 Граница Российской Федерации (Езерище)-Витебск-Гомель-граница Украины (Новая Гута) км 0,0-0,600</t>
  </si>
  <si>
    <t>Подъездная дорога к филиалу «Больница медицинской реабилитации» учреждения здравоохранения «Могилевский областной лечебно-диагностический центр» от а/д М-8/Е 95 Граница Российской Федерации (Езерище)-Витебск-Гомель-граница Украины (Новая Гута) км 0,0-1,993</t>
  </si>
  <si>
    <t>Подъезд к аг. Сидоровичи от а/д М-8/Е 95 Граница Российской Федерации (Езерище)-Витебск-Гомель-граница Украины (Новая Гута) км 0,0-1,050</t>
  </si>
  <si>
    <t>км 5,749-6,032 совмещен с М-8/Е 95 Граница Российской Федерации (Езерище)-Витебск-Гомель-граница Украины (Новая Гута)</t>
  </si>
  <si>
    <t>Подъезд к д. Заходы от а/д М-8/Е 95 Граница Российской Федерации (Езерище)-Витебск-Гомель-граница Украины (Новая Гута) км 0,0-2,898</t>
  </si>
  <si>
    <t>Подъезд к кладбищу д. Заходы от а/д Н-11749 Подъезд к д. Заходы от а/д М-8/Е 95 Граница Российской Федерации (Езерище)–Витебск–Гомель–граница Украины (Новая Гута) км 0,0-0,400</t>
  </si>
  <si>
    <t>Подъезд к д. Новоселье от а/д М-8/Е 95 Граница Российской Федерации (Езерище)-Витебск-Гомель-граница Украины (Новая Гута) км 0,0-1,600</t>
  </si>
  <si>
    <t>Подъезд к кладбищу д. Новоселье от а/д Н-11751 Подъезд к д. Новоселье от а/д М-8/Е 95 Граница Российской Федерации (Езерище)–Витебск–Гомель–граница Украины (Новая Гута) км 0,0-0,500</t>
  </si>
  <si>
    <t>Подъезд к кладбищу д. Княжицы от а/д М-8/Е 95 Граница Российской Федерации (Езерище)-Витебск-Гомель-граница Украины (Новая Гута) км 0,0-0,500</t>
  </si>
  <si>
    <t>Подъезд к кладбищу д. Башкировка от а/д М-8/Е 95 Граница Российской Федерации (Езерище)-Витебск-Гомель-граница Украины (Новая Гута) км 0,0-0,100</t>
  </si>
  <si>
    <t>Подъезд к кладбищу д. Забродье от а/д М-8/Е 95 Граница Российской Федерации (Езерище)–Витебск–Гомель–граница Украины (Новая Гута) км 0,0-0,600</t>
  </si>
  <si>
    <t>Подъезд к кладбищу д. Клин от а/д М-8/Е 95 Граница Российской Федерации (Езерище)-Витебск-Гомель-граница Украины (Новая Гута) км 0,0-0,700</t>
  </si>
  <si>
    <t>Подъезд к д. Бель от а/д М-8/Е 95 Граница Российской Федерации (Езерище)–Витебск–Гомель–граница Украины (Новая Гута) км 0,0-2,800</t>
  </si>
  <si>
    <t>Подъезд к кладбищу д. Бель от а/д Н-11758 Подъезд к д. Бель от а/д М-8/Е 95 Граница Российской Федерации (Езерище)–Витебск–Гомель–граница Украины (Новая Гута) км 0,0-0,300</t>
  </si>
  <si>
    <t>Подъезд к кладбищу д. Локути от а/д М-8/Е 95 Граница Российской Федерации (Езерище)-Витебск-Гомель-граница Украины (Новая Гута) км 0,0-1,400</t>
  </si>
  <si>
    <t>Подъезд к д. Пронцевка от а/д М-8/Е 95 Граница Российской Федерации (Езерище)-Витебск-Гомель-граница Украины (Новая Гута) км 0,0-0,742</t>
  </si>
  <si>
    <t>Осман-Касаево–п. Ленинский км 0,0-2,800</t>
  </si>
  <si>
    <t>Бобруйск–п. Юбилейный км 0,0-4,500</t>
  </si>
  <si>
    <t>Подъезд к д. Новая Беларусь от а/д Н-10076 Бобруйск-п. Юбилейный км 0,0-0,940</t>
  </si>
  <si>
    <t>Лоси–п. Брожа км 0,0-4,062</t>
  </si>
  <si>
    <t>Подъезд к кладбищу д. Брожа от а/д Н-10103 Лоси–п. Брожа км 0,0-0,700</t>
  </si>
  <si>
    <t>Белая–п. Белая км 0,0-1,850</t>
  </si>
  <si>
    <t>Заводская Слобода-п. Полевой км 0,0-1,500</t>
  </si>
  <si>
    <t>Станция Вендриж-п. Березовый-Дедки км 0,0-2,200</t>
  </si>
  <si>
    <t>Подъезд к п. Зеленый от а/д Н-11045 Станция Вендриж-п. Березовый-Дедки км 0,0-1,000</t>
  </si>
  <si>
    <t>Подъезд к садоводческому товариществу "Вендорож" горисполком" от а/д Н-11045 Станция Вендриж-п. Березовый-Дедки км 0,0-0,500</t>
  </si>
  <si>
    <t>Подъезд к садоводческому товариществу "Мебельщик" от а/д Н-11045 Станция Вендриж-п. Березовый-Дедки км 0,0-0,200</t>
  </si>
  <si>
    <t>Варваровка–упраздненный п. Михайловский км 0,0-3,500</t>
  </si>
  <si>
    <t>Подъезд к п. Корма через п. Бельгийский от а/д Н-11503 Чериков-Удога-Веремейки км 0,0-2,870</t>
  </si>
  <si>
    <t>Большой Кудин–упраздненная д. Пуща км 0,0-3,380</t>
  </si>
  <si>
    <t>Заполье–Прожектор– упраздненная д. Сковородка км 0,0-2,500</t>
  </si>
  <si>
    <t>Красный Пахарь–Калинина– упраздненная д. Ленинский км 0,0-2,200</t>
  </si>
  <si>
    <t>Запокулье–упраздненная д. Советская км 0,0-3,062</t>
  </si>
  <si>
    <t>Громада–упраздненная д. Дорки км 0,0-4,840</t>
  </si>
  <si>
    <t>Подъезд к д. Круглица от а/д Н-10176 Громада–упраздненная д. Дорки км 0,0-0,600</t>
  </si>
  <si>
    <t>Звенчатка–Ковалевка–упраздненная д. Федоровка км 0,0-5,700</t>
  </si>
  <si>
    <t>Подъезд к кладбищу д. Ковалевка от а/д Н-10536 Звенчатка– Ковалевка–упраздненная д. Федоровка км 0,0-0,727</t>
  </si>
  <si>
    <t>Высокое–Автуховка–упраздненная д. Тошна км 0,0-11,373</t>
  </si>
  <si>
    <t>Подъезд к д. Жевжик от а/д Н-10546 Высокое–Автуховка–упраздненная д. Тошна км 0,0-1,000</t>
  </si>
  <si>
    <t>Подъезд к д. Торченка от а/д Н-10546 Высокое–Автуховка–упраздненная д. Тошна км 0,0-1,300</t>
  </si>
  <si>
    <t>Подъезд к кладбищу д. Торченка от а/д Н-13088 Подъезд к д. Торченка от а/д Н-10546 Высокое–Автуховка–упраздненная д. Тошна км 0,0-0,150</t>
  </si>
  <si>
    <t>Подъезд к кладбищу д. Автуховка от а/д Н-10546 Высокое–Автуховка–упраздненная д. Тошна км 0,0-0,600</t>
  </si>
  <si>
    <t>Макеевичи–Питер–упраздненная д. Совна км 0,0-8,554</t>
  </si>
  <si>
    <t>Подъезд к д. Питер от а/д Н-10554 Макеевичи–Питер–упраздненная д. Совна км 0,0-0,500</t>
  </si>
  <si>
    <t>Подъезд к кладбищу упраздненной д. Совна от а/д Н-10554 Макеевичи–Питер–упраздненная д. Совна км 0,0-0,351</t>
  </si>
  <si>
    <t>Якимовичи–упраздненная д. Третной Угол км 0,0-1,500</t>
  </si>
  <si>
    <t>Подъезд к кладбищу упраздненной д. Третной Угол от а/д Н-10556 Якимовичи–упраздненная д. Третной Угол км 0,0-2,101</t>
  </si>
  <si>
    <t>Галичи–упраздненная д. Галичская Мыза км 0,0-3,200</t>
  </si>
  <si>
    <t>Тимоново–упраздненная д. Вознесенск км 0,0-2,500</t>
  </si>
  <si>
    <t>Бороньки–Мошевое–упраздненная д. Самотевичи км 0,0-25,770</t>
  </si>
  <si>
    <t>Подъезд к упраздненной д. Дубровка от а/д Н-10679 Бороньки–Мошевое– упраздненная д. Самотевичи км 0,0-1,200</t>
  </si>
  <si>
    <t>Подъезд к кладбищу упраздненной д. Дубровка от а/д Н-13177 Подъезд к упраздненной д. Дубровка от а/д Н-10679 Бороньки–Мошевое–упраздненная д. Самотевичи км 0,0-0,500</t>
  </si>
  <si>
    <t>Подъезд к д. Каменка от а/д Н-10679 Бороньки–Мошевое–упраздненная д. Самотевичи км 0,0-0,600</t>
  </si>
  <si>
    <t>Подъезд к кладбищу д. Каменка от а/д Н-13179 Подъезд к д. Каменка от а/д Н-10679 Бороньки–Мошевое–упраздненная д. Самотевичи км 0,0-0,470</t>
  </si>
  <si>
    <t>Подъезд к кладбищу упраздненной д. Прудок от а/д Н-10679 Бороньки–Мошевое– упраздненная д. Самотевичи км 0,0-0,430</t>
  </si>
  <si>
    <t>Подъезд к кладбищу д. Пушково от а/д Н-10679 Бороньки–Мошевое–упраздненная д. Самотевичи км 0,0-0,400</t>
  </si>
  <si>
    <t>Подъезд к кладбищу упраздненной д. Великий Бор от а/д Н-10679 Бороньки–Мошевое– упраздненная д. Самотевичи км 0,0-1,000</t>
  </si>
  <si>
    <t>Подъезд к кладбищу упраздненной д. Мамоновка от а/д Н-10679 Бороньки–Мошевое–упраздненная д. Самотевичи км 0,0-2,300</t>
  </si>
  <si>
    <t>Подъезд к кладбищу упраздненной д. Заречье от а/д Н-10679 Бороньки–Мошевое– упраздненная д. Самотевичи км 0,0-5,800</t>
  </si>
  <si>
    <t>Упраздненная д. Великий Бор–Кавычицы км 0,0-2,200</t>
  </si>
  <si>
    <t>Подъезд к кладбищу д. Кавычицы от а/д Н-10686 Упраздненная д. Великий Бор–Кавычицы км 0,0-0,480</t>
  </si>
  <si>
    <t>Подъезд к кладбищу упраздненной д. Затишье от а/д Н-13204 Подъезд к кладбищу д. Кавычицы от а/д Н-10686 Упраздненная д. Великий Бор–Кавычицы км 0,0-3,900</t>
  </si>
  <si>
    <t>Упраздненная д. Ветухна–упраздненная д. Кривая Нива км 0,0-6,600</t>
  </si>
  <si>
    <t>Подъезд к кладбищу упраздненной д. Кривая Нива от а/д Н-10707 Упраздненная д. Ветухна–упраздненная д. Кривая Нива км 0,0-1,500</t>
  </si>
  <si>
    <t>Подъезд к кладбищу упраздненной д. Дубеец от а/д Н-10707 Упраздненная д. Ветухна–упраздненная д. Кривая Нива км 0,0-2,800</t>
  </si>
  <si>
    <t>Насетское–упраздненная д. Новая Слобода км 0,0-3,000</t>
  </si>
  <si>
    <t>Подъезд к кладбищу д. Жарки от а/д Н-10722 Жарки–упраздненная д. Егоровка км 0,0-0,890</t>
  </si>
  <si>
    <t>Подъезд к кладбищу упраздненной д. Мокрое от а/д Н-10722 Жарки– упраздненная д. Егоровка км 0,0-4,150</t>
  </si>
  <si>
    <t>Подъезд к кладбищу упраздненной д. Озерец от а/д Н-13249 Подъезд к кладбищу упраздненной д. Мокрое от а/д Н-10722 Жарки– упраздненная д. Егоровка км 0,0-5,000</t>
  </si>
  <si>
    <t>Палуж 1–упраздненная д. Горезна км 0,0-12,560</t>
  </si>
  <si>
    <t>Подъезд к д. Лещенка от а/д Н-10753 Палуж 1–упраздненная д. Горезна км 0,0-1,000</t>
  </si>
  <si>
    <t>Подъезд к кладбищу д. Лещенка от а/д Н-13422 Подъезд к д. Лещенка от а/д Н-10753 Палуж 1–упраздненная д. Горезна км 0,0-0,360</t>
  </si>
  <si>
    <t>Подъезд к кладбищу упраздненной д. Горезна от а/д Н-10753 Палуж 1–упраздненная д. Горезна км 0,0-0,100</t>
  </si>
  <si>
    <t>Подъезд к кладбищу упраздненной д. Александровка от а/д Н-10753 Палуж 1–упраздненная д. Горезна км 0,0-1,600</t>
  </si>
  <si>
    <t>Подъезд к кладбищу упраздненной д. Ветухновка от а/д Н-10753 Палуж 1–упраздненная д. Горезна км 0,0-3,300</t>
  </si>
  <si>
    <t>Подъезд к кладбищу упраздненной д. Желижье от а/д Н-10753 Палуж 1–упраздненная д. Горезна км 0,0-4,034</t>
  </si>
  <si>
    <t>Подъезд к кладбищу упраздненной д. Рассомаха-1 от а/д Н-10753 Палуж 1–упраздненная д. Горезна км 0,0-0,100</t>
  </si>
  <si>
    <t>Подъезд к кладбищу упраздненной д. Лещенская Гута от а/д Н-10753 Палуж 1–упраздненная д. Горезна км 0,0-0,900</t>
  </si>
  <si>
    <t>Упраздненная д. Какойский–Яновка–Курбаки км 0,0-12,262</t>
  </si>
  <si>
    <t>Подъезд к д. Малиновка от а/д Н-10754 Упраздненная д. Какойский–Яновка–Курбаки  км 0,0-1,200</t>
  </si>
  <si>
    <t>Подъезд к п. Калининский от а/д Н-10754 Упраздненная д. Какойский–Яновка–Курбаки км 0,0-0,540</t>
  </si>
  <si>
    <t>Подъезд к кладбищу упраздненной д. Какойский от а/д Н-10754 Упраздненная д. Какойский–Яновка–Курбаки км 0,0-0,200</t>
  </si>
  <si>
    <t>Подъезд к кладбищу аг. Яновка от а/д Н-10754 Упраздненная д. Какойский–Яновка–Курбаки км 0,0-0,100</t>
  </si>
  <si>
    <t>Подъезд к кладбищу д. Курбаки от а/д Н-10754 Упраздненная д. Какойский–Яновка–Курбаки км 0,0-0,200</t>
  </si>
  <si>
    <t>Упраздненная д. Грозный–Дубровка км 0,0-4,800</t>
  </si>
  <si>
    <t>Подъезд к кладбищу упраздненной д. Тивецкое от а/д Н-10784 Упраздненная д. Грозный–Дубровка км 0,0-0,100</t>
  </si>
  <si>
    <t>Горы–Дерновая–упраздненная д. Кирова км 0,0-3,900</t>
  </si>
  <si>
    <t>Подъезд к кладбищу д. Дерновая от а/д Н-10786 Горы–Дерновая–упраздненная д. Кирова км 0,0-0,140</t>
  </si>
  <si>
    <t>Подъезд к кладбищу упраздненной д. Кирова от а/д Н-10786 Горы–Дерновая–упраздненная д. Кирова км 0,0-0,780</t>
  </si>
  <si>
    <t>Упраздненная д. Драготынь–упраздненная д. Якушовка км 0,0-1,500</t>
  </si>
  <si>
    <t>Подъезд к кладбищу упраздненной д. Якушовка от а/д Н-10788 Упраздненная д. Драготынь–упраздненная д. Якушовка км 0,0-1,160</t>
  </si>
  <si>
    <t>Костюковка–упраздненная д. Янов км 0,0-2,900</t>
  </si>
  <si>
    <t>Подъезд к кладбищу упраздненной д. Янов от а/д Н-10861 Костюковка–упраздненная д. Янов км 0,0-1,800</t>
  </si>
  <si>
    <t>Чернобель–упраздненная д. Калаша км 0,0-1,100</t>
  </si>
  <si>
    <t>Рязанцы–упраздненная д. Старые Вихряны км 0,0-2,600</t>
  </si>
  <si>
    <t>Гиженка–упраздненная д. Красный Октябрь км 0,0-2,110</t>
  </si>
  <si>
    <t>Подъезд к кладбищу упраздненной д. Красный Октябрь от а/д Н-11277 Гиженка– упраздненная д. Красный Октябрь км 0,0-0,800</t>
  </si>
  <si>
    <t>Упраздненная д. Бахань–упраздненная д. Борки км 0,0-7,180</t>
  </si>
  <si>
    <t>Уречье– упраздненная д. Уречье 2 км 0,0-3,150</t>
  </si>
  <si>
    <t>Бруевка–упраздненная д. Канавка км 0,0-3,300</t>
  </si>
  <si>
    <t>Боханы–Берёзки– упраздненная д. Игнатовка км 0,0-12,540</t>
  </si>
  <si>
    <t>Подъезд к кладбищу упраздненной д. Ганновка от а/д Н-11363 Боханы–Берёзки– упраздненная д. Игнатовка км 0,0-2,000</t>
  </si>
  <si>
    <t>Подъезд к кладбищу д. Янополье от а/д Н-11363 Боханы–Берёзки– упраздненная д. Игнатовка км 0,0-0,300</t>
  </si>
  <si>
    <t>Подъезд к д. Клин от а/д Н-11363 Боханы–Берёзки– упраздненная д. Игнатовка км 0,0-3,815</t>
  </si>
  <si>
    <t>Ельня–Александровичи–упраздненная д. Зеленец км 0,0-3,050</t>
  </si>
  <si>
    <t>Упраздненная д. Андроновщина–Селище км 0,0-1,750</t>
  </si>
  <si>
    <t>Подъезд к кладбищу д. Селище от а/д Н-11373 Упраздненная д. Андроновщина–Селище км 0,0-1,200</t>
  </si>
  <si>
    <t>Упраздненная д. Красноярск–Островы км 0,0-3,000</t>
  </si>
  <si>
    <t>Каменица–упраздненная д. Новая Деревня км 0,0-2,700</t>
  </si>
  <si>
    <t>Белыничи–Шклов (до а/д Р-77 Шклов–Белыничи (через Пригани 2)) км 0,0-23,209</t>
  </si>
  <si>
    <t>Подъезд к д. Ветка от а/д Н-10000 Белыничи–Шклов (до а/д Р-77 Шклов–Белыничи (через Пригани 2)) км 0,0-1,327</t>
  </si>
  <si>
    <t>Подъезд к аг. Головчин от а/д Н-10000 Белыничи–Шклов (до а/д Р-77 Шклов–Белыничи (через Пригани 2)) км 0,0-2,000</t>
  </si>
  <si>
    <t>Подъезд к кладбищу «Михайлов» от а/д Н-10000 Белыничи–Шклов (до а/д Р-77 Шклов–Белыничи (через Пригани 2)) км 0,0-0,180</t>
  </si>
  <si>
    <t>Подъезд к кладбищу д. Большой Кудин от а/д Н-10000 Белыничи–Шклов (до а/д Р-77 Шклов–Белыничи (через Пригани 2)) км 0,0-0,100</t>
  </si>
  <si>
    <t>Подъезд к кладбищу д. Ветка от а/д Н-10000 Белыничи–Шклов (до а/д Р-77 Шклов–Белыничи (через Пригани 2)) км 0,0-0,100</t>
  </si>
  <si>
    <t>Сурды (от а/д Р-26 Толочин–Круглое–Вишов)–Новоселки–Малые Лозицы км 0,0-12,897</t>
  </si>
  <si>
    <t>Подъезд к д. Север от а/д Н-10002 Сурды (от а/д Р-26 Толочин–Круглое–Вишов)–Новоселки–Малые Лозицы км 0,0-2,700</t>
  </si>
  <si>
    <t>Подъезд к кладбищу д. Север от а/д Н-12007 Подъезд к д. Север от а/д Н-10002 Сурды (от а/д Р-26 Толочин–Круглое–Вишов)–Новоселки–Малые Лозицы км 0,0-0,500</t>
  </si>
  <si>
    <t>Подъезд к кладбищу д. Согласие  от а/д Н-12007 Подъезд к д. Север от а/д Н-10002 Сурды (от а/д Р-26 Толочин–Круглое–Вишов)–Новоселки–Малые Лозицы км 0,0-0,350</t>
  </si>
  <si>
    <t>Подъезд к д. Браковщина от а/д Н-10002 Сурды (от а/д Р-26 Толочин–Круглое–Вишов)–Новоселки–Малые Лозицы км 0,0-1,600</t>
  </si>
  <si>
    <t>Подъезд к кладбищу д. Браковщина от а/д Н-12010 Подъезд к д. Браковщина от а/д Н-10002 Сурды (от а/д Р-26 Толочин–Круглое–Вишов)–Новоселки–Малые Лозицы км 0,0-0,500</t>
  </si>
  <si>
    <t>Подъезд к кладбищу д. Сурды от а/д Н-10002 Сурды (от а/д Р-26 Толочин–Круглое–Вишов)–Новоселки–Малые Лозицы км 0,0-0,400</t>
  </si>
  <si>
    <t>Подъезд к кладбищу д. Личинка от а/д Н-10002 Сурды (от а/д Р-26 Толочин–Круглое–Вишов)–Новоселки–Малые Лозицы км 0,0-0,150</t>
  </si>
  <si>
    <t>Подъезд к району индивидуальной жилой застройки в д. Новоселки от а/д Н-10002 Сурды (от а/д Р-26 Толочин–Круглое–Вишов)–Новоселки–Малые Лозицы км 0,0-0,650</t>
  </si>
  <si>
    <t>Подъезд к памятнику жертвам фашизма на месте сожженной д. Стефаново от а/д Н-10004 Светиловичи–Лебедянка–Борок км 0,0-0,900</t>
  </si>
  <si>
    <t>Подъезд к кладбищу д. Глубокий Брод от а/д Н-10007 Осовец–Заполье–Дручаны–Межонка км 0,0-0,100</t>
  </si>
  <si>
    <t>Подъезд к кладбищу д. Падевичи от а/д Н-10016 Заполье–Падевичи–Ксаверово-Аксеньковичи км 0,0-0,300</t>
  </si>
  <si>
    <t>Подъезд к кладбищу д. Маковка от а/д Н-10016 Заполье–Падевичи–Ксаверово-Аксеньковичи км 0,0-0,300</t>
  </si>
  <si>
    <t>Большой Трилесин (до а/д Н-10000 Белыничи–Шклов (до а/д Р-77 Шклов–Белыничи (через Пригани 2))) км 0,0-5,370</t>
  </si>
  <si>
    <t>Лубяны (от а/д Р-77 Шклов–Белыничи (через Пригани 2))–Крайний км 0,0-2,980</t>
  </si>
  <si>
    <t>Подъезд к д. Рижков от а/д Н-10042 Смогиловка–Стехово–Калиновка км 0,0-1,874</t>
  </si>
  <si>
    <t>Подъезд к д. Мельник от а/д М-4/П 5 Подъезд к г. Белыничи от автомобильной дороги М-4 км 0,0-5,260</t>
  </si>
  <si>
    <t>Подъезд к п. Неропля от а/д М-4/П 5 Подъезд к г. Белыничи от автомобильной дороги М-4 км 0,0-0,690</t>
  </si>
  <si>
    <t>Подъезд к аг. Большая Мощаница от а/д М-4/П 5 Подъезд к г. Белыничи от автомобильной дороги М-4 км 0,0-0,700</t>
  </si>
  <si>
    <t>Подъезд к садоводческому товариществу «Родничок» от а/д М-4/П 5 Подъезд к г. Белыничи от автомобильной дороги М-4 км 0,0-0,800</t>
  </si>
  <si>
    <t>Подъезд к садоводческому товариществу «Ягодка» от а/д М-4/П 5 Подъезд к г. Белыничи от автомобильной дороги М-4 км 0,0-0,400</t>
  </si>
  <si>
    <t>Подъезд к кладбищу д. Круглониво от а/д Н-10077 Глуша–Макаровка–Гороховка км 0,0-0,100</t>
  </si>
  <si>
    <t>Железнодорожная станция Телуша (от а/д М-5/Е 271 Минск–Гомель)–Панкратовичи–Ламбово км 0,0-24,180</t>
  </si>
  <si>
    <t>Подъезд к аг. Ковали от а/д Н-10080 Железнодорожная станция Телуша (от а/д М-5/Е 271 Минск–Гомель)–Панкратовичи–Ламбово км 0,0-3,960</t>
  </si>
  <si>
    <t>Подъезд к д. Полянки от а/д Н-10080 Железнодорожная станция Телуша (от а/д М-5/Е 271 Минск–Гомель)–Панкратовичи–Ламбово км 0,0-3,276</t>
  </si>
  <si>
    <t>Вишневка (от а/д Р-31 Бобруйск (от автомобильной дороги М-5/Е 271)–Мозырь–граница Украины (Новая Рудня))–Брожа–Орсичи–Козловичи км 0,0-24,300</t>
  </si>
  <si>
    <t>Подъезд к п. Брожа от а/д Н-10081 Вишневка (от а/д Р-31 Бобруйск (от автомобильной дороги М-5/Е 271)–Мозырь–граница Украины (Новая Рудня))–Брожа–Орсичи–Козловичи км 0,0-3,023</t>
  </si>
  <si>
    <t>Подъезд к д. Вишневка от а/д Н-10081 Вишневка (от а/д Р-31 Бобруйск (от автомобильной дороги М-5/Е 271)–Мозырь–граница Украины (Новая Рудня))–Брожа–Орсичи–Козловичи км 0,0-1,038</t>
  </si>
  <si>
    <t>Подъезд к закрытому акционерному обществу «Птицефабрика «Вишнёвка» от а/д Н-12146 Подъезд к д. Вишневка от а/д Н-10081 Вишневка (от а/д Р-31 Бобруйск (от автомобильной дороги М-5/Е 271)–Мозырь–граница Украины (Новая Рудня))–Брожа–Орсичи–Козловичи км 0,0-0,442</t>
  </si>
  <si>
    <t>Подъезд к д. Глебова Рудня от а/д Н-10081 Вишневка (от а/д Р-31 Бобруйск (от автомобильной дороги М-5/Е 271)–Мозырь–граница Украины (Новая Рудня))–Брожа–Орсичи–Козловичи км 0,0-1,080</t>
  </si>
  <si>
    <t>Подъезд к садоводческому товариществу «Родник» от а/д Н-12148 Подъезд к д. Глебова Рудня от а/д Н-10081 Вишневка (от а/д Р-31 Бобруйск (от автомобильной дороги М-5/Е 271)–Мозырь–граница Украины (Новая Рудня))–Брожа–Орсичи–Козловичи км 0,0-0,50</t>
  </si>
  <si>
    <t>Подъезд к садоводческому товариществу «Автомобилист» от а/д Н-12148 Подъезд к д. Глебова Рудня от а/д Н-10081 Вишневка (от а/д Р-31 Бобруйск (от автомобильной дороги М-5/Е 271)–Мозырь–граница Украины (Новая Рудня))–Брожа–Орсичи–Козловичи км 0,0-0,500</t>
  </si>
  <si>
    <t>Подъезд к садоводческому товариществу «Солнечная Поляна» от а/д Н-10081 Вишневка (от а/д Р-31 Бобруйск (от автомобильной дороги М-5/Е 271)–Мозырь–граница Украины (Новая Рудня))–Брожа–Орсичи–Козловичи км 0,0-1,400</t>
  </si>
  <si>
    <t>Подъезд к садоводческому товариществу «Орсичи» от а/д Н-10081 Вишневка (от а/д Р-31 Бобруйск (от автомобильной дороги М-5/Е 271)–Мозырь–граница Украины (Новая Рудня))–Брожа–Орсичи–Козловичи км 0,0-1,400</t>
  </si>
  <si>
    <t>Подъезд к кладбищу д. Орсичи от а/д Н-10081 Вишневка (от а/д Р-31 Бобруйск (от автомобильной дороги М-5/Е 271)–Мозырь–граница Украины (Новая Рудня))–Брожа–Орсичи–Козловичи км 0,0-0,600</t>
  </si>
  <si>
    <t>Подъезд к садоводческому товариществу «Селище» от а/д Н-10081 Вишневка (от а/д Р-31 Бобруйск (от автомобильной дороги М-5/Е 271)–Мозырь–граница Украины (Новая Рудня))–Брожа–Орсичи–Козловичи км 0,0-0,400</t>
  </si>
  <si>
    <t>Ясень-Каменка–Осово–Горбацевичи км 0,0-13,739</t>
  </si>
  <si>
    <t>Подъезд к кладбищу д. Ясень-Каменка от а/д Н-10085 Ясень-Каменка–Осово–Горбацевичи км 0,0-1,100</t>
  </si>
  <si>
    <t>Подъезд к д. Осово от а/д Н-10085 Ясень-Каменка–Осово–Горбацевичи км 0,0-0,500</t>
  </si>
  <si>
    <t>Подъезд к д. Ленина от а/д Н-10085 Ясень-Каменка –Осово–Горбацевичи км 0,0-1,138</t>
  </si>
  <si>
    <t>Подъезд к кладбищу п. Данилов Мост от а/д Н-12210 Подъезд к садоводческому товариществу «Мичуринец» от а/д Н-10095 Воротынь–Данилов Мост  км 0,0-0,140</t>
  </si>
  <si>
    <t>Подъезд к п. Старый Двор от а/д Н-10096 Воротынь–Долгий Клин км 0,0-1,370</t>
  </si>
  <si>
    <t>Подъезд к п. Труд от а/д Н-10096 Воротынь–Долгий Клин км 0,0-2,140</t>
  </si>
  <si>
    <t>Подъезд к п. Лесище от а/д Н-10096 Воротынь–Долгий Клин км 0,0-1,840</t>
  </si>
  <si>
    <t>Подъезд к кладбищу п. Лесище от а/д Н-12215 Подъезд к п. Лесище от а/д Н-10096 Воротынь–Долгий Клин км 0,0-0,800</t>
  </si>
  <si>
    <t>Подъезд к п. Мироново от а/д Н-10096 Воротынь–Долгий Клин км 0,0-1,910</t>
  </si>
  <si>
    <t>Подъезд к кладбищу п. Долгий Клин от а/д Н-10096 Воротынь–Долгий Клин км 0,0-0,200</t>
  </si>
  <si>
    <t>Глуша (от а/д Р-34 Осиповичи–Глуск–Озаричи)–Борки км 0,0-5,650</t>
  </si>
  <si>
    <t>Подъезд к кладбищу д. Борки от а/д Н-10099 Глуша (от а/д Р-34 Осиповичи–Глуск–Озаричи)–Борки км 0,0-0,400</t>
  </si>
  <si>
    <t>Аг. Ленина–Подсобное км 0,0-5,080</t>
  </si>
  <si>
    <t>Подъезд к д. Барборово от а/д Н-10106 Аг. Ленина–Подсобное км 0,0-0,530</t>
  </si>
  <si>
    <t>Аг. Ленина–Роксолянка км 0,0-6,997</t>
  </si>
  <si>
    <t>Подъезд к д. Топорки от а/д Н-10092 Аг. Ленина–Роксолянка км 0,0-2,720</t>
  </si>
  <si>
    <t>Подъезд к д. Подъясенка от а/д Н-10092 Аг. Ленина–Роксолянка км 0,0-0,880</t>
  </si>
  <si>
    <t>Подъезд к аг. Большие Бортники от а/д Р-43 Граница Российской Федерации (Звенчатка)–Кричев–Бобруйск–Ивацевичи (до автомобильной дороги Р-2/Е 85) км 0,0-1,500</t>
  </si>
  <si>
    <t>Гороховка–Ясены–а/д Н-10077 Глуша–Макаровка–Гороховка км 0,0-6,850</t>
  </si>
  <si>
    <t>Подъезд к п. Красная Заря от а/д Н-10110 Гороховка–Ясены–а/д Н-10077 Глуша–Макаровка–Гороховка км 0,0-0,620</t>
  </si>
  <si>
    <t>Проезд по п. Красная Заря от а/д Н-12241 Подъезд к п. Красная Заря от а/д Н-10110 Гороховка–Ясены–а/д Н-10077 Глуша–Макаровка–Гороховка км 0,0-0,360</t>
  </si>
  <si>
    <t>Ломы–Селиба–Доманово–а/д Р-31 Бобруйск (от автомобильной дороги М-5/Е 271)–Мозырь–граница Украины (Новая Рудня) км 0,0-10,420</t>
  </si>
  <si>
    <t>Подъезд к д. Доманово от а/д Н-10113 Ломы–Селиба–Доманово–а/д Р-31 Бобруйск (от автомобильной дороги М-5/Е 271)–Мозырь–граница Украины (Новая Рудня) км 0,0-2,317</t>
  </si>
  <si>
    <t>Подъезд к кладбищу д. Доманово от а/д Н-12244 Подъезд к д. Доманово от а/д Н-10113 Ломы–Селиба–Доманово–а/д Р-31 Бобруйск (от автомобильной дороги М-5/Е 271)–Мозырь–граница Украины (Новая Рудня) км 0,0-0,310</t>
  </si>
  <si>
    <t>Буда (от а/д Р-43 Граница Российской Федерации (Звенчатка)–Кричев–Бобруйск–Ивацевичи (до автомобильной дороги Р-2/Е 85))–Богуславка км 0,0-2,220</t>
  </si>
  <si>
    <t>Подъезд к садоводческому товариществу «Шинник Бобруйского района» от а/д М-5/Е 271 Минск–Гомель км 0,0-0,350</t>
  </si>
  <si>
    <t>Подъезд к государственному учреждению образования «Центр туризма, краеведения и экскурсий детей и молодежи города Бобруйска» от а/д М-5/Е 271 Минск–Гомель км 0,0-2,000</t>
  </si>
  <si>
    <t>Подъезд к д. Тивновичи через д. Калинино от а/д М-5/П 1 Подъезд к г. Бобруйску № 1 от автомобильной дороги М-5/Е 271 км 0,0-5,323</t>
  </si>
  <si>
    <t>Подъезд к кладбищу д. Тивновичи от а/д Н-12283 Подъезд к д. Тивновичи через д. Калинино от а/д М-5/П 1 Подъезд к г. Бобруйску № 1 от автомобильной дороги М-5/Е 271 км 0-0,400</t>
  </si>
  <si>
    <t>Подъезд к п. Селибка от а/д Р-43 Граница Российской Федерации (Звенчатка)–Кричев–Бобруйск–Ивацевичи (до автомобильной дороги Р-2/Е 85) км 0,0-2,12</t>
  </si>
  <si>
    <t>Подъезд к кладбищу п. Селибка от а/д Н-12317 Подъезд к д. Селибка от а/д Р-43 Граница Российской Федерации (Звенчатка)–Кричев–Бобруйск–Ивацевичи (до автомобильной дороги Р-2/Е 85) км 0,0-0,050</t>
  </si>
  <si>
    <r>
      <rPr>
        <b/>
        <u/>
        <sz val="12"/>
        <color rgb="FFFF0000"/>
        <rFont val="Times New Roman"/>
        <family val="1"/>
        <charset val="204"/>
      </rPr>
      <t>Подъезды от автодороги  Р-31 Бобруйск (от автомобильной дороги М-5/Е 271)–Мозырь–граница Украины (Новая Рудня) через участок</t>
    </r>
    <r>
      <rPr>
        <b/>
        <u/>
        <sz val="12"/>
        <color indexed="12"/>
        <rFont val="Times New Roman"/>
        <family val="1"/>
        <charset val="204"/>
      </rPr>
      <t xml:space="preserve"> автодороги необщего пользования (технологической) к </t>
    </r>
    <r>
      <rPr>
        <b/>
        <u/>
        <sz val="12"/>
        <color rgb="FFFF0000"/>
        <rFont val="Times New Roman"/>
        <family val="1"/>
        <charset val="204"/>
      </rPr>
      <t>полигону промышленных</t>
    </r>
    <r>
      <rPr>
        <b/>
        <u/>
        <sz val="12"/>
        <color indexed="12"/>
        <rFont val="Times New Roman"/>
        <family val="1"/>
        <charset val="204"/>
      </rPr>
      <t xml:space="preserve"> отходов "Вишневка":</t>
    </r>
  </si>
  <si>
    <t xml:space="preserve"> *</t>
  </si>
  <si>
    <t xml:space="preserve">км 0,0-1,400 совмещен с автомобильной дорогой необщего пользования к полигону промышленных отходов "Вишневка" </t>
  </si>
  <si>
    <t>км 1,400-1,550</t>
  </si>
  <si>
    <t>Подъезд к кладбищу д. Дружба от а/д Н-10154 Обидовичи–Искань–Поляниновичи км 0,0-0,400</t>
  </si>
  <si>
    <t>Подъезд к д. Резки от а/д Н-10155 Быхов–Городец–Золотва–Болонов-Селец–Средне-Крушниковский–Твердово км 0,0-2,850</t>
  </si>
  <si>
    <t>Подъезд к кладбищу д. Резки от а/д Н-12363 Подъезд к д. Резки от а/д Н-10155 Быхов–Городец–Золотва–Болонов-Селец–Средне-Крушниковский–Твердово км 0,0-0,400</t>
  </si>
  <si>
    <t>Подъезд к кладбищу д. Хутор от а/д Н-10155 Быхов–Городец–Золотва–Болонов-Селец–Средне-Крушниковский–Твердово км 0,0-0,200</t>
  </si>
  <si>
    <t>Подъезд к п.  Комаровка от а/д Н-10155 Быхов–Городец–Золотва–Болонов-Селец–Средне-Крушниковский–Твердово км 0,0-0,500</t>
  </si>
  <si>
    <t>Подъезд к п.  Лапша от а/д Н-10155 Быхов–Городец–Золотва–Болонов-Селец–Средне-Крушниковский–Твердово км 0,0- 1,585</t>
  </si>
  <si>
    <t>Подъезд к кладбищу д. Городец от а/д Н-10155 Быхов–Городец–Золотва–Болонов-Селец–Средне-Крушниковский–Твердово км 0,0-0,200</t>
  </si>
  <si>
    <t>Подъезд к кладбищу д. Лубянка от а/д Н-10155 Быхов–Городец–Золотва–Болонов-Селец–Средне-Крушниковский–Твердово км 0,0-1,500</t>
  </si>
  <si>
    <t>Подъезд к кладбищу д. Болонов-Селец от а/д Н-10155 Быхов–Городец–Золотва–Болонов-Селец–Средне-Крушниковский–Твердово км 0,0-1,320</t>
  </si>
  <si>
    <t>Подъезд к кладбищу д. Болонов Селец 2 от а/д Н-10155 Быхов–Городец–Золотва–Болонов-Селец–Средне-Крушниковский–Твердово км 0,0-2,035</t>
  </si>
  <si>
    <t>Подъезд к кладбищу п. Средне–Крушниковский от а/д Н-10155 Быхов–Городец–Золотва–Болонов-Селец–Средне-Крушниковский–Твердово км 0,0-0,430</t>
  </si>
  <si>
    <t>Подъезд к п. Турловка от а/д Н-10155 Быхов–Городец–Золотва–Болонов-Селец–Средне-Крушниковский–Твердово км 0,0-1,150</t>
  </si>
  <si>
    <t>Подъезд к кладбищу п. Тартак от а/д Н-12387 Подъезд к п. Тартак от а/д Н-10157 Быхов–Хомичи–Нижняя Тощица км 0,0-0,590</t>
  </si>
  <si>
    <t>Подъезд к кладбищу упраздненной д. Кипячи от а/д Н-10157 Быхов–Хомичи–Нижняя Тощица км 0,0-0,600</t>
  </si>
  <si>
    <t>Подъезд к кладбищу д. Мокрянские Хутора от а/д Н-10166 Мокрое (от а/д Р-120 Быхов–Белыничи)–Малиновка км 0,0-0,100</t>
  </si>
  <si>
    <t>Подъезд к д. Вишенька от а/д Н-10174 Нижняя Тощица–Заводчик–Тощица км 0,0-1,800</t>
  </si>
  <si>
    <t>Подъезд к кладбищу упраздненного п. Рихортово от а/д Н-10174 Нижняя Тощица–Заводчик–Тощица км 0,0-1,500</t>
  </si>
  <si>
    <t>Давыдовичи–упраздненная д. Ляженка км 0,0-4,000</t>
  </si>
  <si>
    <t>Подъезд к кладбищу упраздненной д. Ляженка от а/д Н-10182 Давыдовичи–упраздненная д. Ляженка км 0,0-2,000</t>
  </si>
  <si>
    <t>Городец–Бросовинка–Замошье км 0,0-7,500</t>
  </si>
  <si>
    <t>Подъезд к кладбищу д. Бросовинка от а/д Н-10186 Городец–Бросовинка–Замошье км 0,0-0,300</t>
  </si>
  <si>
    <t>Подъезд к кладбищу упраздненной д. Гута от а/д Н-10186 Городец–Бросовинка–Замошье км 0,0-0,500</t>
  </si>
  <si>
    <t>Подъезд к кладбищу д. Замошье от а/д Н-10186 Городец–Бросовинка–Замошье км 0,0-0,400</t>
  </si>
  <si>
    <t>Лудчицы– железнодорожная станция Лудчицы км 0,0-7,550</t>
  </si>
  <si>
    <t>Подъезд к кладбищу упраздненной д. Староселье от а/д Н-10192 Лудчицы– железнодорожная станция Лудчицы км 0,0-2,600</t>
  </si>
  <si>
    <t>Подъезд к кладбищу № 1 д. Онелино от а/д Н-11291 Черняковка–Свенск–Роги–Онелино км 0,0-0,400</t>
  </si>
  <si>
    <t>Подъезд к кладбищу № 2 д. Онелино от а/д Н-11291 Черняковка–Свенск–Роги–Онелино км 0,0-0,400</t>
  </si>
  <si>
    <t>Подъезды от автодороги Н-11291 Черняковка–Свенск–Роги–Онелино:</t>
  </si>
  <si>
    <t>Подъезд к п. Старая Трасна через д. Прибор от а/д М-8/Е 95 Граница Российской Федерации (Езерище)–Витебск–Гомель–граница Украины (Новая Гута) км 0,0-4,900</t>
  </si>
  <si>
    <t>Подъезд к кладбищу п. Старая Трасна от а/д Н-12474 Подъезд к п. Старая Трасна через д. Прибор от а/д М-8/Е 95 Граница Российской Федерации (Езерище)–Витебск–Гомель–граница Украины (Новая Гута) км 0,0-0,600</t>
  </si>
  <si>
    <t>Подъезд к кладбищу д. Восточная от а/д Р-120 Быхов–Белыничи км 0,0-1,500</t>
  </si>
  <si>
    <t>Подъезд к п. Покровский через д. Лазаревичи от а/д Р-97 Могилев–Быхов–Рогачев км 0,0-8,000</t>
  </si>
  <si>
    <t>Подъезд к кладбищу д. Вотня от а/д Н-12503 Подъезд к п. Покровский через д. Лазаревичи от а/д Р-97 Могилев–Быхов–Рогачев км 0,0-0,300</t>
  </si>
  <si>
    <t>Вишневка (от а/д Р-31 Бобруйск (от автомобильной дороги М-5/Е 271)–Мозырь–граница Украины (Новая Рудня))–Брожа–Орсичи–Козловичи км 24,300-26,615</t>
  </si>
  <si>
    <t xml:space="preserve">Подъезд к д. Макраны от а/д Н-10229 Карповичи–Маковичи–Боровище км 0,0-1,590 </t>
  </si>
  <si>
    <t>Подъезд к д. Бояново от а/д Н-10238 Берёзовка–Бояново–Барбарово (до а/д Н-10228 Глуск–Славковичи–Зорька) км 0,0-1,153</t>
  </si>
  <si>
    <t>Подъезд к кладбищу д. Бояново от а/д Н-12568 Подъезд к д. Бояново от а/д Н-10238 Берёзовка–Бояново–Барбарово (до а/д Н-10228 Глуск–Славковичи–Зорька) км 0,0-0,400</t>
  </si>
  <si>
    <t>Подъезд к кладбищу аг. Берёзовка от а/д Н-10238 Берёзовка–Бояново–Барбарово (до а/д Н-10228 Глуск–Славковичи–Зорька) км 0,0-1,100</t>
  </si>
  <si>
    <t>Обход аг. Заелица от а/д Н-10228 Глуск–Славковичи–Зорька км 0,0-2,860</t>
  </si>
  <si>
    <t>Подъезд к д. Зарекуша через д. Косаричи от а/д Р-34 Осиповичи–Глуск–Озаричи км 0,0-5,000</t>
  </si>
  <si>
    <t>Подъезд к кладбищу д. Зарекуша от а/д Н-12580 Подъезд к д. Зарекуша через д. Косаричи от а/д Р-34 Осиповичи–Глуск–Озаричи км 0,0-0,600</t>
  </si>
  <si>
    <t>Подъезд к кладбищу д. Косаричи от а/д Н-12580 Подъезд к д. Зарекуша через д. Косаричи от а/д Р-34 Осиповичи–Глуск–Озаричи км 0,0-0,700</t>
  </si>
  <si>
    <t>Подъезд к учреждению здравоохранения «Областной детский центр медицинской реабилитации «Космос» от а/д Н-12584 Подъезд к д. Городище (Заволочицкий сельсовет) от а/д Р-34 Осиповичи–Глуск–Озаричи км 0,0-0,080</t>
  </si>
  <si>
    <t>Подъезд к карьеру «Поляна» от а/д Р-43 Граница Российской Федерации (Звенчатка)–Кричев–Бобруйск–Ивацевичи (до автомобильной дороги Р-2/Е 85) км 0,0-2,320</t>
  </si>
  <si>
    <t>Сава (от а/д Р-15 Кричев–Орша–Лепель)–Поленка–Селец–Осиповичи  км 0,0-17,427</t>
  </si>
  <si>
    <t>Подъезд к кладбищу д. Зубры от а/д Н-10305 Сава (от а/д Р-15 Кричев–Орша–Лепель)–Поленка–Селец–Осиповичи км 0,0-0,800</t>
  </si>
  <si>
    <t>Подъезд к кладбищу д. Кукшиново от а/д Н-10305 Сава (от а/д Р-15 Кричев–Орша–Лепель)–Поленка–Селец–Осиповичи км 0,0-0,200</t>
  </si>
  <si>
    <t>Подъезд к кладбищу д. Поленка от а/д Н-10305 Сава (от а/д Р-15 Кричев–Орша–Лепель)–Поленка–Селец–Осиповичи км 0,0-0,200</t>
  </si>
  <si>
    <t>Сава–Шарипы Большие км 0,0-6,580</t>
  </si>
  <si>
    <t>Подъезд к д. Колотилы от а/д Н-10307 Сава–Шарипы Большие км 0,0-3,240</t>
  </si>
  <si>
    <t>Подъезд к кладбищу д. Колотилы от а/д Н-12655 Подъезд к д. Колотилы от а/д Н-10307 Сава–Шарипы Большие км 0,0-0,550</t>
  </si>
  <si>
    <t>Подъезд к д. Харьковка от а/д Н-10307 Сава–Шарипы Большие км 0,0-2,450</t>
  </si>
  <si>
    <t>Подъезд к кладбищу д. Шарипы Большие от а/д Н-10307 Сава–Шарипы Большие км 0,0-0,850</t>
  </si>
  <si>
    <t>Подъезд к кладбищу д. Моисеево от а/д Н-12660 Подъезд к кладбищу аг. Ленино от а/д Н-10309 Моисеево–Николенка км 0,0-0,100</t>
  </si>
  <si>
    <t>Подъезд к кладбищу упраздненной д. Климатичи от а/д Н-12671 Подъезд к упраздненной д. Климатичи от а/д Н-10312 Андеколово–Луки–Староселье км 0,0-0,150</t>
  </si>
  <si>
    <t>Железнодорожная станция Погодино–Чепелинка–Гулидовка км 0,0-17,600</t>
  </si>
  <si>
    <t>Подъезд к базе открытого акционерного общества «Горецкая райагропромтехника» от а/д Н-10315 Железнодорожная станция Погодино–Чепелинка–Гулидовка км 0,0-1,430</t>
  </si>
  <si>
    <t>Подъезд к кладбищу д. Гулидовка от а/д Н-10315 Железнодорожная станция Погодино–Чепелинка–Гулидовка км 0,0-0,160</t>
  </si>
  <si>
    <t>Подъезд к кладбищу д. Матюты от а/д Н-10315 Железнодорожная станция Погодино–Чепелинка–Гулидовка км 0,0-0,060</t>
  </si>
  <si>
    <t>Подъезд к кладбищу д. Чепелинка от а/д Н-10315 Железнодорожная станция Погодино–Чепелинка–Гулидовка км 0,0-0,100</t>
  </si>
  <si>
    <t>Паршино–Медведево–Пуплы (до а/д Н-10308 Паршино–Полящицы) км 0,0-8,552</t>
  </si>
  <si>
    <t>Подъезд к д. Медведево от а/д Н-10318 Паршино–Медведево–Пуплы (до а/д Н-10308 Паршино–Полящицы) км 0,0-3,696</t>
  </si>
  <si>
    <t>Подъезд к железнодорожному остановочному пункту «Кледневичи» от а/д Н-12688 Подъезд к д. Медведево от а/д Н-10318 Паршино–Медведево–Пуплы (до а/д Н-10308 Паршино–Полящицы) км 0,0-1,149</t>
  </si>
  <si>
    <t>Подъезд к аг. Паршино от а/д Н-10318 Паршино–Медведево–Пуплы (до а/д Н-10308 Паршино–Полящицы) км 0,0-3,270</t>
  </si>
  <si>
    <t>Подъезд к кладбищу п. Мостовой от а/д Н-10318 Паршино–Медведево–Пуплы (до а/д Н-10308 Паршино–Полящицы) км 0,0-0,640</t>
  </si>
  <si>
    <t>Шарипы Малые–Моралевка км 0,0-1,750</t>
  </si>
  <si>
    <t>Подъезд к кладбищу д. Моралевка от а/д Н-10319 Шарипы Малые–Моралевка км 0,0-0,400</t>
  </si>
  <si>
    <t>Жевлачевка (от а/д Р-70 Княжицы–Горки–Ленино–граница Российской Федерации (Дружная))–Ленино км 0,0-9,175</t>
  </si>
  <si>
    <t>Подъезд к кладбищу д. Костюшково от а/д Н-10325 Жевлачевка (от а/д Р-70 Княжицы–Горки–Ленино–граница Российской Федерации (Дружная))–Ленино км 0,0-0,200</t>
  </si>
  <si>
    <t>Подъезд к д. Гощ-Чарный (до а/д Р-70 Княжицы–Горки–Ленино–граница Российской Федерации (Дружная)) от а/д Н-10327 Стан–Комаровичи–Осиновка км 0,0-3,320</t>
  </si>
  <si>
    <t>Подъезд к кладбищу д. Малая Королевка от а/д Н-10333 Азаровичи–Малая Королевка км 0,0-0,180</t>
  </si>
  <si>
    <t>Зубры–Слобода км 0,0-1,160</t>
  </si>
  <si>
    <t>Зеленый Бор– республиканское унитарное предприятие «Учебное хозяйство учреждения образования «Белорусская государственная орденов Октябрьской Революции и Трудового Красного Знамени сельскохозяйственная академия» км 0,0-1,870</t>
  </si>
  <si>
    <t>Горки–Учебно-научный центр «Опытные поля учреждения образования «Белорусская государственная орденов Октябрьской Революции и Трудового Красного Знамени сельскохозяйственная академия» км 0,0-2,600</t>
  </si>
  <si>
    <t>Подъезд к кладбищу д. Малое Морозово от а/д Н-10360 Морозово–Никулино км 0,0-1,500</t>
  </si>
  <si>
    <t>Подъезд к району индивидуальной жилой застройки аг. Ректа от а/д Н-12759 Подъезд к аг. Ректа от а/д Р-15 Кричев–Орша–Лепель км 0,0-0,650</t>
  </si>
  <si>
    <t>Подъезд № 1 к району индивидуальной жилой застройки аг. Рудковщина от а/д Р-15 Кричев–Орша–Лепель км 0,0-0,400</t>
  </si>
  <si>
    <t>Подъезд № 2 к району индивидуальной жилой застройки аг. Рудковщина от а/д Н-12763 Подъезд № 1 к району индивидуальной жилой застройки аг. Рудковщина от а/д Р-15 Кричев–Орша–Лепель км 0,0-0,400</t>
  </si>
  <si>
    <t>Подъезд к кладбищу д. Радионовка от а/д Н-12768 Подъезд к д. Харьковка от а/д Р-15 Кричев–Орша–Лепель км 0,0-0,300</t>
  </si>
  <si>
    <t>Подъезд к д. Песочня от а/д Р-15 Кричев–Орша–Лепель км 0,0-1,090</t>
  </si>
  <si>
    <t>Подъезд к республиканскому унитарному предприятию «Учебное хозяйство учреждения образования «Белорусская государственная орденов Октябрьской Революции и Трудового Красного Знамени сельскохозяйственная академия» от а/д Р-70 Княжицы–Горки–Ленино–граница Российской Федерации (Дружная) км 0,0-5,233</t>
  </si>
  <si>
    <t>Подъезд к д. Костюшково (до а/д Н-10325 Жевлачевка (от а/д Р-70 Княжицы–Горки–Ленино–граница Российской Федерации (Дружная))–Ленино) от а/д Р-70 Княжицы–Горки–Ленино–граница Российской Федерации (Дружная) км 0,0-1,940</t>
  </si>
  <si>
    <t>км 3,925-4,558 совмещен с Н-10102 Красная Дуброва-Коймино-Ивановка</t>
  </si>
  <si>
    <t>км 1,929-2,072 совмещен с  Н-10081 Вишневка (от а/д Р-31 Бобруйск (от автомобильной дороги М-5/Е 271)–Мозырь–граница Украины (Новая Рудня))–Брожа–Орсичи–Козловичи</t>
  </si>
  <si>
    <t>км 3,012-3,116 совмещен с Н-10081 Вишневка (от а/д Р-31 Бобруйск (от автомобильной дороги М-5/Е 271)–Мозырь–граница Украины (Новая Рудня))–Брожа–Орсичи–Козловичи</t>
  </si>
  <si>
    <t>км 2,780-2,976 совмещен с Н-10080 Железнодорожная станция Телуша (от а/д М-5/Е 271 Минск–Гомель)–Панкратовичи–Ламбово</t>
  </si>
  <si>
    <t>км 0,378-0,511 совмещен с Н-10463 Павловичи–Польковичи–Старые Дворяниновичи–Волчья Гора–Липняки</t>
  </si>
  <si>
    <t>км 2,000-2,120 совмещен с Н-10202 Подлесье–Новая Боярщина 1–Новая Бояpщина 2</t>
  </si>
  <si>
    <t>км 21,734-22,617 совмещен с Н-10227 Калатичи–Бабирово (до а/д Р-43 Граница Российской Федерации (Звенчатка)–Кричев–Бобруйск–Ивацевичи (до автомобильной дороги Р-2/Е 85)</t>
  </si>
  <si>
    <t>км 1,020-1,290 совмещен с Н-10303 Овсянка-Поленка-Маслаки</t>
  </si>
  <si>
    <t>км 0,928-0,963 совмещен с Р-70 Княжицы–Горки–Ленино–граница Российской Федерации (Дружная)</t>
  </si>
  <si>
    <t>Подъезд к кладбищу х. Осиновка от а/д Н-12809 Подъезд к х. Осиновка от а/д Н-10377 Кледневичи–Прибужье Старое км 0,0-0,900</t>
  </si>
  <si>
    <t>Покутье–Еськовка (до а/д Н-10376 Дрибин–Темный Лес–Коптевка) км 0,0-7,738</t>
  </si>
  <si>
    <t>Подъезд к д. Гонтовля от а/д Н-10386 Покутье– Еськовка (до а/д Н-10376 Дрибин–Темный Лес–Коптевка) км 0,0-0,400</t>
  </si>
  <si>
    <t>Подъезд к д. Пичевка от а/д Н-10386 Покутье– Еськовка (до а/д Н-10376 Дрибин–Темный Лес–Коптевка) км 0,0-0,600</t>
  </si>
  <si>
    <t>Подъезд к д. Еськовка от а/д Н-10386 Покутье–Еськовка (до а/д Н-10376 Дрибин–Темный Лес–Коптевка) км 0,0-1,850</t>
  </si>
  <si>
    <t>Подъезд к д. Новая Добосна от а/д Н-10451 Кировск–Жиличи–граница Гомельской области км 0,0-2,480</t>
  </si>
  <si>
    <t>Подъезд к зданию Стайковского сельского Совета депутатов в аг. Стайки от а/д Н-10453 Новый Городок–Стайки–Чигиринка км 0,0-0,120</t>
  </si>
  <si>
    <t>Капустино–Скриплица (до а/д Р-93 Могилев–Бобруйск) км 0,0-13,612</t>
  </si>
  <si>
    <t>Подъезд к д. Камерово от а/д Н-10456 Капустино–Скриплица (до а/д Р-93 Могилев–Бобруйск) км 0,0-3,624</t>
  </si>
  <si>
    <t>Мышковичи–Тейковичи (до а/д Р-93 Могилев–Бобруйск) км 0,0-9,093</t>
  </si>
  <si>
    <t>Подъезд к д. Суянец от а/д Н-10457 Мышковичи–Тейковичи (до а/д Р-93 Могилев–Бобруйск) км 0,0-1,300</t>
  </si>
  <si>
    <t>Подъезд к кладбищу д. Изобелино от а/д Н-10461 Широкое–Барсуки–Лещенка км 0,0-1,200</t>
  </si>
  <si>
    <t>Климовичи–Высокое (до а/д Р-122 Могилев–Чериков–Костюковичи) км 0,0-21,887</t>
  </si>
  <si>
    <t>Подъезд к кладбищу д. Стайки от а/д Н-10526 Климовичи–Высокое (до а/д Р-122 Могилев–Чериков–Костюковичи) км 0,0-0,300</t>
  </si>
  <si>
    <t>Подъезд к д. Слобода от а/д Н-10526 Климовичи–Высокое (до а/д Р-122 Могилев–Чериков–Костюковичи) км 0,0-1,200</t>
  </si>
  <si>
    <t>Подъезд к д. Гиреевичи от а/д Н-10526 Климовичи–Высокое (до а/д Р-122 Могилев–Чериков–Костюковичи) км 0,0-2,000</t>
  </si>
  <si>
    <t>Подъезд к кладбищу д. Гиреевичи от а/д Н-13002 Подъезд к д. Гиреевичи от а/д Н-10526 Климовичи–Высокое (до а/д Р-122 Могилев–Чериков–Костюковичи) км 0,0-0,331</t>
  </si>
  <si>
    <t xml:space="preserve">Подъезд к кладбищу аг. Высокое от а/д Н-10526 Климовичи–Высокое (до а/д Р-122 Могилев–Чериков–Костюковичи) км 0,0-0,600 </t>
  </si>
  <si>
    <t>Подъезд к кладбищу упраздненной д. Кошановка от а/д Н-13005 Подъезд к кладбищу упраздненной д. Деряжня от а/д Н-10526 Климовичи–Высокое (до а/д Р-122 Могилев–Чериков–Костюковичи) км 0,0-0,494</t>
  </si>
  <si>
    <t>Подъезд к кладбищу упраздненной д. Титовка от а/д Н-10526 Климовичи–Высокое (до а/д Р-122 Могилев–Чериков–Костюковичи) км 0,0-6,200</t>
  </si>
  <si>
    <t>Подъезд к п. Великий Мох от а/д Н-10527 Шестеровка–Макеевичи–граница Российской Федерации км 0,0-1,300</t>
  </si>
  <si>
    <t>Подъезд к железнодорожной станции Шестеровка от а/д Н-13012 Подъезд к п. Великий Мох от а/д Н-10527 Шестеровка–Макеевичи–граница Российской Федерации км 0,0-0,400</t>
  </si>
  <si>
    <t>Подъезд к п. Даниловка от а/д Н-13017 Подъезд к д. Тарасовичи от а/д Н-10528 Остров–Склимин км 0,0-1,200</t>
  </si>
  <si>
    <t>Климовичи–Майский (до а/д Р-122 Могилев–Чериков–Костюковичи) км 0,0-23,001</t>
  </si>
  <si>
    <t>Подъезд к д. Подъелье от а/д Н-10530 Климовичи–Майский (до а/д Р-122 Могилев–Чериков–Костюковичи) км 0,0-0,700</t>
  </si>
  <si>
    <t>Подъезд к д. Муравец от а/д Н-10530 Климовичи–Майский (до а/д Р-122 Могилев–Чериков–Костюковичи) км 0,0-0,800</t>
  </si>
  <si>
    <t>Подъезд к д. Борисовичи от а/д Н-10530 Климовичи–Майский (до а/д Р-122 Могилев–Чериков–Костюковичи) км 0,0-2,630</t>
  </si>
  <si>
    <t>Подъезд к кладбищу упраздненной д. Игнатовка от а/д Н-13026 Подъезд к д. Борисовичи от Н-10530 Климовичи–Майский (до а/д Р-122 Могилев–Чериков–Костюковичи)</t>
  </si>
  <si>
    <t>Подъезд к д. Заручье от а/д Н-10530 Климовичи–Майский (до а/д Р-122 Могилев–Чериков–Костюковичи) км 0,0-2,109</t>
  </si>
  <si>
    <t>Подъезд к д. Синеж от а/д Н-10530 Климовичи–Майский (до а/д Р-122 Могилев–Чериков–Костюковичи) км 0,0-1,500</t>
  </si>
  <si>
    <t>Подъезд к кладбищу аг. Лобжа от а/д Н-10530 Климовичи–Майский (до а/д Р-122 Могилев–Чериков–Костюковичи) км 0,0-1,200</t>
  </si>
  <si>
    <t>Подъезд к зданию Лобжанского сельского Совета депутатов в аг. Лобжа от а/д Н-10530 Климовичи–Майский (до а/д Р-122 Могилев–Чериков–Костюковичи) км 0,0-0,260</t>
  </si>
  <si>
    <t>Подъезд к кладбищу д. Дубровица от а/д Н-10530 Климовичи–Майский (до а/д Р-122 Могилев–Чериков–Костюковичи) км 0,0-0,198</t>
  </si>
  <si>
    <t>Подъезд к кладбищу д. Лопатовичи от а/д Н-10530 Климовичи–Майский (до а/д Р-122 Могилев–Чериков–Костюковичи) км 0,0-0,969</t>
  </si>
  <si>
    <t>Подъезд к д. Ледешня от а/д Н-10531 Василевка–Милославичи км 0,0-1,400</t>
  </si>
  <si>
    <t xml:space="preserve">Подъезд к кладбищу д. Ледешня от а/д Н-10531 Василевка–Милославичи км 0,0-0,100 </t>
  </si>
  <si>
    <t>Уздевичи–Павловичи (от а/д Р-75 Климовичи (от автомобильной дороги Р-43)–Костюковичи–граница Российской Федерации (Смольки)) км 0,0-5,117</t>
  </si>
  <si>
    <t xml:space="preserve">Подъезд к кладбищу № 2 д. Уздевичи от а/д Н-10540 Уздевичи–Павловичи (от а/д Р-75 Климовичи (от автомобильной дороги Р-43)–Костюковичи–граница Российской Федерации (Смольки)) км 0,0-0,800 </t>
  </si>
  <si>
    <t>Подъезд к кладбищу упраздненной д. Сенная от а/д Н-10540 Уздевичи–Павловичи (от а/д Р-75 Климовичи (от автомобильной дороги Р-43)–Костюковичи–граница Российской Федерации (Смольки)) км 0,0-3,226</t>
  </si>
  <si>
    <t xml:space="preserve">Подъезд к кладбищу упраздненной д. Галичская Мыза от а/д Н-10558 Галичи– упраздненная д. Галичская Мыза км 0,0-0,196 </t>
  </si>
  <si>
    <t>Климовичи–Реут (до а/д Н-10530 Климовичи–Майский (до а/д Р-122 Могилев–Чериков–Костюковичи)) км 0,0-4,400</t>
  </si>
  <si>
    <t>Подъезд к кладбищу аг. Звенчатка от а/д Р-43 Граница Российской Федерации (Звенчатка)–Кричев–Бобруйск–Ивацевичи (до автомобильной дороги Р-2/Е 85) км 0,0-1,400</t>
  </si>
  <si>
    <t>км 2,700-2,900 совмещен с Н-10526 Климовичи–Высокое (до а/д Р-122 Могилев–Чериков–Костюковичи)</t>
  </si>
  <si>
    <t>Новые Максимовичи (от а/д Н-10602 Станция Несета–Старый Остров–Закорки 1 – Закорки 2)–Липница–Колбчанская Слободка км 0,0-26,780</t>
  </si>
  <si>
    <t>Подъезд к д. Веленик от а/д Н-10604 Новые Максимовичи (от а/д Н-10602 Станция Несета–Старый Остров–Закорки 1 – Закорки 2)–Липница–Колбчанская Слободка км 0,0-1,700</t>
  </si>
  <si>
    <t>Подъезд к кладбищу д. Веленик от а/д Н-13311 Подъезд к д. Веленик от а/д Н-10604 Новые Максимовичи (от а/д Н-10602 Станция Несета–Старый Остров–Закорки 1 – Закорки 2)–Липница–Колбчанская Слободка км 0,0-0,780</t>
  </si>
  <si>
    <t>Подъезд к кладбищу аг. Новые Максимовичи от а/д Н-10604 Новые Максимовичи (от а/д Н-10602 Станция Несета–Старый Остров–Закорки 1 – Закорки 2)–Липница–Колбчанская Слободка км 0,0-0,100</t>
  </si>
  <si>
    <t>Подъезд к д. Селище от от а/д Н-10604 Новые Максимовичи (от а/д Н-10602 Станция Несета–Старый Остров–Закорки 1 – Закорки 2)–Липница–Колбчанская Слободка км 0,0-1,532</t>
  </si>
  <si>
    <t>Подъезд к кладбищу д. Селище от а/д Н-13314 Подъезд к д. Селище от а/д Н-10604 Новые Максимовичи (от а/д Н-10602 Станция Несета–Старый Остров–Закорки 1 – Закорки 2)–Липница–Колбчанская Слободка км 0,0-0,900</t>
  </si>
  <si>
    <t>Подъезд к кладбищу аг. Колбча от а/д Н-10604 Новые Максимовичи (от а/д Н-10602 Станция Несета–Старый Остров–Закорки 1 – Закорки 2)–Липница–Колбчанская Слободка км 0,0-0,276</t>
  </si>
  <si>
    <t>Подъезд к кладбищу д. Колбчанская Слободка от от а/д Н-10604 Новые Максимовичи (от а/д Н-10602 Станция Несета–Старый Остров–Закорки 1 – Закорки 2)–Липница–Колбчанская Слободка км 0,0-0,420</t>
  </si>
  <si>
    <t>Подъезд к д. Вестник от а/д Н-10607 Долгое–Должанка– Ядреная Слобода–железнодорожный остановочный пункт «Милое» км 0,0-0,700</t>
  </si>
  <si>
    <t>Ленёвка (от а/д Н-10601 Кличев–Несята–Усохи–Сергеевичи)–Калиновка км 0,0-14,245</t>
  </si>
  <si>
    <t>Подъезд к железнодорожному остановочному пункту «Тачанка» от а/д Н-10608 Ленёвка (от а/д Н-10601 Кличев–Несята–Усохи–Сергеевичи)–Калиновка км 0,0-0,690</t>
  </si>
  <si>
    <t>Подъезд к п. Потока от а/д Н-10609 Потока–Усакино км 0,0-0,300</t>
  </si>
  <si>
    <t>Точище–Борки–Уболотье (до а/д Н-10618 Биордо–Городец) км 0,0-19,500</t>
  </si>
  <si>
    <t>Подъезд к кладбищу д. Роги от а/д Н-10612 Точище–Борки–Уболотье (до а/д Н-10618 Биордо–Городец) км 0,0-1,095</t>
  </si>
  <si>
    <t>Подъезд к кладбищу д. Борки от а/д Н-10612 Точище–Борки–Уболотье (до а/д Н-10618 Биордо–Городец) км 0,0-0,800</t>
  </si>
  <si>
    <t>Подъезд к кладбищу д. Уболотье от а/д Н-10612 Точище–Борки–Уболотье (до а/д Н-10618 Биордо–Городец) км 0,0-0,200</t>
  </si>
  <si>
    <t>Подъезд к д. Хрелево от а/д Н-10612 Точище–Борки–Уболотье (до а/д Н-10618 Биордо–Городец) км 0,0-3,000</t>
  </si>
  <si>
    <t>Подъезд к кладбищу д. Звальня от а/д Н-10483 Шалаевка–Старый Юзин км 0,0-0,500</t>
  </si>
  <si>
    <t>Подъезды от автодороги Н-10483 Шалаевка–Старый Юзин:</t>
  </si>
  <si>
    <t>км 15,346-16,285 совмещен с Н-10607 Долгое–Должанка–Ядреная Слобода–железнодорожный остановочный пункт «Милое»</t>
  </si>
  <si>
    <t>км 2,310-2,790 совмещен с Н-10605 Несята–Вирков–Ленёвка</t>
  </si>
  <si>
    <t>км 6,085-6,453 совмещен с Н-10602 Железнодорожная станция Несета–Старый Остров–Закорки 1 – Закорки 2</t>
  </si>
  <si>
    <t>Костюковичи–Видуйцы км 0,0-32,090</t>
  </si>
  <si>
    <t>Подъезд к упраздненной д. Клетки от а/д Н-10676 Костюковичи–Видуйцы км 0,0-2,955</t>
  </si>
  <si>
    <t>Подъезд к кладбищу упраздненной д. Клетки от а/д Н-13162 Подъезд к упраздненной д. Клетки от а/д Н-10676 Костюковичи–Видуйцы км 0,0-0,500</t>
  </si>
  <si>
    <t>Подъезд к д. Папоротная от а/д Н-10676 Костюковичи–Видуйцы км 0,0-0,400</t>
  </si>
  <si>
    <t>Подъезд к садоводческому товариществу «Содружество» от а/д Н-10676 Костюковичи–Видуйцы км 0,0-0,600</t>
  </si>
  <si>
    <t>Подъезд к кладбищу аг. Белая Дуброва от а/д Н-10676 Костюковичи–Видуйцы км 0,0-0,200</t>
  </si>
  <si>
    <t>Подъезд к кладбищу упраздненной д. Самотевичи от а/д Н-10676 Костюковичи–Видуйцы км 0,0-0,100</t>
  </si>
  <si>
    <t>Подъезд к кладбищу упраздненной д. Малый Хотимск от а/д Н-10676 Костюковичи–Видуйцы км 0,0-5,000</t>
  </si>
  <si>
    <t>Подъезд к кладбищу упраздненной д. Тарасовка от а/д Н-13168 Подъезд к кладбищу упраздненной д. Малый Хотимск от а/д Н-10676 Костюковичи–Видуйцы км 0,0-1,500</t>
  </si>
  <si>
    <t>Подъезд к упраздненной д. Киселевка от а/д Н-13168 Подъезд к кладбищу упраздненной д. Малый Хотимск от а/д Н-10676 Костюковичи–Видуйцы км 0,0-0,500</t>
  </si>
  <si>
    <t>Подъезд к кладбищу упраздненной д. Зеленковичи от а/д Н-10676 Костюковичи–Видуйцы км 0,0-0,100</t>
  </si>
  <si>
    <t>Деряжня–Белая Дуброва км 0,0-10,667</t>
  </si>
  <si>
    <t>Подъезд к кладбищу упраздненной д. Гайковка от а/д Н-10681 Деряжня–Белая Дуброва км 0,0-2,000</t>
  </si>
  <si>
    <t>Подъезд к железнодорожной станции Белынковичи от а/д Н-10683 Белынковичи–Крапивня–Селецкое км 0,0-2,200</t>
  </si>
  <si>
    <t>Подъезд к железнодорожному остановочному пункту «Журбин» от а/д Н-10684 Бони–Селецкое–Журбин км 0,0-1,100</t>
  </si>
  <si>
    <t>Подъезд к п. Лесовой от а/д Н-13208 Подъезд к упраздненной д. Затишье от а/д Н-10689 Печары–Крутой Ров км 0,0-1,800</t>
  </si>
  <si>
    <t>Подъезд к п. Поповка от а/д Н-10694 Пролетарий–Осиновка–Прусино км 0,0-0,500</t>
  </si>
  <si>
    <t>Подъезд к п. Ворошилово от а/д Н-10701 Студенец–Колодливо км 0,0-0,600</t>
  </si>
  <si>
    <t>Подъезд к кладбищу п. Ворошилово от а/д Н-13228 Подъезд к п. Ворошилово от а/д Н-10701 Студенец–Колодливо км 0,0-0,500</t>
  </si>
  <si>
    <t>Журбин–упраздненная д. Мартыновка км 0,0-4,000</t>
  </si>
  <si>
    <t>Подъезд к кладбищу упраздненной д. Мартыновка от а/д Н-10713 Журбин–упраздненная д. Мартыновка км 0,0-0,400</t>
  </si>
  <si>
    <t>Подъезд к кладбищу упраздненной д. Сосновец от а/д Н-10713 Журбин–упраздненная д. Мартыновка км 0,0-0,390</t>
  </si>
  <si>
    <t>Подъезд к кладбищу аг. Муравилье от а/д Р-75 Климовичи (от автомобильной дороги Р-43)–Костюковичи–граница Российской Федерации (Смольки) км 0,0-0,200</t>
  </si>
  <si>
    <t>Подъезд к аг. Новые Самотевичи от а/д Р-75 Климовичи (от автомобильной дороги Р-43)–Костюковичи–граница Российской Федерации (Смольки) км 0,0-2,079</t>
  </si>
  <si>
    <t>Упраздненная д. Новоельня–упраздненная д. Драготынь км 0,0-12,300</t>
  </si>
  <si>
    <t>Подъезд к упраздненной д. Радилев от а/д Н-10755 Упраздненная д. Новоельня–упраздненная д. Драготынь км 0,0-3,000</t>
  </si>
  <si>
    <t>Подъезд к кладбищу упраздненной д. Радилев от а/д Н-13441 Подъезд к упраздненной д. Радилев от а/д Н-10755 Упраздненная д. Новоельня–упраздненная д. Драготынь км 0,0-0,500</t>
  </si>
  <si>
    <t>Подъезд к кладбищу № 1 упраздненной д. Кривелицк от а/д Н-10755 Упраздненная д. Новоельня–упраздненная д. Драготынь км 0,0-0,100</t>
  </si>
  <si>
    <t>Подъезд к кладбищу упраздненной д. Корма-Пайки от а/д Н-10755 Упраздненная д. Новоельня–упраздненная д. Драготынь км 0,0-0,100</t>
  </si>
  <si>
    <t>Подъезд к кладбищам упраздненной д. Драготынь и упраздненной д. Гацкевичи от а/д Н-10755 Упраздненная д. Новоельня–упраздненная д. Драготынь км 0,0-2,300</t>
  </si>
  <si>
    <t>Подъезд к кладбищу упраздненной д. Осиновка от а/д Н-10755 Упраздненная д. Новоельня–упраздненная д. Драготынь км 0,0-5,300</t>
  </si>
  <si>
    <t>Подъезд к кладбищу упраздненной д. Корма Долгая от а/д Н-10755 Упраздненная д. Новоельня–упраздненная д. Драготынь км 0,0-0,180</t>
  </si>
  <si>
    <t>Подъезд к кладбищу № 2 упраздненной д. Кривелицк от а/д Н-10755 Упраздненная д. Новоельня–упраздненная д. Драготынь км 0,0-0,050</t>
  </si>
  <si>
    <t>Подъезд к кладбищу упраздненной д. Папаротки от а/д Н-10755 Упраздненная д. Новоельня–упраздненная д. Драготынь км 0,0-2,500</t>
  </si>
  <si>
    <t>Подъезд к п. Заречье от а/д Н-10758 Палуж 1–Новый Свет–Ленина км 0,0-0,640</t>
  </si>
  <si>
    <t>Подъезд к кладбищу п. Заречье от а/д Н-13461 Подъезд к п. Заречье от а/д Н-10758 Палуж 1–Новый Свет–Ленина км 0,0-0,110</t>
  </si>
  <si>
    <t>Подъезд к кладбищу д. Федоровка от а/д Н-10763 Кожемякино–Федоровка км 0,0-0,200</t>
  </si>
  <si>
    <t>Подъезд к кладбищу п. Полядки от а/д Н-10770 Горы–Полядки км 0,0-0,050</t>
  </si>
  <si>
    <t>Подъезд к п. Хвощи от а/д Н-10777 Турья–Клясино–Гора км 0,0-2,356</t>
  </si>
  <si>
    <t>Упраздненная д. Какойский–упраздненная д. Сосновица км 0,0-10,600</t>
  </si>
  <si>
    <t>Подъезд к кладбищу упраздненной д. Высокий Борок от а/д Н-10789 Упраздненная д. Какойский–упраздненная д. Сосновица км 0,0-0,200</t>
  </si>
  <si>
    <t>Подъезд к кладбищу упраздненной д. Сосновица от а/д Н-10789 Упраздненная д. Какойский–упраздненная д. Сосновица км 0,0-0,300</t>
  </si>
  <si>
    <t>Подъезд к кладбищу п. Средний от а/д Н-10791 Бирюли–Средний км 0,0-1,200</t>
  </si>
  <si>
    <t>Подъезд к кладбищу п. Курганье от а/д Н-10792 Трубильня–Курганье–Дубровка км 0,0-0,200</t>
  </si>
  <si>
    <t>Подъезд к п. Восход от а/д Н-13557 Подъезд к г.п. Краснополье от а/д Р-38 Буда-Кошелево (от автомобильной дороги М-5/Е 271)–Чечерск–Краснополье км 0,0-1,350</t>
  </si>
  <si>
    <t>Подъезд к г.п. Краснополье от а/д Р-38 Буда-Кошелево (от автомобильной дороги М-5/Е 271)–Чечерск–Краснополье км 0,0-1,440</t>
  </si>
  <si>
    <t>км 0,0-0,984 транзит по г. Белыничи обслуживается организацией жилищно-коммунального хозяйства</t>
  </si>
  <si>
    <t>км 0,984-3,612 транзит по г. Белыничи обслуживается филиалом КУП "Могилевоблдорстрой" - ДРСУ № 170</t>
  </si>
  <si>
    <t>км 0,0-2,230 транзит по г. Белыничи обслуживается организацией жилищно-коммунального хозяйства</t>
  </si>
  <si>
    <t>км 0,0-0,960 транзит по г.п. Глуск обслуживается филиалом КУП "Могилевоблдорстрой" - ДРСУ № 213</t>
  </si>
  <si>
    <t>км 0,0-1,000 транзит по г.п. Глуск обслуживается филиалом КУП "Могилевоблдорстрой" - ДРСУ № 213</t>
  </si>
  <si>
    <t>км 0,0-2,000 транзит по г.п. Дрибин обслуживается организацией жилищно-коммунального хозяйства</t>
  </si>
  <si>
    <t>км 0,0-1,440 транзит по г.п. Краснополье обслуживается филиалом КУП "Могилевоблдорстрой" - ДРСУ № 173</t>
  </si>
  <si>
    <t>км 0,0-1,840 транзит по г.п. Краснополье обслуживается филиалом КУП "Могилевоблдорстрой" - ДРСУ № 173</t>
  </si>
  <si>
    <t>км 0,0-2,132 транзит по г. Круглое обслуживается филиалом КУП "Могилевоблдорстрой" - ДРСУ № 214</t>
  </si>
  <si>
    <t>км 0,0-0,377 транзит по г.п. Хотимск обслуживается филиалом КУП "Могилевоблдорстрой" - ДРСУ № 216</t>
  </si>
  <si>
    <t>км 0,0-0,200 транзит по г.п. Хотимск обслуживается филиалом КУП "Могилевоблдорстрой" - ДРСУ № 216</t>
  </si>
  <si>
    <t>км 0,0-0,765 транзит по г.п. Хотимск обслуживается организацией жилищно-коммунального хозяйства</t>
  </si>
  <si>
    <t>км 0,765-1,300 транзит по г.п. Хотимск обслуживается филиалом КУП "Могилевоблдорстрой" - ДРСУ № 216</t>
  </si>
  <si>
    <t>км 0,0-1,330 транзит по г.п. Хотимск обслуживается организацией жилищно-коммунального хозяйства</t>
  </si>
  <si>
    <t>км 1,330-2,203 транзит по г.п. Хотимск обслуживается филиалом КУП "Могилевоблдорстрой" - ДРСУ № 216</t>
  </si>
  <si>
    <t>км 1,860-4,900 транзит по г.п. Хотимск обслуживается филиалом КУП "Могилевоблдорстрой" - ДРСУ № 216</t>
  </si>
  <si>
    <t>Проезд по улице Пролетарской г.п. Хотимск от а/д Н-11359 Хотимск–Пограничник–граница Российской Федерации км 0,0-0,080</t>
  </si>
  <si>
    <t>км 0,0-0,080 транзит по г.п. Хотимск обслуживается филиалом КУП "Могилевоблдорстрой" - ДРСУ № 216</t>
  </si>
  <si>
    <t>км 0,0-1,060 транзит по г.п. Хотимск обслуживается филиалом КУП "Могилевоблдорстрой" - ДРСУ № 216</t>
  </si>
  <si>
    <t>км 0,0-0,700 транзит по г.п. Хотимск обслуживается филиалом КУП "Могилевоблдорстрой" - ДРСУ № 216</t>
  </si>
  <si>
    <t>Кричев–Белица (до а/д Р-73 Чаусы–Мстиславль–граница Российской Федерации (Каськово)) км 0,0-37,150</t>
  </si>
  <si>
    <t>Подъезд к д. Хатиловичи от а/д Н-10826 Кричев–Белица (до а/д Р-73 Чаусы–Мстиславль–граница Российской Федерации (Каськово)) км 0,0-1,444</t>
  </si>
  <si>
    <t>Подъезд к д. Маковье от а/д Н-10826 Кричев–Белица (до а/д Р-73 Чаусы–Мстиславль–граница Российской Федерации (Каськово)) км 0,0-2,900</t>
  </si>
  <si>
    <t>Подъезд к улице д. Маковье от а/д Н-13561 Подъезд к д. Маковье от а/д Н-10826 Кричев–Белица (до а/д Р-73 Чаусы–Мстиславль–граница Российской Федерации (Каськово)) км 0,0-0,200</t>
  </si>
  <si>
    <t>Подъезд к району индивидуальной жилой застройки аг. Ботвиновка от а/д Н-10826 Кричев–Белица (до а/д Р-73 Чаусы–Мстиславль–граница Российской Федерации (Каськово)) км 0,0-1,000</t>
  </si>
  <si>
    <t>Подъезд к кладбищу упраздненной д. Верховцы от а/д Н-10826 Кричев–Белица (до а/д Р-73 Чаусы–Мстиславль–граница Российской Федерации (Каськово)) км 0,0-0,180</t>
  </si>
  <si>
    <t>Подъезд к кладбищу д. Дорогая от а/д Н-10826 Кричев–Белица (до а/д Р-73 Чаусы–Мстиславль–граница Российской Федерации (Каськово)) км 0,0-0,050</t>
  </si>
  <si>
    <t>Подъезд к железнодорожному остановочному пункту «Черная Натопа» от а/д Н-10827 Кричев–Ходосы–Курманово–Рубановка км 0,0-1,500</t>
  </si>
  <si>
    <t>Подъезд № 1 к д. Мирная от а/д Н-10827 Кричев–Ходосы–Курманово–Рубановка км 0,0-5,345</t>
  </si>
  <si>
    <t>Подъезд № 2 к д. Мирная от а/д Н-13568 Подъезд № 1 к д. Мирная от а/д Н-10827 Кричев–Ходосы–Курманово–Рубановка км 0,0-1,760</t>
  </si>
  <si>
    <t>Подъезд к кладбищу д. Мирная от а/д Н-13568 Подъезд № 1 к д. Мирная от а/д Н-10827 Кричев–Ходосы–Курманово–Рубановка км 0,0-0,100</t>
  </si>
  <si>
    <t>Подъезд к кладбищу д. Бродок от а/д Н-13568 Подъезд № 1 к д. Мирная от а/д Н-10827 Кричев–Ходосы–Курманово–Рубановка км 0,0-1,200</t>
  </si>
  <si>
    <t>Подъезд к кладбищу д. Луты от а/д Н-13568 Подъезд № 1 к д. Мирная от а/д Н-10827 Кричев–Ходосы–Курманово–Рубановка км 0,0-0,200</t>
  </si>
  <si>
    <t>Подъезд к району индивидуальной жилой застройки д. Ивановка от а/д Н-10827 Кричев–Ходосы–Курманово–Рубановка км 0,0-0,500</t>
  </si>
  <si>
    <t>Дорогая–Волчас–Тиньков (до а/д Н-10826 Кричев–Белица (до а/д Р-73 Чаусы–Мстиславль–граница Российской Федерации (Каськово))) км 0,0-19,440</t>
  </si>
  <si>
    <t>Подъезд к д. Сычики от а/д Н-10828 Дорогая–Волчас–Тиньков (до а/д Н-10826 Кричев–Белица (до а/д Р-73 Чаусы–Мстиславль–граница Российской Федерации (Каськово))) км 0,0-1,480</t>
  </si>
  <si>
    <t>Подъезд к кладбищу д. Сетное от а/д Н-10828 Дорогая–Волчас–Тиньков (до а/д Н-10826 Кричев–Белица (до а/д Р-73 Чаусы–Мстиславль–граница Российской Федерации (Каськово))) км 0,0-0,100</t>
  </si>
  <si>
    <t>Подъезд к кладбищу № 2 д. Волчас от а/д Н-10828 Дорогая–Волчас–Тиньков (до а/д Н-10826 Кричев–Белица (до а/д Р-73 Чаусы–Мстиславль–граница Российской Федерации (Каськово))) км 0,0-0,100</t>
  </si>
  <si>
    <t>Тиньков (от а/д Н-10826 Кричев–Белица (до а/д Р-73 Чаусы–Мстиславль–граница Российской Федерации (Каськово)))–Осовец–Молятичи км 0,0-14,074</t>
  </si>
  <si>
    <t>Подъезд к д. Слабуты от а/д Н-10829 Тиньков (от а/д Н-10826 Кричев–Белица (до а/д Р-73 Чаусы–Мстиславль–граница Российской Федерации (Каськово)))–Осовец–Молятичи км 0,0-2,800</t>
  </si>
  <si>
    <t>Подъезд к кладбищу д. Сорочино от а/д Н-10829 Тиньков (от а/д Н-10826 Кричев–Белица (до а/д Р-73 Чаусы–Мстиславль–граница Российской Федерации (Каськово)))–Осовец–Молятичи км 0,0-1,300</t>
  </si>
  <si>
    <t>Подъезд к кладбищу аг. Молятичи от а/д Н-10829 Тиньков (от а/д Н-10826 Кричев–Белица (до а/д Р-73 Чаусы–Мстиславль–граница Российской Федерации (Каськово)))–Осовец–Молятичи км 0,0-0,500</t>
  </si>
  <si>
    <t>Бережистое–Бель-1 км 0,0-4,010</t>
  </si>
  <si>
    <t>Подъезд к аг. Бель-1 от а/д Н-10831 Бережистое–Бель-1 км 0,0-2,100</t>
  </si>
  <si>
    <t>Залесовичи (от а/д Н-10826 Кричев–Белица (до а/д Р-73 Чаусы–Мстиславль–граница Российской Федерации (Каськово))–Комаровка–Низки км 0,0-13,263</t>
  </si>
  <si>
    <t>Подъезд к кладбищу д. Дарливое от а/д Н-10832 Залесовичи (от а/д Н-10826 Кричев–Белица (до а/д Р-73 Чаусы–Мстиславль–граница Российской Федерации (Каськово))–Комаровка–Низки км 0,0-0,900</t>
  </si>
  <si>
    <t>Подъезд к кладбищу д. Маковье от а/д Н-10832 Залесовичи (от а/д Н-10826 Кричев–Белица (до а/д Р-73 Чаусы–Мстиславль–граница Российской Федерации (Каськово))–Комаровка–Низки км 0,0-0,600</t>
  </si>
  <si>
    <t>Сокольничи–а/д Н-10834 Кричев–Поклады км 0,0-3,603</t>
  </si>
  <si>
    <t>Красная Буда–железнодорожная станция Кричев-2 км 0,0-3,259</t>
  </si>
  <si>
    <t>Подъезд к зданию Краснобудского сельского Совета депутатов в аг. Красная Буда от а/д Н-10835 Красная Буда– железнодорожная станция Кричев-2 км 0,0-0,360</t>
  </si>
  <si>
    <t>Красная Буда–Коренец– железнодорожная станция Михеевичи км 0,0-6,007</t>
  </si>
  <si>
    <t>Подъезд к д. Коллективный Труд от а/д Н-10836 Красная Буда–Коренец– железнодорожная станция Михеевичи км 0,0-1,700</t>
  </si>
  <si>
    <t>Подъезд к кладбищу д. Коренец от а/д Н-10836 Красная Буда–Коренец– железнодорожная станция Михеевичи км 0,0-0,300</t>
  </si>
  <si>
    <t>Подъезд к д. Глушнево от а/д Н-10837 Глушнево–Лобковичи–Буньковщина–Селец км 0,0-1,550</t>
  </si>
  <si>
    <t>Подъезд к садоводческому товариществу «Дорожник» от а/д Н-10837 Глушнево–Лобковичи–Буньковщина–Селец км 0,0-0,700</t>
  </si>
  <si>
    <t>Подъезд к садоводческому товариществу «Железнодорожник» от а/д Н-10837 Глушнево–Лобковичи–Буньковщина–Селец км 0,0-0,700</t>
  </si>
  <si>
    <t>Грушево–Горбатка–Глушнево (до а/д Р-15 Кричев–Орша–Лепель) км 0,0-9,200</t>
  </si>
  <si>
    <t>Бель-1–Лобковичи км 0,0-1,410</t>
  </si>
  <si>
    <t>Подъезд к п. Липовка от а/д Н-10850 Бель-1–Залесье–Дубровка–Ананичи км 0,0-0,850</t>
  </si>
  <si>
    <t>Калинино–п. Перво-Кричевский км 0,0-1,848</t>
  </si>
  <si>
    <t>Подъезд к кладбищу п. Перво-Кричевский от а/д Н-10851 Калинино–п. Перво-Кричевский км 0,0-1,000</t>
  </si>
  <si>
    <t>Сечихи–Гуркова Нива–Репище–Зайцева Слобода км 0,0-5,000</t>
  </si>
  <si>
    <t>Подъезд к кладбищу д. Сечихи от а/д Н-10854 Сечихи–Гуркова Нива–Репище–Зайцева Слобода км 0,0-2,100</t>
  </si>
  <si>
    <t>Горбатка–Подосенки (до а/д Н-10846 Залесовичи–Кричев) км 0,0-2,800</t>
  </si>
  <si>
    <t>Веселый (от а/д Н-10829 Тиньков (от а/д Н-10826 Кричев–Белица (до а/д Р-73 Чаусы–Мстиславль–граница Российской Федерации (Каськово)))–Осовец–Молятичи)–Дружки км 0,0-1,850</t>
  </si>
  <si>
    <t>Концы–железнодорожная станция Осовец км 0,0-1,700</t>
  </si>
  <si>
    <t>Подъезд к кладбищу д. Концы от а/д Н-10869 Концы–железнодорожная станция Осовец км 0,0-0,100</t>
  </si>
  <si>
    <t>Слабуты–Сорочино км 0,0-1,500</t>
  </si>
  <si>
    <t>Подъезд к кладбищу д. Слабуты от а/д Н-10874 Слабуты–Сорочино км 0,0-0,120</t>
  </si>
  <si>
    <t>Подъезд к п. Буньковщина от а/д Р-15 Кричев–Орша–Лепель км 0,0-0,700</t>
  </si>
  <si>
    <t>Подъезд к аг. Бель-1 от а/д Р-15 Кричев–Орша–Лепель км 0,0-1,100</t>
  </si>
  <si>
    <t>км 0,0-0,547 совмещен с Н-13568 Подъезд № 1 к д. Мирная от а/д Н-10827 Кричев–Ходосы–Курманово–Рубановка</t>
  </si>
  <si>
    <t>км 3,300-4,500 совмещен с Н-10858 Горбатка–Подосенки (до а/д Н-10846 Залесовичи–Кричев) км 0,0-2,800</t>
  </si>
  <si>
    <t>Комсеничи (от а/д Р-26 Толочин–Круглое–Вишов)–Ахимковичи 1 км 0,0-5,090</t>
  </si>
  <si>
    <t>Подъезд к кладбищу аг. Запрудье   от а/д Н-10907 Комсеничи (от а/д Р-26 Толочин–Круглое–Вишов)–Ахимковичи 1 км 0,0-0,300</t>
  </si>
  <si>
    <t>Подъезд к кладбищу д. Ахимковичи 1 от а/д Н-10907 Комсеничи (от а/д Р-26 Толочин–Круглое–Вишов)–Ахимковичи 1 км 0,0-0,180</t>
  </si>
  <si>
    <t>Подъезд к кладбищу аг. Комсеничи от а/д Н-10907 Комсеничи (от а/д Р-26 Толочин–Круглое–Вишов)–Ахимковичи 1 км 0,0-0,250</t>
  </si>
  <si>
    <t>Подъезд к кладбищу упраздненной д. Зеленково от а/д Н-10909 Храпы–Глубокое–Павловичи км 0,0-0,800</t>
  </si>
  <si>
    <t>Подъезд к кладбищу д. Новопрудье от а/д Н-13719 Подъезд к д. Гай от а/д Н-10914 Старое Радча–Новопрудье–Волконосово км 0,0-0,100</t>
  </si>
  <si>
    <t>Подъезд к кладбищу д. Мехово от а/д Н-13734 Подъезд к д. Мехово от а/д Н-10919 Ельковщина–Загоряны км 0,0-0,300</t>
  </si>
  <si>
    <t>Подъезд к кладбищу № 2 д. Ахимковичи от а/д Н-10920 Запрудье–Тубышки–Бразгучка км 0,0-0,450</t>
  </si>
  <si>
    <t>Подъезд к д. Рублевск от а/д Н-10922 Кляпиничи (от а/д Р-26 Толочин–Круглое–Вишов)–Михайловка (до а/д Р-26 Толочин–Круглое–Вишов) км 0,0-1,720</t>
  </si>
  <si>
    <t>Подъезд к кладбищу д. Рублевск от а/д Н-13739 Подъезд к д. Рублевск от а/д Н-10922 Кляпиничи (от а/д Р-26 Толочин–Круглое–Вишов)–Михайловка (до а/д Р-26 Толочин–Круглое–Вишов) км 0,0-0,055</t>
  </si>
  <si>
    <t>Подъезд к кладбищу д. Кляпиничи от а/д Н-10922 Кляпиничи (от а/д Р-26 Толочин–Круглое–Вишов)–Михайловка (до а/д Р-26 Толочин–Круглое–Вишов) км 0,0-0,200</t>
  </si>
  <si>
    <t>Подъезд к д. Михайловка от а/д Н-10922 Кляпиничи (от а/д Р-26 Толочин–Круглое–Вишов)–Михайловка (до а/д Р-26 Толочин–Круглое–Вишов) км 0,0-0,570</t>
  </si>
  <si>
    <t>Подъезд к д. Коврижено от а/д Н-10929 Круча–Яново–Погребище км 0,0-0,960</t>
  </si>
  <si>
    <t>Подъезд к кладбищу д. Загорянки от а/д Р-121 Шклов–Круглое км 0,0-0,050</t>
  </si>
  <si>
    <t>Подъезд к кладбищу д. Пригани 3 от а/д Р-26 Толочин–Круглое–Вишов км 0,0-0,500</t>
  </si>
  <si>
    <t>Подъезд к д. Пригани 1 от а/д Р-77 Шклов–Белыничи (через Пригани 2) км 0,0-1,630</t>
  </si>
  <si>
    <t>Подъезд к кладбищу № 1 д. Заречье 1 от а/д Р-77 Шклов–Белыничи (через Пригани 2) км 0,0-0,200</t>
  </si>
  <si>
    <t>Подъезд к кладбищу № 2 д. Заречье 1 от а/д Р-77 Шклов–Белыничи (через Пригани 2) км 0,0-0,350</t>
  </si>
  <si>
    <t>Подъезд к д. Ясное Утро от г. Круглое км 0,0-0,950</t>
  </si>
  <si>
    <t>км 0,0-0,800 транзит по г. Быхов обслуживается организацией жилищно-коммунального хозяйства</t>
  </si>
  <si>
    <t>км 0,0-1,698 транзит по г. Горки обслуживается филиалом КУП "Могилевоблдорстрой" - ДРСУ № 127</t>
  </si>
  <si>
    <t>км 0,0-2,500 транзит по г. Горки обслуживается филиалом КУП "Могилевоблдорстрой" - ДРСУ № 127</t>
  </si>
  <si>
    <t>км 0,0-1,430 транзит по г. Горки обслуживается филиалом КУП "Могилевоблдорстрой" - ДРСУ № 127</t>
  </si>
  <si>
    <t>км 0,0-1,870 транзит по г. Горки обслуживается филиалом КУП "Могилевоблдорстрой" - ДРСУ № 127</t>
  </si>
  <si>
    <t>км 3,270-5,233 транзит по г. Горки обслуживается филиалом КУП "Могилевоблдорстрой" - ДРСУ № 127</t>
  </si>
  <si>
    <t>Подъезд к садоводческому товариществу "Яблонька" от г. Горки км 0,0-2,020</t>
  </si>
  <si>
    <t>Подъезд к водозабору от г. Горки км 0,0-2,000</t>
  </si>
  <si>
    <t>км 0,0-0,472 транзит по г. Горки обслуживается филиалом КУП "Могилевоблдорстрой" - ДРСУ № 127</t>
  </si>
  <si>
    <t>км 0,0-3,815 транзит по г. Климовичи обслуживается организацией жилищно-коммунального хозяйства</t>
  </si>
  <si>
    <t>км 0,0-1,335 транзит по г. Климовичи обслуживается организацией жилищно-коммунального хозяйства</t>
  </si>
  <si>
    <t>км 1,335-2,679 транзит по г. Климовичи обслуживается филиалом КУП "Могилевоблдорстрой" - ДРСУ № 172</t>
  </si>
  <si>
    <t>км 0,0-1,718 транзит по г. Климовичи обслуживается организацией жилищно-коммунального хозяйства</t>
  </si>
  <si>
    <t>км 1,718-2,907 транзит по г. Климовичи обслуживается филиалом КУП "Могилевоблдорстрой" - ДРСУ № 172</t>
  </si>
  <si>
    <t>км 0,0-1,265 транзит по г. Климовичи обслуживается филиалом КУП "Могилевоблдорстрой" - ДРСУ № 172</t>
  </si>
  <si>
    <t>км 0,0-0,700 транзит по г. Климовичи обслуживается организацией жилищно-коммунального хозяйства</t>
  </si>
  <si>
    <t>Подъезд к д. Забуднянские Хутора от а/д Н-10453 Новый Городок-Стайки-Чигиринка  км 0,0-2,850</t>
  </si>
  <si>
    <t>Подъезд к кладбищу д. Забуднянские Хутора от а/д Н-12936 Подъезд к д. Забуднянские х. от а/д Н-10453 Новый Городок–Стайки–Чигиринка км 0,0-1,300</t>
  </si>
  <si>
    <t>км 0,0-1,133 транзит по г. Кировск обслуживается филиалом КУП "Могилевоблдорстрой" - ДРСУ № 197</t>
  </si>
  <si>
    <t>км 0,0-2,300 транзит по г. Кировск обслуживается филиалом КУП "Могилевоблдорстрой" - ДРСУ № 197</t>
  </si>
  <si>
    <t>км 0,0-0,910 транзит по г. Кировск обслуживается филиалом КУП "Могилевоблдорстрой" - ДРСУ № 197</t>
  </si>
  <si>
    <t>км 0,0-0,360 транзит по г. Кировск обслуживается филиалом КУП "Могилевоблдорстрой" - ДРСУ № 197</t>
  </si>
  <si>
    <t>км 0,0-0,300 транзит по г. Кличев обслуживается филиалом КУП "Могилевоблдорстрой" - ДРСУ № 126</t>
  </si>
  <si>
    <t>км 0,0-1,463 транзит по г. Костюковичи обслуживается филиалом КУП "Могилевоблдорстрой" - ДРСУ № 130</t>
  </si>
  <si>
    <t>км 0,0-0,800 транзит по г. Костюковичи обслуживается филиалом КУП "Могилевоблдорстрой" - ДРСУ № 130</t>
  </si>
  <si>
    <t>км 0,0-6,87 транзит по г. Костюковичи обслуживается филиалом КУП «Могилевоблдорстрой» ДРСУ № 130</t>
  </si>
  <si>
    <t>Подъезд к району индивидуальной жилой застройки в г. Костюковичи по улице Слободская 2-я  от а/д Р-74 Чериков–Краснополье–Хотимск–граница Российской Федерации (Горня) км 0,0-0,800</t>
  </si>
  <si>
    <t>км 0,100-0,800 транзит по г. Костюковичи обслуживается филиалом КУП «Могилевоблдорстрой» ДРСУ № 130</t>
  </si>
  <si>
    <t>км 0,800-1,500 транзит по г. Костюковичи обслуживается филиалом КУП "Могилевоблдорстрой" - ДРСУ № 130</t>
  </si>
  <si>
    <t>км 0,0-1,646 транзит по г. Кричев обслуживается филиалом КУП "Могилевоблдорстрой" - ДРСУ № 198</t>
  </si>
  <si>
    <t>км 0,0-1,000 транзит по г. Кричев обслуживается филиалом КУП "Могилевоблдорстрой" - ДРСУ № 198</t>
  </si>
  <si>
    <t>км 0,0-1,500 транзит по г. Могилев (улица Вишневецкого) обслуживается организацией жилищно-коммунального хозяйства</t>
  </si>
  <si>
    <t>км 0,0-1,400 транзит по г. Могилев обслуживается филиалом КУП "Могилевоблдорстрой" - ДРСУ № 128</t>
  </si>
  <si>
    <t>Подъезд к п. Днепр от г. Могилева км 0,0-2,262</t>
  </si>
  <si>
    <t>Подъезд к садоводческому товариществу "Днепр" от г. Могилева км 0,0-0,200</t>
  </si>
  <si>
    <t>Подъезд к д. Городок от г. Могилева км 0,0-1,000</t>
  </si>
  <si>
    <t>км 0,250-1,680 транзит по г. Могилеву обслуживается филиалом КУП "Могилевоблдорстрой" - ДРСУ № 128</t>
  </si>
  <si>
    <t>км 0,0-1,600 транзит по г. Мстиславль обслуживается организацией жилищно-коммунального хозяйства</t>
  </si>
  <si>
    <t>км 0,0-1,500 транзит по г. Мстиславль обслуживается организацией жилищно-коммунального хозяйства</t>
  </si>
  <si>
    <t>км 0,0-0,920 транзит по г. Мстиславль обслуживается организацией жилищно-коммунального хозяйства</t>
  </si>
  <si>
    <t>км 0,0-1,957 транзит по г. Осиповичи обслуживается организацией жилищно-коммунального хозяйства</t>
  </si>
  <si>
    <t>км 0,0-1,275 транзит по г. Осиповичи обслуживается филиалом КУП "Могилевоблдорстрой" - ДРСУ № 199</t>
  </si>
  <si>
    <t>км 1,335-1,560 транзит по г. Осиповичи обслуживается филиалом КУП "Могилевоблдорстрой" - ДРСУ № 199</t>
  </si>
  <si>
    <t>км 0,0-2,415 транзит по г. Чаусы обслуживается филиалом КУП "Могилевоблдорстрой" - ДРСУ № 176</t>
  </si>
  <si>
    <t>км 0,0-1,433 транзит по г. Черикову обслуживается филиалом КУП "Могилевоблдорстрой" - ДРСУ № 215</t>
  </si>
  <si>
    <t>км 0,0-0,400 транзит по г. Черикову обслуживается филиалом КУП "Могилевоблдорстрой" - ДРСУ № 215</t>
  </si>
  <si>
    <t>Подъезд к району индивидуальной жилой застройки в г. Чериков от а/д Н-11510 Административное здание Сормовского сельского исполнительного комитета–Чериков км 0,0-0,400</t>
  </si>
  <si>
    <t>км 0,0-3,100 транзит по г. Шклов обслуживается филиалом КУП "Могилевоблдорстрой" - ДРСУ № 175</t>
  </si>
  <si>
    <t>км 0,0-0,600 транзит по г. Шклов обслуживается филиалом КУП "Могилевоблдорстрой" - ДРСУ № 175</t>
  </si>
  <si>
    <t>км 0,0-0,201 транзит по г. Шклов обслуживается филиалом КУП "Могилевоблдорстрой" - ДРСУ № 175</t>
  </si>
  <si>
    <t>км 0,0-1,300 транзит по г. Шклов обслуживается филиалом КУП "Могилевоблдорстрой" - ДРСУ № 175</t>
  </si>
  <si>
    <t>Подъезд к улице Молодежная г. Шклова от а/д Р-77 Шклов–Белыничи (через Пригани 2) км 0,0-0,360</t>
  </si>
  <si>
    <t>Подъезд к д. Дубинка 2 от а/д Н-10976 Могилев–Махово–Грудиновка–Годылево км 0,0-0,603</t>
  </si>
  <si>
    <t>Подъезд № 1 к д. Пустой Осовец от а/д Н-10976 Могилев–Махово–Грудиновка–Годылево км 0,0-0,362</t>
  </si>
  <si>
    <t>Подъезд № 2 к д. Пустой Осовец от а/д Н-10976 Могилев–Махово–Грудиновка–Годылево км 0,0-1,638</t>
  </si>
  <si>
    <t>Щежерь 1–Амховая 1–Дубинка 1 км 0,0-25,055</t>
  </si>
  <si>
    <t>Подъезд к кладбищу д. Щежерь 2 от а/д Н-13787 Подъезд к д. Щежерь 2 от а/д Н-10977 Щежерь 1–Амховая 1–Дубинка 1 км 0,0-2,100</t>
  </si>
  <si>
    <t>Подъезд к д. Голени 2 от а/д Н-10977 Щежерь 1–Амховая 1–Дубинка 1 км 0,0-1,500</t>
  </si>
  <si>
    <t>Подъезд к д. Латроща от а/д Н-10977 Щежерь 1–Амховая 1–Дубинка 1 км 0,0-1,700</t>
  </si>
  <si>
    <t>Подъезд к кладбищу д. Латроща от а/д Н-13790 Подъезд к д. Латроща от а/д Н-10977 Щежерь 1–Амховая 1–Дубинка 1 км 0,0-0,600</t>
  </si>
  <si>
    <t>Подъезд к садоводческому товариществу «Пивовар» от а/д Н-10977 Щежерь 1–Амховая 1–Дубинка 1 км 0,0-0,700</t>
  </si>
  <si>
    <t>Подъезд к садоводческому товариществу «ПСК Нектар» от а/д Н-10977 Щежерь 1–Амховая 1–Дубинка 1 км 0,0-1,000</t>
  </si>
  <si>
    <t>Подъезд к садоводческому товариществу «Багда» от а/д Н-10977 Щежерь 1–Амховая 1–Дубинка 1 км 0,0-1,000</t>
  </si>
  <si>
    <t>Подъезд к садоводческому товариществу «Маргарита» от а/д Н-10977 Щежерь 1–Амховая 1–Дубинка 1 км 0,0-0,500</t>
  </si>
  <si>
    <t>Подъезд к садоводческим товариществам «ПО «Ольса» и «Урожай 2» от а/д Н-10977 Щежерь 1–Амховая 1–Дубинка 1 км 0,0-0,300</t>
  </si>
  <si>
    <t>Подъезд к кладбищу д. Недашево 2 от а/д Н-10977 Щежерь 1–Амховая 1–Дубинка 1 км 0,0-0,100</t>
  </si>
  <si>
    <t>Подъезд к кладбищу д. Щежерь 1 от а/д Н-10977 Щежерь 1–Амховая 1–Дубинка 1 км 0,0-0,950</t>
  </si>
  <si>
    <t>Подъезд к кладбищу д. Голени 1 от а/д Н-10977 Щежерь 1–Амховая 1–Дубинка 1 км 0,0-0,300</t>
  </si>
  <si>
    <t>Подъезд к п. Губанов от а/д Н-10981 Вейно–Новоселки км 0,0-1,000</t>
  </si>
  <si>
    <t>Подъезд к п. Смоляков от а/д Н-10981 Вейно–Новоселки км 0,0-1,600</t>
  </si>
  <si>
    <t>Романовичи–Утро км 0,0-3,794</t>
  </si>
  <si>
    <t>Подъезд к кладбищу аг. Романовичи от а/д Н-10987 Романовичи–Утро км 0,0-1,200</t>
  </si>
  <si>
    <t>Подъезд к базе дорожного ремонтно-строительного управления № 128 «Присно» от а/д Н-10991 Присно–Севостьяновичи км 0,0-0,700</t>
  </si>
  <si>
    <t>Подъезд к д. Брыли от а/д Н-10992 Качурино–Каменка км 0,0-0,535</t>
  </si>
  <si>
    <t>Заводская Слобода–железнодорожный остановочный пункт «Хоново» км 0,0-3,000</t>
  </si>
  <si>
    <t>Лужки–Горяны (до а/д Н-14068 Подъезд к д. Селище от а/д Р-76 Орша–Шклов–Могилев) км 0,0-1,689</t>
  </si>
  <si>
    <t>Подъезд к д. Лужки от а/д Н-11001 Лужки–Горяны (до а/д Н-14068 Подъезд к д. Селище от а/д Р-76 Орша–Шклов–Могилев) км 0,0-0,760</t>
  </si>
  <si>
    <t>Станция Вендриж–Белевичи–железнодорожный остановочный пункт «Семуковичи»–Олень км 0,0-37,229</t>
  </si>
  <si>
    <t>Подъезд к д. Олень от а/д Н-11004 Станция Вендриж–Белевичи–железнодорожный остановочный пункт «Семуковичи»–Олень км 0,0-2,800</t>
  </si>
  <si>
    <t>Подъезд к д. Ловец от а/д Н-11004 Станция Вендриж–Белевичи–железнодорожный остановочный пункт «Семуковичи»–Олень км 0,0-1,200</t>
  </si>
  <si>
    <t>Подъезд к д. Михайловск от а/д Н-11004 Станция Вендриж–Белевичи–железнодорожный остановочный пункт «Семуковичи»–Олень км 0,0-1,500</t>
  </si>
  <si>
    <t>Подъезд к д. Николаевка от а/д Н-11004 Станция Вендриж–Белевичи–железнодорожный остановочный пункт «Семуковичи»–Олень км 0,0-0,500</t>
  </si>
  <si>
    <t>Подъезд к д. Концы от а/д Н-11004 Станция Вендриж–Белевичи–железнодорожный остановочный пункт «Семуковичи»–Олень км 0,0-2,400</t>
  </si>
  <si>
    <t>Подъезд к д. Павловск от а/д Н-11004 Станция Вендриж–Белевичи–железнодорожный остановочный пункт «Семуковичи»–Олень км 0,0-0,500</t>
  </si>
  <si>
    <t>Подъезд к кладбищам № 1 и № 2 д. Большие Белевичи от а/д Н-11004 Станция Вендриж–Белевичи– железнодорожный остановочный пункт «Семуковичи»–Олень км 0,0-2,500</t>
  </si>
  <si>
    <t>Подъезд к д. Куты от а/д Н-11004 Станция Вендриж–Белевичи–железнодорожный остановочный пункт «Семуковичи»–Олень км 0,0-0,950</t>
  </si>
  <si>
    <t>Подъезд к д. Будище от а/д Н-11004 Станция Вендриж–Белевичи–железнодорожный остановочный пункт «Семуковичи»–Олень км 0,0-0,081</t>
  </si>
  <si>
    <t>Подъезд к кладбищу д. Будище от а/д Н-11004 Станция Вендриж–Белевичи–железнодорожный остановочный пункт «Семуковичи»–Олень км 0,0-0,100</t>
  </si>
  <si>
    <t>Подъезд к д. Заболотье от а/д Н-11005 Досовичи (от а/д Р-93 Могилев–Бобруйск)–железнодорожная станция Вендриж км 0,0-1,500</t>
  </si>
  <si>
    <t>Подъезд к кладбищу д. Заболотье от а/д Н-13873 Подъезд к д. Заболотье от а/д Н-11005 Досовичи (от а/д Р-93 Могилев–Бобруйск)–железнодорожная станция Вендриж км 0,0-0,500</t>
  </si>
  <si>
    <t>Подъезд к д. Старина от а/д Н-11005 Досовичи (от а/д Р-93 Могилев–Бобруйск)–железнодорожная станция Вендриж км 0,0-1,100</t>
  </si>
  <si>
    <t>Подъезд к кладбищу д. Перстилы от а/д Н-11005 Досовичи (от а/д Р-93 Могилев–Бобруйск)–железнодорожная станция Вендриж км 0,0-0,400</t>
  </si>
  <si>
    <t>Подъезд к п. Весёлый от а/д Н-11005 Досовичи (от а/д Р-93 Могилев–Бобруйск)–железнодорожная станция Вендриж км 0,0-0,700</t>
  </si>
  <si>
    <t>Подъезд к д. Малинник от а/д Н-11005 Досовичи (от а/д Р-93 Могилев–Бобруйск)–железнодорожная станция Вендриж км 0,0-1,435</t>
  </si>
  <si>
    <t>Подъезд к кладбищу д. Голынец 2 от а/д Н-13891 Подъезд к д. Голынец 2 от а/д Н-11007 Буйничи–Тишовка–Севостьяновичи–Сеньково–Ильинка км 0,0-0,300</t>
  </si>
  <si>
    <t>Подъезд к «Крынице» от а/д Н-11008 Купелы–Николаевка–Половинный Лог км 0,0-0,967</t>
  </si>
  <si>
    <t>Подъезд к д. Николаевка 2 от а/д Н-11008 Купелы–Николаевка–Половинный Лог км 0,0-0,703</t>
  </si>
  <si>
    <t>Подъезд к кладбищу д. Толпечицы (новое) от а/д Н-11009 Княжицы–Браково–Толпечицы км 0,0-1,600</t>
  </si>
  <si>
    <t>Новое Пашково–Софиевка (от а/д М-4 Минск–Могилев) км 0,0-7,925</t>
  </si>
  <si>
    <t>Подъезд № 1 к д. Застенки от а/д Н-11010 Новое Пашково–Софиевка (от а/д М-4 Минск–Могилев) км 0,0-0,690</t>
  </si>
  <si>
    <t>Подъезд № 2 к д. Застенки от а/д Н-13912 Подъезд № 1 к д. Застенки от а/д Н-11010 Новое Пашково–Софиевка (от а/д М-4 Минск–Могилев) км 0,0-0,160</t>
  </si>
  <si>
    <t>Подъезд к кладбищу д. Новое Пашково от а/д Н-11010 Новое Пашково–Софиевка (от а/д М-4 Минск–Могилев) км 0,0-0,700</t>
  </si>
  <si>
    <t>Пашково–Гаи (до а/д Р-76 Орша–Шклов–Могилев) км 0,0-5,728</t>
  </si>
  <si>
    <t>Подъезд к садоводческому товариществу «Дубровенка» от а/д Н-11014 Пашково–Гаи (до а/д Р-76 Орша–Шклов–Могилев) км 0,0-1,000</t>
  </si>
  <si>
    <t>Подъезд к кладбищу д. Гаи от а/д Н-11014 Пашково–Гаи (до а/д Р-76 Орша–Шклов–Могилев) км 0,0-0,600</t>
  </si>
  <si>
    <t>Подъезд к кладбищу д. Старое Пашково от а/д Н-11014 Пашково–Гаи (до а/д Р-76 Орша–Шклов–Могилев) км 0,0-0,100</t>
  </si>
  <si>
    <t>Заводская Слобода–Каменка–Орлянка–Островщина–железнодорожный остановочный пункт «Семуковичи» км 0,0-11,167</t>
  </si>
  <si>
    <t>Подъезд к д. Орлянка от а/д Н-11016 Заводская Слобода–Каменка–Орлянка–Островщина–железнодорожный остановочный пункт «Семуковичи» км 0,0-0,800</t>
  </si>
  <si>
    <t>Подъезд к кладбищу д. Орлянка от а/д Н-11016 Заводская Слобода–Каменка–Орлянка–Островщина–железнодорожный остановочный пункт «Семуковичи» км 0,0-0,230</t>
  </si>
  <si>
    <t>Подъезд к кладбищу деревень Журавец-1, Журавец-2 от а/д Н-11022 Будище–Журавец-1 км 0,0-0,080</t>
  </si>
  <si>
    <t>Гуслище–Барсуки (от а/д Н-14087 Подъезд к железнодорожной станции Вендриж от а/д Р-93 Могилев–Бобруйск) км 0,0-1,500</t>
  </si>
  <si>
    <t>Подъезд к садоводческим товариществам «Аграрник», «Юрист» от а/д Н-11024 Гуслище–Барсуки (от а/д Н-14087 Подъезд к железнодорожной станции Вендриж от а/д Р-93 Могилев–Бобруйск) км 0,0-0,500</t>
  </si>
  <si>
    <t>Речки–Волоки–Хатки (от а/д Н-14068 Подъезд к д. Селище от а/д Р-76 Орша–Шклов–Могилев) км 0,0-8,695</t>
  </si>
  <si>
    <t>Подъезд к садоводческому товариществу «Гигиенист» от а/д Н-11025 Речки–Волоки–Хатки (от а/д Н-14068 Подъезд к д. Селище от а/д Р-76 Орша–Шклов–Могилев) км 0,0-0,500</t>
  </si>
  <si>
    <t>Подъезд к садоводческому товариществу «Мелодия» от а/д Н-11025 Речки–Волоки–Хатки (от а/д Н-14068 Подъезд к д. Селище от а/д Р-76 Орша–Шклов–Могилев) км 0,0-0,300</t>
  </si>
  <si>
    <t>Подъезд к д. Речки-2 от а/д Н-11025 Речки–Волоки–Хатки (от а/д Н-14068 Подъезд к д. Селище от а/д Р-76 Орша–Шклов–Могилев) км 0,0-0,500</t>
  </si>
  <si>
    <t>Подъезд к кладбищу д. Хатки от а/д Н-11025 Речки–Волоки–Хатки (от а/д Н-14068 Подъезд к д. Селище от а/д Р-76 Орша–Шклов–Могилев) км 0,0-1,200</t>
  </si>
  <si>
    <t>Подъезд к кладбищу д. Куты от а/д Н-11026 Куты–Будище–Хрипелево км 0,0-0,200</t>
  </si>
  <si>
    <t>Сидоровичи–Днепр (от а/д М-8/Е 95 Граница Российской Федерации (Езерище)–Витебск–Гомель–граница Украины (Новая Гута)) км 0,0-4,182</t>
  </si>
  <si>
    <t>Кисельки–Иванов Дворец (от а/д Р-96 Могилев–Рясно–Мстиславль) км 0,0-2,000</t>
  </si>
  <si>
    <t>Подъезд к кладбищу д. Кисельки от а/д Н-11029 Кисельки–Иванов Дворец (от а/д Р-96 Могилев–Рясно–Мстиславль) км 0,0-0,500</t>
  </si>
  <si>
    <t>Недашево 1–Стужица км 0,0-3,245</t>
  </si>
  <si>
    <t>Подъезд к кладбищу д. Недашево 1 от а/д Н-11030 Недашево 1–Стужица км 0,0-0,100</t>
  </si>
  <si>
    <t>Подъезд к садоводческому товариществу «ПСК Стужица» от а/д Н-11030 Недашево 1–Стужица км 0,0-1,000</t>
  </si>
  <si>
    <t>Подъезд к зданию Недашевской участковой больницы в д. Недашево 1 от а/д Н-11030 Недашево 1–Стужица км 0,0-0,400</t>
  </si>
  <si>
    <t>Семукачи–железнодорожный остановочный пункт «Синюга»–Большое Запоточье км 0,0-11,738</t>
  </si>
  <si>
    <t>Подъезд к д. Малое Запоточье от а/д Н-11039 Семукачи–железнодорожный остановочный пункт «Синюга»–Большое Запоточье км 0,0-2,380</t>
  </si>
  <si>
    <t>Подъезд к садоводческому товариществу «Дубок» от а/д Н-11039 Семукачи–железнодорожный остановочный пункт «Синюга»–Большое Запоточье км 0,0-2,000</t>
  </si>
  <si>
    <t>Подъезд к садоводческому товариществу «Оптимист» от а/д Н-11039 Семукачи–железнодорожный остановочный пункт «Синюга»–Большое Запоточье км 0,0-0,400</t>
  </si>
  <si>
    <t>Подъезд к кладбищу д. Синюга от а/д Н-11039 Семукачи–железнодорожный остановочный пункт «Синюга»–Большое Запоточье км 0,0-0,800</t>
  </si>
  <si>
    <t>Подъезд к кладбищу д. Большое Запоточье от а/д Н-11039 Семукачи–железнодорожный остановочный пункт «Синюга»–Большое Запоточье км 0,0-0,500</t>
  </si>
  <si>
    <t>Подъезд к д. Брыли от а/д Н-11040 Брыли–Малеевка км 0,0-0,600</t>
  </si>
  <si>
    <t xml:space="preserve">Запрудье–Замостье–Голье (от а/д М-8/Е 95 Граница Российской Федерации (Езерище)–Витебск–Гомель–граница Украины (Новая Гута)) км 0,0-2,880 </t>
  </si>
  <si>
    <t>Незовка–Городок (до а/д Р-93 Могилев–Бобруйск) км 0,0-6,260</t>
  </si>
  <si>
    <t>Подъезд к д. Незовка от а/д Н-11055 Незовка–Городок (до а/д Р-93 Могилев–Бобруйск) км 0,0-1,000</t>
  </si>
  <si>
    <t>Подъезд к кладбищу д. Незовка от а/д Н-11055 Незовка–Городок (до а/д Р-93 Могилев–Бобруйск) км 0,0-0,500</t>
  </si>
  <si>
    <t>Подъезд к птицефабрике «Елец» открытого акционерного общества Могилевхлебпродукт от а/д М-8/Е 95 Граница Российской Федерации (Езерище)–Витебск–Гомель–граница Украины (Новая Гута) км 0,0-1,900</t>
  </si>
  <si>
    <t>Подъезд к санаторию-профилакторию «Сосны» в д. Шапчицы от а/д Н-14016 Подъездная дорога к филиалу «Больница медицинской реабилитации» учреждения здравоохранения «Могилевский областной лечебно-диагностический центр» от а/д М-8/Е 95 Граница Российской Федерации (Езерище)–Витебск–Гомель–граница Украины (Новая Гута) км 0,0-0,515</t>
  </si>
  <si>
    <t>Подъезд к д. Краснополье-2 от г. Могилева км 0,0-0,500</t>
  </si>
  <si>
    <t>Подъезд к базе дорожного ремонтно-строительного управления № 128 от а/д М-8/П 5 Подъезд к г. Могилеву от автомобильной дороги М-8/Е 95 км 0,0-2,140</t>
  </si>
  <si>
    <t>Подъезд к железнодорожному остановочному пункту «Дары» от а/д Р-122 Могилев–Чериков–Костюковичи  км 0,0-0,730</t>
  </si>
  <si>
    <t>Подъезд к д. Амховая 1 от а/д Р-71 Могилев–Славгород км 0,0-0,700</t>
  </si>
  <si>
    <t>Подъезд к д. Амховая 2 от а/д Р-71 Могилев–Славгород км 0,0-0,400</t>
  </si>
  <si>
    <t>Подъезд к кладбищу д. Амховая 2 от а/д Н-14061 Подъезд к д. Амховая 2 от а/д Р-71 Могилев–Славгород км 0,0-0,500</t>
  </si>
  <si>
    <t>Подъезд к железнодорожному остановочному пункту «Полыковские Хутора» от а/д Р-76 Орша–Шклов–Могилев км 0,0-0,060</t>
  </si>
  <si>
    <t>Подъезд к кладбищу аг. Буйничи от а/д Н-14080 Подъезд к аг. Буйничи от а/д Р-93 Могилев–Бобруйск км 0,0-0,100</t>
  </si>
  <si>
    <t>Подъезд к аг. Межисетки от а/д Н-14083 Подъезд к птицефабрике Филиал «Серволюкс Агро» закрытого акционерного общества «Серволюкс» в аг. Межисетки от а/д Р-93 Могилев–Бобруйск км 0,0-0,880</t>
  </si>
  <si>
    <t>Подъезд к железнодорожной станции Вендриж от а/д Р-93 Могилев–Бобруйск км 0,0-11,149</t>
  </si>
  <si>
    <t>Подъезд к садоводческому товариществу «Гвоздика» от а/д Н-14088 Подъезд к железнодорожной станции Голынец от а/д Н-14087 Подъезд к железнодорожной станции Вендриж от а/д Р-93 Могилев–Бобруйск км 0,0-0,500</t>
  </si>
  <si>
    <t>Подъезд к садоводческому товариществу «Колос» от а/д Н-14088 Подъезд к железнодорожной станции Голынец от а/д Н-14087 Подъезд к железнодорожной станции Вендриж от а/д Р-93 Могилев–Бобруйск км 0,0-0,200</t>
  </si>
  <si>
    <t>Подъезд к д. Залесье от а/д Н-14087 Подъезд к железнодорожной станции Вендриж от а/д Р-93 Могилев–Бобруйск км 0,0-3,448</t>
  </si>
  <si>
    <t>Подъезд к садоводческому товариществу «Залесье (педуниверситет)» от а/д Н-14091 Подъезд к д. Залесье от а/д Н-14087 Подъезд к железнодорожной станции Вендриж от а/д Р-93 Могилев–Бобруйск км 0,0-0,200</t>
  </si>
  <si>
    <t>Подъезд к д. Копейное от а/д Н-14091 Подъезд к д. Залесье от а/д Н-14087 Подъезд к железнодорожной станции Вендриж от а/д Р-93 Могилев–Бобруйск км 0,0-0,500</t>
  </si>
  <si>
    <t>Подъезд к д. Бортняки от а/д Н-14091 Подъезд к д. Залесье от а/д Н-14087 Подъезд к железнодорожной станции Вендриж от а/д Р-93 Могилев–Бобруйск км 0,0-0,400</t>
  </si>
  <si>
    <t>Подъезд к садоводческому товариществу «Химик-2» от а/д Н-14087 Подъезд к железнодорожной станции Вендриж от а/д Р-93 Могилев–Бобруйск км 0,0-1,100</t>
  </si>
  <si>
    <t>Подъезд к садоводческому товариществу «Вита» от а/д Н-14087 Подъезд к железнодорожной станции Вендриж от а/д Р-93 Могилев–Бобруйск км 0,0-1,000</t>
  </si>
  <si>
    <t>Подъезд к садоводческому товариществу «Далила» от а/д Н-14096 Подъезд к садоводческому товариществу «Вита» от а/д Н-14087 Подъезд к железнодорожной станции Вендриж от а/д Р-93 Могилев–Бобруйск км 0,0-1,000</t>
  </si>
  <si>
    <t>Подъезд к садоводческому товариществу «Гороно» от а/д Н-14087 Подъезд к железнодорожной станции Вендриж от а/д Р-93 Могилев–Бобруйск км 0,0-1,000</t>
  </si>
  <si>
    <t>Подъезд к садоводческому товариществу «Банковец» от а/д Н-14095 Подъезд к садоводческому товариществу «Химик-2» от а/д Н-14087 Подъезд к железнодорожной станции Вендриж от а/д Р-93 Могилев–Бобруйск км 0,0-1,100</t>
  </si>
  <si>
    <t>Подъезд к садоводческому товариществу «ПСК Двуречье» от а/д Н-14087 Подъезд к железнодорожной станции Вендриж от а/д Р-93 Могилев–Бобруйск км 0,0-1,0</t>
  </si>
  <si>
    <t>Подъезд к садоводческому товариществу «Заречье ПМК-270» от а/д Н-14087 Подъезд к железнодорожной станции Вендриж от а/д Р-93 Могилев–Бобруйск км 0,0-0,200</t>
  </si>
  <si>
    <t>Подъезд к железнодорожной станции Черноземовка от а/д Р-93 Могилев–Бобруйск км 0,0-1,500</t>
  </si>
  <si>
    <t>Подъезд к садоводческому товариществу «ПЭС Могилевэнерго» от а/д Н-14102 Подъезд к железнодорожной станции Черноземовка от а/д Р-93 Могилев–Бобруйск км 0,0-0,600</t>
  </si>
  <si>
    <t>Подъезд к д. Красница 1 от а/д Р-93 Могилев–Бобруйск км 0,0-0,900</t>
  </si>
  <si>
    <t>Подъезд к д. Красница 2 от а/д Р-93 Могилев–Бобруйск км 0,0-0,750</t>
  </si>
  <si>
    <t>Подъезд к кладбищу д. Красница 2 от а/д Р-93 Могилев–Бобруйск км 0,0-0,200</t>
  </si>
  <si>
    <t>Подъезд № 1 к футбольному клубу «Днепр-Могилев» в урочище Любуж от Р-96 Могилев–Рясно–Мстиславль км 0,0-0,100</t>
  </si>
  <si>
    <t>Подъезд № 2 к футбольному клубу «Днепр-Могилев»  в урочище Любуж  от Р-96 Могилев–Рясно–Мстиславль км 0,0-0,100</t>
  </si>
  <si>
    <t>Подъезд к железнодорожной станции Дашковка от а/д Р-97 Могилев–Быхов–Рогачев км 0,0-1,700</t>
  </si>
  <si>
    <t>Подъезд к особняку и парку в аг. Дашковка от а/д Р-97 Могилев–Быхов–Рогачев км 0,0-0,660</t>
  </si>
  <si>
    <t>Подъезд к кладбищу аг. Дашковка от а/д Н-14129 Подъезд к особняку и парку в аг. Дашковка от а/д Р-97 Могилев–Быхов–Рогачев км 0,0-0,450</t>
  </si>
  <si>
    <t>Железнодорожный остановочный пункт «Красноручье»–Бастеновичи–Белый Мох–Подсолтово км 0,0-14,922</t>
  </si>
  <si>
    <t>Подъезд к д. Ионы от а/д Н-11129 Железнодорожный остановочный пункт «Красноручье»–Бастеновичи–Белый Мох–Подсолтово км 0,0-0,900</t>
  </si>
  <si>
    <t>Подъезд к кладбищу д. Ионы от а/д Н-14161 Подъезд к д. Ионы от а/д Н-11129 Железнодорожный остановочный пункт «Красноручье»–Бастеновичи–Белый Мох–Подсолтово км 0,0-1,000</t>
  </si>
  <si>
    <t>Подъезд к д. Белый Мох (улица Березовая) от а/д Н-11129 Железнодорожный остановочный пункт «Красноручье»–Бастеновичи–Белый Мох–Подсолтово км 0,0-0,600</t>
  </si>
  <si>
    <t>Подъезд к кладбищу д. Белый Мох от а/д Н-11129 Железнодорожный остановочный пункт «Красноручье»–Бастеновичи–Белый Мох–Подсолтово км 0,0-0,500</t>
  </si>
  <si>
    <t>Подъезд к д. Селищи от а/д Н-11130 Курманово–Булино–Нестерово км 0,0-2,800</t>
  </si>
  <si>
    <t>Подъезд к кладбищу д. Селищи от а/д Н-14165 Подъезд к д. Селищи от а/д Н-11130 Курманово–Булино–Нестерово км 0,0-0,200</t>
  </si>
  <si>
    <t>Подъезд к д. Ластригино от а/д Н-11142 Людогощь–Селец–Пирогово км 0,0-0,300</t>
  </si>
  <si>
    <t>Подъезд к кладбищу д. Ластригино от а/д Н-11142 Людогощь–Селец–Пирогово км 0,0-0,450</t>
  </si>
  <si>
    <t>Подъезд к кладбищу д. Майское от а/д Н-11148 Мазолово–Мышкино км 0,0-0,820</t>
  </si>
  <si>
    <t>Башары–Ракшино–Черноусы–Ремество–Картыжи–Ракшино км 0,0-16,250</t>
  </si>
  <si>
    <t>Подъезд к д. Печенки от а/д Н-11149 Башары–Ракшино–Черноусы–Ремество–Картыжи–Ракшино км 0,0-1,000</t>
  </si>
  <si>
    <t>Подъезд к кладбищу д. Печенки от а/д Н-14251 Подъезд к д. Печенки от а/д Н-11149 Башары–Ракшино–Черноусы–Ремество–Картыжи–Ракшино км 0,0-0,500</t>
  </si>
  <si>
    <t>Подъезд к д. Ремество от а/д Н-11149 Башары–Ракшино–Черноусы–Ремество–Картыжи–Ракшино км 0,0-0,800</t>
  </si>
  <si>
    <t>Подъезд к д. Черноусы от а/д Н-11149 Башары–Ракшино–Черноусы–Ремество–Картыжи–Ракшино км 0,0-1,000</t>
  </si>
  <si>
    <t>Подъезд к кладбищу № 1 д. Черноусы от а/д Н-14254 Подъезд к д. Черноусы от а/д Н-11149 Башары–Ракшино–Черноусы–Ремество–Картыжи–Ракшино км 0,0-2,500</t>
  </si>
  <si>
    <t>Подъезд к кладбищу № 2 д. Черноусы от а/д Н-14254 Подъезд к д. Черноусы от а/д Н-11149 Башары–Ракшино–Черноусы–Ремество–Картыжи–Ракшино км 0,0-0,770</t>
  </si>
  <si>
    <t>Подъезд к кладбищу д. Ремество от а/д Н-11149 Башары–Ракшино–Черноусы–Ремество–Картыжи–Ракшино км 0,0-0,700</t>
  </si>
  <si>
    <t>Подъезд к кладбищу д. Картыжи от а/д Н-11149 Башары–Ракшино–Черноусы–Ремество–Картыжи–Ракшино км 0,0-0,100</t>
  </si>
  <si>
    <t>Подъезд к кладбищу упраздненной д. Елизарово от а/д Н-11167 Подсолтово–Иртищево км 0,0-1,000</t>
  </si>
  <si>
    <t>Подъезд к кладбищу д. Северное Белищено от а/д Н-11172 Ослянка–Северное Белищено км 0,0-0,300</t>
  </si>
  <si>
    <t>Подъезд № 1 к битумной базе дорожного ремонтно-строительного управления № 174 от а/д Р-73 Чаусы–Мстиславль–граница Российской Федерации (Каськово) км 0,0-3,132</t>
  </si>
  <si>
    <t>Подъезд № 2 к битумной базе дорожного ремонтно-строительного управления № 174 (до а/д Н-10827 Кричев–Ходосы–Курманово–Рубановка) от а/д Н-14317 Подъезд № 1 к битумной базе дорожного ремонтно-строительного управления № 174 от а/д Р-73 Чаусы–Мстиславль–граница Российской Федерации (Каськово) км 0,0-0,700</t>
  </si>
  <si>
    <t>Подъезд к кладбищу аг. Ходосы (улица Островского) от а/д Н-14317 Подъезд № 1 к битумной базе дорожного ремонтно-строительного управления  № 174 от а/д Р-73 Чаусы–Мстиславль–граница Российской Федерации (Каськово) км 0,0-0,100</t>
  </si>
  <si>
    <t>Подъезд к упраздненной д. Ксендзовщина от а/д Н-14322 Подъезд к аг. Копачи от а/д Р-73 Чаусы–Мстиславль–граница Российской Федерации (Каськово) км 0,0-2,000</t>
  </si>
  <si>
    <t>Подъезд к кладбищу упраздненной д. Ксендзовщина от а/д Н-14324 Подъезд к упраздненной д. Ксендзовщина от а/д Н-14322 Подъезд к аг. Копачи от а/д Р-73 Чаусы–Мстиславль–граница Российской Федерации (Каськово) км 0,0-0,200</t>
  </si>
  <si>
    <t>Подъезд № 2 к аг. Ходосы от а/д Н-14328 Подъезд № 1 к аг. Ходосы от а/д Р-73 Чаусы–Мстиславль–граница Российской Федерации (Каськово) км 0,0-0,630</t>
  </si>
  <si>
    <t>Подъезд к кладбищу аг. Ходосы (улица Зеленая) от а/д Н-14328 Подъезд  № 1 к аг. Ходосы от а/д Р-73 Чаусы–Мстиславль–граница Российской Федерации (Каськово) км 0,0-2,000</t>
  </si>
  <si>
    <t>Подъезд к зоне отдыха на реке Суточка возле г. Мстиславля от а/д Р-73 Чаусы–Мстиславль–граница Российской Федерации (Каськово) км 0,0-0,500</t>
  </si>
  <si>
    <t>ранее н-ся п-д к п.Кирова</t>
  </si>
  <si>
    <t>Подъезд к кладбищу д. Заречье от а/д Н-14332 Подъезд к д. Заречье  от Р-73 Чаусы–Мстиславль–граница Российской Федерации (Каськово) км 0,0-2,500</t>
  </si>
  <si>
    <t>Подъезд к району индивидуальной жилой застройки сельскохозяйственного производственного кооператива «Мазоловский» от а/д Р-73 Чаусы–Мстиславль–граница Российской Федерации (Каськово) км 0,0-0,450</t>
  </si>
  <si>
    <t>Подъезд к д. Сапрыновичи (улица Школьная) от а/д Р-73 Чаусы–Мстиславль–граница Российской Федерации (Каськово) км 0,0-1,300</t>
  </si>
  <si>
    <t>Подъезд к кладбищу д. Сапрыновичи от а/д Р-73 Чаусы–Мстиславль–граница Российской Федерации (Каськово) км 0,0-0,150</t>
  </si>
  <si>
    <t>Подъезд к кладбищу упраздненной д. Детковичи от а/д Р-73 Чаусы–Мстиславль–граница Российской Федерации (Каськово) км 0,0-0,900</t>
  </si>
  <si>
    <t>Подъезд к д. Безгачево через д. Космыничи от а/д Р-96 Могилев–Рясно–Мстиславль км 0,0-6,700</t>
  </si>
  <si>
    <t>Подъезд к кладбищу д. Безгачево от а/д Н-14354 Подъезд к д. Безгачево через д. Космыничи от а/д Р-96 Могилев–Рясно–Мстиславль км 0,0-0,200</t>
  </si>
  <si>
    <t>Подъезд к упраздненной д. Базылевка от а/д Р-96 Могилев–Рясно–Мстиславль км 0,0-1,400</t>
  </si>
  <si>
    <t>Подъезд к району индивидуальной жилой застройки аг. Дараганово от а/д Н-11202 Осиповичи–Дараганово км 0,0-0,600</t>
  </si>
  <si>
    <t>Подъезд к железнодорожной станции Дараганово от а/д Н-11202 Осиповичи–Дараганово км 0,0-0,365</t>
  </si>
  <si>
    <t>Крынка–Дараганово–Ковгары (до а/д Н-9706 Буда–Новые Дороги–Кармазы) км 0,0-15,750</t>
  </si>
  <si>
    <t>Подъезд к д. Свиханово от а/д Н-11203 Крынка–Дараганово–Ковгары (до а/д Н-9706 Буда–Новые Дороги–Кармазы) км 0,0-5,900</t>
  </si>
  <si>
    <t>Подъезд к д. Ульяновка от а/д Н-11203 Крынка–Дараганово–Ковгары (до а/д Н-9706 Буда–Новые Дороги–Кармазы) км 0,0-0,950</t>
  </si>
  <si>
    <t>Подъезд к д. Остров от а/д Н-11203 Крынка–Дараганово–Ковгары (до а/д Н-9706 Буда–Новые Дороги–Кармазы) км 0,0-5,400</t>
  </si>
  <si>
    <t>Подъезд к д. Крынка от а/д Н-11203 Крынка–Дараганово–Ковгары (до а/д Н-9706 Буда–Новые Дороги–Кармазы) км 0,0-4,673</t>
  </si>
  <si>
    <t>Подъезд к кладбищу аг. Дараганово от а/д Н-11203 Крынка–Дараганово–Ковгары (до а/д Н-9706 Буда–Новые Дороги–Кармазы) км 0,0-0,300</t>
  </si>
  <si>
    <t>Заболотье–Перерожки–Верейцы (до а/д М-5/Е 271 Минск–Гомель) км 0,0-18,128</t>
  </si>
  <si>
    <t>Подъезд к д. Дубовое от а/д Н-11206 Заболотье–Перерожки–Верейцы (до а/д М-5/Е 271 Минск–Гомель) км 0,0-1,700</t>
  </si>
  <si>
    <t>Подъезд к садоводческому товариществу «Верхи» от а/д Н-11206 Заболотье–Перерожки–Верейцы (до а/д М-5/Е 271 Минск–Гомель) км 0,0-0,400</t>
  </si>
  <si>
    <t>Подъезд к военному городку в д. Верейцы от а/д Н-11206 Заболотье–Перерожки–Верейцы (до а/д М-5/Е 271 Минск–Гомель) км 0,0-1,936</t>
  </si>
  <si>
    <t>Подъезд к д. Ленина от а/д Н-11207 Вязье–Зборск–Лапичи км 0,0-1,363</t>
  </si>
  <si>
    <t>Подъезд к кладбищу д. Осовок от а/д Н-14426 Подъезд № 2 к д. Осовок от а/д Н-14425 Подъезд № 1 к д. Осовок от а/д Н-11214 Каменичи–Казимирово км 0,0-0,130</t>
  </si>
  <si>
    <t>Лучицы–Татарка (до а/д М-5/Е 271 Минск–Гомель) км 0,0-11,049</t>
  </si>
  <si>
    <t>Подъезд к садоводческим товариществам «Татарка» и «Гай» от а/д Н-11227 Лучицы–Татарка (до а/д М-5/Е 271 Минск–Гомель) км 0,0-1,200</t>
  </si>
  <si>
    <t>Подъезд к кладбищу № 1 р.п. Татарка от а/д Н-11227 Лучицы–Татарка (до а/д М-5/Е 271 Минск–Гомель) км 0,0-0,100</t>
  </si>
  <si>
    <t>Подъезд к кладбищу № 2 р.п. Татарка от а/д Н-11227 Лучицы–Татарка (до а/д М-5/Е 271 Минск–Гомель) км 0,0-1,000</t>
  </si>
  <si>
    <t>Подъезд к д. Бродище от а/д Н-11227 Лучицы–Татарка (до а/д М-5/Е 271 Минск–Гомель) км 0,0-1,000</t>
  </si>
  <si>
    <t>Железнодорожный остановочный пункт «Ясень»–Люлево км 0,0-2,100</t>
  </si>
  <si>
    <t>Замошье–железнодорожная станция Осиповичи-3 км 0,0-1,200</t>
  </si>
  <si>
    <t>Подъезд к железнодорожной станции Гродзянка от а/д Р-67 Борисов–Березино–Бобруйск км 0,0-16,264</t>
  </si>
  <si>
    <t>Подъезд № 1 к д. Новоселки от а/д Н-14457 Подъезд к железнодорожной станции Гродзянка от а/д Р-67 Борисов–Березино–Бобруйск км 0,0-0,543</t>
  </si>
  <si>
    <t>Подъезд № 2 к д. Новоселки от а/д Н-14457 Подъезд к железнодорожной станции Гродзянка от а/д Р-67 Борисов–Березино–Бобруйск км 0,0-1,991</t>
  </si>
  <si>
    <t>Подъезд к памятнику археологии 1–3 века «Городище» у р.п. Елизово от а/д Р-67 Борисов–Березино–Бобруйск км 0,0-0,800</t>
  </si>
  <si>
    <t>Подъезд к мемориальному комплексу погибшим в годы Великой Отечественной войны в р.п. Елизово от а/д Р-67 Борисов–Березино–Бобруйск км 0,0-1,000</t>
  </si>
  <si>
    <t>Подъезд к открытому акционерному обществу «Рыбхоз «Свислочь» от а/д Р-72 Осиповичи–Свислочь км 0,0-0,600</t>
  </si>
  <si>
    <t>км 2,396-3,108 совмещен с Н-11000 Княжицы–Булыжицы</t>
  </si>
  <si>
    <t>Подъезд к кладбищу аг. Телеши от а/д Н-11280 Ходорово–Телеши–Улуки км 0,0-1,300</t>
  </si>
  <si>
    <t>Черняковка–Свенск–Роги–Онелино км 0,0-22,080</t>
  </si>
  <si>
    <t>Подъезд к д. Славня от а/д Н-11291 Черняковка–Свенск–Роги–Онелино км 0,0-3,700</t>
  </si>
  <si>
    <t>Подъезд к кладбищу д. Славня от а/д Н-14528 Подъезд к д. Славня от а/д Н-11291 Черняковка–Свенск–Роги–Онелино км 0,0-0,300</t>
  </si>
  <si>
    <t>Подъезд к кладбищу д. Прудок от а/д Н-11291 Черняковка–Свенск–Роги–Онелино км 0,0-0,100</t>
  </si>
  <si>
    <t>Подъезд к кладбищу д. Роги от а/д Н-11291 Черняковка–Свенск–Роги–Онелино км 0,0-1,100</t>
  </si>
  <si>
    <t>Подъезд к кладбищу д. Устанное от а/д Н-11294 Потеряевка–Хворостяны (до а/д Н-11279 Хоронев–Хворостяны–Азаричи) км 0,0-1,100</t>
  </si>
  <si>
    <t>Подъезд к асфальтобетонной установке от а/д Н-14551 Подъезд к д. Чечёровка от а/д Р-43 Граница Российской Федерации (Звенчатка)–Кричев–Бобруйск–Ивацевичи (до автомобильной дороги Р-2/Е 85) км 0,0-0,560</t>
  </si>
  <si>
    <t>Подъезд к кладбищу д. Завод-Вировая от а/д Р-71 Могилев–Славгород км 0,0-0,800</t>
  </si>
  <si>
    <t>Подъезд к району индивидуальной жилой застройки д. Ольшов-1 сельскохозяйственного производственного кооператива «Колхоз «3-й Интернационал» от а/д Н-11351 Хотимск–граница Российской Федерации на Рославль км 0,0-0,700</t>
  </si>
  <si>
    <t>Подъезд к району индивидуальной жилой застройки д. Еловец сельскохозяйственного производственного кооператива «Колхоз «3-й Интернационал» от а/д Н-11351 Хотимск–граница Российской Федерации на Рославль км 0,0-0,300</t>
  </si>
  <si>
    <t>Подъезд к району индивидуальной жилой застройки аг. Беседовичи от а/д Н-11354 Хотимск–Батаево–Ивкино км 0,0-0,700</t>
  </si>
  <si>
    <t>Князевка–Липаки км 0,0-3,925</t>
  </si>
  <si>
    <t>Боханы–а/д Н-11354 Хотимск–Батаево–Ивкино км 0,0-3,945</t>
  </si>
  <si>
    <t>Подъезд к аг. Боханы от а/д Н-11366 Боханы–а/д Н-11354 Хотимск–Батаево–Ивкино км 0,0-0,600</t>
  </si>
  <si>
    <t>Подъезд к д. Новый Путь от а/д Н-11368 Ельня–Александровичи–упраздненная д. Зеленец  км 0,0-1,060</t>
  </si>
  <si>
    <t>Подъезд к кладбищу № 1 аг. Ельня от а/д Н-11368 Ельня–Александровичи– упраздненная д. Зеленец  км 0,0-0,280</t>
  </si>
  <si>
    <t>Тростино– а/д Н-11355 Тростино–Ельня км 0,0-1,670</t>
  </si>
  <si>
    <t>Дубровка–а/д Н-11364 Князевка–Липаки км 0,0-2,300</t>
  </si>
  <si>
    <t>Подъезд к району индивидуальной жилой застройки сельскохозяйственного производственного кооператива «Колхоз «3-й Интернационал» г.п. Хотимск от а/д Р-74 Чериков–Краснополье–Хотимск–граница Российской Федерации (Горня) км 0,0-0,377</t>
  </si>
  <si>
    <t>Подъезд к кладбищу д. Яновка от а/д Р-74 Чериков–Краснополье–Хотимск–граница Российской Федерации (Горня) км 0,0-0,200</t>
  </si>
  <si>
    <t>Подъезд к району индивидуальной жилой застройки аг. Забелышин от а/д Р-139 Хотимск–Родня км 0,0-0,500</t>
  </si>
  <si>
    <t>Подъезд к д. Староселы от а/д Н-11427 Чаусы–Осиновка (до а/д Р-73 Чаусы–Мстиславль–граница Российской Федерации (Каськово)) км 0,0-4,050</t>
  </si>
  <si>
    <t>Подъезд к центральной усадьбе колхоза Путьки от а/д Н-11427 Чаусы–Осиновка (до а/д Р-73 Чаусы–Мстиславль–граница Российской Федерации (Каськово)) км 0,0-0,850</t>
  </si>
  <si>
    <t>Подъезд к кладбищу № 1 д. Путьки от а/д Н-11427 Чаусы–Осиновка (до а/д Р-73 Чаусы–Мстиславль–граница Российской Федерации (Каськово)) км 0,0-0,170</t>
  </si>
  <si>
    <t>Подъезд к кладбищу № 2 д. Путьки от а/д Н-11427 Чаусы–Осиновка (до а/д Р-73 Чаусы–Мстиславль–граница Российской Федерации (Каськово)) км 0,0-0,500</t>
  </si>
  <si>
    <t>Подъезд к д. Прилеповка от а/д Н-11427 Чаусы–Осиновка (до а/д Р-73 Чаусы–Мстиславль–граница Российской Федерации (Каськово)) км 0,0-1,200</t>
  </si>
  <si>
    <t>Подъезд к кладбищу д. Прилеповка от а/д Н-14679 Подъезд к д. Прилеповка от а/д Н-11427 Чаусы–Осиновка (до а/д Р-73 Чаусы–Мстиславль–граница Российской Федерации (Каськово)) км 0,0-0,280</t>
  </si>
  <si>
    <t>Подъезд к мемориальному комплексу «Быново» от а/д Н-11427 Чаусы–Осиновка (до а/д Р-73 Чаусы–Мстиславль–граница Российской Федерации (Каськово)) км 0,0-0,600</t>
  </si>
  <si>
    <t>Подъезд к кладбищу п. Гатище от а/д Н-11427 Чаусы–Осиновка (до а/д Р-73 Чаусы–Мстиславль–граница Российской Федерации (Каськово)) км 0,0-0,320</t>
  </si>
  <si>
    <t>Хоньковичи–Пилещино–а/д Р-96/П1 Подъезд к г. Чаусы от автомобильной дороги Р-96 км 0,0-11,670</t>
  </si>
  <si>
    <t>Подъезд к д. Королевка через д. Мокрядка от а/д Н-11429 Хоньковичи–Пилещино–а/д Р-96/П1 Подъезд к г. Чаусы от автомобильной дороги Р-96 км 0,0-2,800</t>
  </si>
  <si>
    <t>Подъезд к д. Поповцы от а/д Н-11429 Хоньковичи–Пилещино–а/д Р-96/П1 Подъезд к г. Чаусы от автомобильной дороги Р-96 км 0,0-0,860</t>
  </si>
  <si>
    <t>Подъезд к кладбищу д. Поповцы от а/д Н-14688 Подъезд к д. Поповцы от а/д Н-11429 Хоньковичи–Пилещино–а/д Р-96/П1 Подъезд к г. Чаусы от автомобильной дороги Р-96 км 0,0-0,600</t>
  </si>
  <si>
    <t>Подъезд к кладбищу д. Староселы от а/д Н-14688 Подъезд к д. Поповцы от а/д Н-11429 Хоньковичи–Пилещино–а/д Р-96/П1 Подъезд к г. Чаусы от автомобильной дороги Р-96 км 0,0-0,720</t>
  </si>
  <si>
    <t>Подъезд к кладбищу д. Мокрядка от а/д Н-11429 Хоньковичи–Пилещино–а/д Р-96/П1 Подъезд к г. Чаусы от автомобильной дороги Р-96 км 0,0-0,300</t>
  </si>
  <si>
    <t>Подъезд к железнодорожной станции Реста от а/д Н-11433 Смолка–Горбовичи–Красница–Гладково км 0,0-0,700</t>
  </si>
  <si>
    <t>Петуховка (от а/д Р-122 Могилев–Чериков–Костюковичи)–Дроковка–Риминка км 0,0-8,350</t>
  </si>
  <si>
    <t>Подъезд к д. Голочевка от а/д Н-11435 Петуховка (от а/д Р-122 Могилев–Чериков–Костюковичи)–Дроковка–Риминка км 0,0-2,600</t>
  </si>
  <si>
    <t>Подъезд к кладбищу д. Голочевка от а/д Н-14742 Подъезд к д. Голочевка от а/д Н-11435 Петуховка (от а/д Р-122 Могилев–Чериков–Костюковичи)–Дроковка–Риминка км 0,0-0,380</t>
  </si>
  <si>
    <t>Подъезд к д. Дроковка от а/д Н-11435 Петуховка (от а/д Р-122 Могилев–Чериков–Костюковичи)–Дроковка–Риминка км 0,0-1,820</t>
  </si>
  <si>
    <t>Подъезд к кладбищу д. Дроковка от а/д Н-14744 Подъезд к д. Дроковка от а/д Н-11435 Петуховка (от а/д Р-122 Могилев–Чериков–Костюковичи)–Дроковка–Риминка км 0,0-1,480</t>
  </si>
  <si>
    <t>Подъезд к кладбищу д. Риминка от а/д Н-11435 Петуховка (от а/д Р-122 Могилев–Чериков–Костюковичи)–Дроковка–Риминка км 0,0-0,220</t>
  </si>
  <si>
    <t>Приданцы (от а/д Н-11434 Темровичи–Васьковичи–Городня) км 0,0-4,230</t>
  </si>
  <si>
    <t>Подъезд к д. Васьковичи от а/д Н-11441 Приданцы (от а/д Н-11434 Темровичи–Васьковичи–Городня) км 0,0-1,740</t>
  </si>
  <si>
    <t>Подъезд к п. Дубровка от а/д Н-11441 Приданцы (от а/д Н-11434 Темровичи–Васьковичи–Городня) км 0,0-2,070</t>
  </si>
  <si>
    <t>Подъезд к кладбищу д. Васьковичи     от а/д Н-11441 Приданцы (от а/д Н-11434 Темровичи–Васьковичи–Городня) км 0,0-1,500</t>
  </si>
  <si>
    <t>Подъезд к кладбищу № 1 д. Приданцы от а/д Н-11441 Приданцы (от а/д Н-11434 Темровичи–Васьковичи–Городня) км 0,0-0,400</t>
  </si>
  <si>
    <t>Подъезд к кладбищу № 2 д. Приданцы от а/д Н-11441 Приданцы (от а/д Н-11434 Темровичи–Васьковичи–Городня) км 0,0-1,500</t>
  </si>
  <si>
    <t>Романовичи (от д. Утро)–Левковщина (до а/д Н-11434 Темровичи–Васьковичи–Городня) км 0,0-5,460</t>
  </si>
  <si>
    <t>Подъезд к д. Кадино от а/д Н-11442 Романовичи (от д. Утро)–Левковщина (до а/д Н-11434 Темровичи–Васьковичи–Городня) км 0,0-1,230</t>
  </si>
  <si>
    <t>Подъезд № 1 к д. Утро от а/д Н-11442 Романовичи (от д. Утро)–Левковщина (до а/д Н-11434 Темровичи–Васьковичи–Городня) км 0,0-0,600</t>
  </si>
  <si>
    <t>Подъезд № 2 к д. Утро от а/д Н-14766 Подъезд № 1 к д. Утро от а/д Н-11442 Романовичи (от д. Утро)–Левковщина (до а/д Н-11434 Темровичи–Васьковичи–Городня) км 0,0-1,300</t>
  </si>
  <si>
    <t xml:space="preserve">Подъезд к кладбищу д. Утро от а/д Н-14767 Подъезд № 2 к д. Утро от а/д Н-14766 Подъезд № 1 к д. Утро от а/д Н-11442 Романовичи (от д. Утро)–Левковщина (до а/д Н-11434 Темровичи–Васьковичи–Городня) км 0,0-1,100 </t>
  </si>
  <si>
    <t>Подъезд к кладбищу п. Забава от а/д Н-11444 Хотетово–Сталка–Забава–Митавье км 0,0-0,830</t>
  </si>
  <si>
    <t>Путьки–а/д Н-11431 Чаусы–Заложье км 0,0-2,610</t>
  </si>
  <si>
    <t>Головенчицы–Устье–Юшковичи (до а/д Н-11430 Антоновка–Долгий Мох) км 0,0-6,940</t>
  </si>
  <si>
    <t>Подъезд к кладбищу д. Головенчицы от а/д Н-11452 Головенчицы–Устье–Юшковичи (до а/д Н-11430 Антоновка–Долгий Мох) км 0,0-0,430</t>
  </si>
  <si>
    <t>Осиновка–а/д Н-11446 Быново–Чигриновка–Кротки км 0,0-3,990</t>
  </si>
  <si>
    <t>Радомля–Будино (до а/д Р-96 Могилев–Рясно–Мстиславль) км 0,0-6,290</t>
  </si>
  <si>
    <t>Подъезд к кладбищу д. Будино от а/д Н-11457 Радомля–Будино (до а/д Р-96 Могилев–Рясно–Мстиславль) км 0,0-0,310</t>
  </si>
  <si>
    <t>Подъезд к кладбищу п. Будино от а/д Н-11457 Радомля–Будино (до а/д Р-96 Могилев–Рясно–Мстиславль) км 0,0-1,240</t>
  </si>
  <si>
    <t>Подъезд к п. Красная Поляна от а/д Н-11463 Малый Грязивец–Грязивец км 0,0-5,660</t>
  </si>
  <si>
    <t>Подъезд к садоводческому товариществу «За рулем» от а/д Н-10987 Романовичи–Утро км 0,0-0,950</t>
  </si>
  <si>
    <t>Подъезды от автодороги Н-10987 Романовичи–Утро:</t>
  </si>
  <si>
    <t>Объездная дорога г. Чаусы от а/д Р-122 Могилев–Чериков–Костюковичи км 0,0-1,900</t>
  </si>
  <si>
    <t>Подъезд к железнодорожному остановочному пункту «Благовичи» от а/д Р-122 Могилев–Чериков–Костюковичи км 0,0-1,670</t>
  </si>
  <si>
    <t>Подъезд к д. Полоево через д. Заречье от а/д Р-138 Чаусы–Славгород (до автомобильной дороги Р-71) км 0,0-6,550</t>
  </si>
  <si>
    <t>Подъезд к кладбищу д. Заречье от а/д Н-14811 Подъезд к д. Полоево через д. Заречье от а/д Р-138 Чаусы–Славгород (до автомобильной дороги Р-71) км 0,0-0,200</t>
  </si>
  <si>
    <t>Подъезд к кладбищу д. Полоево от а/д Н-14811 Подъезд к д. Полоево через д. Заречье от а/д Р-138 Чаусы–Славгород (до автомобильной дороги Р-71) км 0,0-0,400</t>
  </si>
  <si>
    <t>Подъезд к п. Зашляшье от а/д Р-96/П 1 Подъезд к г. Чаусы от автомобильной дороги Р-96 км 0,0-2,280</t>
  </si>
  <si>
    <t>Климовичи–Майский (до а/д Р-122 Могилев–Чериков–Костюковичи) км 23,001-28,853</t>
  </si>
  <si>
    <t>Подъезд к кладбищу д. Боровая от а/д Н-10530 Климовичи–Майский (до а/д Р-122 Могилев–Чериков–Костюковичи) км 0,0-1,100</t>
  </si>
  <si>
    <t>Подъезд к кладбищу упраздненной д. Холмы от а/д Н-10530 Климовичи–Майский (до а/д Р-122 Могилев–Чериков–Костюковичи) км 0,0-0,550</t>
  </si>
  <si>
    <t>Подъезд к зданию Вепринского сельского Совета депутатов и фельдшерско-акушерскому пункту в аг. Майский от а/д Н-10530 Климовичи–Майский (до а/д Р-122 Могилев–Чериков–Костюковичи) км 0,0-3,500</t>
  </si>
  <si>
    <t>Подъезд к д. Новая Белица от а/д Н-10826 Кричев–Белица (до а/д Р-73 Чаусы–Мстиславль–граница Российской Федерации (Каськово)) км 0,0-0,100</t>
  </si>
  <si>
    <t>Подъезды от автодороги от а/д Н-10826 Кричев–Белица (до а/д Р-73 Чаусы–Мстиславль–граница Российской Федерации (Каськово)):</t>
  </si>
  <si>
    <t>Лобановка– железнодорожная станция Веремейки–Старая Белица км 0,0-17,145</t>
  </si>
  <si>
    <t>Подъезд к п. Громобой от а/д Н-11501 Лобановка– железнодорожная станция Веремейки–Старая Белица км 0,0-1,480</t>
  </si>
  <si>
    <t>Подъезд к п. Подбудки от а/д Н-11501 Лобановка– железнодорожная станция Веремейки–Старая Белица км 0,0- 3,610</t>
  </si>
  <si>
    <t>Подъезд к п. Чернышен от а/д Н-11501 Лобановка– железнодорожная станция Веремейки–Старая Белица км 0,0-0,820</t>
  </si>
  <si>
    <t>Подъезд к п. Возрождение от а/д Н-11501 Лобановка– железнодорожная станция Веремейки–Старая Белица км 0,0-1,500</t>
  </si>
  <si>
    <t>Подъезд к п. Мосток от а/д Н-11501 Лобановка– железнодорожная станция Веремейки–Старая Белица км 0,0-1,000</t>
  </si>
  <si>
    <t>Подъезд к кладбищу аг. Веремейки от а/д Н-11501 Лобановка– железнодорожная станция Веремейки–Старая Белица км 0,0-1,250</t>
  </si>
  <si>
    <t>Подъезд к д. Старая Белица от а/д Н-11501 Лобановка– железнодорожная станция Веремейки–Старая Белица км 0,0-0,500</t>
  </si>
  <si>
    <t>Подъезд к кладбищу п. Виноград от а/д Н-11502 Чериков–Езеры–Гижня км 0,0-300</t>
  </si>
  <si>
    <t>Подъезд к зданию Езерского сельского Совета депутатов в аг. Езеры от а/д Н-11506 Соколовка–Езеры км 0,0-1,850</t>
  </si>
  <si>
    <t>Подъезд к п. Гривки через п. Новый Свет от а/д Н-11507 Соколовка–Долгое км 0,0-3,180</t>
  </si>
  <si>
    <t>Подъезд к кладбищу п. Новый Свет от а/д Н-14926 Подъезд к п. Гривки через п. Новый Свет от а/д Н-11507 Соколовка–Долгое км 0,0-1,500</t>
  </si>
  <si>
    <t>Езеры–Вербеж (до а/д Р-122 Могилев–Чериков–Костюковичи) км 0,0-6,710</t>
  </si>
  <si>
    <t>Подъезд к п. Карповский от а/д Н-11508 Езеры–Вербеж (до а/д Р-122 Могилев–Чериков–Костюковичи) км 0,0-0,960</t>
  </si>
  <si>
    <t>Подъезд к п. Виноград от а/д Н-11508 Езеры–Вербеж (до а/д Р-122 Могилев–Чериков–Костюковичи) км 0,0-0,660</t>
  </si>
  <si>
    <t>Подъезд к д. Ржавец от а/д Н-11508 Езеры–Вербеж (до а/д Р-122 Могилев–Чериков–Костюковичи) км 0,0-3,170</t>
  </si>
  <si>
    <t>Подъезд к кладбищу д. Ржавец от а/д Н-14935 Подъезд к д. Ржавец от а/д Н-11508 Езеры–Вербеж (до а/д Р-122 Могилев–Чериков–Костюковичи) км 0,0-0,160</t>
  </si>
  <si>
    <t>Подъезд к кладбищу д. Вербеж от а/д Н-11508 Езеры–Вербеж (до а/д Р-122 Могилев–Чериков–Костюковичи) км 0,0-1,000</t>
  </si>
  <si>
    <t>Подъезд к кладбищу упраздненной д. Новомалиновка от а/д Р-122 Могилев–Чериков–Костюковичи км 0,0-2,200</t>
  </si>
  <si>
    <t>Подъезд к кладбищу упраздненной д. Ушаки от а/д Н-14983 Подъезд к упраздненной д. Ушаки от а/д Р-74 Чериков–Краснополье–Хотимск–граница Российской Федерации (Горня) км 0,0-0,600</t>
  </si>
  <si>
    <t>Подъезд к кладбищу д. Монастырек от а/д Н-14986 Подъезд к д. Монастырек от а/д Н-14983 Подъезд к упраздненной д. Ушаки от а/д Р-74 Чериков–Краснополье–Хотимск–граница Российской Федерации (Горня) км 0,0-1,500</t>
  </si>
  <si>
    <t>Белыничи–Шклов (до а/д Р-77 Шклов–Белыничи (через Пригани 2)) км 23,209-45,263</t>
  </si>
  <si>
    <t>Подъезд к д. Затишье от а/д Н-10000 Белыничи–Шклов  (до а/д Р-77 Шклов–Белыничи (через Пригани 2)) км 0,0-2,400</t>
  </si>
  <si>
    <t>Подъезд к кладбищу № 1 д. Затишье от а/д Н-11624 Подъезд к д. Затишье от а/д Н-10000 Белыничи–Шклов (до а/д Р-77 Шклов–Белыничи (через Пригани 2)) км 0,0-0,290</t>
  </si>
  <si>
    <t>Подъезд к кладбищу № 2 д. Затишье от а/д Н-11624 Подъезд к д. Затишье от а/д Н-10000 Белыничи–Шклов (до а/д Р-77 Шклов–Белыничи (через Пригани 2)) км 0,0-0,517</t>
  </si>
  <si>
    <t>Подъезд к д. Толкачи от а/д Н-10000 Белыничи–Шклов (до а/д Р-77 Шклов–Белыничи (через Пригани 2)) км 0,0-2,000</t>
  </si>
  <si>
    <t>Подъезд к д. Большие Лозицы от а/д Н-10000 Белыничи–Шклов (до а/д Р-77 Шклов–Белыничи (через Пригани 2)) км 0,0-2,000</t>
  </si>
  <si>
    <t>Подъезд к кладбищу № 1 д. Большие Лозицы от а/д Н-11628 Подъезд к д. Большие Лозицы от а/д Н-10000 Белыничи–Шклов (до а/д Р-77 Шклов–Белыничи (через Пригани 2)) км 0,0-0,400</t>
  </si>
  <si>
    <t>Подъезд к д. Мерчь от а/д Н-10000 Белыничи–Шклов (до а/д Р-77 Шклов–Белыничи (через Пригани 2)) км 0,0-1,500</t>
  </si>
  <si>
    <t>Подъезд к кладбищу д. Малые Лозицы от а/д Н-10000 Белыничи–Шклов (до а/д Р-77 Шклов–Белыничи (через Пригани 2)) км 0,0-0,400</t>
  </si>
  <si>
    <t>Подъезд к кладбищу № 2 д. Большие Лозицы от а/д Н-11628 Подъезд к д. Большие Лозицы от а/д Н-10000 Белыничи–Шклов (до а/д Р-77 Шклов–Белыничи (через Пригани 2)) км 0,0-0,800</t>
  </si>
  <si>
    <t>Подъезд к кладбищу д. Толкачи от а/д Н-10000 Белыничи–Шклов (до а/д Р-77 Шклов–Белыничи (через Пригани 2)) км 0,0-1,300</t>
  </si>
  <si>
    <t>Сурды (от а/д Р-26 Толочин–Круглое–Вишов)–Новоселки–Малые Лозицы км 12,897-14,855</t>
  </si>
  <si>
    <t>Добрейка– железнодорожная станция Лотва–Старая Водва–Моисеенки км 0,0-19,732</t>
  </si>
  <si>
    <t>Подъезд к п. Красный Луч от а/д Н-11578 Добрейка– железнодорожная станция Лотва–Старая Водва–Моисеенки км 0,0-0,700</t>
  </si>
  <si>
    <t>Подъезд к садоводческому товариществу ''Надзея'' от а/д Н-11578 Добрейка–железнодорожная станция Лотва-Старая Водва-Моисеенки км 0,0-0,700</t>
  </si>
  <si>
    <t>Подъезд к садоводческому товариществу ''Филатово'' от а/д Н-11578 Добрейка–железнодорожная станция Лотва-Старая Водва-Моисеенки км 0,0-1,200</t>
  </si>
  <si>
    <t>Подъезд к кладбищу д. Моисеенки от а/д Н-11578 Добрейка–железнодорожная станция Лотва-Старая Водва-Моисеенки км 0,0-0,200</t>
  </si>
  <si>
    <t>Подъезд к кладбищу д. Новая Водва от а/д Н-11578 Добрейка–железнодорожная станция Лотва-Старая Водва-Моисеенки км 0,0-0,500</t>
  </si>
  <si>
    <t>Плещицы (от а/д М-8/Е 95 Граница Российской Федерации (Езерище)–Витебск–Гомель–граница Украины (Новая Гута))–Ничипоровичи–Саськовка–Фащевка  км 0,0- 24,173</t>
  </si>
  <si>
    <t>Подъезд к д. Саськовка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 км 0,0-1,318</t>
  </si>
  <si>
    <t>Подъезд к д. Плещицы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 км 0,0-1,500</t>
  </si>
  <si>
    <t>Подъезд к кладбищу д. Черепы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км 0,0-0,100</t>
  </si>
  <si>
    <t>Подъезд к кладбищу д. Николаевка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км 0,0-1,000</t>
  </si>
  <si>
    <t>Подъезд к кладбищу № 5 д. Плещицы от а/д Н-11655 Подъезд к д. Плещицы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км 0,0-0,550</t>
  </si>
  <si>
    <t>Подъездная дорога к оздоровительному лагерю «Родник» 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 км 0,0-2,575</t>
  </si>
  <si>
    <t>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0,0-9,780</t>
  </si>
  <si>
    <t>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0,0-4,900</t>
  </si>
  <si>
    <t>Подъезд к д. Заполье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0,0-2,000</t>
  </si>
  <si>
    <t>Подъезд к кладбищу д. Заполье от а/д Н-11668 Подъезд к д. Заполье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0,0-0,200</t>
  </si>
  <si>
    <t>Подъезд к д. Пронцевка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0,0-5,000</t>
  </si>
  <si>
    <t>Подъезд к кладбищу д. Пронцевка от а/д Н-11670 Подъезд к д. Пронцевка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0,0-0,200</t>
  </si>
  <si>
    <t>Подъезд к кладбищу аг. Малые Словени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0,0-0,300</t>
  </si>
  <si>
    <t>Подъезд к д. Волосовичи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0,0-0,800</t>
  </si>
  <si>
    <t>Дубровка 1 (от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Гута))–Ничипоровичи–Саськовка–Фащевка)–Ничипоровичи км 0,0-4,674</t>
  </si>
  <si>
    <t>Подъезд к кладбищу д. Ничипоровичи от а/д Н-11592 Дубровка 1 (от а/д Н-11579 Плещицы (от а/д М-8/Е 95 Граница Российской Федерации (Езерище)–Витебск–Гомель–граница Украины (Новая Гута))–Ничипоровичи–Саськовка–Фащевка)–Ничипоровичи км 0,0-0,350</t>
  </si>
  <si>
    <t>Окуневка (от а/д Р-70 Княжицы–Горки–Ленино–граница Российской Федерации (Дружная))–Малые Слижи км 0,0-9,932</t>
  </si>
  <si>
    <t>Подъезд к д. Новые Слижи от а/д Н-11593 Окуневка (от а/д Р-70 Княжицы–Горки–Ленино–граница Российской Федерации (Дружная))–Малые Слижи км 0,0-4,900</t>
  </si>
  <si>
    <t>Подъезд к кладбищу д. Слижи от а/д Н-11699 Подъезд к д. Новые Слижи от а/д Н-11593 Окуневка (от а/д Р-70 Княжицы–Горки–Ленино–граница Российской Федерации (Дружная))–Малые Слижи км 0,0-0,700</t>
  </si>
  <si>
    <t>Подъезд к д. Рудня от а/д Н-11593 Окуневка (от а/д Р-70 Княжицы–Горки–Ленино–граница Российской Федерации (Дружная))–Малые Слижи км 0,0-0,800</t>
  </si>
  <si>
    <t>Подъезд к кладбищу д. Рудня от а/д Н-11701 Подъезд к д. Рудня от а/д Н-11593 Окуневка (от а/д Р-70 Княжицы–Горки–Ленино–граница Российской Федерации (Дружная))–Малые Слижи км 0,0-0,760</t>
  </si>
  <si>
    <t>Подъезд к д. Большие Слижи от а/д Н-11593 Окуневка (от а/д Р-70 Княжицы–Горки–Ленино–граница Российской Федерации (Дружная))–Малые Слижи км 0,0-1,100</t>
  </si>
  <si>
    <t>Подъезд к кладбищу д. Малые Слижи от а/д Н-11593 Окуневка (от а/д Р-70 Княжицы–Горки–Ленино–граница Российской Федерации (Дружная))–Малые Слижи км 0,0-1,500</t>
  </si>
  <si>
    <t>Подъезд к кладбищу аг. Окуневка от а/д Н-11593 Окуневка (от а/д Р-70 Княжицы–Горки–Ленино–граница Российской Федерации (Дружная))–Малые Слижи км 0,0-0,800</t>
  </si>
  <si>
    <t>Слабодка (от а/д Р-76 Орша–Шклов–Могилев)–Богушовка (до а/д Р-76 Орша–Шклов–Могилев) км 0,0-7,553</t>
  </si>
  <si>
    <t>Подъезд к д. Малый Межник от а/д Н-11594 Слабодка (от а/д Р-76 Орша–Шклов–Могилев)–Богушовка (до а/д Р-76 Орша–Шклов–Могилев) км 0,0-1,900</t>
  </si>
  <si>
    <t>Даньковичи– железнодорожная станция Рыжковичи (до а/д Р-77 Шклов–Белыничи (через Пригани 2)) км 0,0-7,960</t>
  </si>
  <si>
    <t>Подъезд к д. Городянка от а/д Н-11595 Даньковичи– железнодорожная станция Рыжковичи (до а/д Р-77 Шклов–Белыничи (через Пригани 2)) км 0,0-2,093</t>
  </si>
  <si>
    <t>Подъезд к садоводческому товариществу «Свитанок-3» при открытом акционерном обществе «Моготекс» от а/д Н-11708 Подъезд к д. Городянка от а/д Н-11595 Даньковичи– железнодорожная станция Рыжковичи (до а/д Р-77 Шклов–Белыничи (через Пригани 2)) км 0,0-1,006</t>
  </si>
  <si>
    <t>Подъезд к площадке для складирования и отправки по железной дороге песчано-гравийной смеси и песка, добываемых на карьере «Дубровка» от а/д Н-11595 Даньковичи– железнодорожная станция Рыжковичи (до а/д Р-77 Шклов–Белыничи (через Пригани 2)) км 0,0-1,200</t>
  </si>
  <si>
    <t>Подъезд к кладбищу д. Даньковичи от а/д Н-11595 Даньковичи– железнодорожная станция Рыжковичи (до а/д Р-77 Шклов–Белыничи (через Пригани 2)) км 0,0-0,600</t>
  </si>
  <si>
    <t>Шнаровка–Ганцевичи (до а/д Н-10000 Белыничи–Шклов (до а/д Р-77 Шклов–Белыничи (через Пригани 2))) км 0,0-7,925</t>
  </si>
  <si>
    <t>Подъезд к кладбищу д. Лоповичи от а/д Н-11596 Шнаровка–Ганцевичи (до а/д Н-10000 Белыничи–Шклов (до а/д Р-77 Шклов–Белыничи (через Пригани 2))) км 0,0-1,500</t>
  </si>
  <si>
    <t>Подъезд к кладбищу д. Шнаровка от а/д Н-11596 Шнаровка–Ганцевичи (до а/д Н-10000 Белыничи–Шклов (до а/д Р-77 Шклов–Белыничи (через Пригани 2))) км 0,0-0,950</t>
  </si>
  <si>
    <t>Подъезд к д. Поповцы от а/д Н-11596 Шнаровка–Ганцевичи (до а/д Н-10000 Белыничи–Шклов (до а/д Р-77 Шклов–Белыничи (через Пригани 2))) км 0,0-0,800</t>
  </si>
  <si>
    <t>Подъезд к кладбищу д. Поповцы от а/д Н-11596 Шнаровка–Ганцевичи (до а/д Н-10000 Белыничи–Шклов (до а/д Р-77 Шклов–Белыничи (через Пригани 2))) км 0,0-0,200</t>
  </si>
  <si>
    <t>Подъезд к кладбищу д. Ганцевичи от а/д Н-11596 Шнаровка–Ганцевичи (до а/д Н-10000 Белыничи–Шклов (до а/д Р-77 Шклов–Белыничи (через Пригани 2))) км 0,0-0,200</t>
  </si>
  <si>
    <t>Троица (от а/д Н-11580 Калиновка–Черноручье–Говяды)–Каменка км 0,0-2,730</t>
  </si>
  <si>
    <t>Подъезд к кладбищу д. Каменка от а/д Н-11598 Троица (от а/д Н-11580 Калиновка–Черноручье–Говяды)–Каменка км 0,0-0,270</t>
  </si>
  <si>
    <t>Малое Замошье (от а/д Р-76 Орша–Шклов–Могилев)–Большое Замошье км 0,0-3,376</t>
  </si>
  <si>
    <t>Подъезд к кладбищу д. Большое Замошье от а/д Н-11604 Малое Замошье (от а/д Р-76 Орша–Шклов–Могилев)–Большое Замошье км 0,0-1,000</t>
  </si>
  <si>
    <t>Подъезд к кладбищу д. Малое Замошье от а/д Н-11604 Малое Замошье (от а/д Р-76 Орша–Шклов–Могилев)–Большое Замошье км 0,0-0,400</t>
  </si>
  <si>
    <t>Подъезд № 2 к д. Грамоки от а/д Н-11727 Подъезд № 1 к д. Грамоки от а/д Н-11608 Ордать–Рудицы–Займище–Дивново км 0,0-0,320</t>
  </si>
  <si>
    <t>Сметаничи (от а/д Н-11580 Калиновка–Черноручье–Говяды) км 0,0-4,480</t>
  </si>
  <si>
    <t>Подъезд к кладбищу д. Сметаничи от а/д Н-11620 Сметаничи (от а/д Н-11580 Калиновка–Черноручье–Говяды) км 0,0-1,100</t>
  </si>
  <si>
    <t>Подъезд к кладбищу д. Старое Бращино от а/д Р-121 Шклов–Круглое км 0,0-0,800</t>
  </si>
  <si>
    <t>Подъезд к базе дорожного ремонтно-строительного управления  № 175 от а/д Р-76 Орша–Шклов–Могилев км 0,0-1,300</t>
  </si>
  <si>
    <t>Подъезд к садоводческому товариществу «Днепр» от а/д Н-11799 Подъезд к базе дорожного ремонтно-строительного управления  № 175 от а/д Р-76 Орша–Шклов–Могилев км 0,0-2,040</t>
  </si>
  <si>
    <t>Подъезд к аг. Александрия от а/д Р-76 Орша–Шклов–Могилев км 0,0-1,800</t>
  </si>
  <si>
    <t>Подъезд к кладбищу д. Большие Овчиненки от а/д Р-77 Шклов–Белыничи (через Пригани 2) км 0,0-0,750</t>
  </si>
  <si>
    <t>Подъезд к Свято-Вознесенскому православному женскому монастырю возле аг. Борколабово от а/д Р-97 Могилев–Быхов–Рогачев км 0,0-0,386</t>
  </si>
  <si>
    <t>Подъезд к д. Турчанка от а/д Н-10602 Станция Несета–Старый Остров–Закорки 1–Закорки 2 км 0,0-3,100</t>
  </si>
  <si>
    <t>Подъезд к д. Масницкое от а/д Н-10602 Станция Несета–Старый Остров–Закорки 1–Закорки 2 км 0,0-1,050</t>
  </si>
  <si>
    <t>Подъезд к кладбищу аг. Старый Остров от а/д Н-10602 Станция Несета–Старый Остров–Закорки 1 – Закорки 2 км 0,0-2,000</t>
  </si>
  <si>
    <t>Подъезд к кладбищу д. Октябрьск от а/д Н-10602 Станция Несета–Старый Остров–Закорки 1– Закорки 2 км 0,0-0,300</t>
  </si>
  <si>
    <t>Подъезд к кладбищу д. Станция Несета от а/д Н-10602 Станция Несета–Старый Остров–Закорки 1 – Закорки 2 км 0,0-0,100</t>
  </si>
  <si>
    <t>Подъезд к кладбищу д. Черевач от а/д Н-10602 Станция Несета–Старый Остров–Закорки 1 – Закорки 2 км 0,0-0,100</t>
  </si>
  <si>
    <t>Н-12748</t>
  </si>
  <si>
    <t>км 5,800-9,932</t>
  </si>
  <si>
    <t>Подъезд к д. Кузьковичи от а/д Н-10151 Воронино-Трилесино-Бовки км 0,0-3,756</t>
  </si>
  <si>
    <t>км 1,686-2,194</t>
  </si>
  <si>
    <t>км 2,194-2,507</t>
  </si>
  <si>
    <t>км 0,0-0,013 обслуживается РУП "Могилевавтодор" (съезд Р-120)</t>
  </si>
  <si>
    <t>км 0,013-1,393</t>
  </si>
  <si>
    <t>км 1,393-1,686</t>
  </si>
  <si>
    <t>км 2,507-2,800</t>
  </si>
  <si>
    <t>км 2,800-4,704</t>
  </si>
  <si>
    <t>км 4,704-5,870</t>
  </si>
  <si>
    <t>км 5,870-6,326</t>
  </si>
  <si>
    <t>км 6,326-6,994</t>
  </si>
  <si>
    <t>км 2,460-4,916</t>
  </si>
  <si>
    <t>км 4,916-5,828</t>
  </si>
  <si>
    <t>км 5,828-7,075</t>
  </si>
  <si>
    <t>км 0,018-2,460</t>
  </si>
  <si>
    <t>км 0,0-0,018 обслуживается РУП "Могилевавтодор" (съезд Р-120)</t>
  </si>
  <si>
    <t>км 0,0-0,038 обслуживается РУП "Могилевавтодор" (съезд от а/д Р-120)</t>
  </si>
  <si>
    <t>км 24,375-24,606</t>
  </si>
  <si>
    <t>км 34,514-34,532 обслуживается РУП "Могилевавтодор" (съезд от а/д Р-120)</t>
  </si>
  <si>
    <t>км 22,042-22,069 обслуживается РУП "Могилевавтодор" (пересечение с а/д Р-93)</t>
  </si>
  <si>
    <t>км 22,069-22,955</t>
  </si>
  <si>
    <t>км 22,955-24,375</t>
  </si>
  <si>
    <t>км 32,223-34,503</t>
  </si>
  <si>
    <t>км 34,503-34,514</t>
  </si>
  <si>
    <t>км 16,144-16,242</t>
  </si>
  <si>
    <t>км 16,242-17,133</t>
  </si>
  <si>
    <t>км 17,133-22,042</t>
  </si>
  <si>
    <t>км 0,038-16,242</t>
  </si>
  <si>
    <t>км 28,973-32,223</t>
  </si>
  <si>
    <t>км 24,606-28,973</t>
  </si>
  <si>
    <t>км 0,0-0,040 обслуживается РУП "Могилевавтодор" (съезд от а/д М-8/Е 95)</t>
  </si>
  <si>
    <t>км 0,040-0,609</t>
  </si>
  <si>
    <t>км 0,609-7,313</t>
  </si>
  <si>
    <t>км 7,313-8,297</t>
  </si>
  <si>
    <t>км 8,297-9,980</t>
  </si>
  <si>
    <t>км 0,0-4,680</t>
  </si>
  <si>
    <t>км 4,680-8,944</t>
  </si>
  <si>
    <t>км 8,944-12,758</t>
  </si>
  <si>
    <t>км 1,200-2,197</t>
  </si>
  <si>
    <t>км 0,050-0,845</t>
  </si>
  <si>
    <t>км 0,845-1,200</t>
  </si>
  <si>
    <t>км 2,197-2,500</t>
  </si>
  <si>
    <t>км 0,770-2,153</t>
  </si>
  <si>
    <t>км 0,0-0,212</t>
  </si>
  <si>
    <t>км 0,212-1,951</t>
  </si>
  <si>
    <t>км 1,951-1,975</t>
  </si>
  <si>
    <t>км 1,975-2,081</t>
  </si>
  <si>
    <t>км 2,081-3,440</t>
  </si>
  <si>
    <t>км 1,500-15,063</t>
  </si>
  <si>
    <t>км 1,100-6,911</t>
  </si>
  <si>
    <t>км 0,0-4,450</t>
  </si>
  <si>
    <t>км 4,450-5,810</t>
  </si>
  <si>
    <t>км 5,005-13,718</t>
  </si>
  <si>
    <t>км 0,400-1,000</t>
  </si>
  <si>
    <t>км 1,000-2,400</t>
  </si>
  <si>
    <t>км 3,000-6,020</t>
  </si>
  <si>
    <t>км 2,740-3,000</t>
  </si>
  <si>
    <t xml:space="preserve"> км 4,334-6,837</t>
  </si>
  <si>
    <t>км 1,049-5,370</t>
  </si>
  <si>
    <t>км 8,900-11,900</t>
  </si>
  <si>
    <t>км 6,920-8,900</t>
  </si>
  <si>
    <t>км 0,900-4,640</t>
  </si>
  <si>
    <t>км 7,352-8,552</t>
  </si>
  <si>
    <t>км 1,419-7,352</t>
  </si>
  <si>
    <t>км 14,640-17,539</t>
  </si>
  <si>
    <t>км 0,0-6,300</t>
  </si>
  <si>
    <t>км 6,300-9,290</t>
  </si>
  <si>
    <t>км 12,930-16,330</t>
  </si>
  <si>
    <t>км 16,330-18,915</t>
  </si>
  <si>
    <t>км 0,0-2,578</t>
  </si>
  <si>
    <t>км 2,578-5,604</t>
  </si>
  <si>
    <t>км 5,604-6,385</t>
  </si>
  <si>
    <t>км 11,800-17,700</t>
  </si>
  <si>
    <t>км 10,720-11,800</t>
  </si>
  <si>
    <t>км 1,330-2,733</t>
  </si>
  <si>
    <t>км 0,0-0,015 обслуживается РУП "Могилевавтодор" (съезд Р-140)</t>
  </si>
  <si>
    <t>км 0,015-0,858</t>
  </si>
  <si>
    <t>Радионовка–Красная Слобода км 0,0-1,000</t>
  </si>
  <si>
    <t>км 3,350-4,150</t>
  </si>
  <si>
    <t>км 4,150-11,010</t>
  </si>
  <si>
    <t>км 0,0-4,886</t>
  </si>
  <si>
    <t>км 4,886-7,430</t>
  </si>
  <si>
    <t>км 7,430-8,730</t>
  </si>
  <si>
    <t>км 0,986-1,100</t>
  </si>
  <si>
    <t>ул гр 0,1-0,5</t>
  </si>
  <si>
    <t>Обидовичи-Искань-Поляниновичи км 0,0-13,236</t>
  </si>
  <si>
    <t>Быхов–Городец–Золотва–Болонов-Селец–Средне-Крушниковский–Твердово км 0,0-34,532</t>
  </si>
  <si>
    <t>Рыжковка-Давыдовичи-Лисичник-Красный Осовец км 0,0-12,758</t>
  </si>
  <si>
    <t>Городец-Студенка-Глухи-Ямище км 0,0-16,558</t>
  </si>
  <si>
    <t>Мокрое (от а/д Р-120 Быхов–Белыничи)–Малиновка км 0,0-7,075</t>
  </si>
  <si>
    <t>Красная Слобода-Липовка-Хачинка км 0,0-8,956</t>
  </si>
  <si>
    <t>Кучин-Краснополье-Твердово км 0,0-6,994</t>
  </si>
  <si>
    <t>км 0,015-4,154</t>
  </si>
  <si>
    <t>км 4,154-8,758</t>
  </si>
  <si>
    <t>км 8,758-12,022</t>
  </si>
  <si>
    <t>км 12,022-12,312</t>
  </si>
  <si>
    <t>км 12,312-12,853</t>
  </si>
  <si>
    <t>Сидоровичи-Махово км 0,0-9,982</t>
  </si>
  <si>
    <t>Махово-Холмы-Липец-Махово км 0,0-9,347</t>
  </si>
  <si>
    <t>Вейно-Новоселки км 0,0-3,057</t>
  </si>
  <si>
    <t>Полна-Шилов Угол км 0,0-2,475</t>
  </si>
  <si>
    <t>Сухари-Зарестье-Супоничи-Маковня-Русинка км 0,0-21,620</t>
  </si>
  <si>
    <t>Подгорье-Сидоровка км 0,0-4,833</t>
  </si>
  <si>
    <t>Малое Бушково-Большое Бушково-Зарестье-Тетеревник-Макрусинка км 0,0-12,049</t>
  </si>
  <si>
    <t>Сухари-Хорошки-Рики км 0,0-4,419</t>
  </si>
  <si>
    <t>Качурино-Каменка км 0,0-3,726</t>
  </si>
  <si>
    <t>Кадино-Романовичи км 0,0-3,604</t>
  </si>
  <si>
    <t>Коркать-Новая Нива км 0,0-5,826</t>
  </si>
  <si>
    <t>Тишовка-Михалёво-Вендорож км 0,0-15,265</t>
  </si>
  <si>
    <t>Подъезд к д. Зелёная Слобода от а/д Н-11003 Тишовка-Михалёво-Вендорож км 0,0-8,730</t>
  </si>
  <si>
    <t>Буйничи-Тишовка-Севостьяновичи-Сеньково-Ильинка км 0,0-19,593</t>
  </si>
  <si>
    <t>км 10,777-11,213 транзит по г. Могилева (улица Крупской) обслуживается организацией жилищно-коммунального хозяйства</t>
  </si>
  <si>
    <t>Княжицы-Браково-Толпечицы км 0,0-11,391</t>
  </si>
  <si>
    <t>Дашковка-Бовшево-Досова Селиба км 0,0-12,824</t>
  </si>
  <si>
    <t>Никитиничи-Щеглица-Песчанка км 0,0-9,608</t>
  </si>
  <si>
    <t>Коминтерн-Березовка км 0,0-2,289</t>
  </si>
  <si>
    <t>Браково-Булыжицы км 0,0-4,627</t>
  </si>
  <si>
    <t>Веккер-Тумановка км 0,0-4,356</t>
  </si>
  <si>
    <t>км 0,0-0,015 обслуживается РУП "Могилевавтодор" (съезд Р-120)</t>
  </si>
  <si>
    <t>км 0,0-0,014 обслуживается РУП "Могилевавтодор" (съезд Р-93)</t>
  </si>
  <si>
    <t>км 0,014-0,063</t>
  </si>
  <si>
    <t>км 0,063-1,994</t>
  </si>
  <si>
    <t>км 7,181-7,272</t>
  </si>
  <si>
    <t>км 7,272-8,514</t>
  </si>
  <si>
    <t>км 8,514-9,807</t>
  </si>
  <si>
    <t>км 9,807-12,022</t>
  </si>
  <si>
    <t>км 12,022-16,390</t>
  </si>
  <si>
    <t>км 16,390-16,400</t>
  </si>
  <si>
    <t>км 1,994-7,181</t>
  </si>
  <si>
    <t>км 0,0-0,051 обслуживается РУП "Могилевавтодор" (съезд Р-62)</t>
  </si>
  <si>
    <t>км 6,501-6,519 обслуживается РУП "Могилевавтодор" (съезд Р-62)</t>
  </si>
  <si>
    <t>км 0,051-3,408</t>
  </si>
  <si>
    <t>км 3,408-4,393</t>
  </si>
  <si>
    <t>км 4,393-6,447</t>
  </si>
  <si>
    <t>км 6,447-6,501</t>
  </si>
  <si>
    <t>км 1,902-2,305 транзит по г. Кличев обслуживается филиалом КУП "Могилевоблдорстрой" - ДРСУ № 126</t>
  </si>
  <si>
    <t>км 27,992-31,287</t>
  </si>
  <si>
    <t>км 31,287-32,230</t>
  </si>
  <si>
    <t>км 32,230-35,215</t>
  </si>
  <si>
    <t>км 22,025-22,060 обслуживается РУП "Могилевавтодор" (съезды и пересечение а/д Р-62)</t>
  </si>
  <si>
    <t>км 22,060-27,992</t>
  </si>
  <si>
    <t>км 5,295-5,379</t>
  </si>
  <si>
    <t>км 5,379-11,143</t>
  </si>
  <si>
    <t>км 0,0-0,129</t>
  </si>
  <si>
    <t>км 0,129-4,455</t>
  </si>
  <si>
    <t>км 4,455-4,551</t>
  </si>
  <si>
    <t>км 4,551-5,295</t>
  </si>
  <si>
    <t>км 11,143-13,052</t>
  </si>
  <si>
    <t>км 0,0-0,204</t>
  </si>
  <si>
    <t>км 1,714-3,014</t>
  </si>
  <si>
    <t>км 0,0-1,318</t>
  </si>
  <si>
    <t>км 1,318-1,967</t>
  </si>
  <si>
    <t>Подъезд к д. Малая Ольса от а/д Р-62 Чашники-Бобр-Бобруйск (через Кличев) км 0,0-0,605</t>
  </si>
  <si>
    <t>км 13,052-13,067 обслуживается РУП "Могилевавтодор" (съезды от а/д Р-96)</t>
  </si>
  <si>
    <t>км 0,0-0,016 обслуживается РУП "Могилевавтодор" (съезд Р-62)</t>
  </si>
  <si>
    <t>км 0,016-0,044</t>
  </si>
  <si>
    <t>км 0,044-0,589</t>
  </si>
  <si>
    <t>км 0,589-0,605</t>
  </si>
  <si>
    <t>Мирогощь-Горки км 0,0-1,574</t>
  </si>
  <si>
    <t>Н-11637</t>
  </si>
  <si>
    <t>Подъезд к аг. Буйничи от а/д Р-93 Могилев-Бобруйск км 0,0-2,044</t>
  </si>
  <si>
    <t>км 0,0-0,020 обслуживается РУП "Могилевавтодор" (съезд Р-93)</t>
  </si>
  <si>
    <t>км 0,020-0,562</t>
  </si>
  <si>
    <t>км 0,562-2,044</t>
  </si>
  <si>
    <t>км 0,0-0,012 обслуживается РУП "Могилевавтодор" (съезд Р-43)</t>
  </si>
  <si>
    <t>км 0,012-1,011</t>
  </si>
  <si>
    <t>км 5,750-5,802</t>
  </si>
  <si>
    <t>км 5,802-6,338</t>
  </si>
  <si>
    <t>км 6,338-6,390 обслуживается РУП "Могилевавтодор" (съезд Р-43)</t>
  </si>
  <si>
    <t>км 1,011-3,776</t>
  </si>
  <si>
    <t>км 3,776-4,355</t>
  </si>
  <si>
    <t>км 4,355-5,750</t>
  </si>
  <si>
    <t>км 0,025-0,402</t>
  </si>
  <si>
    <t>км 0,402-0,439</t>
  </si>
  <si>
    <t>км 0,439-0,558</t>
  </si>
  <si>
    <t>км 0,558-0,605</t>
  </si>
  <si>
    <t>км 0,605-0,707</t>
  </si>
  <si>
    <t>км 0,707-2,296</t>
  </si>
  <si>
    <t>км 2,296-6,180</t>
  </si>
  <si>
    <t>км 0,0-0,025 обслуживается РУП "Могилевавтодор" (съезд Р-71)</t>
  </si>
  <si>
    <t>км 1,972-2,900</t>
  </si>
  <si>
    <t>км 0,0-0,013 обслуживается РУП "Могилевавтодор" (съезд Р-43)</t>
  </si>
  <si>
    <t>км 0,0-0,589</t>
  </si>
  <si>
    <t>км 0,589-1,495</t>
  </si>
  <si>
    <t>км 0,0-0,808</t>
  </si>
  <si>
    <t>км 0,808-6,282</t>
  </si>
  <si>
    <t>км 6,282-7,117 совмещен с Р-34 Осиповичи-Глуск-Озаричи</t>
  </si>
  <si>
    <t>км 7,117-10,522</t>
  </si>
  <si>
    <t>км 10,522-12,040</t>
  </si>
  <si>
    <t>км 12,631-12,682</t>
  </si>
  <si>
    <t>км 12,682-14,303</t>
  </si>
  <si>
    <t>км 14,303-14,318</t>
  </si>
  <si>
    <t>км 12,040,0-12,631</t>
  </si>
  <si>
    <t>км 0,014-3,242</t>
  </si>
  <si>
    <t>км 3,242-4,331</t>
  </si>
  <si>
    <t>км 4,331-5,076</t>
  </si>
  <si>
    <t>км 0,1,400-1,960 совмещен с Н-10835 Красная Буда– железнодорожная станция Кричев-2</t>
  </si>
  <si>
    <t xml:space="preserve"> км 1,960-2,591</t>
  </si>
  <si>
    <t xml:space="preserve"> км 2,591-2,972</t>
  </si>
  <si>
    <t xml:space="preserve"> км 2,972-3,271</t>
  </si>
  <si>
    <t xml:space="preserve"> км 3,271-3,620</t>
  </si>
  <si>
    <t xml:space="preserve"> км 3,620-4,447</t>
  </si>
  <si>
    <t xml:space="preserve"> км 4,447-5,279</t>
  </si>
  <si>
    <t xml:space="preserve"> км 5,279-6,075</t>
  </si>
  <si>
    <t xml:space="preserve"> км 6,075-9,787</t>
  </si>
  <si>
    <t xml:space="preserve"> км 9,787-11,830</t>
  </si>
  <si>
    <t xml:space="preserve"> км 11,830-14,340</t>
  </si>
  <si>
    <t xml:space="preserve"> км 14,340-14,908</t>
  </si>
  <si>
    <t xml:space="preserve"> км 14,908-15,341</t>
  </si>
  <si>
    <t xml:space="preserve"> км 15,341-15,960</t>
  </si>
  <si>
    <t xml:space="preserve"> км 15,960-17,464</t>
  </si>
  <si>
    <t xml:space="preserve"> км 1,375-1,400</t>
  </si>
  <si>
    <t>км 0,0-4,975</t>
  </si>
  <si>
    <t>км 4,975-4,993</t>
  </si>
  <si>
    <t>км 4,993-7,450</t>
  </si>
  <si>
    <t>км 0,013-0,022</t>
  </si>
  <si>
    <t>км 0,022-1,972</t>
  </si>
  <si>
    <t>км 2,600-2,794</t>
  </si>
  <si>
    <t>км 0,204-1,308</t>
  </si>
  <si>
    <t>км 1,308-1,714</t>
  </si>
  <si>
    <t>км 0,300-0,620</t>
  </si>
  <si>
    <t>км 0,0-3,223</t>
  </si>
  <si>
    <t>км 0,0-0,053 обслуживается РУП "Могилевавтодор" (съезд Р-43)</t>
  </si>
  <si>
    <t>км 0,053-16,360</t>
  </si>
  <si>
    <t>км 31,527-31,549 обслуживается РУП "Могилевавтодор" (съезд Р-138)</t>
  </si>
  <si>
    <t>км 22,130-31,527</t>
  </si>
  <si>
    <t>км 3,223-6,082</t>
  </si>
  <si>
    <t>км 6,082-8,519</t>
  </si>
  <si>
    <t>км 8,519-12,200</t>
  </si>
  <si>
    <t>км 12,200-13,230</t>
  </si>
  <si>
    <t>км 13,230-17,749</t>
  </si>
  <si>
    <t>госакт как Осиповичи-Замошье-Лучицы-Октябрь</t>
  </si>
  <si>
    <t>госакта нет</t>
  </si>
  <si>
    <t xml:space="preserve">км 0,0-0,700 совмещен с автомобильной дорогой необщего пользования </t>
  </si>
  <si>
    <t xml:space="preserve">Протяженность автомобильных дорог филиала КУП "Могилевоблдорстрой" - ДРСУ № 170 г. Белыничи </t>
  </si>
  <si>
    <t xml:space="preserve">Протяженность автомобильных дорог  филиала КУП "Могилевоблдорстрой" - ДРСУ № 171 г. Бобруйск </t>
  </si>
  <si>
    <t xml:space="preserve">Протяженность автомобильных дорог  филиала КУП "Могилевоблдорстрой" - ДРСУ № 196 г. Быхов </t>
  </si>
  <si>
    <t xml:space="preserve"> Протяженность автомобильных дорог  филиала КУП "Могилевоблдорстрой" - ДРСУ № 213 г.п. Глуск</t>
  </si>
  <si>
    <t xml:space="preserve"> Протяженность автомобильных дорог  филиала КУП "Могилевоблдорстрой" - ДРСУ № 127 г. Горки </t>
  </si>
  <si>
    <t xml:space="preserve"> Протяженность автомобильных дорог  филиала КУП "Могилевоблдорстрой" - ДРСУ № 217 г.п. Дрибин</t>
  </si>
  <si>
    <t xml:space="preserve"> Протяженность автомобильных дорог  филиала КУП "Могилевоблдорстрой" - ДРСУ № 172 г. Климовичи</t>
  </si>
  <si>
    <t xml:space="preserve"> Протяженность автомобильных дорог  филиала КУП "Могилевоблдорстрой" - ДРСУ № 197 г. Кировск </t>
  </si>
  <si>
    <t>Протяженность автомобильных дорог филиала КУП "Могилевоблдорстрой" - ДРСУ № 126 г. Кличев</t>
  </si>
  <si>
    <t>Протяженность автомобильных дорог филиала КУП "Могилевоблдорстрой" - ДРСУ № 130 г. Костюковичи</t>
  </si>
  <si>
    <t xml:space="preserve">Протяженность автомобильных дорог филиала КУП "Могилевоблдорстрой" - ДРСУ № 198 г. Кричев </t>
  </si>
  <si>
    <t xml:space="preserve"> Протяженность автомобильных дорог филиала КУП "Могилевоблдорстрой" - ДРСУ №  214 г. Круглое </t>
  </si>
  <si>
    <t>Протяженность автомобильных дорог филиала КУП "Могилевоблдорстрой" - ДРСУ № 128 г. Могилев</t>
  </si>
  <si>
    <t xml:space="preserve">Протяженность автомобильных дорог филиала КУП "Могилевоблдорстрой" - ДРСУ № 174 г. Мстиславль </t>
  </si>
  <si>
    <t xml:space="preserve">Протяженность автомобильных дорог филиала КУП "Могилевоблдорстрой" - ДРСУ № 199 г. Осиповичи </t>
  </si>
  <si>
    <t xml:space="preserve">Протяженность автомобильных дорог филиала КУП "Могилевоблдорстрой" - ДРСУ № 129 г. Cлавгород </t>
  </si>
  <si>
    <t xml:space="preserve"> Протяженность автомобильных дорог филиала КУП "Могилевоблдорстрой" - ДРСУ № 216 г.п. Хотимск</t>
  </si>
  <si>
    <t>Протяженность автомобильных дорог филиала КУП "Могилевоблдорстрой" - ДРСУ № 176 г. Чаусы</t>
  </si>
  <si>
    <t>Протяженность автомобильных дорог филиала КУП "Могилевоблдорстрой" - ДРСУ № 215 г. Чериков</t>
  </si>
  <si>
    <t>Протяженность автомобильных дорог филиала КУП "Могилевоблдорстрой" - ДРСУ № 175 г. Шклов</t>
  </si>
  <si>
    <t>км 0,0-0,011 обслуживается РУП "Могилевавтодор" (съезд от а/д Р-26)</t>
  </si>
  <si>
    <t>км 0,011-5,000</t>
  </si>
  <si>
    <t>км 0,0-0,030 обслуживается РУП "Могилевавтодор" (съезд от а/д Р-77)</t>
  </si>
  <si>
    <t>км 9,525-9,545 обслуживается РУП "Могилевавтодор" (съезд от а/д Р-77)</t>
  </si>
  <si>
    <t>км 0,030-3,265</t>
  </si>
  <si>
    <t>км 3,265-9,479</t>
  </si>
  <si>
    <t>км 9,479-9,525</t>
  </si>
  <si>
    <t>км 0,0-0,022 обслуживается РУП "Могилевавтодор" (съезд от а/д Р-26)</t>
  </si>
  <si>
    <t>км 0,022-3,100</t>
  </si>
  <si>
    <t>км 3,100-3,448</t>
  </si>
  <si>
    <t>км 3,448-4,116</t>
  </si>
  <si>
    <t>км 4,116-9,926</t>
  </si>
  <si>
    <t>км 0,022-3,998</t>
  </si>
  <si>
    <t>км 3,998-7,050</t>
  </si>
  <si>
    <t>км 7,050-7,107</t>
  </si>
  <si>
    <t>км 0,0-0,022 обслуживается РУП "Могилевавтодор" (съезд от транспортной развязки на 162,924 км а/д М-4)</t>
  </si>
  <si>
    <t>км 0,0-0,034 обслуживается РУП "Могилевавтодор" (съезд от а/д Р-77)</t>
  </si>
  <si>
    <t>км 10,249-10,425 совмещен с Р-77 Шклов-Белыничи (через Пригани 2)</t>
  </si>
  <si>
    <t>км 0,034-10,249</t>
  </si>
  <si>
    <t>км 10,425-11,412</t>
  </si>
  <si>
    <t>км 0,0-0,036 обслуживается РУП "Могилевавтодор" (съезд от а/д Р-55)</t>
  </si>
  <si>
    <t>км 8,936-19,031</t>
  </si>
  <si>
    <t>Красная Буда-Дяговичи-Зарубец-Егоровка км 0,0-17,464</t>
  </si>
  <si>
    <t>км 0,0-0,896</t>
  </si>
  <si>
    <t>км 0,896-2,106</t>
  </si>
  <si>
    <t>км 0,020-28,800</t>
  </si>
  <si>
    <t>км 0,0-0,020 обслуживается РУП "Могилевавтодор" (съезд от а/д Р-93)</t>
  </si>
  <si>
    <t>км 0,038-8,218</t>
  </si>
  <si>
    <t>км 0,0-0,038 обслуживается РУП "Могилевавтодор" (съезд от а/д Р-55)</t>
  </si>
  <si>
    <t>км 8,218-8,262 обслуживается РУП "Могилевавтодор" (съезд от а/д Р-55)</t>
  </si>
  <si>
    <t xml:space="preserve">км 3,355-3,651 совмещен с Н-10000 Белыничи–Шклов (до а/д Р-77 Шклов–Белыничи (через Пригани 2))  </t>
  </si>
  <si>
    <t>км 1,480-3,355</t>
  </si>
  <si>
    <t>км 0,0-1,480</t>
  </si>
  <si>
    <t>км 3,651-5,118</t>
  </si>
  <si>
    <t>км 5,118-6,563</t>
  </si>
  <si>
    <t>км 0,0-0,746</t>
  </si>
  <si>
    <t>км 0,746-0,797 совмещен с Р-77 Шклов-Белыничи (через Пригани 2) (пересечение, съезды)</t>
  </si>
  <si>
    <t>км 4,887-5,370</t>
  </si>
  <si>
    <t>км 5,370-5,694</t>
  </si>
  <si>
    <t>км 3,744-4,887</t>
  </si>
  <si>
    <t>км 0,797-3,744</t>
  </si>
  <si>
    <t>км 0,0-1,147</t>
  </si>
  <si>
    <t>км 1,147-1,242</t>
  </si>
  <si>
    <t>км 1,393-2,281 совмещен с М-4 Минск-Могилев (съезд развязки)</t>
  </si>
  <si>
    <t>км 11,204-11,214</t>
  </si>
  <si>
    <t>км 11,214-11,747</t>
  </si>
  <si>
    <t>км 11,747-11,803</t>
  </si>
  <si>
    <t>км 1,242-1,329</t>
  </si>
  <si>
    <t>км 1,329-1,393</t>
  </si>
  <si>
    <t>км 2,281-5,398</t>
  </si>
  <si>
    <t>км 5,398-7,373</t>
  </si>
  <si>
    <t>км 7,373-8,254</t>
  </si>
  <si>
    <t>км 8,254-11,204</t>
  </si>
  <si>
    <t>Подъезд к кладбищу д. Березуйки от а/д Н-11142 Людогощь-Селец-Пирогово км 0,0-0,680</t>
  </si>
  <si>
    <t>Подъезд к д. Погост от а/д Н-10227 Калатичи–Бабирово (до а/д Р-43 Граница Российской Федерации (Звенчатка)–Кричев–Бобруйск–Ивацевичи (до автомобильной дороги Р-2/Е 85)) км 0,0-3,080</t>
  </si>
  <si>
    <t>Подъезд к кладбищу д. Погост от а/д Н-12531 Подъезд к д. Погост от а/д Н-10227 Калатичи–Бабирово (до а/д Р-43 Граница Российской Федерации (Звенчатка)–Кричев–Бобруйск–Ивацевичи (до автомобильной дороги Р-2/Е 85)) км 0,0-0,300</t>
  </si>
  <si>
    <t>Подъезд к кладбищу д. Маковичи от а/д Н-10227 Калатичи–Бабирово (до а/д Р-43 Граница Российской Федерации (Звенчатка)–Кричев–Бобруйск–Ивацевичи (до автомобильной дороги Р-2/Е 85)) км 0,0-0,115</t>
  </si>
  <si>
    <t>Подъезд к д. Красное от а/д Н-10227 Калатичи–Бабирово (до а/д Р-43 Граница Российской Федерации (Звенчатка)–Кричев–Бобруйск–Ивацевичи (до автомобильной дороги Р-2/Е 85)) км 0,0-1,760</t>
  </si>
  <si>
    <t>Подъезд к кладбищу д. Бабирово от а/д Н-10227 Калатичи–Бабирово (до а/д Р-43 Граница Российской Федерации (Звенчатка)–Кричев–Бобруйск–Ивацевичи (до автомобильной дороги Р-2/Е 85)) км 0,0-0,900</t>
  </si>
  <si>
    <t>Подъезды от автодороги Р-140 Славгород (от автомобильной дороги Р-43/П 1)–Краснополье:</t>
  </si>
  <si>
    <t>Н-13543</t>
  </si>
  <si>
    <t>Артюхов-Глыбов км 0,0-2,400</t>
  </si>
  <si>
    <t>Яновка-Передовой км 0,0-3,500</t>
  </si>
  <si>
    <t>Яновка-Галузы км 0,0-3,700</t>
  </si>
  <si>
    <t>Новый Свет-Дубровка-Дерновая км 0,0-3,910</t>
  </si>
  <si>
    <t>Новый Свет-Горенка-Галузы км 0,0-5,000</t>
  </si>
  <si>
    <t>Кожемякино-Федоровка км 0,0-2,300</t>
  </si>
  <si>
    <t>Краснополье–Малые Хуторы км 0,0-7,300</t>
  </si>
  <si>
    <t>Какойск–Козелье км 0,0-6,100</t>
  </si>
  <si>
    <t>Круглое–Славени км 0,0-18,677</t>
  </si>
  <si>
    <t>Подъезд к д. Лыновка от а/д Н-10908 Круглое–Славени км 0,0-0,400</t>
  </si>
  <si>
    <t>Подъезд к д. Казимировка от а/д Н-10908 Круглое–Славени км 0,0-1,630</t>
  </si>
  <si>
    <t>Подъезд № 1 к д. Лаутки от а/д Н-10908 Круглое–Славени км 0,0-1,420</t>
  </si>
  <si>
    <t>Подъезд № 2 к д. Лаутки от а/д Н-13689 Подъезд № 1 к д. Лаутки от а/д Н-10908 Круглое–Славени км 0,0-0,32</t>
  </si>
  <si>
    <t>Подъезд № 1 к кладбищу д. Лаутки от а/д Н-13689 Подъезд № 1 к д. Лаутки от а/д Н-10908 Круглое–Славени км 0,0-0,100</t>
  </si>
  <si>
    <t>Подъезд № 2 к кладбищу д. Лаутки от а/д Н-13776 Подъезд № 2 к д. Лаутки от а/д Н-13689 Подъезд № 1 к д. Лаутки от а/д Н-10908 Круглое–Славени км 0,0-0,462</t>
  </si>
  <si>
    <t>Подъезд к д. Александрово от а/д Н-10908 Круглое–Славени км 0,0-1,270</t>
  </si>
  <si>
    <t>Подъезд к кладбищу д. Александрово от а/д Н-13692 Подъезд к д. Александрово от а/д Н-10908 Круглое–Славени км 0,0-0,300</t>
  </si>
  <si>
    <t>Подъезд к д. Красуля от а/д Н-13693 Подъезд к кладбищу д. Александрово от а/д Н-13692 Подъезд к д. Александрово от а/д Н-10908 Круглое–Славени км 0,0-0,781</t>
  </si>
  <si>
    <t>Подъезд к д. Лысковщина от а/д Н-13692 Подъезд к д. Александрово от а/д Н-10908 Круглое–Славени км 0,0-1,325</t>
  </si>
  <si>
    <t>Подъезд к д. Свобода от а/д Н-10908 Круглое–Славени км 0,0-2,100</t>
  </si>
  <si>
    <t>Подъезд к д. Васильевка от а/д Н-13696 Подъезд к д. Свобода от а/д Н-10908 Круглое–Славени км 0,0-0,580</t>
  </si>
  <si>
    <t>Подъезд к д. Бурневка через д. Скураты от а/д Н-10908 Круглое–Славени км 0,0-3,220</t>
  </si>
  <si>
    <t>Подъезд к кладбищу д. Бурневка от а/д Н-13697 Подъезд к д. Бурневка через д. Скураты от а/д Н-10908 Круглое–Славени км 0,0-0,100</t>
  </si>
  <si>
    <t>Подъезд к кладбищу д. Некрасово от а/д Н-10908 Круглое–Славени км 0,0-0,050</t>
  </si>
  <si>
    <t>Н-13894</t>
  </si>
  <si>
    <t>Подъезд к кладбищу д. Поддубье от а/д Н-11049 Вендорож–Березовка–Поддубье–Александров–Большие Белевичи км 0,0-0,400</t>
  </si>
  <si>
    <t>Подъезд к карьеру «Парадино» от а/д Н-11134 Мстиславль-Парадино км 0,0-1,100</t>
  </si>
  <si>
    <t>Подъезд к д. Журовец от а/д Н-11208 Ясень-Осерёдок-Красное км 0,0-0,800</t>
  </si>
  <si>
    <t>Подъезд к кладбищу д. Татарковичи от а/д Н-11208 Ясень-Осерёдок-Красное км 0,0-0,400</t>
  </si>
  <si>
    <t>Подъезд к кладбищу аг. Ясень от а/д Н-11208 Ясень-Осерёдок-Красное км 0,0-0,800</t>
  </si>
  <si>
    <t>Подъезд к д. Мотовило от а/д Н-11210 Залесье-Осерёдок км 0,0-0,950</t>
  </si>
  <si>
    <r>
      <t>Ясень-Осер</t>
    </r>
    <r>
      <rPr>
        <b/>
        <sz val="12"/>
        <color rgb="FFFF0000"/>
        <rFont val="Times New Roman"/>
        <family val="1"/>
        <charset val="204"/>
      </rPr>
      <t>ё</t>
    </r>
    <r>
      <rPr>
        <b/>
        <sz val="12"/>
        <rFont val="Times New Roman"/>
        <family val="1"/>
        <charset val="204"/>
      </rPr>
      <t>док-Красное км 0,0-14,728</t>
    </r>
  </si>
  <si>
    <t>Подъезд к базе дорожного ремонтно-строительного управления № 199 от улицы Короткой г. Осиповичи км 0,0-1,560</t>
  </si>
  <si>
    <t>Подъезд к кладбищу д. Благодать от а/д Н-14541 Подъезд к д. Благодать от а/д Р-140 Славгород (от автомобильной дороги Р-43/П 1)–Краснополье км 0,0-0,500</t>
  </si>
  <si>
    <t>Подъезд к упраздненной д. Казаковка от а/д Р-140 Славгород (от автомобильной дороги Р-43/П 1)–Краснополье км 0,0-3,000</t>
  </si>
  <si>
    <t>Подъезд к кладбищу упраздненной д. Казаковка от а/д Н-14543 Подъезд к упраздненной д. Казаковка от а/д Р-140 Славгород (от автомобильной дороги Р-43/П 1)–Краснополье км 0,0-0,200</t>
  </si>
  <si>
    <t>Подъезд к кладбищу д. Агеево от а/д Р-140 Славгород (от автомобильной дороги Р-43/П 1)–Краснополье км 0,0-1,800</t>
  </si>
  <si>
    <t>Подъезд к кладбищу д. Дубно от а/д Р-140 Славгород (от автомобильной дороги Р-43/П 1)–Краснополье км 0,0-0,620</t>
  </si>
  <si>
    <t>Подъезд к кладбищу д. Кремянка от а/д Р-140 Славгород (от автомобильной дороги Р-43/П 1)–Краснополье км 0,0-3,800</t>
  </si>
  <si>
    <t>Подъезд к кладбищу д. Старая Каменка от а/д Р-140 Славгород (от автомобильной дороги Р-43/П 1)–Краснополье км 0,0-0,500</t>
  </si>
  <si>
    <t>Подъезд к кладбищу д. Сычин от а/д Р-140 Славгород (от автомобильной дороги Р-43/П 1)–Краснополье км 0,0-0,200</t>
  </si>
  <si>
    <t>Н-14809</t>
  </si>
  <si>
    <t>Гончаровский 62 97 09</t>
  </si>
  <si>
    <r>
      <t>Подъезды от автодороги Р-55 Бобруйск–Глуск–Любань–</t>
    </r>
    <r>
      <rPr>
        <b/>
        <u/>
        <sz val="12"/>
        <color rgb="FFFF0000"/>
        <rFont val="Times New Roman"/>
        <family val="1"/>
        <charset val="204"/>
      </rPr>
      <t>Гулевичи (до автомобильной дороги Р-43)</t>
    </r>
    <r>
      <rPr>
        <b/>
        <u/>
        <sz val="12"/>
        <color indexed="12"/>
        <rFont val="Times New Roman"/>
        <family val="1"/>
        <charset val="204"/>
      </rPr>
      <t>:</t>
    </r>
  </si>
  <si>
    <t>Подъезд к д. Ушлово от а/д Н-10005 Мокровичи-Эсьмоны-Заозерье км 0,0-0,400</t>
  </si>
  <si>
    <t>км 1,750-2,600</t>
  </si>
  <si>
    <t>км 0,0-1,497</t>
  </si>
  <si>
    <t>км 1,497-2,382</t>
  </si>
  <si>
    <t>км 2,382-2,421</t>
  </si>
  <si>
    <t>км 2,421-4,288</t>
  </si>
  <si>
    <t>км 4,288-5,424</t>
  </si>
  <si>
    <t>км 5,424-9,868</t>
  </si>
  <si>
    <t>км 11,610-13,079</t>
  </si>
  <si>
    <t>км 9,868-11,610</t>
  </si>
  <si>
    <t>км 21,875-28,120</t>
  </si>
  <si>
    <t>км 9,290-12,980</t>
  </si>
  <si>
    <t>км 1,382-1,500</t>
  </si>
  <si>
    <t>км  1,500-2,289</t>
  </si>
  <si>
    <t>км 0,91-3,220</t>
  </si>
  <si>
    <t>км 3,220-5,238</t>
  </si>
  <si>
    <t>Подъезд к д. Полетники от а/д Р-71 Могилев-Славгород км 0,0-1,550</t>
  </si>
  <si>
    <t>км 0,800-3,280</t>
  </si>
  <si>
    <t>км 5,000-5,960</t>
  </si>
  <si>
    <t>км 0,900-6,192</t>
  </si>
  <si>
    <t>Костюковичи-Жабыки-Каничи км 0,0-9,800</t>
  </si>
  <si>
    <t>Смольки-Разрытое км 0,0-3,590</t>
  </si>
  <si>
    <t>Боровая-Паньковская Буда км 0,0-6,300</t>
  </si>
  <si>
    <t>Смольковская Буда-Новая Ивановка км 0,0-3,500</t>
  </si>
  <si>
    <t>Алексеевка–Зоевка км 0,0-2,930</t>
  </si>
  <si>
    <t>км 2,589-4,940</t>
  </si>
  <si>
    <t>км 5,341-9,917</t>
  </si>
  <si>
    <t>км 9,935-10,084</t>
  </si>
  <si>
    <t>км 0,0-1,916</t>
  </si>
  <si>
    <t>км 0,0-0,016 обслуживается РУП "Могилевавтодор" (съезд от а/д Р-55)</t>
  </si>
  <si>
    <t>км 0,016-0,776</t>
  </si>
  <si>
    <t>км 0,776-4,597</t>
  </si>
  <si>
    <t>км 4,597-6,024</t>
  </si>
  <si>
    <t>км 6,024-6,773</t>
  </si>
  <si>
    <t>км 6,785-10,236</t>
  </si>
  <si>
    <t>км 10,236-11,169</t>
  </si>
  <si>
    <t>км 11,169-13,311</t>
  </si>
  <si>
    <t>км 13,311-14,321</t>
  </si>
  <si>
    <t>км 14,321-17,951</t>
  </si>
  <si>
    <t>км 17,951-17,970</t>
  </si>
  <si>
    <t>км 17,970-20,415</t>
  </si>
  <si>
    <t>км 20,415-21,562</t>
  </si>
  <si>
    <t>км 6,773-6,785</t>
  </si>
  <si>
    <t>км 0,0-0,023 обслуживается РУП "Могилевавтодор" (съезд от съезда транспортной развязки а/д М-4)</t>
  </si>
  <si>
    <t>км 0,023-5,543</t>
  </si>
  <si>
    <t>км 1,200-1,929</t>
  </si>
  <si>
    <t>км 0,030-1,715</t>
  </si>
  <si>
    <t>км 1,715-2,600</t>
  </si>
  <si>
    <t>Бель-1–Залесье–Дубровка–Ананичи км 0,0-7,250</t>
  </si>
  <si>
    <t>ул гр 0,02-0,28</t>
  </si>
  <si>
    <t>Харьковка-Астрени-Загоренка км 0,0-19,550</t>
  </si>
  <si>
    <t>Подъезд к д. Воложенка от а/д Н-11437 Харьковка-Астрени-Загоренка км 0,0-1,150</t>
  </si>
  <si>
    <t>Подъезд к кладбищу д. Харьковка от а/д Н-11437 Харьковка-Астрени-Загоренка км 0,0-0,590</t>
  </si>
  <si>
    <t>Подъезд к кладбищу д. Астрени от а/д Н-11437 Харьковка-Астрени-Загоренка км 0,0-0,200</t>
  </si>
  <si>
    <t>Подъезд к кладбищу д. Загоренка от а/д Н-11437 Харьковка-Астрени-Загоренка км 0,0-0,480</t>
  </si>
  <si>
    <t>Подъезд к кладбищу д. Броды от а/д Н-11437 Харьковка-Астрени-Загоренка км 0,0-0,260</t>
  </si>
  <si>
    <t>км 0,036-8,936</t>
  </si>
  <si>
    <t>км 12,107-21,734</t>
  </si>
  <si>
    <t>км 22,617-24,000</t>
  </si>
  <si>
    <t>км 24,000-27,148</t>
  </si>
  <si>
    <t>участок 130</t>
  </si>
  <si>
    <t>км 35,215-35,247 обслуживается РУП "Могилевавтодор" (съезд от а/д Р-62)</t>
  </si>
  <si>
    <t>Мокровичи-Эсьмоны-Заозерье км 0,0-15,051</t>
  </si>
  <si>
    <r>
      <t>Искра–Выйлово–Сиваи км 0,0-9</t>
    </r>
    <r>
      <rPr>
        <b/>
        <sz val="12"/>
        <rFont val="Times New Roman"/>
        <family val="1"/>
        <charset val="204"/>
      </rPr>
      <t>,545</t>
    </r>
  </si>
  <si>
    <t>Ермоловичи-Изобище км 0,0-5,543</t>
  </si>
  <si>
    <t>Ермоловичи-Рафолово-Лямница км 0,0-9,926</t>
  </si>
  <si>
    <t>Васильки-Заболотье км 0,0-6,563</t>
  </si>
  <si>
    <t>Белыничи–Фойна–Ланьково км 0,0-11,412</t>
  </si>
  <si>
    <t>Заполье–Падевичи–Ксаверово-Аксеньковичи км 0,0-13,079</t>
  </si>
  <si>
    <t>Заболотье–Кулаковка–Селянская Клевка км 0,0-11,803</t>
  </si>
  <si>
    <t>Светиловичи-Малый Кудин км 0,0-7,107</t>
  </si>
  <si>
    <t>Искра-Ильковичи км 0,0-5,694</t>
  </si>
  <si>
    <t>км 0,0-0,275 совмещен с М-4 Минск-Могилев (съезд развязки)</t>
  </si>
  <si>
    <t>км 20,343-21,284</t>
  </si>
  <si>
    <t>км 0,275-20,343</t>
  </si>
  <si>
    <t>км 0,0-0,023 обслуживается РУП "Могилевавтодор" (съезд от а/д Р-120)</t>
  </si>
  <si>
    <t>км 0,023-10,919</t>
  </si>
  <si>
    <t>км 10,919-13,807</t>
  </si>
  <si>
    <t>км 13,807-14,128</t>
  </si>
  <si>
    <t>км 14,128-27,115</t>
  </si>
  <si>
    <t>Н-12131</t>
  </si>
  <si>
    <t>Подъезд к аг. Головчин от а/д Р-26 Толочин-Круглое-Вишов км 0,0-1,890</t>
  </si>
  <si>
    <t>км 0,0-0,020 обслуживается РУП "Могилевавтодор" (съезд от а/д Р-26)</t>
  </si>
  <si>
    <t>км 0,020-1,890</t>
  </si>
  <si>
    <t>Подъезд к д. Зеленая Роща от а/д Н-11430 Антоновка-Долгий Мох км 0,0-2,450</t>
  </si>
  <si>
    <t>Подъезды от автодороги Р-73 Чаусы-Мстиславль-граница Российской Федерации (Каськово):</t>
  </si>
  <si>
    <t>Подъезды от автодороги Р-96/П 1 Подъезд к г. Чаусы от автомобильной дороги Р-96:</t>
  </si>
  <si>
    <t>км 8,248-16,500</t>
  </si>
  <si>
    <t>км 1,179-1,197 обслуживается РУП "Могилевавтодор" (пересечение с Р-138)</t>
  </si>
  <si>
    <t>км 4,952-5,188</t>
  </si>
  <si>
    <t>км 5,188-6,220</t>
  </si>
  <si>
    <t>км 0,0-0,131</t>
  </si>
  <si>
    <t>км 0,131-1,179</t>
  </si>
  <si>
    <t>км 1,197-3,239</t>
  </si>
  <si>
    <t>км 3,239-4,952</t>
  </si>
  <si>
    <t>км 7,161-7,610</t>
  </si>
  <si>
    <t>км 18,764-18,789 обслуживается РУП "Могилевавтодор" (съезд от а/д Р-73)</t>
  </si>
  <si>
    <t>км 0,0-0,417 совмещен с М-4 Минск-Могилев (съезд развязки)</t>
  </si>
  <si>
    <t>км 0,417-9,702</t>
  </si>
  <si>
    <t>км 9,702-20,405</t>
  </si>
  <si>
    <t>Подъезд к д. Вородьков-3 от а/д Н-10829 Тиньков (от а/д Н-10826 Кричев–Белица (до а/д Р-73 Чаусы–Мстиславль–граница Российской Федерации (Каськово)))–Осовец–Молятичи км 0,0-2,200</t>
  </si>
  <si>
    <t>км 0,150-0,210 совмещен с Н-14902 Подъезд к школе в д. Глинь от а/д Н-14901 Подъезд к кладбищу д. Глинь от а/д Н-11503 Чериков–Удога–Веремейк</t>
  </si>
  <si>
    <t>км 0,0-0,062 обслуживается РУП "Могилевавтодор" (съезд от а/д Р-138)</t>
  </si>
  <si>
    <t>км 19,475-19,511 обслуживается РУП "Могилевавтодор" (съезд от а/д Р-71)</t>
  </si>
  <si>
    <t>км 0,062-9,329</t>
  </si>
  <si>
    <t>км 9,329-14,318</t>
  </si>
  <si>
    <t>км 14,318-15,323</t>
  </si>
  <si>
    <t>км 15,323-19,304</t>
  </si>
  <si>
    <t>км 19,304-19,475</t>
  </si>
  <si>
    <t>Подъезд к санаторию "Энергетик" от а/д Р-93 Могилев-Бобруйск км 0,0-4,700</t>
  </si>
  <si>
    <t>Подъезд к кладбищу д. Новая Милеевка от а/д Н-13989 Подъезд к д. Новая Милеевка от а/д М-8/Е 95 Граница Российской Федерации (Езерище)–Витебск–Гомель–граница Украины (Новая Гута) км 0,0-2,800</t>
  </si>
  <si>
    <t>км 7,292-7,362</t>
  </si>
  <si>
    <t>км 2,250-3,040</t>
  </si>
  <si>
    <t>км 3,040-7,292</t>
  </si>
  <si>
    <t>км 7,362-11,064</t>
  </si>
  <si>
    <t>км 11,064-12,789</t>
  </si>
  <si>
    <t>км 12,789-14,206</t>
  </si>
  <si>
    <t>км 14,206-15,201</t>
  </si>
  <si>
    <t>км 15,201-15,360</t>
  </si>
  <si>
    <t>км 6,220-7,083</t>
  </si>
  <si>
    <t>км 7,139-7,161</t>
  </si>
  <si>
    <t>ул гр км 6,184-7,065 (по нов.пасп.6,22-7,083)</t>
  </si>
  <si>
    <t>км 0,0-0,024 обслуживается РУП "Могилевавтодор" (съезд от а/д Р-122)</t>
  </si>
  <si>
    <t>км 0,024-14,702</t>
  </si>
  <si>
    <t>км 2,522-3,118 ул гр</t>
  </si>
  <si>
    <t>Подъезд к садоводческому товариществу «Автомобилист» от а/д Н-10977 Щежерь 1–Амховая 1–Дубинка 1 км 0,0-1,160</t>
  </si>
  <si>
    <t>а/д Н-13992 Подъезд к д. Мошенаки от а/д М-8/Е 95 Граница Российской Федерации (Езерище)–Витебск–Гомель–граница Украины (Новая Гута)–д. Зарудеевка км 0,0-1,800</t>
  </si>
  <si>
    <t>Подъезд к кладбищу д. Зарудеевка от а/д Н-10999 а/д Н-13992 Подъезд к д. Мошенаки от а/д М-8/Е 95 Граница Российской Федерации (Езерище)–Витебск–Гомель–граница Украины (Новая Гута)–д. Зарудеевка км 0,0-0,700</t>
  </si>
  <si>
    <t>Досовичи (от а/д Р-93 Могилев–Бобруйск)–железнодорожная станция Вендриж км 0,0-16,400</t>
  </si>
  <si>
    <t>Подъезд № 1 к аг. Буйничи от а/д Н-11007 Буйничи–Тишовка–Севостьяновичи–Сеньково–Ильинка км 0,0-0,939</t>
  </si>
  <si>
    <t>Подъезд № 2 к аг. Буйничи от а/д Н-13890 Подъезд № 1 к аг. Буйничи от а/д Н-11007 Буйничи–Тишовка–Севостьяновичи–Сеньково–Ильинка км 0,0-0,705</t>
  </si>
  <si>
    <t>Подъезд к кладбищу д. Застенки (новое) от а/д Н-13912 Подъезд № 1 к д. Застенки от а/д Н-11010 Новое Пашково–Софиевка (от а/д М-4 Минск–Могилев) км 0,0-0,400</t>
  </si>
  <si>
    <t>Подъезд к садоводческому товариществу «ТЭЦ-2» от а/д Н-14002 Подъезд к паромной переправе через реку Днепр от а/д М-8/Е 95 Граница Российской Федерации (Езерище)–Витебск–Гомель–граница Украины (Новая Гута) км 0,0-2,000</t>
  </si>
  <si>
    <t>Подъезд № 1 к д. Дары (до г. Могилева) от а/д М-8/Е 95 Граница Российской Федерации (Езерище)–Витебск–Гомель–граница Украины (Новая Гута) км 0,0-1,700</t>
  </si>
  <si>
    <t>Подъезд № 2 к д. Дары от а/д Н-14005 Подъезд № 1 к д. Дары (до г. Могилева) от а/д М-8/Е 95 Граница Российской Федерации (Езерище)–Витебск–Гомель–граница Украины (Новая Гута) км 0,0-0,700</t>
  </si>
  <si>
    <t>Подъезд к садоводческому товариществу «Солнечное» от а/д Н-14005 Подъезд № 1 к д. Дары (до г. Могилева) от а/д М-8/Е 95 Граница Российской Федерации (Езерище)–Витебск–Гомель–граница Украины (Новая Гута) км 0,0-1,00</t>
  </si>
  <si>
    <t>Подъезд к садоводческому товариществу «Восток 2008» от а/д Н-14007 Подъезд к садоводческому товариществу «Солнечное» от а/д Н-14005 Подъезд № 1 к д. Дары (до г. Могилева) от а/д М-8/Е 95 Граница Российской Федерации (Езерище)–Витебск–Гомель–граница Украины (Новая Гута) км 0,0-0,500</t>
  </si>
  <si>
    <t>Подъезды от автодороги М-8/П 5 Подъезд к г. Могилеву от автомобильной дороги М-8/Е 95:</t>
  </si>
  <si>
    <t>Н-13938</t>
  </si>
  <si>
    <t>Подъездная дорога к аэроклубу имени А.М. Кулагина от а/д Н-11010 Новое Пашково–Софиевка (от а/д М-4 Минск–Могилев) км 0,0-0,198</t>
  </si>
  <si>
    <t>Подъезд к садоводческим товариществам «Боровинка» и «Разлив» от а/д М-5/Е 271 Минск-Гомель км 0,0-1,200</t>
  </si>
  <si>
    <t>Подъезд к д. Каменные Лавы от а/д Н-11578 Добрейка-железнодорожная станция Лотва-Старая Водва-Моисеенки  км 0,0-1,450</t>
  </si>
  <si>
    <t>Подъезд к школе в д. Каменные Лавы от а/д Н-11638 Подъезд к д. Каменные Лавы от а/д Н-11578 Добрейка–железнодорожная станция Лотва–Старая Водва–Моисеенки  км 0,0-0,580</t>
  </si>
  <si>
    <t>Калиновка-Черноручье-Говяды км 0,0-31,640</t>
  </si>
  <si>
    <t>км 0,0-5,800</t>
  </si>
  <si>
    <t>км 1,100-2,093</t>
  </si>
  <si>
    <t>Ордать–Рудицы–Займище–Дивново км 0,0-17,749</t>
  </si>
  <si>
    <t>Подъезд к кладбищу д. Рудицы от а/д Н-11608 Ордать–Рудицы–Займище–Дивново км 0,0-0,400</t>
  </si>
  <si>
    <t>а/д Р-121 Шклов–Круглое–д. Щетинка км 0,0-2,700</t>
  </si>
  <si>
    <t>Садоводческое товарищество «Дружба»–садоводческое товарищество «Ветеран» км 0,0-0,600</t>
  </si>
  <si>
    <r>
      <t xml:space="preserve">Подъезды от автодороги </t>
    </r>
    <r>
      <rPr>
        <b/>
        <u/>
        <sz val="12"/>
        <color indexed="12"/>
        <rFont val="Times New Roman"/>
        <family val="1"/>
        <charset val="204"/>
      </rPr>
      <t>М-8/П 4 Подъезд к г. Шклову от автомобильной дороги М-8/Е 95:</t>
    </r>
  </si>
  <si>
    <t>Подъезд к кладбищу д. Заровцы от а/д Н-11771 Подъезд к д. Заровцы от а/д Р-121 Шклов–Круглое  км 0,0-1,450</t>
  </si>
  <si>
    <t>фактич. нач. не от Н-10227, а от ул. д. Кала-тичи</t>
  </si>
  <si>
    <t>км 0,0-0,400 обслуживается РУП "Могилевавтодор" (съезд от а/д М-8)</t>
  </si>
  <si>
    <t>Подъезд к кладбищу упраздненной д. Деряжня от а/д Н-10526 Климовичи–Высокое (до а/д Р-122 Могилев–Чериков–Костюковичи) км 0,0-1,864</t>
  </si>
  <si>
    <t>км 0,0-0,210 обслуживается РУП "Могилевавтодор" (съезд от а/д М-4 Минск-Могилев)</t>
  </si>
  <si>
    <t>км 0,210-1,049</t>
  </si>
  <si>
    <t>км 0,0-0,965 обслуживается РУП "Могилевавтодор" (съезд от а/д М-5/Е 271 Минск-Гомель)</t>
  </si>
  <si>
    <t>Подъезд к д. Спорное от а/д Р-55 Бобруйск–Глуск–Любань–Гулевичи (до автомобильной дороги Р-43) км 0,0-0,800</t>
  </si>
  <si>
    <t>Подъезд к д. Грабово от а/д Р-55 Бобруйск–Глуск–Любань–Гулевичи (до автомобильной дороги Р-43) км 0,0-1,330</t>
  </si>
  <si>
    <t>Подъезд к п. Дуброва от а/д Р-55 Бобруйск–Глуск–Любань–Гулевичи (до автомобильной дороги Р-43) км 0,0-0,465</t>
  </si>
  <si>
    <t>Подъезд к д. Обча от а/д Р-55 Бобруйск–Глуск–Любань–Гулевичи (до автомобильной дороги Р-43) км 0,0-1,220</t>
  </si>
  <si>
    <t>Подъезд к д. Рогали от а/д Р-55 Бобруйск–Глуск–Любань–Гулевичи (до автомобильной дороги Р-43) км 0,0-1,325</t>
  </si>
  <si>
    <t>Подъезд к х. Красный Брод от а/д Р-31 Бобруйск (от автомобильной дороги М-5/Е 271)–Мозырь–граница Украины (Новая Рудня) км 0,0-1,550</t>
  </si>
  <si>
    <t>Богушовка–Хорошие–а/д Р-55 Бобруйск–Глуск–Любань–Гулевичи (до автомобильной дороги Р-43) км 0,0-5,350</t>
  </si>
  <si>
    <t>Подъезд к д. Кончаны от а/д Н-12232 Подъезд к д. Вороновичи от а/д Н-10108 Побоковичи–Брожка–Туголица–а/д Р-55 Бобруйск–Глуск–Любань–Гулевичи (до автомобильной дороги Р-43) км 0,0-1,185</t>
  </si>
  <si>
    <t>Подъезд к садоводческому товариществу «Хмель» от а/д Н-12233 Подъезд к д. Кончаны от а/д Н-12232 Подъезд к д. Вороновичи от а/д Н-10108 Побоковичи–Брожка–Туголица–а/д Р-55 Бобруйск–Глуск–Любань–Гулевичи (до автомобильной дороги Р-43) км 0,0-0,100</t>
  </si>
  <si>
    <t>Подъезд к д. Орехово от а/д Н-12232 Подъезд к д. Вороновичи от а/д Н-10108 Побоковичи–Брожка–Туголица–а/д Р-55 Бобруйск–Глуск–Любань–Гулевичи (до автомобильной дороги Р-43) км 0,0-1,118</t>
  </si>
  <si>
    <t>Подъезд к п. Уболотье от а/д Н-10108 Побоковичи–Брожка–Туголица–а/д Р-55 Бобруйск–Глуск–Любань–Гулевичи (до автомобильной дороги Р-43) км 0,0-0,800</t>
  </si>
  <si>
    <t>Подъезд к п. Залесье от а/д Н-12236 Подъезд к п. Уболотье от а/д Н-10108 Побоковичи–Брожка–Туголица–а/д Р-55 Бобруйск–Глуск–Любань–Гулевичи (до автомобильной дороги Р-43) км 0,0-0,980</t>
  </si>
  <si>
    <t>Подъезд к п. Красный Лес от а/д Н-10108 Побоковичи–Брожка–Туголица–а/д Р-55 Бобруйск–Глуск–Любань–Гулевичи (до автомобильной дороги Р-43) км 0,0-1,040</t>
  </si>
  <si>
    <t>Побоковичи–Брожка–Туголица–а/д Р-55 Бобруйск–Глуск–Любань–Гулевичи (до автомобильной дороги Р-43) км 0,0-21,395</t>
  </si>
  <si>
    <t>Подъезд к д. Вороновичи от а/д Н-10108 Побоковичи–Брожка–Туголица–а/д Р-55 Бобруйск–Глуск–Любань–Гулевичи (до автомобильной дороги Р-43) км 0,0-2,600</t>
  </si>
  <si>
    <t>км 3,500-3,855 совмещен с Р-55 Бобруйск–Глуск–Любань–Гулевичи (до автомобильной дороги Р-43)</t>
  </si>
  <si>
    <t>Подъезд к кладбищу д. Лоси от а/д Н-10083 Петровичи (от а/д Р-55 Бобруйск–Глуск–Любань–Гулевичи (до автомобильной дороги Р-43))–Брожа км 0,0-0,050</t>
  </si>
  <si>
    <t>Петровичи (от а/д Р-55 Бобруйск–Глуск–Любань–Гулевичи (до автомобильной дороги Р-43))–Брожа км 0,0-15,320</t>
  </si>
  <si>
    <t>км 0,0-0,127 обслуживается РУП "Могилевавтодор" (съезд от а/д М-5/Е 271 Минск-Гомель)</t>
  </si>
  <si>
    <t>км 0,0-0,160 обслуживается РУП "Могилевавтодор" (съезд от а/д М-5/Е 271 Минск-Гомель)</t>
  </si>
  <si>
    <t>км 2,165-2,357 обслуживается РУП "Могилевавтодор" (пересечение и съезды М-5/Е 271 Минск-Гомель)</t>
  </si>
  <si>
    <t>км 2,357-3,900</t>
  </si>
  <si>
    <t>км 0,0-0,130 обслуживается РУП "Могилевавтодор" (съезд от а/д М-5/Е 271 Минск-Гомель)</t>
  </si>
  <si>
    <t>км 8,020-8,150 обслуживается РУП "Могилевавтодор" (пересечение и съезды М-5/Е 271 Минск-Гомель)</t>
  </si>
  <si>
    <t>Селец–Палки–упраздненная д. Липовица км 0,0-10,880</t>
  </si>
  <si>
    <t>Подъезд к кладбищу д. Забродье от а/д Н-10153 Селец–Палки–упраздненная д. Липовица км 0,0-1,500</t>
  </si>
  <si>
    <t>км 0,800-22,619</t>
  </si>
  <si>
    <t>Холстово-Сущев-Подкленье-Пенюги км 0,0-12,853</t>
  </si>
  <si>
    <t>Подъезд к кладбищу д. Слоневщина от а/д Н-10173 Восточная-Слоневщина км 0,0-0,390</t>
  </si>
  <si>
    <t>Подъезд к кладбищу д. Новая Слободка от а/д Н-10173 Восточная-Слоневщина км 0,0-2,000</t>
  </si>
  <si>
    <t>Восточная-Слоневщина км 0,0-5,430</t>
  </si>
  <si>
    <t>Подъезд к д. Подгорье от а/д Р-119 Славгород-Никоновичи (до автомобильной дороги М-8/Е 95) км 0,0-0,880</t>
  </si>
  <si>
    <t>Подъезд к д. Фрунзе от а/д Н-12482 Подъезд к д. Новый Кучин от а/д Р-120 Быхов–Белыничи км 0,0-1,390</t>
  </si>
  <si>
    <t>Подъезд к карьеру «Мыслотино» (озеро Выгода) от а/д Н-10232 Глуск-Дуброва-Ольница км 0,0-2,567</t>
  </si>
  <si>
    <t>Подъезд к д. Повстка от а/д Н-10231 Глуск (от а/д Р-55 Бобруйск–Глуск–Любань–Гулевичи (до автомобильной дороги Р-43))–Застенок Устерхи–Зеленковичи км 0,0-1,547</t>
  </si>
  <si>
    <t xml:space="preserve">Подъезд к кладбищу д. Повстка от а/д Н-12552 Подъезд к д. Повстка от а/д Н-10231 Глуск (от а/д Р-55 Бобруйск–Глуск–Любань–Гулевичи (до автомобильной дороги Р-43))–Застенок Устерхи–Зеленковичи км 0,0-0,150 </t>
  </si>
  <si>
    <t xml:space="preserve">Подъезд к д. Степановка от а/д Н-10230 Вильча-Козловичи-Застенок Устерхи км 0,0-1,510 </t>
  </si>
  <si>
    <t>Подъезд к д. Незнанье от а/д Н-10230 Вильча-Козловичи-Застенок Устерхи км 0,0-3,520</t>
  </si>
  <si>
    <t xml:space="preserve">Подъезд к кладбищу д. Козловичи от а/д Н-10230 Вильча-Козловичи-Застенок Устерхи км 0,0-0,250 </t>
  </si>
  <si>
    <t>Подъезд к кладбищу в д. Устерхи от а/д Н-10230 Вильча-Козловичи-Застенок Устерхи км 0,0-0,300</t>
  </si>
  <si>
    <t>Подъезд к кладбищу д. Старое Село от а/д Н-10230 Вильча-Козловичи-Застенок Устерхи км 0,0-1,000</t>
  </si>
  <si>
    <t>Глуск (от а/д Р-55 Бобруйск–Глуск–Любань–Гулевичи (до автомобильной дороги Р-43))–Застенок Устерхи–Зеленковичи км 0,0-19,031</t>
  </si>
  <si>
    <t>Вильча–Козловичи–Застенок Устерхи км 0,0-21,562</t>
  </si>
  <si>
    <t>км 0,884-2,900 совмещен с Р-55 Бобруйск–Глуск–Любань–Гулевичи (до автомобильной дороги Р-43)</t>
  </si>
  <si>
    <t>км 0,0-22,448</t>
  </si>
  <si>
    <t>Заволочицы-Дворец-Городок км 0,0-8,262</t>
  </si>
  <si>
    <t>Доколь (от а/д Р-55 Бобруйск–Глуск–Любань–Гулевичи (до автомобильной дороги Р-43))–Клетное км 0,0-13,220</t>
  </si>
  <si>
    <t>Подъезд к д. Байлюки от а/д Н-10236 Доколь (от а/д Р-55 Бобруйск–Глуск–Любань–Гулевичи (до автомобильной дороги Р-43))–Клетное км 0,0-1,100</t>
  </si>
  <si>
    <t>Подъезд к кладбищу д. Байлюки от а/д Н-12564 Подъезд к д. Байлюки от а/д Н-10236 Доколь (от а/д Р-55 Бобруйск–Глуск–Любань–Гулевичи (до автомобильной дороги Р-43))–Клетное км 0,0-0,350</t>
  </si>
  <si>
    <t>Берёзовка–Бояново–Барбарово (до а/д Н-10228 Глуск–Славковичи–Зорька) км 0,0-14,318</t>
  </si>
  <si>
    <t>Турино (от а/д Р-55 Бобруйск–Глуск–Любань–Гулевичи (до автомобильной дороги Р-43))–Карница–Слободка км 0,0-10,065</t>
  </si>
  <si>
    <t>Подъезд до а/д Р-55 Бобруйск–Глуск–Любань–Гулевичи (до автомобильной дороги Р-43) от а/д Н-10243 Турино (от а/д Р-55 Бобруйск–Глуск–Любань–Гулевичи (до автомобильной дороги Р-43))–Карница–Слободка км 0,0-1,763</t>
  </si>
  <si>
    <t>Подъезд к кладбищу д. Баратино от а/д Н-10243 Турино (от а/д Р-55 Бобруйск–Глуск–Любань–Гулевичи (до автомобильной дороги Р-43))–Карница–Слободка км 0,0-0,100</t>
  </si>
  <si>
    <t>Подъезд к кладбищу д. Балашевичи от а/д Н-10244 Заречье (от а/д Р-55 Бобруйск–Глуск–Любань–Гулевичи (до автомобильной дороги Р-43))–Балашевичи (до а/д Н-10231 Глуск (от а/д Р-55 Бобруйск–Глуск–Любань–Гулевичи (до автомобильной дороги Р-43))–Застенок Устерхи–Зеленковичи) км 0,0-0,800</t>
  </si>
  <si>
    <t>Заволочицы-Поляна км 0,0-2,106</t>
  </si>
  <si>
    <t>Устерхи-Приплавы км 0,0-1,500</t>
  </si>
  <si>
    <t>Приплавы-Кастрычник км 0,0-2,066</t>
  </si>
  <si>
    <t xml:space="preserve">Подъезд к д. Хвастовичи от а/д Р-34/П 1 Подъезд к автомобильной дороге Р-55 (в обход п. Глуска) от автомобильной дороги Р-34 км 0,0-1,840 </t>
  </si>
  <si>
    <t>Обход д. Бабирово от а/д Н-10227 Калатичи–Бабирово (до а/д Р-43 Граница Российской Федерации (Звенчатка)–Кричев–Бобруйск–Ивацевичи (до автомобильной дороги Р-2/Е 85)) км 0,0-2,488</t>
  </si>
  <si>
    <t>Подъезд к п. Кировское от а/д Р-55 Бобруйск–Глуск–Любань–Гулевичи (до автомобильной дороги Р-43) км 0,0-0,700</t>
  </si>
  <si>
    <t>Подъезд к д. Бервы от а/д Р-55 Бобруйск–Глуск–Любань–Гулевичи (до автомобильной дороги Р-43) со съездом в улицу км 0,0-1,232</t>
  </si>
  <si>
    <t>Подъезд к д. Тесново от а/д Р-55 Бобруйск–Глуск–Любань–Гулевичи (до автомобильной дороги Р-43) км 0,0-10,731</t>
  </si>
  <si>
    <t>км 4,475-5,760 совмещен с Н-10236 Доколь (от а/д Р-55 Бобруйск–Глуск–Любань–Гулевичи (до автомобильной дороги Р-43))–Клетное</t>
  </si>
  <si>
    <t>Подъезд к кладбищу д. Весново от а/д Н-12605 Подъезд к д. Тесново от а/д Р-55 Бобруйск–Глуск–Любань–Гулевичи (до автомобильной дороги Р-43) км 0,0-1,150</t>
  </si>
  <si>
    <t>Подъезд к кладбищу д. Тесново от а/д Н-12605 Подъезд к д. Тесново от а/д Р-55 Бобруйск–Глуск–Любань–Гулевичи (до автомобильной дороги Р-43) км 0,0-0,200</t>
  </si>
  <si>
    <t>Подъезд к аг. Турино от а/д Р-55 Бобруйск–Глуск–Любань–Гулевичи (до автомобильной дороги Р-43) км 0,0-1,074</t>
  </si>
  <si>
    <t>Подъезд к кладбищу аг. Турино от а/д Н-12609 Подъезд к аг. Турино от а/д Р-55 Бобруйск–Глуск–Любань–Гулевичи (до автомобильной дороги Р-43) км 0,0-0,390</t>
  </si>
  <si>
    <t>Подъезд к кладбищу д. Вильча от а/д Р-55 Бобруйск–Глуск–Любань–Гулевичи (до автомобильной дороги Р-43) км 0,0-0,230</t>
  </si>
  <si>
    <t>Подъезд к х. Дубенец-Заречный от а/д Р-55 Бобруйск–Глуск–Любань–Гулевичи (до автомобильной дороги Р-43) км 0,0-0,910</t>
  </si>
  <si>
    <t>Подъезд к кладбищу д. Мальки от а/д Н-10366 Каменка-Мальки км 0,0-1,100</t>
  </si>
  <si>
    <t>Покутье–Поташня км 0,0-3,014</t>
  </si>
  <si>
    <t>Подъезд к д. Полоски от а/д Р-96/П 2 Подъезд к г.п. Дрибин от автомобильной дороги Р-96 км 0,0-1,495</t>
  </si>
  <si>
    <t>км 0,0-1,330</t>
  </si>
  <si>
    <t>Подъезд к зданию сельской врачебной амбулатории в аг. Рясно от а/д Н-12923 Подъезд к д. Горлово от а/д Р-96 Могилев–Рясно–Мстиславль км 0,0-0,200</t>
  </si>
  <si>
    <t>а/д Р-118 Любоничи (от автомобильной дороги Р-62)–Кировск–д. Пацева Слобода км 0,0-2,280</t>
  </si>
  <si>
    <t>км 6,100-6,450</t>
  </si>
  <si>
    <t>км 6,450-6,911</t>
  </si>
  <si>
    <t>км 0,0-2,589</t>
  </si>
  <si>
    <t>км 4,940-5,341</t>
  </si>
  <si>
    <t>км 9,917-9,935</t>
  </si>
  <si>
    <t>км 10,084-11,211</t>
  </si>
  <si>
    <t>км 11,211-15,346</t>
  </si>
  <si>
    <t xml:space="preserve"> Протяженность автомобильных дорог участка филиала КУП "Могилевоблдорстрой" ДРСУ № 130 в г.п. Краснополье </t>
  </si>
  <si>
    <t>а/д Р-74 Чериков–Краснополье–Хотимск–граница Российской Федерации (Горня)–г.п. Краснополье км 0,0-1,840</t>
  </si>
  <si>
    <t>Подъезд к д. Медведовка от а/д Р-140 Славгород (от автомобильной дороги Р-43/П 1)–Краснополье км 0,0-1,900</t>
  </si>
  <si>
    <t>Подъезд к кладбищу д. Медведовка от а/д Н-13510 Подъезд к д. Медведовка от а/д Р-140 Славгород (от автомобильной дороги Р-43/П 1)–Краснополье км 0,0-0,360</t>
  </si>
  <si>
    <t>Подъезд к д. Сидоровка от а/д Р-140 Славгород (от автомобильной дороги Р-43/П 1)–Краснополье км 0,0-0,470</t>
  </si>
  <si>
    <t>Подъезд к кладбищу упраздненной д. Ельня от а/д Р-140 Славгород (от автомобильной дороги Р-43/П 1)–Краснополье км 0,0-0,700</t>
  </si>
  <si>
    <t>Подъезд к кладбищу упраздненной д. Нерядовка от а/д Р-140 Славгород (от автомобильной дороги Р-43/П 1)–Краснополье км 0,0-0,080</t>
  </si>
  <si>
    <t>Подъезд к кладбищу упраздненной д. Богдановка от а/д Р-140 Славгород (от автомобильной дороги Р-43/П 1)–Краснополье км 0,0-0,550</t>
  </si>
  <si>
    <r>
      <t>Подъезд к кладбищу упраздненной д. Граковка от а/д Р-140 Славгород (от автомобильной дороги Р-43/П 1)</t>
    </r>
    <r>
      <rPr>
        <b/>
        <sz val="12"/>
        <color indexed="16"/>
        <rFont val="Times New Roman"/>
        <family val="1"/>
        <charset val="204"/>
      </rPr>
      <t>–Краснополье км 0,0-0-3,200</t>
    </r>
  </si>
  <si>
    <t xml:space="preserve"> км 0,0-4,334</t>
  </si>
  <si>
    <t>Киселева Буда–Незнань–Буховка (от а/д Р-43 Граница Российской Федерации (Звенчатка)–Кричев–Бобруйск–Ивацевичи (до автомобильной дороги Р-2/Е 85)) км 0,0-9,480</t>
  </si>
  <si>
    <t>Подъезд к кладбищу д. Киселева Буда от а/д Н-10533 Киселева Буда–Незнань–Буховка (от а/д Р-43 Граница Российской Федерации (Звенчатка)–Кричев–Бобруйск–Ивацевичи (до автомобильной дороги Р-2/Е 85)) км 0,0-0,090</t>
  </si>
  <si>
    <t>Подъезд к кладбищу д. Незнань от а/д Н-10533 Киселева Буда–Незнань–Буховка (от а/д Р-43 Граница Российской Федерации (Звенчатка)–Кричев–Бобруйск–Ивацевичи (до автомобильной дороги Р-2/Е 85)) км 0,0-0,800</t>
  </si>
  <si>
    <t>Подъезд к кладбищу д. Хотовиж от а/д Н-10535 Полошково–Хотовиж (до а/д Р-43 Граница Российской Федерации (Звенчатка)–Кричев–Бобруйск–Ивацевичи (до автомобильной дороги Р-2/Е 85)) км 0,0-0,443</t>
  </si>
  <si>
    <t>Полошково–Хотовиж (до а/д Р-43 Граница Российской Федерации (Звенчатка)–Кричев–Бобруйск–Ивацевичи (до автомобильной дороги Р-2/Е 85)) км 0,0-10,878</t>
  </si>
  <si>
    <t>Подъезд к д. Ганновка от а/д Н-10535 Полошково–Хотовиж (до а/д Р-43 Граница Российской Федерации (Звенчатка)–Кричев–Бобруйск–Ивацевичи (до автомобильной дороги Р-2/Е 85)) км 0,0-0,900</t>
  </si>
  <si>
    <t>Подъезд к кладбищу д. Ганновка от а/д Н-10535 Полошково–Хотовиж (до а/д Р-43 Граница Российской Федерации (Звенчатка)–Кричев–Бобруйск–Ивацевичи (до автомобильной дороги Р-2/Е 85)) км 0,0-0,241</t>
  </si>
  <si>
    <t>Подъезд к д. Ходунь от а/д Н-10535 Полошково–Хотовиж (до а/д Р-43 Граница Российской Федерации (Звенчатка)–Кричев–Бобруйск–Ивацевичи (до автомобильной дороги Р-2/Е 85)) км 0,0-1,913</t>
  </si>
  <si>
    <t>км 0,0-1,250 совмещен с улицей упраздненной д. Грязивецкая Слобода</t>
  </si>
  <si>
    <t>Кличев–Несята–Усохи–Сергеевичи км 0,0-35,247</t>
  </si>
  <si>
    <t>км 0,0-0,897 транзит по г. Кличев обслуживается организацией жилищно-коммунального хозяйства</t>
  </si>
  <si>
    <t>км 0,897-1,902 транзит по г. Кличев обслуживается организацией жилищно-коммунального хозяйства, совмещенный участок с транзитным участком по городу Кличев Р-62 Чашники-Бобр-Бобруйск (через Кличев)</t>
  </si>
  <si>
    <t>км 1,902-7,337</t>
  </si>
  <si>
    <t>км 7,337-22,025</t>
  </si>
  <si>
    <t>Подъезд к д. Новый Спор от а/д Н-10601 Кличев–Несята–Усохи–Сергеевичи км 0,0-1,967</t>
  </si>
  <si>
    <t>Станция Несета–Старый Остров–Закорки 1 – Закорки 2 км 0,0-28,703</t>
  </si>
  <si>
    <t>км 21,077-21,875</t>
  </si>
  <si>
    <t>Подъезд к кладбищу д. Михалов от а/д Н-10627 Калиновка–Михалов–Новый Остров км 0,0-0,870</t>
  </si>
  <si>
    <t>Подъезд к кладбищу д. Берёзовка от а/д Н-13377 Подъезд к д. Берёзовка от а/д Р-62 Чашники–Бобр–Бобруйск (через Кличев) км 0,0-0,120</t>
  </si>
  <si>
    <t>Баньки–Прудки–упраздненная д. Старки км 0,0-5,800</t>
  </si>
  <si>
    <t>км 0,010-0,860</t>
  </si>
  <si>
    <t>км 0,0-0,010</t>
  </si>
  <si>
    <t>км 0,0-0,114 обслуживается РУП "Могилевавтодор" (съезд от а/д М-8)</t>
  </si>
  <si>
    <t>км 0,015-1,600</t>
  </si>
  <si>
    <t>Объезд г. Мстиславля (до а/д Р-15 Кричев–Орша–Лепель) км 0,0-1,000</t>
  </si>
  <si>
    <t>Подъезд к кладбищу № 1 д. Лопатино от а/д  Н-11135 Мстиславль–Мушино–Воловники км 0,0-0,230</t>
  </si>
  <si>
    <t>км 3,280-4,000</t>
  </si>
  <si>
    <t>Хутор-ст. Гродзянка-Лапичи км 21,620-50,347</t>
  </si>
  <si>
    <t>Подъезд к д. Большая Грава от а/д Н-9911 Хутор-ст. Гродзянка-Лапичи км 0,0-4,912</t>
  </si>
  <si>
    <t>Подъезд к кладбищу д. Малая Грава от а/д Н-14368 Подъезд к д. Большая Грава от а/д Н-9911 Хутор–ст. Гродзянка–Лапичи км 0,0-0,250</t>
  </si>
  <si>
    <t>Подъезд к п. Лапичи от а/д Н-9911 Хутор-ст. Гродзянка-Лапичи км 0,0-0,400</t>
  </si>
  <si>
    <t>Подъезд к кладбищу аг. Лапичи от а/д Н-9911 Хутор-ст. Гродзянка-Лапичи км 0,0-0,800</t>
  </si>
  <si>
    <t>Подъезд к зданию Гродзянского сельского Совета депутатов от а/д Н-9911 Хутор-ст. Гродзянка-Лапичи км 0,0-0,500</t>
  </si>
  <si>
    <t>Подъезд к д. Аминовичи от а/д Н-9911 Хутор-ст. Гродзянка-Лапичи км 0,0-1,300</t>
  </si>
  <si>
    <t>Елцовка-Рожище км 0,0-10,340</t>
  </si>
  <si>
    <t>Подъезд к военному городку Лапичи от а/д М-5/П 4 Подъезд к п. Сосновый от автомобильной дороги М-5/Е 271 км 0,0-0,850</t>
  </si>
  <si>
    <t>км 6,908-7,018 обслуживается РУП "Могилевавтодор" (пересечение и съезды М-5/Е 271 Минск-Гомель)</t>
  </si>
  <si>
    <t>км 2,610-4,160</t>
  </si>
  <si>
    <t>км 5,047-6,908</t>
  </si>
  <si>
    <t>км 0,0-0,270 обслуживается РУП "Могилевавтодор" (съезд от а/д М-5/Е 271 Минск-Гомель)</t>
  </si>
  <si>
    <t>Залесье-Осерёдок км 0,0-10,244</t>
  </si>
  <si>
    <t>км 0,085-5,818</t>
  </si>
  <si>
    <t>км 1,916-2,000</t>
  </si>
  <si>
    <t>Ходорово-Телеши-Улуки км 0,0-31,549</t>
  </si>
  <si>
    <t>Ректа-Перегон км 0,0-6,390</t>
  </si>
  <si>
    <t>Подъезд № 1 к д. Тереховка от а/д Н-11284 Гайшин–Безуевичи–Лебедёвка км 0,0-2,794</t>
  </si>
  <si>
    <t>а/д Н-11280 Ходорово–Телеши–Улуки–д. Закрупец км 0,0-5,076</t>
  </si>
  <si>
    <t>Подъезд к кладбищу упраздненной д. Заболотье от а/д Н-11293 а/д Н-11280 Ходорово–Телеши–Улуки–д. Закрупец км 0,0-0,500</t>
  </si>
  <si>
    <t>Подъезд к кладбищу д. Закрупец от а/д Н-11293 а/д Н-11280 Ходорово–Телеши–Улуки–д. Закрупец км 0,0-0,500</t>
  </si>
  <si>
    <t>Потеряевка–Хворостяны (до а/д Н-11279 Хоронев–Хворостяны–Азаричи) км 0,0-6,180</t>
  </si>
  <si>
    <t>Подъезд к д. Благодать от а/д Р-140 Славгород (от автомобильной дороги Р-43/П 1)–Краснополье км 0,0-4,000</t>
  </si>
  <si>
    <t>Подъезд к памятнику природы республиканского значения "Голубая Криница" от а/д Р-140 Славгород (от автомобильной дороги Р-43/П 1)–Краснополье км 0,0-0,858</t>
  </si>
  <si>
    <t>Подъезд к д. Ректа-Михайловка от а/д Р-43 Граница Российской Федерации (Звенчатка)-Кричев-Бобруйск-Ивацевичи (до автомобильной дороги Р-2/Е 85) км 0,0-2,900</t>
  </si>
  <si>
    <t>ул гр, затем грав.по инв.</t>
  </si>
  <si>
    <t>Хотимск–Батаево–Ивкино км 0,0-33,587</t>
  </si>
  <si>
    <t>км 0,0-29,258</t>
  </si>
  <si>
    <t>км 29,258-33,587</t>
  </si>
  <si>
    <t>Проезд по улице Озёрная д. Тростино от а/д Н-11376 Тростино–Подлесная–Фомино км 0,0-1,470</t>
  </si>
  <si>
    <t>км 0,0-3,650</t>
  </si>
  <si>
    <t>км 4,055-4,420</t>
  </si>
  <si>
    <t>а/д Р-138 Чаусы–Славгород (до автомобильной дороги Р-71)–д. Залесье км 0,0-4,400</t>
  </si>
  <si>
    <t>а/д Р-122 Могилев–Чериков–Костюковичи–д. Щетинка км 0,0-1,550</t>
  </si>
  <si>
    <t>Подъезд к кладбищу д. Щетинка от а/д Н-11509 а/д Р-122 Могилев–Чериков–Костюковичи–д. Щетинка км 0,0-1,400</t>
  </si>
  <si>
    <t>Подъезд к району индивидуальной жилой застройки в аг. Езеры от а/д Н-11511 Езеры-Звезда-Заозерье-Селище км 0,0-0,380</t>
  </si>
  <si>
    <t>км 28,926-31,640</t>
  </si>
  <si>
    <t>км 1,500-2,640</t>
  </si>
  <si>
    <t>км 0,0-0,230 совмещен с территорией объекта придорожного сервиса</t>
  </si>
  <si>
    <t>км 0,230-1,130</t>
  </si>
  <si>
    <t>км 0,015-1,525</t>
  </si>
  <si>
    <t>км 0,350-1,800</t>
  </si>
  <si>
    <t>км 1,800-3,800</t>
  </si>
  <si>
    <t>км 0,400-2,200</t>
  </si>
  <si>
    <t>км 2,200-2,800</t>
  </si>
  <si>
    <t>км 0,154-1,200</t>
  </si>
  <si>
    <t>км 0,110-0,154 (мост и подходы)</t>
  </si>
  <si>
    <t>км 24,323-24,379 (мост и подходы)</t>
  </si>
  <si>
    <t>Подъезд к д. Калиновка от а/д Н-10108 Побоковичи–Брожка–Туголица–а/д Р-55 Бобруйск–Глуск–Любань–Гулевичи (до автомобильной дороги Р-43) км 0,0-2,050</t>
  </si>
  <si>
    <t>Подъезд № 2 к д. Калиновка от а/д Н-12239 Подъезд к д. Калиновка от а/д Н-10108 Побоковичи–Брожка–Туголица–а/д Р-55 Бобруйск–Глуск–Любань–Гулевичи (до автомобильной дороги Р-43) км 0,0-0,843</t>
  </si>
  <si>
    <t>км 0,0-0,014 обслуживается РУП "Могилевавтодор" (съезд Р-122)</t>
  </si>
  <si>
    <t>км 0,014-1,690</t>
  </si>
  <si>
    <t>км 0,350-1,325</t>
  </si>
  <si>
    <t>км 0,0-0,030 обслуживается РУП "Могилевавтодор" (съезд от а/д М-8/П 5)</t>
  </si>
  <si>
    <t>км 0,0-0,100 обслуживается РУП "Могилевавтодор" (съезд транспортной развязки а/д М-4)</t>
  </si>
  <si>
    <t>км 0,015-10,590</t>
  </si>
  <si>
    <t>км 10,590-18,320</t>
  </si>
  <si>
    <t>км 18,320-19,794</t>
  </si>
  <si>
    <t>км 19,794-19,819 обслуживается РУП "Могилевавтодор" (съезд от а/д Р-71)</t>
  </si>
  <si>
    <t>км 1,705-13,075</t>
  </si>
  <si>
    <t>км 13,075-14,674</t>
  </si>
  <si>
    <t>км 14,674-15,800</t>
  </si>
  <si>
    <t>км 2,895-3,394</t>
  </si>
  <si>
    <t>км0-0,2 как часть госаката п-да к д. Новый Кучин</t>
  </si>
  <si>
    <t>км 3,750-4,550</t>
  </si>
  <si>
    <t>км 0,0-0,924 - гравий</t>
  </si>
  <si>
    <t>км 0,924-1,030 совмещен с Р-77 Шклов-Белыничи (через Пригани 2)</t>
  </si>
  <si>
    <t>км 1,030-1,155 - гравий</t>
  </si>
  <si>
    <t>км 1,155-2,940 грунт</t>
  </si>
  <si>
    <t>как часть Слбода Богушовка-Барсуки</t>
  </si>
  <si>
    <t>в госакте как часть подъезда к д. Глебова Рудня</t>
  </si>
  <si>
    <t>км 0,0-13,700</t>
  </si>
  <si>
    <t>км 13,700-15,300</t>
  </si>
  <si>
    <t>Темный Лес-Рясно км 0,0-13,067</t>
  </si>
  <si>
    <t>Подъезд к д. Халипы от а/д Н-10383 Лесковка-Каребы-Затоны км 0,0-1,826</t>
  </si>
  <si>
    <t>Подъезд к кладбищу д. Головичи от а/д Н-12827 Подъезд к д. Головичи от а/д Н-10378 Большие Бороденки–Щекотово км 0,0-0,750</t>
  </si>
  <si>
    <t>Подъезд к д. Сластены от а/д Н-12827 Подъезд к д. Головичи от а/д Н-10378 Большие Бороденки–Щекотово  км 0,0-2,880</t>
  </si>
  <si>
    <t>Подъезд к упраздненной д. Мурованка от а/д Н-12827 Подъезд к д. Головичи от а/д Н-10378 Большие Бороденки–Щекотово км 0,0-1,400</t>
  </si>
  <si>
    <t>Подъезд к д. Мокредь от а/д Н-10378 Большие Бороденки-Щекотово км 0,0-3,066</t>
  </si>
  <si>
    <t>Подъезд к кладбищу д. Мокредь от а/д Н-12831 Подъезд к д. Мокредь от а/д Н-10378 Большие Бороденки–Щекотово км 0,0-0,080</t>
  </si>
  <si>
    <t>Подъезд к зданию филиала «Трилесинская психиатрическая больница» учреждения здравоохранения «Могилевская областная психиатрическая больница» в аг. Трилесино от а/д Н-10378 Большие Бороденки-Щекотово км 0,0-0,100</t>
  </si>
  <si>
    <t>Подъезд к д. Головичи от а/д Н-10378 Большие Бороденки-Щекотово км 0,0-5,160</t>
  </si>
  <si>
    <t>Большие Бороденки-Щекотово км 0,0-8,370</t>
  </si>
  <si>
    <t>Подъезд к кладбищу д. Шестаки от а/д Н-12835 Подъезд к д. Шестаки от а/д Н-10379 Белая–Коровчино–Жаковка км 0,0-0,590</t>
  </si>
  <si>
    <t>Подъезд к кладбищу д.Полуи от а/д Н-12839 Подъезд к д.Полуи от а/д Н-10379 Белая–Коровчино–Жаковка км 0,0-0,600</t>
  </si>
  <si>
    <t>Подъезд к кладбищу д. Земцы от а/д Н-10385 Преображенск-Голобурды км 0,0-1,350</t>
  </si>
  <si>
    <t>Подъезд к кладбищу д. Кищицы от а/д Н-10385 Преображенск–Голобурды км 0,0-1,550</t>
  </si>
  <si>
    <t>в госакте как подъезд к д. Земцы</t>
  </si>
  <si>
    <t>км 0,530-2,580</t>
  </si>
  <si>
    <t>частично госакт п-д к Буглаи</t>
  </si>
  <si>
    <t>частично госакт выдренка-боровая</t>
  </si>
  <si>
    <t>госакт сидоровка-б.хуторы-м.хуторы</t>
  </si>
  <si>
    <t>в госакте участок от М-8 до д.Фащевка как подъезд к совхозу Спартак</t>
  </si>
  <si>
    <t>км 1,860-2,260</t>
  </si>
  <si>
    <t>км 2,260-2,760</t>
  </si>
  <si>
    <t>км 2,760-3,700</t>
  </si>
  <si>
    <t>км 0,950-1,500</t>
  </si>
  <si>
    <t>км 1,000-3,720</t>
  </si>
  <si>
    <t>И.В. Никитко</t>
  </si>
  <si>
    <t>Н-14476</t>
  </si>
  <si>
    <t>Подъезд  к  д. Кохоновка (урочище "Проща") от а/д Н-11213 Корытное-Кохоновка-Татарка км 0,0-2,040</t>
  </si>
  <si>
    <t>Н-14447</t>
  </si>
  <si>
    <t>км 0,066-1,440</t>
  </si>
  <si>
    <t>км 0,0-0,066 обслуживается РУП "Могилевавтодор" (съезд от а/д М-5/Е 271 Минск-Гомель)</t>
  </si>
  <si>
    <t>Подъезд к садоводческому товариществу «Ясень» от а/д М-5/Е 271 Минск–Гомель км 0,0-1,440</t>
  </si>
  <si>
    <t>км 0,220-1,000</t>
  </si>
  <si>
    <t>с усовершенствованным</t>
  </si>
  <si>
    <t>покрытием…………………………..</t>
  </si>
  <si>
    <t>с покрытием переходного типа….</t>
  </si>
  <si>
    <t>грунтовые……………………………</t>
  </si>
  <si>
    <t>IV</t>
  </si>
  <si>
    <t>V</t>
  </si>
  <si>
    <t>VI</t>
  </si>
  <si>
    <t>Данные в 3-й раздел отчетности:</t>
  </si>
  <si>
    <t>км 6,680-6,710 обслуживается РУП "Могилевавтодор" (съезд от а/д Р-122 Могилев–Чериков–Костюковичи)</t>
  </si>
  <si>
    <t>км 0,780-1,547</t>
  </si>
  <si>
    <t>км 0,141-0,173-0,032 (на км 0,157 через р. Сушанка мост в ведении Кличевского района 12,05 пог.м., Г-6,0, 2х6,0)</t>
  </si>
  <si>
    <t>км 0,116-0,141</t>
  </si>
  <si>
    <t>км 0,0-0,116</t>
  </si>
  <si>
    <t>км 0,173-0,200</t>
  </si>
  <si>
    <t>км 0,200-0,800</t>
  </si>
  <si>
    <t>км 0,012-0,442</t>
  </si>
  <si>
    <t>км 0,442-0,802</t>
  </si>
  <si>
    <t>Подъезд к кладбищу д. Застенки (старое) от а/д Н-11010 Новое Пашково–Софиевка (от а/д М-4 Минск–Могилев) км 0,0-0,100</t>
  </si>
  <si>
    <t>км 7,083-7,139  (мост на км 7,111 прот. 56,0 пог.м. находится в ведении Чаусского района, КУП "Могилевоблдорстрой" не обслуживается)</t>
  </si>
  <si>
    <t>Н-11704</t>
  </si>
  <si>
    <t>км 7,800-11,000</t>
  </si>
  <si>
    <t>км 0,0-1,454 совмещен с улицей аг. Александрия</t>
  </si>
  <si>
    <t>км 1,454-1,699</t>
  </si>
  <si>
    <t>Подъезд к переправе через р. Днепр от а/д Р-76 Орша-Шклов-Могилев км 0,0-1,699</t>
  </si>
  <si>
    <t>км 0,100-1,000</t>
  </si>
  <si>
    <t>км 0,900-1,100</t>
  </si>
  <si>
    <t>км 0,750-0,800</t>
  </si>
  <si>
    <t>км 1,000-2,000</t>
  </si>
  <si>
    <t>Генеральный директор</t>
  </si>
  <si>
    <t>км 0,700-1,760</t>
  </si>
  <si>
    <t>Подъезд к садоводческому товариществу «Связист-Лотва» от а/д Н-11619 Лотва–Каменные Лавы км 0,0-1,450</t>
  </si>
  <si>
    <t>Подъезд к д. Новые Чемоданы от а/д М-8/Е 95 Граница Российской Федерации (Езерище)-Витебск-Гомель-граница Украины (Новая Гута) км 0,0-1,130</t>
  </si>
  <si>
    <t>Подъезд к кладбищу д. Большой Старый Шклов от а/д Н-11768 Подъезд к д. Большой  Старый Шклов от а/д Р-121 Шклов–Круглое км 0,0-2,640</t>
  </si>
  <si>
    <t>км 1,525-1,657</t>
  </si>
  <si>
    <t>Чаусы-Волковичи км 0,0-19,511</t>
  </si>
  <si>
    <t>Чаусы–Осиновка (до а/д Р-73 Чаусы–Мстиславль–граница Российской Федерации (Каськово)) км 0,0-18,789</t>
  </si>
  <si>
    <t>км 0,0-8,248</t>
  </si>
  <si>
    <t>км 16,500-18,764</t>
  </si>
  <si>
    <t>Антоновка-Долгий Мох км 0,0-19,819</t>
  </si>
  <si>
    <t>Войнилы-Копани км 0,0-14,702</t>
  </si>
  <si>
    <t>Подъезд к к оздоровительному лагерю «Ласточка» и оздоровительному лагерю «Заря» от а/д Р-122 Могилев–Чериков–Костюковичи км 0,0-0,802</t>
  </si>
  <si>
    <t>км 0,0-0,012 обслуживается РУП "Могилевавтодор" (съезд Р-122)</t>
  </si>
  <si>
    <t>Аминовичи-Липень км 0,0-15,300</t>
  </si>
  <si>
    <t>км 0,270-1,600</t>
  </si>
  <si>
    <t>Подъезд к д. Дубейково от а/д Н-11135 Мстиславль-Мушино-Воловники км 0,0-1,200</t>
  </si>
  <si>
    <t>Подъезд к кладбищу д. Заполье от а/д Н-11150 Ракшино-Заполье км 0,0-0,600</t>
  </si>
  <si>
    <t>Раздел-Глинье км 0,0-4,550</t>
  </si>
  <si>
    <t>Подъезд к д. Щежерь 2 от а/д Н-10977 Щежерь 1–Амховая 1–Дубинка 1 км 0,0-1,260</t>
  </si>
  <si>
    <t>Подъезд к садоводческому товариществу «Родничок» от а/д Н-10985 Мосток–Павловка–Колесище км 0,0-1,450</t>
  </si>
  <si>
    <t>км 0,0-0,508</t>
  </si>
  <si>
    <t>км 1,012-4,248</t>
  </si>
  <si>
    <t>км 0,300-3,443</t>
  </si>
  <si>
    <t>Подъезд к садоводческому товариществу «Днепр ПО» от а/д Н-13898 Подъезд к Крынице от а/д Н-11008 Купелы–Николаевка–Половинный Лог км 0,0-0,265</t>
  </si>
  <si>
    <t>Ракузовка-Городщина км 0,0-4,430</t>
  </si>
  <si>
    <t>км 3,300-3,700 и км 4,200-4,430 транзит по г. Могилев обслуживается филиалом КУП "Могилевоблдорстрой" - ДРСУ № 128</t>
  </si>
  <si>
    <t>км 0,030-1,680</t>
  </si>
  <si>
    <t>Подъезд к садоводческим товариществам "Мелиоратор" и "Связист" от а/д Р-122 Могилев-Чериков-Костюковичи км 0,0-1,690</t>
  </si>
  <si>
    <t>Подъезд к садоводческому товариществу «Профилактик» от а/д Н-14050 Подъезд к садоводческим товариществам «Мелиоратор» и «Связист» от а/д Р-122 Могилев–Чериков–Костюковичи км 0,0-0,050</t>
  </si>
  <si>
    <t>Подъезд к садоводческому товариществу "Радуга" от а/д Р-122 Могилев-Чериков-Костюковичи км 0,0-0,500</t>
  </si>
  <si>
    <t>км 11,000-11,300</t>
  </si>
  <si>
    <t>Подъезд к району индивидуальной жилой застройки в д. Прусино от а/д Р-74 Чериков-Краснополье-Хотимск-граница Российской Федерации (Горня) км 0,0-0,850</t>
  </si>
  <si>
    <t>Подъезд к железнодорожному остановочному пункту «Суша» от а/д Н-10609 Потока–Усакино км 0,0-0,800</t>
  </si>
  <si>
    <t>Подъезд к х. Осиновка от а/д Н-10377 Кледневичи–Прибужье Старое км 0,0-2,558</t>
  </si>
  <si>
    <t>Подъезд к д. Земцы от а/д Н-10385 Преображенск-Голобурды км 0,0-4,500</t>
  </si>
  <si>
    <t>км 0,900-1,340</t>
  </si>
  <si>
    <t>км 1,340-1,500</t>
  </si>
  <si>
    <t>Подъезд к аг. Красулино от а/д Н-10302 Макаровка–Красулино–Черничный км 0,0-0,870</t>
  </si>
  <si>
    <t>Глуск-Дуброва-Ольница км 0,0-15,800</t>
  </si>
  <si>
    <t>км 0,0-1,705 транзит по г.п. Глуск обслуживается организацией жилищно-коммунального хозяйства</t>
  </si>
  <si>
    <t>Подъезд к кладбищу д. Ольница от а/д Н-10232 Глуск-Дуброва-Ольница км 0,0-0,500</t>
  </si>
  <si>
    <t>Подъезд к кладбищу д. Галеевка от а/д Н-10188 Болоновка-Галеевка-Короткие км 0,0-0,600</t>
  </si>
  <si>
    <t>км 0,127-2,316</t>
  </si>
  <si>
    <t>Подъезд к д. Старинки от а/д Н-10084 Бояры–Барановичи 1–Забудьки км 0,0-1,000</t>
  </si>
  <si>
    <t>км 0,160-5,149</t>
  </si>
  <si>
    <t>км 0,0-8,020</t>
  </si>
  <si>
    <t>км 8,150-10,268</t>
  </si>
  <si>
    <t>км 0,0-2,165</t>
  </si>
  <si>
    <t>км 0,130-1,780</t>
  </si>
  <si>
    <t xml:space="preserve">км 0,965-2,000 </t>
  </si>
  <si>
    <t>Светиловичи-Лебедянка-Борок км 0,0-21,284</t>
  </si>
  <si>
    <t>Корытница-Староселье-Эсьмоны км 0,0-20,405</t>
  </si>
  <si>
    <t>км 1,500-2,980</t>
  </si>
  <si>
    <t>Подъезд к кладбищу д. Ермоловичи от а/д М-4 Минск-Могилев км 0,0-0,450</t>
  </si>
  <si>
    <t>км 2,000-2,550</t>
  </si>
  <si>
    <t>км 0,025-0,780</t>
  </si>
  <si>
    <t>Подъезд к садоводческому товариществу «Солнечное на Ресте» от а/д Н-14720 Подъезд к садоводческому товариществу «Красный металлист» от а/д Н-11433 Смолка–Горбовичи–Красница–Гладково  км 0,0-0,390</t>
  </si>
  <si>
    <t>км 0,0-0,025 обслуживается РУП "Могилевавтодор" (съезд от а/д Р-55)</t>
  </si>
  <si>
    <t>км 3,000-6,211</t>
  </si>
  <si>
    <t>км 0,0-0,057 обслуживается РУП "Могилевавтодор" (съезд от а/д Р-122)</t>
  </si>
  <si>
    <t>км 26,454-26,475 обслуживается РУП "Могилевавтодор" (съезд от а/д Р-96)</t>
  </si>
  <si>
    <t>км 14,465-19,865</t>
  </si>
  <si>
    <t>км 0,057-14,465</t>
  </si>
  <si>
    <t>км 19,865-26,454</t>
  </si>
  <si>
    <t>км 0,823-0,864 обслуживается РУП "Могилевавтодор" (пересечение с а/д Р-34)</t>
  </si>
  <si>
    <t>км 20,566-20,582 обслуживается РУП "Могилевавтодор" (съезд от а/д Р-55)</t>
  </si>
  <si>
    <t>км 0,0-0,823</t>
  </si>
  <si>
    <t>км 0,864-20,566</t>
  </si>
  <si>
    <t>км 0,0-0,922</t>
  </si>
  <si>
    <t>км 0,922-1,109</t>
  </si>
  <si>
    <t>км 1,109-2,037</t>
  </si>
  <si>
    <t>км 2,037-2,571</t>
  </si>
  <si>
    <t>для ОПЭАиО:</t>
  </si>
  <si>
    <t>проверка:</t>
  </si>
  <si>
    <t>1. Дороги 3 уровня требований</t>
  </si>
  <si>
    <t>категория дорог</t>
  </si>
  <si>
    <t>цемент</t>
  </si>
  <si>
    <t>асфальт</t>
  </si>
  <si>
    <t>черн. гравий</t>
  </si>
  <si>
    <t>гравий</t>
  </si>
  <si>
    <t>6 категория и без категорий</t>
  </si>
  <si>
    <t>2. Дороги 4 уровня требований</t>
  </si>
  <si>
    <t>3. Дороги 5 уровня требований</t>
  </si>
  <si>
    <t>Итого</t>
  </si>
  <si>
    <t>4 кат</t>
  </si>
  <si>
    <t>5 кат</t>
  </si>
  <si>
    <t>6 кат (в т.ч. б/к)</t>
  </si>
  <si>
    <t>км 0,0-0,080 обслуживается РУП "Могилевавтодор" (съезд от а/д М-5/Е 271 Минск-Гомель)</t>
  </si>
  <si>
    <t>км 13,088-17,145</t>
  </si>
  <si>
    <t>км 0,0-0,020 обслуживается РУП "Могилевавтодор" (съезд от а/д Р-77)</t>
  </si>
  <si>
    <t>км 0,020-3,821</t>
  </si>
  <si>
    <t>км 3,821-4,352</t>
  </si>
  <si>
    <t>км 4,352-7,621</t>
  </si>
  <si>
    <t>км 7,621-8,243</t>
  </si>
  <si>
    <t>км 8,789-8,808 обслуживается РУП "Могилевавтодор" (съезд от а/д Р-26)</t>
  </si>
  <si>
    <t>км 8,243-8,789</t>
  </si>
  <si>
    <t>км 0,807-0,862 обслуживается РУП "Могилевавтодор" (пересечение с а/д Р-55)</t>
  </si>
  <si>
    <t>км 31,140-33,570</t>
  </si>
  <si>
    <t>км 0,880-31,140</t>
  </si>
  <si>
    <t>км 0,0-0,690 совмещен с улицей Центральная аг. Калатичи</t>
  </si>
  <si>
    <t>км 0,690-1,420</t>
  </si>
  <si>
    <t>км 4,160-5,047</t>
  </si>
  <si>
    <t>км 6,997-7,010 обслуживается РУП "Могилевавтодор" (съезд от а/д Р-26)</t>
  </si>
  <si>
    <t>км 3,864-6,997</t>
  </si>
  <si>
    <t>км 5,960-6,500</t>
  </si>
  <si>
    <t>км 1,200-8,909</t>
  </si>
  <si>
    <t>км 8,909-9,369</t>
  </si>
  <si>
    <t>км 9,369-11,285</t>
  </si>
  <si>
    <t>км 11,285-12,446</t>
  </si>
  <si>
    <t>км 12,446-21,148</t>
  </si>
  <si>
    <t>км 21,148-22,133</t>
  </si>
  <si>
    <t>км 0,015-1,395</t>
  </si>
  <si>
    <t>км 1,395-2,886</t>
  </si>
  <si>
    <t>км 0,015-5,043</t>
  </si>
  <si>
    <t>км 0,0-0,015 обслуживается РУП "Могилевавтодор" (съезд от а/д Р-26)</t>
  </si>
  <si>
    <t>км 1,600-2,450</t>
  </si>
  <si>
    <t>Н-12521</t>
  </si>
  <si>
    <t>Подъезд № 2 к д. Хутор от а/д Н-10155 Быхов–Городец–Золотва–Болонов-Селец–Средне-Крушниковский–Твердово км 0,0-0,540</t>
  </si>
  <si>
    <t>км 0,050-0,540</t>
  </si>
  <si>
    <t>Грязивец (от а/д Н-10530 Климовичи–Майский (до а/д Р-122 Могилев–Чериков–Костюковичи))–Рудня км 0,0-6,870</t>
  </si>
  <si>
    <t>Подъезд к кладбищу № 1 д. Грязивец от а/д Н-10559 Грязивец (от а/д Н-10530 Климовичи–Майский (до а/д Р-122 Могилев–Чериков–Костюковичи))–Рудня км 0,0-0,220</t>
  </si>
  <si>
    <t>Подъезд к кладбищу д. Рудня от а/д Н-10559 Грязивец (от а/д Н-10530 Климовичи–Майский (до а/д Р-122 Могилев–Чериков–Костюковичи))–Рудня км 0,0-0,150</t>
  </si>
  <si>
    <t>Подъезд к кладбищу № 2 д. Грязивец от а/д Н-10559 Грязивец (от а/д Н-10530 Климовичи–Майский (до а/д Р-122 Могилев–Чериков–Костюковичи))–Рудня км 0,0-1,567</t>
  </si>
  <si>
    <r>
      <t>Корытное-Кох</t>
    </r>
    <r>
      <rPr>
        <b/>
        <sz val="12"/>
        <color rgb="FFFF0000"/>
        <rFont val="Times New Roman"/>
        <family val="1"/>
        <charset val="204"/>
      </rPr>
      <t>о</t>
    </r>
    <r>
      <rPr>
        <b/>
        <sz val="12"/>
        <color indexed="8"/>
        <rFont val="Times New Roman"/>
        <family val="1"/>
        <charset val="204"/>
      </rPr>
      <t>новка-Татарка км 0,0-14,800</t>
    </r>
  </si>
  <si>
    <t>км 0,290-1,785</t>
  </si>
  <si>
    <t>км 0,460-0,690</t>
  </si>
  <si>
    <t>км 0,020-4,286</t>
  </si>
  <si>
    <t>км 4,286-5,811</t>
  </si>
  <si>
    <t>км 5,811-6,607</t>
  </si>
  <si>
    <t>км 6,607-7,759</t>
  </si>
  <si>
    <t>км 20,482-27,300</t>
  </si>
  <si>
    <t>км 27,300-34,106</t>
  </si>
  <si>
    <t>км 34,106-35,414</t>
  </si>
  <si>
    <t>км 0,523-6,680</t>
  </si>
  <si>
    <t>км 16,240-19,390</t>
  </si>
  <si>
    <t>км 0,0-1,206</t>
  </si>
  <si>
    <t>км 1,206-1,272</t>
  </si>
  <si>
    <t xml:space="preserve"> км 1,272-1,298 (мост)</t>
  </si>
  <si>
    <t>км 1,298-1,351</t>
  </si>
  <si>
    <t>км 1,351-1,375</t>
  </si>
  <si>
    <t>км 0,0-0,631</t>
  </si>
  <si>
    <t>км 0,631-7,207</t>
  </si>
  <si>
    <t>км 1,300-4,093</t>
  </si>
  <si>
    <t>км 1,500-2,600</t>
  </si>
  <si>
    <t>км 0,022-1,500</t>
  </si>
  <si>
    <t>км 2,600-3,864</t>
  </si>
  <si>
    <t>км 9,000-10,400</t>
  </si>
  <si>
    <t>км 0,037-0,750</t>
  </si>
  <si>
    <t>км 0,0-0,037 обслуживается РУП "Могилевавтодор" (съезд Р-93)</t>
  </si>
  <si>
    <t>км 1,420-4,320</t>
  </si>
  <si>
    <t>км 4,320-4,475</t>
  </si>
  <si>
    <t>нет по г.Кричев?</t>
  </si>
  <si>
    <t>км 0,550-1,445</t>
  </si>
  <si>
    <t>км 6,368-9,023</t>
  </si>
  <si>
    <t>км 9,023-9,973</t>
  </si>
  <si>
    <t>км 10,102-12,701</t>
  </si>
  <si>
    <t>км 1,951-5,891</t>
  </si>
  <si>
    <t>км 1,455-2,259</t>
  </si>
  <si>
    <t>км 33,200-53,880</t>
  </si>
  <si>
    <t>км 0,042-0,180</t>
  </si>
  <si>
    <t>км 0,0-0,042 обслуживается РУП "Могилевавтодор" (съезд Р-122)</t>
  </si>
  <si>
    <t>км 3,864-10,041</t>
  </si>
  <si>
    <t>км 10,041-11,000</t>
  </si>
  <si>
    <r>
      <t xml:space="preserve">Подъезд к Весновскому дому-интернату для детей-инвалидов с особенностями психофизического развития от а/д Н-12605 Подъезд к д. Тесново от а/д Р-55 Бобруйск–Глуск–Любань–Гулевичи (до автомобильной дороги Р-43) км 0,0-1,115 </t>
    </r>
    <r>
      <rPr>
        <b/>
        <sz val="12"/>
        <color rgb="FFFF0000"/>
        <rFont val="Times New Roman"/>
        <family val="1"/>
        <charset val="204"/>
      </rPr>
      <t>(после предоставления зем.участка дому-интернату протяженность станет 1,050 км)</t>
    </r>
  </si>
  <si>
    <t>Миратино-Соломенка-автодорога М-5/Е 271 Минск-Гомель км 0,0-6,502</t>
  </si>
  <si>
    <t>км 2,600-4,870</t>
  </si>
  <si>
    <t>Подъезды от автодороги Р-123 Мосток (от автомобильной дороги М-8/Е95)–Дрибин–Горки:</t>
  </si>
  <si>
    <t>Н-14477</t>
  </si>
  <si>
    <r>
      <t>Хотимск–Липовка–</t>
    </r>
    <r>
      <rPr>
        <b/>
        <sz val="12"/>
        <color rgb="FFFF0000"/>
        <rFont val="Times New Roman"/>
        <family val="1"/>
        <charset val="204"/>
      </rPr>
      <t>упраздненная д.</t>
    </r>
    <r>
      <rPr>
        <b/>
        <sz val="12"/>
        <color indexed="8"/>
        <rFont val="Times New Roman"/>
        <family val="1"/>
        <charset val="204"/>
      </rPr>
      <t xml:space="preserve"> Гавриловка–граница Российской Федерации км 0,0-13,940</t>
    </r>
  </si>
  <si>
    <t>км 8,150-8,450 (на 28.02.20223 фрезерование не завершено!) в программе на 2024 по текущему ремонту</t>
  </si>
  <si>
    <t>Подъезд № 2 к д. Агула от а/д Р-91 Осиповичи-Барановичи км 0,0-0,530</t>
  </si>
  <si>
    <t>Подъезд к кладбищу д. Бестрень от а/д Н-12881 Подъезд к д. Бестрень от а/д Р-96/П 2 Подъезд к г.п. Дрибин от автомобильной дороги Р-96 км 0,0-0,300</t>
  </si>
  <si>
    <t>км 9,642-10,437</t>
  </si>
  <si>
    <t>км 7,301-7,687</t>
  </si>
  <si>
    <t>км 7,687-9,642</t>
  </si>
  <si>
    <t>км 0,469-1,054 совмещен с Н-11819 Подъезд к д. Савеленки от а/д Р-76 Орша–Шклов–Могилев</t>
  </si>
  <si>
    <t>км 2,420-2,600</t>
  </si>
  <si>
    <t>Кировск–Жиличи–граница Гомельской области км 0,0-28,800</t>
  </si>
  <si>
    <t>км 11,000-15,000</t>
  </si>
  <si>
    <t>км 10,000-11,000</t>
  </si>
  <si>
    <r>
      <t>км 0,0-0,</t>
    </r>
    <r>
      <rPr>
        <sz val="12"/>
        <color rgb="FFFF0000"/>
        <rFont val="Times New Roman"/>
        <family val="1"/>
        <charset val="204"/>
      </rPr>
      <t>420</t>
    </r>
  </si>
  <si>
    <t>км 0,420-2,120</t>
  </si>
  <si>
    <t>км 2,100-2,522</t>
  </si>
  <si>
    <t>км 2,522-4,492</t>
  </si>
  <si>
    <t>км 0,015-4,280</t>
  </si>
  <si>
    <t>Подъезд к д. Осман-Касаево от а/д Р-120 Быхов–Белыничи км 0,0-2,153</t>
  </si>
  <si>
    <t>Подъезд к кладбищу д. Осман-Касаево от а/д Н-12111 Подъезд к д. Осман-Касаево от а/д Р-120 Быхов–Белыничи км 0,0-0,600</t>
  </si>
  <si>
    <t>км 12,314-14,365</t>
  </si>
  <si>
    <t>Протяженность местных автомобильных дорог КУП «Могилевоблдорстрой» 
по состоянию на 1.01.2025 года (по перечню, установленному решением Могилевского ОИК от 22.09.2020 № 6-7, в редакции решений от 14.09.2021 № 5-61, от 27.03.2023 № 15-20, от 18.12.2023 № 54-19)</t>
  </si>
  <si>
    <t>по состоянию на 01.01.2025 года.</t>
  </si>
  <si>
    <t>Кардон–Чигири км 0,0-2,940</t>
  </si>
  <si>
    <t>Подъезд к д. Лубяны от а/д Н-10033 Лубяны (от а/д Р-77 Шклов–Белыничи (через Пригани 2))–Крайний км 0,0-1,850</t>
  </si>
  <si>
    <r>
      <t>Подъезды от автодороги Р-77 Шклов-Белыничи (через Пригани 2</t>
    </r>
    <r>
      <rPr>
        <b/>
        <u/>
        <sz val="12"/>
        <color indexed="12"/>
        <rFont val="Times New Roman"/>
        <family val="1"/>
        <charset val="204"/>
      </rPr>
      <t>):</t>
    </r>
  </si>
  <si>
    <t>км 0,080-15,400</t>
  </si>
  <si>
    <t>Подъезд № 1 к д. Хутор от а/д Н-10155 Быхов–Городец–Золотва–Болонов-Селец–Средне-Крушниковский–Твердово км 0,0- 1,490</t>
  </si>
  <si>
    <t>Калатичи–Бабирово (до а/д Р-43 Граница Российской Федерации (Звенчатка)–Кричев–Бобруйск–Ивацевичи (до автомобильной дороги Р-2/Е 85)) км 0,0-20,582</t>
  </si>
  <si>
    <t>Подъезд к кладбищу аг. Калатичи от а/д Н-10227 Калатичи–Бабирово (до а/д Р-43 Граница Российской Федерации (Звенчатка)–Кричев–Бобруйск–Ивацевичи (до автомобильной дороги Р-2/Е 85)) км 0,0-1,420</t>
  </si>
  <si>
    <t>Глуск-Славковичи-Зорька км 0,0-33,570</t>
  </si>
  <si>
    <t>км 0,0-0,807 транзит по г.п. Глуск обслуживается филиалом КУП "Могилевоблдорстрой" - ДРСУ № 213</t>
  </si>
  <si>
    <t>км 0,862-0,880 транзит по г.п. Глуск обслуживается филиалом КУП "Могилевоблдорстрой" - ДРСУ № 213</t>
  </si>
  <si>
    <t>Подъезд к д. Мыслотино от а/д Н-10232 Глуск-Дуброва-Ольница км 0,0-2,571</t>
  </si>
  <si>
    <t>Заречье (от а/д Р-55 Бобруйск–Глуск–Любань–Гулевичи (до автомобильной дороги Р-43))–Балашевичи (до а/д Н-10231 Глуск (от а/д Р-55 Бобруйск–Глуск–Любань–Гулевичи (до автомобильной дороги Р-43))–Застенок Устерхи–Зеленковичи) км 0,0-6,211</t>
  </si>
  <si>
    <t>км 0,025-3,000</t>
  </si>
  <si>
    <t>км 2,300-2,590 совмещен с Н-12749 Подъезд к аг. Паршино от а/д Р-123 Мосток (от автомобильной дороги М-8/Е95)–Дрибин–Горки</t>
  </si>
  <si>
    <t>Подъезд к аг. Паршино от а/д Р-123 Мосток (от автомобильной дороги М-8/Е95)–Дрибин–Горки км 0,0-1,740</t>
  </si>
  <si>
    <t>Подъезд к д. Ревячино от а/д Р-123 Мосток (от автомобильной дороги М-8/Е95)–Дрибин–Горки км 0,0-3,550</t>
  </si>
  <si>
    <t>Подъезд к кладбищу д. Ревячино от а/д Н-12750 Подъезд к д. Ревячино  от а/д Р-123 Мосток (от автомобильной дороги М-8/Е95)–Дрибин–Горки км 0,0-0,270</t>
  </si>
  <si>
    <t>Подъезд к д. Тосна от а/д Р-123 Мосток (от автомобильной дороги М-8/Е95)–Дрибин–Горки км 0,0-3,530</t>
  </si>
  <si>
    <t>Подъезд к кладбищу д. Нивищи от а/д Р-123 Мосток (от автомобильной дороги М-8/Е95)–Дрибин–Горки км 0,0-0,350</t>
  </si>
  <si>
    <t>Подъезд к школе в аг. Темный Лес от а/д Н-10376 Дрибин-Темный Лес-Коптевка км 0,0-1,000</t>
  </si>
  <si>
    <t xml:space="preserve">км 15,889-17,426 совмещен с Р-123 Мосток (от автомобильной дороги М-8/Е95)-Дрибин-Горки </t>
  </si>
  <si>
    <t>Подъезд к д. Язычково от а/д Н-10327 Стан–Комаровичи–Осиновка км 0,0-0,500</t>
  </si>
  <si>
    <t>Подъезд к кладбищу д. Язычково от а/д Н-10327 Стан–Комаровичи–Осиновка км 0,0-0,900</t>
  </si>
  <si>
    <t xml:space="preserve">км 4,876-5,995 совмещен с Р-123 Мосток (от автомобильной дороги М-8/Е95)-Дрибин-Горки </t>
  </si>
  <si>
    <t>Подъезд к базе дорожного ремонтно-строительного управления  № 217 от а/д Р-123 Мосток (от автомобильной дороги М-8/Е95)–Дрибин–Горки  км 0,0-1,000</t>
  </si>
  <si>
    <t>Подъезд № 1 к д. Жевань от а/д Р-123 Мосток (от автомобильной дороги М-8/Е95)–Дрибин–Горки км 0,0-1,700</t>
  </si>
  <si>
    <t>Подъезд № 2 к д. Жевань от а/д Н-12886 Подъезд № 1 к д. Жевань от а/д Р-123 Мосток (от автомобильной дороги М-8/Е95)–Дрибин–Горки км 0,0-0,400</t>
  </si>
  <si>
    <t>Подъезд к кладбищу д. Жевань от а/д Н-12886 Подъезд  № 1 к д. Жевань от а/д Р-123 Мосток (от автомобильной дороги М-8/Е95)–Дрибин–Горки км 0,0-0,200</t>
  </si>
  <si>
    <t>Подъезд к д. Бирь от а/д Р-123 Мосток (от автомобильной дороги М-8/Е95)–Дрибин–Горки км 0,0-2,100</t>
  </si>
  <si>
    <t>Подъезд к кладбищу д. Бирь от а/д Н-12888 Подъезд к д. Бирь от а/д Р-123 Мосток (от автомобильной дороги М-8/Е95)–Дрибин–Горки км 0,0-0,250</t>
  </si>
  <si>
    <t>Подъезд к кладбищу д. Большие Бороденки от а/д Н-12888 Подъезд к д. Бирь от а/д Р-123 Мосток (от автомобильной дороги М-8/Е95)–Дрибин–Горки км 0,0-0,550</t>
  </si>
  <si>
    <t>Подъезд к д. Корзеево от а/д Р-123 Мосток (от автомобильной дороги М-8/Е95)–Дрибин–Горки км 0,0-1,300</t>
  </si>
  <si>
    <t>Подъезд к кладбищу д. Корзеево от а/д Н-12891 Подъезд к д. Корзеево от а/д Р-123 Мосток (от автомобильной дороги М-8/Е95)–Дрибин–Горки км 0,0-0,200</t>
  </si>
  <si>
    <t>Подъезд к д. Русенка от а/д Р-123 Мосток (от автомобильной дороги М-8/Е95)–Дрибин–Горки км 0,0-3,200</t>
  </si>
  <si>
    <t>Подъезд к д. Никольск от а/д Р-123 Мосток (от автомобильной дороги М-8/Е95)–Дрибин–Горки км 0,0-2,733</t>
  </si>
  <si>
    <t>Подъезд к кладбищу д. Никольск от а/д Н-12894 Подъезд к д. Никольск от а/д Р-123 Мосток (от автомобильной дороги М-8/Е95)–Дрибин–Горки км 0,0-0,835</t>
  </si>
  <si>
    <t>Подъезд к п. Прибужье Старое от а/д Р-123 Мосток (от автомобильной дороги М-8/Е95)–Дрибин–Горки км 0,0-1,400</t>
  </si>
  <si>
    <t>Подъезд к д. Тиньковщина от а/д Р-123 Мосток (от автомобильной дороги М-8/Е95)–Дрибин–Горки км 0,0-3,500</t>
  </si>
  <si>
    <t>Подъезд к д. Доманы от а/д Р-123 Мосток (от автомобильной дороги М-8/Е95)–Дрибин–Горки км 0,0-4,344</t>
  </si>
  <si>
    <t>Подъезд к д. Александровка от а/д Н-12898 Подъезд к д. Доманы от а/д Р-123 Мосток (от автомобильной дороги М-8/Е95)–Дрибин–Горки км 0,0-2,400</t>
  </si>
  <si>
    <t>Подъезд к кладбищу д. Доманы от а/д Н-12898 Подъезд к д. Доманы от а/д Р-123 Мосток (от автомобильной дороги М-8/Е95)–Дрибин–Горки км 0,0-0,400</t>
  </si>
  <si>
    <t>Подъезд к д. Еганы от а/д Р-123 Мосток (от автомобильной дороги М-8/Е95)–Дрибин–Горки км 0,0-1,600</t>
  </si>
  <si>
    <t>Подъезд к кладбищу д. Еганы от а/д Н-12901 Подъезд к д. Еганы от а/д Р-123 Мосток (от автомобильной дороги М-8/Е95)–Дрибин–Горки км 0,0-0,300</t>
  </si>
  <si>
    <t>Подъезд к д. Коммуна от а/д Р-123 Мосток (от автомобильной дороги М-8/Е95)–Дрибин–Горки км 0,0-2,350</t>
  </si>
  <si>
    <t>Подъезд к кладбищу д. Коммуна от а/д Н-12903 Подъезд к д. Коммуна от а/д Р-123 Мосток (от автомобильной дороги М-8/Е95)–Дрибин–Горки км 0,0-0,800</t>
  </si>
  <si>
    <t>Подъезд к д. Солнечная от а/д Р-123 Мосток (от автомобильной дороги М-8/Е95)–Дрибин–Горки км 0,0-1,250</t>
  </si>
  <si>
    <t>Подъезд к д. Кледневичи от а/д Р-123 Мосток (от автомобильной дороги М-8/Е95)–Дрибин–Горки км 0,0-1,400</t>
  </si>
  <si>
    <t>Подъезд к зданию участковой больницы в аг. Пудовня от а/д Р-123 Мосток (от автомобильной дороги М-8/Е95)–Дрибин–Горки км 0,0-0,700</t>
  </si>
  <si>
    <t>Подъезд к кладбищу д. Солнечная от а/д Р-123 Мосток (от автомобильной дороги М-8/Е95)–Дрибин–Горки км 0,0-0,300</t>
  </si>
  <si>
    <t>Подъезд к кладбищу д. Юровка от а/д Р-123 Мосток (от автомобильной дороги М-8/Е95)–Дрибин–Горки км 0,0-0,300</t>
  </si>
  <si>
    <t>км 0,0-2,600</t>
  </si>
  <si>
    <t>км 4,870-6,548</t>
  </si>
  <si>
    <t>км 5,000-5,925</t>
  </si>
  <si>
    <t>км 0,020-1,729 транзит по г. Кировск обслуживается филиалом КУП "Могилевоблдорстрой" - ДРСУ № 197</t>
  </si>
  <si>
    <t>км 1,445-2,830</t>
  </si>
  <si>
    <t>Ясенка-Травна-упраздненная д. Буглаи км 0,0-6,500</t>
  </si>
  <si>
    <t>Подъезд к кладбищу д. Травна от а/д Н-10762 Ясенка-Травна-упраздненная д. Буглаи км 0,0-1,700</t>
  </si>
  <si>
    <t>Подъезд к кладбищу упраздненного п. Суворовский от а/д Н-10762 Ясенка–Травна–упраздненная д. Буглаи км 0,0-1,900</t>
  </si>
  <si>
    <t>Белыничи-Шепелевичи-Круча км 13,324-35,414</t>
  </si>
  <si>
    <t>км 13,324-20,482</t>
  </si>
  <si>
    <t>Подъезд к кладбищу упраздненной д. Татарка от а/д Н-10901 Круглое–Славное км 0,0-5,300</t>
  </si>
  <si>
    <t>Круглое-Тетерино км 0,0-9,710</t>
  </si>
  <si>
    <t>Ельковщина (от а/д Н-10905 Круглое–Дудаковичи–Ореховка)–Дуброва–Слобода км 0,0-10,437</t>
  </si>
  <si>
    <t>км 0,0-7,301</t>
  </si>
  <si>
    <t>Храпы-Глубокое-Павловичи км 0,0-22,133</t>
  </si>
  <si>
    <t>Бовсевичи-Кононовичи-Кунцы км 0,0-7,759</t>
  </si>
  <si>
    <t>Подъезд к д. Симоновичи от а/д Н-10912 Бовсевичи-Кононовичи-Кунцы км 0,0-1,459</t>
  </si>
  <si>
    <t>Старое Радча-Новопрудье-Волконосово км 0,0-5,043</t>
  </si>
  <si>
    <t>Подъезд к д. Гай от а/д Н-10914 Старое Радча-Новопрудье-Волконосово км 0,0-2,886</t>
  </si>
  <si>
    <t>Кляпиничи (от а/д Р-26 Толочин–Круглое–Вишов)–Михайловка (до а/д Р-26 Толочин–Круглое–Вишов) км 0,0-7,010</t>
  </si>
  <si>
    <t>Пригани-Поповка-Криулино км 0,0-8,808</t>
  </si>
  <si>
    <t>Подъезд к д. Дубинка 1 от а/д Н-10976 Могилев–Махово–Грудиновка–Годылево км 0,0-0,600</t>
  </si>
  <si>
    <t>км 7,800-8,150</t>
  </si>
  <si>
    <t>км 8,450-9,347</t>
  </si>
  <si>
    <t>км 8,845-9,471 совмещен с М-15 Кольцевая автомобильная дорога вокруг г. Могилева</t>
  </si>
  <si>
    <t>км 3,548-3,602 совмещен с М-15 Кольцевая автомобильная дорога вокруг г. Могилева</t>
  </si>
  <si>
    <t>км 3,494-3,751 совмещен с М-15 Кольцевая автомобильная дорога вокруг г. Могилева</t>
  </si>
  <si>
    <t>км 0,0-2,249</t>
  </si>
  <si>
    <t>Новосёлки 2–Новосёлки 1 км 0,0-3,377</t>
  </si>
  <si>
    <t>Подъезд к д. Новосёлки 1 от а/д Н-11056 Новосёлки 2–Новосёлки 1 км 0,0-0,300</t>
  </si>
  <si>
    <t>Подъезд к д. Грибаны от а/д Р-123 Мосток (от автомобильной дороги М-8/Е95)–Дрибин–Горки км 0,0-1,022</t>
  </si>
  <si>
    <t>Подъезд к кладбищу д. Грибаны от а/д Н-14054 Подъезд к д. Грибаны от а/д Р-123 Мосток (от автомобильной дороги М-8/Е95)–Дрибин–Горки км 0,0-0,800</t>
  </si>
  <si>
    <t>Подъезд к д. Круги от а/д Р-123 Мосток (от автомобильной дороги М-8/Е95)–Дрибин–Горки км 0,0-0,800</t>
  </si>
  <si>
    <t>Подъезд к кладбищу д. Круги от а/д Н-14056 Подъезд к д. Круги от а/д Р-123 Мосток (от автомобильной дороги М-8/Е95)–Дрибин–Горки км 0,0-0,900</t>
  </si>
  <si>
    <t>Подъезд к д. Макрусинка от а/д Р-123 Мосток (от автомобильной дороги М-8/Е95)–Дрибин–Горки км 0,0-0,970</t>
  </si>
  <si>
    <t>Подъезд к д. Купелы от а/д Р-76 Орша-Шклов-Могилев км 0,0-2,450</t>
  </si>
  <si>
    <r>
      <t>Подъезды от автодороги Р-73 Чаусы-Мстиславль-граница Российской Федерации (Ка</t>
    </r>
    <r>
      <rPr>
        <b/>
        <u/>
        <sz val="12"/>
        <color indexed="12"/>
        <rFont val="Times New Roman"/>
        <family val="1"/>
        <charset val="204"/>
      </rPr>
      <t>ськово):</t>
    </r>
  </si>
  <si>
    <t>км 0,0-2,420</t>
  </si>
  <si>
    <t>км 5,818-10,244</t>
  </si>
  <si>
    <t>км 7,018-10,102</t>
  </si>
  <si>
    <t>км 2,584-3,602</t>
  </si>
  <si>
    <t>Подъезд № 1 к д. Агула от а/д Р-91 Осиповичи-Барановичи км 0,0-1,100</t>
  </si>
  <si>
    <t xml:space="preserve">Подъезд к аг. Липовка от а/д Н-11353 Хотимск–Липовка–упраздненная д. Гавриловка–граница Российской Федерации км 0,0-0,076    </t>
  </si>
  <si>
    <t>Подъезд к кладбищу № 1 аг. Липовка от а/д Н-11353 Хотимск–Липовка–упраздненная д. Гавриловка–граница Российской Федерации км 0,0-0,300</t>
  </si>
  <si>
    <t>Подъезд к кладбищу д. Озёровка от а/д Н-11353 Хотимск–Липовка–упраздненная д. Гавриловка–граница Российской Федерации км 0,0-2,700</t>
  </si>
  <si>
    <t>Чаусы-Заложье км 0,0-26,475</t>
  </si>
  <si>
    <t>Подъезд к д. Благовичи от а/д Н-14803 Подъезд к д. Колосовщина от а/д Р-122 Могилев–Чериков–Костюковичи км 0,0-0,500</t>
  </si>
  <si>
    <t>км 4,093-4,427</t>
  </si>
  <si>
    <t>км 0,0-1,951</t>
  </si>
  <si>
    <t>км 0,0-1,455</t>
  </si>
  <si>
    <r>
      <t>км 0,0-</t>
    </r>
    <r>
      <rPr>
        <sz val="12"/>
        <color rgb="FFFF0000"/>
        <rFont val="Times New Roman"/>
        <family val="1"/>
        <charset val="204"/>
      </rPr>
      <t>1,775</t>
    </r>
  </si>
  <si>
    <t>км 1,775-1,890 обслуживается РУП "Могилевавтодор"  (пересечение с М-4 по путепроводу )</t>
  </si>
  <si>
    <t>км 10,400-12,500</t>
  </si>
  <si>
    <r>
      <t xml:space="preserve">км </t>
    </r>
    <r>
      <rPr>
        <sz val="12"/>
        <color rgb="FFFF0000"/>
        <rFont val="Times New Roman"/>
        <family val="1"/>
        <charset val="204"/>
      </rPr>
      <t>12,500</t>
    </r>
    <r>
      <rPr>
        <sz val="12"/>
        <rFont val="Times New Roman"/>
        <family val="1"/>
        <charset val="204"/>
      </rPr>
      <t>-15,630</t>
    </r>
  </si>
  <si>
    <r>
      <t>Подъезд к кладбищу д. Лебедёвка от а/д Н-11284 Гайшин-Безуевичи-Лебедёвка км 0,0-0,</t>
    </r>
    <r>
      <rPr>
        <b/>
        <sz val="12"/>
        <color rgb="FFFF0000"/>
        <rFont val="Times New Roman"/>
        <family val="1"/>
        <charset val="204"/>
      </rPr>
      <t>280</t>
    </r>
  </si>
  <si>
    <t>км 0,0-0,027 обслуживается РУП "Могилевавтодор" (съезд Р-71)</t>
  </si>
  <si>
    <t>км 0,027-2,127</t>
  </si>
  <si>
    <r>
      <t>Подъезд к садоводческому товариществу "Троллейбусник" от а/д Р-71 Могилев-Славгород км 0,0-2,</t>
    </r>
    <r>
      <rPr>
        <b/>
        <sz val="12"/>
        <color rgb="FFFF0000"/>
        <rFont val="Times New Roman"/>
        <family val="1"/>
        <charset val="204"/>
      </rPr>
      <t>127</t>
    </r>
  </si>
  <si>
    <r>
      <t>Подъезд к базе дорожного ремонтно-строительного управления  № 176 от а/д Р-138 Чаусы–Славгород (до автомобильной дороги Р-71) км 0,0-</t>
    </r>
    <r>
      <rPr>
        <b/>
        <sz val="12"/>
        <color rgb="FFFF0000"/>
        <rFont val="Times New Roman"/>
        <family val="1"/>
        <charset val="204"/>
      </rPr>
      <t>0,796</t>
    </r>
  </si>
  <si>
    <r>
      <t>км 0,0-</t>
    </r>
    <r>
      <rPr>
        <sz val="12"/>
        <color rgb="FFFF0000"/>
        <rFont val="Times New Roman"/>
        <family val="1"/>
        <charset val="204"/>
      </rPr>
      <t>0,796</t>
    </r>
    <r>
      <rPr>
        <sz val="12"/>
        <color indexed="8"/>
        <rFont val="Times New Roman"/>
        <family val="1"/>
      </rPr>
      <t xml:space="preserve"> транзит по г. Чаусы обслуживается филиалом КУП "Могилевоблдорстрой" - ДРСУ № 176</t>
    </r>
  </si>
  <si>
    <r>
      <t>км 0,0-</t>
    </r>
    <r>
      <rPr>
        <sz val="12"/>
        <color rgb="FFFF0000"/>
        <rFont val="Times New Roman"/>
        <family val="1"/>
        <charset val="204"/>
      </rPr>
      <t>0,796</t>
    </r>
  </si>
  <si>
    <t>км 9,176-9,916</t>
  </si>
  <si>
    <t>км 9,916-10,446</t>
  </si>
  <si>
    <t>км 0,0-0,041 обслуживается РУП "Могилевавтодор" (съезд от а/д Р-121)</t>
  </si>
  <si>
    <t>км 9,126-9,176 обслуживается РУП "Могилевавтодор" (пересечение с а/д Р-121)</t>
  </si>
  <si>
    <r>
      <t>Загоряны-Буровщина-Озеры км 0,0-10</t>
    </r>
    <r>
      <rPr>
        <b/>
        <sz val="12"/>
        <color rgb="FFFF0000"/>
        <rFont val="Times New Roman"/>
        <family val="1"/>
        <charset val="204"/>
      </rPr>
      <t>,446</t>
    </r>
  </si>
  <si>
    <r>
      <t>Подъезд к садоводческому товариществу "Крыница" от а/д Н-10693 Костюковичи-Вишеньки км 0,0-</t>
    </r>
    <r>
      <rPr>
        <b/>
        <sz val="12"/>
        <color rgb="FFFF0000"/>
        <rFont val="Times New Roman"/>
        <family val="1"/>
        <charset val="204"/>
      </rPr>
      <t>1,860</t>
    </r>
  </si>
  <si>
    <r>
      <t>км 0,0-0,</t>
    </r>
    <r>
      <rPr>
        <sz val="12"/>
        <color rgb="FFFF0000"/>
        <rFont val="Times New Roman"/>
        <family val="1"/>
        <charset val="204"/>
      </rPr>
      <t>565</t>
    </r>
  </si>
  <si>
    <t>км 0,565-1,630</t>
  </si>
  <si>
    <t>км 1,630-1,860</t>
  </si>
  <si>
    <t>км 1,280-1,450</t>
  </si>
  <si>
    <r>
      <t>км 0,0-</t>
    </r>
    <r>
      <rPr>
        <sz val="12"/>
        <color rgb="FFFF0000"/>
        <rFont val="Times New Roman"/>
        <family val="1"/>
        <charset val="204"/>
      </rPr>
      <t>1,280</t>
    </r>
  </si>
  <si>
    <r>
      <t>Подъезд к д. Моисеенки от а/д Р-70 Княжицы-Горки-Ленино-граница Российской Федерации (Дружная) км 0,0-</t>
    </r>
    <r>
      <rPr>
        <b/>
        <sz val="12"/>
        <color rgb="FFFF0000"/>
        <rFont val="Times New Roman"/>
        <family val="1"/>
        <charset val="204"/>
      </rPr>
      <t>2,100</t>
    </r>
  </si>
  <si>
    <t>Лесная-Железинка км 0,0-11,120</t>
  </si>
  <si>
    <r>
      <t>Кличев-Смолярня-Буднево км 0,0-9,</t>
    </r>
    <r>
      <rPr>
        <b/>
        <sz val="12"/>
        <color rgb="FFFF0000"/>
        <rFont val="Times New Roman"/>
        <family val="1"/>
        <charset val="204"/>
      </rPr>
      <t>100</t>
    </r>
  </si>
  <si>
    <t>км 2,895-9,100</t>
  </si>
  <si>
    <r>
      <t>Тетерино-Шепелевичи км 0,0-15,</t>
    </r>
    <r>
      <rPr>
        <b/>
        <sz val="12"/>
        <color rgb="FFFF0000"/>
        <rFont val="Times New Roman"/>
        <family val="1"/>
        <charset val="204"/>
      </rPr>
      <t>780</t>
    </r>
  </si>
  <si>
    <t>км 0,0-0,077 обслуживается РУП "Могилевавтодор" (съезд от а/д Р-77)</t>
  </si>
  <si>
    <t>км 0,077-15,78</t>
  </si>
  <si>
    <t>км 0,0-0,018 обслуживается организацией жилищно-коммунального хозяйства (съезд от ул. Пролетарская г. Круглое)</t>
  </si>
  <si>
    <t>км 0,018-6,421</t>
  </si>
  <si>
    <t>км 6,421-9,274</t>
  </si>
  <si>
    <t>км 9,274-12,100</t>
  </si>
  <si>
    <t>км 12,100-13,180</t>
  </si>
  <si>
    <r>
      <rPr>
        <sz val="12"/>
        <color rgb="FFFF0000"/>
        <rFont val="Times New Roman"/>
        <family val="1"/>
        <charset val="204"/>
      </rPr>
      <t>км 0,018-1,519</t>
    </r>
    <r>
      <rPr>
        <sz val="12"/>
        <rFont val="Times New Roman"/>
        <family val="1"/>
        <charset val="204"/>
      </rPr>
      <t xml:space="preserve"> транзит по г. Круглое обслуживается филиалом КУП "Могилевоблдорстрой" - ДРСУ № 214</t>
    </r>
  </si>
  <si>
    <t>км 0,100-2,150</t>
  </si>
  <si>
    <r>
      <t>Подъезд к д. Городище от а/д Н-11039 Семукачи–железнодорожный остановочный пункт «Синюга»–Большое Запоточье км 0,0-2,</t>
    </r>
    <r>
      <rPr>
        <b/>
        <sz val="12"/>
        <color rgb="FFFF0000"/>
        <rFont val="Times New Roman"/>
        <family val="1"/>
        <charset val="204"/>
      </rPr>
      <t>150</t>
    </r>
  </si>
  <si>
    <r>
      <t>Подъезд к садоводческому товариществу «Лесное» (Могилёвский район) от а/д Н-11585 Садоводческое товарищество «Буровик»–Барсуки–Бушляки км 0,0-</t>
    </r>
    <r>
      <rPr>
        <b/>
        <sz val="12"/>
        <color rgb="FFFF0000"/>
        <rFont val="Times New Roman"/>
        <family val="1"/>
        <charset val="204"/>
      </rPr>
      <t>0,500</t>
    </r>
  </si>
  <si>
    <t>км 9,800-11,120</t>
  </si>
  <si>
    <t>км 0,0-0,048 обслуживается РУП "Могилевавтодор" (съезд Р-71)</t>
  </si>
  <si>
    <t>км 0,048-2,145</t>
  </si>
  <si>
    <t>км 2,145-9,800</t>
  </si>
  <si>
    <r>
      <t>Гайшин–Безуевичи–Лебедёвка км 0,0-11</t>
    </r>
    <r>
      <rPr>
        <b/>
        <sz val="12"/>
        <color rgb="FFFF0000"/>
        <rFont val="Times New Roman"/>
        <family val="1"/>
        <charset val="204"/>
      </rPr>
      <t>,210</t>
    </r>
  </si>
  <si>
    <t>км 6,875-9,756</t>
  </si>
  <si>
    <t>км 9,756-9,798 обслуживается РУП "Могилевавтодор" (пересечение с Р-43)</t>
  </si>
  <si>
    <t>км 9,798-11,210</t>
  </si>
  <si>
    <r>
      <t>км 0,0-6,</t>
    </r>
    <r>
      <rPr>
        <sz val="12"/>
        <color rgb="FFFF0000"/>
        <rFont val="Times New Roman"/>
        <family val="1"/>
        <charset val="204"/>
      </rPr>
      <t>875</t>
    </r>
  </si>
  <si>
    <r>
      <t xml:space="preserve">Подъезд к кладбищу д. Дымово </t>
    </r>
    <r>
      <rPr>
        <b/>
        <sz val="12"/>
        <color rgb="FFFF0000"/>
        <rFont val="Times New Roman"/>
        <family val="1"/>
        <charset val="204"/>
      </rPr>
      <t>от а/д Н-11683 Подъезд к д. Дымово</t>
    </r>
    <r>
      <rPr>
        <b/>
        <sz val="12"/>
        <rFont val="Times New Roman"/>
        <family val="1"/>
        <charset val="204"/>
      </rPr>
      <t xml:space="preserve"> от а/д Н-11584 Борки-1–Староселье–Хатьково км 0,0-</t>
    </r>
    <r>
      <rPr>
        <b/>
        <sz val="12"/>
        <color rgb="FFFF0000"/>
        <rFont val="Times New Roman"/>
        <family val="1"/>
        <charset val="204"/>
      </rPr>
      <t>0,720</t>
    </r>
  </si>
  <si>
    <t>км 0,640-2,060 - исключен</t>
  </si>
  <si>
    <r>
      <t>Подъезд к упраздненной д. Девошицкий от а/д Н-10053 Будники–Кунцы км 0,0-</t>
    </r>
    <r>
      <rPr>
        <b/>
        <sz val="12"/>
        <color rgb="FFFF0000"/>
        <rFont val="Times New Roman"/>
        <family val="1"/>
        <charset val="204"/>
      </rPr>
      <t>0,640</t>
    </r>
  </si>
  <si>
    <t>Подъезд к кладбищу упраздненной д. Старки от а/д Н-10933 Баньки–Прудки–упраздненная д. Старки км 0,0-0,050</t>
  </si>
  <si>
    <t>км 2,000-2,900 - грунтовый участок исключен</t>
  </si>
  <si>
    <r>
      <t>Жарки–упраздненная д. Егоровка км 0,0-2,</t>
    </r>
    <r>
      <rPr>
        <b/>
        <sz val="12"/>
        <color rgb="FFFF0000"/>
        <rFont val="Times New Roman"/>
        <family val="1"/>
        <charset val="204"/>
      </rPr>
      <t>000</t>
    </r>
  </si>
  <si>
    <t>км 0,340-1,400 - грунтовый участок исключен</t>
  </si>
  <si>
    <r>
      <t>Подъезд к упраздненной д. Софиевка от а/д Н-10760 Городецкая–Устиновичи–Лютнянская Буда–Почепы км 0,0-</t>
    </r>
    <r>
      <rPr>
        <b/>
        <sz val="12"/>
        <color rgb="FFFF0000"/>
        <rFont val="Times New Roman"/>
        <family val="1"/>
        <charset val="204"/>
      </rPr>
      <t>0,340</t>
    </r>
  </si>
  <si>
    <r>
      <t>Подъезд к упраздненной д. Ново-Григорьевка от а/д Р-74 Чериков–Краснополье–Хотимск–граница Российской Федерации (Горня) км 0,0-</t>
    </r>
    <r>
      <rPr>
        <b/>
        <sz val="12"/>
        <color rgb="FFFF0000"/>
        <rFont val="Times New Roman"/>
        <family val="1"/>
        <charset val="204"/>
      </rPr>
      <t>0,625</t>
    </r>
  </si>
  <si>
    <t>км 0,0-0,022 обслуживается РУП "Могилевавтодор" (съезд Р-43)</t>
  </si>
  <si>
    <t>км 0,022-10,100</t>
  </si>
  <si>
    <t>км 10,100-12,375</t>
  </si>
  <si>
    <t>км 12,375-21,816</t>
  </si>
  <si>
    <t>км 21,816-27,050</t>
  </si>
  <si>
    <t>км 27,050-27,514</t>
  </si>
  <si>
    <t>км 27,514-28,612</t>
  </si>
  <si>
    <t>км 28,612-36,626</t>
  </si>
  <si>
    <t>км 36,626-36,651 обслуживается РУП "Могилевавтодор" (съезд Р-43)</t>
  </si>
  <si>
    <r>
      <t>Васьковичи-Бахань-Ректа км 0,0-36,</t>
    </r>
    <r>
      <rPr>
        <b/>
        <sz val="12"/>
        <color rgb="FFFF0000"/>
        <rFont val="Times New Roman"/>
        <family val="1"/>
        <charset val="204"/>
      </rPr>
      <t>651</t>
    </r>
  </si>
  <si>
    <r>
      <t>км 0,0-</t>
    </r>
    <r>
      <rPr>
        <sz val="12"/>
        <color rgb="FFFF0000"/>
        <rFont val="Times New Roman"/>
        <family val="1"/>
        <charset val="204"/>
      </rPr>
      <t>1,250</t>
    </r>
  </si>
  <si>
    <r>
      <t>Беседовичи-Новая Жизнь-Буросово км 0,0-</t>
    </r>
    <r>
      <rPr>
        <b/>
        <sz val="12"/>
        <color rgb="FFFF0000"/>
        <rFont val="Times New Roman"/>
        <family val="1"/>
        <charset val="204"/>
      </rPr>
      <t>2,550</t>
    </r>
  </si>
  <si>
    <t>км 1,250-2,550</t>
  </si>
  <si>
    <t>↔↔↔↔↔   ↔↔↔↔↔   ↔↔↔↔↔</t>
  </si>
  <si>
    <r>
      <t>Подвишенье-Барсуки км 0,0-1,</t>
    </r>
    <r>
      <rPr>
        <b/>
        <sz val="12"/>
        <color rgb="FFFF0000"/>
        <rFont val="Times New Roman"/>
        <family val="1"/>
        <charset val="204"/>
      </rPr>
      <t>350</t>
    </r>
  </si>
  <si>
    <r>
      <t>км 0,0-</t>
    </r>
    <r>
      <rPr>
        <sz val="12"/>
        <color rgb="FFFF0000"/>
        <rFont val="Times New Roman"/>
        <family val="1"/>
        <charset val="204"/>
      </rPr>
      <t>2,000</t>
    </r>
  </si>
  <si>
    <t>км 8,346-9,126</t>
  </si>
  <si>
    <t>км 0,041-8,346</t>
  </si>
  <si>
    <r>
      <t>км 0,0-</t>
    </r>
    <r>
      <rPr>
        <sz val="12"/>
        <color rgb="FFFF0000"/>
        <rFont val="Times New Roman"/>
        <family val="1"/>
        <charset val="204"/>
      </rPr>
      <t>6,060</t>
    </r>
  </si>
  <si>
    <t>км 6,060-7,500</t>
  </si>
  <si>
    <r>
      <t>км 6,121</t>
    </r>
    <r>
      <rPr>
        <sz val="12"/>
        <rFont val="Times New Roman"/>
        <family val="1"/>
        <charset val="204"/>
      </rPr>
      <t>-6,425</t>
    </r>
  </si>
  <si>
    <t>км 5,524-6,121</t>
  </si>
  <si>
    <r>
      <t xml:space="preserve">км </t>
    </r>
    <r>
      <rPr>
        <sz val="12"/>
        <color rgb="FFFF0000"/>
        <rFont val="Times New Roman"/>
        <family val="1"/>
        <charset val="204"/>
      </rPr>
      <t>5,277</t>
    </r>
    <r>
      <rPr>
        <sz val="12"/>
        <rFont val="Times New Roman"/>
        <family val="1"/>
      </rPr>
      <t>-</t>
    </r>
    <r>
      <rPr>
        <sz val="12"/>
        <color rgb="FFFF0000"/>
        <rFont val="Times New Roman"/>
        <family val="1"/>
        <charset val="204"/>
      </rPr>
      <t>5,524</t>
    </r>
  </si>
  <si>
    <t>км 2,000-2,217</t>
  </si>
  <si>
    <t>км 2,281-3,354</t>
  </si>
  <si>
    <t>км 2,217-2,281</t>
  </si>
  <si>
    <t>км 3,394-3,844</t>
  </si>
  <si>
    <r>
      <t>Подъезд к садоводческому товариществу «Колосок» от а/д Н-11031 Коминтерн–Березовка км 0,0-</t>
    </r>
    <r>
      <rPr>
        <b/>
        <sz val="12"/>
        <color rgb="FFFF0000"/>
        <rFont val="Times New Roman"/>
        <family val="1"/>
        <charset val="204"/>
      </rPr>
      <t>0,850</t>
    </r>
  </si>
  <si>
    <r>
      <t>Подъезд к кладбищу д. Станция Друть от а/д Р-120 Быхов-Белыничи км 0,0-0,</t>
    </r>
    <r>
      <rPr>
        <b/>
        <sz val="12"/>
        <color rgb="FFFF0000"/>
        <rFont val="Times New Roman"/>
        <family val="1"/>
        <charset val="204"/>
      </rPr>
      <t>050</t>
    </r>
  </si>
  <si>
    <t>км 0,860-1,085 совмещен с Н-10022</t>
  </si>
  <si>
    <t>км 1,085-3,400</t>
  </si>
  <si>
    <t>км 7,800-10,770</t>
  </si>
  <si>
    <t>км 10,770-12,240</t>
  </si>
  <si>
    <t>км 12,240-22,080</t>
  </si>
  <si>
    <t>км 0,480-0,700</t>
  </si>
  <si>
    <r>
      <t>Подъезд к кладбищу аг. Староселье от а/д Н-11583 Калиновка–Староселье–Смольянцы км 0,0-0,</t>
    </r>
    <r>
      <rPr>
        <b/>
        <sz val="12"/>
        <color rgb="FFFF0000"/>
        <rFont val="Times New Roman"/>
        <family val="1"/>
        <charset val="204"/>
      </rPr>
      <t>700</t>
    </r>
  </si>
  <si>
    <r>
      <t>Подъезд к кладбищу д. Церковище от а/д Н-11784 Подъезд к д. Церковище от а/д Р-70 Княжицы–Горки–Ленино–граница Российской Федерации (Дружная) км 0,0-</t>
    </r>
    <r>
      <rPr>
        <b/>
        <sz val="12"/>
        <color rgb="FFFF0000"/>
        <rFont val="Times New Roman"/>
        <family val="1"/>
        <charset val="204"/>
      </rPr>
      <t>0,630</t>
    </r>
  </si>
  <si>
    <r>
      <t>Подъезд к кладбищу д. Никитиничи от а/д Н-11666 Подъезд к д. Никитиничи от а/д Н-11581 Волосовичи (от а/д М-8/П 4 Подъезд к г. Шклову от автомобильной дороги М-8/Е 95)–Словени–Забродье (до а/д М-8/Е 95 Граница Российской Федерации (Езерище)–Витебск–Гомель–граница Украины (Новая Гута)) км 0,0-</t>
    </r>
    <r>
      <rPr>
        <b/>
        <sz val="12"/>
        <color rgb="FFFF0000"/>
        <rFont val="Times New Roman"/>
        <family val="1"/>
        <charset val="204"/>
      </rPr>
      <t>0,640</t>
    </r>
  </si>
  <si>
    <r>
      <t>Подъезд к кладбищу д. Бесчинье от а/д Н-11443 Смолка-Бесчинье-Кутня км 0,0-</t>
    </r>
    <r>
      <rPr>
        <b/>
        <sz val="12"/>
        <color rgb="FFFF0000"/>
        <rFont val="Times New Roman"/>
        <family val="1"/>
        <charset val="204"/>
      </rPr>
      <t>0,770</t>
    </r>
  </si>
  <si>
    <r>
      <t>Подъезд к кладбищу д. Островы от а/д Н-11426 Чаусы-Волковичи км 0,0-</t>
    </r>
    <r>
      <rPr>
        <b/>
        <sz val="12"/>
        <color rgb="FFFF0000"/>
        <rFont val="Times New Roman"/>
        <family val="1"/>
        <charset val="204"/>
      </rPr>
      <t>0,300</t>
    </r>
  </si>
  <si>
    <r>
      <t>Подъезд к кладбищу д. Малые Амхиничи от а/д Н-14732 Подъезд к д. Малые Амхиничи от а/д Н-11434 Темровичи–Васьковичи–Городня км 0,0-</t>
    </r>
    <r>
      <rPr>
        <b/>
        <sz val="12"/>
        <color rgb="FFFF0000"/>
        <rFont val="Times New Roman"/>
        <family val="1"/>
        <charset val="204"/>
      </rPr>
      <t>0,080</t>
    </r>
  </si>
  <si>
    <t>Подъезд к кладбищу д. Александровка от а/д Н-11431 Чаусы-Заложье км 0,0-0,430</t>
  </si>
  <si>
    <r>
      <t>Подъезд к кладбищу д. Новоселки от а/д Н-11466 Левковщина-Новоселки км 0,0-</t>
    </r>
    <r>
      <rPr>
        <b/>
        <sz val="12"/>
        <color rgb="FFFF0000"/>
        <rFont val="Times New Roman"/>
        <family val="1"/>
        <charset val="204"/>
      </rPr>
      <t>0,400</t>
    </r>
  </si>
  <si>
    <r>
      <t>Подъезд к д. Старое Село от а/д Р-34 Осиповичи-Глуск-Озаричи км 0,0-1,</t>
    </r>
    <r>
      <rPr>
        <b/>
        <sz val="12"/>
        <color rgb="FFFF0000"/>
        <rFont val="Times New Roman"/>
        <family val="1"/>
        <charset val="204"/>
      </rPr>
      <t>030</t>
    </r>
  </si>
  <si>
    <t>км 6,899-15,502</t>
  </si>
  <si>
    <t>км 15,502-19,951</t>
  </si>
  <si>
    <r>
      <t>Славгород–Корма (до границы Могилевской области) км 0,0-</t>
    </r>
    <r>
      <rPr>
        <b/>
        <sz val="12"/>
        <color rgb="FFFF0000"/>
        <rFont val="Times New Roman"/>
        <family val="1"/>
        <charset val="204"/>
      </rPr>
      <t>19,951</t>
    </r>
  </si>
  <si>
    <r>
      <t>км 0,0-</t>
    </r>
    <r>
      <rPr>
        <sz val="12"/>
        <color rgb="FFFF0000"/>
        <rFont val="Times New Roman"/>
        <family val="1"/>
        <charset val="204"/>
      </rPr>
      <t>6,865</t>
    </r>
    <r>
      <rPr>
        <sz val="12"/>
        <color indexed="8"/>
        <rFont val="Times New Roman"/>
        <family val="1"/>
        <charset val="204"/>
      </rPr>
      <t xml:space="preserve"> совмещен с </t>
    </r>
    <r>
      <rPr>
        <sz val="12"/>
        <color rgb="FFFF0000"/>
        <rFont val="Times New Roman"/>
        <family val="1"/>
        <charset val="204"/>
      </rPr>
      <t>Р-43/П 1 Подъезд к г. Славгороду от автомобильной дороги Р-43, км 6,865-6,899 съезд от Р-43/П 1</t>
    </r>
    <r>
      <rPr>
        <sz val="12"/>
        <color indexed="8"/>
        <rFont val="Times New Roman"/>
        <family val="1"/>
        <charset val="204"/>
      </rPr>
      <t xml:space="preserve"> обслуживается РУП "Могилевавтодор"</t>
    </r>
  </si>
  <si>
    <r>
      <t>Подъезд к д. Александровка-1 от а/д Р-43 Граница Российской Федерации (Звенчатка)-Кричев-Бобруйск-Ивацевичи (до автомобильной дороги Р-2/Е 85) км 0,0-1,</t>
    </r>
    <r>
      <rPr>
        <b/>
        <sz val="12"/>
        <color rgb="FFFF0000"/>
        <rFont val="Times New Roman"/>
        <family val="1"/>
        <charset val="204"/>
      </rPr>
      <t>105</t>
    </r>
  </si>
  <si>
    <t>км 0,012-1,105</t>
  </si>
  <si>
    <t>Подъезд к д. Александровка-2 от а/д Р-43 Граница Российской Федерации (Звенчатка)-Кричев-Бобруйск-Ивацевичи (до автомобильной дороги Р-2/Е 85) км 0,0-2,507</t>
  </si>
  <si>
    <t>км 0,012-0,088</t>
  </si>
  <si>
    <r>
      <t>км 0,0-</t>
    </r>
    <r>
      <rPr>
        <sz val="12"/>
        <color rgb="FFFF0000"/>
        <rFont val="Times New Roman"/>
        <family val="1"/>
        <charset val="204"/>
      </rPr>
      <t>2,420</t>
    </r>
  </si>
  <si>
    <t>км 2,420-4,391</t>
  </si>
  <si>
    <t>км 4,391-6,391</t>
  </si>
  <si>
    <r>
      <t xml:space="preserve">км </t>
    </r>
    <r>
      <rPr>
        <sz val="12"/>
        <color rgb="FFFF0000"/>
        <rFont val="Times New Roman"/>
        <family val="1"/>
        <charset val="204"/>
      </rPr>
      <t>6,391</t>
    </r>
    <r>
      <rPr>
        <sz val="12"/>
        <rFont val="Times New Roman"/>
        <family val="1"/>
        <charset val="204"/>
      </rPr>
      <t>-7,851</t>
    </r>
  </si>
  <si>
    <r>
      <t>км 0,0-0</t>
    </r>
    <r>
      <rPr>
        <sz val="12"/>
        <color rgb="FFFF0000"/>
        <rFont val="Times New Roman"/>
        <family val="1"/>
        <charset val="204"/>
      </rPr>
      <t>,474</t>
    </r>
  </si>
  <si>
    <t>км 0,474-1,505</t>
  </si>
  <si>
    <r>
      <t>км 1,</t>
    </r>
    <r>
      <rPr>
        <sz val="12"/>
        <color rgb="FFFF0000"/>
        <rFont val="Times New Roman"/>
        <family val="1"/>
        <charset val="204"/>
      </rPr>
      <t>505</t>
    </r>
    <r>
      <rPr>
        <sz val="12"/>
        <rFont val="Times New Roman"/>
        <family val="1"/>
        <charset val="204"/>
      </rPr>
      <t>-2,4</t>
    </r>
  </si>
  <si>
    <t>км 0,0-1,400 транзит по г. Бобруйск обслуживается филиалом КУП "Могилевоблдорстрой" - ДРСУ № 171</t>
  </si>
  <si>
    <t>км 0,850-1,530</t>
  </si>
  <si>
    <r>
      <t>км 0,0-0,</t>
    </r>
    <r>
      <rPr>
        <sz val="12"/>
        <color rgb="FFFF0000"/>
        <rFont val="Times New Roman"/>
        <family val="1"/>
        <charset val="204"/>
      </rPr>
      <t>850</t>
    </r>
  </si>
  <si>
    <r>
      <t>Подъезд к д. Вербки от а/д Р-67 Борисов- Березино-Бобруйск км 0,0-1,</t>
    </r>
    <r>
      <rPr>
        <b/>
        <sz val="12"/>
        <color rgb="FFFF0000"/>
        <rFont val="Times New Roman"/>
        <family val="1"/>
        <charset val="204"/>
      </rPr>
      <t>530</t>
    </r>
  </si>
  <si>
    <t>км 3,800-4,900</t>
  </si>
  <si>
    <t>км 0,200-4,700</t>
  </si>
  <si>
    <r>
      <t>Подъезд к д. Слобода от а/д Н-10191 Лудчицы-Слобода км 0,0-0,</t>
    </r>
    <r>
      <rPr>
        <b/>
        <sz val="12"/>
        <color rgb="FFFF0000"/>
        <rFont val="Times New Roman"/>
        <family val="1"/>
        <charset val="204"/>
      </rPr>
      <t>380</t>
    </r>
  </si>
  <si>
    <t>км 0,800-5,750</t>
  </si>
  <si>
    <t>км 4,140-5,150</t>
  </si>
  <si>
    <t>км 0,820-4,120</t>
  </si>
  <si>
    <r>
      <t xml:space="preserve">км </t>
    </r>
    <r>
      <rPr>
        <sz val="12"/>
        <color rgb="FFFF0000"/>
        <rFont val="Times New Roman"/>
        <family val="1"/>
        <charset val="204"/>
      </rPr>
      <t>5,150</t>
    </r>
    <r>
      <rPr>
        <sz val="12"/>
        <rFont val="Times New Roman"/>
        <family val="1"/>
        <charset val="204"/>
      </rPr>
      <t>-6,360</t>
    </r>
  </si>
  <si>
    <t>км 4,120-4,140 (мост и подходы)</t>
  </si>
  <si>
    <r>
      <t>км 0,0-</t>
    </r>
    <r>
      <rPr>
        <sz val="12"/>
        <color rgb="FFFF0000"/>
        <rFont val="Times New Roman"/>
        <family val="1"/>
        <charset val="204"/>
      </rPr>
      <t>6,950</t>
    </r>
  </si>
  <si>
    <t>км 6,950-10,420</t>
  </si>
  <si>
    <r>
      <t>км 0,0-3,</t>
    </r>
    <r>
      <rPr>
        <sz val="12"/>
        <color rgb="FFFF0000"/>
        <rFont val="Times New Roman"/>
        <family val="1"/>
        <charset val="204"/>
      </rPr>
      <t>610</t>
    </r>
  </si>
  <si>
    <t>км 3,610-5,277</t>
  </si>
  <si>
    <t>км 2,300-3,440</t>
  </si>
  <si>
    <r>
      <t>км 0,0</t>
    </r>
    <r>
      <rPr>
        <sz val="12"/>
        <color rgb="FFFF0000"/>
        <rFont val="Times New Roman"/>
        <family val="1"/>
        <charset val="204"/>
      </rPr>
      <t>-2,300</t>
    </r>
  </si>
  <si>
    <t>км 4,180-4,430</t>
  </si>
  <si>
    <t>км 3,844-4,180</t>
  </si>
  <si>
    <t xml:space="preserve">км 0,0-0,230 совмещен с автомобильной дорогой необщего пользования </t>
  </si>
  <si>
    <r>
      <t>Подъезд к кладбищу д. Тараново и аг. Кадино от а/д М-8/Е 95 Граница Российской Федерации (Езерище)-Витебск-Гомель-граница Украины (Новая Гута) км 0,0-0,</t>
    </r>
    <r>
      <rPr>
        <b/>
        <sz val="12"/>
        <color rgb="FFFF0000"/>
        <rFont val="Times New Roman"/>
        <family val="1"/>
        <charset val="204"/>
      </rPr>
      <t>350</t>
    </r>
  </si>
  <si>
    <t>Подъезд № 2 к д. Мирогощь от а/д Н-14979 Подъезд № 1 к д. Мирогощь от автомобильной дороги Р-43/П 3 Подъезд к г. Черикову № 2 от автомобильной дороги Р-43 км 0,0-0,600</t>
  </si>
  <si>
    <r>
      <t>Подъезд к кладбищу д. Жолвинец от а/д Н-10229 Карповичи-Маковичи-Боровище км 0,0-0,</t>
    </r>
    <r>
      <rPr>
        <b/>
        <sz val="12"/>
        <color rgb="FFFF0000"/>
        <rFont val="Times New Roman"/>
        <family val="1"/>
        <charset val="204"/>
      </rPr>
      <t>700</t>
    </r>
  </si>
  <si>
    <r>
      <t xml:space="preserve">км </t>
    </r>
    <r>
      <rPr>
        <sz val="12"/>
        <color rgb="FFFF0000"/>
        <rFont val="Times New Roman"/>
        <family val="1"/>
        <charset val="204"/>
      </rPr>
      <t>1,700</t>
    </r>
    <r>
      <rPr>
        <sz val="12"/>
        <rFont val="Times New Roman"/>
        <family val="1"/>
        <charset val="204"/>
      </rPr>
      <t>-2,513</t>
    </r>
  </si>
  <si>
    <t>км 7,700-8,211</t>
  </si>
  <si>
    <t>км 8,211-11,935</t>
  </si>
  <si>
    <r>
      <t>км 2,513-</t>
    </r>
    <r>
      <rPr>
        <sz val="12"/>
        <color rgb="FFFF0000"/>
        <rFont val="Times New Roman"/>
        <family val="1"/>
        <charset val="204"/>
      </rPr>
      <t>7,700</t>
    </r>
  </si>
  <si>
    <r>
      <t>км 3,800-</t>
    </r>
    <r>
      <rPr>
        <sz val="12"/>
        <color rgb="FFFF0000"/>
        <rFont val="Times New Roman"/>
        <family val="1"/>
        <charset val="204"/>
      </rPr>
      <t>4,170</t>
    </r>
  </si>
  <si>
    <t>км 4,170-6,500</t>
  </si>
  <si>
    <t>км 3,650-4,055</t>
  </si>
  <si>
    <t>Ленина-Глыбов км 0,0-3,250</t>
  </si>
  <si>
    <t>км 1,200-3,630</t>
  </si>
  <si>
    <t>км 1,900-3,800</t>
  </si>
  <si>
    <t>км 1,510-1,670</t>
  </si>
  <si>
    <r>
      <t>Подъезд к упраздненной д. Куликовка от а/д Н-11276 Васьковичи–Бахань–Ректа км 0,0-7,</t>
    </r>
    <r>
      <rPr>
        <b/>
        <sz val="12"/>
        <color rgb="FFFF0000"/>
        <rFont val="Times New Roman"/>
        <family val="1"/>
        <charset val="204"/>
      </rPr>
      <t>149</t>
    </r>
  </si>
  <si>
    <t>км 7,129-1,149 обслуживается РУП "Могилевавтодор" (съезд Р-119)</t>
  </si>
  <si>
    <t>км 0,0-7,129</t>
  </si>
  <si>
    <r>
      <t>Подъезд к д. Рабовичи от а/д Р-138 Чаусы-Славгород (до автомобильной дороги Р-71) км 0,0-1,</t>
    </r>
    <r>
      <rPr>
        <b/>
        <sz val="12"/>
        <color rgb="FFFF0000"/>
        <rFont val="Times New Roman"/>
        <family val="1"/>
        <charset val="204"/>
      </rPr>
      <t>848</t>
    </r>
  </si>
  <si>
    <t>км 0,012-0,632</t>
  </si>
  <si>
    <t>км 0,632-1,644</t>
  </si>
  <si>
    <t>км 1,644-1,848</t>
  </si>
  <si>
    <t>км 1,299-2,940</t>
  </si>
  <si>
    <r>
      <t>км 0,0-1,</t>
    </r>
    <r>
      <rPr>
        <sz val="12"/>
        <color rgb="FFFF0000"/>
        <rFont val="Times New Roman"/>
        <family val="1"/>
        <charset val="204"/>
      </rPr>
      <t>299</t>
    </r>
  </si>
  <si>
    <t>км 0,088-2,507</t>
  </si>
  <si>
    <r>
      <t>Подъезд к п. Ухлясть от а/д Н-10151 Воронино–Трилесино–Бовки км 0,0-</t>
    </r>
    <r>
      <rPr>
        <b/>
        <sz val="12"/>
        <color rgb="FFFF0000"/>
        <rFont val="Times New Roman"/>
        <family val="1"/>
        <charset val="204"/>
      </rPr>
      <t>1,470</t>
    </r>
  </si>
  <si>
    <t>км 0,0-2,390</t>
  </si>
  <si>
    <t>км 2,390-3,756</t>
  </si>
  <si>
    <t>км 2,162-2,810</t>
  </si>
  <si>
    <r>
      <t>км 0,0-</t>
    </r>
    <r>
      <rPr>
        <sz val="12"/>
        <color rgb="FFFF0000"/>
        <rFont val="Times New Roman"/>
        <family val="1"/>
        <charset val="204"/>
      </rPr>
      <t>0,338</t>
    </r>
  </si>
  <si>
    <t>км 0,338-0,720</t>
  </si>
  <si>
    <t>км 0,720-0,910</t>
  </si>
  <si>
    <t>км 0,910-2,162</t>
  </si>
  <si>
    <t>км 0,702-2,035 - гравий</t>
  </si>
  <si>
    <t>км 0,0-0,033 обслуживается РУП "Могилевавтодор"  (съезд Р-43 )</t>
  </si>
  <si>
    <t>км 2,035-2,067 обслуживается РУП "Могилевавтодор"  (съезд Р-43 )</t>
  </si>
  <si>
    <r>
      <t>км 0,033-0,</t>
    </r>
    <r>
      <rPr>
        <sz val="12"/>
        <color rgb="FFFF0000"/>
        <rFont val="Times New Roman"/>
        <family val="1"/>
        <charset val="204"/>
      </rPr>
      <t>702</t>
    </r>
    <r>
      <rPr>
        <sz val="12"/>
        <rFont val="Times New Roman"/>
        <family val="1"/>
        <charset val="204"/>
      </rPr>
      <t xml:space="preserve"> - асфальтобетон</t>
    </r>
  </si>
  <si>
    <r>
      <t>Подъезд к д. Станы от а/д Р-43 Граница Российской Федерации (Звенчатка)-Кричев-Бобруйск-Ивацевичи (до автомобильной дороги Р-2/Е 85) км 0,0-2,0</t>
    </r>
    <r>
      <rPr>
        <b/>
        <sz val="12"/>
        <color rgb="FFFF0000"/>
        <rFont val="Times New Roman"/>
        <family val="1"/>
        <charset val="204"/>
      </rPr>
      <t>67</t>
    </r>
  </si>
  <si>
    <r>
      <t>Подъезд к кладбищу д. Бовшево от а/д Н-11013 Дашковка-Бовшево-Досова Селиба км 0,0-1,</t>
    </r>
    <r>
      <rPr>
        <b/>
        <sz val="12"/>
        <color rgb="FFFF0000"/>
        <rFont val="Times New Roman"/>
        <family val="1"/>
        <charset val="204"/>
      </rPr>
      <t>100</t>
    </r>
  </si>
  <si>
    <r>
      <t>км 0,000-0,</t>
    </r>
    <r>
      <rPr>
        <sz val="12"/>
        <color rgb="FFFF0000"/>
        <rFont val="Times New Roman"/>
        <family val="1"/>
        <charset val="204"/>
      </rPr>
      <t>700</t>
    </r>
  </si>
  <si>
    <t>км 2,355-2,383</t>
  </si>
  <si>
    <t>км 0,0-2,355</t>
  </si>
  <si>
    <t>км 2,383-3,510</t>
  </si>
  <si>
    <r>
      <t>Подъезд к д. Горная Улица от а/д Н-11011 Княжицы-Горная Улица км 0,0-</t>
    </r>
    <r>
      <rPr>
        <b/>
        <sz val="12"/>
        <color rgb="FFFF0000"/>
        <rFont val="Times New Roman"/>
        <family val="1"/>
        <charset val="204"/>
      </rPr>
      <t>1,300</t>
    </r>
  </si>
  <si>
    <t>км 0,0-1,252 совмещен с Н-14016 Подъездная дорога к филиалу «Больница медицинской реабилитации» учреждения здравоохранения «Могилевский областной лечебно-диагностический центр» от а/д М-8/Е 95 Граница Российской Федерации (Езерище)-Витебск-Гомель-граница Украины (Новая Гута)</t>
  </si>
  <si>
    <t>км 1,252-2,802</t>
  </si>
  <si>
    <r>
      <t>Подъезд к садоводческому товариществу "Профилактик" от а/д М-8/Е 95 Граница Российской Федерации (Езерище)-Витебск-Гомель-граница Украины (Новая Гута) км 0,0-</t>
    </r>
    <r>
      <rPr>
        <b/>
        <sz val="12"/>
        <color rgb="FFFF0000"/>
        <rFont val="Times New Roman"/>
        <family val="1"/>
        <charset val="204"/>
      </rPr>
      <t>2,802</t>
    </r>
  </si>
  <si>
    <r>
      <t>Подъезд к д. Латыщино от а/д Н-11503 Чериков-Удога-Веремейки км 0,0-</t>
    </r>
    <r>
      <rPr>
        <b/>
        <sz val="12"/>
        <color rgb="FFFF0000"/>
        <rFont val="Times New Roman"/>
        <family val="1"/>
        <charset val="204"/>
      </rPr>
      <t>0,740</t>
    </r>
  </si>
  <si>
    <r>
      <t>км 0,0-0,</t>
    </r>
    <r>
      <rPr>
        <sz val="12"/>
        <color rgb="FFFF0000"/>
        <rFont val="Times New Roman"/>
        <family val="1"/>
        <charset val="204"/>
      </rPr>
      <t>340</t>
    </r>
  </si>
  <si>
    <t>км 0,610-0,740</t>
  </si>
  <si>
    <t>км 0,340-0,610</t>
  </si>
  <si>
    <r>
      <t>Подъезд к садоводческому товариществу "Страховщик" от а/д Р-93 Могилев-Бобруйск км 0,0-0,</t>
    </r>
    <r>
      <rPr>
        <b/>
        <sz val="12"/>
        <color rgb="FFFF0000"/>
        <rFont val="Times New Roman"/>
        <family val="1"/>
        <charset val="204"/>
      </rPr>
      <t>600</t>
    </r>
  </si>
  <si>
    <t>км 1,880-4,600</t>
  </si>
  <si>
    <t>км 4,600-5,641</t>
  </si>
  <si>
    <t>км 0,230-0,350</t>
  </si>
  <si>
    <r>
      <t>км 0,0-</t>
    </r>
    <r>
      <rPr>
        <sz val="12"/>
        <color rgb="FFFF0000"/>
        <rFont val="Times New Roman"/>
        <family val="1"/>
        <charset val="204"/>
      </rPr>
      <t>15,600</t>
    </r>
  </si>
  <si>
    <t>км 15,600-24,300</t>
  </si>
  <si>
    <t>км 22,619-25,619</t>
  </si>
  <si>
    <r>
      <t xml:space="preserve">км </t>
    </r>
    <r>
      <rPr>
        <sz val="12"/>
        <color rgb="FFFF0000"/>
        <rFont val="Times New Roman"/>
        <family val="1"/>
        <charset val="204"/>
      </rPr>
      <t>25,619</t>
    </r>
    <r>
      <rPr>
        <sz val="12"/>
        <rFont val="Times New Roman"/>
        <family val="1"/>
      </rPr>
      <t>-33,200</t>
    </r>
  </si>
  <si>
    <t>км 0,0-0,245 ул гр с цементом</t>
  </si>
  <si>
    <r>
      <t>км 0,0-</t>
    </r>
    <r>
      <rPr>
        <sz val="12"/>
        <color rgb="FFFF0000"/>
        <rFont val="Times New Roman"/>
        <family val="1"/>
        <charset val="204"/>
      </rPr>
      <t>4,280</t>
    </r>
  </si>
  <si>
    <r>
      <t xml:space="preserve">км </t>
    </r>
    <r>
      <rPr>
        <sz val="12"/>
        <color rgb="FFFF0000"/>
        <rFont val="Times New Roman"/>
        <family val="1"/>
        <charset val="204"/>
      </rPr>
      <t>4,280</t>
    </r>
    <r>
      <rPr>
        <sz val="12"/>
        <color indexed="8"/>
        <rFont val="Times New Roman"/>
        <family val="1"/>
        <charset val="204"/>
      </rPr>
      <t>-4,500</t>
    </r>
  </si>
  <si>
    <t>км 13,000-16,400</t>
  </si>
  <si>
    <t>км 20,300-23,673</t>
  </si>
  <si>
    <t>км 23,673-23,708 (мост)</t>
  </si>
  <si>
    <t>км 23,708-27,408</t>
  </si>
  <si>
    <r>
      <t>км 0,0-</t>
    </r>
    <r>
      <rPr>
        <sz val="12"/>
        <color rgb="FFFF0000"/>
        <rFont val="Times New Roman"/>
        <family val="1"/>
        <charset val="204"/>
      </rPr>
      <t>13,000</t>
    </r>
  </si>
  <si>
    <r>
      <t xml:space="preserve">км </t>
    </r>
    <r>
      <rPr>
        <sz val="12"/>
        <color rgb="FFFF0000"/>
        <rFont val="Times New Roman"/>
        <family val="1"/>
        <charset val="204"/>
      </rPr>
      <t>16,400</t>
    </r>
    <r>
      <rPr>
        <sz val="12"/>
        <color indexed="8"/>
        <rFont val="Times New Roman"/>
        <family val="1"/>
      </rPr>
      <t>-18,452</t>
    </r>
  </si>
  <si>
    <r>
      <t>км 19,670-</t>
    </r>
    <r>
      <rPr>
        <sz val="12"/>
        <color rgb="FFFF0000"/>
        <rFont val="Times New Roman"/>
        <family val="1"/>
        <charset val="204"/>
      </rPr>
      <t>20,300</t>
    </r>
  </si>
  <si>
    <r>
      <rPr>
        <sz val="12"/>
        <color rgb="FFFF0000"/>
        <rFont val="Times New Roman"/>
        <family val="1"/>
        <charset val="204"/>
      </rPr>
      <t>км 27,408</t>
    </r>
    <r>
      <rPr>
        <sz val="12"/>
        <color indexed="8"/>
        <rFont val="Times New Roman"/>
        <family val="1"/>
      </rPr>
      <t>-31,100</t>
    </r>
  </si>
  <si>
    <t>км 24,379-24,428</t>
  </si>
  <si>
    <t>км 23,940-24,323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</si>
</sst>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_р_._-;\-* #,##0.00_р_._-;_-* &quot;-&quot;??_р_._-;_-@_-"/>
    <numFmt numFmtId="165" formatCode="0.0_)"/>
    <numFmt numFmtId="166" formatCode="0_)"/>
    <numFmt numFmtId="167" formatCode="0.0"/>
    <numFmt numFmtId="168" formatCode="0.00_)"/>
    <numFmt numFmtId="169" formatCode="0.000_)"/>
    <numFmt numFmtId="170" formatCode="#,##0.0_);\(#,##0.0\)"/>
    <numFmt numFmtId="171" formatCode="#,##0_);\(#,##0\)"/>
    <numFmt numFmtId="172" formatCode="#,##0.000_);\(#,##0.000\)"/>
    <numFmt numFmtId="173" formatCode="#,##0.00_);\(#,##0.00\)"/>
    <numFmt numFmtId="174" formatCode="0.000"/>
    <numFmt numFmtId="175" formatCode="#,##0.000"/>
    <numFmt numFmtId="176" formatCode="0.00000"/>
    <numFmt numFmtId="177" formatCode="0.0000_)"/>
  </numFmts>
  <fonts count="143" x14ac:knownFonts="1">
    <font>
      <sz val="12"/>
      <name val="Courier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2"/>
      <color indexed="14"/>
      <name val="Times New Roman"/>
      <family val="1"/>
      <charset val="204"/>
    </font>
    <font>
      <b/>
      <sz val="12"/>
      <color indexed="14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sz val="12"/>
      <name val="Courier"/>
      <family val="3"/>
    </font>
    <font>
      <sz val="12"/>
      <color indexed="8"/>
      <name val="Times New Roman"/>
      <family val="1"/>
    </font>
    <font>
      <sz val="12"/>
      <color indexed="14"/>
      <name val="Times New Roman"/>
      <family val="1"/>
    </font>
    <font>
      <sz val="12"/>
      <color indexed="12"/>
      <name val="Times New Roman"/>
      <family val="1"/>
    </font>
    <font>
      <b/>
      <sz val="16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Times New Roman Cyr"/>
      <family val="1"/>
      <charset val="204"/>
    </font>
    <font>
      <sz val="11"/>
      <name val="Times New Roman Cyr"/>
      <family val="1"/>
      <charset val="204"/>
    </font>
    <font>
      <sz val="12"/>
      <color indexed="8"/>
      <name val="Times New Roman Cyr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color indexed="8"/>
      <name val="Times New Roman Cyr"/>
      <family val="1"/>
      <charset val="204"/>
    </font>
    <font>
      <sz val="11"/>
      <color indexed="8"/>
      <name val="Times New Roman Cyr"/>
      <family val="1"/>
      <charset val="204"/>
    </font>
    <font>
      <b/>
      <sz val="12"/>
      <name val="Times New Roman"/>
      <family val="1"/>
    </font>
    <font>
      <b/>
      <sz val="10"/>
      <name val="Times New Roman"/>
      <family val="1"/>
      <charset val="204"/>
    </font>
    <font>
      <b/>
      <sz val="12"/>
      <name val="Courier"/>
      <family val="3"/>
    </font>
    <font>
      <b/>
      <sz val="11"/>
      <name val="Times New Roman"/>
      <family val="1"/>
      <charset val="204"/>
    </font>
    <font>
      <sz val="12"/>
      <color indexed="12"/>
      <name val="Times New Roman Cyr"/>
      <family val="1"/>
      <charset val="204"/>
    </font>
    <font>
      <b/>
      <sz val="11"/>
      <color indexed="8"/>
      <name val="Times New Roman Cyr"/>
      <charset val="204"/>
    </font>
    <font>
      <b/>
      <sz val="12"/>
      <color indexed="8"/>
      <name val="Times New Roman Cyr"/>
      <charset val="204"/>
    </font>
    <font>
      <sz val="12"/>
      <name val="Times New Roman"/>
      <family val="1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 Cyr"/>
      <charset val="204"/>
    </font>
    <font>
      <sz val="12"/>
      <name val="Times New Roman Cyr"/>
      <charset val="204"/>
    </font>
    <font>
      <sz val="12"/>
      <color indexed="8"/>
      <name val="Times New Roman Cyr"/>
      <charset val="204"/>
    </font>
    <font>
      <sz val="12"/>
      <color indexed="12"/>
      <name val="Times New Roman Cyr"/>
      <charset val="204"/>
    </font>
    <font>
      <b/>
      <sz val="12"/>
      <color indexed="14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u/>
      <sz val="12"/>
      <name val="Times New Roman"/>
      <family val="1"/>
      <charset val="204"/>
    </font>
    <font>
      <b/>
      <sz val="16"/>
      <name val="Times New Roman"/>
      <family val="1"/>
    </font>
    <font>
      <b/>
      <sz val="12"/>
      <color indexed="8"/>
      <name val="Times New Roman Cyr"/>
      <family val="1"/>
      <charset val="204"/>
    </font>
    <font>
      <b/>
      <sz val="12"/>
      <color indexed="10"/>
      <name val="Times New Roman Cyr"/>
      <family val="1"/>
      <charset val="204"/>
    </font>
    <font>
      <b/>
      <sz val="12"/>
      <color indexed="12"/>
      <name val="Times New Roman Cyr"/>
      <charset val="204"/>
    </font>
    <font>
      <b/>
      <sz val="12"/>
      <name val="Times New Roman Cyr"/>
      <family val="1"/>
      <charset val="204"/>
    </font>
    <font>
      <b/>
      <sz val="16"/>
      <name val="Times New Roman Cyr"/>
      <family val="1"/>
      <charset val="204"/>
    </font>
    <font>
      <sz val="12"/>
      <color indexed="18"/>
      <name val="Times New Roman"/>
      <family val="1"/>
    </font>
    <font>
      <sz val="11"/>
      <name val="Times New Roman"/>
      <family val="1"/>
      <charset val="204"/>
    </font>
    <font>
      <b/>
      <sz val="12"/>
      <color indexed="17"/>
      <name val="Times New Roman"/>
      <family val="1"/>
      <charset val="204"/>
    </font>
    <font>
      <sz val="12"/>
      <color indexed="17"/>
      <name val="Times New Roman"/>
      <family val="1"/>
      <charset val="204"/>
    </font>
    <font>
      <b/>
      <sz val="12"/>
      <color indexed="41"/>
      <name val="Times New Roman"/>
      <family val="1"/>
      <charset val="204"/>
    </font>
    <font>
      <sz val="12"/>
      <color indexed="41"/>
      <name val="Times New Roman"/>
      <family val="1"/>
      <charset val="204"/>
    </font>
    <font>
      <sz val="12"/>
      <color indexed="41"/>
      <name val="Times New Roman"/>
      <family val="1"/>
    </font>
    <font>
      <sz val="12"/>
      <color indexed="17"/>
      <name val="Times New Roman"/>
      <family val="1"/>
    </font>
    <font>
      <b/>
      <sz val="12"/>
      <color indexed="54"/>
      <name val="Times New Roman"/>
      <family val="1"/>
      <charset val="204"/>
    </font>
    <font>
      <sz val="12"/>
      <color indexed="54"/>
      <name val="Times New Roman"/>
      <family val="1"/>
      <charset val="204"/>
    </font>
    <font>
      <sz val="12"/>
      <color indexed="16"/>
      <name val="Times New Roman"/>
      <family val="1"/>
    </font>
    <font>
      <b/>
      <sz val="12"/>
      <color indexed="41"/>
      <name val="Times New Roman"/>
      <family val="1"/>
    </font>
    <font>
      <b/>
      <sz val="12"/>
      <color indexed="17"/>
      <name val="Times New Roman"/>
      <family val="1"/>
    </font>
    <font>
      <sz val="11"/>
      <color indexed="17"/>
      <name val="Times New Roman Cyr"/>
      <family val="1"/>
      <charset val="204"/>
    </font>
    <font>
      <b/>
      <sz val="12"/>
      <color indexed="17"/>
      <name val="Times New Roman Cyr"/>
      <charset val="204"/>
    </font>
    <font>
      <sz val="12"/>
      <color indexed="17"/>
      <name val="Times New Roman Cyr"/>
      <family val="1"/>
      <charset val="204"/>
    </font>
    <font>
      <sz val="12"/>
      <color indexed="17"/>
      <name val="Times New Roman Cyr"/>
      <charset val="204"/>
    </font>
    <font>
      <sz val="11"/>
      <color indexed="41"/>
      <name val="Times New Roman Cyr"/>
      <family val="1"/>
      <charset val="204"/>
    </font>
    <font>
      <b/>
      <sz val="12"/>
      <color indexed="41"/>
      <name val="Times New Roman Cyr"/>
      <charset val="204"/>
    </font>
    <font>
      <sz val="12"/>
      <color indexed="41"/>
      <name val="Times New Roman Cyr"/>
      <family val="1"/>
      <charset val="204"/>
    </font>
    <font>
      <sz val="12"/>
      <color indexed="41"/>
      <name val="Times New Roman Cyr"/>
      <charset val="204"/>
    </font>
    <font>
      <sz val="11"/>
      <color indexed="12"/>
      <name val="Times New Roman Cyr"/>
      <family val="1"/>
      <charset val="204"/>
    </font>
    <font>
      <b/>
      <sz val="12"/>
      <color indexed="54"/>
      <name val="Times New Roman"/>
      <family val="1"/>
    </font>
    <font>
      <sz val="12"/>
      <color indexed="54"/>
      <name val="Times New Roman"/>
      <family val="1"/>
    </font>
    <font>
      <b/>
      <sz val="12"/>
      <color indexed="16"/>
      <name val="Times New Roman"/>
      <family val="1"/>
    </font>
    <font>
      <sz val="11"/>
      <color indexed="54"/>
      <name val="Times New Roman Cyr"/>
      <family val="1"/>
      <charset val="204"/>
    </font>
    <font>
      <b/>
      <sz val="12"/>
      <color indexed="54"/>
      <name val="Times New Roman Cyr"/>
      <charset val="204"/>
    </font>
    <font>
      <sz val="12"/>
      <color indexed="54"/>
      <name val="Times New Roman Cyr"/>
      <family val="1"/>
      <charset val="204"/>
    </font>
    <font>
      <sz val="12"/>
      <color indexed="54"/>
      <name val="Times New Roman Cyr"/>
      <charset val="204"/>
    </font>
    <font>
      <b/>
      <u/>
      <sz val="12"/>
      <color indexed="8"/>
      <name val="Times New Roman"/>
      <family val="1"/>
    </font>
    <font>
      <b/>
      <sz val="14"/>
      <name val="Times New Roman"/>
      <family val="1"/>
    </font>
    <font>
      <b/>
      <i/>
      <sz val="12"/>
      <color indexed="8"/>
      <name val="Times New Roman"/>
      <family val="1"/>
    </font>
    <font>
      <b/>
      <u/>
      <sz val="12"/>
      <name val="Times New Roman"/>
      <family val="1"/>
    </font>
    <font>
      <b/>
      <u/>
      <sz val="12"/>
      <color indexed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9"/>
      <name val="Arial"/>
      <family val="2"/>
      <charset val="204"/>
    </font>
    <font>
      <sz val="9"/>
      <name val="Arial Black"/>
      <family val="2"/>
      <charset val="204"/>
    </font>
    <font>
      <b/>
      <sz val="11"/>
      <color indexed="10"/>
      <name val="Times New Roman"/>
      <family val="1"/>
      <charset val="204"/>
    </font>
    <font>
      <b/>
      <sz val="12"/>
      <color indexed="41"/>
      <name val="Times New Roman Cyr"/>
      <family val="1"/>
      <charset val="204"/>
    </font>
    <font>
      <b/>
      <sz val="12"/>
      <color indexed="50"/>
      <name val="Times New Roman"/>
      <family val="1"/>
      <charset val="204"/>
    </font>
    <font>
      <sz val="12"/>
      <color indexed="5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sz val="12"/>
      <color indexed="16"/>
      <name val="Times New Roman"/>
      <family val="1"/>
      <charset val="204"/>
    </font>
    <font>
      <sz val="12"/>
      <color indexed="16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2"/>
      <color indexed="50"/>
      <name val="Times New Roman"/>
      <family val="1"/>
    </font>
    <font>
      <b/>
      <sz val="12"/>
      <color indexed="53"/>
      <name val="Times New Roman"/>
      <family val="1"/>
    </font>
    <font>
      <sz val="12"/>
      <color indexed="53"/>
      <name val="Times New Roman"/>
      <family val="1"/>
      <charset val="204"/>
    </font>
    <font>
      <sz val="14"/>
      <name val="Times New Roman"/>
      <family val="1"/>
    </font>
    <font>
      <b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56"/>
      <name val="Times New Roman"/>
      <family val="1"/>
      <charset val="204"/>
    </font>
    <font>
      <sz val="12"/>
      <color indexed="50"/>
      <name val="Times New Roman Cyr"/>
      <charset val="204"/>
    </font>
    <font>
      <sz val="12"/>
      <color indexed="50"/>
      <name val="Times New Roman Cyr"/>
      <family val="1"/>
      <charset val="204"/>
    </font>
    <font>
      <sz val="11"/>
      <name val="Times New Roman Cyr"/>
      <charset val="204"/>
    </font>
    <font>
      <sz val="12"/>
      <color indexed="60"/>
      <name val="Times New Roman"/>
      <family val="1"/>
      <charset val="204"/>
    </font>
    <font>
      <sz val="11"/>
      <color indexed="17"/>
      <name val="Times New Roman"/>
      <family val="1"/>
      <charset val="204"/>
    </font>
    <font>
      <b/>
      <sz val="12"/>
      <color indexed="23"/>
      <name val="Times New Roman Cyr"/>
      <family val="1"/>
      <charset val="204"/>
    </font>
    <font>
      <b/>
      <sz val="11"/>
      <color indexed="23"/>
      <name val="Times New Roman"/>
      <family val="1"/>
      <charset val="204"/>
    </font>
    <font>
      <b/>
      <sz val="12"/>
      <color indexed="23"/>
      <name val="Times New Roman"/>
      <family val="1"/>
      <charset val="204"/>
    </font>
    <font>
      <b/>
      <sz val="12"/>
      <color indexed="12"/>
      <name val="Times New Roman Cyr"/>
      <family val="1"/>
      <charset val="204"/>
    </font>
    <font>
      <b/>
      <sz val="12"/>
      <color indexed="17"/>
      <name val="Times New Roman Cyr"/>
      <family val="1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b/>
      <sz val="12"/>
      <color indexed="53"/>
      <name val="Times New Roman"/>
      <family val="1"/>
      <charset val="204"/>
    </font>
    <font>
      <sz val="12"/>
      <color indexed="10"/>
      <name val="Times New Roman Cyr"/>
      <family val="1"/>
      <charset val="204"/>
    </font>
    <font>
      <b/>
      <sz val="12"/>
      <color rgb="FFFF0000"/>
      <name val="Times New Roman"/>
      <family val="1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sz val="11"/>
      <color rgb="FFC00000"/>
      <name val="Times New Roman Cyr"/>
      <charset val="204"/>
    </font>
    <font>
      <b/>
      <sz val="12"/>
      <color rgb="FFC00000"/>
      <name val="Times New Roman"/>
      <family val="1"/>
    </font>
    <font>
      <sz val="12"/>
      <color rgb="FFC00000"/>
      <name val="Times New Roman"/>
      <family val="1"/>
      <charset val="204"/>
    </font>
    <font>
      <sz val="12"/>
      <color rgb="FFFF0000"/>
      <name val="Times New Roman"/>
      <family val="1"/>
    </font>
    <font>
      <b/>
      <u/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name val="Times New Roman"/>
      <family val="1"/>
    </font>
    <font>
      <sz val="12"/>
      <color rgb="FFFF0000"/>
      <name val="Times New Roman Cyr"/>
      <charset val="204"/>
    </font>
    <font>
      <sz val="12"/>
      <color rgb="FFFF0000"/>
      <name val="Times New Roman Cyr"/>
      <family val="1"/>
      <charset val="204"/>
    </font>
    <font>
      <sz val="12"/>
      <color indexed="8"/>
      <name val="Calibri"/>
      <family val="2"/>
      <charset val="204"/>
    </font>
    <font>
      <sz val="11"/>
      <color rgb="FFFF0000"/>
      <name val="Times New Roman"/>
      <family val="1"/>
      <charset val="204"/>
    </font>
    <font>
      <b/>
      <sz val="12"/>
      <color rgb="FFFF0000"/>
      <name val="Times New Roman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auto="1"/>
      </top>
      <bottom/>
      <diagonal/>
    </border>
  </borders>
  <cellStyleXfs count="19">
    <xf numFmtId="0" fontId="0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1">
      <protection locked="0"/>
    </xf>
    <xf numFmtId="0" fontId="4" fillId="0" borderId="0">
      <protection locked="0"/>
    </xf>
    <xf numFmtId="0" fontId="4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" fillId="0" borderId="0">
      <protection locked="0"/>
    </xf>
    <xf numFmtId="0" fontId="19" fillId="0" borderId="0"/>
    <xf numFmtId="0" fontId="19" fillId="0" borderId="0"/>
    <xf numFmtId="164" fontId="2" fillId="0" borderId="0" applyFont="0" applyFill="0" applyBorder="0" applyAlignment="0" applyProtection="0"/>
    <xf numFmtId="0" fontId="3" fillId="0" borderId="0">
      <protection locked="0"/>
    </xf>
  </cellStyleXfs>
  <cellXfs count="3126">
    <xf numFmtId="0" fontId="0" fillId="0" borderId="0" xfId="0"/>
    <xf numFmtId="0" fontId="6" fillId="0" borderId="0" xfId="0" applyFont="1" applyFill="1" applyBorder="1"/>
    <xf numFmtId="0" fontId="7" fillId="0" borderId="0" xfId="0" applyFont="1" applyBorder="1"/>
    <xf numFmtId="0" fontId="7" fillId="0" borderId="0" xfId="0" applyFont="1"/>
    <xf numFmtId="0" fontId="6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center"/>
    </xf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>
      <alignment horizontal="center"/>
    </xf>
    <xf numFmtId="0" fontId="8" fillId="0" borderId="2" xfId="0" applyFont="1" applyFill="1" applyBorder="1" applyAlignment="1" applyProtection="1">
      <alignment horizontal="center"/>
    </xf>
    <xf numFmtId="0" fontId="9" fillId="0" borderId="0" xfId="0" applyFont="1"/>
    <xf numFmtId="0" fontId="8" fillId="0" borderId="2" xfId="0" applyFont="1" applyFill="1" applyBorder="1" applyAlignment="1">
      <alignment horizontal="center"/>
    </xf>
    <xf numFmtId="167" fontId="8" fillId="0" borderId="2" xfId="0" applyNumberFormat="1" applyFont="1" applyFill="1" applyBorder="1" applyAlignment="1" applyProtection="1">
      <alignment horizontal="center"/>
    </xf>
    <xf numFmtId="0" fontId="10" fillId="0" borderId="0" xfId="0" applyFont="1"/>
    <xf numFmtId="0" fontId="12" fillId="0" borderId="0" xfId="0" applyFont="1"/>
    <xf numFmtId="0" fontId="14" fillId="0" borderId="0" xfId="0" applyFont="1"/>
    <xf numFmtId="0" fontId="8" fillId="0" borderId="3" xfId="0" applyFont="1" applyFill="1" applyBorder="1" applyAlignment="1" applyProtection="1">
      <alignment horizont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 applyProtection="1">
      <alignment horizontal="center"/>
    </xf>
    <xf numFmtId="0" fontId="7" fillId="0" borderId="0" xfId="0" applyFont="1" applyAlignment="1">
      <alignment shrinkToFit="1"/>
    </xf>
    <xf numFmtId="0" fontId="17" fillId="0" borderId="0" xfId="0" applyFont="1" applyFill="1"/>
    <xf numFmtId="0" fontId="6" fillId="0" borderId="0" xfId="0" applyFont="1" applyFill="1"/>
    <xf numFmtId="0" fontId="6" fillId="0" borderId="0" xfId="0" applyFont="1" applyFill="1" applyAlignment="1" applyProtection="1"/>
    <xf numFmtId="0" fontId="6" fillId="0" borderId="0" xfId="0" applyFont="1" applyFill="1" applyAlignment="1">
      <alignment horizontal="center"/>
    </xf>
    <xf numFmtId="165" fontId="6" fillId="0" borderId="0" xfId="0" applyNumberFormat="1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left"/>
    </xf>
    <xf numFmtId="0" fontId="7" fillId="0" borderId="0" xfId="0" applyFont="1" applyFill="1" applyBorder="1" applyAlignment="1">
      <alignment horizontal="center"/>
    </xf>
    <xf numFmtId="167" fontId="7" fillId="0" borderId="0" xfId="0" applyNumberFormat="1" applyFont="1"/>
    <xf numFmtId="0" fontId="17" fillId="0" borderId="0" xfId="0" applyFont="1" applyFill="1" applyAlignment="1">
      <alignment horizontal="center"/>
    </xf>
    <xf numFmtId="0" fontId="19" fillId="0" borderId="0" xfId="0" applyFont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5" xfId="0" applyFont="1" applyFill="1" applyBorder="1" applyAlignment="1">
      <alignment horizontal="center"/>
    </xf>
    <xf numFmtId="1" fontId="8" fillId="0" borderId="2" xfId="0" applyNumberFormat="1" applyFont="1" applyFill="1" applyBorder="1" applyAlignment="1" applyProtection="1">
      <alignment horizontal="center"/>
    </xf>
    <xf numFmtId="0" fontId="9" fillId="0" borderId="2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8" fillId="0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8" fillId="0" borderId="4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 shrinkToFit="1"/>
    </xf>
    <xf numFmtId="0" fontId="8" fillId="0" borderId="7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/>
    </xf>
    <xf numFmtId="0" fontId="8" fillId="0" borderId="2" xfId="0" applyFont="1" applyFill="1" applyBorder="1" applyAlignment="1" applyProtection="1">
      <alignment horizontal="center" shrinkToFit="1"/>
    </xf>
    <xf numFmtId="1" fontId="8" fillId="0" borderId="2" xfId="0" applyNumberFormat="1" applyFont="1" applyFill="1" applyBorder="1" applyAlignment="1">
      <alignment horizontal="center"/>
    </xf>
    <xf numFmtId="1" fontId="9" fillId="0" borderId="6" xfId="0" applyNumberFormat="1" applyFont="1" applyBorder="1" applyAlignment="1">
      <alignment horizontal="center"/>
    </xf>
    <xf numFmtId="0" fontId="8" fillId="0" borderId="2" xfId="0" applyFont="1" applyFill="1" applyBorder="1" applyAlignment="1">
      <alignment horizontal="center" shrinkToFit="1"/>
    </xf>
    <xf numFmtId="0" fontId="7" fillId="0" borderId="0" xfId="0" applyFont="1" applyBorder="1" applyAlignment="1">
      <alignment horizontal="center" vertical="center"/>
    </xf>
    <xf numFmtId="1" fontId="8" fillId="0" borderId="2" xfId="0" applyNumberFormat="1" applyFont="1" applyFill="1" applyBorder="1" applyAlignment="1" applyProtection="1">
      <alignment horizontal="center" vertical="center"/>
    </xf>
    <xf numFmtId="0" fontId="7" fillId="0" borderId="8" xfId="0" applyFont="1" applyBorder="1"/>
    <xf numFmtId="0" fontId="19" fillId="0" borderId="0" xfId="0" applyFont="1"/>
    <xf numFmtId="0" fontId="0" fillId="0" borderId="0" xfId="0" applyAlignment="1">
      <alignment horizontal="center" vertical="center"/>
    </xf>
    <xf numFmtId="1" fontId="7" fillId="0" borderId="0" xfId="0" applyNumberFormat="1" applyFont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7" fillId="0" borderId="0" xfId="0" applyNumberFormat="1" applyFont="1"/>
    <xf numFmtId="0" fontId="7" fillId="0" borderId="0" xfId="0" applyFont="1" applyFill="1" applyBorder="1"/>
    <xf numFmtId="0" fontId="7" fillId="0" borderId="6" xfId="0" applyFont="1" applyBorder="1" applyAlignment="1">
      <alignment horizontal="center"/>
    </xf>
    <xf numFmtId="0" fontId="13" fillId="0" borderId="0" xfId="0" applyFont="1" applyBorder="1" applyAlignment="1" applyProtection="1">
      <alignment horizontal="center" vertical="center"/>
    </xf>
    <xf numFmtId="0" fontId="20" fillId="0" borderId="2" xfId="0" applyFont="1" applyFill="1" applyBorder="1" applyAlignment="1">
      <alignment horizontal="center"/>
    </xf>
    <xf numFmtId="0" fontId="7" fillId="0" borderId="0" xfId="0" applyFont="1" applyAlignment="1"/>
    <xf numFmtId="0" fontId="6" fillId="0" borderId="0" xfId="0" applyFont="1" applyFill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5" fillId="0" borderId="0" xfId="0" applyFont="1"/>
    <xf numFmtId="0" fontId="26" fillId="0" borderId="0" xfId="0" applyFont="1"/>
    <xf numFmtId="0" fontId="30" fillId="0" borderId="0" xfId="0" applyFont="1" applyFill="1" applyAlignment="1" applyProtection="1"/>
    <xf numFmtId="0" fontId="6" fillId="0" borderId="10" xfId="0" applyFont="1" applyFill="1" applyBorder="1" applyAlignment="1" applyProtection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>
      <alignment horizontal="center" vertical="center"/>
    </xf>
    <xf numFmtId="165" fontId="7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left"/>
    </xf>
    <xf numFmtId="0" fontId="7" fillId="0" borderId="5" xfId="0" applyFont="1" applyBorder="1" applyAlignment="1">
      <alignment horizontal="center" vertical="center"/>
    </xf>
    <xf numFmtId="165" fontId="7" fillId="0" borderId="5" xfId="0" applyNumberFormat="1" applyFont="1" applyBorder="1" applyAlignment="1" applyProtection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167" fontId="7" fillId="0" borderId="6" xfId="0" applyNumberFormat="1" applyFont="1" applyBorder="1" applyAlignment="1">
      <alignment horizontal="center" vertical="center"/>
    </xf>
    <xf numFmtId="165" fontId="8" fillId="0" borderId="2" xfId="0" applyNumberFormat="1" applyFont="1" applyFill="1" applyBorder="1" applyAlignment="1" applyProtection="1">
      <alignment horizontal="center" vertical="center"/>
    </xf>
    <xf numFmtId="165" fontId="13" fillId="0" borderId="2" xfId="0" applyNumberFormat="1" applyFont="1" applyFill="1" applyBorder="1" applyAlignment="1" applyProtection="1">
      <alignment horizontal="center" vertical="center"/>
    </xf>
    <xf numFmtId="166" fontId="8" fillId="0" borderId="2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</xf>
    <xf numFmtId="0" fontId="34" fillId="0" borderId="0" xfId="0" applyFont="1"/>
    <xf numFmtId="0" fontId="13" fillId="0" borderId="11" xfId="0" applyFont="1" applyFill="1" applyBorder="1" applyAlignment="1" applyProtection="1">
      <alignment horizontal="center" vertical="center"/>
    </xf>
    <xf numFmtId="0" fontId="7" fillId="0" borderId="2" xfId="0" applyFont="1" applyFill="1" applyBorder="1"/>
    <xf numFmtId="0" fontId="9" fillId="0" borderId="12" xfId="0" applyFont="1" applyFill="1" applyBorder="1" applyAlignment="1">
      <alignment horizontal="center" vertical="center"/>
    </xf>
    <xf numFmtId="166" fontId="9" fillId="0" borderId="13" xfId="0" applyNumberFormat="1" applyFont="1" applyFill="1" applyBorder="1" applyAlignment="1" applyProtection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/>
    <xf numFmtId="167" fontId="9" fillId="0" borderId="6" xfId="0" applyNumberFormat="1" applyFont="1" applyBorder="1" applyAlignment="1">
      <alignment horizontal="center" vertical="center"/>
    </xf>
    <xf numFmtId="0" fontId="9" fillId="0" borderId="2" xfId="0" applyFont="1" applyFill="1" applyBorder="1"/>
    <xf numFmtId="167" fontId="9" fillId="0" borderId="2" xfId="0" applyNumberFormat="1" applyFont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9" fillId="0" borderId="5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1" fontId="7" fillId="0" borderId="0" xfId="0" applyNumberFormat="1" applyFont="1" applyBorder="1"/>
    <xf numFmtId="167" fontId="13" fillId="0" borderId="5" xfId="0" applyNumberFormat="1" applyFont="1" applyBorder="1" applyAlignment="1">
      <alignment horizontal="center" vertical="center"/>
    </xf>
    <xf numFmtId="167" fontId="13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shrinkToFit="1"/>
    </xf>
    <xf numFmtId="0" fontId="6" fillId="0" borderId="0" xfId="0" applyFont="1" applyFill="1" applyAlignment="1">
      <alignment horizontal="center" shrinkToFit="1"/>
    </xf>
    <xf numFmtId="0" fontId="9" fillId="0" borderId="6" xfId="0" applyFont="1" applyBorder="1"/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1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1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shrinkToFit="1"/>
    </xf>
    <xf numFmtId="0" fontId="29" fillId="0" borderId="0" xfId="0" applyFont="1" applyFill="1" applyAlignment="1">
      <alignment horizontal="center" vertical="center" shrinkToFit="1"/>
    </xf>
    <xf numFmtId="0" fontId="8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167" fontId="8" fillId="0" borderId="2" xfId="0" applyNumberFormat="1" applyFont="1" applyFill="1" applyBorder="1" applyAlignment="1" applyProtection="1">
      <alignment horizontal="center" vertical="center"/>
    </xf>
    <xf numFmtId="167" fontId="13" fillId="0" borderId="2" xfId="0" applyNumberFormat="1" applyFont="1" applyFill="1" applyBorder="1" applyAlignment="1" applyProtection="1">
      <alignment horizontal="center" vertical="center"/>
    </xf>
    <xf numFmtId="167" fontId="13" fillId="0" borderId="2" xfId="0" applyNumberFormat="1" applyFont="1" applyFill="1" applyBorder="1" applyAlignment="1" applyProtection="1">
      <alignment horizontal="center" vertical="center"/>
      <protection locked="0"/>
    </xf>
    <xf numFmtId="167" fontId="8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14" xfId="0" applyFont="1" applyFill="1" applyBorder="1" applyAlignment="1" applyProtection="1">
      <alignment horizontal="center"/>
    </xf>
    <xf numFmtId="0" fontId="7" fillId="0" borderId="15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5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7" fillId="0" borderId="17" xfId="0" applyFont="1" applyBorder="1"/>
    <xf numFmtId="0" fontId="7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18" xfId="0" applyFont="1" applyBorder="1" applyAlignment="1">
      <alignment horizontal="center"/>
    </xf>
    <xf numFmtId="0" fontId="7" fillId="0" borderId="19" xfId="0" applyFont="1" applyBorder="1"/>
    <xf numFmtId="0" fontId="7" fillId="0" borderId="20" xfId="0" applyFont="1" applyBorder="1"/>
    <xf numFmtId="0" fontId="7" fillId="0" borderId="18" xfId="0" applyFont="1" applyBorder="1"/>
    <xf numFmtId="0" fontId="7" fillId="0" borderId="17" xfId="0" applyFont="1" applyBorder="1" applyAlignment="1">
      <alignment horizontal="center" vertical="center"/>
    </xf>
    <xf numFmtId="1" fontId="7" fillId="0" borderId="0" xfId="0" applyNumberFormat="1" applyFont="1" applyFill="1" applyAlignment="1">
      <alignment horizontal="center"/>
    </xf>
    <xf numFmtId="1" fontId="7" fillId="0" borderId="0" xfId="0" applyNumberFormat="1" applyFont="1" applyFill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7" fillId="0" borderId="0" xfId="0" applyFont="1" applyFill="1"/>
    <xf numFmtId="1" fontId="7" fillId="0" borderId="0" xfId="0" applyNumberFormat="1" applyFont="1" applyFill="1"/>
    <xf numFmtId="0" fontId="0" fillId="0" borderId="0" xfId="0" applyFill="1"/>
    <xf numFmtId="1" fontId="6" fillId="0" borderId="2" xfId="0" applyNumberFormat="1" applyFont="1" applyFill="1" applyBorder="1" applyAlignment="1" applyProtection="1">
      <alignment horizontal="center"/>
    </xf>
    <xf numFmtId="0" fontId="9" fillId="0" borderId="1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 applyProtection="1">
      <alignment horizontal="center" vertical="center" shrinkToFit="1"/>
    </xf>
    <xf numFmtId="0" fontId="13" fillId="0" borderId="5" xfId="0" applyFont="1" applyFill="1" applyBorder="1" applyAlignment="1" applyProtection="1">
      <alignment horizontal="center" vertical="center"/>
    </xf>
    <xf numFmtId="165" fontId="13" fillId="0" borderId="5" xfId="0" applyNumberFormat="1" applyFont="1" applyFill="1" applyBorder="1" applyAlignment="1" applyProtection="1">
      <alignment horizontal="center" vertical="center"/>
    </xf>
    <xf numFmtId="166" fontId="13" fillId="0" borderId="5" xfId="0" applyNumberFormat="1" applyFont="1" applyFill="1" applyBorder="1" applyAlignment="1" applyProtection="1">
      <alignment horizontal="center" vertical="center"/>
    </xf>
    <xf numFmtId="0" fontId="13" fillId="0" borderId="4" xfId="0" applyFont="1" applyFill="1" applyBorder="1" applyAlignment="1" applyProtection="1">
      <alignment horizontal="center" vertical="center"/>
    </xf>
    <xf numFmtId="1" fontId="13" fillId="0" borderId="5" xfId="0" applyNumberFormat="1" applyFont="1" applyFill="1" applyBorder="1" applyAlignment="1" applyProtection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/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26" xfId="0" applyFont="1" applyBorder="1"/>
    <xf numFmtId="0" fontId="9" fillId="0" borderId="0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1" xfId="0" applyFont="1" applyBorder="1"/>
    <xf numFmtId="0" fontId="9" fillId="0" borderId="17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 vertical="center"/>
    </xf>
    <xf numFmtId="0" fontId="7" fillId="0" borderId="19" xfId="0" applyFont="1" applyBorder="1" applyAlignment="1">
      <alignment horizontal="left" vertical="center"/>
    </xf>
    <xf numFmtId="0" fontId="7" fillId="0" borderId="19" xfId="0" applyFont="1" applyBorder="1" applyAlignment="1">
      <alignment horizontal="center" vertical="center"/>
    </xf>
    <xf numFmtId="1" fontId="7" fillId="0" borderId="19" xfId="0" applyNumberFormat="1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1" fontId="7" fillId="0" borderId="33" xfId="0" applyNumberFormat="1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left" vertical="center"/>
    </xf>
    <xf numFmtId="0" fontId="7" fillId="0" borderId="34" xfId="0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0" fontId="9" fillId="0" borderId="0" xfId="0" applyFont="1" applyAlignment="1"/>
    <xf numFmtId="0" fontId="40" fillId="0" borderId="0" xfId="0" applyFont="1" applyAlignment="1">
      <alignment vertical="center"/>
    </xf>
    <xf numFmtId="0" fontId="41" fillId="0" borderId="0" xfId="0" applyFont="1"/>
    <xf numFmtId="0" fontId="40" fillId="0" borderId="0" xfId="0" applyFont="1" applyAlignment="1">
      <alignment horizontal="right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2" xfId="0" applyFont="1" applyFill="1" applyBorder="1" applyAlignment="1" applyProtection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" fontId="13" fillId="0" borderId="2" xfId="0" applyNumberFormat="1" applyFont="1" applyFill="1" applyBorder="1" applyAlignment="1" applyProtection="1">
      <alignment horizontal="center" vertical="center"/>
    </xf>
    <xf numFmtId="167" fontId="12" fillId="0" borderId="0" xfId="0" applyNumberFormat="1" applyFont="1"/>
    <xf numFmtId="165" fontId="17" fillId="0" borderId="0" xfId="0" applyNumberFormat="1" applyFont="1" applyFill="1"/>
    <xf numFmtId="49" fontId="7" fillId="0" borderId="33" xfId="0" applyNumberFormat="1" applyFont="1" applyBorder="1" applyAlignment="1">
      <alignment horizontal="center" vertical="center"/>
    </xf>
    <xf numFmtId="2" fontId="8" fillId="0" borderId="5" xfId="0" applyNumberFormat="1" applyFont="1" applyFill="1" applyBorder="1" applyAlignment="1" applyProtection="1">
      <alignment horizontal="center"/>
    </xf>
    <xf numFmtId="2" fontId="8" fillId="0" borderId="2" xfId="0" applyNumberFormat="1" applyFont="1" applyFill="1" applyBorder="1" applyAlignment="1" applyProtection="1">
      <alignment horizontal="center"/>
    </xf>
    <xf numFmtId="2" fontId="8" fillId="0" borderId="2" xfId="0" applyNumberFormat="1" applyFont="1" applyFill="1" applyBorder="1" applyAlignment="1">
      <alignment horizontal="center"/>
    </xf>
    <xf numFmtId="2" fontId="6" fillId="0" borderId="2" xfId="0" applyNumberFormat="1" applyFont="1" applyFill="1" applyBorder="1" applyAlignment="1">
      <alignment horizontal="center"/>
    </xf>
    <xf numFmtId="2" fontId="9" fillId="0" borderId="2" xfId="0" applyNumberFormat="1" applyFont="1" applyBorder="1"/>
    <xf numFmtId="1" fontId="7" fillId="0" borderId="33" xfId="0" applyNumberFormat="1" applyFont="1" applyBorder="1" applyAlignment="1">
      <alignment horizontal="center" vertical="center"/>
    </xf>
    <xf numFmtId="2" fontId="7" fillId="0" borderId="19" xfId="0" applyNumberFormat="1" applyFont="1" applyFill="1" applyBorder="1" applyAlignment="1">
      <alignment horizontal="center" vertical="center"/>
    </xf>
    <xf numFmtId="2" fontId="7" fillId="0" borderId="33" xfId="0" applyNumberFormat="1" applyFont="1" applyFill="1" applyBorder="1" applyAlignment="1">
      <alignment horizontal="center" vertical="center"/>
    </xf>
    <xf numFmtId="2" fontId="7" fillId="0" borderId="15" xfId="0" applyNumberFormat="1" applyFont="1" applyBorder="1" applyAlignment="1">
      <alignment horizontal="center" vertical="center"/>
    </xf>
    <xf numFmtId="2" fontId="7" fillId="0" borderId="33" xfId="0" applyNumberFormat="1" applyFont="1" applyBorder="1" applyAlignment="1">
      <alignment horizontal="center" vertical="center"/>
    </xf>
    <xf numFmtId="2" fontId="7" fillId="0" borderId="15" xfId="0" applyNumberFormat="1" applyFont="1" applyFill="1" applyBorder="1" applyAlignment="1">
      <alignment horizontal="center" vertical="center"/>
    </xf>
    <xf numFmtId="167" fontId="13" fillId="0" borderId="0" xfId="0" applyNumberFormat="1" applyFont="1" applyBorder="1" applyAlignment="1" applyProtection="1">
      <alignment horizontal="center" vertical="center"/>
    </xf>
    <xf numFmtId="166" fontId="13" fillId="0" borderId="0" xfId="0" applyNumberFormat="1" applyFont="1" applyBorder="1" applyAlignment="1" applyProtection="1">
      <alignment horizontal="center" vertical="center"/>
    </xf>
    <xf numFmtId="2" fontId="7" fillId="0" borderId="5" xfId="0" applyNumberFormat="1" applyFont="1" applyBorder="1" applyAlignment="1" applyProtection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 applyProtection="1">
      <alignment horizontal="center" vertical="center"/>
    </xf>
    <xf numFmtId="2" fontId="9" fillId="0" borderId="2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2" fontId="9" fillId="0" borderId="2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/>
    </xf>
    <xf numFmtId="2" fontId="8" fillId="0" borderId="2" xfId="0" applyNumberFormat="1" applyFont="1" applyFill="1" applyBorder="1" applyAlignment="1" applyProtection="1">
      <alignment horizontal="center" vertical="center"/>
      <protection locked="0"/>
    </xf>
    <xf numFmtId="2" fontId="6" fillId="0" borderId="2" xfId="0" applyNumberFormat="1" applyFont="1" applyFill="1" applyBorder="1" applyAlignment="1" applyProtection="1">
      <alignment horizontal="center" vertical="center"/>
      <protection locked="0"/>
    </xf>
    <xf numFmtId="2" fontId="8" fillId="0" borderId="3" xfId="0" applyNumberFormat="1" applyFont="1" applyFill="1" applyBorder="1" applyAlignment="1" applyProtection="1">
      <alignment horizontal="center"/>
    </xf>
    <xf numFmtId="2" fontId="7" fillId="0" borderId="5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/>
    </xf>
    <xf numFmtId="2" fontId="9" fillId="0" borderId="2" xfId="0" applyNumberFormat="1" applyFont="1" applyFill="1" applyBorder="1" applyAlignment="1">
      <alignment horizontal="center"/>
    </xf>
    <xf numFmtId="2" fontId="13" fillId="0" borderId="5" xfId="0" applyNumberFormat="1" applyFont="1" applyFill="1" applyBorder="1" applyAlignment="1" applyProtection="1">
      <alignment horizontal="center" vertical="center"/>
    </xf>
    <xf numFmtId="0" fontId="9" fillId="0" borderId="10" xfId="0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7" fillId="0" borderId="35" xfId="0" applyFont="1" applyBorder="1" applyAlignment="1">
      <alignment horizontal="center" vertical="center"/>
    </xf>
    <xf numFmtId="2" fontId="41" fillId="0" borderId="0" xfId="0" applyNumberFormat="1" applyFont="1"/>
    <xf numFmtId="2" fontId="7" fillId="0" borderId="0" xfId="0" applyNumberFormat="1" applyFont="1"/>
    <xf numFmtId="0" fontId="26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wrapText="1"/>
    </xf>
    <xf numFmtId="0" fontId="7" fillId="0" borderId="2" xfId="0" applyFont="1" applyBorder="1" applyAlignment="1">
      <alignment wrapText="1"/>
    </xf>
    <xf numFmtId="167" fontId="13" fillId="0" borderId="5" xfId="0" applyNumberFormat="1" applyFont="1" applyFill="1" applyBorder="1" applyAlignment="1" applyProtection="1">
      <alignment horizontal="center" vertical="center"/>
    </xf>
    <xf numFmtId="167" fontId="13" fillId="0" borderId="7" xfId="0" applyNumberFormat="1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 shrinkToFit="1"/>
    </xf>
    <xf numFmtId="2" fontId="13" fillId="0" borderId="2" xfId="0" applyNumberFormat="1" applyFont="1" applyFill="1" applyBorder="1" applyAlignment="1" applyProtection="1">
      <alignment horizontal="center" vertical="center"/>
    </xf>
    <xf numFmtId="167" fontId="13" fillId="0" borderId="6" xfId="0" applyNumberFormat="1" applyFont="1" applyFill="1" applyBorder="1" applyAlignment="1" applyProtection="1">
      <alignment horizontal="center" vertical="center"/>
    </xf>
    <xf numFmtId="0" fontId="13" fillId="0" borderId="11" xfId="0" applyFont="1" applyFill="1" applyBorder="1" applyAlignment="1" applyProtection="1">
      <alignment horizontal="center" vertical="center" shrinkToFit="1"/>
    </xf>
    <xf numFmtId="2" fontId="13" fillId="0" borderId="11" xfId="0" applyNumberFormat="1" applyFont="1" applyFill="1" applyBorder="1" applyAlignment="1" applyProtection="1">
      <alignment horizontal="center" vertical="center"/>
    </xf>
    <xf numFmtId="168" fontId="8" fillId="0" borderId="2" xfId="0" applyNumberFormat="1" applyFont="1" applyFill="1" applyBorder="1" applyAlignment="1" applyProtection="1">
      <alignment horizontal="center" vertical="center"/>
    </xf>
    <xf numFmtId="168" fontId="13" fillId="0" borderId="2" xfId="0" applyNumberFormat="1" applyFont="1" applyFill="1" applyBorder="1" applyAlignment="1" applyProtection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7" fillId="0" borderId="6" xfId="0" applyFont="1" applyBorder="1"/>
    <xf numFmtId="165" fontId="9" fillId="0" borderId="2" xfId="0" applyNumberFormat="1" applyFont="1" applyBorder="1" applyAlignment="1" applyProtection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 applyProtection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0" fontId="8" fillId="0" borderId="2" xfId="0" applyFont="1" applyFill="1" applyBorder="1" applyAlignment="1" applyProtection="1">
      <alignment wrapText="1"/>
    </xf>
    <xf numFmtId="0" fontId="6" fillId="0" borderId="2" xfId="0" applyFont="1" applyFill="1" applyBorder="1" applyAlignment="1" applyProtection="1">
      <alignment wrapText="1"/>
    </xf>
    <xf numFmtId="0" fontId="44" fillId="0" borderId="2" xfId="0" applyFont="1" applyFill="1" applyBorder="1" applyAlignment="1" applyProtection="1">
      <alignment wrapText="1"/>
    </xf>
    <xf numFmtId="0" fontId="20" fillId="0" borderId="2" xfId="0" applyFont="1" applyFill="1" applyBorder="1" applyAlignment="1" applyProtection="1">
      <alignment wrapText="1"/>
    </xf>
    <xf numFmtId="0" fontId="22" fillId="0" borderId="2" xfId="0" applyFont="1" applyFill="1" applyBorder="1" applyAlignment="1" applyProtection="1">
      <alignment wrapText="1"/>
    </xf>
    <xf numFmtId="0" fontId="8" fillId="0" borderId="2" xfId="0" applyFont="1" applyFill="1" applyBorder="1" applyAlignment="1" applyProtection="1">
      <alignment horizontal="center" vertical="top" shrinkToFit="1"/>
    </xf>
    <xf numFmtId="0" fontId="8" fillId="0" borderId="8" xfId="0" applyFont="1" applyFill="1" applyBorder="1" applyAlignment="1" applyProtection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174" fontId="8" fillId="0" borderId="5" xfId="0" applyNumberFormat="1" applyFont="1" applyFill="1" applyBorder="1" applyAlignment="1" applyProtection="1">
      <alignment horizontal="center"/>
    </xf>
    <xf numFmtId="174" fontId="8" fillId="0" borderId="2" xfId="0" applyNumberFormat="1" applyFont="1" applyFill="1" applyBorder="1" applyAlignment="1" applyProtection="1">
      <alignment horizontal="center"/>
    </xf>
    <xf numFmtId="174" fontId="6" fillId="0" borderId="2" xfId="0" applyNumberFormat="1" applyFont="1" applyFill="1" applyBorder="1" applyAlignment="1" applyProtection="1">
      <alignment horizontal="center"/>
    </xf>
    <xf numFmtId="174" fontId="14" fillId="0" borderId="2" xfId="0" applyNumberFormat="1" applyFont="1" applyFill="1" applyBorder="1" applyAlignment="1" applyProtection="1">
      <alignment horizontal="center"/>
    </xf>
    <xf numFmtId="174" fontId="10" fillId="0" borderId="2" xfId="0" applyNumberFormat="1" applyFont="1" applyFill="1" applyBorder="1" applyAlignment="1" applyProtection="1">
      <alignment horizontal="center"/>
    </xf>
    <xf numFmtId="174" fontId="12" fillId="0" borderId="2" xfId="0" applyNumberFormat="1" applyFont="1" applyFill="1" applyBorder="1" applyAlignment="1" applyProtection="1">
      <alignment horizontal="center"/>
    </xf>
    <xf numFmtId="174" fontId="15" fillId="0" borderId="2" xfId="0" applyNumberFormat="1" applyFont="1" applyFill="1" applyBorder="1" applyAlignment="1" applyProtection="1">
      <alignment horizontal="center"/>
    </xf>
    <xf numFmtId="174" fontId="20" fillId="0" borderId="2" xfId="0" applyNumberFormat="1" applyFont="1" applyFill="1" applyBorder="1" applyAlignment="1" applyProtection="1">
      <alignment horizontal="center"/>
    </xf>
    <xf numFmtId="2" fontId="13" fillId="0" borderId="5" xfId="0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/>
    </xf>
    <xf numFmtId="2" fontId="7" fillId="0" borderId="37" xfId="0" applyNumberFormat="1" applyFont="1" applyBorder="1" applyAlignment="1">
      <alignment horizontal="center"/>
    </xf>
    <xf numFmtId="0" fontId="9" fillId="0" borderId="3" xfId="0" applyFont="1" applyBorder="1" applyAlignment="1">
      <alignment wrapText="1"/>
    </xf>
    <xf numFmtId="2" fontId="9" fillId="0" borderId="6" xfId="0" applyNumberFormat="1" applyFont="1" applyBorder="1" applyAlignment="1">
      <alignment horizontal="center"/>
    </xf>
    <xf numFmtId="2" fontId="13" fillId="0" borderId="2" xfId="0" applyNumberFormat="1" applyFont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0" fontId="9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Fill="1" applyBorder="1" applyAlignment="1" applyProtection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167" fontId="13" fillId="0" borderId="10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0" fontId="9" fillId="0" borderId="10" xfId="0" applyNumberFormat="1" applyFont="1" applyBorder="1" applyAlignment="1">
      <alignment horizontal="center" vertical="center"/>
    </xf>
    <xf numFmtId="0" fontId="44" fillId="0" borderId="2" xfId="0" applyFont="1" applyFill="1" applyBorder="1" applyAlignment="1" applyProtection="1">
      <alignment horizontal="center"/>
    </xf>
    <xf numFmtId="2" fontId="44" fillId="0" borderId="2" xfId="0" applyNumberFormat="1" applyFont="1" applyFill="1" applyBorder="1" applyAlignment="1" applyProtection="1">
      <alignment horizontal="center"/>
    </xf>
    <xf numFmtId="0" fontId="44" fillId="0" borderId="2" xfId="0" applyFont="1" applyFill="1" applyBorder="1" applyAlignment="1">
      <alignment horizontal="center"/>
    </xf>
    <xf numFmtId="2" fontId="44" fillId="0" borderId="2" xfId="0" applyNumberFormat="1" applyFont="1" applyFill="1" applyBorder="1" applyAlignment="1">
      <alignment horizontal="center"/>
    </xf>
    <xf numFmtId="2" fontId="39" fillId="0" borderId="2" xfId="0" applyNumberFormat="1" applyFont="1" applyFill="1" applyBorder="1" applyAlignment="1" applyProtection="1">
      <alignment horizontal="center"/>
    </xf>
    <xf numFmtId="2" fontId="32" fillId="0" borderId="2" xfId="0" applyNumberFormat="1" applyFont="1" applyFill="1" applyBorder="1" applyAlignment="1" applyProtection="1">
      <alignment horizontal="center"/>
    </xf>
    <xf numFmtId="2" fontId="20" fillId="0" borderId="2" xfId="0" applyNumberFormat="1" applyFont="1" applyFill="1" applyBorder="1" applyAlignment="1">
      <alignment horizontal="center"/>
    </xf>
    <xf numFmtId="0" fontId="32" fillId="0" borderId="2" xfId="0" applyFont="1" applyFill="1" applyBorder="1" applyAlignment="1" applyProtection="1">
      <alignment horizontal="center"/>
    </xf>
    <xf numFmtId="0" fontId="32" fillId="0" borderId="6" xfId="0" applyFont="1" applyBorder="1" applyAlignment="1">
      <alignment horizontal="center"/>
    </xf>
    <xf numFmtId="0" fontId="39" fillId="0" borderId="2" xfId="0" applyFont="1" applyFill="1" applyBorder="1" applyAlignment="1" applyProtection="1">
      <alignment horizontal="center"/>
    </xf>
    <xf numFmtId="0" fontId="44" fillId="0" borderId="10" xfId="0" applyFont="1" applyFill="1" applyBorder="1" applyAlignment="1" applyProtection="1">
      <alignment horizontal="center"/>
    </xf>
    <xf numFmtId="0" fontId="32" fillId="0" borderId="3" xfId="0" applyFont="1" applyFill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center"/>
    </xf>
    <xf numFmtId="0" fontId="44" fillId="0" borderId="10" xfId="0" applyFont="1" applyFill="1" applyBorder="1" applyAlignment="1" applyProtection="1">
      <alignment wrapText="1"/>
    </xf>
    <xf numFmtId="0" fontId="7" fillId="0" borderId="43" xfId="0" applyFont="1" applyBorder="1" applyAlignment="1">
      <alignment horizontal="center"/>
    </xf>
    <xf numFmtId="2" fontId="9" fillId="0" borderId="43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0" fontId="9" fillId="0" borderId="10" xfId="0" applyFont="1" applyFill="1" applyBorder="1" applyAlignment="1">
      <alignment wrapText="1"/>
    </xf>
    <xf numFmtId="1" fontId="7" fillId="0" borderId="5" xfId="0" applyNumberFormat="1" applyFont="1" applyBorder="1" applyAlignment="1">
      <alignment horizontal="center"/>
    </xf>
    <xf numFmtId="0" fontId="8" fillId="0" borderId="8" xfId="0" applyFont="1" applyFill="1" applyBorder="1" applyAlignment="1" applyProtection="1">
      <alignment horizontal="center" vertical="justify"/>
    </xf>
    <xf numFmtId="0" fontId="8" fillId="0" borderId="2" xfId="0" applyFont="1" applyFill="1" applyBorder="1" applyAlignment="1" applyProtection="1">
      <alignment horizontal="center" vertical="justify" shrinkToFit="1"/>
    </xf>
    <xf numFmtId="0" fontId="8" fillId="0" borderId="8" xfId="0" applyFont="1" applyFill="1" applyBorder="1" applyAlignment="1">
      <alignment horizontal="center" vertical="justify"/>
    </xf>
    <xf numFmtId="0" fontId="8" fillId="0" borderId="2" xfId="0" applyFont="1" applyFill="1" applyBorder="1" applyAlignment="1">
      <alignment horizontal="center" vertical="justify" shrinkToFit="1"/>
    </xf>
    <xf numFmtId="0" fontId="8" fillId="0" borderId="38" xfId="0" applyFont="1" applyFill="1" applyBorder="1" applyAlignment="1">
      <alignment horizontal="center" vertical="justify"/>
    </xf>
    <xf numFmtId="0" fontId="8" fillId="0" borderId="10" xfId="0" applyFont="1" applyFill="1" applyBorder="1" applyAlignment="1" applyProtection="1">
      <alignment horizontal="center" vertical="justify" shrinkToFit="1"/>
    </xf>
    <xf numFmtId="14" fontId="7" fillId="0" borderId="2" xfId="0" applyNumberFormat="1" applyFont="1" applyBorder="1"/>
    <xf numFmtId="0" fontId="8" fillId="0" borderId="5" xfId="0" applyFont="1" applyFill="1" applyBorder="1" applyAlignment="1" applyProtection="1">
      <alignment horizontal="center"/>
      <protection locked="0"/>
    </xf>
    <xf numFmtId="166" fontId="8" fillId="0" borderId="5" xfId="0" applyNumberFormat="1" applyFont="1" applyFill="1" applyBorder="1" applyAlignment="1" applyProtection="1">
      <alignment horizontal="center"/>
      <protection locked="0"/>
    </xf>
    <xf numFmtId="0" fontId="8" fillId="0" borderId="2" xfId="0" applyFont="1" applyFill="1" applyBorder="1" applyAlignment="1" applyProtection="1">
      <alignment wrapText="1"/>
      <protection locked="0"/>
    </xf>
    <xf numFmtId="0" fontId="6" fillId="0" borderId="2" xfId="0" applyFont="1" applyFill="1" applyBorder="1" applyAlignment="1" applyProtection="1">
      <alignment wrapText="1"/>
      <protection locked="0"/>
    </xf>
    <xf numFmtId="0" fontId="8" fillId="0" borderId="2" xfId="0" applyFont="1" applyFill="1" applyBorder="1" applyAlignment="1" applyProtection="1">
      <alignment horizontal="center" vertical="justify"/>
    </xf>
    <xf numFmtId="0" fontId="6" fillId="0" borderId="8" xfId="0" applyFont="1" applyFill="1" applyBorder="1" applyAlignment="1">
      <alignment horizontal="center" vertical="justify"/>
    </xf>
    <xf numFmtId="0" fontId="6" fillId="0" borderId="2" xfId="0" applyFont="1" applyFill="1" applyBorder="1" applyAlignment="1">
      <alignment horizontal="center" vertical="justify"/>
    </xf>
    <xf numFmtId="0" fontId="6" fillId="0" borderId="8" xfId="0" applyFont="1" applyFill="1" applyBorder="1" applyAlignment="1" applyProtection="1">
      <alignment horizontal="center" vertical="justify"/>
      <protection locked="0"/>
    </xf>
    <xf numFmtId="0" fontId="6" fillId="0" borderId="2" xfId="0" applyFont="1" applyFill="1" applyBorder="1" applyAlignment="1" applyProtection="1">
      <alignment horizontal="center" vertical="justify"/>
      <protection locked="0"/>
    </xf>
    <xf numFmtId="0" fontId="6" fillId="0" borderId="8" xfId="0" applyFont="1" applyFill="1" applyBorder="1" applyAlignment="1" applyProtection="1">
      <alignment horizontal="center" vertical="justify"/>
    </xf>
    <xf numFmtId="0" fontId="6" fillId="0" borderId="2" xfId="0" applyFont="1" applyFill="1" applyBorder="1" applyAlignment="1" applyProtection="1">
      <alignment horizontal="center" vertical="justify"/>
    </xf>
    <xf numFmtId="0" fontId="9" fillId="0" borderId="2" xfId="0" applyFont="1" applyBorder="1" applyAlignment="1">
      <alignment horizontal="center" vertical="justify"/>
    </xf>
    <xf numFmtId="0" fontId="8" fillId="0" borderId="10" xfId="0" applyFont="1" applyFill="1" applyBorder="1" applyAlignment="1" applyProtection="1">
      <alignment horizontal="center" vertical="justify"/>
    </xf>
    <xf numFmtId="0" fontId="7" fillId="0" borderId="8" xfId="0" applyFont="1" applyBorder="1" applyAlignment="1">
      <alignment vertical="justify"/>
    </xf>
    <xf numFmtId="0" fontId="7" fillId="0" borderId="2" xfId="0" applyFont="1" applyBorder="1" applyAlignment="1">
      <alignment horizontal="center" vertical="justify"/>
    </xf>
    <xf numFmtId="0" fontId="8" fillId="0" borderId="38" xfId="0" applyFont="1" applyFill="1" applyBorder="1" applyAlignment="1" applyProtection="1">
      <alignment horizontal="center" vertical="justify"/>
    </xf>
    <xf numFmtId="0" fontId="9" fillId="0" borderId="8" xfId="0" applyFont="1" applyBorder="1" applyAlignment="1">
      <alignment horizontal="center" vertical="justify"/>
    </xf>
    <xf numFmtId="0" fontId="38" fillId="0" borderId="2" xfId="0" applyFont="1" applyFill="1" applyBorder="1" applyAlignment="1" applyProtection="1">
      <alignment wrapText="1"/>
    </xf>
    <xf numFmtId="0" fontId="45" fillId="0" borderId="2" xfId="0" applyFont="1" applyFill="1" applyBorder="1" applyAlignment="1" applyProtection="1">
      <alignment wrapText="1"/>
    </xf>
    <xf numFmtId="0" fontId="38" fillId="0" borderId="2" xfId="0" applyFont="1" applyFill="1" applyBorder="1" applyAlignment="1">
      <alignment horizontal="left" wrapText="1" shrinkToFit="1"/>
    </xf>
    <xf numFmtId="0" fontId="38" fillId="0" borderId="2" xfId="0" applyFont="1" applyFill="1" applyBorder="1" applyAlignment="1" applyProtection="1">
      <alignment horizontal="left" wrapText="1"/>
    </xf>
    <xf numFmtId="0" fontId="37" fillId="0" borderId="2" xfId="0" applyFont="1" applyFill="1" applyBorder="1" applyAlignment="1" applyProtection="1">
      <alignment horizontal="center" vertical="justify" shrinkToFit="1"/>
    </xf>
    <xf numFmtId="0" fontId="31" fillId="0" borderId="2" xfId="0" applyFont="1" applyFill="1" applyBorder="1" applyAlignment="1">
      <alignment horizontal="center" vertical="justify" shrinkToFit="1"/>
    </xf>
    <xf numFmtId="0" fontId="31" fillId="0" borderId="2" xfId="0" applyFont="1" applyFill="1" applyBorder="1" applyAlignment="1" applyProtection="1">
      <alignment horizontal="center" vertical="justify" shrinkToFit="1"/>
    </xf>
    <xf numFmtId="0" fontId="26" fillId="0" borderId="2" xfId="0" applyFont="1" applyFill="1" applyBorder="1" applyAlignment="1">
      <alignment horizontal="center" vertical="justify" shrinkToFit="1"/>
    </xf>
    <xf numFmtId="0" fontId="37" fillId="0" borderId="2" xfId="0" applyFont="1" applyFill="1" applyBorder="1" applyAlignment="1">
      <alignment horizontal="center" vertical="justify" shrinkToFit="1"/>
    </xf>
    <xf numFmtId="0" fontId="26" fillId="0" borderId="2" xfId="0" applyFont="1" applyBorder="1" applyAlignment="1">
      <alignment horizontal="center" vertical="justify"/>
    </xf>
    <xf numFmtId="0" fontId="52" fillId="0" borderId="5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/>
    </xf>
    <xf numFmtId="2" fontId="7" fillId="0" borderId="2" xfId="0" applyNumberFormat="1" applyFont="1" applyBorder="1"/>
    <xf numFmtId="2" fontId="7" fillId="0" borderId="43" xfId="0" applyNumberFormat="1" applyFont="1" applyBorder="1"/>
    <xf numFmtId="165" fontId="13" fillId="0" borderId="5" xfId="0" applyNumberFormat="1" applyFont="1" applyFill="1" applyBorder="1" applyAlignment="1" applyProtection="1">
      <alignment horizontal="left" vertical="center"/>
    </xf>
    <xf numFmtId="165" fontId="13" fillId="0" borderId="2" xfId="0" applyNumberFormat="1" applyFont="1" applyFill="1" applyBorder="1" applyAlignment="1" applyProtection="1">
      <alignment horizontal="left" vertical="center"/>
    </xf>
    <xf numFmtId="0" fontId="13" fillId="0" borderId="38" xfId="0" applyFont="1" applyFill="1" applyBorder="1" applyAlignment="1">
      <alignment horizontal="center" vertical="center"/>
    </xf>
    <xf numFmtId="0" fontId="13" fillId="0" borderId="10" xfId="0" applyFont="1" applyFill="1" applyBorder="1" applyAlignment="1" applyProtection="1">
      <alignment horizontal="center" vertical="center" shrinkToFit="1"/>
    </xf>
    <xf numFmtId="168" fontId="13" fillId="0" borderId="10" xfId="0" applyNumberFormat="1" applyFont="1" applyFill="1" applyBorder="1" applyAlignment="1" applyProtection="1">
      <alignment horizontal="center" vertical="center"/>
    </xf>
    <xf numFmtId="165" fontId="13" fillId="0" borderId="10" xfId="0" applyNumberFormat="1" applyFont="1" applyFill="1" applyBorder="1" applyAlignment="1" applyProtection="1">
      <alignment horizontal="center" vertical="center"/>
    </xf>
    <xf numFmtId="166" fontId="13" fillId="0" borderId="10" xfId="0" applyNumberFormat="1" applyFont="1" applyFill="1" applyBorder="1" applyAlignment="1" applyProtection="1">
      <alignment horizontal="center" vertical="center"/>
    </xf>
    <xf numFmtId="165" fontId="13" fillId="0" borderId="10" xfId="0" applyNumberFormat="1" applyFont="1" applyFill="1" applyBorder="1" applyAlignment="1" applyProtection="1">
      <alignment horizontal="left" vertical="center"/>
    </xf>
    <xf numFmtId="0" fontId="39" fillId="0" borderId="2" xfId="0" applyFont="1" applyBorder="1" applyAlignment="1">
      <alignment wrapText="1"/>
    </xf>
    <xf numFmtId="0" fontId="32" fillId="0" borderId="2" xfId="0" applyFont="1" applyBorder="1" applyAlignment="1">
      <alignment wrapText="1"/>
    </xf>
    <xf numFmtId="174" fontId="7" fillId="0" borderId="2" xfId="0" applyNumberFormat="1" applyFont="1" applyBorder="1" applyAlignment="1">
      <alignment horizontal="center"/>
    </xf>
    <xf numFmtId="166" fontId="7" fillId="0" borderId="5" xfId="0" applyNumberFormat="1" applyFont="1" applyBorder="1" applyAlignment="1">
      <alignment horizontal="center"/>
    </xf>
    <xf numFmtId="166" fontId="9" fillId="0" borderId="2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6" fontId="9" fillId="0" borderId="2" xfId="0" applyNumberFormat="1" applyFont="1" applyFill="1" applyBorder="1" applyAlignment="1">
      <alignment horizontal="center"/>
    </xf>
    <xf numFmtId="166" fontId="7" fillId="0" borderId="2" xfId="0" applyNumberFormat="1" applyFont="1" applyBorder="1"/>
    <xf numFmtId="1" fontId="7" fillId="0" borderId="2" xfId="0" applyNumberFormat="1" applyFont="1" applyBorder="1"/>
    <xf numFmtId="165" fontId="13" fillId="0" borderId="7" xfId="0" applyNumberFormat="1" applyFont="1" applyFill="1" applyBorder="1" applyAlignment="1" applyProtection="1">
      <alignment horizontal="left" vertical="center"/>
    </xf>
    <xf numFmtId="165" fontId="13" fillId="0" borderId="6" xfId="0" applyNumberFormat="1" applyFont="1" applyFill="1" applyBorder="1" applyAlignment="1" applyProtection="1">
      <alignment horizontal="left" vertical="center"/>
    </xf>
    <xf numFmtId="2" fontId="13" fillId="0" borderId="10" xfId="0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 vertical="justify"/>
    </xf>
    <xf numFmtId="0" fontId="7" fillId="0" borderId="0" xfId="0" applyFont="1" applyAlignment="1">
      <alignment horizontal="center" vertical="justify"/>
    </xf>
    <xf numFmtId="2" fontId="8" fillId="0" borderId="2" xfId="0" applyNumberFormat="1" applyFont="1" applyFill="1" applyBorder="1" applyAlignment="1" applyProtection="1">
      <alignment horizontal="left" wrapText="1"/>
    </xf>
    <xf numFmtId="2" fontId="20" fillId="0" borderId="2" xfId="0" applyNumberFormat="1" applyFont="1" applyFill="1" applyBorder="1" applyAlignment="1" applyProtection="1">
      <alignment horizontal="left" wrapText="1"/>
    </xf>
    <xf numFmtId="2" fontId="13" fillId="0" borderId="7" xfId="0" applyNumberFormat="1" applyFont="1" applyFill="1" applyBorder="1" applyAlignment="1" applyProtection="1">
      <alignment horizontal="center" vertical="center"/>
    </xf>
    <xf numFmtId="2" fontId="13" fillId="0" borderId="8" xfId="0" applyNumberFormat="1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 applyProtection="1">
      <alignment horizontal="center" vertical="center" shrinkToFit="1"/>
    </xf>
    <xf numFmtId="2" fontId="13" fillId="0" borderId="6" xfId="0" applyNumberFormat="1" applyFont="1" applyFill="1" applyBorder="1" applyAlignment="1" applyProtection="1">
      <alignment horizontal="center" vertical="center"/>
    </xf>
    <xf numFmtId="2" fontId="13" fillId="0" borderId="16" xfId="0" applyNumberFormat="1" applyFont="1" applyFill="1" applyBorder="1" applyAlignment="1" applyProtection="1">
      <alignment horizontal="center" vertical="center"/>
    </xf>
    <xf numFmtId="1" fontId="8" fillId="0" borderId="3" xfId="0" applyNumberFormat="1" applyFont="1" applyFill="1" applyBorder="1" applyAlignment="1" applyProtection="1">
      <alignment horizontal="center"/>
    </xf>
    <xf numFmtId="2" fontId="13" fillId="0" borderId="2" xfId="0" applyNumberFormat="1" applyFont="1" applyFill="1" applyBorder="1" applyAlignment="1" applyProtection="1">
      <alignment horizontal="center" vertical="center"/>
      <protection locked="0"/>
    </xf>
    <xf numFmtId="167" fontId="9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 applyProtection="1">
      <alignment horizontal="left" wrapText="1"/>
    </xf>
    <xf numFmtId="0" fontId="13" fillId="0" borderId="4" xfId="0" applyFont="1" applyFill="1" applyBorder="1" applyAlignment="1" applyProtection="1">
      <alignment horizontal="center" vertical="center"/>
      <protection locked="0"/>
    </xf>
    <xf numFmtId="0" fontId="13" fillId="0" borderId="5" xfId="0" applyFont="1" applyFill="1" applyBorder="1" applyAlignment="1" applyProtection="1">
      <alignment horizontal="center" vertical="center"/>
      <protection locked="0"/>
    </xf>
    <xf numFmtId="2" fontId="13" fillId="0" borderId="5" xfId="0" applyNumberFormat="1" applyFont="1" applyFill="1" applyBorder="1" applyAlignment="1" applyProtection="1">
      <alignment horizontal="center" vertical="center"/>
      <protection locked="0"/>
    </xf>
    <xf numFmtId="49" fontId="13" fillId="0" borderId="5" xfId="0" applyNumberFormat="1" applyFont="1" applyFill="1" applyBorder="1" applyAlignment="1" applyProtection="1">
      <alignment horizontal="center" vertical="center"/>
      <protection locked="0"/>
    </xf>
    <xf numFmtId="1" fontId="13" fillId="0" borderId="5" xfId="0" applyNumberFormat="1" applyFont="1" applyFill="1" applyBorder="1" applyAlignment="1" applyProtection="1">
      <alignment horizontal="center" vertical="center"/>
      <protection locked="0"/>
    </xf>
    <xf numFmtId="167" fontId="13" fillId="0" borderId="5" xfId="0" applyNumberFormat="1" applyFont="1" applyFill="1" applyBorder="1" applyAlignment="1" applyProtection="1">
      <alignment horizontal="center" vertical="center"/>
      <protection locked="0"/>
    </xf>
    <xf numFmtId="167" fontId="13" fillId="0" borderId="7" xfId="0" applyNumberFormat="1" applyFont="1" applyFill="1" applyBorder="1" applyAlignment="1" applyProtection="1">
      <alignment horizontal="center" vertical="center"/>
      <protection locked="0"/>
    </xf>
    <xf numFmtId="0" fontId="13" fillId="0" borderId="8" xfId="0" applyFont="1" applyFill="1" applyBorder="1" applyAlignment="1" applyProtection="1">
      <alignment horizontal="center" vertical="center"/>
      <protection locked="0"/>
    </xf>
    <xf numFmtId="49" fontId="13" fillId="0" borderId="2" xfId="0" applyNumberFormat="1" applyFont="1" applyFill="1" applyBorder="1" applyAlignment="1" applyProtection="1">
      <alignment horizontal="center" vertical="center"/>
      <protection locked="0"/>
    </xf>
    <xf numFmtId="1" fontId="13" fillId="0" borderId="2" xfId="0" applyNumberFormat="1" applyFont="1" applyFill="1" applyBorder="1" applyAlignment="1" applyProtection="1">
      <alignment horizontal="center" vertical="center"/>
      <protection locked="0"/>
    </xf>
    <xf numFmtId="167" fontId="13" fillId="0" borderId="6" xfId="0" applyNumberFormat="1" applyFont="1" applyFill="1" applyBorder="1" applyAlignment="1" applyProtection="1">
      <alignment horizontal="center" vertical="center"/>
      <protection locked="0"/>
    </xf>
    <xf numFmtId="2" fontId="8" fillId="0" borderId="3" xfId="0" applyNumberFormat="1" applyFont="1" applyFill="1" applyBorder="1" applyAlignment="1" applyProtection="1">
      <alignment horizontal="left" wrapText="1"/>
    </xf>
    <xf numFmtId="2" fontId="6" fillId="0" borderId="2" xfId="0" applyNumberFormat="1" applyFont="1" applyFill="1" applyBorder="1" applyAlignment="1" applyProtection="1">
      <alignment horizontal="left" wrapText="1"/>
    </xf>
    <xf numFmtId="2" fontId="7" fillId="0" borderId="2" xfId="0" applyNumberFormat="1" applyFont="1" applyFill="1" applyBorder="1" applyAlignment="1" applyProtection="1">
      <alignment horizontal="left" wrapText="1"/>
    </xf>
    <xf numFmtId="2" fontId="44" fillId="0" borderId="2" xfId="0" applyNumberFormat="1" applyFont="1" applyFill="1" applyBorder="1" applyAlignment="1" applyProtection="1">
      <alignment horizontal="left" wrapText="1"/>
    </xf>
    <xf numFmtId="1" fontId="8" fillId="0" borderId="8" xfId="0" applyNumberFormat="1" applyFont="1" applyFill="1" applyBorder="1" applyAlignment="1" applyProtection="1">
      <alignment horizontal="center" vertical="justify"/>
    </xf>
    <xf numFmtId="2" fontId="8" fillId="0" borderId="2" xfId="0" applyNumberFormat="1" applyFont="1" applyFill="1" applyBorder="1" applyAlignment="1" applyProtection="1">
      <alignment horizontal="center" vertical="justify" shrinkToFit="1"/>
    </xf>
    <xf numFmtId="2" fontId="6" fillId="0" borderId="2" xfId="0" applyNumberFormat="1" applyFont="1" applyFill="1" applyBorder="1" applyAlignment="1" applyProtection="1">
      <alignment horizontal="center" vertical="justify" shrinkToFit="1"/>
    </xf>
    <xf numFmtId="2" fontId="10" fillId="0" borderId="2" xfId="0" applyNumberFormat="1" applyFont="1" applyFill="1" applyBorder="1" applyAlignment="1" applyProtection="1">
      <alignment horizontal="center" vertical="justify" shrinkToFit="1"/>
    </xf>
    <xf numFmtId="2" fontId="12" fillId="0" borderId="2" xfId="0" applyNumberFormat="1" applyFont="1" applyFill="1" applyBorder="1" applyAlignment="1" applyProtection="1">
      <alignment horizontal="center" vertical="justify" shrinkToFit="1"/>
    </xf>
    <xf numFmtId="2" fontId="14" fillId="0" borderId="2" xfId="0" applyNumberFormat="1" applyFont="1" applyFill="1" applyBorder="1" applyAlignment="1" applyProtection="1">
      <alignment horizontal="center" vertical="justify" shrinkToFit="1"/>
    </xf>
    <xf numFmtId="1" fontId="8" fillId="0" borderId="8" xfId="0" applyNumberFormat="1" applyFont="1" applyFill="1" applyBorder="1" applyAlignment="1">
      <alignment horizontal="center" vertical="justify"/>
    </xf>
    <xf numFmtId="2" fontId="8" fillId="0" borderId="2" xfId="0" applyNumberFormat="1" applyFont="1" applyFill="1" applyBorder="1" applyAlignment="1">
      <alignment horizontal="center" vertical="justify" shrinkToFit="1"/>
    </xf>
    <xf numFmtId="0" fontId="8" fillId="0" borderId="8" xfId="0" applyFont="1" applyFill="1" applyBorder="1" applyAlignment="1" applyProtection="1">
      <alignment horizontal="center" vertical="justify"/>
      <protection locked="0"/>
    </xf>
    <xf numFmtId="0" fontId="6" fillId="0" borderId="2" xfId="0" applyFont="1" applyFill="1" applyBorder="1" applyAlignment="1" applyProtection="1">
      <alignment horizontal="left" wrapText="1"/>
    </xf>
    <xf numFmtId="0" fontId="9" fillId="0" borderId="2" xfId="0" applyFont="1" applyFill="1" applyBorder="1" applyAlignment="1" applyProtection="1">
      <alignment horizontal="left" wrapText="1"/>
    </xf>
    <xf numFmtId="0" fontId="7" fillId="0" borderId="2" xfId="0" applyFont="1" applyFill="1" applyBorder="1" applyAlignment="1" applyProtection="1">
      <alignment horizontal="left" wrapText="1"/>
    </xf>
    <xf numFmtId="0" fontId="13" fillId="0" borderId="14" xfId="0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 applyProtection="1">
      <alignment horizontal="center" vertical="center"/>
    </xf>
    <xf numFmtId="1" fontId="13" fillId="0" borderId="3" xfId="0" applyNumberFormat="1" applyFont="1" applyFill="1" applyBorder="1" applyAlignment="1" applyProtection="1">
      <alignment horizontal="center" vertical="center"/>
    </xf>
    <xf numFmtId="0" fontId="13" fillId="0" borderId="48" xfId="0" applyFont="1" applyFill="1" applyBorder="1" applyAlignment="1">
      <alignment horizontal="center" vertical="center"/>
    </xf>
    <xf numFmtId="2" fontId="8" fillId="0" borderId="3" xfId="0" applyNumberFormat="1" applyFont="1" applyFill="1" applyBorder="1" applyAlignment="1" applyProtection="1"/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 applyProtection="1">
      <alignment horizontal="center" vertical="center"/>
    </xf>
    <xf numFmtId="2" fontId="13" fillId="0" borderId="13" xfId="0" applyNumberFormat="1" applyFont="1" applyFill="1" applyBorder="1" applyAlignment="1" applyProtection="1">
      <alignment horizontal="center" vertical="center"/>
    </xf>
    <xf numFmtId="1" fontId="13" fillId="0" borderId="13" xfId="0" applyNumberFormat="1" applyFont="1" applyFill="1" applyBorder="1" applyAlignment="1" applyProtection="1">
      <alignment horizontal="center" vertical="center"/>
    </xf>
    <xf numFmtId="168" fontId="13" fillId="0" borderId="5" xfId="0" applyNumberFormat="1" applyFont="1" applyFill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justify"/>
    </xf>
    <xf numFmtId="0" fontId="7" fillId="0" borderId="8" xfId="0" applyFont="1" applyBorder="1" applyAlignment="1" applyProtection="1">
      <alignment horizontal="center" vertical="justify"/>
    </xf>
    <xf numFmtId="0" fontId="0" fillId="0" borderId="0" xfId="0" applyAlignment="1">
      <alignment wrapText="1"/>
    </xf>
    <xf numFmtId="0" fontId="7" fillId="2" borderId="2" xfId="0" applyFont="1" applyFill="1" applyBorder="1" applyAlignment="1" applyProtection="1">
      <alignment wrapText="1"/>
    </xf>
    <xf numFmtId="0" fontId="7" fillId="0" borderId="2" xfId="0" applyFont="1" applyFill="1" applyBorder="1" applyAlignment="1" applyProtection="1">
      <alignment wrapText="1"/>
    </xf>
    <xf numFmtId="167" fontId="9" fillId="0" borderId="6" xfId="0" applyNumberFormat="1" applyFont="1" applyBorder="1" applyAlignment="1">
      <alignment horizontal="center"/>
    </xf>
    <xf numFmtId="0" fontId="8" fillId="0" borderId="3" xfId="0" applyFont="1" applyFill="1" applyBorder="1" applyAlignment="1" applyProtection="1">
      <alignment horizontal="center" shrinkToFit="1"/>
    </xf>
    <xf numFmtId="0" fontId="13" fillId="0" borderId="13" xfId="0" applyFont="1" applyFill="1" applyBorder="1" applyAlignment="1" applyProtection="1">
      <alignment horizontal="center" vertical="center" shrinkToFit="1"/>
    </xf>
    <xf numFmtId="168" fontId="13" fillId="0" borderId="13" xfId="0" applyNumberFormat="1" applyFont="1" applyFill="1" applyBorder="1" applyAlignment="1" applyProtection="1">
      <alignment horizontal="center" vertical="center" wrapText="1"/>
    </xf>
    <xf numFmtId="166" fontId="13" fillId="0" borderId="13" xfId="0" applyNumberFormat="1" applyFont="1" applyFill="1" applyBorder="1" applyAlignment="1" applyProtection="1">
      <alignment horizontal="center" vertical="center" wrapText="1"/>
    </xf>
    <xf numFmtId="168" fontId="13" fillId="0" borderId="5" xfId="0" applyNumberFormat="1" applyFont="1" applyFill="1" applyBorder="1" applyAlignment="1" applyProtection="1">
      <alignment horizontal="center" vertical="center" wrapText="1"/>
    </xf>
    <xf numFmtId="166" fontId="13" fillId="0" borderId="5" xfId="0" applyNumberFormat="1" applyFont="1" applyFill="1" applyBorder="1" applyAlignment="1" applyProtection="1">
      <alignment horizontal="center" vertical="center" wrapText="1"/>
    </xf>
    <xf numFmtId="168" fontId="13" fillId="0" borderId="2" xfId="0" applyNumberFormat="1" applyFont="1" applyFill="1" applyBorder="1" applyAlignment="1" applyProtection="1">
      <alignment horizontal="center" vertical="center" wrapText="1"/>
    </xf>
    <xf numFmtId="166" fontId="13" fillId="0" borderId="2" xfId="0" applyNumberFormat="1" applyFont="1" applyFill="1" applyBorder="1" applyAlignment="1" applyProtection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168" fontId="13" fillId="0" borderId="10" xfId="0" applyNumberFormat="1" applyFont="1" applyFill="1" applyBorder="1" applyAlignment="1" applyProtection="1">
      <alignment horizontal="center" vertical="center" wrapText="1"/>
    </xf>
    <xf numFmtId="166" fontId="13" fillId="0" borderId="10" xfId="0" applyNumberFormat="1" applyFont="1" applyFill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wrapText="1"/>
    </xf>
    <xf numFmtId="0" fontId="6" fillId="0" borderId="14" xfId="0" applyFont="1" applyFill="1" applyBorder="1" applyAlignment="1">
      <alignment horizontal="center"/>
    </xf>
    <xf numFmtId="0" fontId="18" fillId="0" borderId="3" xfId="0" applyFont="1" applyFill="1" applyBorder="1" applyAlignment="1" applyProtection="1">
      <alignment horizontal="center"/>
    </xf>
    <xf numFmtId="0" fontId="16" fillId="0" borderId="3" xfId="0" applyFont="1" applyFill="1" applyBorder="1" applyAlignment="1" applyProtection="1">
      <alignment horizontal="center"/>
    </xf>
    <xf numFmtId="0" fontId="6" fillId="0" borderId="3" xfId="0" applyFont="1" applyFill="1" applyBorder="1"/>
    <xf numFmtId="0" fontId="6" fillId="0" borderId="3" xfId="0" applyFont="1" applyFill="1" applyBorder="1" applyAlignment="1">
      <alignment horizontal="center"/>
    </xf>
    <xf numFmtId="168" fontId="13" fillId="0" borderId="13" xfId="0" applyNumberFormat="1" applyFont="1" applyFill="1" applyBorder="1" applyAlignment="1" applyProtection="1">
      <alignment horizontal="center" vertical="center"/>
    </xf>
    <xf numFmtId="166" fontId="13" fillId="0" borderId="13" xfId="0" applyNumberFormat="1" applyFont="1" applyFill="1" applyBorder="1" applyAlignment="1" applyProtection="1">
      <alignment horizontal="center" vertical="center"/>
    </xf>
    <xf numFmtId="165" fontId="13" fillId="0" borderId="13" xfId="0" applyNumberFormat="1" applyFont="1" applyFill="1" applyBorder="1" applyAlignment="1" applyProtection="1">
      <alignment horizontal="center" vertical="center"/>
    </xf>
    <xf numFmtId="167" fontId="13" fillId="0" borderId="13" xfId="0" applyNumberFormat="1" applyFont="1" applyBorder="1" applyAlignment="1">
      <alignment horizontal="center" vertical="center"/>
    </xf>
    <xf numFmtId="174" fontId="8" fillId="0" borderId="3" xfId="0" applyNumberFormat="1" applyFont="1" applyFill="1" applyBorder="1" applyAlignment="1" applyProtection="1">
      <alignment horizontal="center"/>
    </xf>
    <xf numFmtId="174" fontId="9" fillId="0" borderId="3" xfId="0" applyNumberFormat="1" applyFont="1" applyFill="1" applyBorder="1" applyAlignment="1" applyProtection="1">
      <alignment horizontal="center"/>
    </xf>
    <xf numFmtId="174" fontId="15" fillId="0" borderId="3" xfId="0" applyNumberFormat="1" applyFont="1" applyFill="1" applyBorder="1" applyAlignment="1" applyProtection="1">
      <alignment horizontal="center"/>
    </xf>
    <xf numFmtId="174" fontId="9" fillId="0" borderId="2" xfId="0" applyNumberFormat="1" applyFont="1" applyFill="1" applyBorder="1" applyAlignment="1" applyProtection="1">
      <alignment horizontal="center"/>
    </xf>
    <xf numFmtId="174" fontId="7" fillId="0" borderId="2" xfId="0" applyNumberFormat="1" applyFont="1" applyFill="1" applyBorder="1" applyAlignment="1" applyProtection="1">
      <alignment horizontal="center"/>
    </xf>
    <xf numFmtId="174" fontId="39" fillId="0" borderId="2" xfId="0" applyNumberFormat="1" applyFont="1" applyFill="1" applyBorder="1" applyAlignment="1" applyProtection="1">
      <alignment horizontal="center"/>
    </xf>
    <xf numFmtId="174" fontId="8" fillId="0" borderId="2" xfId="0" applyNumberFormat="1" applyFont="1" applyFill="1" applyBorder="1" applyAlignment="1">
      <alignment horizontal="center"/>
    </xf>
    <xf numFmtId="174" fontId="9" fillId="0" borderId="2" xfId="0" applyNumberFormat="1" applyFont="1" applyFill="1" applyBorder="1" applyAlignment="1">
      <alignment horizontal="center"/>
    </xf>
    <xf numFmtId="174" fontId="15" fillId="0" borderId="2" xfId="0" applyNumberFormat="1" applyFont="1" applyFill="1" applyBorder="1" applyAlignment="1">
      <alignment horizontal="center"/>
    </xf>
    <xf numFmtId="174" fontId="6" fillId="0" borderId="2" xfId="0" applyNumberFormat="1" applyFont="1" applyFill="1" applyBorder="1" applyAlignment="1">
      <alignment horizontal="center"/>
    </xf>
    <xf numFmtId="174" fontId="7" fillId="0" borderId="2" xfId="0" applyNumberFormat="1" applyFont="1" applyFill="1" applyBorder="1" applyAlignment="1">
      <alignment horizontal="center"/>
    </xf>
    <xf numFmtId="174" fontId="14" fillId="0" borderId="2" xfId="0" applyNumberFormat="1" applyFont="1" applyFill="1" applyBorder="1" applyAlignment="1">
      <alignment horizontal="center"/>
    </xf>
    <xf numFmtId="174" fontId="12" fillId="0" borderId="2" xfId="0" applyNumberFormat="1" applyFont="1" applyFill="1" applyBorder="1" applyAlignment="1">
      <alignment horizontal="center"/>
    </xf>
    <xf numFmtId="174" fontId="10" fillId="0" borderId="2" xfId="0" applyNumberFormat="1" applyFont="1" applyFill="1" applyBorder="1" applyAlignment="1">
      <alignment horizontal="center"/>
    </xf>
    <xf numFmtId="174" fontId="20" fillId="0" borderId="2" xfId="0" applyNumberFormat="1" applyFont="1" applyFill="1" applyBorder="1" applyAlignment="1">
      <alignment horizontal="center"/>
    </xf>
    <xf numFmtId="174" fontId="39" fillId="0" borderId="2" xfId="0" applyNumberFormat="1" applyFont="1" applyFill="1" applyBorder="1" applyAlignment="1">
      <alignment horizontal="center"/>
    </xf>
    <xf numFmtId="174" fontId="6" fillId="0" borderId="3" xfId="0" applyNumberFormat="1" applyFont="1" applyFill="1" applyBorder="1" applyAlignment="1" applyProtection="1">
      <alignment horizontal="center"/>
    </xf>
    <xf numFmtId="169" fontId="9" fillId="0" borderId="2" xfId="0" applyNumberFormat="1" applyFont="1" applyFill="1" applyBorder="1" applyAlignment="1" applyProtection="1">
      <alignment horizontal="center"/>
    </xf>
    <xf numFmtId="169" fontId="8" fillId="0" borderId="2" xfId="0" applyNumberFormat="1" applyFont="1" applyFill="1" applyBorder="1" applyAlignment="1" applyProtection="1">
      <alignment horizontal="center"/>
    </xf>
    <xf numFmtId="169" fontId="6" fillId="0" borderId="2" xfId="0" applyNumberFormat="1" applyFont="1" applyFill="1" applyBorder="1" applyAlignment="1" applyProtection="1">
      <alignment horizontal="center"/>
    </xf>
    <xf numFmtId="169" fontId="8" fillId="0" borderId="2" xfId="0" applyNumberFormat="1" applyFont="1" applyFill="1" applyBorder="1" applyAlignment="1">
      <alignment horizontal="center"/>
    </xf>
    <xf numFmtId="169" fontId="6" fillId="0" borderId="2" xfId="0" applyNumberFormat="1" applyFont="1" applyFill="1" applyBorder="1" applyAlignment="1">
      <alignment horizontal="center"/>
    </xf>
    <xf numFmtId="2" fontId="32" fillId="0" borderId="2" xfId="0" applyNumberFormat="1" applyFont="1" applyFill="1" applyBorder="1" applyAlignment="1" applyProtection="1">
      <alignment horizontal="center" vertical="justify" shrinkToFit="1"/>
    </xf>
    <xf numFmtId="2" fontId="32" fillId="0" borderId="2" xfId="0" applyNumberFormat="1" applyFont="1" applyFill="1" applyBorder="1" applyAlignment="1" applyProtection="1">
      <alignment horizontal="left" wrapText="1"/>
    </xf>
    <xf numFmtId="2" fontId="39" fillId="0" borderId="2" xfId="0" applyNumberFormat="1" applyFont="1" applyFill="1" applyBorder="1" applyAlignment="1" applyProtection="1">
      <alignment horizontal="left" wrapText="1"/>
    </xf>
    <xf numFmtId="1" fontId="8" fillId="0" borderId="42" xfId="0" applyNumberFormat="1" applyFont="1" applyFill="1" applyBorder="1" applyAlignment="1" applyProtection="1">
      <alignment horizontal="center"/>
    </xf>
    <xf numFmtId="2" fontId="7" fillId="0" borderId="6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0" fontId="9" fillId="0" borderId="2" xfId="0" applyFont="1" applyFill="1" applyBorder="1" applyAlignment="1" applyProtection="1">
      <alignment wrapText="1"/>
    </xf>
    <xf numFmtId="0" fontId="8" fillId="0" borderId="10" xfId="0" applyFont="1" applyFill="1" applyBorder="1" applyAlignment="1" applyProtection="1">
      <alignment wrapText="1"/>
    </xf>
    <xf numFmtId="174" fontId="8" fillId="0" borderId="5" xfId="0" applyNumberFormat="1" applyFont="1" applyFill="1" applyBorder="1" applyAlignment="1" applyProtection="1">
      <alignment horizontal="center" vertical="center"/>
    </xf>
    <xf numFmtId="174" fontId="8" fillId="0" borderId="5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top"/>
    </xf>
    <xf numFmtId="0" fontId="8" fillId="0" borderId="2" xfId="0" applyFont="1" applyFill="1" applyBorder="1" applyAlignment="1" applyProtection="1">
      <alignment vertical="center" wrapText="1"/>
    </xf>
    <xf numFmtId="174" fontId="8" fillId="0" borderId="2" xfId="0" applyNumberFormat="1" applyFont="1" applyFill="1" applyBorder="1" applyAlignment="1" applyProtection="1">
      <alignment horizontal="center" vertical="center"/>
      <protection locked="0"/>
    </xf>
    <xf numFmtId="174" fontId="8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 wrapText="1"/>
    </xf>
    <xf numFmtId="0" fontId="6" fillId="0" borderId="8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174" fontId="6" fillId="0" borderId="2" xfId="0" applyNumberFormat="1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vertical="center" wrapText="1"/>
    </xf>
    <xf numFmtId="174" fontId="6" fillId="0" borderId="2" xfId="0" applyNumberFormat="1" applyFont="1" applyFill="1" applyBorder="1" applyAlignment="1" applyProtection="1">
      <alignment horizontal="center" vertical="center"/>
    </xf>
    <xf numFmtId="0" fontId="9" fillId="0" borderId="8" xfId="0" applyFont="1" applyBorder="1" applyAlignment="1">
      <alignment horizontal="center" vertical="top"/>
    </xf>
    <xf numFmtId="0" fontId="9" fillId="0" borderId="2" xfId="0" applyFont="1" applyBorder="1" applyAlignment="1">
      <alignment horizontal="left" wrapText="1"/>
    </xf>
    <xf numFmtId="0" fontId="9" fillId="0" borderId="2" xfId="0" applyFont="1" applyBorder="1" applyAlignment="1">
      <alignment horizontal="center" wrapText="1"/>
    </xf>
    <xf numFmtId="0" fontId="13" fillId="0" borderId="3" xfId="0" applyFont="1" applyFill="1" applyBorder="1" applyAlignment="1" applyProtection="1">
      <alignment horizontal="center" vertical="center" shrinkToFit="1"/>
    </xf>
    <xf numFmtId="166" fontId="13" fillId="0" borderId="3" xfId="0" applyNumberFormat="1" applyFont="1" applyFill="1" applyBorder="1" applyAlignment="1" applyProtection="1">
      <alignment horizontal="center" vertical="center"/>
    </xf>
    <xf numFmtId="168" fontId="13" fillId="0" borderId="3" xfId="0" applyNumberFormat="1" applyFont="1" applyFill="1" applyBorder="1" applyAlignment="1" applyProtection="1">
      <alignment horizontal="center" vertical="center"/>
    </xf>
    <xf numFmtId="0" fontId="13" fillId="0" borderId="26" xfId="0" applyFont="1" applyFill="1" applyBorder="1" applyAlignment="1" applyProtection="1">
      <alignment horizontal="center" vertical="center" shrinkToFit="1"/>
    </xf>
    <xf numFmtId="166" fontId="13" fillId="0" borderId="26" xfId="0" applyNumberFormat="1" applyFont="1" applyFill="1" applyBorder="1" applyAlignment="1" applyProtection="1">
      <alignment horizontal="center" vertical="center"/>
    </xf>
    <xf numFmtId="168" fontId="13" fillId="0" borderId="26" xfId="0" applyNumberFormat="1" applyFont="1" applyFill="1" applyBorder="1" applyAlignment="1" applyProtection="1">
      <alignment horizontal="center" vertical="center"/>
    </xf>
    <xf numFmtId="0" fontId="39" fillId="0" borderId="2" xfId="0" applyFont="1" applyFill="1" applyBorder="1" applyAlignment="1" applyProtection="1">
      <alignment wrapText="1"/>
    </xf>
    <xf numFmtId="0" fontId="19" fillId="0" borderId="0" xfId="0" applyFont="1" applyAlignment="1">
      <alignment wrapText="1"/>
    </xf>
    <xf numFmtId="166" fontId="8" fillId="0" borderId="2" xfId="0" applyNumberFormat="1" applyFont="1" applyFill="1" applyBorder="1" applyAlignment="1">
      <alignment horizontal="center" vertical="center"/>
    </xf>
    <xf numFmtId="167" fontId="9" fillId="0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 applyProtection="1">
      <alignment horizontal="center" vertical="center"/>
    </xf>
    <xf numFmtId="167" fontId="9" fillId="0" borderId="2" xfId="0" applyNumberFormat="1" applyFont="1" applyFill="1" applyBorder="1" applyAlignment="1" applyProtection="1">
      <alignment horizontal="center" vertical="center"/>
    </xf>
    <xf numFmtId="49" fontId="13" fillId="0" borderId="5" xfId="0" applyNumberFormat="1" applyFont="1" applyFill="1" applyBorder="1" applyAlignment="1" applyProtection="1">
      <alignment horizontal="center" vertical="center"/>
    </xf>
    <xf numFmtId="49" fontId="13" fillId="0" borderId="2" xfId="0" applyNumberFormat="1" applyFont="1" applyFill="1" applyBorder="1" applyAlignment="1" applyProtection="1">
      <alignment horizontal="center" vertical="center"/>
    </xf>
    <xf numFmtId="0" fontId="13" fillId="0" borderId="12" xfId="0" applyFont="1" applyFill="1" applyBorder="1" applyAlignment="1">
      <alignment vertical="center"/>
    </xf>
    <xf numFmtId="0" fontId="9" fillId="0" borderId="13" xfId="0" applyFont="1" applyFill="1" applyBorder="1" applyAlignment="1" applyProtection="1">
      <alignment vertical="center" wrapText="1"/>
    </xf>
    <xf numFmtId="0" fontId="13" fillId="0" borderId="14" xfId="0" applyFont="1" applyFill="1" applyBorder="1" applyAlignment="1">
      <alignment vertical="center"/>
    </xf>
    <xf numFmtId="0" fontId="9" fillId="0" borderId="3" xfId="0" applyFont="1" applyFill="1" applyBorder="1" applyAlignment="1" applyProtection="1">
      <alignment vertical="center" wrapText="1"/>
    </xf>
    <xf numFmtId="174" fontId="13" fillId="0" borderId="3" xfId="0" applyNumberFormat="1" applyFont="1" applyFill="1" applyBorder="1" applyAlignment="1" applyProtection="1">
      <alignment horizontal="center" vertical="center"/>
    </xf>
    <xf numFmtId="0" fontId="13" fillId="0" borderId="48" xfId="0" applyFont="1" applyFill="1" applyBorder="1" applyAlignment="1">
      <alignment vertical="center"/>
    </xf>
    <xf numFmtId="0" fontId="9" fillId="0" borderId="26" xfId="0" applyFont="1" applyFill="1" applyBorder="1" applyAlignment="1" applyProtection="1">
      <alignment vertical="center" wrapText="1"/>
    </xf>
    <xf numFmtId="0" fontId="8" fillId="0" borderId="14" xfId="0" applyFont="1" applyFill="1" applyBorder="1" applyAlignment="1" applyProtection="1">
      <alignment vertical="center"/>
    </xf>
    <xf numFmtId="0" fontId="32" fillId="0" borderId="2" xfId="0" applyFont="1" applyFill="1" applyBorder="1" applyAlignment="1" applyProtection="1">
      <alignment wrapText="1"/>
    </xf>
    <xf numFmtId="169" fontId="21" fillId="0" borderId="2" xfId="0" applyNumberFormat="1" applyFont="1" applyFill="1" applyBorder="1" applyAlignment="1">
      <alignment horizontal="center"/>
    </xf>
    <xf numFmtId="169" fontId="44" fillId="0" borderId="2" xfId="0" applyNumberFormat="1" applyFont="1" applyFill="1" applyBorder="1" applyAlignment="1" applyProtection="1">
      <alignment horizontal="center"/>
    </xf>
    <xf numFmtId="169" fontId="44" fillId="0" borderId="2" xfId="0" applyNumberFormat="1" applyFont="1" applyFill="1" applyBorder="1" applyAlignment="1">
      <alignment horizontal="center"/>
    </xf>
    <xf numFmtId="169" fontId="49" fillId="0" borderId="2" xfId="0" applyNumberFormat="1" applyFont="1" applyFill="1" applyBorder="1" applyAlignment="1">
      <alignment horizontal="center"/>
    </xf>
    <xf numFmtId="169" fontId="49" fillId="0" borderId="2" xfId="0" applyNumberFormat="1" applyFont="1" applyFill="1" applyBorder="1" applyAlignment="1" applyProtection="1">
      <alignment horizontal="center"/>
    </xf>
    <xf numFmtId="169" fontId="21" fillId="0" borderId="2" xfId="0" applyNumberFormat="1" applyFont="1" applyFill="1" applyBorder="1" applyAlignment="1" applyProtection="1">
      <alignment horizontal="center"/>
    </xf>
    <xf numFmtId="169" fontId="9" fillId="0" borderId="2" xfId="0" applyNumberFormat="1" applyFont="1" applyBorder="1"/>
    <xf numFmtId="169" fontId="7" fillId="0" borderId="2" xfId="0" applyNumberFormat="1" applyFont="1" applyBorder="1"/>
    <xf numFmtId="165" fontId="13" fillId="0" borderId="3" xfId="0" applyNumberFormat="1" applyFont="1" applyFill="1" applyBorder="1" applyAlignment="1" applyProtection="1">
      <alignment horizontal="center" vertical="center"/>
    </xf>
    <xf numFmtId="169" fontId="49" fillId="0" borderId="10" xfId="0" applyNumberFormat="1" applyFont="1" applyFill="1" applyBorder="1" applyAlignment="1" applyProtection="1">
      <alignment horizontal="center"/>
    </xf>
    <xf numFmtId="0" fontId="8" fillId="0" borderId="14" xfId="0" applyFont="1" applyFill="1" applyBorder="1"/>
    <xf numFmtId="0" fontId="8" fillId="0" borderId="3" xfId="0" applyFont="1" applyFill="1" applyBorder="1" applyAlignment="1">
      <alignment horizontal="center"/>
    </xf>
    <xf numFmtId="0" fontId="8" fillId="0" borderId="3" xfId="0" applyFont="1" applyFill="1" applyBorder="1"/>
    <xf numFmtId="169" fontId="8" fillId="0" borderId="3" xfId="0" applyNumberFormat="1" applyFont="1" applyFill="1" applyBorder="1"/>
    <xf numFmtId="169" fontId="13" fillId="0" borderId="5" xfId="0" applyNumberFormat="1" applyFont="1" applyFill="1" applyBorder="1" applyAlignment="1" applyProtection="1">
      <alignment horizontal="center" vertical="center"/>
    </xf>
    <xf numFmtId="169" fontId="6" fillId="0" borderId="3" xfId="0" applyNumberFormat="1" applyFont="1" applyFill="1" applyBorder="1" applyAlignment="1" applyProtection="1">
      <alignment horizontal="center"/>
    </xf>
    <xf numFmtId="169" fontId="14" fillId="0" borderId="3" xfId="0" applyNumberFormat="1" applyFont="1" applyFill="1" applyBorder="1" applyAlignment="1" applyProtection="1">
      <alignment horizontal="center"/>
    </xf>
    <xf numFmtId="169" fontId="15" fillId="0" borderId="2" xfId="0" applyNumberFormat="1" applyFont="1" applyFill="1" applyBorder="1" applyAlignment="1" applyProtection="1">
      <alignment horizontal="center"/>
    </xf>
    <xf numFmtId="169" fontId="14" fillId="0" borderId="2" xfId="0" applyNumberFormat="1" applyFont="1" applyFill="1" applyBorder="1" applyAlignment="1" applyProtection="1">
      <alignment horizontal="center"/>
    </xf>
    <xf numFmtId="169" fontId="15" fillId="0" borderId="2" xfId="0" applyNumberFormat="1" applyFont="1" applyFill="1" applyBorder="1" applyAlignment="1">
      <alignment horizontal="center"/>
    </xf>
    <xf numFmtId="169" fontId="14" fillId="0" borderId="2" xfId="0" applyNumberFormat="1" applyFont="1" applyFill="1" applyBorder="1" applyAlignment="1">
      <alignment horizontal="center"/>
    </xf>
    <xf numFmtId="169" fontId="20" fillId="0" borderId="2" xfId="0" applyNumberFormat="1" applyFont="1" applyFill="1" applyBorder="1" applyAlignment="1" applyProtection="1">
      <alignment horizontal="center"/>
    </xf>
    <xf numFmtId="169" fontId="20" fillId="0" borderId="2" xfId="0" applyNumberFormat="1" applyFont="1" applyFill="1" applyBorder="1" applyAlignment="1">
      <alignment horizontal="center"/>
    </xf>
    <xf numFmtId="174" fontId="9" fillId="0" borderId="5" xfId="0" applyNumberFormat="1" applyFont="1" applyBorder="1" applyAlignment="1">
      <alignment horizontal="center" vertical="center"/>
    </xf>
    <xf numFmtId="174" fontId="9" fillId="0" borderId="3" xfId="0" applyNumberFormat="1" applyFont="1" applyBorder="1" applyAlignment="1">
      <alignment horizontal="center" vertical="center"/>
    </xf>
    <xf numFmtId="174" fontId="7" fillId="0" borderId="2" xfId="0" applyNumberFormat="1" applyFont="1" applyBorder="1" applyAlignment="1">
      <alignment horizontal="center" vertical="center"/>
    </xf>
    <xf numFmtId="174" fontId="9" fillId="0" borderId="2" xfId="0" applyNumberFormat="1" applyFont="1" applyBorder="1" applyAlignment="1">
      <alignment horizontal="center" vertical="center"/>
    </xf>
    <xf numFmtId="174" fontId="7" fillId="0" borderId="2" xfId="0" applyNumberFormat="1" applyFont="1" applyBorder="1" applyAlignment="1">
      <alignment vertical="center"/>
    </xf>
    <xf numFmtId="174" fontId="9" fillId="0" borderId="2" xfId="0" applyNumberFormat="1" applyFont="1" applyBorder="1" applyAlignment="1">
      <alignment vertical="center"/>
    </xf>
    <xf numFmtId="174" fontId="9" fillId="0" borderId="2" xfId="0" applyNumberFormat="1" applyFont="1" applyBorder="1" applyAlignment="1">
      <alignment horizontal="center" wrapText="1"/>
    </xf>
    <xf numFmtId="174" fontId="7" fillId="0" borderId="2" xfId="0" applyNumberFormat="1" applyFont="1" applyBorder="1" applyAlignment="1">
      <alignment horizontal="center" wrapText="1"/>
    </xf>
    <xf numFmtId="0" fontId="38" fillId="0" borderId="2" xfId="0" applyFont="1" applyFill="1" applyBorder="1" applyAlignment="1" applyProtection="1">
      <alignment horizontal="center" vertical="center"/>
    </xf>
    <xf numFmtId="174" fontId="38" fillId="0" borderId="2" xfId="0" applyNumberFormat="1" applyFont="1" applyFill="1" applyBorder="1" applyAlignment="1" applyProtection="1">
      <alignment horizontal="center" vertical="center"/>
    </xf>
    <xf numFmtId="174" fontId="38" fillId="0" borderId="2" xfId="0" applyNumberFormat="1" applyFont="1" applyFill="1" applyBorder="1" applyAlignment="1">
      <alignment horizontal="center" vertical="center"/>
    </xf>
    <xf numFmtId="2" fontId="38" fillId="0" borderId="2" xfId="0" applyNumberFormat="1" applyFont="1" applyFill="1" applyBorder="1" applyAlignment="1" applyProtection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1" fontId="38" fillId="0" borderId="2" xfId="0" applyNumberFormat="1" applyFont="1" applyFill="1" applyBorder="1" applyAlignment="1">
      <alignment horizontal="center" vertical="center"/>
    </xf>
    <xf numFmtId="174" fontId="27" fillId="0" borderId="2" xfId="0" applyNumberFormat="1" applyFont="1" applyFill="1" applyBorder="1" applyAlignment="1">
      <alignment horizontal="center" vertical="center"/>
    </xf>
    <xf numFmtId="174" fontId="27" fillId="0" borderId="2" xfId="0" applyNumberFormat="1" applyFont="1" applyFill="1" applyBorder="1" applyAlignment="1" applyProtection="1">
      <alignment horizontal="center" vertical="center"/>
    </xf>
    <xf numFmtId="2" fontId="38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174" fontId="25" fillId="0" borderId="2" xfId="0" applyNumberFormat="1" applyFont="1" applyFill="1" applyBorder="1" applyAlignment="1">
      <alignment horizontal="center" vertical="center"/>
    </xf>
    <xf numFmtId="174" fontId="25" fillId="0" borderId="2" xfId="0" applyNumberFormat="1" applyFont="1" applyFill="1" applyBorder="1" applyAlignment="1" applyProtection="1">
      <alignment horizontal="center" vertical="center"/>
    </xf>
    <xf numFmtId="174" fontId="47" fillId="0" borderId="2" xfId="0" applyNumberFormat="1" applyFont="1" applyFill="1" applyBorder="1" applyAlignment="1" applyProtection="1">
      <alignment horizontal="center" vertical="center"/>
    </xf>
    <xf numFmtId="174" fontId="47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 applyProtection="1">
      <alignment horizontal="center" vertical="center"/>
    </xf>
    <xf numFmtId="174" fontId="56" fillId="0" borderId="2" xfId="0" applyNumberFormat="1" applyFont="1" applyFill="1" applyBorder="1" applyAlignment="1">
      <alignment horizontal="center" vertical="center"/>
    </xf>
    <xf numFmtId="174" fontId="25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174" fontId="57" fillId="0" borderId="2" xfId="0" applyNumberFormat="1" applyFont="1" applyBorder="1" applyAlignment="1">
      <alignment horizontal="center" vertical="center"/>
    </xf>
    <xf numFmtId="0" fontId="54" fillId="0" borderId="8" xfId="0" applyFont="1" applyFill="1" applyBorder="1" applyAlignment="1" applyProtection="1">
      <alignment horizontal="center" vertical="justify"/>
    </xf>
    <xf numFmtId="0" fontId="27" fillId="0" borderId="8" xfId="0" applyFont="1" applyFill="1" applyBorder="1" applyAlignment="1">
      <alignment horizontal="center" vertical="justify"/>
    </xf>
    <xf numFmtId="0" fontId="27" fillId="0" borderId="8" xfId="0" applyFont="1" applyFill="1" applyBorder="1" applyAlignment="1" applyProtection="1">
      <alignment horizontal="center" vertical="justify"/>
    </xf>
    <xf numFmtId="0" fontId="25" fillId="0" borderId="8" xfId="0" applyFont="1" applyFill="1" applyBorder="1" applyAlignment="1">
      <alignment horizontal="center" vertical="justify"/>
    </xf>
    <xf numFmtId="0" fontId="54" fillId="0" borderId="8" xfId="0" applyFont="1" applyFill="1" applyBorder="1" applyAlignment="1">
      <alignment horizontal="center" vertical="justify"/>
    </xf>
    <xf numFmtId="0" fontId="57" fillId="0" borderId="8" xfId="0" applyFont="1" applyBorder="1" applyAlignment="1">
      <alignment horizontal="center" vertical="justify"/>
    </xf>
    <xf numFmtId="0" fontId="25" fillId="0" borderId="8" xfId="0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wrapText="1"/>
    </xf>
    <xf numFmtId="174" fontId="50" fillId="0" borderId="2" xfId="0" applyNumberFormat="1" applyFont="1" applyFill="1" applyBorder="1" applyAlignment="1" applyProtection="1">
      <alignment horizontal="center" vertical="center"/>
    </xf>
    <xf numFmtId="167" fontId="13" fillId="0" borderId="10" xfId="0" applyNumberFormat="1" applyFont="1" applyFill="1" applyBorder="1" applyAlignment="1" applyProtection="1">
      <alignment horizontal="center" vertical="center"/>
    </xf>
    <xf numFmtId="174" fontId="50" fillId="0" borderId="13" xfId="0" applyNumberFormat="1" applyFont="1" applyFill="1" applyBorder="1" applyAlignment="1" applyProtection="1">
      <alignment horizontal="center" vertical="center"/>
    </xf>
    <xf numFmtId="167" fontId="13" fillId="0" borderId="13" xfId="0" applyNumberFormat="1" applyFont="1" applyFill="1" applyBorder="1" applyAlignment="1" applyProtection="1">
      <alignment horizontal="center" vertical="center"/>
    </xf>
    <xf numFmtId="174" fontId="49" fillId="0" borderId="5" xfId="0" applyNumberFormat="1" applyFont="1" applyFill="1" applyBorder="1" applyAlignment="1" applyProtection="1">
      <alignment horizontal="center"/>
    </xf>
    <xf numFmtId="174" fontId="50" fillId="0" borderId="5" xfId="0" applyNumberFormat="1" applyFont="1" applyFill="1" applyBorder="1" applyAlignment="1" applyProtection="1">
      <alignment horizontal="center"/>
    </xf>
    <xf numFmtId="174" fontId="51" fillId="0" borderId="5" xfId="0" applyNumberFormat="1" applyFont="1" applyFill="1" applyBorder="1" applyAlignment="1" applyProtection="1">
      <alignment horizontal="center"/>
    </xf>
    <xf numFmtId="174" fontId="49" fillId="0" borderId="2" xfId="0" applyNumberFormat="1" applyFont="1" applyFill="1" applyBorder="1" applyAlignment="1" applyProtection="1">
      <alignment horizontal="center"/>
    </xf>
    <xf numFmtId="174" fontId="50" fillId="0" borderId="2" xfId="0" applyNumberFormat="1" applyFont="1" applyFill="1" applyBorder="1" applyAlignment="1" applyProtection="1">
      <alignment horizontal="center"/>
    </xf>
    <xf numFmtId="174" fontId="21" fillId="0" borderId="2" xfId="0" applyNumberFormat="1" applyFont="1" applyFill="1" applyBorder="1" applyAlignment="1" applyProtection="1">
      <alignment horizontal="center"/>
    </xf>
    <xf numFmtId="174" fontId="22" fillId="0" borderId="2" xfId="0" applyNumberFormat="1" applyFont="1" applyFill="1" applyBorder="1" applyAlignment="1" applyProtection="1">
      <alignment horizontal="center"/>
    </xf>
    <xf numFmtId="174" fontId="9" fillId="0" borderId="2" xfId="0" applyNumberFormat="1" applyFont="1" applyBorder="1" applyAlignment="1">
      <alignment horizontal="center"/>
    </xf>
    <xf numFmtId="0" fontId="6" fillId="0" borderId="2" xfId="0" applyFont="1" applyFill="1" applyBorder="1" applyAlignment="1">
      <alignment wrapText="1"/>
    </xf>
    <xf numFmtId="174" fontId="50" fillId="0" borderId="2" xfId="0" applyNumberFormat="1" applyFont="1" applyFill="1" applyBorder="1" applyAlignment="1">
      <alignment horizontal="center"/>
    </xf>
    <xf numFmtId="0" fontId="20" fillId="0" borderId="2" xfId="0" applyFont="1" applyFill="1" applyBorder="1" applyAlignment="1" applyProtection="1">
      <alignment vertical="center" wrapText="1"/>
    </xf>
    <xf numFmtId="174" fontId="20" fillId="0" borderId="2" xfId="0" applyNumberFormat="1" applyFont="1" applyFill="1" applyBorder="1" applyAlignment="1" applyProtection="1">
      <alignment horizontal="center" vertical="center"/>
      <protection locked="0"/>
    </xf>
    <xf numFmtId="174" fontId="20" fillId="0" borderId="2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>
      <alignment wrapText="1"/>
    </xf>
    <xf numFmtId="0" fontId="13" fillId="0" borderId="52" xfId="0" applyFont="1" applyFill="1" applyBorder="1" applyAlignment="1" applyProtection="1">
      <alignment horizontal="center" vertical="center"/>
    </xf>
    <xf numFmtId="0" fontId="13" fillId="0" borderId="23" xfId="0" applyFont="1" applyFill="1" applyBorder="1" applyAlignment="1" applyProtection="1">
      <alignment horizontal="center" vertical="center"/>
    </xf>
    <xf numFmtId="1" fontId="13" fillId="0" borderId="23" xfId="0" applyNumberFormat="1" applyFont="1" applyFill="1" applyBorder="1" applyAlignment="1" applyProtection="1">
      <alignment horizontal="center" vertical="center"/>
    </xf>
    <xf numFmtId="2" fontId="13" fillId="0" borderId="23" xfId="0" applyNumberFormat="1" applyFont="1" applyFill="1" applyBorder="1" applyAlignment="1" applyProtection="1">
      <alignment horizontal="center" vertical="center"/>
    </xf>
    <xf numFmtId="0" fontId="51" fillId="0" borderId="4" xfId="0" applyFont="1" applyFill="1" applyBorder="1" applyAlignment="1">
      <alignment horizontal="center" vertical="center"/>
    </xf>
    <xf numFmtId="0" fontId="51" fillId="0" borderId="5" xfId="0" applyFont="1" applyFill="1" applyBorder="1" applyAlignment="1" applyProtection="1">
      <alignment horizontal="center" vertical="center" shrinkToFit="1"/>
    </xf>
    <xf numFmtId="166" fontId="51" fillId="0" borderId="5" xfId="0" applyNumberFormat="1" applyFont="1" applyFill="1" applyBorder="1" applyAlignment="1" applyProtection="1">
      <alignment horizontal="center" vertical="center"/>
    </xf>
    <xf numFmtId="168" fontId="51" fillId="0" borderId="5" xfId="0" applyNumberFormat="1" applyFont="1" applyFill="1" applyBorder="1" applyAlignment="1" applyProtection="1">
      <alignment horizontal="center" vertical="center"/>
    </xf>
    <xf numFmtId="1" fontId="51" fillId="0" borderId="5" xfId="0" applyNumberFormat="1" applyFont="1" applyFill="1" applyBorder="1" applyAlignment="1" applyProtection="1">
      <alignment horizontal="center" vertical="center"/>
    </xf>
    <xf numFmtId="0" fontId="51" fillId="0" borderId="8" xfId="0" applyFont="1" applyFill="1" applyBorder="1" applyAlignment="1">
      <alignment horizontal="center" vertical="center"/>
    </xf>
    <xf numFmtId="0" fontId="51" fillId="0" borderId="2" xfId="0" applyFont="1" applyFill="1" applyBorder="1" applyAlignment="1" applyProtection="1">
      <alignment horizontal="center" vertical="center" shrinkToFit="1"/>
    </xf>
    <xf numFmtId="0" fontId="51" fillId="0" borderId="2" xfId="0" applyFont="1" applyFill="1" applyBorder="1" applyAlignment="1" applyProtection="1">
      <alignment horizontal="center" vertical="center"/>
    </xf>
    <xf numFmtId="166" fontId="51" fillId="0" borderId="2" xfId="0" applyNumberFormat="1" applyFont="1" applyFill="1" applyBorder="1" applyAlignment="1" applyProtection="1">
      <alignment horizontal="center" vertical="center"/>
    </xf>
    <xf numFmtId="168" fontId="51" fillId="0" borderId="2" xfId="0" applyNumberFormat="1" applyFont="1" applyFill="1" applyBorder="1" applyAlignment="1" applyProtection="1">
      <alignment horizontal="center" vertical="center"/>
    </xf>
    <xf numFmtId="1" fontId="51" fillId="0" borderId="2" xfId="0" applyNumberFormat="1" applyFont="1" applyFill="1" applyBorder="1" applyAlignment="1" applyProtection="1">
      <alignment horizontal="center" vertical="center"/>
    </xf>
    <xf numFmtId="0" fontId="20" fillId="0" borderId="52" xfId="0" applyFont="1" applyFill="1" applyBorder="1" applyAlignment="1">
      <alignment horizontal="center" vertical="center" wrapText="1"/>
    </xf>
    <xf numFmtId="0" fontId="44" fillId="0" borderId="23" xfId="0" applyFont="1" applyFill="1" applyBorder="1" applyAlignment="1" applyProtection="1">
      <alignment horizontal="center" vertical="center" shrinkToFit="1"/>
    </xf>
    <xf numFmtId="0" fontId="44" fillId="0" borderId="23" xfId="0" applyFont="1" applyFill="1" applyBorder="1" applyAlignment="1" applyProtection="1">
      <alignment horizontal="center" vertical="center" wrapText="1"/>
    </xf>
    <xf numFmtId="2" fontId="44" fillId="0" borderId="23" xfId="0" applyNumberFormat="1" applyFont="1" applyFill="1" applyBorder="1" applyAlignment="1" applyProtection="1">
      <alignment horizontal="center" vertical="center" wrapText="1"/>
    </xf>
    <xf numFmtId="0" fontId="44" fillId="0" borderId="23" xfId="0" applyFont="1" applyFill="1" applyBorder="1" applyAlignment="1" applyProtection="1">
      <alignment horizontal="center" vertical="center"/>
    </xf>
    <xf numFmtId="0" fontId="44" fillId="0" borderId="50" xfId="0" applyFont="1" applyFill="1" applyBorder="1" applyAlignment="1" applyProtection="1">
      <alignment horizontal="center" vertical="center" wrapText="1"/>
    </xf>
    <xf numFmtId="0" fontId="44" fillId="0" borderId="14" xfId="0" applyFont="1" applyFill="1" applyBorder="1" applyAlignment="1" applyProtection="1">
      <alignment horizontal="center" vertical="justify"/>
    </xf>
    <xf numFmtId="0" fontId="44" fillId="0" borderId="3" xfId="0" applyFont="1" applyFill="1" applyBorder="1" applyAlignment="1" applyProtection="1">
      <alignment horizontal="center" vertical="justify"/>
    </xf>
    <xf numFmtId="0" fontId="44" fillId="0" borderId="3" xfId="0" applyFont="1" applyFill="1" applyBorder="1" applyAlignment="1" applyProtection="1">
      <alignment wrapText="1"/>
    </xf>
    <xf numFmtId="0" fontId="44" fillId="0" borderId="3" xfId="0" applyFont="1" applyFill="1" applyBorder="1" applyAlignment="1" applyProtection="1">
      <alignment horizontal="center"/>
    </xf>
    <xf numFmtId="2" fontId="44" fillId="0" borderId="3" xfId="0" applyNumberFormat="1" applyFont="1" applyFill="1" applyBorder="1" applyAlignment="1" applyProtection="1">
      <alignment horizontal="center"/>
    </xf>
    <xf numFmtId="0" fontId="44" fillId="0" borderId="3" xfId="0" applyFont="1" applyFill="1" applyBorder="1" applyAlignment="1">
      <alignment horizontal="center"/>
    </xf>
    <xf numFmtId="2" fontId="32" fillId="0" borderId="37" xfId="0" applyNumberFormat="1" applyFont="1" applyBorder="1" applyAlignment="1">
      <alignment horizontal="center"/>
    </xf>
    <xf numFmtId="0" fontId="20" fillId="0" borderId="3" xfId="0" applyFont="1" applyFill="1" applyBorder="1" applyAlignment="1" applyProtection="1">
      <alignment wrapText="1"/>
    </xf>
    <xf numFmtId="0" fontId="20" fillId="0" borderId="8" xfId="0" applyFont="1" applyFill="1" applyBorder="1" applyAlignment="1">
      <alignment horizontal="center" vertical="justify"/>
    </xf>
    <xf numFmtId="0" fontId="20" fillId="0" borderId="2" xfId="0" applyFont="1" applyFill="1" applyBorder="1" applyAlignment="1">
      <alignment horizontal="center" vertical="justify"/>
    </xf>
    <xf numFmtId="2" fontId="39" fillId="0" borderId="6" xfId="0" applyNumberFormat="1" applyFont="1" applyBorder="1" applyAlignment="1">
      <alignment horizontal="center"/>
    </xf>
    <xf numFmtId="0" fontId="44" fillId="0" borderId="8" xfId="0" applyFont="1" applyFill="1" applyBorder="1" applyAlignment="1" applyProtection="1">
      <alignment horizontal="center" vertical="justify"/>
    </xf>
    <xf numFmtId="0" fontId="44" fillId="0" borderId="2" xfId="0" applyFont="1" applyFill="1" applyBorder="1" applyAlignment="1" applyProtection="1">
      <alignment horizontal="center" vertical="justify"/>
    </xf>
    <xf numFmtId="2" fontId="32" fillId="0" borderId="6" xfId="0" applyNumberFormat="1" applyFont="1" applyBorder="1" applyAlignment="1">
      <alignment horizontal="center"/>
    </xf>
    <xf numFmtId="0" fontId="44" fillId="0" borderId="2" xfId="0" applyFont="1" applyFill="1" applyBorder="1" applyAlignment="1">
      <alignment horizontal="center" vertical="justify"/>
    </xf>
    <xf numFmtId="0" fontId="20" fillId="0" borderId="8" xfId="0" applyFont="1" applyFill="1" applyBorder="1" applyAlignment="1" applyProtection="1">
      <alignment horizontal="center" vertical="justify"/>
    </xf>
    <xf numFmtId="0" fontId="20" fillId="0" borderId="2" xfId="0" applyFont="1" applyFill="1" applyBorder="1" applyAlignment="1" applyProtection="1">
      <alignment horizontal="center" vertical="justify"/>
    </xf>
    <xf numFmtId="0" fontId="44" fillId="0" borderId="38" xfId="0" applyFont="1" applyFill="1" applyBorder="1" applyAlignment="1" applyProtection="1">
      <alignment horizontal="center" vertical="justify"/>
    </xf>
    <xf numFmtId="2" fontId="44" fillId="0" borderId="10" xfId="0" applyNumberFormat="1" applyFont="1" applyFill="1" applyBorder="1" applyAlignment="1">
      <alignment horizontal="center"/>
    </xf>
    <xf numFmtId="0" fontId="44" fillId="0" borderId="10" xfId="0" applyFont="1" applyFill="1" applyBorder="1" applyAlignment="1">
      <alignment horizontal="center"/>
    </xf>
    <xf numFmtId="2" fontId="32" fillId="0" borderId="9" xfId="0" applyNumberFormat="1" applyFont="1" applyBorder="1" applyAlignment="1">
      <alignment horizontal="center"/>
    </xf>
    <xf numFmtId="169" fontId="32" fillId="0" borderId="2" xfId="0" applyNumberFormat="1" applyFont="1" applyFill="1" applyBorder="1" applyAlignment="1" applyProtection="1">
      <alignment horizontal="center" vertical="center"/>
    </xf>
    <xf numFmtId="169" fontId="44" fillId="0" borderId="23" xfId="0" applyNumberFormat="1" applyFont="1" applyFill="1" applyBorder="1" applyAlignment="1" applyProtection="1">
      <alignment horizontal="center" vertical="center" wrapText="1"/>
    </xf>
    <xf numFmtId="169" fontId="32" fillId="0" borderId="23" xfId="0" applyNumberFormat="1" applyFont="1" applyFill="1" applyBorder="1" applyAlignment="1" applyProtection="1">
      <alignment horizontal="center" vertical="center" wrapText="1"/>
    </xf>
    <xf numFmtId="169" fontId="44" fillId="0" borderId="3" xfId="0" applyNumberFormat="1" applyFont="1" applyFill="1" applyBorder="1" applyAlignment="1" applyProtection="1">
      <alignment horizontal="center"/>
    </xf>
    <xf numFmtId="169" fontId="44" fillId="0" borderId="3" xfId="0" applyNumberFormat="1" applyFont="1" applyFill="1" applyBorder="1" applyAlignment="1">
      <alignment horizontal="center"/>
    </xf>
    <xf numFmtId="169" fontId="20" fillId="0" borderId="3" xfId="0" applyNumberFormat="1" applyFont="1" applyFill="1" applyBorder="1" applyAlignment="1" applyProtection="1">
      <alignment horizontal="center"/>
    </xf>
    <xf numFmtId="169" fontId="44" fillId="0" borderId="10" xfId="0" applyNumberFormat="1" applyFont="1" applyFill="1" applyBorder="1" applyAlignment="1" applyProtection="1">
      <alignment horizontal="center"/>
    </xf>
    <xf numFmtId="169" fontId="44" fillId="0" borderId="10" xfId="0" applyNumberFormat="1" applyFont="1" applyFill="1" applyBorder="1" applyAlignment="1">
      <alignment horizontal="center"/>
    </xf>
    <xf numFmtId="169" fontId="20" fillId="0" borderId="10" xfId="0" applyNumberFormat="1" applyFont="1" applyFill="1" applyBorder="1" applyAlignment="1" applyProtection="1">
      <alignment horizontal="center"/>
    </xf>
    <xf numFmtId="169" fontId="9" fillId="0" borderId="2" xfId="0" applyNumberFormat="1" applyFont="1" applyBorder="1" applyAlignment="1">
      <alignment horizontal="center" vertical="center"/>
    </xf>
    <xf numFmtId="169" fontId="9" fillId="0" borderId="10" xfId="0" applyNumberFormat="1" applyFont="1" applyBorder="1" applyAlignment="1">
      <alignment horizontal="center" vertical="center"/>
    </xf>
    <xf numFmtId="169" fontId="7" fillId="0" borderId="5" xfId="0" applyNumberFormat="1" applyFont="1" applyBorder="1" applyAlignment="1">
      <alignment horizontal="center" vertical="center"/>
    </xf>
    <xf numFmtId="169" fontId="14" fillId="0" borderId="5" xfId="0" applyNumberFormat="1" applyFont="1" applyBorder="1" applyAlignment="1">
      <alignment horizontal="center" vertical="center"/>
    </xf>
    <xf numFmtId="169" fontId="15" fillId="0" borderId="2" xfId="0" applyNumberFormat="1" applyFont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169" fontId="14" fillId="0" borderId="2" xfId="0" applyNumberFormat="1" applyFont="1" applyBorder="1" applyAlignment="1">
      <alignment horizontal="center" vertical="center"/>
    </xf>
    <xf numFmtId="169" fontId="15" fillId="0" borderId="10" xfId="0" applyNumberFormat="1" applyFont="1" applyBorder="1" applyAlignment="1">
      <alignment horizontal="center" vertical="center"/>
    </xf>
    <xf numFmtId="169" fontId="9" fillId="0" borderId="2" xfId="0" applyNumberFormat="1" applyFont="1" applyBorder="1" applyAlignment="1">
      <alignment horizontal="center"/>
    </xf>
    <xf numFmtId="169" fontId="7" fillId="0" borderId="5" xfId="0" applyNumberFormat="1" applyFont="1" applyBorder="1" applyAlignment="1">
      <alignment horizontal="center"/>
    </xf>
    <xf numFmtId="169" fontId="9" fillId="0" borderId="2" xfId="0" applyNumberFormat="1" applyFont="1" applyFill="1" applyBorder="1" applyAlignment="1">
      <alignment horizontal="center"/>
    </xf>
    <xf numFmtId="169" fontId="7" fillId="0" borderId="2" xfId="0" applyNumberFormat="1" applyFont="1" applyBorder="1" applyAlignment="1">
      <alignment horizontal="center"/>
    </xf>
    <xf numFmtId="169" fontId="39" fillId="0" borderId="2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0" fontId="9" fillId="0" borderId="8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top"/>
    </xf>
    <xf numFmtId="0" fontId="32" fillId="0" borderId="8" xfId="0" applyFont="1" applyBorder="1" applyAlignment="1">
      <alignment horizontal="center" vertical="top"/>
    </xf>
    <xf numFmtId="170" fontId="32" fillId="0" borderId="2" xfId="0" applyNumberFormat="1" applyFont="1" applyFill="1" applyBorder="1" applyAlignment="1" applyProtection="1">
      <alignment vertical="center" wrapText="1"/>
      <protection locked="0"/>
    </xf>
    <xf numFmtId="1" fontId="32" fillId="0" borderId="2" xfId="0" applyNumberFormat="1" applyFont="1" applyFill="1" applyBorder="1" applyAlignment="1" applyProtection="1">
      <alignment horizontal="center"/>
      <protection locked="0"/>
    </xf>
    <xf numFmtId="1" fontId="32" fillId="0" borderId="2" xfId="0" applyNumberFormat="1" applyFont="1" applyFill="1" applyBorder="1" applyAlignment="1">
      <alignment horizontal="center"/>
    </xf>
    <xf numFmtId="172" fontId="32" fillId="0" borderId="2" xfId="0" applyNumberFormat="1" applyFont="1" applyFill="1" applyBorder="1" applyAlignment="1" applyProtection="1">
      <alignment horizontal="center"/>
      <protection locked="0"/>
    </xf>
    <xf numFmtId="172" fontId="32" fillId="0" borderId="2" xfId="0" applyNumberFormat="1" applyFont="1" applyFill="1" applyBorder="1" applyAlignment="1">
      <alignment horizontal="center"/>
    </xf>
    <xf numFmtId="2" fontId="32" fillId="0" borderId="2" xfId="0" applyNumberFormat="1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2" fontId="32" fillId="0" borderId="2" xfId="0" applyNumberFormat="1" applyFont="1" applyFill="1" applyBorder="1" applyAlignment="1" applyProtection="1">
      <alignment horizontal="center"/>
      <protection locked="0"/>
    </xf>
    <xf numFmtId="170" fontId="39" fillId="0" borderId="2" xfId="0" applyNumberFormat="1" applyFont="1" applyFill="1" applyBorder="1" applyAlignment="1" applyProtection="1">
      <alignment vertical="center" wrapText="1"/>
      <protection locked="0"/>
    </xf>
    <xf numFmtId="172" fontId="20" fillId="0" borderId="2" xfId="0" applyNumberFormat="1" applyFont="1" applyFill="1" applyBorder="1" applyAlignment="1" applyProtection="1">
      <alignment horizontal="center"/>
      <protection locked="0"/>
    </xf>
    <xf numFmtId="172" fontId="20" fillId="0" borderId="2" xfId="0" applyNumberFormat="1" applyFont="1" applyFill="1" applyBorder="1" applyAlignment="1">
      <alignment horizontal="center"/>
    </xf>
    <xf numFmtId="0" fontId="39" fillId="0" borderId="2" xfId="0" applyFont="1" applyFill="1" applyBorder="1" applyAlignment="1">
      <alignment vertical="center" wrapText="1"/>
    </xf>
    <xf numFmtId="170" fontId="39" fillId="0" borderId="2" xfId="0" applyNumberFormat="1" applyFont="1" applyFill="1" applyBorder="1" applyAlignment="1" applyProtection="1">
      <alignment vertical="center" wrapText="1"/>
    </xf>
    <xf numFmtId="172" fontId="20" fillId="0" borderId="2" xfId="0" applyNumberFormat="1" applyFont="1" applyFill="1" applyBorder="1" applyAlignment="1" applyProtection="1">
      <alignment horizontal="center"/>
    </xf>
    <xf numFmtId="170" fontId="22" fillId="0" borderId="2" xfId="0" applyNumberFormat="1" applyFont="1" applyFill="1" applyBorder="1" applyAlignment="1" applyProtection="1">
      <alignment vertical="center" wrapText="1"/>
      <protection locked="0"/>
    </xf>
    <xf numFmtId="170" fontId="22" fillId="0" borderId="2" xfId="0" applyNumberFormat="1" applyFont="1" applyFill="1" applyBorder="1" applyAlignment="1" applyProtection="1">
      <alignment vertical="center" wrapText="1"/>
    </xf>
    <xf numFmtId="170" fontId="32" fillId="0" borderId="2" xfId="0" applyNumberFormat="1" applyFont="1" applyFill="1" applyBorder="1" applyAlignment="1" applyProtection="1">
      <alignment vertical="center" wrapText="1"/>
    </xf>
    <xf numFmtId="1" fontId="32" fillId="0" borderId="2" xfId="0" applyNumberFormat="1" applyFont="1" applyFill="1" applyBorder="1" applyAlignment="1" applyProtection="1">
      <alignment horizontal="center"/>
    </xf>
    <xf numFmtId="172" fontId="32" fillId="0" borderId="2" xfId="0" applyNumberFormat="1" applyFont="1" applyFill="1" applyBorder="1" applyAlignment="1" applyProtection="1">
      <alignment horizontal="center"/>
    </xf>
    <xf numFmtId="172" fontId="59" fillId="0" borderId="2" xfId="0" applyNumberFormat="1" applyFont="1" applyFill="1" applyBorder="1" applyAlignment="1" applyProtection="1">
      <alignment horizontal="center"/>
      <protection locked="0"/>
    </xf>
    <xf numFmtId="172" fontId="59" fillId="0" borderId="2" xfId="0" applyNumberFormat="1" applyFont="1" applyFill="1" applyBorder="1" applyAlignment="1">
      <alignment horizontal="center"/>
    </xf>
    <xf numFmtId="1" fontId="39" fillId="0" borderId="2" xfId="0" applyNumberFormat="1" applyFont="1" applyFill="1" applyBorder="1" applyAlignment="1">
      <alignment horizontal="center"/>
    </xf>
    <xf numFmtId="172" fontId="39" fillId="0" borderId="2" xfId="0" applyNumberFormat="1" applyFont="1" applyFill="1" applyBorder="1" applyAlignment="1">
      <alignment horizontal="center"/>
    </xf>
    <xf numFmtId="1" fontId="39" fillId="0" borderId="2" xfId="0" applyNumberFormat="1" applyFont="1" applyFill="1" applyBorder="1"/>
    <xf numFmtId="0" fontId="39" fillId="0" borderId="2" xfId="0" applyFont="1" applyFill="1" applyBorder="1"/>
    <xf numFmtId="166" fontId="32" fillId="0" borderId="2" xfId="0" applyNumberFormat="1" applyFont="1" applyFill="1" applyBorder="1" applyAlignment="1" applyProtection="1">
      <alignment horizontal="center"/>
    </xf>
    <xf numFmtId="1" fontId="39" fillId="0" borderId="2" xfId="0" applyNumberFormat="1" applyFont="1" applyFill="1" applyBorder="1" applyAlignment="1" applyProtection="1">
      <alignment horizontal="center"/>
    </xf>
    <xf numFmtId="172" fontId="39" fillId="0" borderId="2" xfId="0" applyNumberFormat="1" applyFont="1" applyFill="1" applyBorder="1" applyAlignment="1" applyProtection="1">
      <alignment horizontal="center"/>
      <protection locked="0"/>
    </xf>
    <xf numFmtId="172" fontId="39" fillId="0" borderId="2" xfId="0" applyNumberFormat="1" applyFont="1" applyFill="1" applyBorder="1" applyAlignment="1" applyProtection="1">
      <alignment horizontal="center"/>
    </xf>
    <xf numFmtId="0" fontId="39" fillId="0" borderId="2" xfId="0" applyFont="1" applyFill="1" applyBorder="1" applyAlignment="1">
      <alignment horizontal="center"/>
    </xf>
    <xf numFmtId="170" fontId="32" fillId="0" borderId="2" xfId="0" applyNumberFormat="1" applyFont="1" applyFill="1" applyBorder="1" applyAlignment="1" applyProtection="1">
      <alignment vertical="center" wrapText="1" shrinkToFit="1"/>
    </xf>
    <xf numFmtId="1" fontId="32" fillId="0" borderId="2" xfId="0" applyNumberFormat="1" applyFont="1" applyFill="1" applyBorder="1"/>
    <xf numFmtId="2" fontId="32" fillId="0" borderId="2" xfId="0" applyNumberFormat="1" applyFont="1" applyFill="1" applyBorder="1"/>
    <xf numFmtId="0" fontId="32" fillId="0" borderId="2" xfId="0" applyFont="1" applyFill="1" applyBorder="1"/>
    <xf numFmtId="166" fontId="32" fillId="0" borderId="2" xfId="0" applyNumberFormat="1" applyFont="1" applyFill="1" applyBorder="1" applyAlignment="1" applyProtection="1">
      <alignment vertical="center" wrapText="1"/>
    </xf>
    <xf numFmtId="166" fontId="39" fillId="0" borderId="2" xfId="0" applyNumberFormat="1" applyFont="1" applyFill="1" applyBorder="1" applyAlignment="1" applyProtection="1">
      <alignment vertical="center" wrapText="1"/>
    </xf>
    <xf numFmtId="2" fontId="32" fillId="0" borderId="2" xfId="0" applyNumberFormat="1" applyFont="1" applyFill="1" applyBorder="1" applyAlignment="1">
      <alignment horizontal="left"/>
    </xf>
    <xf numFmtId="1" fontId="32" fillId="0" borderId="2" xfId="0" applyNumberFormat="1" applyFont="1" applyFill="1" applyBorder="1" applyAlignment="1">
      <alignment horizontal="left"/>
    </xf>
    <xf numFmtId="2" fontId="32" fillId="0" borderId="2" xfId="0" applyNumberFormat="1" applyFont="1" applyFill="1" applyBorder="1" applyAlignment="1" applyProtection="1">
      <alignment horizontal="left"/>
      <protection locked="0"/>
    </xf>
    <xf numFmtId="1" fontId="32" fillId="0" borderId="2" xfId="0" applyNumberFormat="1" applyFont="1" applyFill="1" applyBorder="1" applyAlignment="1" applyProtection="1">
      <alignment horizontal="left"/>
      <protection locked="0"/>
    </xf>
    <xf numFmtId="0" fontId="32" fillId="0" borderId="2" xfId="0" applyFont="1" applyFill="1" applyBorder="1" applyAlignment="1">
      <alignment vertical="center" wrapText="1"/>
    </xf>
    <xf numFmtId="2" fontId="32" fillId="0" borderId="2" xfId="0" applyNumberFormat="1" applyFont="1" applyFill="1" applyBorder="1" applyProtection="1">
      <protection locked="0"/>
    </xf>
    <xf numFmtId="1" fontId="32" fillId="0" borderId="2" xfId="0" applyNumberFormat="1" applyFont="1" applyFill="1" applyBorder="1" applyProtection="1">
      <protection locked="0"/>
    </xf>
    <xf numFmtId="1" fontId="32" fillId="0" borderId="2" xfId="0" applyNumberFormat="1" applyFont="1" applyFill="1" applyBorder="1" applyAlignment="1">
      <alignment horizontal="right"/>
    </xf>
    <xf numFmtId="1" fontId="32" fillId="0" borderId="2" xfId="0" applyNumberFormat="1" applyFont="1" applyFill="1" applyBorder="1" applyAlignment="1" applyProtection="1">
      <alignment horizontal="right"/>
      <protection locked="0"/>
    </xf>
    <xf numFmtId="169" fontId="8" fillId="0" borderId="2" xfId="0" applyNumberFormat="1" applyFont="1" applyFill="1" applyBorder="1" applyAlignment="1" applyProtection="1">
      <alignment horizontal="center" vertical="center"/>
    </xf>
    <xf numFmtId="169" fontId="6" fillId="0" borderId="2" xfId="0" applyNumberFormat="1" applyFont="1" applyFill="1" applyBorder="1" applyAlignment="1">
      <alignment horizontal="center" vertical="center"/>
    </xf>
    <xf numFmtId="169" fontId="39" fillId="0" borderId="2" xfId="0" applyNumberFormat="1" applyFont="1" applyFill="1" applyBorder="1" applyAlignment="1" applyProtection="1">
      <alignment horizontal="center" vertical="center"/>
    </xf>
    <xf numFmtId="169" fontId="6" fillId="0" borderId="2" xfId="0" applyNumberFormat="1" applyFont="1" applyFill="1" applyBorder="1" applyAlignment="1" applyProtection="1">
      <alignment horizontal="center" vertical="center"/>
    </xf>
    <xf numFmtId="169" fontId="39" fillId="0" borderId="2" xfId="0" applyNumberFormat="1" applyFont="1" applyFill="1" applyBorder="1" applyAlignment="1">
      <alignment horizontal="center" vertical="center"/>
    </xf>
    <xf numFmtId="169" fontId="8" fillId="0" borderId="2" xfId="0" applyNumberFormat="1" applyFont="1" applyFill="1" applyBorder="1" applyAlignment="1">
      <alignment horizontal="center" vertical="center"/>
    </xf>
    <xf numFmtId="169" fontId="9" fillId="0" borderId="2" xfId="0" applyNumberFormat="1" applyFont="1" applyBorder="1" applyAlignment="1" applyProtection="1">
      <alignment horizontal="center" vertical="center"/>
    </xf>
    <xf numFmtId="174" fontId="32" fillId="0" borderId="2" xfId="0" applyNumberFormat="1" applyFont="1" applyFill="1" applyBorder="1" applyAlignment="1" applyProtection="1">
      <alignment horizontal="center" vertical="center"/>
    </xf>
    <xf numFmtId="170" fontId="32" fillId="0" borderId="2" xfId="0" applyNumberFormat="1" applyFont="1" applyFill="1" applyBorder="1" applyAlignment="1" applyProtection="1">
      <alignment horizontal="center" vertical="top" wrapText="1"/>
      <protection locked="0"/>
    </xf>
    <xf numFmtId="170" fontId="39" fillId="0" borderId="2" xfId="0" applyNumberFormat="1" applyFont="1" applyFill="1" applyBorder="1" applyAlignment="1" applyProtection="1">
      <alignment horizontal="center" vertical="top" wrapText="1"/>
      <protection locked="0"/>
    </xf>
    <xf numFmtId="0" fontId="39" fillId="0" borderId="2" xfId="0" applyFont="1" applyFill="1" applyBorder="1" applyAlignment="1">
      <alignment horizontal="center" vertical="top" wrapText="1"/>
    </xf>
    <xf numFmtId="170" fontId="32" fillId="0" borderId="2" xfId="0" applyNumberFormat="1" applyFont="1" applyFill="1" applyBorder="1" applyAlignment="1" applyProtection="1">
      <alignment horizontal="center" vertical="top" wrapText="1"/>
    </xf>
    <xf numFmtId="170" fontId="39" fillId="0" borderId="2" xfId="0" applyNumberFormat="1" applyFont="1" applyFill="1" applyBorder="1" applyAlignment="1" applyProtection="1">
      <alignment horizontal="center" vertical="top" wrapText="1"/>
    </xf>
    <xf numFmtId="166" fontId="32" fillId="0" borderId="2" xfId="0" applyNumberFormat="1" applyFont="1" applyFill="1" applyBorder="1" applyAlignment="1" applyProtection="1">
      <alignment horizontal="center" vertical="top" wrapText="1"/>
    </xf>
    <xf numFmtId="166" fontId="39" fillId="0" borderId="2" xfId="0" applyNumberFormat="1" applyFont="1" applyFill="1" applyBorder="1" applyAlignment="1" applyProtection="1">
      <alignment horizontal="center" vertical="top" wrapText="1"/>
    </xf>
    <xf numFmtId="0" fontId="32" fillId="0" borderId="2" xfId="0" applyFont="1" applyFill="1" applyBorder="1" applyAlignment="1">
      <alignment horizontal="center" vertical="top" wrapText="1"/>
    </xf>
    <xf numFmtId="1" fontId="13" fillId="0" borderId="10" xfId="0" applyNumberFormat="1" applyFont="1" applyFill="1" applyBorder="1" applyAlignment="1" applyProtection="1">
      <alignment horizontal="center" vertical="center"/>
    </xf>
    <xf numFmtId="170" fontId="51" fillId="0" borderId="2" xfId="0" applyNumberFormat="1" applyFont="1" applyFill="1" applyBorder="1" applyAlignment="1" applyProtection="1">
      <alignment vertical="center" wrapText="1"/>
      <protection locked="0"/>
    </xf>
    <xf numFmtId="169" fontId="8" fillId="0" borderId="2" xfId="0" applyNumberFormat="1" applyFont="1" applyFill="1" applyBorder="1" applyAlignment="1" applyProtection="1">
      <alignment horizontal="center" vertical="center"/>
      <protection locked="0"/>
    </xf>
    <xf numFmtId="169" fontId="15" fillId="0" borderId="2" xfId="0" applyNumberFormat="1" applyFont="1" applyFill="1" applyBorder="1" applyAlignment="1" applyProtection="1">
      <alignment horizontal="center" vertical="center"/>
      <protection locked="0"/>
    </xf>
    <xf numFmtId="169" fontId="14" fillId="0" borderId="2" xfId="0" applyNumberFormat="1" applyFont="1" applyFill="1" applyBorder="1" applyAlignment="1">
      <alignment horizontal="center" vertical="center"/>
    </xf>
    <xf numFmtId="169" fontId="6" fillId="0" borderId="2" xfId="0" applyNumberFormat="1" applyFont="1" applyFill="1" applyBorder="1" applyAlignment="1" applyProtection="1">
      <alignment horizontal="center" vertical="center"/>
      <protection locked="0"/>
    </xf>
    <xf numFmtId="169" fontId="14" fillId="0" borderId="2" xfId="0" applyNumberFormat="1" applyFont="1" applyFill="1" applyBorder="1" applyAlignment="1" applyProtection="1">
      <alignment horizontal="center" vertical="center"/>
      <protection locked="0"/>
    </xf>
    <xf numFmtId="169" fontId="8" fillId="0" borderId="2" xfId="17" applyNumberFormat="1" applyFont="1" applyFill="1" applyBorder="1" applyAlignment="1" applyProtection="1">
      <alignment horizontal="center" vertical="center"/>
      <protection locked="0"/>
    </xf>
    <xf numFmtId="169" fontId="6" fillId="0" borderId="2" xfId="17" applyNumberFormat="1" applyFont="1" applyFill="1" applyBorder="1" applyAlignment="1" applyProtection="1">
      <alignment horizontal="center" vertical="center"/>
    </xf>
    <xf numFmtId="169" fontId="15" fillId="0" borderId="2" xfId="0" applyNumberFormat="1" applyFont="1" applyFill="1" applyBorder="1" applyAlignment="1">
      <alignment horizontal="center" vertical="center"/>
    </xf>
    <xf numFmtId="169" fontId="6" fillId="0" borderId="5" xfId="0" applyNumberFormat="1" applyFont="1" applyFill="1" applyBorder="1" applyAlignment="1" applyProtection="1">
      <alignment horizontal="center"/>
      <protection locked="0"/>
    </xf>
    <xf numFmtId="169" fontId="14" fillId="0" borderId="5" xfId="0" applyNumberFormat="1" applyFont="1" applyFill="1" applyBorder="1" applyAlignment="1" applyProtection="1">
      <alignment horizontal="center"/>
      <protection locked="0"/>
    </xf>
    <xf numFmtId="169" fontId="8" fillId="0" borderId="2" xfId="0" applyNumberFormat="1" applyFont="1" applyFill="1" applyBorder="1" applyAlignment="1" applyProtection="1">
      <alignment horizontal="center"/>
      <protection locked="0"/>
    </xf>
    <xf numFmtId="169" fontId="15" fillId="0" borderId="2" xfId="0" applyNumberFormat="1" applyFont="1" applyFill="1" applyBorder="1" applyAlignment="1" applyProtection="1">
      <alignment horizontal="center"/>
      <protection locked="0"/>
    </xf>
    <xf numFmtId="169" fontId="6" fillId="0" borderId="2" xfId="0" applyNumberFormat="1" applyFont="1" applyFill="1" applyBorder="1" applyAlignment="1" applyProtection="1">
      <alignment horizontal="center"/>
      <protection locked="0"/>
    </xf>
    <xf numFmtId="169" fontId="14" fillId="0" borderId="2" xfId="0" applyNumberFormat="1" applyFont="1" applyFill="1" applyBorder="1" applyAlignment="1" applyProtection="1">
      <alignment horizontal="center"/>
      <protection locked="0"/>
    </xf>
    <xf numFmtId="169" fontId="15" fillId="0" borderId="2" xfId="0" applyNumberFormat="1" applyFont="1" applyBorder="1" applyAlignment="1">
      <alignment horizontal="center"/>
    </xf>
    <xf numFmtId="169" fontId="8" fillId="0" borderId="10" xfId="0" applyNumberFormat="1" applyFont="1" applyFill="1" applyBorder="1" applyAlignment="1" applyProtection="1">
      <alignment horizontal="center"/>
      <protection locked="0"/>
    </xf>
    <xf numFmtId="169" fontId="15" fillId="0" borderId="10" xfId="0" applyNumberFormat="1" applyFont="1" applyFill="1" applyBorder="1" applyAlignment="1" applyProtection="1">
      <alignment horizontal="center"/>
      <protection locked="0"/>
    </xf>
    <xf numFmtId="169" fontId="8" fillId="0" borderId="5" xfId="0" applyNumberFormat="1" applyFont="1" applyFill="1" applyBorder="1" applyAlignment="1" applyProtection="1">
      <alignment horizontal="center"/>
    </xf>
    <xf numFmtId="169" fontId="39" fillId="0" borderId="2" xfId="0" applyNumberFormat="1" applyFont="1" applyFill="1" applyBorder="1" applyAlignment="1" applyProtection="1">
      <alignment horizontal="center"/>
    </xf>
    <xf numFmtId="169" fontId="8" fillId="0" borderId="10" xfId="0" applyNumberFormat="1" applyFont="1" applyFill="1" applyBorder="1" applyAlignment="1" applyProtection="1">
      <alignment horizontal="center"/>
    </xf>
    <xf numFmtId="169" fontId="6" fillId="0" borderId="10" xfId="0" applyNumberFormat="1" applyFont="1" applyFill="1" applyBorder="1" applyAlignment="1" applyProtection="1">
      <alignment horizontal="center"/>
    </xf>
    <xf numFmtId="0" fontId="13" fillId="0" borderId="38" xfId="0" applyFont="1" applyFill="1" applyBorder="1" applyAlignment="1" applyProtection="1">
      <alignment horizontal="center" vertical="center"/>
    </xf>
    <xf numFmtId="0" fontId="13" fillId="0" borderId="12" xfId="0" applyFont="1" applyFill="1" applyBorder="1" applyAlignment="1" applyProtection="1">
      <alignment horizontal="center" vertical="center"/>
    </xf>
    <xf numFmtId="0" fontId="19" fillId="0" borderId="2" xfId="0" applyFont="1" applyBorder="1"/>
    <xf numFmtId="174" fontId="9" fillId="0" borderId="13" xfId="0" applyNumberFormat="1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top"/>
    </xf>
    <xf numFmtId="0" fontId="6" fillId="0" borderId="2" xfId="0" applyFont="1" applyFill="1" applyBorder="1" applyAlignment="1" applyProtection="1">
      <alignment horizontal="center" vertical="top"/>
    </xf>
    <xf numFmtId="0" fontId="9" fillId="0" borderId="8" xfId="0" applyFont="1" applyBorder="1" applyAlignment="1" applyProtection="1">
      <alignment horizontal="center" vertical="top"/>
    </xf>
    <xf numFmtId="0" fontId="7" fillId="0" borderId="8" xfId="0" applyFont="1" applyBorder="1" applyAlignment="1" applyProtection="1">
      <alignment horizontal="center" vertical="top"/>
    </xf>
    <xf numFmtId="0" fontId="8" fillId="0" borderId="10" xfId="0" applyFont="1" applyFill="1" applyBorder="1" applyAlignment="1" applyProtection="1">
      <alignment horizontal="center" vertical="top"/>
    </xf>
    <xf numFmtId="174" fontId="8" fillId="0" borderId="10" xfId="0" applyNumberFormat="1" applyFont="1" applyFill="1" applyBorder="1" applyAlignment="1" applyProtection="1">
      <alignment horizontal="center"/>
    </xf>
    <xf numFmtId="174" fontId="15" fillId="0" borderId="10" xfId="0" applyNumberFormat="1" applyFont="1" applyFill="1" applyBorder="1" applyAlignment="1" applyProtection="1">
      <alignment horizontal="center"/>
    </xf>
    <xf numFmtId="174" fontId="7" fillId="0" borderId="5" xfId="0" applyNumberFormat="1" applyFont="1" applyBorder="1" applyAlignment="1">
      <alignment horizontal="center"/>
    </xf>
    <xf numFmtId="174" fontId="15" fillId="0" borderId="2" xfId="0" applyNumberFormat="1" applyFont="1" applyBorder="1" applyAlignment="1">
      <alignment horizontal="center"/>
    </xf>
    <xf numFmtId="174" fontId="14" fillId="0" borderId="2" xfId="0" applyNumberFormat="1" applyFont="1" applyBorder="1" applyAlignment="1">
      <alignment horizontal="center"/>
    </xf>
    <xf numFmtId="174" fontId="9" fillId="0" borderId="10" xfId="0" applyNumberFormat="1" applyFont="1" applyBorder="1" applyAlignment="1">
      <alignment horizontal="center"/>
    </xf>
    <xf numFmtId="174" fontId="15" fillId="0" borderId="10" xfId="0" applyNumberFormat="1" applyFont="1" applyBorder="1" applyAlignment="1">
      <alignment horizontal="center"/>
    </xf>
    <xf numFmtId="174" fontId="39" fillId="0" borderId="5" xfId="0" applyNumberFormat="1" applyFont="1" applyBorder="1" applyAlignment="1">
      <alignment horizontal="center"/>
    </xf>
    <xf numFmtId="174" fontId="32" fillId="0" borderId="2" xfId="0" applyNumberFormat="1" applyFont="1" applyBorder="1" applyAlignment="1">
      <alignment horizontal="center"/>
    </xf>
    <xf numFmtId="174" fontId="39" fillId="0" borderId="2" xfId="0" applyNumberFormat="1" applyFont="1" applyBorder="1" applyAlignment="1">
      <alignment horizontal="center"/>
    </xf>
    <xf numFmtId="174" fontId="32" fillId="0" borderId="10" xfId="0" applyNumberFormat="1" applyFont="1" applyBorder="1" applyAlignment="1">
      <alignment horizontal="center"/>
    </xf>
    <xf numFmtId="174" fontId="32" fillId="0" borderId="13" xfId="0" applyNumberFormat="1" applyFont="1" applyFill="1" applyBorder="1" applyAlignment="1" applyProtection="1">
      <alignment horizontal="center" vertical="center"/>
    </xf>
    <xf numFmtId="0" fontId="9" fillId="0" borderId="38" xfId="0" applyFont="1" applyBorder="1" applyAlignment="1">
      <alignment horizontal="center" vertical="top"/>
    </xf>
    <xf numFmtId="0" fontId="9" fillId="0" borderId="10" xfId="0" applyFont="1" applyBorder="1" applyAlignment="1">
      <alignment horizontal="center" vertical="top"/>
    </xf>
    <xf numFmtId="0" fontId="13" fillId="0" borderId="5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>
      <alignment horizontal="left" vertical="justify" wrapText="1"/>
    </xf>
    <xf numFmtId="169" fontId="9" fillId="0" borderId="2" xfId="0" applyNumberFormat="1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 wrapText="1"/>
    </xf>
    <xf numFmtId="168" fontId="9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169" fontId="7" fillId="0" borderId="2" xfId="0" applyNumberFormat="1" applyFont="1" applyFill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horizontal="center" vertical="center" wrapText="1"/>
    </xf>
    <xf numFmtId="168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justify" wrapText="1"/>
    </xf>
    <xf numFmtId="0" fontId="9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169" fontId="22" fillId="0" borderId="2" xfId="0" applyNumberFormat="1" applyFont="1" applyFill="1" applyBorder="1" applyAlignment="1">
      <alignment horizontal="center" vertical="center" wrapText="1"/>
    </xf>
    <xf numFmtId="169" fontId="50" fillId="0" borderId="2" xfId="0" applyNumberFormat="1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left" vertical="center" wrapText="1"/>
    </xf>
    <xf numFmtId="169" fontId="50" fillId="0" borderId="13" xfId="0" applyNumberFormat="1" applyFont="1" applyFill="1" applyBorder="1" applyAlignment="1" applyProtection="1">
      <alignment horizontal="center" vertical="center" wrapText="1"/>
    </xf>
    <xf numFmtId="168" fontId="50" fillId="0" borderId="5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top" shrinkToFit="1"/>
    </xf>
    <xf numFmtId="0" fontId="6" fillId="0" borderId="2" xfId="0" applyFont="1" applyFill="1" applyBorder="1" applyAlignment="1" applyProtection="1">
      <alignment horizontal="center" vertical="top" shrinkToFit="1"/>
    </xf>
    <xf numFmtId="0" fontId="9" fillId="0" borderId="2" xfId="0" applyFont="1" applyFill="1" applyBorder="1" applyAlignment="1" applyProtection="1">
      <alignment horizontal="center" vertical="justify"/>
    </xf>
    <xf numFmtId="0" fontId="9" fillId="0" borderId="8" xfId="0" applyFont="1" applyFill="1" applyBorder="1" applyAlignment="1">
      <alignment horizontal="center" vertical="justify"/>
    </xf>
    <xf numFmtId="0" fontId="9" fillId="0" borderId="2" xfId="0" applyFont="1" applyFill="1" applyBorder="1" applyAlignment="1">
      <alignment horizontal="center" vertical="justify"/>
    </xf>
    <xf numFmtId="0" fontId="7" fillId="0" borderId="8" xfId="0" applyFont="1" applyFill="1" applyBorder="1" applyAlignment="1">
      <alignment horizontal="center" vertical="justify"/>
    </xf>
    <xf numFmtId="0" fontId="7" fillId="0" borderId="2" xfId="0" applyFont="1" applyFill="1" applyBorder="1" applyAlignment="1">
      <alignment horizontal="center" vertical="justify"/>
    </xf>
    <xf numFmtId="169" fontId="7" fillId="0" borderId="2" xfId="0" applyNumberFormat="1" applyFont="1" applyFill="1" applyBorder="1" applyAlignment="1" applyProtection="1">
      <alignment horizontal="center"/>
    </xf>
    <xf numFmtId="174" fontId="7" fillId="0" borderId="19" xfId="0" applyNumberFormat="1" applyFont="1" applyBorder="1" applyAlignment="1">
      <alignment horizontal="center" vertical="center"/>
    </xf>
    <xf numFmtId="174" fontId="7" fillId="0" borderId="33" xfId="0" applyNumberFormat="1" applyFont="1" applyBorder="1" applyAlignment="1">
      <alignment horizontal="center" vertical="center"/>
    </xf>
    <xf numFmtId="174" fontId="7" fillId="0" borderId="33" xfId="0" applyNumberFormat="1" applyFont="1" applyFill="1" applyBorder="1" applyAlignment="1">
      <alignment horizontal="center" vertical="center"/>
    </xf>
    <xf numFmtId="174" fontId="7" fillId="0" borderId="15" xfId="0" applyNumberFormat="1" applyFont="1" applyBorder="1" applyAlignment="1">
      <alignment horizontal="center" vertical="center"/>
    </xf>
    <xf numFmtId="0" fontId="60" fillId="0" borderId="0" xfId="0" applyFont="1" applyAlignment="1">
      <alignment shrinkToFit="1"/>
    </xf>
    <xf numFmtId="0" fontId="65" fillId="0" borderId="2" xfId="0" applyFont="1" applyFill="1" applyBorder="1" applyAlignment="1" applyProtection="1">
      <alignment wrapText="1"/>
    </xf>
    <xf numFmtId="0" fontId="66" fillId="0" borderId="2" xfId="0" applyFont="1" applyFill="1" applyBorder="1" applyAlignment="1" applyProtection="1">
      <alignment wrapText="1"/>
    </xf>
    <xf numFmtId="0" fontId="9" fillId="0" borderId="53" xfId="0" applyFont="1" applyFill="1" applyBorder="1" applyAlignment="1" applyProtection="1">
      <alignment horizontal="center" vertical="center"/>
    </xf>
    <xf numFmtId="2" fontId="65" fillId="0" borderId="2" xfId="0" applyNumberFormat="1" applyFont="1" applyFill="1" applyBorder="1" applyAlignment="1" applyProtection="1">
      <alignment horizontal="left" wrapText="1"/>
    </xf>
    <xf numFmtId="2" fontId="66" fillId="0" borderId="2" xfId="0" applyNumberFormat="1" applyFont="1" applyFill="1" applyBorder="1" applyAlignment="1" applyProtection="1">
      <alignment horizontal="left" wrapText="1"/>
    </xf>
    <xf numFmtId="0" fontId="11" fillId="0" borderId="21" xfId="0" applyFont="1" applyBorder="1" applyAlignment="1">
      <alignment horizontal="center" vertical="center"/>
    </xf>
    <xf numFmtId="0" fontId="63" fillId="0" borderId="21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169" fontId="32" fillId="0" borderId="13" xfId="0" applyNumberFormat="1" applyFont="1" applyFill="1" applyBorder="1" applyAlignment="1" applyProtection="1">
      <alignment horizontal="center" vertical="center"/>
    </xf>
    <xf numFmtId="166" fontId="32" fillId="0" borderId="13" xfId="0" applyNumberFormat="1" applyFont="1" applyFill="1" applyBorder="1" applyAlignment="1" applyProtection="1">
      <alignment horizontal="center" vertical="center"/>
    </xf>
    <xf numFmtId="168" fontId="32" fillId="0" borderId="13" xfId="0" applyNumberFormat="1" applyFont="1" applyFill="1" applyBorder="1" applyAlignment="1" applyProtection="1">
      <alignment horizontal="center" vertical="center"/>
    </xf>
    <xf numFmtId="165" fontId="32" fillId="0" borderId="13" xfId="0" applyNumberFormat="1" applyFont="1" applyFill="1" applyBorder="1" applyAlignment="1" applyProtection="1">
      <alignment horizontal="center" vertical="center"/>
    </xf>
    <xf numFmtId="169" fontId="50" fillId="0" borderId="13" xfId="0" applyNumberFormat="1" applyFont="1" applyFill="1" applyBorder="1" applyAlignment="1" applyProtection="1">
      <alignment horizontal="center" vertical="center"/>
    </xf>
    <xf numFmtId="169" fontId="50" fillId="0" borderId="2" xfId="0" applyNumberFormat="1" applyFont="1" applyFill="1" applyBorder="1" applyAlignment="1" applyProtection="1">
      <alignment horizontal="center" vertical="center"/>
    </xf>
    <xf numFmtId="169" fontId="50" fillId="0" borderId="2" xfId="0" applyNumberFormat="1" applyFont="1" applyFill="1" applyBorder="1" applyAlignment="1" applyProtection="1">
      <alignment horizontal="center"/>
    </xf>
    <xf numFmtId="169" fontId="50" fillId="0" borderId="3" xfId="0" applyNumberFormat="1" applyFont="1" applyFill="1" applyBorder="1"/>
    <xf numFmtId="169" fontId="22" fillId="0" borderId="2" xfId="0" applyNumberFormat="1" applyFont="1" applyFill="1" applyBorder="1" applyAlignment="1" applyProtection="1">
      <alignment horizontal="center"/>
    </xf>
    <xf numFmtId="169" fontId="50" fillId="0" borderId="2" xfId="0" applyNumberFormat="1" applyFont="1" applyFill="1" applyBorder="1" applyAlignment="1">
      <alignment horizontal="center"/>
    </xf>
    <xf numFmtId="169" fontId="22" fillId="0" borderId="2" xfId="0" applyNumberFormat="1" applyFont="1" applyFill="1" applyBorder="1" applyAlignment="1">
      <alignment horizontal="center"/>
    </xf>
    <xf numFmtId="169" fontId="50" fillId="0" borderId="2" xfId="0" applyNumberFormat="1" applyFont="1" applyBorder="1"/>
    <xf numFmtId="169" fontId="22" fillId="0" borderId="2" xfId="0" applyNumberFormat="1" applyFont="1" applyBorder="1"/>
    <xf numFmtId="169" fontId="70" fillId="0" borderId="13" xfId="0" applyNumberFormat="1" applyFont="1" applyFill="1" applyBorder="1" applyAlignment="1" applyProtection="1">
      <alignment horizontal="center" vertical="center"/>
    </xf>
    <xf numFmtId="169" fontId="70" fillId="0" borderId="2" xfId="0" applyNumberFormat="1" applyFont="1" applyFill="1" applyBorder="1" applyAlignment="1" applyProtection="1">
      <alignment horizontal="center" vertical="center"/>
    </xf>
    <xf numFmtId="169" fontId="70" fillId="0" borderId="2" xfId="0" applyNumberFormat="1" applyFont="1" applyFill="1" applyBorder="1" applyAlignment="1" applyProtection="1">
      <alignment horizontal="center"/>
    </xf>
    <xf numFmtId="169" fontId="70" fillId="0" borderId="10" xfId="0" applyNumberFormat="1" applyFont="1" applyFill="1" applyBorder="1" applyAlignment="1" applyProtection="1">
      <alignment horizontal="center"/>
    </xf>
    <xf numFmtId="169" fontId="70" fillId="0" borderId="3" xfId="0" applyNumberFormat="1" applyFont="1" applyFill="1" applyBorder="1"/>
    <xf numFmtId="169" fontId="65" fillId="0" borderId="2" xfId="0" applyNumberFormat="1" applyFont="1" applyFill="1" applyBorder="1" applyAlignment="1" applyProtection="1">
      <alignment horizontal="center"/>
    </xf>
    <xf numFmtId="169" fontId="70" fillId="0" borderId="2" xfId="0" applyNumberFormat="1" applyFont="1" applyFill="1" applyBorder="1" applyAlignment="1">
      <alignment horizontal="center"/>
    </xf>
    <xf numFmtId="169" fontId="65" fillId="0" borderId="2" xfId="0" applyNumberFormat="1" applyFont="1" applyFill="1" applyBorder="1" applyAlignment="1">
      <alignment horizontal="center"/>
    </xf>
    <xf numFmtId="169" fontId="70" fillId="0" borderId="2" xfId="0" applyNumberFormat="1" applyFont="1" applyBorder="1"/>
    <xf numFmtId="169" fontId="65" fillId="0" borderId="2" xfId="0" applyNumberFormat="1" applyFont="1" applyBorder="1"/>
    <xf numFmtId="169" fontId="71" fillId="0" borderId="13" xfId="0" applyNumberFormat="1" applyFont="1" applyFill="1" applyBorder="1" applyAlignment="1" applyProtection="1">
      <alignment horizontal="center" vertical="center"/>
    </xf>
    <xf numFmtId="169" fontId="71" fillId="0" borderId="2" xfId="0" applyNumberFormat="1" applyFont="1" applyFill="1" applyBorder="1" applyAlignment="1" applyProtection="1">
      <alignment horizontal="center" vertical="center"/>
    </xf>
    <xf numFmtId="169" fontId="71" fillId="0" borderId="2" xfId="0" applyNumberFormat="1" applyFont="1" applyFill="1" applyBorder="1" applyAlignment="1" applyProtection="1">
      <alignment horizontal="center"/>
    </xf>
    <xf numFmtId="169" fontId="71" fillId="0" borderId="10" xfId="0" applyNumberFormat="1" applyFont="1" applyFill="1" applyBorder="1" applyAlignment="1" applyProtection="1">
      <alignment horizontal="center"/>
    </xf>
    <xf numFmtId="169" fontId="71" fillId="0" borderId="3" xfId="0" applyNumberFormat="1" applyFont="1" applyFill="1" applyBorder="1"/>
    <xf numFmtId="169" fontId="66" fillId="0" borderId="2" xfId="0" applyNumberFormat="1" applyFont="1" applyFill="1" applyBorder="1" applyAlignment="1" applyProtection="1">
      <alignment horizontal="center"/>
    </xf>
    <xf numFmtId="169" fontId="71" fillId="0" borderId="2" xfId="0" applyNumberFormat="1" applyFont="1" applyFill="1" applyBorder="1" applyAlignment="1">
      <alignment horizontal="center"/>
    </xf>
    <xf numFmtId="169" fontId="66" fillId="0" borderId="2" xfId="0" applyNumberFormat="1" applyFont="1" applyFill="1" applyBorder="1" applyAlignment="1">
      <alignment horizontal="center"/>
    </xf>
    <xf numFmtId="169" fontId="71" fillId="0" borderId="2" xfId="0" applyNumberFormat="1" applyFont="1" applyBorder="1"/>
    <xf numFmtId="169" fontId="66" fillId="0" borderId="2" xfId="0" applyNumberFormat="1" applyFont="1" applyBorder="1"/>
    <xf numFmtId="0" fontId="66" fillId="0" borderId="2" xfId="0" applyFont="1" applyBorder="1" applyAlignment="1">
      <alignment wrapText="1"/>
    </xf>
    <xf numFmtId="0" fontId="65" fillId="2" borderId="2" xfId="0" applyFont="1" applyFill="1" applyBorder="1" applyAlignment="1" applyProtection="1">
      <alignment wrapText="1"/>
    </xf>
    <xf numFmtId="169" fontId="71" fillId="0" borderId="5" xfId="0" applyNumberFormat="1" applyFont="1" applyFill="1" applyBorder="1" applyAlignment="1" applyProtection="1">
      <alignment horizontal="center" vertical="center"/>
    </xf>
    <xf numFmtId="169" fontId="66" fillId="0" borderId="3" xfId="0" applyNumberFormat="1" applyFont="1" applyFill="1" applyBorder="1" applyAlignment="1" applyProtection="1">
      <alignment horizontal="center"/>
    </xf>
    <xf numFmtId="169" fontId="70" fillId="0" borderId="5" xfId="0" applyNumberFormat="1" applyFont="1" applyFill="1" applyBorder="1" applyAlignment="1" applyProtection="1">
      <alignment horizontal="center" vertical="center"/>
    </xf>
    <xf numFmtId="169" fontId="65" fillId="0" borderId="3" xfId="0" applyNumberFormat="1" applyFont="1" applyFill="1" applyBorder="1" applyAlignment="1" applyProtection="1">
      <alignment horizontal="center"/>
    </xf>
    <xf numFmtId="0" fontId="65" fillId="0" borderId="2" xfId="0" applyFont="1" applyFill="1" applyBorder="1" applyAlignment="1" applyProtection="1">
      <alignment horizontal="left" wrapText="1"/>
    </xf>
    <xf numFmtId="0" fontId="66" fillId="0" borderId="2" xfId="0" applyFont="1" applyFill="1" applyBorder="1" applyAlignment="1" applyProtection="1">
      <alignment horizontal="left" wrapText="1"/>
    </xf>
    <xf numFmtId="174" fontId="71" fillId="0" borderId="2" xfId="0" applyNumberFormat="1" applyFont="1" applyFill="1" applyBorder="1" applyAlignment="1" applyProtection="1">
      <alignment horizontal="center" vertical="center"/>
    </xf>
    <xf numFmtId="174" fontId="71" fillId="0" borderId="5" xfId="0" applyNumberFormat="1" applyFont="1" applyBorder="1" applyAlignment="1">
      <alignment horizontal="center" vertical="center"/>
    </xf>
    <xf numFmtId="174" fontId="70" fillId="0" borderId="2" xfId="0" applyNumberFormat="1" applyFont="1" applyFill="1" applyBorder="1" applyAlignment="1" applyProtection="1">
      <alignment horizontal="center" vertical="center"/>
    </xf>
    <xf numFmtId="174" fontId="70" fillId="0" borderId="5" xfId="0" applyNumberFormat="1" applyFont="1" applyBorder="1" applyAlignment="1">
      <alignment horizontal="center" vertical="center"/>
    </xf>
    <xf numFmtId="174" fontId="70" fillId="0" borderId="3" xfId="0" applyNumberFormat="1" applyFont="1" applyBorder="1" applyAlignment="1">
      <alignment horizontal="center" vertical="center"/>
    </xf>
    <xf numFmtId="174" fontId="70" fillId="0" borderId="2" xfId="0" applyNumberFormat="1" applyFont="1" applyBorder="1" applyAlignment="1">
      <alignment horizontal="center" vertical="center"/>
    </xf>
    <xf numFmtId="174" fontId="70" fillId="0" borderId="2" xfId="0" applyNumberFormat="1" applyFont="1" applyBorder="1" applyAlignment="1">
      <alignment vertical="center"/>
    </xf>
    <xf numFmtId="174" fontId="50" fillId="0" borderId="5" xfId="0" applyNumberFormat="1" applyFont="1" applyBorder="1" applyAlignment="1">
      <alignment horizontal="center" vertical="center"/>
    </xf>
    <xf numFmtId="174" fontId="50" fillId="0" borderId="3" xfId="0" applyNumberFormat="1" applyFont="1" applyBorder="1" applyAlignment="1">
      <alignment horizontal="center" vertical="center"/>
    </xf>
    <xf numFmtId="174" fontId="22" fillId="0" borderId="2" xfId="0" applyNumberFormat="1" applyFont="1" applyBorder="1" applyAlignment="1">
      <alignment horizontal="center" vertical="center"/>
    </xf>
    <xf numFmtId="174" fontId="50" fillId="0" borderId="2" xfId="0" applyNumberFormat="1" applyFont="1" applyBorder="1" applyAlignment="1">
      <alignment horizontal="center" vertical="center"/>
    </xf>
    <xf numFmtId="174" fontId="22" fillId="0" borderId="2" xfId="0" applyNumberFormat="1" applyFont="1" applyBorder="1" applyAlignment="1">
      <alignment vertical="center"/>
    </xf>
    <xf numFmtId="174" fontId="50" fillId="0" borderId="2" xfId="0" applyNumberFormat="1" applyFont="1" applyBorder="1" applyAlignment="1">
      <alignment vertical="center"/>
    </xf>
    <xf numFmtId="0" fontId="66" fillId="0" borderId="2" xfId="0" applyFont="1" applyFill="1" applyBorder="1" applyAlignment="1">
      <alignment wrapText="1"/>
    </xf>
    <xf numFmtId="0" fontId="65" fillId="0" borderId="2" xfId="0" applyFont="1" applyBorder="1" applyAlignment="1">
      <alignment wrapText="1"/>
    </xf>
    <xf numFmtId="174" fontId="73" fillId="0" borderId="2" xfId="0" applyNumberFormat="1" applyFont="1" applyFill="1" applyBorder="1" applyAlignment="1">
      <alignment horizontal="center" vertical="center"/>
    </xf>
    <xf numFmtId="174" fontId="74" fillId="0" borderId="2" xfId="0" applyNumberFormat="1" applyFont="1" applyFill="1" applyBorder="1" applyAlignment="1">
      <alignment horizontal="center" vertical="center"/>
    </xf>
    <xf numFmtId="174" fontId="73" fillId="0" borderId="2" xfId="0" applyNumberFormat="1" applyFont="1" applyFill="1" applyBorder="1" applyAlignment="1" applyProtection="1">
      <alignment horizontal="center" vertical="center"/>
    </xf>
    <xf numFmtId="174" fontId="74" fillId="0" borderId="2" xfId="0" applyNumberFormat="1" applyFont="1" applyFill="1" applyBorder="1" applyAlignment="1" applyProtection="1">
      <alignment horizontal="center" vertical="center"/>
    </xf>
    <xf numFmtId="174" fontId="75" fillId="0" borderId="2" xfId="0" applyNumberFormat="1" applyFont="1" applyFill="1" applyBorder="1" applyAlignment="1">
      <alignment horizontal="center" vertical="center"/>
    </xf>
    <xf numFmtId="174" fontId="61" fillId="0" borderId="2" xfId="0" applyNumberFormat="1" applyFont="1" applyBorder="1" applyAlignment="1">
      <alignment horizontal="center" wrapText="1"/>
    </xf>
    <xf numFmtId="174" fontId="62" fillId="0" borderId="2" xfId="0" applyNumberFormat="1" applyFont="1" applyBorder="1" applyAlignment="1">
      <alignment horizontal="center" wrapText="1"/>
    </xf>
    <xf numFmtId="174" fontId="77" fillId="0" borderId="2" xfId="0" applyNumberFormat="1" applyFont="1" applyFill="1" applyBorder="1" applyAlignment="1">
      <alignment horizontal="center" vertical="center"/>
    </xf>
    <xf numFmtId="174" fontId="78" fillId="0" borderId="2" xfId="0" applyNumberFormat="1" applyFont="1" applyFill="1" applyBorder="1" applyAlignment="1">
      <alignment horizontal="center" vertical="center"/>
    </xf>
    <xf numFmtId="174" fontId="77" fillId="0" borderId="2" xfId="0" applyNumberFormat="1" applyFont="1" applyFill="1" applyBorder="1" applyAlignment="1" applyProtection="1">
      <alignment horizontal="center" vertical="center"/>
    </xf>
    <xf numFmtId="174" fontId="78" fillId="0" borderId="2" xfId="0" applyNumberFormat="1" applyFont="1" applyFill="1" applyBorder="1" applyAlignment="1" applyProtection="1">
      <alignment horizontal="center" vertical="center"/>
    </xf>
    <xf numFmtId="174" fontId="79" fillId="0" borderId="2" xfId="0" applyNumberFormat="1" applyFont="1" applyFill="1" applyBorder="1" applyAlignment="1">
      <alignment horizontal="center" vertical="center"/>
    </xf>
    <xf numFmtId="174" fontId="63" fillId="0" borderId="2" xfId="0" applyNumberFormat="1" applyFont="1" applyBorder="1" applyAlignment="1">
      <alignment horizontal="center" wrapText="1"/>
    </xf>
    <xf numFmtId="174" fontId="64" fillId="0" borderId="2" xfId="0" applyNumberFormat="1" applyFont="1" applyBorder="1" applyAlignment="1">
      <alignment horizontal="center" wrapText="1"/>
    </xf>
    <xf numFmtId="174" fontId="36" fillId="0" borderId="2" xfId="0" applyNumberFormat="1" applyFont="1" applyFill="1" applyBorder="1" applyAlignment="1">
      <alignment horizontal="center" vertical="center"/>
    </xf>
    <xf numFmtId="174" fontId="56" fillId="0" borderId="2" xfId="0" applyNumberFormat="1" applyFont="1" applyFill="1" applyBorder="1" applyAlignment="1" applyProtection="1">
      <alignment horizontal="center" vertical="center"/>
    </xf>
    <xf numFmtId="174" fontId="48" fillId="0" borderId="2" xfId="0" applyNumberFormat="1" applyFont="1" applyFill="1" applyBorder="1" applyAlignment="1">
      <alignment horizontal="center" vertical="center"/>
    </xf>
    <xf numFmtId="174" fontId="11" fillId="0" borderId="2" xfId="0" applyNumberFormat="1" applyFont="1" applyBorder="1" applyAlignment="1">
      <alignment horizontal="center" wrapText="1"/>
    </xf>
    <xf numFmtId="174" fontId="10" fillId="0" borderId="2" xfId="0" applyNumberFormat="1" applyFont="1" applyBorder="1" applyAlignment="1">
      <alignment horizontal="center" wrapText="1"/>
    </xf>
    <xf numFmtId="0" fontId="22" fillId="0" borderId="2" xfId="0" applyFont="1" applyBorder="1" applyAlignment="1">
      <alignment horizontal="left" wrapText="1"/>
    </xf>
    <xf numFmtId="0" fontId="22" fillId="0" borderId="2" xfId="0" applyFont="1" applyBorder="1" applyAlignment="1">
      <alignment wrapText="1"/>
    </xf>
    <xf numFmtId="0" fontId="66" fillId="0" borderId="2" xfId="0" applyFont="1" applyBorder="1" applyAlignment="1">
      <alignment horizontal="left" wrapText="1"/>
    </xf>
    <xf numFmtId="174" fontId="71" fillId="0" borderId="13" xfId="0" applyNumberFormat="1" applyFont="1" applyFill="1" applyBorder="1" applyAlignment="1" applyProtection="1">
      <alignment horizontal="center" vertical="center"/>
    </xf>
    <xf numFmtId="174" fontId="71" fillId="0" borderId="5" xfId="0" applyNumberFormat="1" applyFont="1" applyFill="1" applyBorder="1" applyAlignment="1" applyProtection="1">
      <alignment horizontal="center"/>
    </xf>
    <xf numFmtId="174" fontId="71" fillId="0" borderId="2" xfId="0" applyNumberFormat="1" applyFont="1" applyFill="1" applyBorder="1" applyAlignment="1" applyProtection="1">
      <alignment horizontal="center"/>
    </xf>
    <xf numFmtId="174" fontId="71" fillId="0" borderId="2" xfId="0" applyNumberFormat="1" applyFont="1" applyBorder="1" applyAlignment="1">
      <alignment horizontal="center"/>
    </xf>
    <xf numFmtId="174" fontId="66" fillId="0" borderId="2" xfId="0" applyNumberFormat="1" applyFont="1" applyFill="1" applyBorder="1" applyAlignment="1" applyProtection="1">
      <alignment horizontal="center"/>
    </xf>
    <xf numFmtId="174" fontId="66" fillId="0" borderId="2" xfId="0" applyNumberFormat="1" applyFont="1" applyBorder="1" applyAlignment="1">
      <alignment horizontal="center"/>
    </xf>
    <xf numFmtId="174" fontId="71" fillId="0" borderId="2" xfId="0" applyNumberFormat="1" applyFont="1" applyFill="1" applyBorder="1" applyAlignment="1">
      <alignment horizontal="center"/>
    </xf>
    <xf numFmtId="174" fontId="70" fillId="0" borderId="13" xfId="0" applyNumberFormat="1" applyFont="1" applyFill="1" applyBorder="1" applyAlignment="1" applyProtection="1">
      <alignment horizontal="center" vertical="center"/>
    </xf>
    <xf numFmtId="174" fontId="70" fillId="0" borderId="5" xfId="0" applyNumberFormat="1" applyFont="1" applyFill="1" applyBorder="1" applyAlignment="1" applyProtection="1">
      <alignment horizontal="center"/>
    </xf>
    <xf numFmtId="174" fontId="70" fillId="0" borderId="2" xfId="0" applyNumberFormat="1" applyFont="1" applyFill="1" applyBorder="1" applyAlignment="1" applyProtection="1">
      <alignment horizontal="center"/>
    </xf>
    <xf numFmtId="174" fontId="65" fillId="0" borderId="2" xfId="0" applyNumberFormat="1" applyFont="1" applyFill="1" applyBorder="1" applyAlignment="1" applyProtection="1">
      <alignment horizontal="center"/>
    </xf>
    <xf numFmtId="174" fontId="70" fillId="0" borderId="2" xfId="0" applyNumberFormat="1" applyFont="1" applyBorder="1" applyAlignment="1">
      <alignment horizontal="center"/>
    </xf>
    <xf numFmtId="174" fontId="70" fillId="0" borderId="2" xfId="0" applyNumberFormat="1" applyFont="1" applyFill="1" applyBorder="1" applyAlignment="1">
      <alignment horizontal="center"/>
    </xf>
    <xf numFmtId="174" fontId="50" fillId="0" borderId="5" xfId="0" applyNumberFormat="1" applyFont="1" applyFill="1" applyBorder="1" applyAlignment="1">
      <alignment horizontal="center" vertical="center"/>
    </xf>
    <xf numFmtId="174" fontId="22" fillId="0" borderId="2" xfId="0" applyNumberFormat="1" applyFont="1" applyFill="1" applyBorder="1" applyAlignment="1" applyProtection="1">
      <alignment horizontal="center" vertical="center"/>
      <protection locked="0"/>
    </xf>
    <xf numFmtId="174" fontId="50" fillId="0" borderId="2" xfId="0" applyNumberFormat="1" applyFont="1" applyFill="1" applyBorder="1" applyAlignment="1" applyProtection="1">
      <alignment horizontal="center" vertical="center"/>
      <protection locked="0"/>
    </xf>
    <xf numFmtId="0" fontId="50" fillId="0" borderId="2" xfId="0" applyFont="1" applyBorder="1" applyAlignment="1">
      <alignment horizontal="center" wrapText="1"/>
    </xf>
    <xf numFmtId="174" fontId="70" fillId="0" borderId="5" xfId="0" applyNumberFormat="1" applyFont="1" applyFill="1" applyBorder="1" applyAlignment="1">
      <alignment horizontal="center" vertical="center"/>
    </xf>
    <xf numFmtId="174" fontId="65" fillId="0" borderId="2" xfId="0" applyNumberFormat="1" applyFont="1" applyFill="1" applyBorder="1" applyAlignment="1" applyProtection="1">
      <alignment horizontal="center" vertical="center"/>
      <protection locked="0"/>
    </xf>
    <xf numFmtId="174" fontId="70" fillId="0" borderId="2" xfId="0" applyNumberFormat="1" applyFont="1" applyFill="1" applyBorder="1" applyAlignment="1" applyProtection="1">
      <alignment horizontal="center" vertical="center"/>
      <protection locked="0"/>
    </xf>
    <xf numFmtId="0" fontId="70" fillId="0" borderId="2" xfId="0" applyFont="1" applyBorder="1" applyAlignment="1">
      <alignment horizontal="center" wrapText="1"/>
    </xf>
    <xf numFmtId="174" fontId="71" fillId="0" borderId="5" xfId="0" applyNumberFormat="1" applyFont="1" applyFill="1" applyBorder="1" applyAlignment="1">
      <alignment horizontal="center" vertical="center"/>
    </xf>
    <xf numFmtId="174" fontId="66" fillId="0" borderId="2" xfId="0" applyNumberFormat="1" applyFont="1" applyFill="1" applyBorder="1" applyAlignment="1" applyProtection="1">
      <alignment horizontal="center" vertical="center"/>
      <protection locked="0"/>
    </xf>
    <xf numFmtId="174" fontId="71" fillId="0" borderId="2" xfId="0" applyNumberFormat="1" applyFont="1" applyFill="1" applyBorder="1" applyAlignment="1" applyProtection="1">
      <alignment horizontal="center" vertical="center"/>
      <protection locked="0"/>
    </xf>
    <xf numFmtId="0" fontId="71" fillId="0" borderId="2" xfId="0" applyFont="1" applyBorder="1" applyAlignment="1">
      <alignment horizontal="center" wrapText="1"/>
    </xf>
    <xf numFmtId="0" fontId="66" fillId="0" borderId="2" xfId="0" applyFont="1" applyFill="1" applyBorder="1" applyAlignment="1" applyProtection="1">
      <alignment vertical="center" wrapText="1"/>
    </xf>
    <xf numFmtId="0" fontId="65" fillId="0" borderId="2" xfId="0" applyFont="1" applyFill="1" applyBorder="1" applyAlignment="1" applyProtection="1">
      <alignment vertical="center" wrapText="1"/>
    </xf>
    <xf numFmtId="0" fontId="22" fillId="0" borderId="2" xfId="0" applyFont="1" applyFill="1" applyBorder="1" applyAlignment="1" applyProtection="1">
      <alignment vertical="center" wrapText="1"/>
    </xf>
    <xf numFmtId="0" fontId="39" fillId="0" borderId="2" xfId="0" applyFont="1" applyFill="1" applyBorder="1" applyAlignment="1" applyProtection="1">
      <alignment vertical="center" wrapText="1"/>
    </xf>
    <xf numFmtId="169" fontId="71" fillId="0" borderId="23" xfId="0" applyNumberFormat="1" applyFont="1" applyFill="1" applyBorder="1" applyAlignment="1" applyProtection="1">
      <alignment horizontal="center" vertical="center" wrapText="1"/>
    </xf>
    <xf numFmtId="169" fontId="71" fillId="0" borderId="3" xfId="0" applyNumberFormat="1" applyFont="1" applyFill="1" applyBorder="1" applyAlignment="1" applyProtection="1">
      <alignment horizontal="center"/>
    </xf>
    <xf numFmtId="169" fontId="66" fillId="0" borderId="10" xfId="0" applyNumberFormat="1" applyFont="1" applyFill="1" applyBorder="1" applyAlignment="1" applyProtection="1">
      <alignment horizontal="center"/>
    </xf>
    <xf numFmtId="169" fontId="70" fillId="0" borderId="23" xfId="0" applyNumberFormat="1" applyFont="1" applyFill="1" applyBorder="1" applyAlignment="1" applyProtection="1">
      <alignment horizontal="center" vertical="center" wrapText="1"/>
    </xf>
    <xf numFmtId="169" fontId="70" fillId="0" borderId="3" xfId="0" applyNumberFormat="1" applyFont="1" applyFill="1" applyBorder="1" applyAlignment="1" applyProtection="1">
      <alignment horizontal="center"/>
    </xf>
    <xf numFmtId="169" fontId="65" fillId="0" borderId="10" xfId="0" applyNumberFormat="1" applyFont="1" applyFill="1" applyBorder="1" applyAlignment="1" applyProtection="1">
      <alignment horizontal="center"/>
    </xf>
    <xf numFmtId="169" fontId="71" fillId="0" borderId="2" xfId="0" applyNumberFormat="1" applyFont="1" applyBorder="1" applyAlignment="1">
      <alignment horizontal="center" vertical="center"/>
    </xf>
    <xf numFmtId="169" fontId="71" fillId="0" borderId="10" xfId="0" applyNumberFormat="1" applyFont="1" applyBorder="1" applyAlignment="1">
      <alignment horizontal="center" vertical="center"/>
    </xf>
    <xf numFmtId="169" fontId="70" fillId="0" borderId="2" xfId="0" applyNumberFormat="1" applyFont="1" applyBorder="1" applyAlignment="1">
      <alignment horizontal="center" vertical="center"/>
    </xf>
    <xf numFmtId="169" fontId="70" fillId="0" borderId="10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81" fillId="0" borderId="21" xfId="0" applyFont="1" applyBorder="1" applyAlignment="1">
      <alignment horizontal="center" vertical="center"/>
    </xf>
    <xf numFmtId="0" fontId="83" fillId="0" borderId="21" xfId="0" applyFont="1" applyBorder="1" applyAlignment="1">
      <alignment horizontal="center" vertical="center"/>
    </xf>
    <xf numFmtId="174" fontId="83" fillId="0" borderId="2" xfId="0" applyNumberFormat="1" applyFont="1" applyFill="1" applyBorder="1" applyAlignment="1" applyProtection="1">
      <alignment horizontal="center" vertical="center"/>
    </xf>
    <xf numFmtId="174" fontId="83" fillId="0" borderId="3" xfId="0" applyNumberFormat="1" applyFont="1" applyFill="1" applyBorder="1" applyAlignment="1" applyProtection="1">
      <alignment horizontal="center"/>
    </xf>
    <xf numFmtId="174" fontId="83" fillId="0" borderId="2" xfId="0" applyNumberFormat="1" applyFont="1" applyFill="1" applyBorder="1" applyAlignment="1" applyProtection="1">
      <alignment horizontal="center"/>
    </xf>
    <xf numFmtId="174" fontId="69" fillId="0" borderId="2" xfId="0" applyNumberFormat="1" applyFont="1" applyFill="1" applyBorder="1" applyAlignment="1" applyProtection="1">
      <alignment horizontal="center"/>
    </xf>
    <xf numFmtId="174" fontId="83" fillId="0" borderId="2" xfId="0" applyNumberFormat="1" applyFont="1" applyFill="1" applyBorder="1" applyAlignment="1">
      <alignment horizontal="center"/>
    </xf>
    <xf numFmtId="174" fontId="69" fillId="0" borderId="2" xfId="0" applyNumberFormat="1" applyFont="1" applyFill="1" applyBorder="1" applyAlignment="1">
      <alignment horizontal="center"/>
    </xf>
    <xf numFmtId="2" fontId="69" fillId="0" borderId="2" xfId="0" applyNumberFormat="1" applyFont="1" applyFill="1" applyBorder="1" applyAlignment="1" applyProtection="1">
      <alignment horizontal="left" wrapText="1"/>
    </xf>
    <xf numFmtId="169" fontId="81" fillId="0" borderId="13" xfId="0" applyNumberFormat="1" applyFont="1" applyFill="1" applyBorder="1" applyAlignment="1" applyProtection="1">
      <alignment horizontal="center" vertical="center"/>
    </xf>
    <xf numFmtId="169" fontId="81" fillId="0" borderId="2" xfId="0" applyNumberFormat="1" applyFont="1" applyFill="1" applyBorder="1" applyAlignment="1" applyProtection="1">
      <alignment vertical="center"/>
    </xf>
    <xf numFmtId="169" fontId="82" fillId="0" borderId="2" xfId="0" applyNumberFormat="1" applyFont="1" applyFill="1" applyBorder="1" applyAlignment="1">
      <alignment vertical="center"/>
    </xf>
    <xf numFmtId="169" fontId="82" fillId="0" borderId="2" xfId="0" applyNumberFormat="1" applyFont="1" applyFill="1" applyBorder="1" applyAlignment="1" applyProtection="1">
      <alignment vertical="center"/>
    </xf>
    <xf numFmtId="169" fontId="81" fillId="0" borderId="2" xfId="0" applyNumberFormat="1" applyFont="1" applyFill="1" applyBorder="1" applyAlignment="1">
      <alignment vertical="center"/>
    </xf>
    <xf numFmtId="0" fontId="82" fillId="0" borderId="2" xfId="0" applyFont="1" applyFill="1" applyBorder="1" applyAlignment="1" applyProtection="1">
      <alignment wrapText="1"/>
    </xf>
    <xf numFmtId="174" fontId="85" fillId="0" borderId="2" xfId="0" applyNumberFormat="1" applyFont="1" applyFill="1" applyBorder="1" applyAlignment="1">
      <alignment horizontal="center" vertical="center"/>
    </xf>
    <xf numFmtId="174" fontId="86" fillId="0" borderId="2" xfId="0" applyNumberFormat="1" applyFont="1" applyFill="1" applyBorder="1" applyAlignment="1">
      <alignment horizontal="center" vertical="center"/>
    </xf>
    <xf numFmtId="174" fontId="87" fillId="0" borderId="2" xfId="0" applyNumberFormat="1" applyFont="1" applyFill="1" applyBorder="1" applyAlignment="1">
      <alignment horizontal="center" vertical="center"/>
    </xf>
    <xf numFmtId="174" fontId="67" fillId="0" borderId="2" xfId="0" applyNumberFormat="1" applyFont="1" applyBorder="1" applyAlignment="1">
      <alignment horizontal="center" wrapText="1"/>
    </xf>
    <xf numFmtId="174" fontId="68" fillId="0" borderId="2" xfId="0" applyNumberFormat="1" applyFont="1" applyBorder="1" applyAlignment="1">
      <alignment horizontal="center" wrapText="1"/>
    </xf>
    <xf numFmtId="174" fontId="83" fillId="0" borderId="5" xfId="0" applyNumberFormat="1" applyFont="1" applyFill="1" applyBorder="1" applyAlignment="1">
      <alignment horizontal="center" vertical="center"/>
    </xf>
    <xf numFmtId="174" fontId="69" fillId="0" borderId="2" xfId="0" applyNumberFormat="1" applyFont="1" applyFill="1" applyBorder="1" applyAlignment="1" applyProtection="1">
      <alignment horizontal="center" vertical="center"/>
      <protection locked="0"/>
    </xf>
    <xf numFmtId="174" fontId="83" fillId="0" borderId="2" xfId="0" applyNumberFormat="1" applyFont="1" applyFill="1" applyBorder="1" applyAlignment="1" applyProtection="1">
      <alignment horizontal="center" vertical="center"/>
      <protection locked="0"/>
    </xf>
    <xf numFmtId="0" fontId="83" fillId="0" borderId="2" xfId="0" applyFont="1" applyBorder="1" applyAlignment="1">
      <alignment horizontal="center" wrapText="1"/>
    </xf>
    <xf numFmtId="0" fontId="69" fillId="0" borderId="2" xfId="0" applyFont="1" applyFill="1" applyBorder="1" applyAlignment="1" applyProtection="1">
      <alignment vertical="center" wrapText="1"/>
    </xf>
    <xf numFmtId="169" fontId="81" fillId="0" borderId="2" xfId="0" applyNumberFormat="1" applyFont="1" applyBorder="1" applyAlignment="1">
      <alignment horizontal="center" vertical="center"/>
    </xf>
    <xf numFmtId="169" fontId="81" fillId="0" borderId="10" xfId="0" applyNumberFormat="1" applyFont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 vertical="center"/>
    </xf>
    <xf numFmtId="0" fontId="13" fillId="0" borderId="54" xfId="0" applyFont="1" applyFill="1" applyBorder="1" applyAlignment="1">
      <alignment horizontal="center" vertical="center"/>
    </xf>
    <xf numFmtId="0" fontId="8" fillId="0" borderId="45" xfId="0" applyFont="1" applyFill="1" applyBorder="1" applyAlignment="1" applyProtection="1">
      <alignment horizontal="center"/>
    </xf>
    <xf numFmtId="0" fontId="8" fillId="0" borderId="46" xfId="0" applyFont="1" applyFill="1" applyBorder="1" applyAlignment="1" applyProtection="1">
      <alignment horizontal="center" vertical="top"/>
    </xf>
    <xf numFmtId="0" fontId="8" fillId="0" borderId="46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top"/>
    </xf>
    <xf numFmtId="0" fontId="8" fillId="0" borderId="46" xfId="0" applyFont="1" applyFill="1" applyBorder="1" applyAlignment="1" applyProtection="1">
      <alignment horizontal="center" shrinkToFit="1"/>
    </xf>
    <xf numFmtId="0" fontId="32" fillId="0" borderId="5" xfId="0" applyFont="1" applyFill="1" applyBorder="1" applyAlignment="1" applyProtection="1">
      <alignment horizontal="center"/>
    </xf>
    <xf numFmtId="2" fontId="13" fillId="0" borderId="46" xfId="0" applyNumberFormat="1" applyFont="1" applyFill="1" applyBorder="1" applyAlignment="1">
      <alignment horizontal="center" vertical="center"/>
    </xf>
    <xf numFmtId="1" fontId="8" fillId="0" borderId="46" xfId="0" applyNumberFormat="1" applyFont="1" applyFill="1" applyBorder="1" applyAlignment="1" applyProtection="1">
      <alignment horizontal="center" vertical="justify"/>
    </xf>
    <xf numFmtId="1" fontId="8" fillId="0" borderId="46" xfId="0" applyNumberFormat="1" applyFont="1" applyFill="1" applyBorder="1" applyAlignment="1">
      <alignment horizontal="center" vertical="justify"/>
    </xf>
    <xf numFmtId="1" fontId="8" fillId="0" borderId="2" xfId="0" applyNumberFormat="1" applyFont="1" applyFill="1" applyBorder="1" applyAlignment="1" applyProtection="1">
      <alignment horizontal="center" vertical="justify"/>
    </xf>
    <xf numFmtId="1" fontId="8" fillId="0" borderId="2" xfId="0" applyNumberFormat="1" applyFont="1" applyFill="1" applyBorder="1" applyAlignment="1">
      <alignment horizontal="center" vertical="justify"/>
    </xf>
    <xf numFmtId="1" fontId="8" fillId="0" borderId="2" xfId="0" applyNumberFormat="1" applyFont="1" applyFill="1" applyBorder="1" applyAlignment="1" applyProtection="1">
      <alignment horizontal="center" vertical="justify" shrinkToFit="1"/>
    </xf>
    <xf numFmtId="174" fontId="10" fillId="0" borderId="3" xfId="0" applyNumberFormat="1" applyFont="1" applyFill="1" applyBorder="1" applyAlignment="1" applyProtection="1">
      <alignment horizontal="center"/>
    </xf>
    <xf numFmtId="1" fontId="8" fillId="0" borderId="46" xfId="0" applyNumberFormat="1" applyFont="1" applyFill="1" applyBorder="1" applyAlignment="1" applyProtection="1">
      <alignment horizontal="center" vertical="justify" shrinkToFit="1"/>
    </xf>
    <xf numFmtId="1" fontId="32" fillId="0" borderId="46" xfId="0" applyNumberFormat="1" applyFont="1" applyFill="1" applyBorder="1" applyAlignment="1" applyProtection="1">
      <alignment horizontal="center" vertical="justify" shrinkToFit="1"/>
    </xf>
    <xf numFmtId="174" fontId="20" fillId="0" borderId="3" xfId="0" applyNumberFormat="1" applyFont="1" applyFill="1" applyBorder="1" applyAlignment="1" applyProtection="1">
      <alignment horizontal="center"/>
    </xf>
    <xf numFmtId="174" fontId="12" fillId="0" borderId="3" xfId="0" applyNumberFormat="1" applyFont="1" applyFill="1" applyBorder="1" applyAlignment="1" applyProtection="1">
      <alignment horizontal="center"/>
    </xf>
    <xf numFmtId="174" fontId="14" fillId="0" borderId="3" xfId="0" applyNumberFormat="1" applyFont="1" applyFill="1" applyBorder="1" applyAlignment="1" applyProtection="1">
      <alignment horizontal="center"/>
    </xf>
    <xf numFmtId="174" fontId="66" fillId="0" borderId="2" xfId="0" applyNumberFormat="1" applyFont="1" applyFill="1" applyBorder="1" applyAlignment="1">
      <alignment horizontal="center"/>
    </xf>
    <xf numFmtId="174" fontId="70" fillId="0" borderId="3" xfId="0" applyNumberFormat="1" applyFont="1" applyFill="1" applyBorder="1" applyAlignment="1" applyProtection="1">
      <alignment horizontal="center"/>
    </xf>
    <xf numFmtId="174" fontId="50" fillId="0" borderId="3" xfId="0" applyNumberFormat="1" applyFont="1" applyFill="1" applyBorder="1" applyAlignment="1" applyProtection="1">
      <alignment horizontal="center"/>
    </xf>
    <xf numFmtId="174" fontId="22" fillId="0" borderId="2" xfId="0" applyNumberFormat="1" applyFont="1" applyFill="1" applyBorder="1" applyAlignment="1">
      <alignment horizontal="center"/>
    </xf>
    <xf numFmtId="174" fontId="65" fillId="0" borderId="2" xfId="0" applyNumberFormat="1" applyFont="1" applyFill="1" applyBorder="1" applyAlignment="1">
      <alignment horizontal="center"/>
    </xf>
    <xf numFmtId="2" fontId="22" fillId="0" borderId="2" xfId="0" applyNumberFormat="1" applyFont="1" applyFill="1" applyBorder="1" applyAlignment="1" applyProtection="1">
      <alignment horizontal="left" wrapText="1"/>
    </xf>
    <xf numFmtId="1" fontId="32" fillId="0" borderId="3" xfId="0" applyNumberFormat="1" applyFont="1" applyFill="1" applyBorder="1" applyAlignment="1" applyProtection="1">
      <alignment horizontal="center"/>
    </xf>
    <xf numFmtId="0" fontId="39" fillId="0" borderId="0" xfId="0" applyFont="1" applyAlignment="1">
      <alignment horizontal="center"/>
    </xf>
    <xf numFmtId="170" fontId="7" fillId="0" borderId="2" xfId="0" applyNumberFormat="1" applyFont="1" applyFill="1" applyBorder="1" applyAlignment="1" applyProtection="1">
      <alignment vertical="center" wrapText="1"/>
    </xf>
    <xf numFmtId="0" fontId="7" fillId="0" borderId="45" xfId="0" applyFont="1" applyBorder="1" applyAlignment="1">
      <alignment horizontal="center" vertical="center"/>
    </xf>
    <xf numFmtId="0" fontId="8" fillId="0" borderId="46" xfId="0" applyFont="1" applyFill="1" applyBorder="1" applyAlignment="1" applyProtection="1">
      <alignment horizontal="center" vertical="justify"/>
    </xf>
    <xf numFmtId="0" fontId="8" fillId="0" borderId="46" xfId="0" applyFont="1" applyFill="1" applyBorder="1" applyAlignment="1">
      <alignment horizontal="center" vertical="justify"/>
    </xf>
    <xf numFmtId="0" fontId="9" fillId="0" borderId="46" xfId="0" applyFont="1" applyBorder="1" applyAlignment="1">
      <alignment horizontal="center" vertical="justify"/>
    </xf>
    <xf numFmtId="0" fontId="7" fillId="0" borderId="27" xfId="0" applyFont="1" applyBorder="1"/>
    <xf numFmtId="0" fontId="13" fillId="0" borderId="55" xfId="0" applyFont="1" applyFill="1" applyBorder="1" applyAlignment="1">
      <alignment horizontal="center" vertical="center"/>
    </xf>
    <xf numFmtId="0" fontId="8" fillId="0" borderId="55" xfId="0" applyFont="1" applyFill="1" applyBorder="1"/>
    <xf numFmtId="0" fontId="6" fillId="0" borderId="55" xfId="0" applyFont="1" applyFill="1" applyBorder="1" applyAlignment="1">
      <alignment horizontal="center"/>
    </xf>
    <xf numFmtId="0" fontId="13" fillId="0" borderId="56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0" fontId="13" fillId="0" borderId="45" xfId="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 applyProtection="1">
      <alignment horizontal="center" vertical="center"/>
    </xf>
    <xf numFmtId="0" fontId="54" fillId="0" borderId="46" xfId="0" applyFont="1" applyFill="1" applyBorder="1" applyAlignment="1" applyProtection="1">
      <alignment horizontal="center" vertical="justify"/>
    </xf>
    <xf numFmtId="0" fontId="54" fillId="0" borderId="46" xfId="0" applyFont="1" applyFill="1" applyBorder="1" applyAlignment="1">
      <alignment horizontal="center" vertical="justify"/>
    </xf>
    <xf numFmtId="0" fontId="57" fillId="0" borderId="46" xfId="0" applyFont="1" applyBorder="1" applyAlignment="1">
      <alignment horizontal="center" vertical="justify"/>
    </xf>
    <xf numFmtId="0" fontId="13" fillId="0" borderId="51" xfId="0" applyFont="1" applyFill="1" applyBorder="1" applyAlignment="1" applyProtection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9" fillId="0" borderId="46" xfId="0" applyFont="1" applyBorder="1" applyAlignment="1">
      <alignment horizontal="center" vertical="top"/>
    </xf>
    <xf numFmtId="0" fontId="51" fillId="0" borderId="45" xfId="0" applyFont="1" applyFill="1" applyBorder="1" applyAlignment="1">
      <alignment horizontal="center" vertical="center"/>
    </xf>
    <xf numFmtId="0" fontId="51" fillId="0" borderId="46" xfId="0" applyFont="1" applyFill="1" applyBorder="1" applyAlignment="1">
      <alignment horizontal="center" vertical="center"/>
    </xf>
    <xf numFmtId="0" fontId="20" fillId="0" borderId="51" xfId="0" applyFont="1" applyFill="1" applyBorder="1" applyAlignment="1">
      <alignment horizontal="center" vertical="center" wrapText="1"/>
    </xf>
    <xf numFmtId="0" fontId="44" fillId="0" borderId="46" xfId="0" applyFont="1" applyFill="1" applyBorder="1" applyAlignment="1" applyProtection="1">
      <alignment horizontal="center" vertical="justify"/>
    </xf>
    <xf numFmtId="0" fontId="44" fillId="0" borderId="46" xfId="0" applyFont="1" applyFill="1" applyBorder="1" applyAlignment="1">
      <alignment horizontal="center" vertical="justify"/>
    </xf>
    <xf numFmtId="0" fontId="44" fillId="0" borderId="47" xfId="0" applyFont="1" applyFill="1" applyBorder="1" applyAlignment="1" applyProtection="1">
      <alignment horizontal="center" vertical="justify"/>
    </xf>
    <xf numFmtId="0" fontId="9" fillId="0" borderId="46" xfId="0" applyFont="1" applyFill="1" applyBorder="1" applyAlignment="1">
      <alignment horizontal="center" vertical="justify"/>
    </xf>
    <xf numFmtId="0" fontId="13" fillId="0" borderId="45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/>
    </xf>
    <xf numFmtId="0" fontId="9" fillId="0" borderId="46" xfId="0" applyFont="1" applyFill="1" applyBorder="1" applyAlignment="1">
      <alignment horizontal="center" vertical="top"/>
    </xf>
    <xf numFmtId="0" fontId="32" fillId="0" borderId="46" xfId="0" applyFont="1" applyBorder="1" applyAlignment="1">
      <alignment horizontal="center" vertical="top"/>
    </xf>
    <xf numFmtId="0" fontId="13" fillId="0" borderId="54" xfId="0" applyFont="1" applyFill="1" applyBorder="1" applyAlignment="1">
      <alignment vertical="center"/>
    </xf>
    <xf numFmtId="0" fontId="13" fillId="0" borderId="55" xfId="0" applyFont="1" applyFill="1" applyBorder="1" applyAlignment="1">
      <alignment vertical="center"/>
    </xf>
    <xf numFmtId="0" fontId="13" fillId="0" borderId="27" xfId="0" applyFont="1" applyFill="1" applyBorder="1" applyAlignment="1">
      <alignment vertical="center"/>
    </xf>
    <xf numFmtId="0" fontId="8" fillId="0" borderId="55" xfId="0" applyFont="1" applyFill="1" applyBorder="1" applyAlignment="1" applyProtection="1">
      <alignment vertical="center"/>
    </xf>
    <xf numFmtId="1" fontId="32" fillId="0" borderId="46" xfId="0" applyNumberFormat="1" applyFont="1" applyFill="1" applyBorder="1" applyAlignment="1" applyProtection="1">
      <alignment horizontal="center" vertical="top"/>
      <protection locked="0"/>
    </xf>
    <xf numFmtId="1" fontId="32" fillId="0" borderId="46" xfId="0" applyNumberFormat="1" applyFont="1" applyFill="1" applyBorder="1" applyAlignment="1" applyProtection="1">
      <alignment horizontal="center" vertical="top"/>
    </xf>
    <xf numFmtId="1" fontId="32" fillId="0" borderId="46" xfId="0" applyNumberFormat="1" applyFont="1" applyFill="1" applyBorder="1" applyAlignment="1">
      <alignment horizontal="center" vertical="top"/>
    </xf>
    <xf numFmtId="0" fontId="13" fillId="0" borderId="45" xfId="0" applyFont="1" applyFill="1" applyBorder="1" applyAlignment="1" applyProtection="1">
      <alignment horizontal="center" vertical="center"/>
      <protection locked="0"/>
    </xf>
    <xf numFmtId="0" fontId="13" fillId="0" borderId="46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>
      <alignment horizontal="center"/>
    </xf>
    <xf numFmtId="0" fontId="8" fillId="0" borderId="47" xfId="0" applyFont="1" applyFill="1" applyBorder="1" applyAlignment="1" applyProtection="1">
      <alignment horizontal="center" vertical="justify"/>
    </xf>
    <xf numFmtId="0" fontId="8" fillId="0" borderId="47" xfId="0" applyFont="1" applyFill="1" applyBorder="1" applyAlignment="1">
      <alignment horizontal="center" vertical="justify"/>
    </xf>
    <xf numFmtId="0" fontId="9" fillId="0" borderId="47" xfId="0" applyFont="1" applyBorder="1" applyAlignment="1">
      <alignment horizontal="center" vertical="justify"/>
    </xf>
    <xf numFmtId="0" fontId="13" fillId="0" borderId="47" xfId="0" applyFont="1" applyFill="1" applyBorder="1" applyAlignment="1" applyProtection="1">
      <alignment horizontal="center" vertical="center"/>
    </xf>
    <xf numFmtId="0" fontId="13" fillId="0" borderId="54" xfId="0" applyFont="1" applyFill="1" applyBorder="1" applyAlignment="1" applyProtection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8" fillId="0" borderId="55" xfId="0" applyFont="1" applyFill="1" applyBorder="1" applyAlignment="1" applyProtection="1">
      <alignment horizontal="center"/>
    </xf>
    <xf numFmtId="0" fontId="9" fillId="0" borderId="46" xfId="0" applyFont="1" applyBorder="1" applyAlignment="1" applyProtection="1">
      <alignment horizontal="center" vertical="top"/>
    </xf>
    <xf numFmtId="0" fontId="8" fillId="0" borderId="47" xfId="0" applyFont="1" applyFill="1" applyBorder="1" applyAlignment="1" applyProtection="1">
      <alignment horizontal="center" vertical="top"/>
    </xf>
    <xf numFmtId="0" fontId="9" fillId="0" borderId="45" xfId="0" applyFont="1" applyBorder="1" applyAlignment="1">
      <alignment horizontal="center"/>
    </xf>
    <xf numFmtId="0" fontId="9" fillId="0" borderId="47" xfId="0" applyFont="1" applyBorder="1" applyAlignment="1">
      <alignment horizontal="center" vertical="top"/>
    </xf>
    <xf numFmtId="168" fontId="7" fillId="0" borderId="5" xfId="0" applyNumberFormat="1" applyFont="1" applyBorder="1" applyAlignment="1" applyProtection="1">
      <alignment horizontal="center" vertical="center"/>
    </xf>
    <xf numFmtId="168" fontId="39" fillId="0" borderId="5" xfId="0" applyNumberFormat="1" applyFont="1" applyBorder="1" applyAlignment="1" applyProtection="1">
      <alignment horizontal="center" vertical="center"/>
    </xf>
    <xf numFmtId="169" fontId="32" fillId="0" borderId="2" xfId="0" applyNumberFormat="1" applyFont="1" applyBorder="1" applyAlignment="1">
      <alignment horizontal="center"/>
    </xf>
    <xf numFmtId="169" fontId="1" fillId="0" borderId="2" xfId="0" applyNumberFormat="1" applyFont="1" applyBorder="1"/>
    <xf numFmtId="169" fontId="0" fillId="0" borderId="2" xfId="0" applyNumberFormat="1" applyBorder="1"/>
    <xf numFmtId="165" fontId="9" fillId="0" borderId="6" xfId="0" applyNumberFormat="1" applyFont="1" applyBorder="1" applyAlignment="1" applyProtection="1">
      <alignment horizontal="center" vertical="center"/>
    </xf>
    <xf numFmtId="2" fontId="66" fillId="0" borderId="45" xfId="0" applyNumberFormat="1" applyFont="1" applyBorder="1" applyAlignment="1" applyProtection="1">
      <alignment horizontal="center" vertical="center"/>
    </xf>
    <xf numFmtId="169" fontId="66" fillId="0" borderId="2" xfId="0" applyNumberFormat="1" applyFont="1" applyFill="1" applyBorder="1" applyAlignment="1" applyProtection="1">
      <alignment horizontal="center" vertical="center"/>
    </xf>
    <xf numFmtId="169" fontId="71" fillId="0" borderId="2" xfId="0" applyNumberFormat="1" applyFont="1" applyBorder="1" applyAlignment="1">
      <alignment horizontal="center"/>
    </xf>
    <xf numFmtId="169" fontId="66" fillId="0" borderId="2" xfId="0" applyNumberFormat="1" applyFont="1" applyFill="1" applyBorder="1" applyAlignment="1">
      <alignment horizontal="center" vertical="center"/>
    </xf>
    <xf numFmtId="169" fontId="66" fillId="0" borderId="2" xfId="0" applyNumberFormat="1" applyFont="1" applyBorder="1" applyAlignment="1">
      <alignment horizontal="center"/>
    </xf>
    <xf numFmtId="168" fontId="65" fillId="0" borderId="5" xfId="0" applyNumberFormat="1" applyFont="1" applyBorder="1" applyAlignment="1" applyProtection="1">
      <alignment horizontal="center" vertical="center"/>
    </xf>
    <xf numFmtId="169" fontId="65" fillId="0" borderId="2" xfId="0" applyNumberFormat="1" applyFont="1" applyFill="1" applyBorder="1" applyAlignment="1" applyProtection="1">
      <alignment horizontal="center" vertical="center"/>
    </xf>
    <xf numFmtId="169" fontId="70" fillId="0" borderId="2" xfId="0" applyNumberFormat="1" applyFont="1" applyBorder="1" applyAlignment="1">
      <alignment horizontal="center"/>
    </xf>
    <xf numFmtId="169" fontId="65" fillId="0" borderId="2" xfId="0" applyNumberFormat="1" applyFont="1" applyFill="1" applyBorder="1" applyAlignment="1">
      <alignment horizontal="center" vertical="center"/>
    </xf>
    <xf numFmtId="169" fontId="65" fillId="0" borderId="2" xfId="0" applyNumberFormat="1" applyFont="1" applyBorder="1" applyAlignment="1">
      <alignment horizontal="center"/>
    </xf>
    <xf numFmtId="168" fontId="22" fillId="0" borderId="35" xfId="0" applyNumberFormat="1" applyFont="1" applyBorder="1" applyAlignment="1" applyProtection="1">
      <alignment horizontal="center" vertical="center"/>
    </xf>
    <xf numFmtId="169" fontId="22" fillId="0" borderId="2" xfId="0" applyNumberFormat="1" applyFont="1" applyFill="1" applyBorder="1" applyAlignment="1" applyProtection="1">
      <alignment horizontal="center" vertical="center"/>
    </xf>
    <xf numFmtId="169" fontId="22" fillId="0" borderId="2" xfId="0" applyNumberFormat="1" applyFont="1" applyFill="1" applyBorder="1" applyAlignment="1">
      <alignment horizontal="center" vertical="center"/>
    </xf>
    <xf numFmtId="168" fontId="82" fillId="0" borderId="5" xfId="0" applyNumberFormat="1" applyFont="1" applyBorder="1" applyAlignment="1" applyProtection="1">
      <alignment vertical="center"/>
    </xf>
    <xf numFmtId="169" fontId="82" fillId="0" borderId="2" xfId="0" applyNumberFormat="1" applyFont="1" applyBorder="1" applyAlignment="1"/>
    <xf numFmtId="169" fontId="81" fillId="0" borderId="2" xfId="0" applyNumberFormat="1" applyFont="1" applyBorder="1" applyAlignment="1"/>
    <xf numFmtId="174" fontId="7" fillId="0" borderId="3" xfId="0" applyNumberFormat="1" applyFont="1" applyBorder="1" applyAlignment="1">
      <alignment horizontal="center" vertical="center"/>
    </xf>
    <xf numFmtId="174" fontId="7" fillId="0" borderId="3" xfId="0" applyNumberFormat="1" applyFont="1" applyBorder="1" applyAlignment="1">
      <alignment vertical="center"/>
    </xf>
    <xf numFmtId="0" fontId="57" fillId="0" borderId="2" xfId="0" applyFont="1" applyBorder="1" applyAlignment="1">
      <alignment horizontal="center" vertical="justify"/>
    </xf>
    <xf numFmtId="0" fontId="54" fillId="0" borderId="2" xfId="0" applyFont="1" applyFill="1" applyBorder="1" applyAlignment="1" applyProtection="1">
      <alignment horizontal="center" vertical="justify"/>
    </xf>
    <xf numFmtId="0" fontId="54" fillId="0" borderId="2" xfId="0" applyFont="1" applyFill="1" applyBorder="1" applyAlignment="1">
      <alignment horizontal="center" vertical="justify"/>
    </xf>
    <xf numFmtId="0" fontId="37" fillId="0" borderId="46" xfId="0" applyFont="1" applyFill="1" applyBorder="1" applyAlignment="1" applyProtection="1">
      <alignment horizontal="center" vertical="justify" shrinkToFit="1"/>
    </xf>
    <xf numFmtId="0" fontId="29" fillId="0" borderId="14" xfId="0" applyFont="1" applyFill="1" applyBorder="1" applyAlignment="1">
      <alignment horizontal="center" vertical="center"/>
    </xf>
    <xf numFmtId="0" fontId="29" fillId="0" borderId="55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 shrinkToFit="1"/>
    </xf>
    <xf numFmtId="0" fontId="31" fillId="0" borderId="3" xfId="0" applyFont="1" applyFill="1" applyBorder="1" applyAlignment="1">
      <alignment horizontal="center" vertical="center"/>
    </xf>
    <xf numFmtId="2" fontId="55" fillId="0" borderId="3" xfId="0" applyNumberFormat="1" applyFont="1" applyFill="1" applyBorder="1" applyAlignment="1">
      <alignment horizontal="center" vertical="center"/>
    </xf>
    <xf numFmtId="2" fontId="31" fillId="0" borderId="3" xfId="0" applyNumberFormat="1" applyFont="1" applyFill="1" applyBorder="1" applyAlignment="1">
      <alignment horizontal="center" vertical="center"/>
    </xf>
    <xf numFmtId="0" fontId="31" fillId="0" borderId="3" xfId="0" applyFont="1" applyFill="1" applyBorder="1" applyAlignment="1" applyProtection="1">
      <alignment horizontal="center" vertical="center"/>
    </xf>
    <xf numFmtId="2" fontId="31" fillId="0" borderId="3" xfId="0" applyNumberFormat="1" applyFont="1" applyFill="1" applyBorder="1" applyAlignment="1" applyProtection="1">
      <alignment horizontal="center" vertical="center"/>
    </xf>
    <xf numFmtId="167" fontId="31" fillId="0" borderId="3" xfId="0" applyNumberFormat="1" applyFont="1" applyFill="1" applyBorder="1" applyAlignment="1">
      <alignment horizontal="center" vertical="center"/>
    </xf>
    <xf numFmtId="1" fontId="31" fillId="0" borderId="3" xfId="0" applyNumberFormat="1" applyFont="1" applyFill="1" applyBorder="1" applyAlignment="1">
      <alignment horizontal="center" vertical="center"/>
    </xf>
    <xf numFmtId="167" fontId="31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0" fontId="29" fillId="0" borderId="54" xfId="0" applyFont="1" applyFill="1" applyBorder="1" applyAlignment="1">
      <alignment horizontal="center" vertical="center"/>
    </xf>
    <xf numFmtId="0" fontId="29" fillId="0" borderId="13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 applyProtection="1">
      <alignment horizontal="center"/>
    </xf>
    <xf numFmtId="0" fontId="31" fillId="0" borderId="13" xfId="0" applyFont="1" applyFill="1" applyBorder="1" applyAlignment="1">
      <alignment horizontal="center" vertical="center"/>
    </xf>
    <xf numFmtId="0" fontId="31" fillId="0" borderId="13" xfId="0" applyFont="1" applyFill="1" applyBorder="1" applyAlignment="1" applyProtection="1">
      <alignment horizontal="center" vertical="center"/>
    </xf>
    <xf numFmtId="2" fontId="31" fillId="0" borderId="13" xfId="0" applyNumberFormat="1" applyFont="1" applyFill="1" applyBorder="1" applyAlignment="1" applyProtection="1">
      <alignment horizontal="center" vertical="center"/>
    </xf>
    <xf numFmtId="167" fontId="31" fillId="0" borderId="13" xfId="0" applyNumberFormat="1" applyFont="1" applyFill="1" applyBorder="1" applyAlignment="1">
      <alignment horizontal="center" vertical="center"/>
    </xf>
    <xf numFmtId="1" fontId="31" fillId="0" borderId="13" xfId="0" applyNumberFormat="1" applyFont="1" applyFill="1" applyBorder="1" applyAlignment="1">
      <alignment horizontal="center" vertical="center"/>
    </xf>
    <xf numFmtId="167" fontId="31" fillId="0" borderId="39" xfId="0" applyNumberFormat="1" applyFont="1" applyFill="1" applyBorder="1" applyAlignment="1">
      <alignment horizontal="center" vertical="center"/>
    </xf>
    <xf numFmtId="169" fontId="20" fillId="0" borderId="3" xfId="0" applyNumberFormat="1" applyFont="1" applyFill="1" applyBorder="1" applyAlignment="1">
      <alignment horizontal="center"/>
    </xf>
    <xf numFmtId="0" fontId="20" fillId="0" borderId="38" xfId="0" applyFont="1" applyFill="1" applyBorder="1" applyAlignment="1">
      <alignment horizontal="center" vertical="justify"/>
    </xf>
    <xf numFmtId="0" fontId="20" fillId="0" borderId="10" xfId="0" applyFont="1" applyFill="1" applyBorder="1" applyAlignment="1">
      <alignment horizontal="center" vertical="justify"/>
    </xf>
    <xf numFmtId="0" fontId="20" fillId="0" borderId="10" xfId="0" applyFont="1" applyFill="1" applyBorder="1" applyAlignment="1">
      <alignment horizontal="center"/>
    </xf>
    <xf numFmtId="169" fontId="20" fillId="0" borderId="10" xfId="0" applyNumberFormat="1" applyFont="1" applyFill="1" applyBorder="1" applyAlignment="1">
      <alignment horizontal="center"/>
    </xf>
    <xf numFmtId="169" fontId="21" fillId="0" borderId="10" xfId="0" applyNumberFormat="1" applyFont="1" applyFill="1" applyBorder="1" applyAlignment="1">
      <alignment horizontal="center"/>
    </xf>
    <xf numFmtId="2" fontId="20" fillId="0" borderId="10" xfId="0" applyNumberFormat="1" applyFont="1" applyFill="1" applyBorder="1" applyAlignment="1">
      <alignment horizontal="center"/>
    </xf>
    <xf numFmtId="2" fontId="39" fillId="0" borderId="9" xfId="0" applyNumberFormat="1" applyFont="1" applyBorder="1" applyAlignment="1">
      <alignment horizontal="center"/>
    </xf>
    <xf numFmtId="0" fontId="20" fillId="0" borderId="10" xfId="0" applyFont="1" applyFill="1" applyBorder="1" applyAlignment="1" applyProtection="1">
      <alignment wrapText="1"/>
    </xf>
    <xf numFmtId="0" fontId="9" fillId="0" borderId="14" xfId="0" applyFont="1" applyFill="1" applyBorder="1" applyAlignment="1" applyProtection="1">
      <alignment horizontal="center" vertical="justify"/>
    </xf>
    <xf numFmtId="0" fontId="9" fillId="0" borderId="55" xfId="0" applyFont="1" applyFill="1" applyBorder="1" applyAlignment="1" applyProtection="1">
      <alignment horizontal="center" vertical="justify"/>
    </xf>
    <xf numFmtId="0" fontId="9" fillId="0" borderId="3" xfId="0" applyFont="1" applyFill="1" applyBorder="1" applyAlignment="1" applyProtection="1">
      <alignment horizontal="center" vertical="justify"/>
    </xf>
    <xf numFmtId="169" fontId="8" fillId="0" borderId="3" xfId="0" applyNumberFormat="1" applyFont="1" applyFill="1" applyBorder="1" applyAlignment="1" applyProtection="1">
      <alignment horizontal="center"/>
    </xf>
    <xf numFmtId="169" fontId="15" fillId="0" borderId="3" xfId="0" applyNumberFormat="1" applyFont="1" applyFill="1" applyBorder="1" applyAlignment="1" applyProtection="1">
      <alignment horizontal="center"/>
    </xf>
    <xf numFmtId="0" fontId="7" fillId="0" borderId="2" xfId="0" applyFont="1" applyFill="1" applyBorder="1" applyAlignment="1" applyProtection="1">
      <alignment horizontal="center"/>
    </xf>
    <xf numFmtId="0" fontId="7" fillId="0" borderId="10" xfId="0" applyFont="1" applyBorder="1" applyAlignment="1">
      <alignment horizontal="center" vertical="center"/>
    </xf>
    <xf numFmtId="169" fontId="7" fillId="0" borderId="10" xfId="0" applyNumberFormat="1" applyFont="1" applyBorder="1" applyAlignment="1">
      <alignment horizontal="center" vertical="center"/>
    </xf>
    <xf numFmtId="169" fontId="14" fillId="0" borderId="10" xfId="0" applyNumberFormat="1" applyFont="1" applyBorder="1" applyAlignment="1">
      <alignment horizontal="center" vertical="center"/>
    </xf>
    <xf numFmtId="2" fontId="7" fillId="0" borderId="10" xfId="0" applyNumberFormat="1" applyFont="1" applyBorder="1" applyAlignment="1">
      <alignment horizontal="center" vertical="center"/>
    </xf>
    <xf numFmtId="0" fontId="7" fillId="0" borderId="10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top"/>
    </xf>
    <xf numFmtId="171" fontId="32" fillId="0" borderId="2" xfId="0" applyNumberFormat="1" applyFont="1" applyFill="1" applyBorder="1" applyAlignment="1" applyProtection="1">
      <alignment horizontal="center" vertical="top" wrapText="1"/>
      <protection locked="0"/>
    </xf>
    <xf numFmtId="1" fontId="32" fillId="0" borderId="2" xfId="0" applyNumberFormat="1" applyFont="1" applyFill="1" applyBorder="1" applyAlignment="1" applyProtection="1">
      <alignment horizontal="center" vertical="top"/>
    </xf>
    <xf numFmtId="1" fontId="32" fillId="0" borderId="2" xfId="0" applyNumberFormat="1" applyFont="1" applyFill="1" applyBorder="1" applyAlignment="1" applyProtection="1">
      <alignment horizontal="center" vertical="top"/>
      <protection locked="0"/>
    </xf>
    <xf numFmtId="1" fontId="32" fillId="0" borderId="2" xfId="0" applyNumberFormat="1" applyFont="1" applyFill="1" applyBorder="1" applyAlignment="1">
      <alignment horizontal="center" vertical="top"/>
    </xf>
    <xf numFmtId="171" fontId="32" fillId="0" borderId="2" xfId="0" applyNumberFormat="1" applyFont="1" applyFill="1" applyBorder="1" applyAlignment="1" applyProtection="1">
      <alignment horizontal="center" vertical="top" wrapText="1"/>
    </xf>
    <xf numFmtId="172" fontId="32" fillId="0" borderId="3" xfId="0" applyNumberFormat="1" applyFont="1" applyFill="1" applyBorder="1" applyAlignment="1" applyProtection="1">
      <alignment horizontal="center"/>
      <protection locked="0"/>
    </xf>
    <xf numFmtId="0" fontId="32" fillId="0" borderId="3" xfId="0" applyFont="1" applyFill="1" applyBorder="1"/>
    <xf numFmtId="171" fontId="32" fillId="0" borderId="46" xfId="0" applyNumberFormat="1" applyFont="1" applyFill="1" applyBorder="1" applyAlignment="1" applyProtection="1">
      <alignment horizontal="center" vertical="top" wrapText="1"/>
    </xf>
    <xf numFmtId="171" fontId="32" fillId="0" borderId="46" xfId="0" applyNumberFormat="1" applyFont="1" applyFill="1" applyBorder="1" applyAlignment="1" applyProtection="1">
      <alignment horizontal="center" vertical="top" wrapText="1"/>
      <protection locked="0"/>
    </xf>
    <xf numFmtId="0" fontId="6" fillId="0" borderId="10" xfId="0" applyFont="1" applyFill="1" applyBorder="1" applyAlignment="1">
      <alignment horizontal="center" vertical="justify"/>
    </xf>
    <xf numFmtId="0" fontId="9" fillId="0" borderId="10" xfId="0" applyFont="1" applyBorder="1" applyAlignment="1">
      <alignment horizontal="center" vertical="justify"/>
    </xf>
    <xf numFmtId="0" fontId="8" fillId="0" borderId="10" xfId="0" applyFont="1" applyFill="1" applyBorder="1" applyAlignment="1">
      <alignment horizontal="center" vertical="justify"/>
    </xf>
    <xf numFmtId="0" fontId="8" fillId="0" borderId="46" xfId="0" applyFont="1" applyFill="1" applyBorder="1" applyAlignment="1" applyProtection="1">
      <alignment horizontal="center" vertical="justify" shrinkToFit="1"/>
    </xf>
    <xf numFmtId="169" fontId="20" fillId="0" borderId="0" xfId="0" applyNumberFormat="1" applyFont="1" applyFill="1" applyAlignment="1" applyProtection="1">
      <alignment horizontal="center"/>
    </xf>
    <xf numFmtId="0" fontId="8" fillId="0" borderId="47" xfId="0" applyFont="1" applyFill="1" applyBorder="1" applyAlignment="1" applyProtection="1">
      <alignment horizontal="center" vertical="justify" shrinkToFit="1"/>
    </xf>
    <xf numFmtId="0" fontId="39" fillId="0" borderId="10" xfId="0" applyFont="1" applyFill="1" applyBorder="1" applyAlignment="1" applyProtection="1">
      <alignment horizontal="center"/>
    </xf>
    <xf numFmtId="169" fontId="39" fillId="0" borderId="2" xfId="0" applyNumberFormat="1" applyFont="1" applyBorder="1"/>
    <xf numFmtId="0" fontId="9" fillId="0" borderId="2" xfId="0" applyFont="1" applyBorder="1" applyAlignment="1" applyProtection="1">
      <alignment horizontal="center" vertical="top"/>
    </xf>
    <xf numFmtId="174" fontId="8" fillId="0" borderId="10" xfId="0" applyNumberFormat="1" applyFont="1" applyFill="1" applyBorder="1" applyAlignment="1">
      <alignment horizontal="center"/>
    </xf>
    <xf numFmtId="174" fontId="15" fillId="0" borderId="10" xfId="0" applyNumberFormat="1" applyFont="1" applyFill="1" applyBorder="1" applyAlignment="1">
      <alignment horizontal="center"/>
    </xf>
    <xf numFmtId="174" fontId="6" fillId="0" borderId="10" xfId="0" applyNumberFormat="1" applyFont="1" applyFill="1" applyBorder="1" applyAlignment="1">
      <alignment horizontal="center"/>
    </xf>
    <xf numFmtId="174" fontId="14" fillId="0" borderId="10" xfId="0" applyNumberFormat="1" applyFont="1" applyFill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 vertical="top"/>
    </xf>
    <xf numFmtId="1" fontId="7" fillId="0" borderId="10" xfId="0" applyNumberFormat="1" applyFont="1" applyBorder="1" applyAlignment="1">
      <alignment horizontal="center"/>
    </xf>
    <xf numFmtId="174" fontId="7" fillId="0" borderId="10" xfId="0" applyNumberFormat="1" applyFont="1" applyBorder="1" applyAlignment="1">
      <alignment horizontal="center"/>
    </xf>
    <xf numFmtId="174" fontId="39" fillId="0" borderId="10" xfId="0" applyNumberFormat="1" applyFont="1" applyBorder="1" applyAlignment="1">
      <alignment horizontal="center"/>
    </xf>
    <xf numFmtId="174" fontId="14" fillId="0" borderId="10" xfId="0" applyNumberFormat="1" applyFont="1" applyBorder="1" applyAlignment="1">
      <alignment horizontal="center"/>
    </xf>
    <xf numFmtId="2" fontId="7" fillId="0" borderId="10" xfId="0" applyNumberFormat="1" applyFont="1" applyBorder="1" applyAlignment="1">
      <alignment horizontal="center"/>
    </xf>
    <xf numFmtId="174" fontId="11" fillId="0" borderId="10" xfId="0" applyNumberFormat="1" applyFont="1" applyBorder="1" applyAlignment="1">
      <alignment horizontal="center"/>
    </xf>
    <xf numFmtId="0" fontId="7" fillId="0" borderId="10" xfId="0" applyFont="1" applyFill="1" applyBorder="1" applyAlignment="1">
      <alignment wrapText="1"/>
    </xf>
    <xf numFmtId="0" fontId="32" fillId="0" borderId="13" xfId="0" applyFont="1" applyFill="1" applyBorder="1" applyAlignment="1" applyProtection="1">
      <alignment horizontal="center" vertical="center" wrapText="1"/>
    </xf>
    <xf numFmtId="169" fontId="32" fillId="0" borderId="13" xfId="0" applyNumberFormat="1" applyFont="1" applyFill="1" applyBorder="1" applyAlignment="1" applyProtection="1">
      <alignment horizontal="center" vertical="center" wrapText="1"/>
    </xf>
    <xf numFmtId="166" fontId="32" fillId="0" borderId="13" xfId="0" applyNumberFormat="1" applyFont="1" applyFill="1" applyBorder="1" applyAlignment="1" applyProtection="1">
      <alignment horizontal="center" vertical="center" wrapText="1"/>
    </xf>
    <xf numFmtId="168" fontId="32" fillId="0" borderId="13" xfId="0" applyNumberFormat="1" applyFont="1" applyFill="1" applyBorder="1" applyAlignment="1" applyProtection="1">
      <alignment horizontal="center" vertical="center" wrapText="1"/>
    </xf>
    <xf numFmtId="169" fontId="71" fillId="0" borderId="13" xfId="0" applyNumberFormat="1" applyFont="1" applyFill="1" applyBorder="1" applyAlignment="1" applyProtection="1">
      <alignment horizontal="center" vertical="center" wrapText="1"/>
    </xf>
    <xf numFmtId="168" fontId="71" fillId="0" borderId="5" xfId="0" applyNumberFormat="1" applyFont="1" applyFill="1" applyBorder="1" applyAlignment="1" applyProtection="1">
      <alignment horizontal="center" vertical="center" wrapText="1"/>
    </xf>
    <xf numFmtId="169" fontId="71" fillId="0" borderId="2" xfId="0" applyNumberFormat="1" applyFont="1" applyFill="1" applyBorder="1" applyAlignment="1">
      <alignment horizontal="center" vertical="center" wrapText="1"/>
    </xf>
    <xf numFmtId="169" fontId="66" fillId="0" borderId="2" xfId="0" applyNumberFormat="1" applyFont="1" applyFill="1" applyBorder="1" applyAlignment="1">
      <alignment horizontal="center" vertical="center" wrapText="1"/>
    </xf>
    <xf numFmtId="169" fontId="70" fillId="0" borderId="13" xfId="0" applyNumberFormat="1" applyFont="1" applyFill="1" applyBorder="1" applyAlignment="1" applyProtection="1">
      <alignment horizontal="center" vertical="center" wrapText="1"/>
    </xf>
    <xf numFmtId="168" fontId="70" fillId="0" borderId="5" xfId="0" applyNumberFormat="1" applyFont="1" applyFill="1" applyBorder="1" applyAlignment="1" applyProtection="1">
      <alignment horizontal="center" vertical="center" wrapText="1"/>
    </xf>
    <xf numFmtId="169" fontId="70" fillId="0" borderId="2" xfId="0" applyNumberFormat="1" applyFont="1" applyFill="1" applyBorder="1" applyAlignment="1">
      <alignment horizontal="center" vertical="center" wrapText="1"/>
    </xf>
    <xf numFmtId="169" fontId="65" fillId="0" borderId="2" xfId="0" applyNumberFormat="1" applyFont="1" applyFill="1" applyBorder="1" applyAlignment="1">
      <alignment horizontal="center" vertical="center" wrapText="1"/>
    </xf>
    <xf numFmtId="169" fontId="81" fillId="0" borderId="13" xfId="0" applyNumberFormat="1" applyFont="1" applyFill="1" applyBorder="1" applyAlignment="1" applyProtection="1">
      <alignment horizontal="center" vertical="center" wrapText="1"/>
    </xf>
    <xf numFmtId="168" fontId="81" fillId="0" borderId="5" xfId="0" applyNumberFormat="1" applyFont="1" applyFill="1" applyBorder="1" applyAlignment="1" applyProtection="1">
      <alignment horizontal="center" vertical="center" wrapText="1"/>
    </xf>
    <xf numFmtId="169" fontId="81" fillId="0" borderId="2" xfId="0" applyNumberFormat="1" applyFont="1" applyFill="1" applyBorder="1" applyAlignment="1">
      <alignment horizontal="center" vertical="center" wrapText="1"/>
    </xf>
    <xf numFmtId="169" fontId="82" fillId="0" borderId="2" xfId="0" applyNumberFormat="1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left" vertical="justify" wrapText="1"/>
    </xf>
    <xf numFmtId="0" fontId="66" fillId="0" borderId="2" xfId="0" applyFont="1" applyFill="1" applyBorder="1" applyAlignment="1">
      <alignment horizontal="left" vertical="center" wrapText="1"/>
    </xf>
    <xf numFmtId="0" fontId="65" fillId="0" borderId="2" xfId="0" applyFont="1" applyFill="1" applyBorder="1" applyAlignment="1">
      <alignment horizontal="left" vertical="center" wrapText="1"/>
    </xf>
    <xf numFmtId="0" fontId="65" fillId="0" borderId="2" xfId="0" applyFont="1" applyFill="1" applyBorder="1" applyAlignment="1">
      <alignment horizontal="left" vertical="justify" wrapText="1"/>
    </xf>
    <xf numFmtId="0" fontId="22" fillId="0" borderId="2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left" vertical="justify" wrapText="1"/>
    </xf>
    <xf numFmtId="2" fontId="72" fillId="0" borderId="3" xfId="0" applyNumberFormat="1" applyFont="1" applyFill="1" applyBorder="1" applyAlignment="1">
      <alignment horizontal="center" vertical="center"/>
    </xf>
    <xf numFmtId="174" fontId="74" fillId="0" borderId="2" xfId="0" applyNumberFormat="1" applyFont="1" applyBorder="1" applyAlignment="1">
      <alignment horizontal="center" vertical="center"/>
    </xf>
    <xf numFmtId="2" fontId="76" fillId="0" borderId="3" xfId="0" applyNumberFormat="1" applyFont="1" applyFill="1" applyBorder="1" applyAlignment="1">
      <alignment horizontal="center" vertical="center"/>
    </xf>
    <xf numFmtId="174" fontId="78" fillId="0" borderId="2" xfId="0" applyNumberFormat="1" applyFont="1" applyBorder="1" applyAlignment="1">
      <alignment horizontal="center" vertical="center"/>
    </xf>
    <xf numFmtId="2" fontId="80" fillId="0" borderId="3" xfId="0" applyNumberFormat="1" applyFont="1" applyFill="1" applyBorder="1" applyAlignment="1">
      <alignment horizontal="center" vertical="center"/>
    </xf>
    <xf numFmtId="174" fontId="36" fillId="0" borderId="2" xfId="0" applyNumberFormat="1" applyFont="1" applyBorder="1" applyAlignment="1">
      <alignment horizontal="center" vertical="center"/>
    </xf>
    <xf numFmtId="2" fontId="84" fillId="0" borderId="3" xfId="0" applyNumberFormat="1" applyFont="1" applyFill="1" applyBorder="1" applyAlignment="1">
      <alignment horizontal="center" vertical="center"/>
    </xf>
    <xf numFmtId="174" fontId="86" fillId="0" borderId="2" xfId="0" applyNumberFormat="1" applyFont="1" applyBorder="1" applyAlignment="1">
      <alignment horizontal="center" vertical="center"/>
    </xf>
    <xf numFmtId="167" fontId="13" fillId="0" borderId="3" xfId="0" applyNumberFormat="1" applyFont="1" applyFill="1" applyBorder="1" applyAlignment="1" applyProtection="1">
      <alignment horizontal="center" vertical="center"/>
    </xf>
    <xf numFmtId="0" fontId="32" fillId="0" borderId="13" xfId="0" applyFont="1" applyFill="1" applyBorder="1" applyAlignment="1" applyProtection="1">
      <alignment horizontal="center" vertical="center"/>
    </xf>
    <xf numFmtId="2" fontId="32" fillId="0" borderId="13" xfId="0" applyNumberFormat="1" applyFont="1" applyFill="1" applyBorder="1" applyAlignment="1" applyProtection="1">
      <alignment horizontal="center" vertical="center"/>
    </xf>
    <xf numFmtId="174" fontId="49" fillId="0" borderId="2" xfId="0" applyNumberFormat="1" applyFont="1" applyBorder="1" applyAlignment="1">
      <alignment horizontal="center"/>
    </xf>
    <xf numFmtId="174" fontId="49" fillId="0" borderId="2" xfId="0" applyNumberFormat="1" applyFont="1" applyFill="1" applyBorder="1" applyAlignment="1">
      <alignment horizontal="center"/>
    </xf>
    <xf numFmtId="174" fontId="21" fillId="0" borderId="2" xfId="0" applyNumberFormat="1" applyFont="1" applyBorder="1" applyAlignment="1">
      <alignment horizontal="center"/>
    </xf>
    <xf numFmtId="174" fontId="65" fillId="0" borderId="2" xfId="0" applyNumberFormat="1" applyFont="1" applyBorder="1" applyAlignment="1">
      <alignment horizontal="center"/>
    </xf>
    <xf numFmtId="174" fontId="21" fillId="0" borderId="2" xfId="0" applyNumberFormat="1" applyFont="1" applyFill="1" applyBorder="1" applyAlignment="1">
      <alignment horizontal="center"/>
    </xf>
    <xf numFmtId="169" fontId="66" fillId="0" borderId="10" xfId="0" applyNumberFormat="1" applyFont="1" applyFill="1" applyBorder="1" applyAlignment="1">
      <alignment horizontal="center"/>
    </xf>
    <xf numFmtId="169" fontId="65" fillId="0" borderId="10" xfId="0" applyNumberFormat="1" applyFont="1" applyFill="1" applyBorder="1" applyAlignment="1">
      <alignment horizontal="center"/>
    </xf>
    <xf numFmtId="0" fontId="65" fillId="0" borderId="10" xfId="0" applyFont="1" applyFill="1" applyBorder="1" applyAlignment="1" applyProtection="1">
      <alignment wrapText="1"/>
    </xf>
    <xf numFmtId="0" fontId="66" fillId="0" borderId="10" xfId="0" applyFont="1" applyFill="1" applyBorder="1" applyAlignment="1" applyProtection="1">
      <alignment wrapText="1"/>
    </xf>
    <xf numFmtId="169" fontId="66" fillId="0" borderId="5" xfId="0" applyNumberFormat="1" applyFont="1" applyBorder="1" applyAlignment="1">
      <alignment horizontal="center" vertical="center"/>
    </xf>
    <xf numFmtId="169" fontId="66" fillId="0" borderId="2" xfId="0" applyNumberFormat="1" applyFont="1" applyBorder="1" applyAlignment="1">
      <alignment horizontal="center" vertical="center"/>
    </xf>
    <xf numFmtId="169" fontId="66" fillId="0" borderId="10" xfId="0" applyNumberFormat="1" applyFont="1" applyBorder="1" applyAlignment="1">
      <alignment horizontal="center" vertical="center"/>
    </xf>
    <xf numFmtId="169" fontId="65" fillId="0" borderId="5" xfId="0" applyNumberFormat="1" applyFont="1" applyBorder="1" applyAlignment="1">
      <alignment horizontal="center" vertical="center"/>
    </xf>
    <xf numFmtId="169" fontId="65" fillId="0" borderId="2" xfId="0" applyNumberFormat="1" applyFont="1" applyBorder="1" applyAlignment="1">
      <alignment horizontal="center" vertical="center"/>
    </xf>
    <xf numFmtId="169" fontId="65" fillId="0" borderId="10" xfId="0" applyNumberFormat="1" applyFont="1" applyBorder="1" applyAlignment="1">
      <alignment horizontal="center" vertical="center"/>
    </xf>
    <xf numFmtId="169" fontId="82" fillId="0" borderId="5" xfId="0" applyNumberFormat="1" applyFont="1" applyBorder="1" applyAlignment="1">
      <alignment horizontal="center" vertical="center"/>
    </xf>
    <xf numFmtId="169" fontId="82" fillId="0" borderId="2" xfId="0" applyNumberFormat="1" applyFont="1" applyBorder="1" applyAlignment="1">
      <alignment horizontal="center" vertical="center"/>
    </xf>
    <xf numFmtId="169" fontId="82" fillId="0" borderId="10" xfId="0" applyNumberFormat="1" applyFont="1" applyBorder="1" applyAlignment="1">
      <alignment horizontal="center" vertical="center"/>
    </xf>
    <xf numFmtId="0" fontId="66" fillId="0" borderId="2" xfId="0" applyFont="1" applyBorder="1" applyAlignment="1">
      <alignment horizontal="left" vertical="center" wrapText="1"/>
    </xf>
    <xf numFmtId="0" fontId="65" fillId="0" borderId="2" xfId="0" applyFont="1" applyBorder="1" applyAlignment="1">
      <alignment horizontal="left" vertical="center" wrapText="1"/>
    </xf>
    <xf numFmtId="169" fontId="32" fillId="0" borderId="2" xfId="0" applyNumberFormat="1" applyFont="1" applyBorder="1" applyAlignment="1">
      <alignment horizontal="center" vertical="center"/>
    </xf>
    <xf numFmtId="169" fontId="32" fillId="0" borderId="10" xfId="0" applyNumberFormat="1" applyFont="1" applyBorder="1" applyAlignment="1">
      <alignment horizontal="center" vertical="center"/>
    </xf>
    <xf numFmtId="169" fontId="39" fillId="0" borderId="5" xfId="0" applyNumberFormat="1" applyFont="1" applyBorder="1" applyAlignment="1">
      <alignment horizontal="center" vertical="center"/>
    </xf>
    <xf numFmtId="169" fontId="39" fillId="0" borderId="2" xfId="0" applyNumberFormat="1" applyFont="1" applyBorder="1" applyAlignment="1">
      <alignment horizontal="center" vertical="center"/>
    </xf>
    <xf numFmtId="169" fontId="39" fillId="0" borderId="10" xfId="0" applyNumberFormat="1" applyFont="1" applyBorder="1" applyAlignment="1">
      <alignment horizontal="center" vertical="center"/>
    </xf>
    <xf numFmtId="0" fontId="88" fillId="0" borderId="35" xfId="0" applyFont="1" applyFill="1" applyBorder="1" applyAlignment="1" applyProtection="1">
      <alignment horizontal="center" vertical="center" wrapText="1"/>
    </xf>
    <xf numFmtId="169" fontId="66" fillId="0" borderId="5" xfId="0" applyNumberFormat="1" applyFont="1" applyBorder="1" applyAlignment="1">
      <alignment horizontal="center"/>
    </xf>
    <xf numFmtId="169" fontId="65" fillId="0" borderId="5" xfId="0" applyNumberFormat="1" applyFont="1" applyBorder="1" applyAlignment="1">
      <alignment horizontal="center"/>
    </xf>
    <xf numFmtId="169" fontId="22" fillId="0" borderId="5" xfId="0" applyNumberFormat="1" applyFont="1" applyBorder="1" applyAlignment="1">
      <alignment horizontal="center"/>
    </xf>
    <xf numFmtId="169" fontId="50" fillId="0" borderId="2" xfId="0" applyNumberFormat="1" applyFont="1" applyBorder="1" applyAlignment="1">
      <alignment horizontal="center"/>
    </xf>
    <xf numFmtId="169" fontId="22" fillId="0" borderId="2" xfId="0" applyNumberFormat="1" applyFont="1" applyBorder="1" applyAlignment="1">
      <alignment horizontal="center"/>
    </xf>
    <xf numFmtId="0" fontId="13" fillId="3" borderId="2" xfId="0" applyFont="1" applyFill="1" applyBorder="1" applyAlignment="1" applyProtection="1">
      <alignment horizontal="center" vertical="center"/>
    </xf>
    <xf numFmtId="0" fontId="9" fillId="3" borderId="2" xfId="0" applyFont="1" applyFill="1" applyBorder="1" applyAlignment="1" applyProtection="1">
      <alignment horizontal="center" vertical="center"/>
    </xf>
    <xf numFmtId="174" fontId="9" fillId="3" borderId="2" xfId="0" applyNumberFormat="1" applyFont="1" applyFill="1" applyBorder="1" applyAlignment="1" applyProtection="1">
      <alignment horizontal="center" vertical="center"/>
    </xf>
    <xf numFmtId="174" fontId="50" fillId="3" borderId="2" xfId="0" applyNumberFormat="1" applyFont="1" applyFill="1" applyBorder="1" applyAlignment="1" applyProtection="1">
      <alignment horizontal="center" vertical="center"/>
    </xf>
    <xf numFmtId="174" fontId="70" fillId="3" borderId="2" xfId="0" applyNumberFormat="1" applyFont="1" applyFill="1" applyBorder="1" applyAlignment="1" applyProtection="1">
      <alignment horizontal="center" vertical="center"/>
    </xf>
    <xf numFmtId="0" fontId="9" fillId="4" borderId="5" xfId="0" applyFont="1" applyFill="1" applyBorder="1" applyAlignment="1" applyProtection="1">
      <alignment horizontal="center" vertical="center"/>
    </xf>
    <xf numFmtId="174" fontId="9" fillId="4" borderId="5" xfId="0" applyNumberFormat="1" applyFont="1" applyFill="1" applyBorder="1" applyAlignment="1" applyProtection="1">
      <alignment horizontal="center" vertical="center"/>
    </xf>
    <xf numFmtId="174" fontId="50" fillId="4" borderId="5" xfId="0" applyNumberFormat="1" applyFont="1" applyFill="1" applyBorder="1" applyAlignment="1" applyProtection="1">
      <alignment horizontal="center" vertical="center"/>
    </xf>
    <xf numFmtId="174" fontId="70" fillId="4" borderId="5" xfId="0" applyNumberFormat="1" applyFont="1" applyFill="1" applyBorder="1" applyAlignment="1" applyProtection="1">
      <alignment horizontal="center" vertical="center"/>
    </xf>
    <xf numFmtId="0" fontId="9" fillId="4" borderId="2" xfId="0" applyFont="1" applyFill="1" applyBorder="1" applyAlignment="1" applyProtection="1">
      <alignment horizontal="center" vertical="center"/>
    </xf>
    <xf numFmtId="174" fontId="9" fillId="4" borderId="2" xfId="0" applyNumberFormat="1" applyFont="1" applyFill="1" applyBorder="1" applyAlignment="1" applyProtection="1">
      <alignment horizontal="center" vertical="center"/>
    </xf>
    <xf numFmtId="174" fontId="50" fillId="4" borderId="2" xfId="0" applyNumberFormat="1" applyFont="1" applyFill="1" applyBorder="1" applyAlignment="1" applyProtection="1">
      <alignment horizontal="center" vertical="center"/>
    </xf>
    <xf numFmtId="174" fontId="70" fillId="4" borderId="2" xfId="0" applyNumberFormat="1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 applyProtection="1">
      <alignment horizontal="right" vertical="center"/>
    </xf>
    <xf numFmtId="0" fontId="7" fillId="4" borderId="10" xfId="0" applyFont="1" applyFill="1" applyBorder="1" applyAlignment="1" applyProtection="1">
      <alignment horizontal="right" vertical="center"/>
    </xf>
    <xf numFmtId="174" fontId="71" fillId="4" borderId="5" xfId="0" applyNumberFormat="1" applyFont="1" applyFill="1" applyBorder="1" applyAlignment="1" applyProtection="1">
      <alignment horizontal="center" vertical="center"/>
    </xf>
    <xf numFmtId="174" fontId="71" fillId="4" borderId="2" xfId="0" applyNumberFormat="1" applyFont="1" applyFill="1" applyBorder="1" applyAlignment="1" applyProtection="1">
      <alignment horizontal="center" vertical="center"/>
    </xf>
    <xf numFmtId="174" fontId="71" fillId="3" borderId="2" xfId="0" applyNumberFormat="1" applyFont="1" applyFill="1" applyBorder="1" applyAlignment="1" applyProtection="1">
      <alignment horizontal="center" vertical="center"/>
    </xf>
    <xf numFmtId="0" fontId="13" fillId="3" borderId="10" xfId="0" applyFont="1" applyFill="1" applyBorder="1" applyAlignment="1" applyProtection="1">
      <alignment horizontal="center" vertical="center"/>
    </xf>
    <xf numFmtId="0" fontId="9" fillId="3" borderId="10" xfId="0" applyFont="1" applyFill="1" applyBorder="1" applyAlignment="1" applyProtection="1">
      <alignment horizontal="center" vertical="center"/>
    </xf>
    <xf numFmtId="174" fontId="9" fillId="3" borderId="10" xfId="0" applyNumberFormat="1" applyFont="1" applyFill="1" applyBorder="1" applyAlignment="1" applyProtection="1">
      <alignment horizontal="center" vertical="center"/>
    </xf>
    <xf numFmtId="174" fontId="50" fillId="3" borderId="10" xfId="0" applyNumberFormat="1" applyFont="1" applyFill="1" applyBorder="1" applyAlignment="1" applyProtection="1">
      <alignment horizontal="center" vertical="center"/>
    </xf>
    <xf numFmtId="174" fontId="70" fillId="3" borderId="10" xfId="0" applyNumberFormat="1" applyFont="1" applyFill="1" applyBorder="1" applyAlignment="1" applyProtection="1">
      <alignment horizontal="center" vertical="center"/>
    </xf>
    <xf numFmtId="174" fontId="71" fillId="3" borderId="10" xfId="0" applyNumberFormat="1" applyFont="1" applyFill="1" applyBorder="1" applyAlignment="1" applyProtection="1">
      <alignment horizontal="center" vertical="center"/>
    </xf>
    <xf numFmtId="0" fontId="32" fillId="4" borderId="5" xfId="0" applyFont="1" applyFill="1" applyBorder="1" applyAlignment="1" applyProtection="1">
      <alignment horizontal="right" vertical="center"/>
    </xf>
    <xf numFmtId="0" fontId="51" fillId="0" borderId="10" xfId="0" applyFont="1" applyFill="1" applyBorder="1" applyAlignment="1" applyProtection="1">
      <alignment horizontal="center" vertical="center"/>
    </xf>
    <xf numFmtId="0" fontId="32" fillId="3" borderId="2" xfId="0" applyFont="1" applyFill="1" applyBorder="1" applyAlignment="1" applyProtection="1">
      <alignment horizontal="right" vertical="center"/>
    </xf>
    <xf numFmtId="0" fontId="13" fillId="0" borderId="13" xfId="0" applyFont="1" applyFill="1" applyBorder="1" applyAlignment="1">
      <alignment horizontal="center" vertical="center"/>
    </xf>
    <xf numFmtId="1" fontId="32" fillId="0" borderId="13" xfId="0" applyNumberFormat="1" applyFont="1" applyFill="1" applyBorder="1" applyAlignment="1" applyProtection="1">
      <alignment horizontal="center" vertical="center"/>
    </xf>
    <xf numFmtId="0" fontId="90" fillId="0" borderId="12" xfId="0" applyFont="1" applyFill="1" applyBorder="1" applyAlignment="1">
      <alignment horizontal="center" vertical="center"/>
    </xf>
    <xf numFmtId="0" fontId="90" fillId="0" borderId="13" xfId="0" applyFont="1" applyFill="1" applyBorder="1" applyAlignment="1">
      <alignment horizontal="center" vertical="center"/>
    </xf>
    <xf numFmtId="0" fontId="90" fillId="0" borderId="13" xfId="0" applyFont="1" applyFill="1" applyBorder="1" applyAlignment="1" applyProtection="1">
      <alignment horizontal="center" vertical="center" shrinkToFit="1"/>
    </xf>
    <xf numFmtId="0" fontId="90" fillId="0" borderId="13" xfId="0" applyFont="1" applyFill="1" applyBorder="1" applyAlignment="1" applyProtection="1">
      <alignment horizontal="center"/>
    </xf>
    <xf numFmtId="166" fontId="90" fillId="0" borderId="13" xfId="0" applyNumberFormat="1" applyFont="1" applyFill="1" applyBorder="1" applyAlignment="1" applyProtection="1">
      <alignment horizontal="center"/>
    </xf>
    <xf numFmtId="166" fontId="43" fillId="0" borderId="13" xfId="0" applyNumberFormat="1" applyFont="1" applyFill="1" applyBorder="1" applyAlignment="1" applyProtection="1">
      <alignment horizontal="center"/>
    </xf>
    <xf numFmtId="0" fontId="43" fillId="0" borderId="39" xfId="0" applyFont="1" applyBorder="1" applyAlignment="1">
      <alignment horizontal="center"/>
    </xf>
    <xf numFmtId="169" fontId="9" fillId="4" borderId="5" xfId="0" applyNumberFormat="1" applyFont="1" applyFill="1" applyBorder="1" applyAlignment="1" applyProtection="1">
      <alignment horizontal="center" vertical="center"/>
    </xf>
    <xf numFmtId="169" fontId="50" fillId="4" borderId="5" xfId="0" applyNumberFormat="1" applyFont="1" applyFill="1" applyBorder="1" applyAlignment="1" applyProtection="1">
      <alignment horizontal="center" vertical="center"/>
    </xf>
    <xf numFmtId="169" fontId="70" fillId="4" borderId="5" xfId="0" applyNumberFormat="1" applyFont="1" applyFill="1" applyBorder="1" applyAlignment="1" applyProtection="1">
      <alignment horizontal="center" vertical="center"/>
    </xf>
    <xf numFmtId="169" fontId="71" fillId="4" borderId="5" xfId="0" applyNumberFormat="1" applyFont="1" applyFill="1" applyBorder="1" applyAlignment="1" applyProtection="1">
      <alignment horizontal="center" vertical="center"/>
    </xf>
    <xf numFmtId="169" fontId="9" fillId="4" borderId="2" xfId="0" applyNumberFormat="1" applyFont="1" applyFill="1" applyBorder="1" applyAlignment="1">
      <alignment horizontal="center"/>
    </xf>
    <xf numFmtId="169" fontId="9" fillId="4" borderId="2" xfId="0" applyNumberFormat="1" applyFont="1" applyFill="1" applyBorder="1" applyAlignment="1" applyProtection="1">
      <alignment horizontal="center" vertical="center"/>
    </xf>
    <xf numFmtId="169" fontId="50" fillId="4" borderId="2" xfId="0" applyNumberFormat="1" applyFont="1" applyFill="1" applyBorder="1" applyAlignment="1" applyProtection="1">
      <alignment horizontal="center" vertical="center"/>
    </xf>
    <xf numFmtId="169" fontId="70" fillId="4" borderId="2" xfId="0" applyNumberFormat="1" applyFont="1" applyFill="1" applyBorder="1" applyAlignment="1" applyProtection="1">
      <alignment horizontal="center" vertical="center"/>
    </xf>
    <xf numFmtId="169" fontId="71" fillId="4" borderId="2" xfId="0" applyNumberFormat="1" applyFont="1" applyFill="1" applyBorder="1" applyAlignment="1" applyProtection="1">
      <alignment horizontal="center" vertical="center"/>
    </xf>
    <xf numFmtId="169" fontId="9" fillId="3" borderId="2" xfId="0" applyNumberFormat="1" applyFont="1" applyFill="1" applyBorder="1" applyAlignment="1">
      <alignment horizontal="center"/>
    </xf>
    <xf numFmtId="169" fontId="9" fillId="3" borderId="2" xfId="0" applyNumberFormat="1" applyFont="1" applyFill="1" applyBorder="1" applyAlignment="1" applyProtection="1">
      <alignment horizontal="center" vertical="center"/>
    </xf>
    <xf numFmtId="169" fontId="50" fillId="3" borderId="2" xfId="0" applyNumberFormat="1" applyFont="1" applyFill="1" applyBorder="1" applyAlignment="1" applyProtection="1">
      <alignment horizontal="center" vertical="center"/>
    </xf>
    <xf numFmtId="169" fontId="70" fillId="3" borderId="2" xfId="0" applyNumberFormat="1" applyFont="1" applyFill="1" applyBorder="1" applyAlignment="1" applyProtection="1">
      <alignment horizontal="center" vertical="center"/>
    </xf>
    <xf numFmtId="169" fontId="71" fillId="3" borderId="2" xfId="0" applyNumberFormat="1" applyFont="1" applyFill="1" applyBorder="1" applyAlignment="1" applyProtection="1">
      <alignment horizontal="center" vertical="center"/>
    </xf>
    <xf numFmtId="169" fontId="9" fillId="3" borderId="10" xfId="0" applyNumberFormat="1" applyFont="1" applyFill="1" applyBorder="1" applyAlignment="1" applyProtection="1">
      <alignment horizontal="center" vertical="center"/>
    </xf>
    <xf numFmtId="169" fontId="50" fillId="3" borderId="10" xfId="0" applyNumberFormat="1" applyFont="1" applyFill="1" applyBorder="1" applyAlignment="1" applyProtection="1">
      <alignment horizontal="center" vertical="center"/>
    </xf>
    <xf numFmtId="169" fontId="70" fillId="3" borderId="10" xfId="0" applyNumberFormat="1" applyFont="1" applyFill="1" applyBorder="1" applyAlignment="1" applyProtection="1">
      <alignment horizontal="center" vertical="center"/>
    </xf>
    <xf numFmtId="169" fontId="9" fillId="4" borderId="5" xfId="0" applyNumberFormat="1" applyFont="1" applyFill="1" applyBorder="1" applyAlignment="1">
      <alignment horizontal="center" vertical="center"/>
    </xf>
    <xf numFmtId="169" fontId="81" fillId="4" borderId="5" xfId="0" applyNumberFormat="1" applyFont="1" applyFill="1" applyBorder="1" applyAlignment="1">
      <alignment horizontal="center" vertical="center"/>
    </xf>
    <xf numFmtId="169" fontId="32" fillId="4" borderId="5" xfId="0" applyNumberFormat="1" applyFont="1" applyFill="1" applyBorder="1" applyAlignment="1">
      <alignment horizontal="center" vertical="center"/>
    </xf>
    <xf numFmtId="169" fontId="70" fillId="4" borderId="5" xfId="0" applyNumberFormat="1" applyFont="1" applyFill="1" applyBorder="1" applyAlignment="1">
      <alignment horizontal="center" vertical="center"/>
    </xf>
    <xf numFmtId="169" fontId="71" fillId="4" borderId="5" xfId="0" applyNumberFormat="1" applyFont="1" applyFill="1" applyBorder="1" applyAlignment="1">
      <alignment horizontal="center" vertical="center"/>
    </xf>
    <xf numFmtId="169" fontId="9" fillId="4" borderId="2" xfId="0" applyNumberFormat="1" applyFont="1" applyFill="1" applyBorder="1" applyAlignment="1">
      <alignment horizontal="center" vertical="center"/>
    </xf>
    <xf numFmtId="169" fontId="81" fillId="4" borderId="2" xfId="0" applyNumberFormat="1" applyFont="1" applyFill="1" applyBorder="1" applyAlignment="1">
      <alignment horizontal="center" vertical="center"/>
    </xf>
    <xf numFmtId="169" fontId="32" fillId="4" borderId="2" xfId="0" applyNumberFormat="1" applyFont="1" applyFill="1" applyBorder="1" applyAlignment="1">
      <alignment horizontal="center" vertical="center"/>
    </xf>
    <xf numFmtId="169" fontId="70" fillId="4" borderId="2" xfId="0" applyNumberFormat="1" applyFont="1" applyFill="1" applyBorder="1" applyAlignment="1">
      <alignment horizontal="center" vertical="center"/>
    </xf>
    <xf numFmtId="169" fontId="71" fillId="4" borderId="2" xfId="0" applyNumberFormat="1" applyFont="1" applyFill="1" applyBorder="1" applyAlignment="1">
      <alignment horizontal="center" vertical="center"/>
    </xf>
    <xf numFmtId="169" fontId="9" fillId="3" borderId="2" xfId="0" applyNumberFormat="1" applyFont="1" applyFill="1" applyBorder="1" applyAlignment="1">
      <alignment horizontal="center" vertical="center"/>
    </xf>
    <xf numFmtId="169" fontId="81" fillId="3" borderId="2" xfId="0" applyNumberFormat="1" applyFont="1" applyFill="1" applyBorder="1" applyAlignment="1">
      <alignment horizontal="center" vertical="center"/>
    </xf>
    <xf numFmtId="169" fontId="32" fillId="3" borderId="2" xfId="0" applyNumberFormat="1" applyFont="1" applyFill="1" applyBorder="1" applyAlignment="1">
      <alignment horizontal="center" vertical="center"/>
    </xf>
    <xf numFmtId="169" fontId="70" fillId="3" borderId="2" xfId="0" applyNumberFormat="1" applyFont="1" applyFill="1" applyBorder="1" applyAlignment="1">
      <alignment horizontal="center" vertical="center"/>
    </xf>
    <xf numFmtId="169" fontId="71" fillId="3" borderId="2" xfId="0" applyNumberFormat="1" applyFont="1" applyFill="1" applyBorder="1" applyAlignment="1">
      <alignment horizontal="center" vertical="center"/>
    </xf>
    <xf numFmtId="169" fontId="9" fillId="3" borderId="10" xfId="0" applyNumberFormat="1" applyFont="1" applyFill="1" applyBorder="1" applyAlignment="1">
      <alignment horizontal="center" vertical="center"/>
    </xf>
    <xf numFmtId="169" fontId="81" fillId="3" borderId="10" xfId="0" applyNumberFormat="1" applyFont="1" applyFill="1" applyBorder="1" applyAlignment="1">
      <alignment horizontal="center" vertical="center"/>
    </xf>
    <xf numFmtId="169" fontId="32" fillId="3" borderId="10" xfId="0" applyNumberFormat="1" applyFont="1" applyFill="1" applyBorder="1" applyAlignment="1">
      <alignment horizontal="center" vertical="center"/>
    </xf>
    <xf numFmtId="169" fontId="70" fillId="3" borderId="10" xfId="0" applyNumberFormat="1" applyFont="1" applyFill="1" applyBorder="1" applyAlignment="1">
      <alignment horizontal="center" vertical="center"/>
    </xf>
    <xf numFmtId="169" fontId="71" fillId="3" borderId="10" xfId="0" applyNumberFormat="1" applyFont="1" applyFill="1" applyBorder="1" applyAlignment="1">
      <alignment horizontal="center" vertical="center"/>
    </xf>
    <xf numFmtId="169" fontId="32" fillId="4" borderId="5" xfId="0" applyNumberFormat="1" applyFont="1" applyFill="1" applyBorder="1" applyAlignment="1" applyProtection="1">
      <alignment horizontal="center" vertical="center"/>
    </xf>
    <xf numFmtId="169" fontId="32" fillId="4" borderId="2" xfId="0" applyNumberFormat="1" applyFont="1" applyFill="1" applyBorder="1" applyAlignment="1" applyProtection="1">
      <alignment horizontal="center" vertical="center"/>
    </xf>
    <xf numFmtId="169" fontId="32" fillId="3" borderId="2" xfId="0" applyNumberFormat="1" applyFont="1" applyFill="1" applyBorder="1" applyAlignment="1" applyProtection="1">
      <alignment horizontal="center" vertical="center"/>
    </xf>
    <xf numFmtId="174" fontId="83" fillId="4" borderId="5" xfId="0" applyNumberFormat="1" applyFont="1" applyFill="1" applyBorder="1" applyAlignment="1" applyProtection="1">
      <alignment horizontal="center" vertical="center"/>
    </xf>
    <xf numFmtId="174" fontId="83" fillId="4" borderId="2" xfId="0" applyNumberFormat="1" applyFont="1" applyFill="1" applyBorder="1" applyAlignment="1" applyProtection="1">
      <alignment horizontal="center" vertical="center"/>
    </xf>
    <xf numFmtId="174" fontId="7" fillId="4" borderId="2" xfId="0" applyNumberFormat="1" applyFont="1" applyFill="1" applyBorder="1" applyAlignment="1" applyProtection="1">
      <alignment horizontal="right" vertical="center"/>
    </xf>
    <xf numFmtId="174" fontId="22" fillId="4" borderId="2" xfId="0" applyNumberFormat="1" applyFont="1" applyFill="1" applyBorder="1" applyAlignment="1" applyProtection="1">
      <alignment horizontal="right" vertical="center"/>
    </xf>
    <xf numFmtId="174" fontId="69" fillId="4" borderId="2" xfId="0" applyNumberFormat="1" applyFont="1" applyFill="1" applyBorder="1" applyAlignment="1" applyProtection="1">
      <alignment horizontal="right" vertical="center"/>
    </xf>
    <xf numFmtId="174" fontId="65" fillId="4" borderId="2" xfId="0" applyNumberFormat="1" applyFont="1" applyFill="1" applyBorder="1" applyAlignment="1" applyProtection="1">
      <alignment horizontal="right" vertical="center"/>
    </xf>
    <xf numFmtId="174" fontId="66" fillId="4" borderId="2" xfId="0" applyNumberFormat="1" applyFont="1" applyFill="1" applyBorder="1" applyAlignment="1" applyProtection="1">
      <alignment horizontal="right" vertical="center"/>
    </xf>
    <xf numFmtId="174" fontId="83" fillId="3" borderId="2" xfId="0" applyNumberFormat="1" applyFont="1" applyFill="1" applyBorder="1" applyAlignment="1" applyProtection="1">
      <alignment horizontal="center" vertical="center"/>
    </xf>
    <xf numFmtId="174" fontId="9" fillId="4" borderId="3" xfId="0" applyNumberFormat="1" applyFont="1" applyFill="1" applyBorder="1" applyAlignment="1" applyProtection="1">
      <alignment horizontal="center" vertical="center"/>
    </xf>
    <xf numFmtId="174" fontId="49" fillId="4" borderId="3" xfId="0" applyNumberFormat="1" applyFont="1" applyFill="1" applyBorder="1" applyAlignment="1" applyProtection="1">
      <alignment horizontal="center" vertical="center"/>
    </xf>
    <xf numFmtId="174" fontId="70" fillId="4" borderId="3" xfId="0" applyNumberFormat="1" applyFont="1" applyFill="1" applyBorder="1" applyAlignment="1" applyProtection="1">
      <alignment horizontal="center" vertical="center"/>
    </xf>
    <xf numFmtId="174" fontId="71" fillId="4" borderId="3" xfId="0" applyNumberFormat="1" applyFont="1" applyFill="1" applyBorder="1" applyAlignment="1" applyProtection="1">
      <alignment horizontal="center" vertical="center"/>
    </xf>
    <xf numFmtId="174" fontId="67" fillId="4" borderId="5" xfId="0" applyNumberFormat="1" applyFont="1" applyFill="1" applyBorder="1" applyAlignment="1" applyProtection="1">
      <alignment horizontal="center" vertical="center"/>
    </xf>
    <xf numFmtId="174" fontId="11" fillId="4" borderId="5" xfId="0" applyNumberFormat="1" applyFont="1" applyFill="1" applyBorder="1" applyAlignment="1" applyProtection="1">
      <alignment horizontal="center" vertical="center"/>
    </xf>
    <xf numFmtId="174" fontId="63" fillId="4" borderId="5" xfId="0" applyNumberFormat="1" applyFont="1" applyFill="1" applyBorder="1" applyAlignment="1" applyProtection="1">
      <alignment horizontal="center" vertical="center"/>
    </xf>
    <xf numFmtId="174" fontId="61" fillId="4" borderId="5" xfId="0" applyNumberFormat="1" applyFont="1" applyFill="1" applyBorder="1" applyAlignment="1" applyProtection="1">
      <alignment horizontal="center" vertical="center"/>
    </xf>
    <xf numFmtId="174" fontId="32" fillId="4" borderId="2" xfId="0" applyNumberFormat="1" applyFont="1" applyFill="1" applyBorder="1" applyAlignment="1" applyProtection="1">
      <alignment horizontal="center" vertical="center"/>
    </xf>
    <xf numFmtId="174" fontId="81" fillId="4" borderId="2" xfId="0" applyNumberFormat="1" applyFont="1" applyFill="1" applyBorder="1" applyAlignment="1" applyProtection="1">
      <alignment horizontal="center" vertical="center"/>
    </xf>
    <xf numFmtId="174" fontId="32" fillId="3" borderId="2" xfId="0" applyNumberFormat="1" applyFont="1" applyFill="1" applyBorder="1" applyAlignment="1" applyProtection="1">
      <alignment horizontal="center" vertical="center"/>
    </xf>
    <xf numFmtId="174" fontId="81" fillId="3" borderId="2" xfId="0" applyNumberFormat="1" applyFont="1" applyFill="1" applyBorder="1" applyAlignment="1" applyProtection="1">
      <alignment horizontal="center" vertical="center"/>
    </xf>
    <xf numFmtId="169" fontId="13" fillId="4" borderId="3" xfId="0" applyNumberFormat="1" applyFont="1" applyFill="1" applyBorder="1" applyAlignment="1" applyProtection="1">
      <alignment horizontal="center" vertical="center"/>
    </xf>
    <xf numFmtId="169" fontId="70" fillId="4" borderId="3" xfId="0" applyNumberFormat="1" applyFont="1" applyFill="1" applyBorder="1" applyAlignment="1" applyProtection="1">
      <alignment horizontal="center" vertical="center"/>
    </xf>
    <xf numFmtId="169" fontId="71" fillId="4" borderId="3" xfId="0" applyNumberFormat="1" applyFont="1" applyFill="1" applyBorder="1" applyAlignment="1" applyProtection="1">
      <alignment horizontal="center" vertical="center"/>
    </xf>
    <xf numFmtId="169" fontId="9" fillId="4" borderId="3" xfId="0" applyNumberFormat="1" applyFont="1" applyFill="1" applyBorder="1" applyAlignment="1" applyProtection="1">
      <alignment horizontal="center"/>
    </xf>
    <xf numFmtId="169" fontId="9" fillId="4" borderId="3" xfId="0" applyNumberFormat="1" applyFont="1" applyFill="1" applyBorder="1" applyAlignment="1" applyProtection="1">
      <alignment horizontal="center" vertical="center"/>
    </xf>
    <xf numFmtId="169" fontId="50" fillId="4" borderId="3" xfId="0" applyNumberFormat="1" applyFont="1" applyFill="1" applyBorder="1" applyAlignment="1" applyProtection="1">
      <alignment horizontal="center" vertical="center"/>
    </xf>
    <xf numFmtId="169" fontId="9" fillId="4" borderId="2" xfId="0" applyNumberFormat="1" applyFont="1" applyFill="1" applyBorder="1" applyAlignment="1" applyProtection="1">
      <alignment horizontal="center"/>
    </xf>
    <xf numFmtId="169" fontId="9" fillId="3" borderId="2" xfId="0" applyNumberFormat="1" applyFont="1" applyFill="1" applyBorder="1" applyAlignment="1" applyProtection="1">
      <alignment horizontal="center"/>
    </xf>
    <xf numFmtId="169" fontId="81" fillId="4" borderId="5" xfId="0" applyNumberFormat="1" applyFont="1" applyFill="1" applyBorder="1" applyAlignment="1" applyProtection="1">
      <alignment horizontal="center" vertical="center"/>
    </xf>
    <xf numFmtId="169" fontId="81" fillId="4" borderId="2" xfId="0" applyNumberFormat="1" applyFont="1" applyFill="1" applyBorder="1" applyAlignment="1" applyProtection="1">
      <alignment horizontal="center" vertical="center"/>
    </xf>
    <xf numFmtId="169" fontId="81" fillId="3" borderId="2" xfId="0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 wrapText="1"/>
    </xf>
    <xf numFmtId="0" fontId="91" fillId="0" borderId="3" xfId="0" applyFont="1" applyFill="1" applyBorder="1" applyAlignment="1" applyProtection="1">
      <alignment horizontal="center" vertical="center" wrapText="1"/>
    </xf>
    <xf numFmtId="174" fontId="71" fillId="2" borderId="13" xfId="0" applyNumberFormat="1" applyFont="1" applyFill="1" applyBorder="1" applyAlignment="1" applyProtection="1">
      <alignment horizontal="center" vertical="center"/>
    </xf>
    <xf numFmtId="2" fontId="71" fillId="2" borderId="3" xfId="0" applyNumberFormat="1" applyFont="1" applyFill="1" applyBorder="1" applyAlignment="1" applyProtection="1">
      <alignment horizontal="center"/>
    </xf>
    <xf numFmtId="172" fontId="71" fillId="0" borderId="2" xfId="0" applyNumberFormat="1" applyFont="1" applyFill="1" applyBorder="1" applyAlignment="1" applyProtection="1">
      <alignment horizontal="center"/>
      <protection locked="0"/>
    </xf>
    <xf numFmtId="172" fontId="66" fillId="0" borderId="2" xfId="0" applyNumberFormat="1" applyFont="1" applyFill="1" applyBorder="1" applyAlignment="1" applyProtection="1">
      <alignment horizontal="center"/>
      <protection locked="0"/>
    </xf>
    <xf numFmtId="172" fontId="66" fillId="0" borderId="2" xfId="0" applyNumberFormat="1" applyFont="1" applyFill="1" applyBorder="1" applyAlignment="1">
      <alignment horizontal="center"/>
    </xf>
    <xf numFmtId="172" fontId="71" fillId="0" borderId="2" xfId="0" applyNumberFormat="1" applyFont="1" applyFill="1" applyBorder="1" applyAlignment="1">
      <alignment horizontal="center"/>
    </xf>
    <xf numFmtId="172" fontId="71" fillId="0" borderId="2" xfId="0" applyNumberFormat="1" applyFont="1" applyFill="1" applyBorder="1" applyAlignment="1" applyProtection="1">
      <alignment horizontal="center"/>
    </xf>
    <xf numFmtId="172" fontId="66" fillId="0" borderId="2" xfId="0" applyNumberFormat="1" applyFont="1" applyFill="1" applyBorder="1" applyAlignment="1" applyProtection="1">
      <alignment horizontal="center"/>
    </xf>
    <xf numFmtId="174" fontId="71" fillId="0" borderId="2" xfId="0" applyNumberFormat="1" applyFont="1" applyFill="1" applyBorder="1" applyAlignment="1">
      <alignment horizontal="center" wrapText="1"/>
    </xf>
    <xf numFmtId="174" fontId="71" fillId="0" borderId="2" xfId="0" applyNumberFormat="1" applyFont="1" applyFill="1" applyBorder="1" applyAlignment="1" applyProtection="1">
      <alignment horizontal="center"/>
      <protection locked="0"/>
    </xf>
    <xf numFmtId="174" fontId="70" fillId="2" borderId="13" xfId="0" applyNumberFormat="1" applyFont="1" applyFill="1" applyBorder="1" applyAlignment="1" applyProtection="1">
      <alignment horizontal="center" vertical="center"/>
    </xf>
    <xf numFmtId="2" fontId="70" fillId="2" borderId="3" xfId="0" applyNumberFormat="1" applyFont="1" applyFill="1" applyBorder="1" applyAlignment="1" applyProtection="1">
      <alignment horizontal="center"/>
    </xf>
    <xf numFmtId="172" fontId="70" fillId="0" borderId="2" xfId="0" applyNumberFormat="1" applyFont="1" applyFill="1" applyBorder="1" applyAlignment="1" applyProtection="1">
      <alignment horizontal="center"/>
      <protection locked="0"/>
    </xf>
    <xf numFmtId="172" fontId="65" fillId="0" borderId="2" xfId="0" applyNumberFormat="1" applyFont="1" applyFill="1" applyBorder="1" applyAlignment="1" applyProtection="1">
      <alignment horizontal="center"/>
      <protection locked="0"/>
    </xf>
    <xf numFmtId="172" fontId="65" fillId="0" borderId="2" xfId="0" applyNumberFormat="1" applyFont="1" applyFill="1" applyBorder="1" applyAlignment="1">
      <alignment horizontal="center"/>
    </xf>
    <xf numFmtId="172" fontId="70" fillId="0" borderId="2" xfId="0" applyNumberFormat="1" applyFont="1" applyFill="1" applyBorder="1" applyAlignment="1">
      <alignment horizontal="center"/>
    </xf>
    <xf numFmtId="172" fontId="70" fillId="0" borderId="2" xfId="0" applyNumberFormat="1" applyFont="1" applyFill="1" applyBorder="1" applyAlignment="1" applyProtection="1">
      <alignment horizontal="center"/>
    </xf>
    <xf numFmtId="172" fontId="65" fillId="0" borderId="2" xfId="0" applyNumberFormat="1" applyFont="1" applyFill="1" applyBorder="1" applyAlignment="1" applyProtection="1">
      <alignment horizontal="center"/>
    </xf>
    <xf numFmtId="174" fontId="83" fillId="0" borderId="13" xfId="0" applyNumberFormat="1" applyFont="1" applyFill="1" applyBorder="1" applyAlignment="1" applyProtection="1">
      <alignment horizontal="center" vertical="center"/>
    </xf>
    <xf numFmtId="2" fontId="83" fillId="0" borderId="3" xfId="0" applyNumberFormat="1" applyFont="1" applyFill="1" applyBorder="1" applyAlignment="1" applyProtection="1">
      <alignment horizontal="center"/>
    </xf>
    <xf numFmtId="172" fontId="83" fillId="0" borderId="2" xfId="0" applyNumberFormat="1" applyFont="1" applyFill="1" applyBorder="1" applyAlignment="1" applyProtection="1">
      <alignment horizontal="center"/>
      <protection locked="0"/>
    </xf>
    <xf numFmtId="172" fontId="69" fillId="0" borderId="2" xfId="0" applyNumberFormat="1" applyFont="1" applyFill="1" applyBorder="1" applyAlignment="1" applyProtection="1">
      <alignment horizontal="center"/>
      <protection locked="0"/>
    </xf>
    <xf numFmtId="172" fontId="69" fillId="0" borderId="2" xfId="0" applyNumberFormat="1" applyFont="1" applyFill="1" applyBorder="1" applyAlignment="1">
      <alignment horizontal="center"/>
    </xf>
    <xf numFmtId="172" fontId="83" fillId="0" borderId="2" xfId="0" applyNumberFormat="1" applyFont="1" applyFill="1" applyBorder="1" applyAlignment="1">
      <alignment horizontal="center"/>
    </xf>
    <xf numFmtId="172" fontId="83" fillId="0" borderId="2" xfId="0" applyNumberFormat="1" applyFont="1" applyFill="1" applyBorder="1" applyAlignment="1" applyProtection="1">
      <alignment horizontal="center"/>
    </xf>
    <xf numFmtId="172" fontId="69" fillId="0" borderId="2" xfId="0" applyNumberFormat="1" applyFont="1" applyFill="1" applyBorder="1" applyAlignment="1" applyProtection="1">
      <alignment horizontal="center"/>
    </xf>
    <xf numFmtId="2" fontId="50" fillId="0" borderId="3" xfId="0" applyNumberFormat="1" applyFont="1" applyFill="1" applyBorder="1" applyAlignment="1" applyProtection="1">
      <alignment horizontal="center"/>
    </xf>
    <xf numFmtId="172" fontId="50" fillId="0" borderId="2" xfId="0" applyNumberFormat="1" applyFont="1" applyFill="1" applyBorder="1" applyAlignment="1" applyProtection="1">
      <alignment horizontal="center"/>
      <protection locked="0"/>
    </xf>
    <xf numFmtId="172" fontId="22" fillId="0" borderId="2" xfId="0" applyNumberFormat="1" applyFont="1" applyFill="1" applyBorder="1" applyAlignment="1" applyProtection="1">
      <alignment horizontal="center"/>
      <protection locked="0"/>
    </xf>
    <xf numFmtId="172" fontId="22" fillId="0" borderId="2" xfId="0" applyNumberFormat="1" applyFont="1" applyFill="1" applyBorder="1" applyAlignment="1">
      <alignment horizontal="center"/>
    </xf>
    <xf numFmtId="172" fontId="50" fillId="0" borderId="2" xfId="0" applyNumberFormat="1" applyFont="1" applyFill="1" applyBorder="1" applyAlignment="1">
      <alignment horizontal="center"/>
    </xf>
    <xf numFmtId="172" fontId="50" fillId="0" borderId="2" xfId="0" applyNumberFormat="1" applyFont="1" applyFill="1" applyBorder="1" applyAlignment="1" applyProtection="1">
      <alignment horizontal="center"/>
    </xf>
    <xf numFmtId="172" fontId="22" fillId="0" borderId="2" xfId="0" applyNumberFormat="1" applyFont="1" applyFill="1" applyBorder="1" applyAlignment="1" applyProtection="1">
      <alignment horizontal="center"/>
    </xf>
    <xf numFmtId="174" fontId="81" fillId="0" borderId="13" xfId="0" applyNumberFormat="1" applyFont="1" applyFill="1" applyBorder="1" applyAlignment="1" applyProtection="1">
      <alignment horizontal="center" vertical="center"/>
    </xf>
    <xf numFmtId="2" fontId="81" fillId="0" borderId="3" xfId="0" applyNumberFormat="1" applyFont="1" applyFill="1" applyBorder="1" applyAlignment="1" applyProtection="1">
      <alignment horizontal="center"/>
    </xf>
    <xf numFmtId="172" fontId="81" fillId="0" borderId="2" xfId="0" applyNumberFormat="1" applyFont="1" applyFill="1" applyBorder="1" applyAlignment="1" applyProtection="1">
      <alignment horizontal="center"/>
      <protection locked="0"/>
    </xf>
    <xf numFmtId="172" fontId="82" fillId="0" borderId="2" xfId="0" applyNumberFormat="1" applyFont="1" applyFill="1" applyBorder="1" applyAlignment="1" applyProtection="1">
      <alignment horizontal="center"/>
      <protection locked="0"/>
    </xf>
    <xf numFmtId="172" fontId="82" fillId="0" borderId="2" xfId="0" applyNumberFormat="1" applyFont="1" applyFill="1" applyBorder="1" applyAlignment="1" applyProtection="1">
      <alignment horizontal="center"/>
    </xf>
    <xf numFmtId="172" fontId="81" fillId="0" borderId="2" xfId="0" applyNumberFormat="1" applyFont="1" applyFill="1" applyBorder="1" applyAlignment="1">
      <alignment horizontal="center"/>
    </xf>
    <xf numFmtId="172" fontId="82" fillId="0" borderId="2" xfId="0" applyNumberFormat="1" applyFont="1" applyFill="1" applyBorder="1" applyAlignment="1">
      <alignment horizontal="center"/>
    </xf>
    <xf numFmtId="172" fontId="81" fillId="0" borderId="2" xfId="0" applyNumberFormat="1" applyFont="1" applyFill="1" applyBorder="1" applyAlignment="1" applyProtection="1">
      <alignment horizontal="center"/>
    </xf>
    <xf numFmtId="170" fontId="66" fillId="0" borderId="2" xfId="0" applyNumberFormat="1" applyFont="1" applyFill="1" applyBorder="1" applyAlignment="1" applyProtection="1">
      <alignment vertical="center" wrapText="1"/>
    </xf>
    <xf numFmtId="170" fontId="66" fillId="0" borderId="2" xfId="0" applyNumberFormat="1" applyFont="1" applyFill="1" applyBorder="1" applyAlignment="1" applyProtection="1">
      <alignment vertical="center" wrapText="1"/>
      <protection locked="0"/>
    </xf>
    <xf numFmtId="166" fontId="66" fillId="0" borderId="2" xfId="0" applyNumberFormat="1" applyFont="1" applyFill="1" applyBorder="1" applyAlignment="1" applyProtection="1">
      <alignment vertical="center" wrapText="1"/>
    </xf>
    <xf numFmtId="0" fontId="66" fillId="0" borderId="2" xfId="0" applyFont="1" applyFill="1" applyBorder="1" applyAlignment="1">
      <alignment vertical="center" wrapText="1"/>
    </xf>
    <xf numFmtId="170" fontId="65" fillId="0" borderId="2" xfId="0" applyNumberFormat="1" applyFont="1" applyFill="1" applyBorder="1" applyAlignment="1" applyProtection="1">
      <alignment vertical="center" wrapText="1"/>
    </xf>
    <xf numFmtId="166" fontId="65" fillId="0" borderId="2" xfId="0" applyNumberFormat="1" applyFont="1" applyFill="1" applyBorder="1" applyAlignment="1" applyProtection="1">
      <alignment vertical="center" wrapText="1"/>
    </xf>
    <xf numFmtId="170" fontId="65" fillId="0" borderId="2" xfId="0" applyNumberFormat="1" applyFont="1" applyFill="1" applyBorder="1" applyAlignment="1" applyProtection="1">
      <alignment vertical="center" wrapText="1"/>
      <protection locked="0"/>
    </xf>
    <xf numFmtId="166" fontId="69" fillId="0" borderId="2" xfId="0" applyNumberFormat="1" applyFont="1" applyFill="1" applyBorder="1" applyAlignment="1" applyProtection="1">
      <alignment vertical="center" wrapText="1"/>
    </xf>
    <xf numFmtId="170" fontId="82" fillId="0" borderId="2" xfId="0" applyNumberFormat="1" applyFont="1" applyFill="1" applyBorder="1" applyAlignment="1" applyProtection="1">
      <alignment vertical="center" wrapText="1"/>
      <protection locked="0"/>
    </xf>
    <xf numFmtId="170" fontId="82" fillId="0" borderId="2" xfId="0" applyNumberFormat="1" applyFont="1" applyFill="1" applyBorder="1" applyAlignment="1" applyProtection="1">
      <alignment vertical="center" wrapText="1"/>
    </xf>
    <xf numFmtId="166" fontId="82" fillId="0" borderId="2" xfId="0" applyNumberFormat="1" applyFont="1" applyFill="1" applyBorder="1" applyAlignment="1" applyProtection="1">
      <alignment vertical="center" wrapText="1"/>
    </xf>
    <xf numFmtId="174" fontId="13" fillId="4" borderId="3" xfId="0" applyNumberFormat="1" applyFont="1" applyFill="1" applyBorder="1" applyAlignment="1" applyProtection="1">
      <alignment horizontal="center" vertical="center"/>
    </xf>
    <xf numFmtId="174" fontId="81" fillId="4" borderId="3" xfId="0" applyNumberFormat="1" applyFont="1" applyFill="1" applyBorder="1" applyAlignment="1" applyProtection="1">
      <alignment horizontal="center" vertical="center"/>
    </xf>
    <xf numFmtId="174" fontId="50" fillId="4" borderId="3" xfId="0" applyNumberFormat="1" applyFont="1" applyFill="1" applyBorder="1" applyAlignment="1" applyProtection="1">
      <alignment horizontal="center" vertical="center"/>
    </xf>
    <xf numFmtId="174" fontId="83" fillId="4" borderId="3" xfId="0" applyNumberFormat="1" applyFont="1" applyFill="1" applyBorder="1" applyAlignment="1" applyProtection="1">
      <alignment horizontal="center" vertical="center"/>
    </xf>
    <xf numFmtId="174" fontId="9" fillId="3" borderId="3" xfId="0" applyNumberFormat="1" applyFont="1" applyFill="1" applyBorder="1" applyAlignment="1" applyProtection="1">
      <alignment horizontal="center" vertical="center"/>
    </xf>
    <xf numFmtId="174" fontId="81" fillId="3" borderId="3" xfId="0" applyNumberFormat="1" applyFont="1" applyFill="1" applyBorder="1" applyAlignment="1" applyProtection="1">
      <alignment horizontal="center" vertical="center"/>
    </xf>
    <xf numFmtId="174" fontId="50" fillId="3" borderId="3" xfId="0" applyNumberFormat="1" applyFont="1" applyFill="1" applyBorder="1" applyAlignment="1" applyProtection="1">
      <alignment horizontal="center" vertical="center"/>
    </xf>
    <xf numFmtId="174" fontId="83" fillId="3" borderId="3" xfId="0" applyNumberFormat="1" applyFont="1" applyFill="1" applyBorder="1" applyAlignment="1" applyProtection="1">
      <alignment horizontal="center" vertical="center"/>
    </xf>
    <xf numFmtId="174" fontId="70" fillId="3" borderId="3" xfId="0" applyNumberFormat="1" applyFont="1" applyFill="1" applyBorder="1" applyAlignment="1" applyProtection="1">
      <alignment horizontal="center" vertical="center"/>
    </xf>
    <xf numFmtId="174" fontId="71" fillId="3" borderId="3" xfId="0" applyNumberFormat="1" applyFont="1" applyFill="1" applyBorder="1" applyAlignment="1" applyProtection="1">
      <alignment horizontal="center" vertical="center"/>
    </xf>
    <xf numFmtId="174" fontId="9" fillId="3" borderId="26" xfId="0" applyNumberFormat="1" applyFont="1" applyFill="1" applyBorder="1" applyAlignment="1" applyProtection="1">
      <alignment horizontal="center" vertical="center"/>
    </xf>
    <xf numFmtId="174" fontId="81" fillId="3" borderId="26" xfId="0" applyNumberFormat="1" applyFont="1" applyFill="1" applyBorder="1" applyAlignment="1" applyProtection="1">
      <alignment horizontal="center" vertical="center"/>
    </xf>
    <xf numFmtId="174" fontId="50" fillId="3" borderId="26" xfId="0" applyNumberFormat="1" applyFont="1" applyFill="1" applyBorder="1" applyAlignment="1" applyProtection="1">
      <alignment horizontal="center" vertical="center"/>
    </xf>
    <xf numFmtId="174" fontId="83" fillId="3" borderId="26" xfId="0" applyNumberFormat="1" applyFont="1" applyFill="1" applyBorder="1" applyAlignment="1" applyProtection="1">
      <alignment horizontal="center" vertical="center"/>
    </xf>
    <xf numFmtId="174" fontId="70" fillId="3" borderId="26" xfId="0" applyNumberFormat="1" applyFont="1" applyFill="1" applyBorder="1" applyAlignment="1" applyProtection="1">
      <alignment horizontal="center" vertical="center"/>
    </xf>
    <xf numFmtId="174" fontId="71" fillId="3" borderId="26" xfId="0" applyNumberFormat="1" applyFont="1" applyFill="1" applyBorder="1" applyAlignment="1" applyProtection="1">
      <alignment horizontal="center" vertical="center"/>
    </xf>
    <xf numFmtId="174" fontId="81" fillId="4" borderId="5" xfId="0" applyNumberFormat="1" applyFont="1" applyFill="1" applyBorder="1" applyAlignment="1" applyProtection="1">
      <alignment horizontal="center" vertical="center"/>
    </xf>
    <xf numFmtId="0" fontId="13" fillId="0" borderId="38" xfId="0" applyFont="1" applyFill="1" applyBorder="1" applyAlignment="1" applyProtection="1">
      <alignment horizontal="center" vertical="center"/>
      <protection locked="0"/>
    </xf>
    <xf numFmtId="0" fontId="13" fillId="0" borderId="47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2" fontId="13" fillId="0" borderId="10" xfId="0" applyNumberFormat="1" applyFont="1" applyFill="1" applyBorder="1" applyAlignment="1" applyProtection="1">
      <alignment horizontal="center" vertical="center"/>
      <protection locked="0"/>
    </xf>
    <xf numFmtId="49" fontId="13" fillId="0" borderId="10" xfId="0" applyNumberFormat="1" applyFont="1" applyFill="1" applyBorder="1" applyAlignment="1" applyProtection="1">
      <alignment horizontal="center" vertical="center"/>
      <protection locked="0"/>
    </xf>
    <xf numFmtId="1" fontId="13" fillId="0" borderId="10" xfId="0" applyNumberFormat="1" applyFont="1" applyFill="1" applyBorder="1" applyAlignment="1" applyProtection="1">
      <alignment horizontal="center" vertical="center"/>
      <protection locked="0"/>
    </xf>
    <xf numFmtId="167" fontId="13" fillId="0" borderId="10" xfId="0" applyNumberFormat="1" applyFont="1" applyFill="1" applyBorder="1" applyAlignment="1" applyProtection="1">
      <alignment horizontal="center" vertical="center"/>
      <protection locked="0"/>
    </xf>
    <xf numFmtId="167" fontId="13" fillId="0" borderId="9" xfId="0" applyNumberFormat="1" applyFont="1" applyFill="1" applyBorder="1" applyAlignment="1" applyProtection="1">
      <alignment horizontal="center" vertical="center"/>
      <protection locked="0"/>
    </xf>
    <xf numFmtId="0" fontId="6" fillId="0" borderId="14" xfId="0" applyFont="1" applyFill="1" applyBorder="1" applyAlignment="1">
      <alignment horizontal="center" vertical="center"/>
    </xf>
    <xf numFmtId="0" fontId="6" fillId="0" borderId="5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69" fontId="6" fillId="0" borderId="3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2" fontId="13" fillId="0" borderId="13" xfId="0" applyNumberFormat="1" applyFont="1" applyFill="1" applyBorder="1" applyAlignment="1" applyProtection="1">
      <alignment horizontal="center" vertical="center"/>
      <protection locked="0"/>
    </xf>
    <xf numFmtId="49" fontId="13" fillId="0" borderId="13" xfId="0" applyNumberFormat="1" applyFont="1" applyFill="1" applyBorder="1" applyAlignment="1" applyProtection="1">
      <alignment horizontal="center" vertical="center"/>
      <protection locked="0"/>
    </xf>
    <xf numFmtId="1" fontId="13" fillId="0" borderId="13" xfId="0" applyNumberFormat="1" applyFont="1" applyFill="1" applyBorder="1" applyAlignment="1" applyProtection="1">
      <alignment horizontal="center" vertical="center"/>
      <protection locked="0"/>
    </xf>
    <xf numFmtId="167" fontId="13" fillId="0" borderId="13" xfId="0" applyNumberFormat="1" applyFont="1" applyFill="1" applyBorder="1" applyAlignment="1" applyProtection="1">
      <alignment horizontal="center" vertical="center"/>
      <protection locked="0"/>
    </xf>
    <xf numFmtId="167" fontId="13" fillId="0" borderId="39" xfId="0" applyNumberFormat="1" applyFont="1" applyFill="1" applyBorder="1" applyAlignment="1" applyProtection="1">
      <alignment horizontal="center" vertical="center"/>
      <protection locked="0"/>
    </xf>
    <xf numFmtId="169" fontId="71" fillId="0" borderId="2" xfId="0" applyNumberFormat="1" applyFont="1" applyFill="1" applyBorder="1" applyAlignment="1" applyProtection="1">
      <alignment horizontal="center" vertical="center"/>
      <protection locked="0"/>
    </xf>
    <xf numFmtId="169" fontId="71" fillId="0" borderId="13" xfId="0" applyNumberFormat="1" applyFont="1" applyFill="1" applyBorder="1" applyAlignment="1" applyProtection="1">
      <alignment horizontal="center" vertical="center"/>
      <protection locked="0"/>
    </xf>
    <xf numFmtId="169" fontId="66" fillId="0" borderId="3" xfId="0" applyNumberFormat="1" applyFont="1" applyFill="1" applyBorder="1" applyAlignment="1">
      <alignment horizontal="center" vertical="center"/>
    </xf>
    <xf numFmtId="169" fontId="66" fillId="0" borderId="2" xfId="0" applyNumberFormat="1" applyFont="1" applyFill="1" applyBorder="1" applyAlignment="1" applyProtection="1">
      <alignment horizontal="center" vertical="center"/>
      <protection locked="0"/>
    </xf>
    <xf numFmtId="169" fontId="71" fillId="0" borderId="2" xfId="17" applyNumberFormat="1" applyFont="1" applyFill="1" applyBorder="1" applyAlignment="1" applyProtection="1">
      <alignment horizontal="center" vertical="center"/>
      <protection locked="0"/>
    </xf>
    <xf numFmtId="169" fontId="70" fillId="0" borderId="2" xfId="0" applyNumberFormat="1" applyFont="1" applyFill="1" applyBorder="1" applyAlignment="1" applyProtection="1">
      <alignment horizontal="center" vertical="center"/>
      <protection locked="0"/>
    </xf>
    <xf numFmtId="169" fontId="70" fillId="0" borderId="13" xfId="0" applyNumberFormat="1" applyFont="1" applyFill="1" applyBorder="1" applyAlignment="1" applyProtection="1">
      <alignment horizontal="center" vertical="center"/>
      <protection locked="0"/>
    </xf>
    <xf numFmtId="169" fontId="65" fillId="0" borderId="3" xfId="0" applyNumberFormat="1" applyFont="1" applyFill="1" applyBorder="1" applyAlignment="1">
      <alignment horizontal="center" vertical="center"/>
    </xf>
    <xf numFmtId="169" fontId="65" fillId="0" borderId="2" xfId="0" applyNumberFormat="1" applyFont="1" applyFill="1" applyBorder="1" applyAlignment="1" applyProtection="1">
      <alignment horizontal="center" vertical="center"/>
      <protection locked="0"/>
    </xf>
    <xf numFmtId="169" fontId="70" fillId="0" borderId="2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 applyProtection="1">
      <alignment horizontal="center" vertical="center"/>
      <protection locked="0"/>
    </xf>
    <xf numFmtId="169" fontId="32" fillId="0" borderId="13" xfId="0" applyNumberFormat="1" applyFont="1" applyFill="1" applyBorder="1" applyAlignment="1" applyProtection="1">
      <alignment horizontal="center" vertical="center"/>
      <protection locked="0"/>
    </xf>
    <xf numFmtId="2" fontId="32" fillId="0" borderId="13" xfId="0" applyNumberFormat="1" applyFont="1" applyFill="1" applyBorder="1" applyAlignment="1" applyProtection="1">
      <alignment horizontal="center" vertical="center"/>
      <protection locked="0"/>
    </xf>
    <xf numFmtId="0" fontId="88" fillId="0" borderId="3" xfId="0" applyFont="1" applyFill="1" applyBorder="1" applyAlignment="1" applyProtection="1">
      <alignment horizontal="center"/>
    </xf>
    <xf numFmtId="169" fontId="9" fillId="4" borderId="5" xfId="0" applyNumberFormat="1" applyFont="1" applyFill="1" applyBorder="1" applyAlignment="1" applyProtection="1">
      <alignment horizontal="center" vertical="center"/>
      <protection locked="0"/>
    </xf>
    <xf numFmtId="169" fontId="9" fillId="4" borderId="2" xfId="0" applyNumberFormat="1" applyFont="1" applyFill="1" applyBorder="1" applyAlignment="1" applyProtection="1">
      <alignment horizontal="center" vertical="center"/>
      <protection locked="0"/>
    </xf>
    <xf numFmtId="169" fontId="70" fillId="4" borderId="2" xfId="0" applyNumberFormat="1" applyFont="1" applyFill="1" applyBorder="1" applyAlignment="1" applyProtection="1">
      <alignment horizontal="center" vertical="center"/>
      <protection locked="0"/>
    </xf>
    <xf numFmtId="169" fontId="71" fillId="4" borderId="2" xfId="0" applyNumberFormat="1" applyFont="1" applyFill="1" applyBorder="1" applyAlignment="1" applyProtection="1">
      <alignment horizontal="center" vertical="center"/>
      <protection locked="0"/>
    </xf>
    <xf numFmtId="0" fontId="88" fillId="0" borderId="5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 vertical="center"/>
    </xf>
    <xf numFmtId="2" fontId="9" fillId="0" borderId="13" xfId="0" applyNumberFormat="1" applyFont="1" applyFill="1" applyBorder="1" applyAlignment="1" applyProtection="1">
      <alignment horizontal="center" vertical="center"/>
    </xf>
    <xf numFmtId="169" fontId="66" fillId="0" borderId="5" xfId="0" applyNumberFormat="1" applyFont="1" applyFill="1" applyBorder="1" applyAlignment="1" applyProtection="1">
      <alignment horizontal="center"/>
      <protection locked="0"/>
    </xf>
    <xf numFmtId="169" fontId="71" fillId="0" borderId="2" xfId="0" applyNumberFormat="1" applyFont="1" applyFill="1" applyBorder="1" applyAlignment="1" applyProtection="1">
      <alignment horizontal="center"/>
      <protection locked="0"/>
    </xf>
    <xf numFmtId="169" fontId="66" fillId="0" borderId="2" xfId="0" applyNumberFormat="1" applyFont="1" applyFill="1" applyBorder="1" applyAlignment="1" applyProtection="1">
      <alignment horizontal="center"/>
      <protection locked="0"/>
    </xf>
    <xf numFmtId="169" fontId="71" fillId="0" borderId="10" xfId="0" applyNumberFormat="1" applyFont="1" applyFill="1" applyBorder="1" applyAlignment="1" applyProtection="1">
      <alignment horizontal="center"/>
      <protection locked="0"/>
    </xf>
    <xf numFmtId="169" fontId="65" fillId="0" borderId="5" xfId="0" applyNumberFormat="1" applyFont="1" applyFill="1" applyBorder="1" applyAlignment="1" applyProtection="1">
      <alignment horizontal="center"/>
      <protection locked="0"/>
    </xf>
    <xf numFmtId="169" fontId="70" fillId="0" borderId="2" xfId="0" applyNumberFormat="1" applyFont="1" applyFill="1" applyBorder="1" applyAlignment="1" applyProtection="1">
      <alignment horizontal="center"/>
      <protection locked="0"/>
    </xf>
    <xf numFmtId="169" fontId="65" fillId="0" borderId="2" xfId="0" applyNumberFormat="1" applyFont="1" applyFill="1" applyBorder="1" applyAlignment="1" applyProtection="1">
      <alignment horizontal="center"/>
      <protection locked="0"/>
    </xf>
    <xf numFmtId="169" fontId="70" fillId="0" borderId="10" xfId="0" applyNumberFormat="1" applyFont="1" applyFill="1" applyBorder="1" applyAlignment="1" applyProtection="1">
      <alignment horizontal="center"/>
      <protection locked="0"/>
    </xf>
    <xf numFmtId="169" fontId="69" fillId="0" borderId="5" xfId="0" applyNumberFormat="1" applyFont="1" applyFill="1" applyBorder="1" applyAlignment="1" applyProtection="1">
      <alignment horizontal="center"/>
      <protection locked="0"/>
    </xf>
    <xf numFmtId="169" fontId="83" fillId="0" borderId="2" xfId="0" applyNumberFormat="1" applyFont="1" applyFill="1" applyBorder="1" applyAlignment="1" applyProtection="1">
      <alignment horizontal="center"/>
      <protection locked="0"/>
    </xf>
    <xf numFmtId="169" fontId="83" fillId="0" borderId="2" xfId="0" applyNumberFormat="1" applyFont="1" applyBorder="1" applyAlignment="1">
      <alignment horizontal="center"/>
    </xf>
    <xf numFmtId="169" fontId="69" fillId="0" borderId="2" xfId="0" applyNumberFormat="1" applyFont="1" applyBorder="1" applyAlignment="1">
      <alignment horizontal="center"/>
    </xf>
    <xf numFmtId="169" fontId="69" fillId="0" borderId="2" xfId="0" applyNumberFormat="1" applyFont="1" applyFill="1" applyBorder="1" applyAlignment="1" applyProtection="1">
      <alignment horizontal="center"/>
      <protection locked="0"/>
    </xf>
    <xf numFmtId="169" fontId="83" fillId="0" borderId="10" xfId="0" applyNumberFormat="1" applyFont="1" applyFill="1" applyBorder="1" applyAlignment="1" applyProtection="1">
      <alignment horizontal="center"/>
      <protection locked="0"/>
    </xf>
    <xf numFmtId="169" fontId="69" fillId="0" borderId="2" xfId="0" applyNumberFormat="1" applyFont="1" applyFill="1" applyBorder="1" applyAlignment="1">
      <alignment horizontal="center"/>
    </xf>
    <xf numFmtId="169" fontId="83" fillId="4" borderId="5" xfId="0" applyNumberFormat="1" applyFont="1" applyFill="1" applyBorder="1" applyAlignment="1" applyProtection="1">
      <alignment horizontal="center" vertical="center"/>
    </xf>
    <xf numFmtId="169" fontId="83" fillId="4" borderId="2" xfId="0" applyNumberFormat="1" applyFont="1" applyFill="1" applyBorder="1" applyAlignment="1" applyProtection="1">
      <alignment horizontal="center" vertical="center"/>
    </xf>
    <xf numFmtId="169" fontId="83" fillId="3" borderId="2" xfId="0" applyNumberFormat="1" applyFont="1" applyFill="1" applyBorder="1" applyAlignment="1" applyProtection="1">
      <alignment horizontal="center" vertical="center"/>
    </xf>
    <xf numFmtId="0" fontId="66" fillId="0" borderId="2" xfId="0" applyFont="1" applyFill="1" applyBorder="1" applyAlignment="1" applyProtection="1">
      <alignment wrapText="1"/>
      <protection locked="0"/>
    </xf>
    <xf numFmtId="0" fontId="65" fillId="0" borderId="2" xfId="0" applyFont="1" applyFill="1" applyBorder="1" applyAlignment="1" applyProtection="1">
      <alignment wrapText="1"/>
      <protection locked="0"/>
    </xf>
    <xf numFmtId="0" fontId="65" fillId="0" borderId="2" xfId="0" applyFont="1" applyFill="1" applyBorder="1" applyAlignment="1">
      <alignment wrapText="1"/>
    </xf>
    <xf numFmtId="0" fontId="32" fillId="0" borderId="12" xfId="0" applyFont="1" applyFill="1" applyBorder="1" applyAlignment="1" applyProtection="1">
      <alignment horizontal="center" vertical="center"/>
    </xf>
    <xf numFmtId="0" fontId="88" fillId="0" borderId="35" xfId="0" applyFont="1" applyFill="1" applyBorder="1" applyAlignment="1" applyProtection="1">
      <alignment horizontal="center"/>
    </xf>
    <xf numFmtId="169" fontId="61" fillId="0" borderId="5" xfId="0" applyNumberFormat="1" applyFont="1" applyFill="1" applyBorder="1" applyAlignment="1" applyProtection="1">
      <alignment horizontal="center"/>
    </xf>
    <xf numFmtId="169" fontId="70" fillId="0" borderId="5" xfId="0" applyNumberFormat="1" applyFont="1" applyFill="1" applyBorder="1" applyAlignment="1" applyProtection="1">
      <alignment horizontal="center"/>
    </xf>
    <xf numFmtId="169" fontId="65" fillId="2" borderId="2" xfId="0" applyNumberFormat="1" applyFont="1" applyFill="1" applyBorder="1" applyAlignment="1" applyProtection="1">
      <alignment horizontal="center"/>
    </xf>
    <xf numFmtId="169" fontId="50" fillId="0" borderId="5" xfId="0" applyNumberFormat="1" applyFont="1" applyFill="1" applyBorder="1" applyAlignment="1" applyProtection="1">
      <alignment horizontal="center"/>
    </xf>
    <xf numFmtId="169" fontId="22" fillId="0" borderId="10" xfId="0" applyNumberFormat="1" applyFont="1" applyFill="1" applyBorder="1" applyAlignment="1" applyProtection="1">
      <alignment horizontal="center"/>
    </xf>
    <xf numFmtId="169" fontId="61" fillId="4" borderId="5" xfId="0" applyNumberFormat="1" applyFont="1" applyFill="1" applyBorder="1" applyAlignment="1" applyProtection="1">
      <alignment horizontal="center" vertical="center"/>
    </xf>
    <xf numFmtId="169" fontId="61" fillId="4" borderId="2" xfId="0" applyNumberFormat="1" applyFont="1" applyFill="1" applyBorder="1" applyAlignment="1" applyProtection="1">
      <alignment horizontal="center" vertical="center"/>
    </xf>
    <xf numFmtId="169" fontId="61" fillId="3" borderId="2" xfId="0" applyNumberFormat="1" applyFont="1" applyFill="1" applyBorder="1" applyAlignment="1" applyProtection="1">
      <alignment horizontal="center" vertical="center"/>
    </xf>
    <xf numFmtId="169" fontId="61" fillId="3" borderId="10" xfId="0" applyNumberFormat="1" applyFont="1" applyFill="1" applyBorder="1" applyAlignment="1" applyProtection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0" fontId="9" fillId="0" borderId="13" xfId="0" applyFont="1" applyFill="1" applyBorder="1" applyAlignment="1" applyProtection="1">
      <alignment horizontal="center" vertical="center" shrinkToFit="1"/>
    </xf>
    <xf numFmtId="168" fontId="9" fillId="0" borderId="13" xfId="0" applyNumberFormat="1" applyFont="1" applyFill="1" applyBorder="1" applyAlignment="1" applyProtection="1">
      <alignment horizontal="center" vertical="center"/>
    </xf>
    <xf numFmtId="174" fontId="61" fillId="0" borderId="13" xfId="0" applyNumberFormat="1" applyFont="1" applyFill="1" applyBorder="1" applyAlignment="1" applyProtection="1">
      <alignment horizontal="center" vertical="center"/>
    </xf>
    <xf numFmtId="174" fontId="61" fillId="0" borderId="3" xfId="0" applyNumberFormat="1" applyFont="1" applyFill="1" applyBorder="1" applyAlignment="1" applyProtection="1">
      <alignment horizontal="center"/>
    </xf>
    <xf numFmtId="174" fontId="61" fillId="0" borderId="2" xfId="0" applyNumberFormat="1" applyFont="1" applyFill="1" applyBorder="1" applyAlignment="1" applyProtection="1">
      <alignment horizontal="center"/>
    </xf>
    <xf numFmtId="174" fontId="63" fillId="0" borderId="13" xfId="0" applyNumberFormat="1" applyFont="1" applyFill="1" applyBorder="1" applyAlignment="1" applyProtection="1">
      <alignment horizontal="center" vertical="center"/>
    </xf>
    <xf numFmtId="174" fontId="63" fillId="2" borderId="3" xfId="0" applyNumberFormat="1" applyFont="1" applyFill="1" applyBorder="1" applyAlignment="1" applyProtection="1">
      <alignment horizontal="center"/>
    </xf>
    <xf numFmtId="174" fontId="32" fillId="4" borderId="5" xfId="0" applyNumberFormat="1" applyFont="1" applyFill="1" applyBorder="1" applyAlignment="1" applyProtection="1">
      <alignment horizontal="center" vertical="center"/>
    </xf>
    <xf numFmtId="174" fontId="32" fillId="4" borderId="3" xfId="0" applyNumberFormat="1" applyFont="1" applyFill="1" applyBorder="1" applyAlignment="1" applyProtection="1">
      <alignment horizontal="center" vertical="center"/>
    </xf>
    <xf numFmtId="174" fontId="32" fillId="3" borderId="3" xfId="0" applyNumberFormat="1" applyFont="1" applyFill="1" applyBorder="1" applyAlignment="1" applyProtection="1">
      <alignment horizontal="center" vertical="center"/>
    </xf>
    <xf numFmtId="174" fontId="32" fillId="3" borderId="26" xfId="0" applyNumberFormat="1" applyFont="1" applyFill="1" applyBorder="1" applyAlignment="1" applyProtection="1">
      <alignment horizontal="center" vertical="center"/>
    </xf>
    <xf numFmtId="169" fontId="9" fillId="4" borderId="5" xfId="0" applyNumberFormat="1" applyFont="1" applyFill="1" applyBorder="1" applyAlignment="1" applyProtection="1">
      <alignment horizontal="center" vertical="center" wrapText="1"/>
    </xf>
    <xf numFmtId="169" fontId="81" fillId="4" borderId="5" xfId="0" applyNumberFormat="1" applyFont="1" applyFill="1" applyBorder="1" applyAlignment="1" applyProtection="1">
      <alignment horizontal="center" vertical="center" wrapText="1"/>
    </xf>
    <xf numFmtId="169" fontId="50" fillId="4" borderId="5" xfId="0" applyNumberFormat="1" applyFont="1" applyFill="1" applyBorder="1" applyAlignment="1" applyProtection="1">
      <alignment horizontal="center" vertical="center" wrapText="1"/>
    </xf>
    <xf numFmtId="169" fontId="70" fillId="4" borderId="5" xfId="0" applyNumberFormat="1" applyFont="1" applyFill="1" applyBorder="1" applyAlignment="1" applyProtection="1">
      <alignment horizontal="center" vertical="center" wrapText="1"/>
    </xf>
    <xf numFmtId="169" fontId="71" fillId="4" borderId="5" xfId="0" applyNumberFormat="1" applyFont="1" applyFill="1" applyBorder="1" applyAlignment="1" applyProtection="1">
      <alignment horizontal="center" vertical="center" wrapText="1"/>
    </xf>
    <xf numFmtId="169" fontId="9" fillId="4" borderId="2" xfId="0" applyNumberFormat="1" applyFont="1" applyFill="1" applyBorder="1" applyAlignment="1" applyProtection="1">
      <alignment horizontal="center" vertical="center" wrapText="1"/>
    </xf>
    <xf numFmtId="169" fontId="81" fillId="4" borderId="2" xfId="0" applyNumberFormat="1" applyFont="1" applyFill="1" applyBorder="1" applyAlignment="1" applyProtection="1">
      <alignment horizontal="center" vertical="center" wrapText="1"/>
    </xf>
    <xf numFmtId="169" fontId="50" fillId="4" borderId="2" xfId="0" applyNumberFormat="1" applyFont="1" applyFill="1" applyBorder="1" applyAlignment="1" applyProtection="1">
      <alignment horizontal="center" vertical="center" wrapText="1"/>
    </xf>
    <xf numFmtId="169" fontId="70" fillId="4" borderId="2" xfId="0" applyNumberFormat="1" applyFont="1" applyFill="1" applyBorder="1" applyAlignment="1" applyProtection="1">
      <alignment horizontal="center" vertical="center" wrapText="1"/>
    </xf>
    <xf numFmtId="169" fontId="71" fillId="4" borderId="2" xfId="0" applyNumberFormat="1" applyFont="1" applyFill="1" applyBorder="1" applyAlignment="1" applyProtection="1">
      <alignment horizontal="center" vertical="center" wrapText="1"/>
    </xf>
    <xf numFmtId="169" fontId="9" fillId="3" borderId="2" xfId="0" applyNumberFormat="1" applyFont="1" applyFill="1" applyBorder="1" applyAlignment="1" applyProtection="1">
      <alignment horizontal="center" vertical="center" wrapText="1"/>
    </xf>
    <xf numFmtId="169" fontId="81" fillId="3" borderId="2" xfId="0" applyNumberFormat="1" applyFont="1" applyFill="1" applyBorder="1" applyAlignment="1" applyProtection="1">
      <alignment horizontal="center" vertical="center" wrapText="1"/>
    </xf>
    <xf numFmtId="169" fontId="50" fillId="3" borderId="2" xfId="0" applyNumberFormat="1" applyFont="1" applyFill="1" applyBorder="1" applyAlignment="1" applyProtection="1">
      <alignment horizontal="center" vertical="center" wrapText="1"/>
    </xf>
    <xf numFmtId="169" fontId="70" fillId="3" borderId="2" xfId="0" applyNumberFormat="1" applyFont="1" applyFill="1" applyBorder="1" applyAlignment="1" applyProtection="1">
      <alignment horizontal="center" vertical="center" wrapText="1"/>
    </xf>
    <xf numFmtId="169" fontId="71" fillId="3" borderId="2" xfId="0" applyNumberFormat="1" applyFont="1" applyFill="1" applyBorder="1" applyAlignment="1" applyProtection="1">
      <alignment horizontal="center" vertical="center" wrapText="1"/>
    </xf>
    <xf numFmtId="169" fontId="9" fillId="3" borderId="10" xfId="0" applyNumberFormat="1" applyFont="1" applyFill="1" applyBorder="1" applyAlignment="1" applyProtection="1">
      <alignment horizontal="center" vertical="center" wrapText="1"/>
    </xf>
    <xf numFmtId="169" fontId="81" fillId="3" borderId="10" xfId="0" applyNumberFormat="1" applyFont="1" applyFill="1" applyBorder="1" applyAlignment="1" applyProtection="1">
      <alignment horizontal="center" vertical="center" wrapText="1"/>
    </xf>
    <xf numFmtId="169" fontId="50" fillId="3" borderId="10" xfId="0" applyNumberFormat="1" applyFont="1" applyFill="1" applyBorder="1" applyAlignment="1" applyProtection="1">
      <alignment horizontal="center" vertical="center" wrapText="1"/>
    </xf>
    <xf numFmtId="169" fontId="70" fillId="3" borderId="10" xfId="0" applyNumberFormat="1" applyFont="1" applyFill="1" applyBorder="1" applyAlignment="1" applyProtection="1">
      <alignment horizontal="center" vertical="center" wrapText="1"/>
    </xf>
    <xf numFmtId="169" fontId="71" fillId="3" borderId="10" xfId="0" applyNumberFormat="1" applyFont="1" applyFill="1" applyBorder="1" applyAlignment="1" applyProtection="1">
      <alignment horizontal="center" vertical="center" wrapText="1"/>
    </xf>
    <xf numFmtId="2" fontId="13" fillId="0" borderId="13" xfId="0" applyNumberFormat="1" applyFont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3" xfId="0" applyFont="1" applyFill="1" applyBorder="1" applyAlignment="1" applyProtection="1">
      <alignment horizontal="center" vertical="center" shrinkToFit="1"/>
    </xf>
    <xf numFmtId="2" fontId="32" fillId="0" borderId="13" xfId="0" applyNumberFormat="1" applyFont="1" applyBorder="1" applyAlignment="1">
      <alignment horizontal="center" vertical="center"/>
    </xf>
    <xf numFmtId="0" fontId="6" fillId="0" borderId="14" xfId="0" applyFont="1" applyFill="1" applyBorder="1"/>
    <xf numFmtId="0" fontId="6" fillId="0" borderId="55" xfId="0" applyFont="1" applyFill="1" applyBorder="1"/>
    <xf numFmtId="0" fontId="6" fillId="0" borderId="37" xfId="0" applyFont="1" applyFill="1" applyBorder="1" applyAlignment="1">
      <alignment horizontal="center"/>
    </xf>
    <xf numFmtId="174" fontId="66" fillId="0" borderId="3" xfId="0" applyNumberFormat="1" applyFont="1" applyFill="1" applyBorder="1" applyAlignment="1" applyProtection="1">
      <alignment horizontal="center"/>
    </xf>
    <xf numFmtId="174" fontId="71" fillId="0" borderId="10" xfId="0" applyNumberFormat="1" applyFont="1" applyFill="1" applyBorder="1" applyAlignment="1">
      <alignment horizontal="center"/>
    </xf>
    <xf numFmtId="174" fontId="71" fillId="0" borderId="10" xfId="0" applyNumberFormat="1" applyFont="1" applyFill="1" applyBorder="1" applyAlignment="1" applyProtection="1">
      <alignment horizontal="center"/>
    </xf>
    <xf numFmtId="174" fontId="66" fillId="0" borderId="10" xfId="0" applyNumberFormat="1" applyFont="1" applyFill="1" applyBorder="1" applyAlignment="1">
      <alignment horizontal="center"/>
    </xf>
    <xf numFmtId="174" fontId="65" fillId="0" borderId="3" xfId="0" applyNumberFormat="1" applyFont="1" applyFill="1" applyBorder="1" applyAlignment="1" applyProtection="1">
      <alignment horizontal="center"/>
    </xf>
    <xf numFmtId="174" fontId="70" fillId="0" borderId="10" xfId="0" applyNumberFormat="1" applyFont="1" applyFill="1" applyBorder="1" applyAlignment="1" applyProtection="1">
      <alignment horizontal="center"/>
    </xf>
    <xf numFmtId="174" fontId="65" fillId="0" borderId="10" xfId="0" applyNumberFormat="1" applyFont="1" applyFill="1" applyBorder="1" applyAlignment="1" applyProtection="1">
      <alignment horizontal="center"/>
    </xf>
    <xf numFmtId="174" fontId="82" fillId="0" borderId="3" xfId="0" applyNumberFormat="1" applyFont="1" applyFill="1" applyBorder="1" applyAlignment="1" applyProtection="1">
      <alignment horizontal="center"/>
    </xf>
    <xf numFmtId="174" fontId="81" fillId="0" borderId="2" xfId="0" applyNumberFormat="1" applyFont="1" applyFill="1" applyBorder="1" applyAlignment="1" applyProtection="1">
      <alignment horizontal="center"/>
    </xf>
    <xf numFmtId="174" fontId="82" fillId="0" borderId="2" xfId="0" applyNumberFormat="1" applyFont="1" applyFill="1" applyBorder="1" applyAlignment="1" applyProtection="1">
      <alignment horizontal="center"/>
    </xf>
    <xf numFmtId="174" fontId="81" fillId="0" borderId="2" xfId="0" applyNumberFormat="1" applyFont="1" applyFill="1" applyBorder="1" applyAlignment="1">
      <alignment horizontal="center"/>
    </xf>
    <xf numFmtId="174" fontId="82" fillId="0" borderId="2" xfId="0" applyNumberFormat="1" applyFont="1" applyFill="1" applyBorder="1" applyAlignment="1">
      <alignment horizontal="center"/>
    </xf>
    <xf numFmtId="174" fontId="81" fillId="0" borderId="10" xfId="0" applyNumberFormat="1" applyFont="1" applyFill="1" applyBorder="1" applyAlignment="1">
      <alignment horizontal="center"/>
    </xf>
    <xf numFmtId="174" fontId="81" fillId="0" borderId="10" xfId="0" applyNumberFormat="1" applyFont="1" applyFill="1" applyBorder="1" applyAlignment="1" applyProtection="1">
      <alignment horizontal="center"/>
    </xf>
    <xf numFmtId="174" fontId="82" fillId="0" borderId="10" xfId="0" applyNumberFormat="1" applyFont="1" applyFill="1" applyBorder="1" applyAlignment="1">
      <alignment horizontal="center"/>
    </xf>
    <xf numFmtId="174" fontId="81" fillId="3" borderId="10" xfId="0" applyNumberFormat="1" applyFont="1" applyFill="1" applyBorder="1" applyAlignment="1" applyProtection="1">
      <alignment horizontal="center" vertical="center"/>
    </xf>
    <xf numFmtId="174" fontId="66" fillId="0" borderId="5" xfId="0" applyNumberFormat="1" applyFont="1" applyBorder="1" applyAlignment="1">
      <alignment horizontal="center"/>
    </xf>
    <xf numFmtId="174" fontId="66" fillId="0" borderId="10" xfId="0" applyNumberFormat="1" applyFont="1" applyBorder="1" applyAlignment="1">
      <alignment horizontal="center"/>
    </xf>
    <xf numFmtId="174" fontId="71" fillId="0" borderId="10" xfId="0" applyNumberFormat="1" applyFont="1" applyBorder="1" applyAlignment="1">
      <alignment horizontal="center"/>
    </xf>
    <xf numFmtId="174" fontId="65" fillId="0" borderId="5" xfId="0" applyNumberFormat="1" applyFont="1" applyBorder="1" applyAlignment="1">
      <alignment horizontal="center"/>
    </xf>
    <xf numFmtId="174" fontId="65" fillId="0" borderId="10" xfId="0" applyNumberFormat="1" applyFont="1" applyBorder="1" applyAlignment="1">
      <alignment horizontal="center"/>
    </xf>
    <xf numFmtId="174" fontId="70" fillId="0" borderId="10" xfId="0" applyNumberFormat="1" applyFont="1" applyBorder="1" applyAlignment="1">
      <alignment horizontal="center"/>
    </xf>
    <xf numFmtId="174" fontId="32" fillId="3" borderId="10" xfId="0" applyNumberFormat="1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>
      <alignment horizontal="left" wrapText="1"/>
    </xf>
    <xf numFmtId="0" fontId="7" fillId="0" borderId="0" xfId="0" applyFont="1" applyFill="1" applyAlignment="1">
      <alignment wrapText="1"/>
    </xf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 applyAlignment="1">
      <alignment horizontal="left" wrapText="1"/>
    </xf>
    <xf numFmtId="0" fontId="65" fillId="0" borderId="2" xfId="0" applyFont="1" applyFill="1" applyBorder="1" applyAlignment="1">
      <alignment horizontal="left" wrapText="1"/>
    </xf>
    <xf numFmtId="0" fontId="65" fillId="0" borderId="10" xfId="0" applyFont="1" applyFill="1" applyBorder="1" applyAlignment="1">
      <alignment wrapText="1"/>
    </xf>
    <xf numFmtId="0" fontId="51" fillId="0" borderId="12" xfId="0" applyFont="1" applyFill="1" applyBorder="1" applyAlignment="1">
      <alignment horizontal="center" vertical="center"/>
    </xf>
    <xf numFmtId="0" fontId="51" fillId="0" borderId="13" xfId="0" applyFont="1" applyFill="1" applyBorder="1" applyAlignment="1">
      <alignment horizontal="center" vertical="center"/>
    </xf>
    <xf numFmtId="0" fontId="51" fillId="0" borderId="13" xfId="0" applyFont="1" applyFill="1" applyBorder="1" applyAlignment="1" applyProtection="1">
      <alignment horizontal="center" vertical="center" shrinkToFit="1"/>
    </xf>
    <xf numFmtId="0" fontId="51" fillId="0" borderId="13" xfId="0" applyFont="1" applyFill="1" applyBorder="1" applyAlignment="1" applyProtection="1">
      <alignment horizontal="center" vertical="center"/>
    </xf>
    <xf numFmtId="166" fontId="51" fillId="0" borderId="13" xfId="0" applyNumberFormat="1" applyFont="1" applyFill="1" applyBorder="1" applyAlignment="1" applyProtection="1">
      <alignment horizontal="center" vertical="center"/>
    </xf>
    <xf numFmtId="168" fontId="51" fillId="0" borderId="13" xfId="0" applyNumberFormat="1" applyFont="1" applyFill="1" applyBorder="1" applyAlignment="1" applyProtection="1">
      <alignment horizontal="center" vertical="center"/>
    </xf>
    <xf numFmtId="1" fontId="51" fillId="0" borderId="13" xfId="0" applyNumberFormat="1" applyFont="1" applyFill="1" applyBorder="1" applyAlignment="1" applyProtection="1">
      <alignment horizontal="center" vertical="center"/>
    </xf>
    <xf numFmtId="174" fontId="32" fillId="0" borderId="2" xfId="0" applyNumberFormat="1" applyFont="1" applyFill="1" applyBorder="1" applyAlignment="1" applyProtection="1">
      <alignment horizontal="center" vertical="center"/>
      <protection locked="0"/>
    </xf>
    <xf numFmtId="174" fontId="39" fillId="0" borderId="2" xfId="0" applyNumberFormat="1" applyFont="1" applyFill="1" applyBorder="1" applyAlignment="1" applyProtection="1">
      <alignment horizontal="center" vertical="center"/>
      <protection locked="0"/>
    </xf>
    <xf numFmtId="0" fontId="32" fillId="0" borderId="2" xfId="0" applyFont="1" applyBorder="1"/>
    <xf numFmtId="174" fontId="0" fillId="0" borderId="0" xfId="0" applyNumberFormat="1"/>
    <xf numFmtId="0" fontId="9" fillId="0" borderId="8" xfId="0" applyFont="1" applyFill="1" applyBorder="1" applyAlignment="1">
      <alignment horizontal="center" vertical="justify" wrapText="1"/>
    </xf>
    <xf numFmtId="0" fontId="9" fillId="0" borderId="46" xfId="0" applyFont="1" applyFill="1" applyBorder="1" applyAlignment="1">
      <alignment horizontal="center" vertical="justify" wrapText="1"/>
    </xf>
    <xf numFmtId="0" fontId="9" fillId="0" borderId="2" xfId="0" applyFont="1" applyFill="1" applyBorder="1" applyAlignment="1">
      <alignment horizontal="center" vertical="justify" wrapText="1"/>
    </xf>
    <xf numFmtId="0" fontId="7" fillId="0" borderId="8" xfId="0" applyFont="1" applyFill="1" applyBorder="1" applyAlignment="1">
      <alignment horizontal="center" vertical="justify" wrapText="1"/>
    </xf>
    <xf numFmtId="0" fontId="7" fillId="0" borderId="2" xfId="0" applyFont="1" applyFill="1" applyBorder="1" applyAlignment="1">
      <alignment horizontal="center" vertical="justify" wrapText="1"/>
    </xf>
    <xf numFmtId="0" fontId="32" fillId="0" borderId="8" xfId="0" applyFont="1" applyFill="1" applyBorder="1" applyAlignment="1">
      <alignment horizontal="center" vertical="justify" wrapText="1"/>
    </xf>
    <xf numFmtId="0" fontId="0" fillId="0" borderId="0" xfId="0" applyAlignment="1">
      <alignment horizontal="center" vertical="justify"/>
    </xf>
    <xf numFmtId="0" fontId="7" fillId="0" borderId="8" xfId="0" applyFont="1" applyBorder="1" applyAlignment="1">
      <alignment horizontal="center" vertical="justify"/>
    </xf>
    <xf numFmtId="0" fontId="7" fillId="0" borderId="10" xfId="0" applyFont="1" applyBorder="1" applyAlignment="1">
      <alignment horizontal="center" vertical="justify"/>
    </xf>
    <xf numFmtId="0" fontId="92" fillId="0" borderId="2" xfId="0" applyFont="1" applyFill="1" applyBorder="1" applyAlignment="1" applyProtection="1">
      <alignment wrapText="1"/>
    </xf>
    <xf numFmtId="0" fontId="78" fillId="0" borderId="2" xfId="0" applyFont="1" applyFill="1" applyBorder="1" applyAlignment="1" applyProtection="1">
      <alignment wrapText="1"/>
    </xf>
    <xf numFmtId="0" fontId="25" fillId="0" borderId="2" xfId="0" applyFont="1" applyFill="1" applyBorder="1" applyAlignment="1" applyProtection="1">
      <alignment wrapText="1"/>
    </xf>
    <xf numFmtId="0" fontId="74" fillId="0" borderId="2" xfId="0" applyFont="1" applyFill="1" applyBorder="1" applyAlignment="1" applyProtection="1">
      <alignment wrapText="1"/>
    </xf>
    <xf numFmtId="0" fontId="36" fillId="0" borderId="2" xfId="0" applyFont="1" applyFill="1" applyBorder="1" applyAlignment="1" applyProtection="1">
      <alignment wrapText="1"/>
    </xf>
    <xf numFmtId="0" fontId="47" fillId="0" borderId="2" xfId="0" applyFont="1" applyFill="1" applyBorder="1" applyAlignment="1" applyProtection="1">
      <alignment wrapText="1"/>
    </xf>
    <xf numFmtId="0" fontId="78" fillId="0" borderId="2" xfId="0" applyFont="1" applyFill="1" applyBorder="1" applyAlignment="1" applyProtection="1">
      <alignment horizontal="left" wrapText="1"/>
    </xf>
    <xf numFmtId="0" fontId="74" fillId="0" borderId="2" xfId="0" applyFont="1" applyFill="1" applyBorder="1" applyAlignment="1" applyProtection="1">
      <alignment horizontal="left" wrapText="1"/>
    </xf>
    <xf numFmtId="0" fontId="36" fillId="0" borderId="2" xfId="0" applyFont="1" applyFill="1" applyBorder="1" applyAlignment="1" applyProtection="1">
      <alignment horizontal="left" wrapText="1"/>
    </xf>
    <xf numFmtId="0" fontId="46" fillId="0" borderId="2" xfId="0" applyFont="1" applyFill="1" applyBorder="1" applyAlignment="1" applyProtection="1">
      <alignment wrapText="1"/>
    </xf>
    <xf numFmtId="0" fontId="86" fillId="0" borderId="2" xfId="0" applyFont="1" applyFill="1" applyBorder="1" applyAlignment="1" applyProtection="1">
      <alignment wrapText="1"/>
    </xf>
    <xf numFmtId="0" fontId="9" fillId="0" borderId="14" xfId="0" applyFont="1" applyBorder="1" applyAlignment="1">
      <alignment horizontal="center" vertical="justify"/>
    </xf>
    <xf numFmtId="0" fontId="9" fillId="0" borderId="3" xfId="0" applyFont="1" applyBorder="1" applyAlignment="1">
      <alignment horizontal="center" vertical="justify"/>
    </xf>
    <xf numFmtId="2" fontId="32" fillId="0" borderId="39" xfId="0" applyNumberFormat="1" applyFont="1" applyFill="1" applyBorder="1" applyAlignment="1" applyProtection="1">
      <alignment horizontal="center" vertical="center"/>
    </xf>
    <xf numFmtId="2" fontId="92" fillId="0" borderId="2" xfId="0" applyNumberFormat="1" applyFont="1" applyFill="1" applyBorder="1" applyAlignment="1" applyProtection="1">
      <alignment horizontal="left" wrapText="1"/>
    </xf>
    <xf numFmtId="0" fontId="92" fillId="0" borderId="2" xfId="0" applyFont="1" applyBorder="1" applyAlignment="1">
      <alignment wrapText="1"/>
    </xf>
    <xf numFmtId="0" fontId="9" fillId="0" borderId="46" xfId="0" applyFont="1" applyBorder="1" applyAlignment="1">
      <alignment horizontal="center" vertical="justify" readingOrder="1"/>
    </xf>
    <xf numFmtId="174" fontId="82" fillId="0" borderId="10" xfId="0" applyNumberFormat="1" applyFont="1" applyFill="1" applyBorder="1" applyAlignment="1" applyProtection="1">
      <alignment horizontal="center"/>
    </xf>
    <xf numFmtId="174" fontId="66" fillId="0" borderId="10" xfId="0" applyNumberFormat="1" applyFont="1" applyFill="1" applyBorder="1" applyAlignment="1" applyProtection="1">
      <alignment horizontal="center"/>
    </xf>
    <xf numFmtId="169" fontId="9" fillId="3" borderId="10" xfId="0" applyNumberFormat="1" applyFont="1" applyFill="1" applyBorder="1" applyAlignment="1">
      <alignment horizontal="center"/>
    </xf>
    <xf numFmtId="165" fontId="13" fillId="0" borderId="9" xfId="0" applyNumberFormat="1" applyFont="1" applyFill="1" applyBorder="1" applyAlignment="1" applyProtection="1">
      <alignment horizontal="left" vertical="center"/>
    </xf>
    <xf numFmtId="165" fontId="13" fillId="0" borderId="13" xfId="0" applyNumberFormat="1" applyFont="1" applyFill="1" applyBorder="1" applyAlignment="1" applyProtection="1">
      <alignment horizontal="left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9" fillId="0" borderId="2" xfId="0" applyNumberFormat="1" applyFont="1" applyBorder="1" applyAlignment="1">
      <alignment horizontal="center" vertical="justify"/>
    </xf>
    <xf numFmtId="1" fontId="9" fillId="0" borderId="13" xfId="0" applyNumberFormat="1" applyFont="1" applyFill="1" applyBorder="1" applyAlignment="1" applyProtection="1">
      <alignment horizontal="center" vertical="center"/>
    </xf>
    <xf numFmtId="2" fontId="9" fillId="0" borderId="39" xfId="0" applyNumberFormat="1" applyFont="1" applyFill="1" applyBorder="1" applyAlignment="1" applyProtection="1">
      <alignment horizontal="center" vertical="center"/>
    </xf>
    <xf numFmtId="2" fontId="13" fillId="0" borderId="9" xfId="0" applyNumberFormat="1" applyFont="1" applyFill="1" applyBorder="1" applyAlignment="1" applyProtection="1">
      <alignment horizontal="center" vertical="center"/>
    </xf>
    <xf numFmtId="2" fontId="13" fillId="0" borderId="39" xfId="0" applyNumberFormat="1" applyFont="1" applyFill="1" applyBorder="1" applyAlignment="1" applyProtection="1">
      <alignment horizontal="center" vertical="center"/>
    </xf>
    <xf numFmtId="174" fontId="71" fillId="4" borderId="43" xfId="0" applyNumberFormat="1" applyFont="1" applyFill="1" applyBorder="1" applyAlignment="1" applyProtection="1">
      <alignment horizontal="center" vertical="center"/>
    </xf>
    <xf numFmtId="174" fontId="71" fillId="3" borderId="43" xfId="0" applyNumberFormat="1" applyFont="1" applyFill="1" applyBorder="1" applyAlignment="1" applyProtection="1">
      <alignment horizontal="center" vertical="center"/>
    </xf>
    <xf numFmtId="174" fontId="71" fillId="0" borderId="42" xfId="0" applyNumberFormat="1" applyFont="1" applyFill="1" applyBorder="1" applyAlignment="1" applyProtection="1">
      <alignment horizontal="center"/>
    </xf>
    <xf numFmtId="174" fontId="71" fillId="0" borderId="43" xfId="0" applyNumberFormat="1" applyFont="1" applyFill="1" applyBorder="1" applyAlignment="1" applyProtection="1">
      <alignment horizontal="center"/>
    </xf>
    <xf numFmtId="174" fontId="66" fillId="0" borderId="43" xfId="0" applyNumberFormat="1" applyFont="1" applyFill="1" applyBorder="1" applyAlignment="1" applyProtection="1">
      <alignment horizontal="center"/>
    </xf>
    <xf numFmtId="174" fontId="71" fillId="0" borderId="43" xfId="0" applyNumberFormat="1" applyFont="1" applyFill="1" applyBorder="1" applyAlignment="1">
      <alignment horizontal="center"/>
    </xf>
    <xf numFmtId="174" fontId="66" fillId="0" borderId="43" xfId="0" applyNumberFormat="1" applyFont="1" applyFill="1" applyBorder="1" applyAlignment="1">
      <alignment horizontal="center"/>
    </xf>
    <xf numFmtId="2" fontId="8" fillId="0" borderId="2" xfId="0" quotePrefix="1" applyNumberFormat="1" applyFont="1" applyFill="1" applyBorder="1" applyAlignment="1" applyProtection="1">
      <alignment horizontal="center"/>
    </xf>
    <xf numFmtId="1" fontId="6" fillId="0" borderId="2" xfId="0" applyNumberFormat="1" applyFont="1" applyFill="1" applyBorder="1" applyAlignment="1">
      <alignment horizontal="center"/>
    </xf>
    <xf numFmtId="2" fontId="13" fillId="0" borderId="38" xfId="0" applyNumberFormat="1" applyFont="1" applyFill="1" applyBorder="1" applyAlignment="1">
      <alignment horizontal="center" vertical="center"/>
    </xf>
    <xf numFmtId="2" fontId="13" fillId="0" borderId="47" xfId="0" applyNumberFormat="1" applyFont="1" applyFill="1" applyBorder="1" applyAlignment="1">
      <alignment horizontal="center" vertical="center"/>
    </xf>
    <xf numFmtId="2" fontId="13" fillId="0" borderId="10" xfId="0" applyNumberFormat="1" applyFont="1" applyFill="1" applyBorder="1" applyAlignment="1" applyProtection="1">
      <alignment horizontal="center" vertical="center" shrinkToFit="1"/>
    </xf>
    <xf numFmtId="174" fontId="83" fillId="3" borderId="10" xfId="0" applyNumberFormat="1" applyFont="1" applyFill="1" applyBorder="1" applyAlignment="1" applyProtection="1">
      <alignment horizontal="center" vertical="center"/>
    </xf>
    <xf numFmtId="174" fontId="71" fillId="3" borderId="58" xfId="0" applyNumberFormat="1" applyFont="1" applyFill="1" applyBorder="1" applyAlignment="1" applyProtection="1">
      <alignment horizontal="center" vertical="center"/>
    </xf>
    <xf numFmtId="2" fontId="8" fillId="0" borderId="14" xfId="0" applyNumberFormat="1" applyFont="1" applyFill="1" applyBorder="1" applyAlignment="1">
      <alignment horizontal="center" vertical="center"/>
    </xf>
    <xf numFmtId="2" fontId="8" fillId="0" borderId="59" xfId="0" applyNumberFormat="1" applyFont="1" applyFill="1" applyBorder="1" applyAlignment="1">
      <alignment horizontal="center" vertical="center"/>
    </xf>
    <xf numFmtId="2" fontId="8" fillId="0" borderId="42" xfId="0" applyNumberFormat="1" applyFont="1" applyFill="1" applyBorder="1" applyAlignment="1" applyProtection="1">
      <alignment horizontal="center" vertical="center" shrinkToFit="1"/>
    </xf>
    <xf numFmtId="1" fontId="8" fillId="0" borderId="59" xfId="0" applyNumberFormat="1" applyFont="1" applyFill="1" applyBorder="1" applyAlignment="1" applyProtection="1">
      <alignment horizontal="center"/>
    </xf>
    <xf numFmtId="174" fontId="8" fillId="0" borderId="59" xfId="0" applyNumberFormat="1" applyFont="1" applyFill="1" applyBorder="1" applyAlignment="1" applyProtection="1">
      <alignment horizontal="center"/>
    </xf>
    <xf numFmtId="174" fontId="8" fillId="0" borderId="42" xfId="0" applyNumberFormat="1" applyFont="1" applyFill="1" applyBorder="1" applyAlignment="1" applyProtection="1">
      <alignment horizontal="center"/>
    </xf>
    <xf numFmtId="174" fontId="9" fillId="0" borderId="42" xfId="0" applyNumberFormat="1" applyFont="1" applyFill="1" applyBorder="1" applyAlignment="1" applyProtection="1">
      <alignment horizontal="center"/>
    </xf>
    <xf numFmtId="174" fontId="50" fillId="0" borderId="42" xfId="0" applyNumberFormat="1" applyFont="1" applyFill="1" applyBorder="1" applyAlignment="1" applyProtection="1">
      <alignment horizontal="center"/>
    </xf>
    <xf numFmtId="174" fontId="83" fillId="0" borderId="42" xfId="0" applyNumberFormat="1" applyFont="1" applyFill="1" applyBorder="1" applyAlignment="1" applyProtection="1">
      <alignment horizontal="center"/>
    </xf>
    <xf numFmtId="174" fontId="70" fillId="0" borderId="42" xfId="0" applyNumberFormat="1" applyFont="1" applyFill="1" applyBorder="1" applyAlignment="1" applyProtection="1">
      <alignment horizontal="center"/>
    </xf>
    <xf numFmtId="1" fontId="6" fillId="0" borderId="3" xfId="0" applyNumberFormat="1" applyFont="1" applyFill="1" applyBorder="1" applyAlignment="1" applyProtection="1">
      <alignment horizontal="center"/>
    </xf>
    <xf numFmtId="2" fontId="6" fillId="0" borderId="3" xfId="0" applyNumberFormat="1" applyFont="1" applyFill="1" applyBorder="1" applyAlignment="1" applyProtection="1">
      <alignment horizontal="center"/>
    </xf>
    <xf numFmtId="2" fontId="13" fillId="0" borderId="12" xfId="0" applyNumberFormat="1" applyFont="1" applyFill="1" applyBorder="1" applyAlignment="1">
      <alignment horizontal="center" vertical="center"/>
    </xf>
    <xf numFmtId="2" fontId="13" fillId="0" borderId="13" xfId="0" applyNumberFormat="1" applyFont="1" applyFill="1" applyBorder="1" applyAlignment="1">
      <alignment horizontal="center" vertical="center"/>
    </xf>
    <xf numFmtId="2" fontId="13" fillId="0" borderId="13" xfId="0" applyNumberFormat="1" applyFont="1" applyFill="1" applyBorder="1" applyAlignment="1" applyProtection="1">
      <alignment horizontal="center" vertical="center" shrinkToFit="1"/>
    </xf>
    <xf numFmtId="1" fontId="11" fillId="0" borderId="2" xfId="0" applyNumberFormat="1" applyFont="1" applyFill="1" applyBorder="1" applyAlignment="1" applyProtection="1">
      <alignment horizontal="center"/>
    </xf>
    <xf numFmtId="2" fontId="11" fillId="0" borderId="2" xfId="0" applyNumberFormat="1" applyFont="1" applyFill="1" applyBorder="1" applyAlignment="1" applyProtection="1">
      <alignment horizontal="center"/>
    </xf>
    <xf numFmtId="2" fontId="11" fillId="0" borderId="6" xfId="0" applyNumberFormat="1" applyFont="1" applyBorder="1" applyAlignment="1">
      <alignment horizontal="center"/>
    </xf>
    <xf numFmtId="1" fontId="13" fillId="0" borderId="2" xfId="0" applyNumberFormat="1" applyFont="1" applyFill="1" applyBorder="1" applyAlignment="1" applyProtection="1">
      <alignment horizontal="center"/>
    </xf>
    <xf numFmtId="2" fontId="13" fillId="0" borderId="2" xfId="0" applyNumberFormat="1" applyFont="1" applyFill="1" applyBorder="1" applyAlignment="1" applyProtection="1">
      <alignment horizontal="center"/>
    </xf>
    <xf numFmtId="2" fontId="13" fillId="0" borderId="6" xfId="0" applyNumberFormat="1" applyFont="1" applyBorder="1" applyAlignment="1">
      <alignment horizontal="center"/>
    </xf>
    <xf numFmtId="1" fontId="11" fillId="0" borderId="2" xfId="0" applyNumberFormat="1" applyFont="1" applyFill="1" applyBorder="1" applyAlignment="1">
      <alignment horizontal="center"/>
    </xf>
    <xf numFmtId="1" fontId="15" fillId="0" borderId="2" xfId="0" applyNumberFormat="1" applyFont="1" applyFill="1" applyBorder="1" applyAlignment="1" applyProtection="1">
      <alignment horizontal="center"/>
    </xf>
    <xf numFmtId="2" fontId="15" fillId="0" borderId="2" xfId="0" applyNumberFormat="1" applyFont="1" applyFill="1" applyBorder="1" applyAlignment="1" applyProtection="1">
      <alignment horizontal="center"/>
    </xf>
    <xf numFmtId="2" fontId="15" fillId="0" borderId="6" xfId="0" applyNumberFormat="1" applyFont="1" applyBorder="1" applyAlignment="1">
      <alignment horizontal="center"/>
    </xf>
    <xf numFmtId="2" fontId="11" fillId="0" borderId="2" xfId="0" applyNumberFormat="1" applyFont="1" applyFill="1" applyBorder="1" applyAlignment="1">
      <alignment horizontal="center"/>
    </xf>
    <xf numFmtId="1" fontId="13" fillId="0" borderId="2" xfId="0" applyNumberFormat="1" applyFont="1" applyFill="1" applyBorder="1" applyAlignment="1">
      <alignment horizontal="center"/>
    </xf>
    <xf numFmtId="2" fontId="13" fillId="0" borderId="2" xfId="0" applyNumberFormat="1" applyFont="1" applyFill="1" applyBorder="1" applyAlignment="1">
      <alignment horizontal="center"/>
    </xf>
    <xf numFmtId="2" fontId="13" fillId="0" borderId="14" xfId="0" applyNumberFormat="1" applyFont="1" applyFill="1" applyBorder="1" applyAlignment="1">
      <alignment horizontal="center" vertical="center"/>
    </xf>
    <xf numFmtId="2" fontId="13" fillId="0" borderId="55" xfId="0" applyNumberFormat="1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 applyProtection="1">
      <alignment horizontal="center" vertical="center" shrinkToFit="1"/>
    </xf>
    <xf numFmtId="0" fontId="32" fillId="4" borderId="3" xfId="0" applyFont="1" applyFill="1" applyBorder="1" applyAlignment="1" applyProtection="1">
      <alignment horizontal="right" vertical="center"/>
    </xf>
    <xf numFmtId="0" fontId="9" fillId="4" borderId="3" xfId="0" applyFont="1" applyFill="1" applyBorder="1" applyAlignment="1" applyProtection="1">
      <alignment horizontal="center" vertical="center"/>
    </xf>
    <xf numFmtId="174" fontId="71" fillId="4" borderId="42" xfId="0" applyNumberFormat="1" applyFont="1" applyFill="1" applyBorder="1" applyAlignment="1" applyProtection="1">
      <alignment horizontal="center" vertical="center"/>
    </xf>
    <xf numFmtId="2" fontId="13" fillId="0" borderId="37" xfId="0" applyNumberFormat="1" applyFont="1" applyFill="1" applyBorder="1" applyAlignment="1" applyProtection="1">
      <alignment horizontal="center" vertical="center"/>
    </xf>
    <xf numFmtId="169" fontId="9" fillId="0" borderId="13" xfId="0" applyNumberFormat="1" applyFont="1" applyFill="1" applyBorder="1" applyAlignment="1" applyProtection="1">
      <alignment horizontal="center" vertical="center"/>
    </xf>
    <xf numFmtId="168" fontId="9" fillId="0" borderId="39" xfId="0" applyNumberFormat="1" applyFont="1" applyFill="1" applyBorder="1" applyAlignment="1" applyProtection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2" fontId="7" fillId="0" borderId="60" xfId="0" applyNumberFormat="1" applyFont="1" applyFill="1" applyBorder="1" applyAlignment="1">
      <alignment horizontal="center" vertical="center"/>
    </xf>
    <xf numFmtId="2" fontId="7" fillId="0" borderId="44" xfId="0" applyNumberFormat="1" applyFont="1" applyFill="1" applyBorder="1" applyAlignment="1">
      <alignment horizontal="center" vertical="center"/>
    </xf>
    <xf numFmtId="2" fontId="7" fillId="0" borderId="61" xfId="0" applyNumberFormat="1" applyFont="1" applyFill="1" applyBorder="1" applyAlignment="1">
      <alignment horizontal="center" vertical="center"/>
    </xf>
    <xf numFmtId="165" fontId="6" fillId="0" borderId="5" xfId="0" applyNumberFormat="1" applyFont="1" applyFill="1" applyBorder="1" applyAlignment="1">
      <alignment horizontal="center"/>
    </xf>
    <xf numFmtId="167" fontId="6" fillId="0" borderId="7" xfId="0" applyNumberFormat="1" applyFont="1" applyFill="1" applyBorder="1" applyAlignment="1">
      <alignment horizontal="center"/>
    </xf>
    <xf numFmtId="168" fontId="32" fillId="0" borderId="39" xfId="0" applyNumberFormat="1" applyFont="1" applyFill="1" applyBorder="1" applyAlignment="1" applyProtection="1">
      <alignment horizontal="center" vertical="center"/>
    </xf>
    <xf numFmtId="167" fontId="13" fillId="0" borderId="7" xfId="0" applyNumberFormat="1" applyFont="1" applyBorder="1" applyAlignment="1">
      <alignment horizontal="center" vertical="center"/>
    </xf>
    <xf numFmtId="167" fontId="13" fillId="0" borderId="6" xfId="0" applyNumberFormat="1" applyFont="1" applyBorder="1" applyAlignment="1">
      <alignment horizontal="center" vertical="center"/>
    </xf>
    <xf numFmtId="167" fontId="13" fillId="0" borderId="16" xfId="0" applyNumberFormat="1" applyFont="1" applyBorder="1" applyAlignment="1">
      <alignment horizontal="center" vertical="center"/>
    </xf>
    <xf numFmtId="167" fontId="13" fillId="0" borderId="39" xfId="0" applyNumberFormat="1" applyFont="1" applyFill="1" applyBorder="1" applyAlignment="1" applyProtection="1">
      <alignment horizontal="center" vertical="center"/>
    </xf>
    <xf numFmtId="174" fontId="67" fillId="0" borderId="13" xfId="0" applyNumberFormat="1" applyFont="1" applyFill="1" applyBorder="1" applyAlignment="1" applyProtection="1">
      <alignment horizontal="center" vertical="center"/>
    </xf>
    <xf numFmtId="174" fontId="11" fillId="0" borderId="13" xfId="0" applyNumberFormat="1" applyFont="1" applyFill="1" applyBorder="1" applyAlignment="1" applyProtection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2" fontId="45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0" fontId="0" fillId="0" borderId="0" xfId="0" applyBorder="1"/>
    <xf numFmtId="0" fontId="7" fillId="0" borderId="17" xfId="0" applyFont="1" applyBorder="1" applyAlignment="1" applyProtection="1">
      <alignment horizontal="left"/>
    </xf>
    <xf numFmtId="168" fontId="13" fillId="0" borderId="37" xfId="0" applyNumberFormat="1" applyFont="1" applyFill="1" applyBorder="1" applyAlignment="1" applyProtection="1">
      <alignment horizontal="center" vertical="center"/>
    </xf>
    <xf numFmtId="168" fontId="13" fillId="0" borderId="6" xfId="0" applyNumberFormat="1" applyFont="1" applyFill="1" applyBorder="1" applyAlignment="1" applyProtection="1">
      <alignment horizontal="center" vertical="center"/>
    </xf>
    <xf numFmtId="168" fontId="13" fillId="0" borderId="39" xfId="0" applyNumberFormat="1" applyFont="1" applyFill="1" applyBorder="1" applyAlignment="1" applyProtection="1">
      <alignment horizontal="center" vertical="center"/>
    </xf>
    <xf numFmtId="0" fontId="8" fillId="0" borderId="37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44" fillId="0" borderId="6" xfId="0" applyFont="1" applyFill="1" applyBorder="1" applyAlignment="1">
      <alignment horizontal="center"/>
    </xf>
    <xf numFmtId="167" fontId="13" fillId="0" borderId="37" xfId="0" applyNumberFormat="1" applyFont="1" applyFill="1" applyBorder="1" applyAlignment="1" applyProtection="1">
      <alignment horizontal="center" vertical="center"/>
    </xf>
    <xf numFmtId="167" fontId="13" fillId="0" borderId="9" xfId="0" applyNumberFormat="1" applyFont="1" applyFill="1" applyBorder="1" applyAlignment="1" applyProtection="1">
      <alignment horizontal="center" vertical="center"/>
    </xf>
    <xf numFmtId="168" fontId="51" fillId="0" borderId="7" xfId="0" applyNumberFormat="1" applyFont="1" applyFill="1" applyBorder="1" applyAlignment="1" applyProtection="1">
      <alignment horizontal="center" vertical="center"/>
    </xf>
    <xf numFmtId="168" fontId="51" fillId="0" borderId="6" xfId="0" applyNumberFormat="1" applyFont="1" applyFill="1" applyBorder="1" applyAlignment="1" applyProtection="1">
      <alignment horizontal="center" vertical="center"/>
    </xf>
    <xf numFmtId="168" fontId="51" fillId="0" borderId="39" xfId="0" applyNumberFormat="1" applyFont="1" applyFill="1" applyBorder="1" applyAlignment="1" applyProtection="1">
      <alignment horizontal="center" vertical="center"/>
    </xf>
    <xf numFmtId="49" fontId="13" fillId="0" borderId="13" xfId="0" applyNumberFormat="1" applyFont="1" applyFill="1" applyBorder="1" applyAlignment="1" applyProtection="1">
      <alignment horizontal="center" vertical="center"/>
    </xf>
    <xf numFmtId="167" fontId="9" fillId="0" borderId="6" xfId="0" applyNumberFormat="1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69" fontId="32" fillId="0" borderId="13" xfId="0" applyNumberFormat="1" applyFont="1" applyBorder="1" applyAlignment="1">
      <alignment horizontal="center" vertical="center"/>
    </xf>
    <xf numFmtId="169" fontId="81" fillId="0" borderId="13" xfId="0" applyNumberFormat="1" applyFont="1" applyBorder="1" applyAlignment="1">
      <alignment horizontal="center" vertical="center"/>
    </xf>
    <xf numFmtId="169" fontId="70" fillId="0" borderId="13" xfId="0" applyNumberFormat="1" applyFont="1" applyBorder="1" applyAlignment="1">
      <alignment horizontal="center" vertical="center"/>
    </xf>
    <xf numFmtId="169" fontId="71" fillId="0" borderId="13" xfId="0" applyNumberFormat="1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/>
    </xf>
    <xf numFmtId="167" fontId="13" fillId="0" borderId="39" xfId="0" applyNumberFormat="1" applyFont="1" applyBorder="1" applyAlignment="1">
      <alignment horizontal="center" vertical="center"/>
    </xf>
    <xf numFmtId="165" fontId="13" fillId="0" borderId="39" xfId="0" applyNumberFormat="1" applyFont="1" applyFill="1" applyBorder="1" applyAlignment="1" applyProtection="1">
      <alignment horizontal="left" vertical="center"/>
    </xf>
    <xf numFmtId="2" fontId="32" fillId="0" borderId="6" xfId="0" applyNumberFormat="1" applyFont="1" applyFill="1" applyBorder="1" applyAlignment="1" applyProtection="1">
      <alignment horizontal="center"/>
      <protection locked="0"/>
    </xf>
    <xf numFmtId="2" fontId="32" fillId="0" borderId="6" xfId="0" applyNumberFormat="1" applyFont="1" applyFill="1" applyBorder="1" applyAlignment="1" applyProtection="1">
      <alignment horizontal="center"/>
    </xf>
    <xf numFmtId="2" fontId="32" fillId="0" borderId="6" xfId="0" applyNumberFormat="1" applyFont="1" applyFill="1" applyBorder="1" applyAlignment="1" applyProtection="1">
      <alignment horizontal="left"/>
      <protection locked="0"/>
    </xf>
    <xf numFmtId="2" fontId="32" fillId="0" borderId="6" xfId="0" applyNumberFormat="1" applyFont="1" applyFill="1" applyBorder="1"/>
    <xf numFmtId="2" fontId="32" fillId="0" borderId="6" xfId="0" applyNumberFormat="1" applyFont="1" applyFill="1" applyBorder="1" applyAlignment="1">
      <alignment horizontal="left"/>
    </xf>
    <xf numFmtId="2" fontId="32" fillId="0" borderId="6" xfId="0" applyNumberFormat="1" applyFont="1" applyFill="1" applyBorder="1" applyAlignment="1">
      <alignment horizontal="center"/>
    </xf>
    <xf numFmtId="2" fontId="32" fillId="0" borderId="39" xfId="0" applyNumberFormat="1" applyFont="1" applyFill="1" applyBorder="1" applyAlignment="1" applyProtection="1">
      <alignment horizontal="center" vertical="center"/>
      <protection locked="0"/>
    </xf>
    <xf numFmtId="0" fontId="7" fillId="0" borderId="7" xfId="0" applyNumberFormat="1" applyFont="1" applyBorder="1" applyAlignment="1">
      <alignment horizontal="center" vertical="center"/>
    </xf>
    <xf numFmtId="0" fontId="9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6" xfId="0" applyNumberFormat="1" applyFont="1" applyBorder="1" applyAlignment="1">
      <alignment horizontal="center" vertical="center"/>
    </xf>
    <xf numFmtId="0" fontId="9" fillId="0" borderId="9" xfId="0" applyNumberFormat="1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9" fillId="0" borderId="46" xfId="0" applyFont="1" applyBorder="1" applyAlignment="1">
      <alignment horizontal="center"/>
    </xf>
    <xf numFmtId="0" fontId="8" fillId="0" borderId="7" xfId="0" applyFont="1" applyFill="1" applyBorder="1" applyAlignment="1" applyProtection="1">
      <alignment horizontal="center"/>
      <protection locked="0"/>
    </xf>
    <xf numFmtId="2" fontId="8" fillId="0" borderId="5" xfId="0" applyNumberFormat="1" applyFont="1" applyFill="1" applyBorder="1" applyAlignment="1" applyProtection="1">
      <alignment horizontal="center"/>
      <protection locked="0"/>
    </xf>
    <xf numFmtId="0" fontId="13" fillId="0" borderId="7" xfId="0" applyFont="1" applyFill="1" applyBorder="1" applyAlignment="1" applyProtection="1">
      <alignment horizontal="center" vertical="center"/>
    </xf>
    <xf numFmtId="0" fontId="13" fillId="0" borderId="6" xfId="0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 applyProtection="1">
      <alignment horizontal="center" vertical="center"/>
    </xf>
    <xf numFmtId="0" fontId="13" fillId="0" borderId="39" xfId="0" applyFont="1" applyFill="1" applyBorder="1" applyAlignment="1" applyProtection="1">
      <alignment horizontal="center" vertical="center"/>
    </xf>
    <xf numFmtId="168" fontId="13" fillId="0" borderId="7" xfId="0" applyNumberFormat="1" applyFont="1" applyFill="1" applyBorder="1" applyAlignment="1" applyProtection="1">
      <alignment horizontal="center" vertical="center"/>
    </xf>
    <xf numFmtId="168" fontId="13" fillId="0" borderId="41" xfId="0" applyNumberFormat="1" applyFont="1" applyFill="1" applyBorder="1" applyAlignment="1" applyProtection="1">
      <alignment horizontal="center" vertical="center"/>
    </xf>
    <xf numFmtId="0" fontId="8" fillId="0" borderId="37" xfId="0" applyFont="1" applyFill="1" applyBorder="1" applyAlignment="1" applyProtection="1">
      <alignment horizontal="center"/>
    </xf>
    <xf numFmtId="0" fontId="19" fillId="0" borderId="6" xfId="0" applyFont="1" applyBorder="1"/>
    <xf numFmtId="2" fontId="13" fillId="0" borderId="7" xfId="0" applyNumberFormat="1" applyFont="1" applyBorder="1" applyAlignment="1">
      <alignment horizontal="center" vertical="center"/>
    </xf>
    <xf numFmtId="2" fontId="13" fillId="0" borderId="6" xfId="0" applyNumberFormat="1" applyFont="1" applyBorder="1" applyAlignment="1">
      <alignment horizontal="center" vertical="center"/>
    </xf>
    <xf numFmtId="2" fontId="13" fillId="0" borderId="9" xfId="0" applyNumberFormat="1" applyFont="1" applyBorder="1" applyAlignment="1">
      <alignment horizontal="center" vertical="center"/>
    </xf>
    <xf numFmtId="2" fontId="13" fillId="0" borderId="39" xfId="0" applyNumberFormat="1" applyFont="1" applyBorder="1" applyAlignment="1">
      <alignment horizontal="center" vertical="center"/>
    </xf>
    <xf numFmtId="168" fontId="13" fillId="0" borderId="7" xfId="0" applyNumberFormat="1" applyFont="1" applyFill="1" applyBorder="1" applyAlignment="1" applyProtection="1">
      <alignment horizontal="center" vertical="center" wrapText="1"/>
    </xf>
    <xf numFmtId="168" fontId="13" fillId="0" borderId="6" xfId="0" applyNumberFormat="1" applyFont="1" applyFill="1" applyBorder="1" applyAlignment="1" applyProtection="1">
      <alignment horizontal="center" vertical="center" wrapText="1"/>
    </xf>
    <xf numFmtId="168" fontId="13" fillId="0" borderId="9" xfId="0" applyNumberFormat="1" applyFont="1" applyFill="1" applyBorder="1" applyAlignment="1" applyProtection="1">
      <alignment horizontal="center" vertical="center" wrapText="1"/>
    </xf>
    <xf numFmtId="168" fontId="13" fillId="0" borderId="39" xfId="0" applyNumberFormat="1" applyFont="1" applyFill="1" applyBorder="1" applyAlignment="1" applyProtection="1">
      <alignment horizontal="center" vertical="center" wrapText="1"/>
    </xf>
    <xf numFmtId="168" fontId="13" fillId="0" borderId="7" xfId="0" applyNumberFormat="1" applyFont="1" applyBorder="1" applyAlignment="1">
      <alignment horizontal="center" vertical="center" wrapText="1"/>
    </xf>
    <xf numFmtId="168" fontId="9" fillId="0" borderId="6" xfId="0" applyNumberFormat="1" applyFont="1" applyFill="1" applyBorder="1" applyAlignment="1">
      <alignment horizontal="center" vertical="center" wrapText="1"/>
    </xf>
    <xf numFmtId="168" fontId="7" fillId="0" borderId="6" xfId="0" applyNumberFormat="1" applyFont="1" applyFill="1" applyBorder="1" applyAlignment="1">
      <alignment horizontal="center" vertical="center" wrapText="1"/>
    </xf>
    <xf numFmtId="168" fontId="32" fillId="0" borderId="39" xfId="0" applyNumberFormat="1" applyFont="1" applyFill="1" applyBorder="1" applyAlignment="1" applyProtection="1">
      <alignment horizontal="center" vertical="center" wrapText="1"/>
    </xf>
    <xf numFmtId="168" fontId="32" fillId="0" borderId="3" xfId="0" applyNumberFormat="1" applyFont="1" applyFill="1" applyBorder="1" applyAlignment="1" applyProtection="1">
      <alignment horizontal="center" vertical="center"/>
    </xf>
    <xf numFmtId="166" fontId="32" fillId="0" borderId="3" xfId="0" applyNumberFormat="1" applyFont="1" applyFill="1" applyBorder="1" applyAlignment="1" applyProtection="1">
      <alignment horizontal="center" vertical="center"/>
    </xf>
    <xf numFmtId="168" fontId="32" fillId="0" borderId="2" xfId="0" applyNumberFormat="1" applyFont="1" applyFill="1" applyBorder="1" applyAlignment="1" applyProtection="1">
      <alignment horizontal="center" vertical="center"/>
    </xf>
    <xf numFmtId="166" fontId="32" fillId="0" borderId="2" xfId="0" applyNumberFormat="1" applyFont="1" applyFill="1" applyBorder="1" applyAlignment="1" applyProtection="1">
      <alignment horizontal="center" vertical="center"/>
    </xf>
    <xf numFmtId="165" fontId="32" fillId="0" borderId="2" xfId="0" applyNumberFormat="1" applyFont="1" applyFill="1" applyBorder="1" applyAlignment="1" applyProtection="1">
      <alignment horizontal="center" vertical="center"/>
    </xf>
    <xf numFmtId="166" fontId="32" fillId="0" borderId="3" xfId="0" applyNumberFormat="1" applyFont="1" applyFill="1" applyBorder="1"/>
    <xf numFmtId="166" fontId="32" fillId="0" borderId="2" xfId="0" applyNumberFormat="1" applyFont="1" applyFill="1" applyBorder="1" applyAlignment="1">
      <alignment horizontal="center"/>
    </xf>
    <xf numFmtId="1" fontId="32" fillId="0" borderId="5" xfId="0" applyNumberFormat="1" applyFont="1" applyFill="1" applyBorder="1" applyAlignment="1" applyProtection="1">
      <alignment horizontal="center" vertical="center"/>
    </xf>
    <xf numFmtId="2" fontId="32" fillId="0" borderId="5" xfId="0" applyNumberFormat="1" applyFont="1" applyFill="1" applyBorder="1" applyAlignment="1" applyProtection="1">
      <alignment horizontal="center" vertical="center"/>
    </xf>
    <xf numFmtId="49" fontId="32" fillId="0" borderId="5" xfId="0" applyNumberFormat="1" applyFont="1" applyFill="1" applyBorder="1" applyAlignment="1" applyProtection="1">
      <alignment horizontal="center" vertical="center"/>
    </xf>
    <xf numFmtId="1" fontId="32" fillId="0" borderId="2" xfId="0" applyNumberFormat="1" applyFont="1" applyFill="1" applyBorder="1" applyAlignment="1" applyProtection="1">
      <alignment horizontal="center" vertical="center"/>
    </xf>
    <xf numFmtId="2" fontId="32" fillId="0" borderId="2" xfId="0" applyNumberFormat="1" applyFont="1" applyFill="1" applyBorder="1" applyAlignment="1" applyProtection="1">
      <alignment horizontal="center" vertical="center"/>
    </xf>
    <xf numFmtId="49" fontId="32" fillId="0" borderId="2" xfId="0" applyNumberFormat="1" applyFont="1" applyFill="1" applyBorder="1" applyAlignment="1" applyProtection="1">
      <alignment horizontal="center" vertical="center"/>
    </xf>
    <xf numFmtId="1" fontId="32" fillId="0" borderId="23" xfId="0" applyNumberFormat="1" applyFont="1" applyFill="1" applyBorder="1" applyAlignment="1" applyProtection="1">
      <alignment horizontal="center" vertical="center"/>
    </xf>
    <xf numFmtId="2" fontId="32" fillId="0" borderId="23" xfId="0" applyNumberFormat="1" applyFont="1" applyFill="1" applyBorder="1" applyAlignment="1" applyProtection="1">
      <alignment horizontal="center" vertical="center"/>
    </xf>
    <xf numFmtId="49" fontId="32" fillId="0" borderId="23" xfId="0" applyNumberFormat="1" applyFont="1" applyFill="1" applyBorder="1" applyAlignment="1" applyProtection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2" fontId="32" fillId="0" borderId="5" xfId="0" applyNumberFormat="1" applyFont="1" applyFill="1" applyBorder="1" applyAlignment="1">
      <alignment horizontal="center" vertical="center"/>
    </xf>
    <xf numFmtId="1" fontId="32" fillId="0" borderId="2" xfId="0" applyNumberFormat="1" applyFont="1" applyFill="1" applyBorder="1" applyAlignment="1" applyProtection="1">
      <alignment horizontal="center" vertical="center"/>
      <protection locked="0"/>
    </xf>
    <xf numFmtId="2" fontId="32" fillId="0" borderId="2" xfId="0" applyNumberFormat="1" applyFont="1" applyFill="1" applyBorder="1" applyAlignment="1" applyProtection="1">
      <alignment horizontal="center" vertical="center"/>
      <protection locked="0"/>
    </xf>
    <xf numFmtId="1" fontId="39" fillId="0" borderId="2" xfId="0" applyNumberFormat="1" applyFont="1" applyFill="1" applyBorder="1" applyAlignment="1" applyProtection="1">
      <alignment horizontal="center" vertical="center"/>
      <protection locked="0"/>
    </xf>
    <xf numFmtId="2" fontId="39" fillId="0" borderId="2" xfId="0" applyNumberFormat="1" applyFont="1" applyFill="1" applyBorder="1" applyAlignment="1" applyProtection="1">
      <alignment horizontal="center" vertical="center"/>
      <protection locked="0"/>
    </xf>
    <xf numFmtId="49" fontId="32" fillId="0" borderId="2" xfId="0" applyNumberFormat="1" applyFont="1" applyFill="1" applyBorder="1" applyAlignment="1" applyProtection="1">
      <alignment horizontal="center" vertical="center"/>
      <protection locked="0"/>
    </xf>
    <xf numFmtId="1" fontId="32" fillId="0" borderId="3" xfId="0" applyNumberFormat="1" applyFont="1" applyFill="1" applyBorder="1" applyAlignment="1" applyProtection="1">
      <alignment horizontal="center" vertical="center"/>
    </xf>
    <xf numFmtId="2" fontId="32" fillId="0" borderId="3" xfId="0" applyNumberFormat="1" applyFont="1" applyFill="1" applyBorder="1" applyAlignment="1" applyProtection="1">
      <alignment horizontal="center" vertical="center"/>
    </xf>
    <xf numFmtId="174" fontId="32" fillId="0" borderId="3" xfId="0" applyNumberFormat="1" applyFont="1" applyFill="1" applyBorder="1" applyAlignment="1" applyProtection="1">
      <alignment horizontal="center" vertical="center"/>
    </xf>
    <xf numFmtId="1" fontId="32" fillId="0" borderId="26" xfId="0" applyNumberFormat="1" applyFont="1" applyFill="1" applyBorder="1" applyAlignment="1" applyProtection="1">
      <alignment horizontal="center" vertical="center"/>
    </xf>
    <xf numFmtId="2" fontId="32" fillId="0" borderId="3" xfId="0" applyNumberFormat="1" applyFont="1" applyFill="1" applyBorder="1" applyAlignment="1" applyProtection="1">
      <alignment horizontal="center"/>
    </xf>
    <xf numFmtId="1" fontId="39" fillId="0" borderId="2" xfId="0" applyNumberFormat="1" applyFont="1" applyFill="1" applyBorder="1" applyAlignment="1" applyProtection="1">
      <alignment horizontal="center"/>
      <protection locked="0"/>
    </xf>
    <xf numFmtId="169" fontId="64" fillId="0" borderId="2" xfId="0" applyNumberFormat="1" applyFont="1" applyFill="1" applyBorder="1" applyAlignment="1">
      <alignment horizontal="center" vertical="center" wrapText="1"/>
    </xf>
    <xf numFmtId="169" fontId="62" fillId="0" borderId="2" xfId="0" applyNumberFormat="1" applyFont="1" applyFill="1" applyBorder="1" applyAlignment="1">
      <alignment horizontal="center" vertical="center" wrapText="1"/>
    </xf>
    <xf numFmtId="169" fontId="11" fillId="3" borderId="2" xfId="0" applyNumberFormat="1" applyFont="1" applyFill="1" applyBorder="1" applyAlignment="1" applyProtection="1">
      <alignment horizontal="center" vertical="center"/>
    </xf>
    <xf numFmtId="169" fontId="11" fillId="3" borderId="10" xfId="0" applyNumberFormat="1" applyFont="1" applyFill="1" applyBorder="1" applyAlignment="1" applyProtection="1">
      <alignment horizontal="center" vertical="center"/>
    </xf>
    <xf numFmtId="169" fontId="63" fillId="3" borderId="2" xfId="0" applyNumberFormat="1" applyFont="1" applyFill="1" applyBorder="1" applyAlignment="1" applyProtection="1">
      <alignment horizontal="center" vertical="center"/>
    </xf>
    <xf numFmtId="169" fontId="63" fillId="3" borderId="10" xfId="0" applyNumberFormat="1" applyFont="1" applyFill="1" applyBorder="1" applyAlignment="1" applyProtection="1">
      <alignment horizontal="center" vertical="center"/>
    </xf>
    <xf numFmtId="0" fontId="62" fillId="0" borderId="2" xfId="0" applyFont="1" applyFill="1" applyBorder="1" applyAlignment="1" applyProtection="1">
      <alignment wrapText="1"/>
    </xf>
    <xf numFmtId="0" fontId="94" fillId="0" borderId="0" xfId="0" applyFont="1"/>
    <xf numFmtId="0" fontId="0" fillId="0" borderId="2" xfId="0" applyBorder="1"/>
    <xf numFmtId="0" fontId="0" fillId="0" borderId="6" xfId="0" applyBorder="1"/>
    <xf numFmtId="14" fontId="7" fillId="0" borderId="6" xfId="0" applyNumberFormat="1" applyFont="1" applyBorder="1"/>
    <xf numFmtId="0" fontId="9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14" fontId="7" fillId="0" borderId="2" xfId="0" applyNumberFormat="1" applyFont="1" applyBorder="1" applyAlignment="1">
      <alignment vertical="center"/>
    </xf>
    <xf numFmtId="0" fontId="14" fillId="0" borderId="2" xfId="0" applyFont="1" applyBorder="1"/>
    <xf numFmtId="0" fontId="9" fillId="0" borderId="2" xfId="0" applyFont="1" applyBorder="1" applyAlignment="1">
      <alignment vertical="top" wrapText="1"/>
    </xf>
    <xf numFmtId="174" fontId="95" fillId="0" borderId="0" xfId="0" applyNumberFormat="1" applyFont="1"/>
    <xf numFmtId="174" fontId="6" fillId="0" borderId="0" xfId="0" applyNumberFormat="1" applyFont="1" applyFill="1"/>
    <xf numFmtId="2" fontId="45" fillId="0" borderId="2" xfId="0" applyNumberFormat="1" applyFont="1" applyBorder="1" applyAlignment="1">
      <alignment horizontal="center" vertical="center"/>
    </xf>
    <xf numFmtId="2" fontId="45" fillId="0" borderId="6" xfId="0" applyNumberFormat="1" applyFont="1" applyBorder="1" applyAlignment="1">
      <alignment horizontal="center" vertical="center"/>
    </xf>
    <xf numFmtId="2" fontId="45" fillId="0" borderId="6" xfId="0" applyNumberFormat="1" applyFont="1" applyFill="1" applyBorder="1" applyAlignment="1">
      <alignment horizontal="center" vertical="center"/>
    </xf>
    <xf numFmtId="174" fontId="97" fillId="0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 applyProtection="1">
      <alignment wrapText="1"/>
    </xf>
    <xf numFmtId="174" fontId="54" fillId="0" borderId="2" xfId="0" applyNumberFormat="1" applyFont="1" applyFill="1" applyBorder="1" applyAlignment="1" applyProtection="1">
      <alignment horizontal="center" vertical="center"/>
    </xf>
    <xf numFmtId="174" fontId="97" fillId="0" borderId="2" xfId="0" applyNumberFormat="1" applyFont="1" applyFill="1" applyBorder="1" applyAlignment="1" applyProtection="1">
      <alignment horizontal="center" vertical="center"/>
    </xf>
    <xf numFmtId="174" fontId="29" fillId="0" borderId="0" xfId="0" applyNumberFormat="1" applyFont="1" applyFill="1" applyAlignment="1">
      <alignment horizontal="center" vertical="center"/>
    </xf>
    <xf numFmtId="174" fontId="28" fillId="0" borderId="0" xfId="0" applyNumberFormat="1" applyFont="1" applyAlignment="1">
      <alignment horizontal="center" vertical="center"/>
    </xf>
    <xf numFmtId="174" fontId="7" fillId="0" borderId="0" xfId="0" applyNumberFormat="1" applyFont="1"/>
    <xf numFmtId="169" fontId="32" fillId="0" borderId="2" xfId="0" applyNumberFormat="1" applyFont="1" applyFill="1" applyBorder="1" applyAlignment="1" applyProtection="1">
      <alignment horizontal="center"/>
    </xf>
    <xf numFmtId="169" fontId="6" fillId="0" borderId="0" xfId="0" applyNumberFormat="1" applyFont="1" applyFill="1" applyBorder="1" applyAlignment="1" applyProtection="1">
      <alignment horizontal="center" vertical="center"/>
    </xf>
    <xf numFmtId="174" fontId="98" fillId="0" borderId="3" xfId="0" applyNumberFormat="1" applyFont="1" applyBorder="1" applyAlignment="1">
      <alignment horizontal="center" vertical="center"/>
    </xf>
    <xf numFmtId="174" fontId="98" fillId="0" borderId="2" xfId="0" applyNumberFormat="1" applyFont="1" applyBorder="1" applyAlignment="1">
      <alignment horizontal="center" vertical="center"/>
    </xf>
    <xf numFmtId="174" fontId="98" fillId="0" borderId="2" xfId="0" applyNumberFormat="1" applyFont="1" applyFill="1" applyBorder="1" applyAlignment="1">
      <alignment horizontal="center" vertical="center"/>
    </xf>
    <xf numFmtId="174" fontId="9" fillId="0" borderId="2" xfId="0" applyNumberFormat="1" applyFont="1" applyFill="1" applyBorder="1" applyAlignment="1">
      <alignment horizontal="center" vertical="center"/>
    </xf>
    <xf numFmtId="174" fontId="50" fillId="0" borderId="2" xfId="0" applyNumberFormat="1" applyFont="1" applyFill="1" applyBorder="1" applyAlignment="1">
      <alignment horizontal="center" vertical="center"/>
    </xf>
    <xf numFmtId="174" fontId="7" fillId="0" borderId="2" xfId="0" applyNumberFormat="1" applyFont="1" applyFill="1" applyBorder="1" applyAlignment="1">
      <alignment horizontal="center" vertical="center"/>
    </xf>
    <xf numFmtId="174" fontId="22" fillId="0" borderId="2" xfId="0" applyNumberFormat="1" applyFont="1" applyFill="1" applyBorder="1" applyAlignment="1">
      <alignment horizontal="center" vertical="center"/>
    </xf>
    <xf numFmtId="174" fontId="7" fillId="0" borderId="2" xfId="0" applyNumberFormat="1" applyFont="1" applyFill="1" applyBorder="1" applyAlignment="1">
      <alignment vertical="center"/>
    </xf>
    <xf numFmtId="174" fontId="99" fillId="0" borderId="2" xfId="0" applyNumberFormat="1" applyFont="1" applyFill="1" applyBorder="1" applyAlignment="1">
      <alignment horizontal="center" vertical="center"/>
    </xf>
    <xf numFmtId="174" fontId="70" fillId="0" borderId="2" xfId="0" applyNumberFormat="1" applyFont="1" applyFill="1" applyBorder="1" applyAlignment="1">
      <alignment horizontal="center" vertical="center"/>
    </xf>
    <xf numFmtId="174" fontId="64" fillId="0" borderId="2" xfId="0" applyNumberFormat="1" applyFont="1" applyFill="1" applyBorder="1" applyAlignment="1">
      <alignment horizontal="center" vertical="center"/>
    </xf>
    <xf numFmtId="174" fontId="99" fillId="0" borderId="2" xfId="0" applyNumberFormat="1" applyFont="1" applyBorder="1" applyAlignment="1">
      <alignment horizontal="center" vertical="center"/>
    </xf>
    <xf numFmtId="174" fontId="64" fillId="0" borderId="2" xfId="0" applyNumberFormat="1" applyFont="1" applyBorder="1" applyAlignment="1">
      <alignment horizontal="center" vertical="center"/>
    </xf>
    <xf numFmtId="0" fontId="100" fillId="0" borderId="8" xfId="0" applyFont="1" applyFill="1" applyBorder="1" applyAlignment="1" applyProtection="1">
      <alignment horizontal="center" vertical="justify"/>
    </xf>
    <xf numFmtId="0" fontId="9" fillId="0" borderId="2" xfId="0" applyFont="1" applyFill="1" applyBorder="1" applyAlignment="1" applyProtection="1">
      <alignment horizontal="center"/>
      <protection locked="0"/>
    </xf>
    <xf numFmtId="169" fontId="63" fillId="0" borderId="2" xfId="0" applyNumberFormat="1" applyFont="1" applyFill="1" applyBorder="1" applyAlignment="1" applyProtection="1">
      <alignment horizontal="center"/>
      <protection locked="0"/>
    </xf>
    <xf numFmtId="0" fontId="8" fillId="0" borderId="47" xfId="0" applyFont="1" applyFill="1" applyBorder="1" applyAlignment="1" applyProtection="1">
      <alignment horizontal="center" vertical="center"/>
    </xf>
    <xf numFmtId="169" fontId="83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10" xfId="0" applyFont="1" applyBorder="1"/>
    <xf numFmtId="169" fontId="101" fillId="0" borderId="2" xfId="0" applyNumberFormat="1" applyFont="1" applyFill="1" applyBorder="1" applyAlignment="1" applyProtection="1">
      <alignment horizontal="center"/>
      <protection locked="0"/>
    </xf>
    <xf numFmtId="0" fontId="18" fillId="0" borderId="8" xfId="0" applyFont="1" applyFill="1" applyBorder="1" applyAlignment="1">
      <alignment horizontal="center" vertical="justify"/>
    </xf>
    <xf numFmtId="0" fontId="18" fillId="0" borderId="8" xfId="0" applyFont="1" applyFill="1" applyBorder="1" applyAlignment="1" applyProtection="1">
      <alignment horizontal="center" vertical="justify"/>
      <protection locked="0"/>
    </xf>
    <xf numFmtId="0" fontId="9" fillId="0" borderId="8" xfId="0" applyFont="1" applyFill="1" applyBorder="1" applyAlignment="1" applyProtection="1">
      <alignment horizontal="center" vertical="justify"/>
    </xf>
    <xf numFmtId="169" fontId="102" fillId="0" borderId="2" xfId="0" applyNumberFormat="1" applyFont="1" applyFill="1" applyBorder="1" applyAlignment="1" applyProtection="1">
      <alignment horizontal="center"/>
      <protection locked="0"/>
    </xf>
    <xf numFmtId="169" fontId="64" fillId="0" borderId="2" xfId="0" applyNumberFormat="1" applyFont="1" applyFill="1" applyBorder="1" applyAlignment="1" applyProtection="1">
      <alignment horizontal="center"/>
      <protection locked="0"/>
    </xf>
    <xf numFmtId="174" fontId="65" fillId="0" borderId="2" xfId="0" applyNumberFormat="1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left" vertical="justify" wrapText="1"/>
    </xf>
    <xf numFmtId="169" fontId="7" fillId="0" borderId="0" xfId="0" applyNumberFormat="1" applyFont="1" applyFill="1"/>
    <xf numFmtId="0" fontId="32" fillId="0" borderId="8" xfId="0" applyFont="1" applyBorder="1" applyAlignment="1">
      <alignment horizontal="center" vertical="justify"/>
    </xf>
    <xf numFmtId="169" fontId="61" fillId="0" borderId="2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left" vertical="center" wrapText="1"/>
    </xf>
    <xf numFmtId="0" fontId="9" fillId="4" borderId="2" xfId="0" applyNumberFormat="1" applyFont="1" applyFill="1" applyBorder="1" applyAlignment="1">
      <alignment horizontal="center"/>
    </xf>
    <xf numFmtId="169" fontId="103" fillId="0" borderId="0" xfId="0" applyNumberFormat="1" applyFont="1" applyBorder="1" applyAlignment="1" applyProtection="1">
      <alignment horizontal="center" vertical="center"/>
    </xf>
    <xf numFmtId="1" fontId="7" fillId="0" borderId="2" xfId="0" applyNumberFormat="1" applyFont="1" applyFill="1" applyBorder="1" applyAlignment="1" applyProtection="1">
      <alignment horizontal="center"/>
    </xf>
    <xf numFmtId="174" fontId="102" fillId="0" borderId="2" xfId="0" applyNumberFormat="1" applyFont="1" applyFill="1" applyBorder="1" applyAlignment="1" applyProtection="1">
      <alignment horizontal="center"/>
    </xf>
    <xf numFmtId="174" fontId="64" fillId="0" borderId="2" xfId="0" applyNumberFormat="1" applyFont="1" applyFill="1" applyBorder="1" applyAlignment="1" applyProtection="1">
      <alignment horizontal="center"/>
    </xf>
    <xf numFmtId="174" fontId="62" fillId="0" borderId="43" xfId="0" applyNumberFormat="1" applyFont="1" applyFill="1" applyBorder="1" applyAlignment="1" applyProtection="1">
      <alignment horizontal="center"/>
    </xf>
    <xf numFmtId="2" fontId="62" fillId="0" borderId="2" xfId="0" applyNumberFormat="1" applyFont="1" applyFill="1" applyBorder="1" applyAlignment="1" applyProtection="1">
      <alignment horizontal="left" wrapText="1"/>
    </xf>
    <xf numFmtId="169" fontId="96" fillId="0" borderId="13" xfId="0" applyNumberFormat="1" applyFont="1" applyFill="1" applyBorder="1" applyAlignment="1" applyProtection="1">
      <alignment horizontal="center"/>
    </xf>
    <xf numFmtId="174" fontId="7" fillId="0" borderId="0" xfId="0" applyNumberFormat="1" applyFont="1" applyBorder="1" applyAlignment="1">
      <alignment horizontal="center"/>
    </xf>
    <xf numFmtId="169" fontId="68" fillId="0" borderId="2" xfId="0" applyNumberFormat="1" applyFont="1" applyBorder="1" applyAlignment="1">
      <alignment horizontal="center" vertical="center"/>
    </xf>
    <xf numFmtId="169" fontId="64" fillId="0" borderId="2" xfId="0" applyNumberFormat="1" applyFont="1" applyBorder="1" applyAlignment="1">
      <alignment horizontal="center" vertical="center"/>
    </xf>
    <xf numFmtId="169" fontId="62" fillId="0" borderId="2" xfId="0" applyNumberFormat="1" applyFont="1" applyBorder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0" fontId="9" fillId="0" borderId="2" xfId="0" applyFont="1" applyFill="1" applyBorder="1" applyAlignment="1">
      <alignment horizontal="left" vertical="top" wrapText="1"/>
    </xf>
    <xf numFmtId="169" fontId="61" fillId="0" borderId="2" xfId="0" applyNumberFormat="1" applyFont="1" applyFill="1" applyBorder="1" applyAlignment="1" applyProtection="1">
      <alignment horizontal="center" vertical="center"/>
    </xf>
    <xf numFmtId="169" fontId="67" fillId="0" borderId="2" xfId="0" applyNumberFormat="1" applyFont="1" applyFill="1" applyBorder="1" applyAlignment="1">
      <alignment vertical="center"/>
    </xf>
    <xf numFmtId="169" fontId="9" fillId="0" borderId="2" xfId="0" applyNumberFormat="1" applyFont="1" applyFill="1" applyBorder="1" applyAlignment="1">
      <alignment horizontal="center" vertical="center"/>
    </xf>
    <xf numFmtId="169" fontId="11" fillId="0" borderId="2" xfId="0" applyNumberFormat="1" applyFont="1" applyFill="1" applyBorder="1" applyAlignment="1">
      <alignment horizontal="center" vertical="center"/>
    </xf>
    <xf numFmtId="169" fontId="63" fillId="0" borderId="2" xfId="0" applyNumberFormat="1" applyFont="1" applyFill="1" applyBorder="1" applyAlignment="1" applyProtection="1">
      <alignment horizontal="center" vertical="center"/>
    </xf>
    <xf numFmtId="169" fontId="9" fillId="0" borderId="2" xfId="0" applyNumberFormat="1" applyFont="1" applyFill="1" applyBorder="1" applyAlignment="1" applyProtection="1">
      <alignment horizontal="center" vertical="center"/>
    </xf>
    <xf numFmtId="169" fontId="11" fillId="0" borderId="2" xfId="0" applyNumberFormat="1" applyFont="1" applyFill="1" applyBorder="1" applyAlignment="1" applyProtection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169" fontId="104" fillId="0" borderId="2" xfId="0" applyNumberFormat="1" applyFont="1" applyFill="1" applyBorder="1" applyAlignment="1" applyProtection="1">
      <alignment horizontal="center"/>
    </xf>
    <xf numFmtId="0" fontId="8" fillId="2" borderId="8" xfId="0" applyFont="1" applyFill="1" applyBorder="1" applyAlignment="1" applyProtection="1">
      <alignment horizontal="center" vertical="justify"/>
    </xf>
    <xf numFmtId="169" fontId="63" fillId="0" borderId="2" xfId="0" applyNumberFormat="1" applyFont="1" applyFill="1" applyBorder="1" applyAlignment="1" applyProtection="1">
      <alignment horizontal="center"/>
    </xf>
    <xf numFmtId="174" fontId="7" fillId="0" borderId="2" xfId="0" applyNumberFormat="1" applyFont="1" applyBorder="1"/>
    <xf numFmtId="174" fontId="66" fillId="0" borderId="2" xfId="0" applyNumberFormat="1" applyFont="1" applyBorder="1"/>
    <xf numFmtId="169" fontId="64" fillId="0" borderId="2" xfId="0" applyNumberFormat="1" applyFont="1" applyFill="1" applyBorder="1" applyAlignment="1" applyProtection="1">
      <alignment horizontal="center"/>
    </xf>
    <xf numFmtId="0" fontId="106" fillId="0" borderId="2" xfId="0" applyFont="1" applyFill="1" applyBorder="1" applyAlignment="1" applyProtection="1">
      <alignment wrapText="1"/>
    </xf>
    <xf numFmtId="169" fontId="104" fillId="0" borderId="2" xfId="0" applyNumberFormat="1" applyFont="1" applyFill="1" applyBorder="1" applyAlignment="1">
      <alignment horizontal="center"/>
    </xf>
    <xf numFmtId="169" fontId="105" fillId="0" borderId="2" xfId="0" applyNumberFormat="1" applyFont="1" applyFill="1" applyBorder="1" applyAlignment="1" applyProtection="1">
      <alignment horizontal="center" vertical="center"/>
    </xf>
    <xf numFmtId="169" fontId="7" fillId="0" borderId="17" xfId="0" applyNumberFormat="1" applyFont="1" applyBorder="1"/>
    <xf numFmtId="174" fontId="7" fillId="0" borderId="17" xfId="0" applyNumberFormat="1" applyFont="1" applyBorder="1"/>
    <xf numFmtId="169" fontId="61" fillId="0" borderId="2" xfId="0" applyNumberFormat="1" applyFont="1" applyFill="1" applyBorder="1" applyAlignment="1" applyProtection="1">
      <alignment horizontal="center"/>
    </xf>
    <xf numFmtId="0" fontId="64" fillId="0" borderId="2" xfId="0" applyFont="1" applyFill="1" applyBorder="1" applyAlignment="1" applyProtection="1">
      <alignment vertical="justify" wrapText="1"/>
    </xf>
    <xf numFmtId="0" fontId="7" fillId="0" borderId="2" xfId="0" applyFont="1" applyFill="1" applyBorder="1" applyAlignment="1" applyProtection="1">
      <alignment vertical="justify" wrapText="1"/>
    </xf>
    <xf numFmtId="169" fontId="62" fillId="0" borderId="2" xfId="0" applyNumberFormat="1" applyFont="1" applyFill="1" applyBorder="1" applyAlignment="1" applyProtection="1">
      <alignment horizontal="center"/>
    </xf>
    <xf numFmtId="169" fontId="68" fillId="0" borderId="2" xfId="0" applyNumberFormat="1" applyFont="1" applyFill="1" applyBorder="1" applyAlignment="1">
      <alignment horizontal="center" vertical="center" wrapText="1"/>
    </xf>
    <xf numFmtId="169" fontId="10" fillId="0" borderId="2" xfId="0" applyNumberFormat="1" applyFont="1" applyFill="1" applyBorder="1" applyAlignment="1">
      <alignment horizontal="center" vertical="center" wrapText="1"/>
    </xf>
    <xf numFmtId="0" fontId="62" fillId="0" borderId="2" xfId="0" applyFont="1" applyFill="1" applyBorder="1" applyAlignment="1">
      <alignment horizontal="left" vertical="center" wrapText="1"/>
    </xf>
    <xf numFmtId="1" fontId="9" fillId="0" borderId="8" xfId="0" applyNumberFormat="1" applyFont="1" applyFill="1" applyBorder="1" applyAlignment="1" applyProtection="1">
      <alignment horizontal="center" vertical="top"/>
      <protection locked="0"/>
    </xf>
    <xf numFmtId="1" fontId="89" fillId="0" borderId="2" xfId="0" applyNumberFormat="1" applyFont="1" applyFill="1" applyBorder="1" applyAlignment="1" applyProtection="1">
      <alignment horizontal="center"/>
      <protection locked="0"/>
    </xf>
    <xf numFmtId="0" fontId="89" fillId="0" borderId="2" xfId="0" applyFont="1" applyFill="1" applyBorder="1" applyAlignment="1">
      <alignment horizontal="center"/>
    </xf>
    <xf numFmtId="1" fontId="8" fillId="0" borderId="8" xfId="0" applyNumberFormat="1" applyFont="1" applyFill="1" applyBorder="1" applyAlignment="1" applyProtection="1">
      <alignment horizontal="center" vertical="top"/>
      <protection locked="0"/>
    </xf>
    <xf numFmtId="1" fontId="107" fillId="0" borderId="2" xfId="0" applyNumberFormat="1" applyFont="1" applyFill="1" applyBorder="1" applyAlignment="1" applyProtection="1">
      <alignment horizontal="center"/>
      <protection locked="0"/>
    </xf>
    <xf numFmtId="0" fontId="107" fillId="0" borderId="2" xfId="0" applyFont="1" applyFill="1" applyBorder="1" applyAlignment="1">
      <alignment horizontal="center"/>
    </xf>
    <xf numFmtId="1" fontId="8" fillId="0" borderId="8" xfId="0" applyNumberFormat="1" applyFont="1" applyFill="1" applyBorder="1" applyAlignment="1">
      <alignment horizontal="center" vertical="top"/>
    </xf>
    <xf numFmtId="1" fontId="107" fillId="0" borderId="2" xfId="0" applyNumberFormat="1" applyFont="1" applyFill="1" applyBorder="1" applyAlignment="1">
      <alignment horizontal="center"/>
    </xf>
    <xf numFmtId="1" fontId="9" fillId="0" borderId="8" xfId="0" applyNumberFormat="1" applyFont="1" applyFill="1" applyBorder="1" applyAlignment="1" applyProtection="1">
      <alignment horizontal="center" vertical="top"/>
    </xf>
    <xf numFmtId="1" fontId="9" fillId="0" borderId="2" xfId="0" applyNumberFormat="1" applyFont="1" applyFill="1" applyBorder="1" applyAlignment="1" applyProtection="1">
      <alignment horizontal="center"/>
    </xf>
    <xf numFmtId="1" fontId="89" fillId="0" borderId="2" xfId="0" applyNumberFormat="1" applyFont="1" applyFill="1" applyBorder="1" applyAlignment="1">
      <alignment horizontal="center"/>
    </xf>
    <xf numFmtId="2" fontId="89" fillId="0" borderId="2" xfId="0" applyNumberFormat="1" applyFont="1" applyFill="1" applyBorder="1" applyAlignment="1" applyProtection="1">
      <alignment horizontal="center"/>
    </xf>
    <xf numFmtId="1" fontId="89" fillId="0" borderId="2" xfId="0" applyNumberFormat="1" applyFont="1" applyFill="1" applyBorder="1" applyAlignment="1" applyProtection="1">
      <alignment horizontal="center"/>
    </xf>
    <xf numFmtId="2" fontId="89" fillId="0" borderId="6" xfId="0" applyNumberFormat="1" applyFont="1" applyFill="1" applyBorder="1" applyAlignment="1" applyProtection="1">
      <alignment horizontal="center"/>
    </xf>
    <xf numFmtId="1" fontId="8" fillId="0" borderId="8" xfId="0" applyNumberFormat="1" applyFont="1" applyFill="1" applyBorder="1" applyAlignment="1" applyProtection="1">
      <alignment horizontal="center" vertical="top"/>
    </xf>
    <xf numFmtId="1" fontId="107" fillId="0" borderId="2" xfId="0" applyNumberFormat="1" applyFont="1" applyFill="1" applyBorder="1"/>
    <xf numFmtId="0" fontId="107" fillId="0" borderId="2" xfId="0" applyFont="1" applyFill="1" applyBorder="1"/>
    <xf numFmtId="166" fontId="7" fillId="0" borderId="2" xfId="0" applyNumberFormat="1" applyFont="1" applyFill="1" applyBorder="1" applyAlignment="1" applyProtection="1">
      <alignment vertical="center" wrapText="1"/>
    </xf>
    <xf numFmtId="1" fontId="89" fillId="0" borderId="2" xfId="0" applyNumberFormat="1" applyFont="1" applyFill="1" applyBorder="1"/>
    <xf numFmtId="2" fontId="89" fillId="0" borderId="2" xfId="0" applyNumberFormat="1" applyFont="1" applyFill="1" applyBorder="1"/>
    <xf numFmtId="0" fontId="89" fillId="0" borderId="2" xfId="0" applyFont="1" applyFill="1" applyBorder="1"/>
    <xf numFmtId="2" fontId="89" fillId="0" borderId="2" xfId="0" applyNumberFormat="1" applyFont="1" applyFill="1" applyBorder="1" applyAlignment="1" applyProtection="1">
      <alignment horizontal="left"/>
      <protection locked="0"/>
    </xf>
    <xf numFmtId="1" fontId="89" fillId="0" borderId="2" xfId="0" applyNumberFormat="1" applyFont="1" applyFill="1" applyBorder="1" applyAlignment="1" applyProtection="1">
      <alignment horizontal="left"/>
      <protection locked="0"/>
    </xf>
    <xf numFmtId="2" fontId="89" fillId="0" borderId="6" xfId="0" applyNumberFormat="1" applyFont="1" applyFill="1" applyBorder="1" applyAlignment="1" applyProtection="1">
      <alignment horizontal="left"/>
      <protection locked="0"/>
    </xf>
    <xf numFmtId="1" fontId="9" fillId="0" borderId="8" xfId="0" applyNumberFormat="1" applyFont="1" applyFill="1" applyBorder="1" applyAlignment="1">
      <alignment horizontal="center" vertical="top"/>
    </xf>
    <xf numFmtId="2" fontId="89" fillId="0" borderId="6" xfId="0" applyNumberFormat="1" applyFont="1" applyFill="1" applyBorder="1"/>
    <xf numFmtId="1" fontId="89" fillId="0" borderId="2" xfId="0" applyNumberFormat="1" applyFont="1" applyFill="1" applyBorder="1" applyProtection="1">
      <protection locked="0"/>
    </xf>
    <xf numFmtId="1" fontId="89" fillId="0" borderId="2" xfId="0" applyNumberFormat="1" applyFont="1" applyFill="1" applyBorder="1" applyAlignment="1" applyProtection="1">
      <alignment horizontal="right"/>
      <protection locked="0"/>
    </xf>
    <xf numFmtId="2" fontId="89" fillId="0" borderId="2" xfId="0" applyNumberFormat="1" applyFont="1" applyFill="1" applyBorder="1" applyAlignment="1">
      <alignment horizontal="left"/>
    </xf>
    <xf numFmtId="1" fontId="89" fillId="0" borderId="2" xfId="0" applyNumberFormat="1" applyFont="1" applyFill="1" applyBorder="1" applyAlignment="1">
      <alignment horizontal="left"/>
    </xf>
    <xf numFmtId="2" fontId="89" fillId="0" borderId="6" xfId="0" applyNumberFormat="1" applyFont="1" applyFill="1" applyBorder="1" applyAlignment="1">
      <alignment horizontal="left"/>
    </xf>
    <xf numFmtId="1" fontId="108" fillId="0" borderId="8" xfId="0" applyNumberFormat="1" applyFont="1" applyFill="1" applyBorder="1" applyAlignment="1" applyProtection="1">
      <alignment horizontal="center" vertical="top"/>
      <protection locked="0"/>
    </xf>
    <xf numFmtId="0" fontId="108" fillId="0" borderId="8" xfId="0" applyFont="1" applyFill="1" applyBorder="1" applyAlignment="1">
      <alignment horizontal="center" vertical="top"/>
    </xf>
    <xf numFmtId="170" fontId="9" fillId="0" borderId="2" xfId="0" applyNumberFormat="1" applyFont="1" applyFill="1" applyBorder="1" applyAlignment="1" applyProtection="1">
      <alignment vertical="center" wrapText="1"/>
      <protection locked="0"/>
    </xf>
    <xf numFmtId="170" fontId="20" fillId="0" borderId="2" xfId="0" applyNumberFormat="1" applyFont="1" applyFill="1" applyBorder="1" applyAlignment="1" applyProtection="1">
      <alignment vertical="center" wrapText="1"/>
      <protection locked="0"/>
    </xf>
    <xf numFmtId="2" fontId="89" fillId="0" borderId="2" xfId="0" applyNumberFormat="1" applyFont="1" applyFill="1" applyBorder="1" applyProtection="1">
      <protection locked="0"/>
    </xf>
    <xf numFmtId="2" fontId="89" fillId="0" borderId="6" xfId="0" applyNumberFormat="1" applyFont="1" applyFill="1" applyBorder="1" applyProtection="1">
      <protection locked="0"/>
    </xf>
    <xf numFmtId="172" fontId="61" fillId="0" borderId="2" xfId="0" applyNumberFormat="1" applyFont="1" applyFill="1" applyBorder="1" applyAlignment="1">
      <alignment horizontal="center"/>
    </xf>
    <xf numFmtId="1" fontId="89" fillId="0" borderId="2" xfId="0" applyNumberFormat="1" applyFont="1" applyFill="1" applyBorder="1" applyAlignment="1">
      <alignment horizontal="right"/>
    </xf>
    <xf numFmtId="2" fontId="107" fillId="0" borderId="2" xfId="0" applyNumberFormat="1" applyFont="1" applyFill="1" applyBorder="1" applyAlignment="1" applyProtection="1">
      <alignment horizontal="center"/>
    </xf>
    <xf numFmtId="1" fontId="107" fillId="0" borderId="2" xfId="0" applyNumberFormat="1" applyFont="1" applyFill="1" applyBorder="1" applyAlignment="1" applyProtection="1">
      <alignment horizontal="center"/>
    </xf>
    <xf numFmtId="2" fontId="107" fillId="0" borderId="6" xfId="0" applyNumberFormat="1" applyFont="1" applyFill="1" applyBorder="1" applyAlignment="1" applyProtection="1">
      <alignment horizontal="center"/>
    </xf>
    <xf numFmtId="172" fontId="61" fillId="0" borderId="2" xfId="0" applyNumberFormat="1" applyFont="1" applyFill="1" applyBorder="1" applyAlignment="1" applyProtection="1">
      <alignment horizontal="center"/>
    </xf>
    <xf numFmtId="0" fontId="92" fillId="0" borderId="2" xfId="0" applyFont="1" applyFill="1" applyBorder="1" applyAlignment="1">
      <alignment wrapText="1"/>
    </xf>
    <xf numFmtId="170" fontId="9" fillId="0" borderId="2" xfId="0" applyNumberFormat="1" applyFont="1" applyFill="1" applyBorder="1" applyAlignment="1" applyProtection="1">
      <alignment vertical="center" wrapText="1"/>
    </xf>
    <xf numFmtId="172" fontId="8" fillId="0" borderId="2" xfId="0" applyNumberFormat="1" applyFont="1" applyFill="1" applyBorder="1" applyAlignment="1" applyProtection="1">
      <alignment horizontal="center"/>
    </xf>
    <xf numFmtId="172" fontId="7" fillId="0" borderId="2" xfId="0" applyNumberFormat="1" applyFont="1" applyFill="1" applyBorder="1" applyAlignment="1" applyProtection="1">
      <alignment horizontal="center"/>
      <protection locked="0"/>
    </xf>
    <xf numFmtId="172" fontId="7" fillId="0" borderId="2" xfId="0" applyNumberFormat="1" applyFont="1" applyFill="1" applyBorder="1" applyAlignment="1">
      <alignment horizontal="center"/>
    </xf>
    <xf numFmtId="172" fontId="68" fillId="0" borderId="2" xfId="0" applyNumberFormat="1" applyFont="1" applyFill="1" applyBorder="1" applyAlignment="1">
      <alignment horizontal="center"/>
    </xf>
    <xf numFmtId="171" fontId="9" fillId="0" borderId="2" xfId="0" applyNumberFormat="1" applyFont="1" applyFill="1" applyBorder="1" applyAlignment="1" applyProtection="1">
      <alignment horizontal="center" vertical="top" wrapText="1"/>
      <protection locked="0"/>
    </xf>
    <xf numFmtId="170" fontId="9" fillId="0" borderId="2" xfId="0" applyNumberFormat="1" applyFont="1" applyFill="1" applyBorder="1" applyAlignment="1" applyProtection="1">
      <alignment horizontal="center" vertical="top" wrapText="1"/>
      <protection locked="0"/>
    </xf>
    <xf numFmtId="1" fontId="9" fillId="0" borderId="2" xfId="0" applyNumberFormat="1" applyFont="1" applyFill="1" applyBorder="1" applyAlignment="1" applyProtection="1">
      <alignment horizontal="center"/>
      <protection locked="0"/>
    </xf>
    <xf numFmtId="172" fontId="9" fillId="0" borderId="2" xfId="0" applyNumberFormat="1" applyFont="1" applyFill="1" applyBorder="1" applyAlignment="1" applyProtection="1">
      <alignment horizontal="center"/>
      <protection locked="0"/>
    </xf>
    <xf numFmtId="172" fontId="9" fillId="0" borderId="2" xfId="0" applyNumberFormat="1" applyFont="1" applyFill="1" applyBorder="1" applyAlignment="1">
      <alignment horizontal="center"/>
    </xf>
    <xf numFmtId="172" fontId="67" fillId="0" borderId="2" xfId="0" applyNumberFormat="1" applyFont="1" applyFill="1" applyBorder="1" applyAlignment="1" applyProtection="1">
      <alignment horizontal="center"/>
      <protection locked="0"/>
    </xf>
    <xf numFmtId="172" fontId="11" fillId="0" borderId="2" xfId="0" applyNumberFormat="1" applyFont="1" applyFill="1" applyBorder="1" applyAlignment="1" applyProtection="1">
      <alignment horizontal="center"/>
      <protection locked="0"/>
    </xf>
    <xf numFmtId="172" fontId="101" fillId="0" borderId="2" xfId="0" applyNumberFormat="1" applyFont="1" applyFill="1" applyBorder="1" applyAlignment="1" applyProtection="1">
      <alignment horizontal="center"/>
      <protection locked="0"/>
    </xf>
    <xf numFmtId="172" fontId="63" fillId="0" borderId="2" xfId="0" applyNumberFormat="1" applyFont="1" applyFill="1" applyBorder="1" applyAlignment="1" applyProtection="1">
      <alignment horizontal="center"/>
      <protection locked="0"/>
    </xf>
    <xf numFmtId="172" fontId="61" fillId="0" borderId="2" xfId="0" applyNumberFormat="1" applyFont="1" applyFill="1" applyBorder="1" applyAlignment="1" applyProtection="1">
      <alignment horizontal="center"/>
      <protection locked="0"/>
    </xf>
    <xf numFmtId="2" fontId="9" fillId="0" borderId="2" xfId="0" applyNumberFormat="1" applyFont="1" applyFill="1" applyBorder="1" applyAlignment="1" applyProtection="1">
      <alignment horizontal="center"/>
      <protection locked="0"/>
    </xf>
    <xf numFmtId="2" fontId="9" fillId="0" borderId="6" xfId="0" applyNumberFormat="1" applyFont="1" applyFill="1" applyBorder="1" applyAlignment="1" applyProtection="1">
      <alignment horizontal="center"/>
      <protection locked="0"/>
    </xf>
    <xf numFmtId="166" fontId="9" fillId="0" borderId="2" xfId="0" applyNumberFormat="1" applyFont="1" applyFill="1" applyBorder="1" applyAlignment="1" applyProtection="1">
      <alignment horizontal="center"/>
      <protection locked="0"/>
    </xf>
    <xf numFmtId="170" fontId="7" fillId="0" borderId="2" xfId="0" applyNumberFormat="1" applyFont="1" applyFill="1" applyBorder="1" applyAlignment="1" applyProtection="1">
      <alignment horizontal="center" vertical="top" wrapText="1"/>
      <protection locked="0"/>
    </xf>
    <xf numFmtId="170" fontId="7" fillId="0" borderId="2" xfId="0" applyNumberFormat="1" applyFont="1" applyFill="1" applyBorder="1" applyAlignment="1" applyProtection="1">
      <alignment vertical="center" wrapText="1"/>
      <protection locked="0"/>
    </xf>
    <xf numFmtId="172" fontId="6" fillId="0" borderId="2" xfId="0" applyNumberFormat="1" applyFont="1" applyFill="1" applyBorder="1" applyAlignment="1" applyProtection="1">
      <alignment horizontal="center"/>
      <protection locked="0"/>
    </xf>
    <xf numFmtId="172" fontId="6" fillId="0" borderId="2" xfId="0" applyNumberFormat="1" applyFont="1" applyFill="1" applyBorder="1" applyAlignment="1">
      <alignment horizontal="center"/>
    </xf>
    <xf numFmtId="172" fontId="68" fillId="0" borderId="2" xfId="0" applyNumberFormat="1" applyFont="1" applyFill="1" applyBorder="1" applyAlignment="1" applyProtection="1">
      <alignment horizontal="center"/>
      <protection locked="0"/>
    </xf>
    <xf numFmtId="172" fontId="10" fillId="0" borderId="2" xfId="0" applyNumberFormat="1" applyFont="1" applyFill="1" applyBorder="1" applyAlignment="1" applyProtection="1">
      <alignment horizontal="center"/>
      <protection locked="0"/>
    </xf>
    <xf numFmtId="172" fontId="102" fillId="0" borderId="2" xfId="0" applyNumberFormat="1" applyFont="1" applyFill="1" applyBorder="1" applyAlignment="1" applyProtection="1">
      <alignment horizontal="center"/>
      <protection locked="0"/>
    </xf>
    <xf numFmtId="172" fontId="64" fillId="0" borderId="2" xfId="0" applyNumberFormat="1" applyFont="1" applyFill="1" applyBorder="1" applyAlignment="1" applyProtection="1">
      <alignment horizontal="center"/>
      <protection locked="0"/>
    </xf>
    <xf numFmtId="172" fontId="62" fillId="0" borderId="2" xfId="0" applyNumberFormat="1" applyFont="1" applyFill="1" applyBorder="1" applyAlignment="1" applyProtection="1">
      <alignment horizontal="center"/>
      <protection locked="0"/>
    </xf>
    <xf numFmtId="1" fontId="7" fillId="0" borderId="2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Alignment="1">
      <alignment horizontal="center"/>
    </xf>
    <xf numFmtId="170" fontId="68" fillId="0" borderId="2" xfId="0" applyNumberFormat="1" applyFont="1" applyFill="1" applyBorder="1" applyAlignment="1" applyProtection="1">
      <alignment vertical="center" wrapText="1"/>
      <protection locked="0"/>
    </xf>
    <xf numFmtId="0" fontId="7" fillId="0" borderId="2" xfId="0" applyFont="1" applyFill="1" applyBorder="1" applyAlignment="1">
      <alignment horizontal="center" vertical="top" wrapText="1"/>
    </xf>
    <xf numFmtId="170" fontId="68" fillId="0" borderId="2" xfId="0" applyNumberFormat="1" applyFont="1" applyFill="1" applyBorder="1" applyAlignment="1" applyProtection="1">
      <alignment vertical="center" wrapText="1"/>
    </xf>
    <xf numFmtId="172" fontId="68" fillId="0" borderId="2" xfId="0" applyNumberFormat="1" applyFont="1" applyFill="1" applyBorder="1" applyAlignment="1" applyProtection="1">
      <alignment horizontal="center"/>
    </xf>
    <xf numFmtId="172" fontId="10" fillId="0" borderId="2" xfId="0" applyNumberFormat="1" applyFont="1" applyFill="1" applyBorder="1" applyAlignment="1">
      <alignment horizontal="center"/>
    </xf>
    <xf numFmtId="172" fontId="102" fillId="0" borderId="2" xfId="0" applyNumberFormat="1" applyFont="1" applyFill="1" applyBorder="1" applyAlignment="1">
      <alignment horizontal="center"/>
    </xf>
    <xf numFmtId="172" fontId="64" fillId="0" borderId="2" xfId="0" applyNumberFormat="1" applyFont="1" applyFill="1" applyBorder="1" applyAlignment="1">
      <alignment horizontal="center"/>
    </xf>
    <xf numFmtId="172" fontId="62" fillId="0" borderId="2" xfId="0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1" fontId="9" fillId="0" borderId="2" xfId="0" applyNumberFormat="1" applyFont="1" applyFill="1" applyBorder="1" applyAlignment="1" applyProtection="1">
      <alignment horizontal="center" vertical="top"/>
    </xf>
    <xf numFmtId="166" fontId="9" fillId="0" borderId="2" xfId="0" applyNumberFormat="1" applyFont="1" applyFill="1" applyBorder="1" applyAlignment="1" applyProtection="1">
      <alignment horizontal="center" vertical="top" wrapText="1"/>
    </xf>
    <xf numFmtId="166" fontId="9" fillId="0" borderId="2" xfId="0" applyNumberFormat="1" applyFont="1" applyFill="1" applyBorder="1" applyAlignment="1" applyProtection="1">
      <alignment vertical="center" wrapText="1"/>
    </xf>
    <xf numFmtId="172" fontId="67" fillId="0" borderId="2" xfId="0" applyNumberFormat="1" applyFont="1" applyFill="1" applyBorder="1" applyAlignment="1">
      <alignment horizontal="center"/>
    </xf>
    <xf numFmtId="172" fontId="9" fillId="0" borderId="2" xfId="0" applyNumberFormat="1" applyFont="1" applyFill="1" applyBorder="1" applyAlignment="1" applyProtection="1">
      <alignment horizontal="center"/>
    </xf>
    <xf numFmtId="172" fontId="11" fillId="0" borderId="2" xfId="0" applyNumberFormat="1" applyFont="1" applyFill="1" applyBorder="1" applyAlignment="1">
      <alignment horizontal="center"/>
    </xf>
    <xf numFmtId="172" fontId="101" fillId="0" borderId="2" xfId="0" applyNumberFormat="1" applyFont="1" applyFill="1" applyBorder="1" applyAlignment="1">
      <alignment horizontal="center"/>
    </xf>
    <xf numFmtId="172" fontId="63" fillId="0" borderId="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 applyProtection="1">
      <alignment horizontal="center"/>
    </xf>
    <xf numFmtId="2" fontId="9" fillId="0" borderId="6" xfId="0" applyNumberFormat="1" applyFont="1" applyFill="1" applyBorder="1" applyAlignment="1" applyProtection="1">
      <alignment horizontal="center"/>
    </xf>
    <xf numFmtId="172" fontId="63" fillId="0" borderId="2" xfId="0" applyNumberFormat="1" applyFont="1" applyFill="1" applyBorder="1" applyAlignment="1" applyProtection="1">
      <alignment horizontal="center"/>
    </xf>
    <xf numFmtId="166" fontId="7" fillId="0" borderId="2" xfId="0" applyNumberFormat="1" applyFont="1" applyFill="1" applyBorder="1" applyAlignment="1" applyProtection="1">
      <alignment horizontal="center" vertical="top" wrapText="1"/>
    </xf>
    <xf numFmtId="166" fontId="64" fillId="0" borderId="2" xfId="0" applyNumberFormat="1" applyFont="1" applyFill="1" applyBorder="1" applyAlignment="1" applyProtection="1">
      <alignment vertical="center" wrapText="1"/>
    </xf>
    <xf numFmtId="172" fontId="64" fillId="0" borderId="2" xfId="0" applyNumberFormat="1" applyFont="1" applyFill="1" applyBorder="1" applyAlignment="1" applyProtection="1">
      <alignment horizontal="center"/>
    </xf>
    <xf numFmtId="172" fontId="62" fillId="0" borderId="2" xfId="0" applyNumberFormat="1" applyFont="1" applyFill="1" applyBorder="1" applyAlignment="1" applyProtection="1">
      <alignment horizontal="center"/>
    </xf>
    <xf numFmtId="1" fontId="7" fillId="0" borderId="2" xfId="0" applyNumberFormat="1" applyFont="1" applyFill="1" applyBorder="1"/>
    <xf numFmtId="172" fontId="6" fillId="0" borderId="2" xfId="0" applyNumberFormat="1" applyFont="1" applyFill="1" applyBorder="1" applyAlignment="1" applyProtection="1">
      <alignment horizontal="center"/>
    </xf>
    <xf numFmtId="170" fontId="64" fillId="0" borderId="2" xfId="0" applyNumberFormat="1" applyFont="1" applyFill="1" applyBorder="1" applyAlignment="1" applyProtection="1">
      <alignment vertical="center" wrapText="1"/>
    </xf>
    <xf numFmtId="1" fontId="9" fillId="0" borderId="2" xfId="0" applyNumberFormat="1" applyFont="1" applyFill="1" applyBorder="1" applyAlignment="1" applyProtection="1">
      <alignment horizontal="center" vertical="top"/>
      <protection locked="0"/>
    </xf>
    <xf numFmtId="170" fontId="9" fillId="0" borderId="2" xfId="0" applyNumberFormat="1" applyFont="1" applyFill="1" applyBorder="1" applyAlignment="1" applyProtection="1">
      <alignment horizontal="center" vertical="top" wrapText="1"/>
    </xf>
    <xf numFmtId="1" fontId="9" fillId="0" borderId="2" xfId="0" applyNumberFormat="1" applyFont="1" applyFill="1" applyBorder="1"/>
    <xf numFmtId="2" fontId="9" fillId="0" borderId="2" xfId="0" applyNumberFormat="1" applyFont="1" applyFill="1" applyBorder="1"/>
    <xf numFmtId="2" fontId="9" fillId="0" borderId="2" xfId="0" applyNumberFormat="1" applyFont="1" applyFill="1" applyBorder="1" applyAlignment="1" applyProtection="1">
      <alignment horizontal="left"/>
      <protection locked="0"/>
    </xf>
    <xf numFmtId="1" fontId="9" fillId="0" borderId="2" xfId="0" applyNumberFormat="1" applyFont="1" applyFill="1" applyBorder="1" applyAlignment="1" applyProtection="1">
      <alignment horizontal="left"/>
      <protection locked="0"/>
    </xf>
    <xf numFmtId="2" fontId="9" fillId="0" borderId="6" xfId="0" applyNumberFormat="1" applyFont="1" applyFill="1" applyBorder="1" applyAlignment="1" applyProtection="1">
      <alignment horizontal="left"/>
      <protection locked="0"/>
    </xf>
    <xf numFmtId="1" fontId="9" fillId="0" borderId="2" xfId="0" applyNumberFormat="1" applyFont="1" applyFill="1" applyBorder="1" applyAlignment="1">
      <alignment horizontal="center" vertical="top"/>
    </xf>
    <xf numFmtId="0" fontId="9" fillId="0" borderId="2" xfId="0" applyFont="1" applyFill="1" applyBorder="1" applyAlignment="1">
      <alignment vertical="center" wrapText="1"/>
    </xf>
    <xf numFmtId="174" fontId="61" fillId="0" borderId="2" xfId="0" applyNumberFormat="1" applyFont="1" applyFill="1" applyBorder="1" applyAlignment="1">
      <alignment horizontal="center" wrapText="1"/>
    </xf>
    <xf numFmtId="2" fontId="9" fillId="0" borderId="6" xfId="0" applyNumberFormat="1" applyFont="1" applyFill="1" applyBorder="1"/>
    <xf numFmtId="170" fontId="64" fillId="0" borderId="2" xfId="0" applyNumberFormat="1" applyFont="1" applyFill="1" applyBorder="1" applyAlignment="1" applyProtection="1">
      <alignment vertical="center" wrapText="1"/>
      <protection locked="0"/>
    </xf>
    <xf numFmtId="174" fontId="61" fillId="0" borderId="2" xfId="0" applyNumberFormat="1" applyFont="1" applyFill="1" applyBorder="1" applyAlignment="1" applyProtection="1">
      <alignment horizontal="center"/>
      <protection locked="0"/>
    </xf>
    <xf numFmtId="1" fontId="9" fillId="0" borderId="2" xfId="0" applyNumberFormat="1" applyFont="1" applyFill="1" applyBorder="1" applyProtection="1">
      <protection locked="0"/>
    </xf>
    <xf numFmtId="1" fontId="9" fillId="0" borderId="2" xfId="0" applyNumberFormat="1" applyFont="1" applyFill="1" applyBorder="1" applyAlignment="1" applyProtection="1">
      <alignment horizontal="right"/>
      <protection locked="0"/>
    </xf>
    <xf numFmtId="174" fontId="61" fillId="0" borderId="2" xfId="0" applyNumberFormat="1" applyFont="1" applyFill="1" applyBorder="1" applyAlignment="1">
      <alignment horizontal="center"/>
    </xf>
    <xf numFmtId="171" fontId="9" fillId="0" borderId="2" xfId="0" applyNumberFormat="1" applyFont="1" applyFill="1" applyBorder="1" applyAlignment="1" applyProtection="1">
      <alignment horizontal="center" vertical="top" wrapText="1"/>
    </xf>
    <xf numFmtId="170" fontId="62" fillId="0" borderId="2" xfId="0" applyNumberFormat="1" applyFont="1" applyFill="1" applyBorder="1" applyAlignment="1" applyProtection="1">
      <alignment vertical="center" wrapText="1"/>
    </xf>
    <xf numFmtId="2" fontId="9" fillId="0" borderId="2" xfId="0" applyNumberFormat="1" applyFont="1" applyFill="1" applyBorder="1" applyAlignment="1">
      <alignment horizontal="left"/>
    </xf>
    <xf numFmtId="1" fontId="9" fillId="0" borderId="2" xfId="0" applyNumberFormat="1" applyFont="1" applyFill="1" applyBorder="1" applyAlignment="1">
      <alignment horizontal="left"/>
    </xf>
    <xf numFmtId="2" fontId="9" fillId="0" borderId="6" xfId="0" applyNumberFormat="1" applyFont="1" applyFill="1" applyBorder="1" applyAlignment="1">
      <alignment horizontal="left"/>
    </xf>
    <xf numFmtId="170" fontId="62" fillId="0" borderId="2" xfId="0" applyNumberFormat="1" applyFont="1" applyFill="1" applyBorder="1" applyAlignment="1" applyProtection="1">
      <alignment vertical="center" wrapText="1"/>
      <protection locked="0"/>
    </xf>
    <xf numFmtId="174" fontId="6" fillId="0" borderId="0" xfId="0" applyNumberFormat="1" applyFont="1" applyFill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166" fontId="62" fillId="0" borderId="2" xfId="0" applyNumberFormat="1" applyFont="1" applyFill="1" applyBorder="1" applyAlignment="1" applyProtection="1">
      <alignment vertical="center" wrapText="1"/>
    </xf>
    <xf numFmtId="172" fontId="8" fillId="0" borderId="2" xfId="0" applyNumberFormat="1" applyFont="1" applyFill="1" applyBorder="1" applyAlignment="1" applyProtection="1">
      <alignment horizontal="center"/>
      <protection locked="0"/>
    </xf>
    <xf numFmtId="172" fontId="8" fillId="0" borderId="2" xfId="0" applyNumberFormat="1" applyFont="1" applyFill="1" applyBorder="1" applyAlignment="1">
      <alignment horizontal="center"/>
    </xf>
    <xf numFmtId="0" fontId="9" fillId="0" borderId="2" xfId="0" applyFont="1" applyFill="1" applyBorder="1" applyAlignment="1" applyProtection="1">
      <alignment vertical="center" wrapText="1"/>
    </xf>
    <xf numFmtId="174" fontId="63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 applyProtection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174" fontId="7" fillId="0" borderId="0" xfId="0" applyNumberFormat="1" applyFont="1" applyAlignment="1"/>
    <xf numFmtId="0" fontId="64" fillId="0" borderId="2" xfId="0" applyFont="1" applyFill="1" applyBorder="1" applyAlignment="1" applyProtection="1">
      <alignment vertical="center" wrapText="1"/>
    </xf>
    <xf numFmtId="0" fontId="62" fillId="2" borderId="2" xfId="0" applyFont="1" applyFill="1" applyBorder="1" applyAlignment="1" applyProtection="1">
      <alignment vertical="center" wrapText="1"/>
    </xf>
    <xf numFmtId="0" fontId="6" fillId="2" borderId="2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>
      <alignment horizontal="center" vertical="center"/>
    </xf>
    <xf numFmtId="0" fontId="62" fillId="0" borderId="2" xfId="0" applyFont="1" applyFill="1" applyBorder="1" applyAlignment="1" applyProtection="1">
      <alignment vertical="center" wrapText="1"/>
    </xf>
    <xf numFmtId="0" fontId="64" fillId="2" borderId="2" xfId="0" applyFont="1" applyFill="1" applyBorder="1" applyAlignment="1" applyProtection="1">
      <alignment vertical="center" wrapText="1"/>
    </xf>
    <xf numFmtId="2" fontId="92" fillId="0" borderId="2" xfId="0" applyNumberFormat="1" applyFont="1" applyFill="1" applyBorder="1" applyAlignment="1" applyProtection="1">
      <alignment vertical="center" wrapText="1"/>
    </xf>
    <xf numFmtId="174" fontId="9" fillId="0" borderId="2" xfId="0" applyNumberFormat="1" applyFont="1" applyFill="1" applyBorder="1" applyAlignment="1" applyProtection="1">
      <alignment horizontal="center" vertical="center"/>
    </xf>
    <xf numFmtId="174" fontId="15" fillId="0" borderId="2" xfId="0" applyNumberFormat="1" applyFont="1" applyFill="1" applyBorder="1" applyAlignment="1" applyProtection="1">
      <alignment horizontal="center" vertical="center"/>
    </xf>
    <xf numFmtId="174" fontId="63" fillId="0" borderId="2" xfId="0" applyNumberFormat="1" applyFont="1" applyFill="1" applyBorder="1" applyAlignment="1" applyProtection="1">
      <alignment horizontal="center" vertical="center"/>
    </xf>
    <xf numFmtId="174" fontId="61" fillId="0" borderId="2" xfId="0" applyNumberFormat="1" applyFont="1" applyFill="1" applyBorder="1" applyAlignment="1" applyProtection="1">
      <alignment horizontal="center" vertical="center"/>
    </xf>
    <xf numFmtId="168" fontId="9" fillId="0" borderId="6" xfId="0" applyNumberFormat="1" applyFont="1" applyBorder="1" applyAlignment="1">
      <alignment horizontal="center" vertical="center"/>
    </xf>
    <xf numFmtId="174" fontId="63" fillId="2" borderId="2" xfId="0" applyNumberFormat="1" applyFont="1" applyFill="1" applyBorder="1" applyAlignment="1" applyProtection="1">
      <alignment horizontal="center" vertical="center"/>
    </xf>
    <xf numFmtId="174" fontId="7" fillId="0" borderId="2" xfId="0" applyNumberFormat="1" applyFont="1" applyFill="1" applyBorder="1" applyAlignment="1" applyProtection="1">
      <alignment horizontal="center" vertical="center"/>
    </xf>
    <xf numFmtId="174" fontId="64" fillId="2" borderId="2" xfId="0" applyNumberFormat="1" applyFont="1" applyFill="1" applyBorder="1" applyAlignment="1" applyProtection="1">
      <alignment horizontal="center" vertical="center"/>
    </xf>
    <xf numFmtId="174" fontId="62" fillId="0" borderId="2" xfId="0" applyNumberFormat="1" applyFont="1" applyFill="1" applyBorder="1" applyAlignment="1" applyProtection="1">
      <alignment horizontal="center" vertical="center"/>
    </xf>
    <xf numFmtId="174" fontId="62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74" fontId="14" fillId="0" borderId="2" xfId="0" applyNumberFormat="1" applyFont="1" applyFill="1" applyBorder="1" applyAlignment="1" applyProtection="1">
      <alignment horizontal="center" vertical="center"/>
    </xf>
    <xf numFmtId="174" fontId="64" fillId="2" borderId="2" xfId="0" applyNumberFormat="1" applyFont="1" applyFill="1" applyBorder="1" applyAlignment="1">
      <alignment horizontal="center" vertical="center"/>
    </xf>
    <xf numFmtId="168" fontId="7" fillId="0" borderId="6" xfId="0" applyNumberFormat="1" applyFont="1" applyBorder="1" applyAlignment="1">
      <alignment horizontal="center" vertical="center"/>
    </xf>
    <xf numFmtId="174" fontId="63" fillId="2" borderId="2" xfId="0" applyNumberFormat="1" applyFont="1" applyFill="1" applyBorder="1" applyAlignment="1">
      <alignment horizontal="center" vertical="center"/>
    </xf>
    <xf numFmtId="174" fontId="61" fillId="2" borderId="2" xfId="0" applyNumberFormat="1" applyFont="1" applyFill="1" applyBorder="1" applyAlignment="1" applyProtection="1">
      <alignment horizontal="center" vertical="center"/>
    </xf>
    <xf numFmtId="168" fontId="9" fillId="0" borderId="2" xfId="0" applyNumberFormat="1" applyFont="1" applyBorder="1" applyAlignment="1">
      <alignment horizontal="center" vertical="center"/>
    </xf>
    <xf numFmtId="168" fontId="6" fillId="0" borderId="2" xfId="0" applyNumberFormat="1" applyFont="1" applyFill="1" applyBorder="1" applyAlignment="1" applyProtection="1">
      <alignment horizontal="center" vertical="center"/>
    </xf>
    <xf numFmtId="174" fontId="9" fillId="2" borderId="2" xfId="0" applyNumberFormat="1" applyFont="1" applyFill="1" applyBorder="1" applyAlignment="1" applyProtection="1">
      <alignment horizontal="center" vertical="center"/>
    </xf>
    <xf numFmtId="174" fontId="8" fillId="2" borderId="2" xfId="0" applyNumberFormat="1" applyFont="1" applyFill="1" applyBorder="1" applyAlignment="1" applyProtection="1">
      <alignment horizontal="center" vertical="center"/>
    </xf>
    <xf numFmtId="174" fontId="7" fillId="2" borderId="2" xfId="0" applyNumberFormat="1" applyFont="1" applyFill="1" applyBorder="1" applyAlignment="1">
      <alignment horizontal="center" vertical="center"/>
    </xf>
    <xf numFmtId="168" fontId="7" fillId="2" borderId="2" xfId="0" applyNumberFormat="1" applyFont="1" applyFill="1" applyBorder="1" applyAlignment="1">
      <alignment horizontal="center" vertical="center"/>
    </xf>
    <xf numFmtId="168" fontId="7" fillId="2" borderId="6" xfId="0" applyNumberFormat="1" applyFont="1" applyFill="1" applyBorder="1" applyAlignment="1">
      <alignment horizontal="center" vertical="center"/>
    </xf>
    <xf numFmtId="174" fontId="62" fillId="2" borderId="2" xfId="0" applyNumberFormat="1" applyFont="1" applyFill="1" applyBorder="1" applyAlignment="1" applyProtection="1">
      <alignment horizontal="center" vertical="center"/>
    </xf>
    <xf numFmtId="0" fontId="8" fillId="2" borderId="8" xfId="0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9" fillId="2" borderId="2" xfId="0" applyFont="1" applyFill="1" applyBorder="1" applyAlignment="1" applyProtection="1">
      <alignment vertical="center" wrapText="1"/>
    </xf>
    <xf numFmtId="169" fontId="110" fillId="0" borderId="0" xfId="0" applyNumberFormat="1" applyFont="1" applyFill="1" applyAlignment="1" applyProtection="1">
      <alignment horizontal="center" vertical="center"/>
    </xf>
    <xf numFmtId="174" fontId="7" fillId="0" borderId="0" xfId="0" applyNumberFormat="1" applyFont="1" applyBorder="1"/>
    <xf numFmtId="0" fontId="78" fillId="2" borderId="2" xfId="0" applyFont="1" applyFill="1" applyBorder="1" applyAlignment="1" applyProtection="1">
      <alignment wrapText="1"/>
    </xf>
    <xf numFmtId="0" fontId="9" fillId="0" borderId="10" xfId="0" applyFont="1" applyFill="1" applyBorder="1" applyAlignment="1">
      <alignment horizontal="center"/>
    </xf>
    <xf numFmtId="0" fontId="9" fillId="0" borderId="10" xfId="0" applyFont="1" applyFill="1" applyBorder="1" applyAlignment="1" applyProtection="1">
      <alignment horizontal="center"/>
    </xf>
    <xf numFmtId="0" fontId="7" fillId="0" borderId="10" xfId="0" applyFont="1" applyFill="1" applyBorder="1" applyAlignment="1">
      <alignment horizontal="center"/>
    </xf>
    <xf numFmtId="1" fontId="11" fillId="0" borderId="8" xfId="0" applyNumberFormat="1" applyFont="1" applyFill="1" applyBorder="1" applyAlignment="1" applyProtection="1">
      <alignment horizontal="center" vertical="justify"/>
    </xf>
    <xf numFmtId="1" fontId="13" fillId="0" borderId="8" xfId="0" applyNumberFormat="1" applyFont="1" applyFill="1" applyBorder="1" applyAlignment="1" applyProtection="1">
      <alignment horizontal="center" vertical="justify"/>
    </xf>
    <xf numFmtId="1" fontId="15" fillId="0" borderId="8" xfId="0" applyNumberFormat="1" applyFont="1" applyFill="1" applyBorder="1" applyAlignment="1" applyProtection="1">
      <alignment horizontal="center" vertical="justify"/>
    </xf>
    <xf numFmtId="1" fontId="9" fillId="0" borderId="8" xfId="0" applyNumberFormat="1" applyFont="1" applyFill="1" applyBorder="1" applyAlignment="1" applyProtection="1">
      <alignment horizontal="center" vertical="justify"/>
    </xf>
    <xf numFmtId="1" fontId="11" fillId="0" borderId="8" xfId="0" applyNumberFormat="1" applyFont="1" applyFill="1" applyBorder="1" applyAlignment="1">
      <alignment horizontal="center" vertical="justify"/>
    </xf>
    <xf numFmtId="174" fontId="62" fillId="0" borderId="2" xfId="0" applyNumberFormat="1" applyFont="1" applyFill="1" applyBorder="1" applyAlignment="1" applyProtection="1">
      <alignment horizontal="center"/>
    </xf>
    <xf numFmtId="0" fontId="64" fillId="0" borderId="2" xfId="0" applyFont="1" applyFill="1" applyBorder="1" applyAlignment="1" applyProtection="1">
      <alignment wrapText="1"/>
    </xf>
    <xf numFmtId="174" fontId="83" fillId="2" borderId="2" xfId="0" applyNumberFormat="1" applyFont="1" applyFill="1" applyBorder="1" applyAlignment="1" applyProtection="1">
      <alignment horizontal="center"/>
    </xf>
    <xf numFmtId="2" fontId="102" fillId="0" borderId="2" xfId="0" applyNumberFormat="1" applyFont="1" applyFill="1" applyBorder="1" applyAlignment="1" applyProtection="1">
      <alignment horizontal="left" wrapText="1"/>
    </xf>
    <xf numFmtId="169" fontId="111" fillId="0" borderId="2" xfId="0" applyNumberFormat="1" applyFont="1" applyFill="1" applyBorder="1" applyAlignment="1" applyProtection="1">
      <alignment horizontal="center"/>
    </xf>
    <xf numFmtId="0" fontId="62" fillId="0" borderId="2" xfId="0" applyFont="1" applyBorder="1" applyAlignment="1">
      <alignment wrapText="1"/>
    </xf>
    <xf numFmtId="166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Alignment="1"/>
    <xf numFmtId="2" fontId="6" fillId="0" borderId="0" xfId="0" applyNumberFormat="1" applyFont="1" applyFill="1" applyAlignment="1"/>
    <xf numFmtId="2" fontId="7" fillId="0" borderId="0" xfId="0" applyNumberFormat="1" applyFont="1" applyAlignment="1">
      <alignment horizontal="center"/>
    </xf>
    <xf numFmtId="2" fontId="7" fillId="0" borderId="0" xfId="0" applyNumberFormat="1" applyFont="1" applyFill="1"/>
    <xf numFmtId="1" fontId="6" fillId="0" borderId="0" xfId="0" applyNumberFormat="1" applyFont="1" applyFill="1" applyBorder="1" applyAlignment="1" applyProtection="1">
      <alignment horizontal="center" vertical="center"/>
    </xf>
    <xf numFmtId="2" fontId="6" fillId="0" borderId="0" xfId="0" applyNumberFormat="1" applyFont="1" applyFill="1" applyBorder="1" applyAlignment="1" applyProtection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39" fillId="0" borderId="2" xfId="0" applyFont="1" applyBorder="1" applyAlignment="1">
      <alignment horizontal="left" vertical="center" wrapText="1"/>
    </xf>
    <xf numFmtId="0" fontId="9" fillId="0" borderId="2" xfId="0" applyFont="1" applyFill="1" applyBorder="1" applyAlignment="1" applyProtection="1">
      <alignment horizontal="left" vertical="top" wrapText="1"/>
    </xf>
    <xf numFmtId="2" fontId="9" fillId="0" borderId="2" xfId="0" applyNumberFormat="1" applyFont="1" applyFill="1" applyBorder="1" applyAlignment="1" applyProtection="1">
      <alignment horizontal="left" wrapText="1"/>
    </xf>
    <xf numFmtId="0" fontId="9" fillId="0" borderId="2" xfId="0" applyFont="1" applyFill="1" applyBorder="1" applyAlignment="1" applyProtection="1">
      <alignment vertical="top" wrapText="1"/>
    </xf>
    <xf numFmtId="2" fontId="9" fillId="0" borderId="2" xfId="0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Border="1"/>
    <xf numFmtId="1" fontId="41" fillId="0" borderId="2" xfId="0" applyNumberFormat="1" applyFont="1" applyFill="1" applyBorder="1" applyAlignment="1">
      <alignment horizontal="center"/>
    </xf>
    <xf numFmtId="2" fontId="7" fillId="0" borderId="2" xfId="0" applyNumberFormat="1" applyFont="1" applyFill="1" applyBorder="1" applyAlignment="1" applyProtection="1">
      <alignment horizontal="center"/>
    </xf>
    <xf numFmtId="2" fontId="7" fillId="0" borderId="6" xfId="0" applyNumberFormat="1" applyFont="1" applyFill="1" applyBorder="1" applyAlignment="1" applyProtection="1">
      <alignment horizontal="center"/>
    </xf>
    <xf numFmtId="172" fontId="7" fillId="0" borderId="2" xfId="0" applyNumberFormat="1" applyFont="1" applyFill="1" applyBorder="1" applyAlignment="1" applyProtection="1">
      <alignment horizontal="center"/>
    </xf>
    <xf numFmtId="169" fontId="9" fillId="3" borderId="2" xfId="0" applyNumberFormat="1" applyFont="1" applyFill="1" applyBorder="1" applyAlignment="1" applyProtection="1">
      <alignment horizontal="center" vertical="center"/>
      <protection locked="0"/>
    </xf>
    <xf numFmtId="169" fontId="70" fillId="3" borderId="2" xfId="0" applyNumberFormat="1" applyFont="1" applyFill="1" applyBorder="1" applyAlignment="1" applyProtection="1">
      <alignment horizontal="center" vertical="center"/>
      <protection locked="0"/>
    </xf>
    <xf numFmtId="169" fontId="71" fillId="3" borderId="2" xfId="0" applyNumberFormat="1" applyFont="1" applyFill="1" applyBorder="1" applyAlignment="1" applyProtection="1">
      <alignment horizontal="center" vertical="center"/>
      <protection locked="0"/>
    </xf>
    <xf numFmtId="169" fontId="9" fillId="3" borderId="10" xfId="0" applyNumberFormat="1" applyFont="1" applyFill="1" applyBorder="1" applyAlignment="1" applyProtection="1">
      <alignment horizontal="center" vertical="center"/>
      <protection locked="0"/>
    </xf>
    <xf numFmtId="169" fontId="70" fillId="3" borderId="10" xfId="0" applyNumberFormat="1" applyFont="1" applyFill="1" applyBorder="1" applyAlignment="1" applyProtection="1">
      <alignment horizontal="center" vertical="center"/>
      <protection locked="0"/>
    </xf>
    <xf numFmtId="169" fontId="71" fillId="3" borderId="10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174" fontId="63" fillId="0" borderId="2" xfId="0" applyNumberFormat="1" applyFont="1" applyBorder="1" applyAlignment="1">
      <alignment horizontal="center"/>
    </xf>
    <xf numFmtId="174" fontId="64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horizontal="left" vertical="top" wrapText="1"/>
    </xf>
    <xf numFmtId="174" fontId="9" fillId="0" borderId="2" xfId="0" applyNumberFormat="1" applyFont="1" applyBorder="1"/>
    <xf numFmtId="174" fontId="9" fillId="0" borderId="2" xfId="0" applyNumberFormat="1" applyFont="1" applyBorder="1" applyAlignment="1"/>
    <xf numFmtId="174" fontId="39" fillId="0" borderId="2" xfId="0" applyNumberFormat="1" applyFont="1" applyBorder="1" applyAlignment="1"/>
    <xf numFmtId="0" fontId="62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39" fillId="0" borderId="2" xfId="0" applyFont="1" applyBorder="1" applyAlignment="1">
      <alignment horizontal="center" vertical="top"/>
    </xf>
    <xf numFmtId="174" fontId="10" fillId="0" borderId="2" xfId="0" applyNumberFormat="1" applyFont="1" applyBorder="1" applyAlignment="1">
      <alignment horizontal="center"/>
    </xf>
    <xf numFmtId="174" fontId="11" fillId="0" borderId="2" xfId="0" applyNumberFormat="1" applyFont="1" applyBorder="1" applyAlignment="1">
      <alignment horizontal="center"/>
    </xf>
    <xf numFmtId="174" fontId="61" fillId="0" borderId="2" xfId="0" applyNumberFormat="1" applyFont="1" applyBorder="1" applyAlignment="1">
      <alignment horizontal="center" vertical="center"/>
    </xf>
    <xf numFmtId="174" fontId="63" fillId="0" borderId="2" xfId="0" applyNumberFormat="1" applyFont="1" applyBorder="1" applyAlignment="1">
      <alignment horizontal="center" vertical="center"/>
    </xf>
    <xf numFmtId="169" fontId="61" fillId="0" borderId="2" xfId="0" applyNumberFormat="1" applyFont="1" applyFill="1" applyBorder="1" applyAlignment="1">
      <alignment horizontal="center"/>
    </xf>
    <xf numFmtId="169" fontId="63" fillId="0" borderId="2" xfId="0" applyNumberFormat="1" applyFont="1" applyFill="1" applyBorder="1" applyAlignment="1">
      <alignment horizontal="center"/>
    </xf>
    <xf numFmtId="14" fontId="7" fillId="0" borderId="0" xfId="0" applyNumberFormat="1" applyFont="1"/>
    <xf numFmtId="0" fontId="9" fillId="0" borderId="2" xfId="0" applyNumberFormat="1" applyFont="1" applyBorder="1"/>
    <xf numFmtId="174" fontId="32" fillId="0" borderId="2" xfId="0" applyNumberFormat="1" applyFont="1" applyFill="1" applyBorder="1" applyAlignment="1" applyProtection="1">
      <alignment horizontal="center"/>
      <protection locked="0"/>
    </xf>
    <xf numFmtId="0" fontId="9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64" fillId="0" borderId="2" xfId="0" applyFont="1" applyBorder="1" applyAlignment="1">
      <alignment horizontal="left" vertical="top" wrapText="1"/>
    </xf>
    <xf numFmtId="174" fontId="61" fillId="0" borderId="2" xfId="0" applyNumberFormat="1" applyFont="1" applyBorder="1" applyAlignment="1">
      <alignment horizontal="center"/>
    </xf>
    <xf numFmtId="0" fontId="7" fillId="0" borderId="63" xfId="0" applyFont="1" applyBorder="1"/>
    <xf numFmtId="172" fontId="9" fillId="0" borderId="10" xfId="0" applyNumberFormat="1" applyFont="1" applyFill="1" applyBorder="1" applyAlignment="1" applyProtection="1">
      <alignment horizontal="center"/>
      <protection locked="0"/>
    </xf>
    <xf numFmtId="174" fontId="63" fillId="0" borderId="10" xfId="0" applyNumberFormat="1" applyFont="1" applyBorder="1" applyAlignment="1">
      <alignment horizontal="center" wrapText="1"/>
    </xf>
    <xf numFmtId="174" fontId="61" fillId="0" borderId="10" xfId="0" applyNumberFormat="1" applyFont="1" applyBorder="1" applyAlignment="1">
      <alignment horizontal="center" wrapText="1"/>
    </xf>
    <xf numFmtId="0" fontId="9" fillId="0" borderId="2" xfId="0" applyFont="1" applyFill="1" applyBorder="1" applyAlignment="1" applyProtection="1">
      <alignment horizontal="center" vertical="top"/>
    </xf>
    <xf numFmtId="0" fontId="7" fillId="0" borderId="2" xfId="0" applyFont="1" applyFill="1" applyBorder="1" applyAlignment="1">
      <alignment horizontal="center" vertical="top"/>
    </xf>
    <xf numFmtId="0" fontId="9" fillId="0" borderId="2" xfId="0" applyFont="1" applyBorder="1" applyAlignment="1">
      <alignment vertical="center" wrapText="1"/>
    </xf>
    <xf numFmtId="0" fontId="8" fillId="0" borderId="2" xfId="0" applyFont="1" applyFill="1" applyBorder="1" applyAlignment="1" applyProtection="1">
      <alignment horizontal="left" vertical="top" wrapText="1"/>
    </xf>
    <xf numFmtId="0" fontId="9" fillId="0" borderId="2" xfId="0" applyNumberFormat="1" applyFont="1" applyBorder="1" applyAlignment="1">
      <alignment horizontal="center"/>
    </xf>
    <xf numFmtId="174" fontId="7" fillId="0" borderId="2" xfId="0" applyNumberFormat="1" applyFont="1" applyFill="1" applyBorder="1" applyAlignment="1" applyProtection="1">
      <alignment horizontal="center"/>
      <protection locked="0"/>
    </xf>
    <xf numFmtId="0" fontId="62" fillId="0" borderId="2" xfId="0" applyNumberFormat="1" applyFont="1" applyBorder="1" applyAlignment="1">
      <alignment horizontal="left" wrapText="1"/>
    </xf>
    <xf numFmtId="0" fontId="9" fillId="0" borderId="2" xfId="0" applyNumberFormat="1" applyFont="1" applyBorder="1" applyAlignment="1">
      <alignment horizontal="center" vertical="top"/>
    </xf>
    <xf numFmtId="0" fontId="7" fillId="0" borderId="2" xfId="0" applyNumberFormat="1" applyFont="1" applyBorder="1" applyAlignment="1">
      <alignment horizontal="left" wrapText="1"/>
    </xf>
    <xf numFmtId="0" fontId="9" fillId="0" borderId="46" xfId="0" applyNumberFormat="1" applyFont="1" applyBorder="1" applyAlignment="1">
      <alignment horizontal="center" vertical="top"/>
    </xf>
    <xf numFmtId="0" fontId="9" fillId="0" borderId="10" xfId="0" applyNumberFormat="1" applyFont="1" applyBorder="1" applyAlignment="1">
      <alignment horizontal="center"/>
    </xf>
    <xf numFmtId="0" fontId="64" fillId="0" borderId="2" xfId="0" applyNumberFormat="1" applyFont="1" applyBorder="1" applyAlignment="1">
      <alignment horizontal="left" wrapText="1"/>
    </xf>
    <xf numFmtId="1" fontId="8" fillId="0" borderId="10" xfId="0" applyNumberFormat="1" applyFont="1" applyFill="1" applyBorder="1" applyAlignment="1">
      <alignment horizontal="center" vertical="center"/>
    </xf>
    <xf numFmtId="174" fontId="63" fillId="0" borderId="10" xfId="0" applyNumberFormat="1" applyFont="1" applyBorder="1" applyAlignment="1">
      <alignment horizontal="center"/>
    </xf>
    <xf numFmtId="0" fontId="9" fillId="0" borderId="8" xfId="0" applyNumberFormat="1" applyFont="1" applyBorder="1" applyAlignment="1">
      <alignment horizontal="center" vertical="top"/>
    </xf>
    <xf numFmtId="169" fontId="8" fillId="0" borderId="10" xfId="0" applyNumberFormat="1" applyFont="1" applyFill="1" applyBorder="1" applyAlignment="1">
      <alignment horizontal="center"/>
    </xf>
    <xf numFmtId="169" fontId="15" fillId="0" borderId="10" xfId="0" applyNumberFormat="1" applyFont="1" applyFill="1" applyBorder="1" applyAlignment="1">
      <alignment horizontal="center"/>
    </xf>
    <xf numFmtId="169" fontId="71" fillId="0" borderId="10" xfId="0" applyNumberFormat="1" applyFont="1" applyFill="1" applyBorder="1" applyAlignment="1">
      <alignment horizontal="center"/>
    </xf>
    <xf numFmtId="168" fontId="8" fillId="0" borderId="10" xfId="0" applyNumberFormat="1" applyFont="1" applyFill="1" applyBorder="1" applyAlignment="1">
      <alignment horizontal="center" vertical="center"/>
    </xf>
    <xf numFmtId="166" fontId="8" fillId="0" borderId="10" xfId="0" applyNumberFormat="1" applyFont="1" applyFill="1" applyBorder="1" applyAlignment="1">
      <alignment horizontal="center" vertical="center"/>
    </xf>
    <xf numFmtId="167" fontId="9" fillId="0" borderId="2" xfId="0" applyNumberFormat="1" applyFont="1" applyBorder="1" applyAlignment="1">
      <alignment horizontal="center" vertical="center"/>
    </xf>
    <xf numFmtId="0" fontId="65" fillId="0" borderId="2" xfId="0" applyFont="1" applyBorder="1"/>
    <xf numFmtId="0" fontId="39" fillId="0" borderId="2" xfId="0" applyFont="1" applyBorder="1"/>
    <xf numFmtId="0" fontId="82" fillId="0" borderId="2" xfId="0" applyFont="1" applyBorder="1"/>
    <xf numFmtId="0" fontId="32" fillId="0" borderId="46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169" fontId="71" fillId="0" borderId="10" xfId="0" applyNumberFormat="1" applyFont="1" applyBorder="1" applyAlignment="1">
      <alignment horizontal="center"/>
    </xf>
    <xf numFmtId="0" fontId="9" fillId="0" borderId="38" xfId="0" applyFont="1" applyBorder="1" applyAlignment="1">
      <alignment horizontal="center" vertical="justify"/>
    </xf>
    <xf numFmtId="174" fontId="0" fillId="0" borderId="2" xfId="0" applyNumberFormat="1" applyBorder="1" applyAlignment="1">
      <alignment horizontal="center"/>
    </xf>
    <xf numFmtId="1" fontId="8" fillId="0" borderId="2" xfId="0" applyNumberFormat="1" applyFont="1" applyFill="1" applyBorder="1" applyAlignment="1" applyProtection="1">
      <alignment horizontal="center" vertical="top"/>
    </xf>
    <xf numFmtId="1" fontId="8" fillId="0" borderId="2" xfId="0" applyNumberFormat="1" applyFont="1" applyFill="1" applyBorder="1" applyAlignment="1">
      <alignment horizontal="center" vertical="top"/>
    </xf>
    <xf numFmtId="172" fontId="7" fillId="0" borderId="2" xfId="0" applyNumberFormat="1" applyFont="1" applyFill="1" applyBorder="1" applyAlignment="1" applyProtection="1">
      <alignment horizontal="center" vertical="center"/>
      <protection locked="0"/>
    </xf>
    <xf numFmtId="172" fontId="9" fillId="0" borderId="2" xfId="0" applyNumberFormat="1" applyFont="1" applyFill="1" applyBorder="1" applyAlignment="1" applyProtection="1">
      <alignment horizontal="center" vertical="center"/>
      <protection locked="0"/>
    </xf>
    <xf numFmtId="0" fontId="7" fillId="0" borderId="63" xfId="0" applyFont="1" applyBorder="1" applyAlignment="1">
      <alignment horizontal="center" vertical="justify"/>
    </xf>
    <xf numFmtId="0" fontId="7" fillId="0" borderId="63" xfId="0" applyFont="1" applyBorder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justify"/>
      <protection locked="0"/>
    </xf>
    <xf numFmtId="167" fontId="7" fillId="0" borderId="2" xfId="0" applyNumberFormat="1" applyFont="1" applyBorder="1" applyAlignment="1">
      <alignment horizontal="center" vertical="center"/>
    </xf>
    <xf numFmtId="174" fontId="63" fillId="0" borderId="2" xfId="0" applyNumberFormat="1" applyFont="1" applyBorder="1" applyAlignment="1"/>
    <xf numFmtId="0" fontId="65" fillId="0" borderId="3" xfId="0" applyFont="1" applyFill="1" applyBorder="1" applyAlignment="1" applyProtection="1">
      <alignment wrapText="1"/>
      <protection locked="0"/>
    </xf>
    <xf numFmtId="0" fontId="9" fillId="0" borderId="0" xfId="0" applyFont="1" applyAlignment="1">
      <alignment horizontal="center"/>
    </xf>
    <xf numFmtId="172" fontId="0" fillId="0" borderId="2" xfId="0" applyNumberFormat="1" applyBorder="1" applyAlignment="1">
      <alignment horizontal="center"/>
    </xf>
    <xf numFmtId="172" fontId="61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63" xfId="0" applyBorder="1" applyAlignment="1">
      <alignment horizontal="center" vertical="top"/>
    </xf>
    <xf numFmtId="0" fontId="19" fillId="0" borderId="63" xfId="0" applyFont="1" applyBorder="1" applyAlignment="1">
      <alignment wrapText="1"/>
    </xf>
    <xf numFmtId="0" fontId="0" fillId="0" borderId="63" xfId="0" applyBorder="1" applyAlignment="1">
      <alignment horizontal="center" vertical="center"/>
    </xf>
    <xf numFmtId="174" fontId="9" fillId="0" borderId="2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 vertical="top"/>
    </xf>
    <xf numFmtId="0" fontId="7" fillId="0" borderId="38" xfId="0" applyFont="1" applyBorder="1" applyAlignment="1" applyProtection="1">
      <alignment horizontal="center" vertical="top"/>
    </xf>
    <xf numFmtId="0" fontId="6" fillId="0" borderId="10" xfId="0" applyFont="1" applyFill="1" applyBorder="1" applyAlignment="1" applyProtection="1">
      <alignment horizontal="center" vertical="top"/>
    </xf>
    <xf numFmtId="0" fontId="6" fillId="0" borderId="10" xfId="0" applyFont="1" applyFill="1" applyBorder="1" applyAlignment="1" applyProtection="1">
      <alignment wrapText="1"/>
    </xf>
    <xf numFmtId="174" fontId="6" fillId="0" borderId="10" xfId="0" applyNumberFormat="1" applyFont="1" applyFill="1" applyBorder="1" applyAlignment="1" applyProtection="1">
      <alignment horizontal="center"/>
    </xf>
    <xf numFmtId="174" fontId="14" fillId="0" borderId="10" xfId="0" applyNumberFormat="1" applyFont="1" applyFill="1" applyBorder="1" applyAlignment="1" applyProtection="1">
      <alignment horizontal="center"/>
    </xf>
    <xf numFmtId="174" fontId="70" fillId="0" borderId="10" xfId="0" applyNumberFormat="1" applyFont="1" applyFill="1" applyBorder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/>
    </xf>
    <xf numFmtId="0" fontId="33" fillId="0" borderId="63" xfId="0" applyFont="1" applyBorder="1" applyAlignment="1">
      <alignment horizontal="center"/>
    </xf>
    <xf numFmtId="0" fontId="7" fillId="0" borderId="63" xfId="0" applyFont="1" applyFill="1" applyBorder="1" applyAlignment="1">
      <alignment wrapText="1"/>
    </xf>
    <xf numFmtId="0" fontId="7" fillId="0" borderId="63" xfId="0" applyFont="1" applyBorder="1" applyAlignment="1">
      <alignment horizontal="center"/>
    </xf>
    <xf numFmtId="0" fontId="33" fillId="0" borderId="46" xfId="0" applyFont="1" applyBorder="1" applyAlignment="1">
      <alignment horizontal="center"/>
    </xf>
    <xf numFmtId="0" fontId="33" fillId="0" borderId="47" xfId="0" applyFont="1" applyBorder="1" applyAlignment="1">
      <alignment horizontal="center"/>
    </xf>
    <xf numFmtId="2" fontId="92" fillId="0" borderId="10" xfId="0" applyNumberFormat="1" applyFont="1" applyFill="1" applyBorder="1" applyAlignment="1" applyProtection="1">
      <alignment horizontal="left" wrapText="1"/>
    </xf>
    <xf numFmtId="0" fontId="62" fillId="0" borderId="10" xfId="0" applyFont="1" applyBorder="1" applyAlignment="1">
      <alignment horizontal="left" vertical="top" wrapText="1"/>
    </xf>
    <xf numFmtId="0" fontId="92" fillId="0" borderId="10" xfId="0" applyFont="1" applyFill="1" applyBorder="1" applyAlignment="1" applyProtection="1">
      <alignment wrapText="1"/>
    </xf>
    <xf numFmtId="0" fontId="7" fillId="0" borderId="10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center"/>
    </xf>
    <xf numFmtId="174" fontId="64" fillId="0" borderId="10" xfId="0" applyNumberFormat="1" applyFont="1" applyBorder="1" applyAlignment="1">
      <alignment horizontal="center"/>
    </xf>
    <xf numFmtId="174" fontId="61" fillId="0" borderId="10" xfId="0" applyNumberFormat="1" applyFont="1" applyBorder="1" applyAlignment="1">
      <alignment horizontal="center"/>
    </xf>
    <xf numFmtId="174" fontId="62" fillId="0" borderId="10" xfId="0" applyNumberFormat="1" applyFont="1" applyBorder="1" applyAlignment="1">
      <alignment horizontal="center" wrapText="1"/>
    </xf>
    <xf numFmtId="167" fontId="9" fillId="0" borderId="10" xfId="0" applyNumberFormat="1" applyFont="1" applyBorder="1" applyAlignment="1">
      <alignment horizontal="center"/>
    </xf>
    <xf numFmtId="174" fontId="64" fillId="0" borderId="2" xfId="0" applyNumberFormat="1" applyFont="1" applyFill="1" applyBorder="1" applyAlignment="1">
      <alignment horizontal="center"/>
    </xf>
    <xf numFmtId="174" fontId="63" fillId="0" borderId="2" xfId="0" applyNumberFormat="1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 vertical="justify" wrapText="1"/>
    </xf>
    <xf numFmtId="0" fontId="7" fillId="0" borderId="63" xfId="0" applyFont="1" applyFill="1" applyBorder="1"/>
    <xf numFmtId="1" fontId="7" fillId="0" borderId="63" xfId="0" applyNumberFormat="1" applyFont="1" applyFill="1" applyBorder="1"/>
    <xf numFmtId="1" fontId="7" fillId="0" borderId="6" xfId="0" applyNumberFormat="1" applyFont="1" applyFill="1" applyBorder="1"/>
    <xf numFmtId="0" fontId="9" fillId="0" borderId="2" xfId="0" applyFont="1" applyBorder="1" applyAlignment="1">
      <alignment horizontal="left" vertical="top" wrapText="1"/>
    </xf>
    <xf numFmtId="1" fontId="9" fillId="0" borderId="2" xfId="0" applyNumberFormat="1" applyFont="1" applyFill="1" applyBorder="1" applyAlignment="1" applyProtection="1">
      <alignment horizontal="center" vertical="justify"/>
    </xf>
    <xf numFmtId="172" fontId="7" fillId="0" borderId="3" xfId="0" applyNumberFormat="1" applyFont="1" applyFill="1" applyBorder="1" applyAlignment="1" applyProtection="1">
      <alignment horizontal="center"/>
      <protection locked="0"/>
    </xf>
    <xf numFmtId="174" fontId="61" fillId="0" borderId="43" xfId="0" applyNumberFormat="1" applyFont="1" applyBorder="1" applyAlignment="1">
      <alignment horizontal="center" wrapText="1"/>
    </xf>
    <xf numFmtId="174" fontId="62" fillId="0" borderId="43" xfId="0" applyNumberFormat="1" applyFont="1" applyBorder="1" applyAlignment="1">
      <alignment horizontal="center" wrapText="1"/>
    </xf>
    <xf numFmtId="174" fontId="71" fillId="2" borderId="43" xfId="0" applyNumberFormat="1" applyFont="1" applyFill="1" applyBorder="1" applyAlignment="1" applyProtection="1">
      <alignment horizontal="center"/>
    </xf>
    <xf numFmtId="174" fontId="61" fillId="0" borderId="43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 vertical="center"/>
    </xf>
    <xf numFmtId="174" fontId="10" fillId="0" borderId="2" xfId="0" applyNumberFormat="1" applyFont="1" applyBorder="1" applyAlignment="1">
      <alignment horizontal="center" vertical="center"/>
    </xf>
    <xf numFmtId="174" fontId="61" fillId="0" borderId="2" xfId="0" applyNumberFormat="1" applyFont="1" applyFill="1" applyBorder="1" applyAlignment="1">
      <alignment horizontal="center" vertical="center"/>
    </xf>
    <xf numFmtId="174" fontId="62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justify"/>
    </xf>
    <xf numFmtId="0" fontId="27" fillId="0" borderId="2" xfId="0" applyFont="1" applyFill="1" applyBorder="1" applyAlignment="1">
      <alignment horizontal="center" vertical="justify"/>
    </xf>
    <xf numFmtId="2" fontId="45" fillId="0" borderId="3" xfId="0" applyNumberFormat="1" applyFont="1" applyBorder="1" applyAlignment="1">
      <alignment horizontal="center" vertical="center"/>
    </xf>
    <xf numFmtId="172" fontId="32" fillId="0" borderId="2" xfId="0" applyNumberFormat="1" applyFont="1" applyFill="1" applyBorder="1" applyAlignment="1" applyProtection="1">
      <alignment horizontal="center" vertical="center"/>
      <protection locked="0"/>
    </xf>
    <xf numFmtId="174" fontId="9" fillId="0" borderId="2" xfId="0" applyNumberFormat="1" applyFont="1" applyBorder="1" applyAlignment="1">
      <alignment horizontal="center" vertical="center" wrapText="1"/>
    </xf>
    <xf numFmtId="174" fontId="67" fillId="0" borderId="2" xfId="0" applyNumberFormat="1" applyFont="1" applyBorder="1" applyAlignment="1">
      <alignment horizontal="center" vertical="center" wrapText="1"/>
    </xf>
    <xf numFmtId="174" fontId="11" fillId="0" borderId="2" xfId="0" applyNumberFormat="1" applyFont="1" applyBorder="1" applyAlignment="1">
      <alignment horizontal="center" vertical="center" wrapText="1"/>
    </xf>
    <xf numFmtId="174" fontId="63" fillId="0" borderId="2" xfId="0" applyNumberFormat="1" applyFont="1" applyBorder="1" applyAlignment="1">
      <alignment horizontal="center" vertical="center" wrapText="1"/>
    </xf>
    <xf numFmtId="174" fontId="61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/>
    <xf numFmtId="174" fontId="62" fillId="0" borderId="2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172" fontId="7" fillId="0" borderId="2" xfId="0" applyNumberFormat="1" applyFont="1" applyFill="1" applyBorder="1" applyAlignment="1" applyProtection="1">
      <alignment horizontal="center" wrapText="1"/>
      <protection locked="0"/>
    </xf>
    <xf numFmtId="0" fontId="64" fillId="0" borderId="2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center" wrapText="1"/>
    </xf>
    <xf numFmtId="172" fontId="9" fillId="0" borderId="2" xfId="0" applyNumberFormat="1" applyFont="1" applyFill="1" applyBorder="1" applyAlignment="1" applyProtection="1">
      <alignment horizontal="center" wrapText="1"/>
      <protection locked="0"/>
    </xf>
    <xf numFmtId="0" fontId="62" fillId="0" borderId="2" xfId="0" applyFont="1" applyBorder="1" applyAlignment="1">
      <alignment vertical="center" wrapText="1"/>
    </xf>
    <xf numFmtId="0" fontId="9" fillId="0" borderId="8" xfId="0" applyFont="1" applyBorder="1" applyAlignment="1">
      <alignment horizontal="center" vertical="top" wrapText="1"/>
    </xf>
    <xf numFmtId="0" fontId="9" fillId="0" borderId="46" xfId="0" applyFont="1" applyBorder="1" applyAlignment="1">
      <alignment horizontal="center" vertical="top" wrapText="1"/>
    </xf>
    <xf numFmtId="1" fontId="32" fillId="0" borderId="3" xfId="0" applyNumberFormat="1" applyFont="1" applyFill="1" applyBorder="1" applyAlignment="1" applyProtection="1">
      <alignment horizontal="center" vertical="top"/>
    </xf>
    <xf numFmtId="170" fontId="32" fillId="0" borderId="3" xfId="0" applyNumberFormat="1" applyFont="1" applyFill="1" applyBorder="1" applyAlignment="1" applyProtection="1">
      <alignment vertical="center" wrapText="1"/>
    </xf>
    <xf numFmtId="1" fontId="9" fillId="0" borderId="3" xfId="0" applyNumberFormat="1" applyFont="1" applyFill="1" applyBorder="1" applyAlignment="1" applyProtection="1">
      <alignment horizontal="center"/>
    </xf>
    <xf numFmtId="172" fontId="32" fillId="0" borderId="3" xfId="0" applyNumberFormat="1" applyFont="1" applyFill="1" applyBorder="1" applyAlignment="1">
      <alignment horizontal="center"/>
    </xf>
    <xf numFmtId="172" fontId="81" fillId="0" borderId="3" xfId="0" applyNumberFormat="1" applyFont="1" applyFill="1" applyBorder="1" applyAlignment="1">
      <alignment horizontal="center"/>
    </xf>
    <xf numFmtId="172" fontId="32" fillId="0" borderId="3" xfId="0" applyNumberFormat="1" applyFont="1" applyFill="1" applyBorder="1" applyAlignment="1" applyProtection="1">
      <alignment horizontal="center"/>
    </xf>
    <xf numFmtId="172" fontId="50" fillId="0" borderId="3" xfId="0" applyNumberFormat="1" applyFont="1" applyFill="1" applyBorder="1" applyAlignment="1">
      <alignment horizontal="center"/>
    </xf>
    <xf numFmtId="172" fontId="83" fillId="0" borderId="3" xfId="0" applyNumberFormat="1" applyFont="1" applyFill="1" applyBorder="1" applyAlignment="1">
      <alignment horizontal="center"/>
    </xf>
    <xf numFmtId="172" fontId="70" fillId="0" borderId="3" xfId="0" applyNumberFormat="1" applyFont="1" applyFill="1" applyBorder="1" applyAlignment="1">
      <alignment horizontal="center"/>
    </xf>
    <xf numFmtId="172" fontId="71" fillId="0" borderId="3" xfId="0" applyNumberFormat="1" applyFont="1" applyFill="1" applyBorder="1" applyAlignment="1">
      <alignment horizontal="center"/>
    </xf>
    <xf numFmtId="1" fontId="32" fillId="0" borderId="3" xfId="0" applyNumberFormat="1" applyFont="1" applyFill="1" applyBorder="1" applyAlignment="1">
      <alignment horizontal="center"/>
    </xf>
    <xf numFmtId="0" fontId="32" fillId="0" borderId="3" xfId="0" applyFont="1" applyFill="1" applyBorder="1" applyAlignment="1">
      <alignment horizontal="center"/>
    </xf>
    <xf numFmtId="2" fontId="32" fillId="0" borderId="37" xfId="0" applyNumberFormat="1" applyFont="1" applyFill="1" applyBorder="1" applyAlignment="1" applyProtection="1">
      <alignment horizontal="center"/>
    </xf>
    <xf numFmtId="0" fontId="0" fillId="0" borderId="2" xfId="0" applyBorder="1" applyAlignment="1">
      <alignment horizontal="center" vertical="justify"/>
    </xf>
    <xf numFmtId="0" fontId="64" fillId="0" borderId="2" xfId="0" applyFont="1" applyBorder="1" applyAlignment="1">
      <alignment wrapText="1"/>
    </xf>
    <xf numFmtId="174" fontId="71" fillId="0" borderId="2" xfId="0" applyNumberFormat="1" applyFont="1" applyBorder="1" applyAlignment="1">
      <alignment horizontal="center" wrapText="1"/>
    </xf>
    <xf numFmtId="174" fontId="62" fillId="0" borderId="2" xfId="0" applyNumberFormat="1" applyFont="1" applyBorder="1" applyAlignment="1">
      <alignment horizontal="center"/>
    </xf>
    <xf numFmtId="0" fontId="62" fillId="0" borderId="2" xfId="0" applyFont="1" applyFill="1" applyBorder="1" applyAlignment="1">
      <alignment horizontal="left" vertical="justify" wrapText="1"/>
    </xf>
    <xf numFmtId="0" fontId="8" fillId="0" borderId="23" xfId="0" applyFont="1" applyFill="1" applyBorder="1" applyAlignment="1" applyProtection="1">
      <alignment horizontal="center" vertical="center" wrapText="1" shrinkToFit="1"/>
    </xf>
    <xf numFmtId="0" fontId="8" fillId="0" borderId="26" xfId="0" applyFont="1" applyFill="1" applyBorder="1" applyAlignment="1" applyProtection="1">
      <alignment horizontal="center" vertical="center" wrapText="1" shrinkToFit="1"/>
    </xf>
    <xf numFmtId="0" fontId="8" fillId="0" borderId="21" xfId="0" applyFont="1" applyFill="1" applyBorder="1" applyAlignment="1" applyProtection="1">
      <alignment horizontal="center" vertical="center" wrapText="1" shrinkToFit="1"/>
    </xf>
    <xf numFmtId="0" fontId="9" fillId="0" borderId="2" xfId="0" applyFont="1" applyFill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center" vertical="center"/>
    </xf>
    <xf numFmtId="174" fontId="9" fillId="0" borderId="11" xfId="0" applyNumberFormat="1" applyFont="1" applyFill="1" applyBorder="1" applyAlignment="1" applyProtection="1">
      <alignment horizontal="center" vertical="center"/>
    </xf>
    <xf numFmtId="174" fontId="50" fillId="0" borderId="11" xfId="0" applyNumberFormat="1" applyFont="1" applyFill="1" applyBorder="1" applyAlignment="1" applyProtection="1">
      <alignment horizontal="center" vertical="center"/>
    </xf>
    <xf numFmtId="174" fontId="70" fillId="0" borderId="11" xfId="0" applyNumberFormat="1" applyFont="1" applyFill="1" applyBorder="1" applyAlignment="1" applyProtection="1">
      <alignment horizontal="center" vertical="center"/>
    </xf>
    <xf numFmtId="174" fontId="71" fillId="0" borderId="11" xfId="0" applyNumberFormat="1" applyFont="1" applyFill="1" applyBorder="1" applyAlignment="1" applyProtection="1">
      <alignment horizontal="center" vertical="center"/>
    </xf>
    <xf numFmtId="174" fontId="9" fillId="0" borderId="2" xfId="0" applyNumberFormat="1" applyFont="1" applyFill="1" applyBorder="1" applyAlignment="1" applyProtection="1">
      <alignment horizontal="right" vertical="center"/>
    </xf>
    <xf numFmtId="174" fontId="50" fillId="0" borderId="2" xfId="0" applyNumberFormat="1" applyFont="1" applyFill="1" applyBorder="1" applyAlignment="1" applyProtection="1">
      <alignment horizontal="right" vertical="center"/>
    </xf>
    <xf numFmtId="174" fontId="70" fillId="0" borderId="2" xfId="0" applyNumberFormat="1" applyFont="1" applyFill="1" applyBorder="1" applyAlignment="1" applyProtection="1">
      <alignment horizontal="right" vertical="center"/>
    </xf>
    <xf numFmtId="174" fontId="71" fillId="0" borderId="2" xfId="0" applyNumberFormat="1" applyFont="1" applyFill="1" applyBorder="1" applyAlignment="1" applyProtection="1">
      <alignment horizontal="right" vertical="center"/>
    </xf>
    <xf numFmtId="0" fontId="33" fillId="0" borderId="10" xfId="0" applyFont="1" applyBorder="1" applyAlignment="1">
      <alignment horizont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90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center" vertical="center"/>
    </xf>
    <xf numFmtId="0" fontId="26" fillId="0" borderId="0" xfId="0" applyFont="1" applyBorder="1"/>
    <xf numFmtId="0" fontId="9" fillId="0" borderId="10" xfId="0" applyFont="1" applyFill="1" applyBorder="1" applyAlignment="1" applyProtection="1">
      <alignment horizontal="center" vertical="center"/>
    </xf>
    <xf numFmtId="174" fontId="9" fillId="0" borderId="10" xfId="0" applyNumberFormat="1" applyFont="1" applyFill="1" applyBorder="1" applyAlignment="1" applyProtection="1">
      <alignment horizontal="right" vertical="center"/>
    </xf>
    <xf numFmtId="174" fontId="50" fillId="0" borderId="10" xfId="0" applyNumberFormat="1" applyFont="1" applyFill="1" applyBorder="1" applyAlignment="1" applyProtection="1">
      <alignment horizontal="right" vertical="center"/>
    </xf>
    <xf numFmtId="174" fontId="70" fillId="0" borderId="10" xfId="0" applyNumberFormat="1" applyFont="1" applyFill="1" applyBorder="1" applyAlignment="1" applyProtection="1">
      <alignment horizontal="right" vertical="center"/>
    </xf>
    <xf numFmtId="174" fontId="71" fillId="0" borderId="10" xfId="0" applyNumberFormat="1" applyFont="1" applyFill="1" applyBorder="1" applyAlignment="1" applyProtection="1">
      <alignment horizontal="right" vertical="center"/>
    </xf>
    <xf numFmtId="0" fontId="7" fillId="0" borderId="43" xfId="0" applyFont="1" applyBorder="1"/>
    <xf numFmtId="169" fontId="96" fillId="0" borderId="54" xfId="0" applyNumberFormat="1" applyFont="1" applyFill="1" applyBorder="1" applyAlignment="1" applyProtection="1">
      <alignment horizontal="center"/>
    </xf>
    <xf numFmtId="0" fontId="26" fillId="0" borderId="8" xfId="0" applyFont="1" applyBorder="1"/>
    <xf numFmtId="14" fontId="26" fillId="0" borderId="2" xfId="0" applyNumberFormat="1" applyFont="1" applyBorder="1"/>
    <xf numFmtId="0" fontId="75" fillId="0" borderId="2" xfId="0" applyFont="1" applyFill="1" applyBorder="1" applyAlignment="1" applyProtection="1">
      <alignment wrapText="1"/>
    </xf>
    <xf numFmtId="0" fontId="46" fillId="0" borderId="2" xfId="0" applyFont="1" applyFill="1" applyBorder="1" applyAlignment="1" applyProtection="1">
      <alignment horizontal="center" vertical="center"/>
    </xf>
    <xf numFmtId="174" fontId="75" fillId="0" borderId="2" xfId="0" applyNumberFormat="1" applyFont="1" applyFill="1" applyBorder="1" applyAlignment="1" applyProtection="1">
      <alignment horizontal="center" vertical="center"/>
    </xf>
    <xf numFmtId="0" fontId="112" fillId="0" borderId="2" xfId="0" applyFont="1" applyFill="1" applyBorder="1" applyAlignment="1" applyProtection="1">
      <alignment wrapText="1"/>
    </xf>
    <xf numFmtId="0" fontId="7" fillId="4" borderId="10" xfId="0" applyFont="1" applyFill="1" applyBorder="1" applyAlignment="1" applyProtection="1">
      <alignment horizontal="center" vertical="center"/>
    </xf>
    <xf numFmtId="169" fontId="7" fillId="4" borderId="2" xfId="0" applyNumberFormat="1" applyFont="1" applyFill="1" applyBorder="1" applyAlignment="1" applyProtection="1">
      <alignment horizontal="right" vertical="center"/>
      <protection locked="0"/>
    </xf>
    <xf numFmtId="169" fontId="64" fillId="4" borderId="2" xfId="0" applyNumberFormat="1" applyFont="1" applyFill="1" applyBorder="1" applyAlignment="1" applyProtection="1">
      <alignment horizontal="right" vertical="center"/>
      <protection locked="0"/>
    </xf>
    <xf numFmtId="169" fontId="62" fillId="4" borderId="2" xfId="0" applyNumberFormat="1" applyFont="1" applyFill="1" applyBorder="1" applyAlignment="1" applyProtection="1">
      <alignment horizontal="right" vertical="center"/>
      <protection locked="0"/>
    </xf>
    <xf numFmtId="174" fontId="7" fillId="0" borderId="2" xfId="0" applyNumberFormat="1" applyFont="1" applyFill="1" applyBorder="1" applyAlignment="1" applyProtection="1">
      <alignment horizontal="center" vertical="center"/>
      <protection locked="0"/>
    </xf>
    <xf numFmtId="174" fontId="10" fillId="0" borderId="2" xfId="0" applyNumberFormat="1" applyFont="1" applyFill="1" applyBorder="1" applyAlignment="1" applyProtection="1">
      <alignment horizontal="center" vertical="center"/>
      <protection locked="0"/>
    </xf>
    <xf numFmtId="174" fontId="102" fillId="0" borderId="2" xfId="0" applyNumberFormat="1" applyFont="1" applyFill="1" applyBorder="1" applyAlignment="1" applyProtection="1">
      <alignment horizontal="center" vertical="center"/>
      <protection locked="0"/>
    </xf>
    <xf numFmtId="174" fontId="64" fillId="0" borderId="2" xfId="0" applyNumberFormat="1" applyFont="1" applyFill="1" applyBorder="1" applyAlignment="1" applyProtection="1">
      <alignment horizontal="center" vertical="center"/>
      <protection locked="0"/>
    </xf>
    <xf numFmtId="174" fontId="62" fillId="0" borderId="2" xfId="0" applyNumberFormat="1" applyFont="1" applyFill="1" applyBorder="1" applyAlignment="1" applyProtection="1">
      <alignment horizontal="center" vertical="center"/>
      <protection locked="0"/>
    </xf>
    <xf numFmtId="0" fontId="113" fillId="0" borderId="2" xfId="0" applyFont="1" applyFill="1" applyBorder="1" applyAlignment="1" applyProtection="1">
      <alignment wrapText="1"/>
    </xf>
    <xf numFmtId="0" fontId="114" fillId="0" borderId="2" xfId="0" applyFont="1" applyFill="1" applyBorder="1" applyAlignment="1" applyProtection="1">
      <alignment horizontal="center" vertical="center"/>
    </xf>
    <xf numFmtId="1" fontId="9" fillId="0" borderId="10" xfId="0" applyNumberFormat="1" applyFont="1" applyFill="1" applyBorder="1" applyAlignment="1">
      <alignment horizontal="center"/>
    </xf>
    <xf numFmtId="1" fontId="7" fillId="0" borderId="10" xfId="0" applyNumberFormat="1" applyFont="1" applyFill="1" applyBorder="1" applyAlignment="1">
      <alignment horizontal="center"/>
    </xf>
    <xf numFmtId="169" fontId="10" fillId="0" borderId="2" xfId="0" applyNumberFormat="1" applyFont="1" applyBorder="1" applyAlignment="1">
      <alignment horizontal="center"/>
    </xf>
    <xf numFmtId="169" fontId="64" fillId="0" borderId="2" xfId="0" applyNumberFormat="1" applyFont="1" applyBorder="1" applyAlignment="1">
      <alignment horizontal="center"/>
    </xf>
    <xf numFmtId="169" fontId="62" fillId="0" borderId="2" xfId="0" applyNumberFormat="1" applyFont="1" applyBorder="1" applyAlignment="1">
      <alignment horizontal="center"/>
    </xf>
    <xf numFmtId="0" fontId="115" fillId="0" borderId="2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>
      <alignment wrapText="1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4" fontId="62" fillId="0" borderId="10" xfId="0" applyNumberFormat="1" applyFont="1" applyFill="1" applyBorder="1" applyAlignment="1">
      <alignment horizontal="center"/>
    </xf>
    <xf numFmtId="169" fontId="116" fillId="4" borderId="2" xfId="0" applyNumberFormat="1" applyFont="1" applyFill="1" applyBorder="1" applyAlignment="1" applyProtection="1">
      <alignment horizontal="right" vertical="center"/>
      <protection locked="0"/>
    </xf>
    <xf numFmtId="169" fontId="60" fillId="4" borderId="2" xfId="0" applyNumberFormat="1" applyFont="1" applyFill="1" applyBorder="1" applyAlignment="1" applyProtection="1">
      <alignment horizontal="right" vertical="center"/>
      <protection locked="0"/>
    </xf>
    <xf numFmtId="174" fontId="61" fillId="0" borderId="2" xfId="0" applyNumberFormat="1" applyFont="1" applyBorder="1" applyAlignment="1">
      <alignment horizontal="center" vertical="top" wrapText="1"/>
    </xf>
    <xf numFmtId="0" fontId="7" fillId="0" borderId="2" xfId="0" applyFont="1" applyFill="1" applyBorder="1" applyAlignment="1" applyProtection="1">
      <alignment horizontal="center"/>
      <protection locked="0"/>
    </xf>
    <xf numFmtId="169" fontId="62" fillId="0" borderId="2" xfId="0" applyNumberFormat="1" applyFont="1" applyFill="1" applyBorder="1" applyAlignment="1" applyProtection="1">
      <alignment horizontal="center"/>
      <protection locked="0"/>
    </xf>
    <xf numFmtId="0" fontId="62" fillId="0" borderId="2" xfId="0" applyFont="1" applyFill="1" applyBorder="1" applyAlignment="1">
      <alignment wrapText="1"/>
    </xf>
    <xf numFmtId="169" fontId="12" fillId="0" borderId="2" xfId="0" applyNumberFormat="1" applyFont="1" applyFill="1" applyBorder="1" applyAlignment="1" applyProtection="1">
      <alignment horizontal="center"/>
      <protection locked="0"/>
    </xf>
    <xf numFmtId="174" fontId="10" fillId="0" borderId="2" xfId="0" applyNumberFormat="1" applyFont="1" applyFill="1" applyBorder="1" applyAlignment="1">
      <alignment horizontal="center" vertical="center"/>
    </xf>
    <xf numFmtId="174" fontId="10" fillId="0" borderId="2" xfId="0" applyNumberFormat="1" applyFont="1" applyFill="1" applyBorder="1" applyAlignment="1">
      <alignment vertical="center"/>
    </xf>
    <xf numFmtId="0" fontId="64" fillId="0" borderId="2" xfId="0" applyFont="1" applyFill="1" applyBorder="1" applyAlignment="1">
      <alignment wrapText="1"/>
    </xf>
    <xf numFmtId="169" fontId="60" fillId="0" borderId="17" xfId="0" applyNumberFormat="1" applyFont="1" applyBorder="1"/>
    <xf numFmtId="174" fontId="1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/>
    <xf numFmtId="174" fontId="62" fillId="0" borderId="2" xfId="0" applyNumberFormat="1" applyFont="1" applyFill="1" applyBorder="1" applyAlignment="1" applyProtection="1">
      <alignment horizontal="center"/>
      <protection locked="0"/>
    </xf>
    <xf numFmtId="172" fontId="7" fillId="0" borderId="0" xfId="0" applyNumberFormat="1" applyFont="1"/>
    <xf numFmtId="169" fontId="7" fillId="0" borderId="0" xfId="0" applyNumberFormat="1" applyFont="1"/>
    <xf numFmtId="170" fontId="13" fillId="0" borderId="0" xfId="0" applyNumberFormat="1" applyFont="1" applyFill="1" applyAlignment="1" applyProtection="1">
      <alignment horizontal="left"/>
    </xf>
    <xf numFmtId="169" fontId="6" fillId="0" borderId="0" xfId="0" applyNumberFormat="1" applyFont="1" applyFill="1"/>
    <xf numFmtId="169" fontId="22" fillId="4" borderId="2" xfId="0" applyNumberFormat="1" applyFont="1" applyFill="1" applyBorder="1" applyAlignment="1" applyProtection="1">
      <alignment horizontal="right" vertical="center"/>
      <protection locked="0"/>
    </xf>
    <xf numFmtId="174" fontId="7" fillId="0" borderId="0" xfId="0" applyNumberFormat="1" applyFont="1" applyFill="1"/>
    <xf numFmtId="169" fontId="7" fillId="0" borderId="0" xfId="0" applyNumberFormat="1" applyFont="1" applyAlignment="1">
      <alignment horizontal="center"/>
    </xf>
    <xf numFmtId="169" fontId="13" fillId="0" borderId="0" xfId="0" applyNumberFormat="1" applyFont="1" applyBorder="1" applyAlignment="1" applyProtection="1">
      <alignment horizontal="center" vertical="center"/>
    </xf>
    <xf numFmtId="174" fontId="7" fillId="0" borderId="0" xfId="0" applyNumberFormat="1" applyFont="1" applyAlignment="1">
      <alignment horizontal="center"/>
    </xf>
    <xf numFmtId="169" fontId="83" fillId="0" borderId="13" xfId="0" applyNumberFormat="1" applyFont="1" applyFill="1" applyBorder="1" applyAlignment="1" applyProtection="1">
      <alignment horizontal="center" vertical="center"/>
    </xf>
    <xf numFmtId="169" fontId="70" fillId="0" borderId="49" xfId="0" applyNumberFormat="1" applyFont="1" applyFill="1" applyBorder="1" applyAlignment="1" applyProtection="1">
      <alignment horizontal="center" vertical="center"/>
    </xf>
    <xf numFmtId="174" fontId="82" fillId="4" borderId="2" xfId="0" applyNumberFormat="1" applyFont="1" applyFill="1" applyBorder="1" applyAlignment="1" applyProtection="1">
      <alignment horizontal="right" vertical="center"/>
    </xf>
    <xf numFmtId="169" fontId="82" fillId="4" borderId="2" xfId="0" applyNumberFormat="1" applyFont="1" applyFill="1" applyBorder="1" applyAlignment="1" applyProtection="1">
      <alignment horizontal="right" vertical="center"/>
      <protection locked="0"/>
    </xf>
    <xf numFmtId="174" fontId="81" fillId="0" borderId="2" xfId="0" applyNumberFormat="1" applyFont="1" applyFill="1" applyBorder="1" applyAlignment="1" applyProtection="1">
      <alignment horizontal="center" vertical="center"/>
    </xf>
    <xf numFmtId="174" fontId="81" fillId="0" borderId="2" xfId="0" applyNumberFormat="1" applyFont="1" applyFill="1" applyBorder="1" applyAlignment="1" applyProtection="1">
      <alignment horizontal="right" vertical="center"/>
    </xf>
    <xf numFmtId="174" fontId="81" fillId="0" borderId="10" xfId="0" applyNumberFormat="1" applyFont="1" applyFill="1" applyBorder="1" applyAlignment="1" applyProtection="1">
      <alignment horizontal="right" vertical="center"/>
    </xf>
    <xf numFmtId="166" fontId="96" fillId="0" borderId="13" xfId="0" applyNumberFormat="1" applyFont="1" applyFill="1" applyBorder="1" applyAlignment="1" applyProtection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74" fontId="117" fillId="0" borderId="13" xfId="0" applyNumberFormat="1" applyFont="1" applyFill="1" applyBorder="1" applyAlignment="1">
      <alignment horizontal="center" vertical="center"/>
    </xf>
    <xf numFmtId="169" fontId="118" fillId="0" borderId="13" xfId="0" applyNumberFormat="1" applyFont="1" applyFill="1" applyBorder="1" applyAlignment="1" applyProtection="1">
      <alignment horizontal="center"/>
    </xf>
    <xf numFmtId="169" fontId="119" fillId="0" borderId="13" xfId="0" applyNumberFormat="1" applyFont="1" applyFill="1" applyBorder="1" applyAlignment="1" applyProtection="1">
      <alignment horizontal="center"/>
    </xf>
    <xf numFmtId="0" fontId="8" fillId="0" borderId="2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wrapText="1"/>
    </xf>
    <xf numFmtId="169" fontId="6" fillId="0" borderId="10" xfId="0" applyNumberFormat="1" applyFont="1" applyFill="1" applyBorder="1" applyAlignment="1">
      <alignment horizontal="center"/>
    </xf>
    <xf numFmtId="0" fontId="7" fillId="0" borderId="6" xfId="0" applyNumberFormat="1" applyFont="1" applyBorder="1"/>
    <xf numFmtId="17" fontId="7" fillId="0" borderId="8" xfId="0" applyNumberFormat="1" applyFont="1" applyBorder="1" applyAlignment="1">
      <alignment vertical="center"/>
    </xf>
    <xf numFmtId="0" fontId="7" fillId="0" borderId="6" xfId="0" applyNumberFormat="1" applyFont="1" applyBorder="1" applyAlignment="1">
      <alignment vertical="center"/>
    </xf>
    <xf numFmtId="16" fontId="7" fillId="0" borderId="46" xfId="0" applyNumberFormat="1" applyFont="1" applyBorder="1"/>
    <xf numFmtId="1" fontId="55" fillId="0" borderId="13" xfId="0" applyNumberFormat="1" applyFont="1" applyFill="1" applyBorder="1" applyAlignment="1">
      <alignment horizontal="center" vertical="center"/>
    </xf>
    <xf numFmtId="166" fontId="13" fillId="0" borderId="13" xfId="0" applyNumberFormat="1" applyFont="1" applyFill="1" applyBorder="1" applyAlignment="1" applyProtection="1">
      <alignment horizontal="center"/>
    </xf>
    <xf numFmtId="14" fontId="0" fillId="0" borderId="0" xfId="0" applyNumberFormat="1"/>
    <xf numFmtId="16" fontId="7" fillId="0" borderId="2" xfId="0" applyNumberFormat="1" applyFont="1" applyBorder="1"/>
    <xf numFmtId="174" fontId="9" fillId="0" borderId="0" xfId="0" applyNumberFormat="1" applyFont="1"/>
    <xf numFmtId="0" fontId="9" fillId="0" borderId="2" xfId="0" applyNumberFormat="1" applyFont="1" applyFill="1" applyBorder="1" applyAlignment="1">
      <alignment horizontal="center"/>
    </xf>
    <xf numFmtId="0" fontId="7" fillId="0" borderId="43" xfId="0" applyFont="1" applyBorder="1" applyAlignment="1">
      <alignment horizontal="center" vertical="center"/>
    </xf>
    <xf numFmtId="14" fontId="7" fillId="0" borderId="46" xfId="0" applyNumberFormat="1" applyFont="1" applyBorder="1"/>
    <xf numFmtId="174" fontId="45" fillId="0" borderId="2" xfId="0" applyNumberFormat="1" applyFont="1" applyFill="1" applyBorder="1" applyAlignment="1">
      <alignment horizontal="center" vertical="center"/>
    </xf>
    <xf numFmtId="174" fontId="62" fillId="0" borderId="2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/>
    </xf>
    <xf numFmtId="169" fontId="20" fillId="0" borderId="26" xfId="0" applyNumberFormat="1" applyFont="1" applyFill="1" applyBorder="1" applyAlignment="1">
      <alignment horizontal="center"/>
    </xf>
    <xf numFmtId="0" fontId="39" fillId="0" borderId="10" xfId="0" applyFont="1" applyFill="1" applyBorder="1" applyAlignment="1" applyProtection="1">
      <alignment wrapText="1"/>
    </xf>
    <xf numFmtId="174" fontId="7" fillId="0" borderId="2" xfId="0" applyNumberFormat="1" applyFont="1" applyBorder="1" applyAlignment="1"/>
    <xf numFmtId="174" fontId="64" fillId="0" borderId="2" xfId="0" applyNumberFormat="1" applyFont="1" applyBorder="1" applyAlignment="1"/>
    <xf numFmtId="1" fontId="7" fillId="0" borderId="3" xfId="0" applyNumberFormat="1" applyFont="1" applyFill="1" applyBorder="1" applyAlignment="1" applyProtection="1">
      <alignment horizontal="center"/>
    </xf>
    <xf numFmtId="174" fontId="7" fillId="0" borderId="3" xfId="0" applyNumberFormat="1" applyFont="1" applyFill="1" applyBorder="1" applyAlignment="1" applyProtection="1">
      <alignment horizontal="center"/>
    </xf>
    <xf numFmtId="169" fontId="32" fillId="0" borderId="2" xfId="0" applyNumberFormat="1" applyFont="1" applyFill="1" applyBorder="1" applyAlignment="1">
      <alignment horizontal="center" vertical="center" wrapText="1"/>
    </xf>
    <xf numFmtId="169" fontId="39" fillId="0" borderId="2" xfId="0" applyNumberFormat="1" applyFont="1" applyFill="1" applyBorder="1" applyAlignment="1">
      <alignment horizontal="center" vertical="center" wrapText="1"/>
    </xf>
    <xf numFmtId="169" fontId="6" fillId="0" borderId="0" xfId="0" applyNumberFormat="1" applyFont="1" applyFill="1" applyBorder="1"/>
    <xf numFmtId="0" fontId="6" fillId="0" borderId="3" xfId="0" applyFont="1" applyFill="1" applyBorder="1" applyAlignment="1" applyProtection="1">
      <alignment wrapText="1"/>
    </xf>
    <xf numFmtId="0" fontId="9" fillId="0" borderId="6" xfId="0" applyFont="1" applyFill="1" applyBorder="1" applyAlignment="1">
      <alignment horizontal="center"/>
    </xf>
    <xf numFmtId="174" fontId="70" fillId="0" borderId="2" xfId="0" applyNumberFormat="1" applyFont="1" applyBorder="1" applyAlignment="1">
      <alignment horizontal="center" wrapText="1"/>
    </xf>
    <xf numFmtId="167" fontId="9" fillId="0" borderId="43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top" wrapText="1"/>
    </xf>
    <xf numFmtId="2" fontId="8" fillId="0" borderId="33" xfId="0" applyNumberFormat="1" applyFont="1" applyFill="1" applyBorder="1" applyAlignment="1" applyProtection="1">
      <alignment horizontal="left" wrapText="1"/>
    </xf>
    <xf numFmtId="2" fontId="9" fillId="0" borderId="3" xfId="0" applyNumberFormat="1" applyFont="1" applyFill="1" applyBorder="1" applyAlignment="1" applyProtection="1">
      <alignment horizontal="left" wrapText="1"/>
    </xf>
    <xf numFmtId="174" fontId="71" fillId="0" borderId="3" xfId="0" applyNumberFormat="1" applyFont="1" applyFill="1" applyBorder="1" applyAlignment="1" applyProtection="1">
      <alignment horizontal="center"/>
    </xf>
    <xf numFmtId="17" fontId="7" fillId="0" borderId="46" xfId="0" applyNumberFormat="1" applyFont="1" applyBorder="1" applyAlignment="1">
      <alignment vertical="center"/>
    </xf>
    <xf numFmtId="174" fontId="65" fillId="0" borderId="49" xfId="0" applyNumberFormat="1" applyFont="1" applyFill="1" applyBorder="1" applyAlignment="1" applyProtection="1">
      <alignment horizontal="center"/>
    </xf>
    <xf numFmtId="174" fontId="54" fillId="0" borderId="2" xfId="0" applyNumberFormat="1" applyFont="1" applyFill="1" applyBorder="1" applyAlignment="1">
      <alignment horizontal="center" vertical="center"/>
    </xf>
    <xf numFmtId="174" fontId="120" fillId="0" borderId="2" xfId="0" applyNumberFormat="1" applyFont="1" applyFill="1" applyBorder="1" applyAlignment="1">
      <alignment horizontal="center" vertical="center"/>
    </xf>
    <xf numFmtId="174" fontId="121" fillId="0" borderId="2" xfId="0" applyNumberFormat="1" applyFont="1" applyFill="1" applyBorder="1" applyAlignment="1">
      <alignment horizontal="center" vertical="center"/>
    </xf>
    <xf numFmtId="174" fontId="121" fillId="0" borderId="2" xfId="0" applyNumberFormat="1" applyFont="1" applyFill="1" applyBorder="1" applyAlignment="1" applyProtection="1">
      <alignment horizontal="center" vertical="center"/>
    </xf>
    <xf numFmtId="0" fontId="27" fillId="0" borderId="14" xfId="0" applyFont="1" applyFill="1" applyBorder="1" applyAlignment="1">
      <alignment horizontal="center" vertical="justify"/>
    </xf>
    <xf numFmtId="174" fontId="63" fillId="0" borderId="2" xfId="0" applyNumberFormat="1" applyFont="1" applyFill="1" applyBorder="1" applyAlignment="1" applyProtection="1">
      <alignment horizontal="center"/>
    </xf>
    <xf numFmtId="174" fontId="64" fillId="0" borderId="2" xfId="0" applyNumberFormat="1" applyFont="1" applyFill="1" applyBorder="1" applyAlignment="1" applyProtection="1">
      <alignment horizontal="center" vertical="center"/>
    </xf>
    <xf numFmtId="174" fontId="11" fillId="0" borderId="2" xfId="0" applyNumberFormat="1" applyFont="1" applyFill="1" applyBorder="1" applyAlignment="1" applyProtection="1">
      <alignment horizontal="center" vertical="center"/>
      <protection locked="0"/>
    </xf>
    <xf numFmtId="174" fontId="101" fillId="0" borderId="2" xfId="0" applyNumberFormat="1" applyFont="1" applyFill="1" applyBorder="1" applyAlignment="1" applyProtection="1">
      <alignment horizontal="center" vertical="center"/>
      <protection locked="0"/>
    </xf>
    <xf numFmtId="174" fontId="61" fillId="0" borderId="2" xfId="0" applyNumberFormat="1" applyFont="1" applyFill="1" applyBorder="1" applyAlignment="1" applyProtection="1">
      <alignment horizontal="center" vertical="center"/>
      <protection locked="0"/>
    </xf>
    <xf numFmtId="0" fontId="101" fillId="0" borderId="2" xfId="0" applyFont="1" applyFill="1" applyBorder="1" applyAlignment="1" applyProtection="1">
      <alignment wrapText="1"/>
    </xf>
    <xf numFmtId="2" fontId="39" fillId="0" borderId="2" xfId="0" applyNumberFormat="1" applyFont="1" applyBorder="1" applyAlignment="1">
      <alignment horizontal="center"/>
    </xf>
    <xf numFmtId="2" fontId="32" fillId="0" borderId="2" xfId="0" applyNumberFormat="1" applyFont="1" applyBorder="1" applyAlignment="1">
      <alignment horizontal="center"/>
    </xf>
    <xf numFmtId="169" fontId="98" fillId="0" borderId="2" xfId="0" applyNumberFormat="1" applyFont="1" applyFill="1" applyBorder="1" applyAlignment="1" applyProtection="1">
      <alignment horizontal="center"/>
    </xf>
    <xf numFmtId="0" fontId="9" fillId="0" borderId="55" xfId="0" applyNumberFormat="1" applyFont="1" applyBorder="1" applyAlignment="1">
      <alignment horizontal="center" vertical="top"/>
    </xf>
    <xf numFmtId="169" fontId="9" fillId="0" borderId="3" xfId="0" applyNumberFormat="1" applyFont="1" applyFill="1" applyBorder="1" applyAlignment="1" applyProtection="1">
      <alignment horizontal="center"/>
    </xf>
    <xf numFmtId="169" fontId="63" fillId="0" borderId="3" xfId="0" applyNumberFormat="1" applyFont="1" applyFill="1" applyBorder="1" applyAlignment="1" applyProtection="1">
      <alignment horizontal="center"/>
    </xf>
    <xf numFmtId="169" fontId="61" fillId="0" borderId="3" xfId="0" applyNumberFormat="1" applyFont="1" applyFill="1" applyBorder="1" applyAlignment="1" applyProtection="1">
      <alignment horizontal="center"/>
    </xf>
    <xf numFmtId="0" fontId="101" fillId="0" borderId="2" xfId="0" applyNumberFormat="1" applyFont="1" applyBorder="1" applyAlignment="1">
      <alignment horizontal="left" wrapText="1"/>
    </xf>
    <xf numFmtId="0" fontId="9" fillId="0" borderId="2" xfId="0" applyNumberFormat="1" applyFont="1" applyBorder="1" applyAlignment="1">
      <alignment horizontal="left" wrapText="1"/>
    </xf>
    <xf numFmtId="169" fontId="67" fillId="0" borderId="2" xfId="0" applyNumberFormat="1" applyFont="1" applyBorder="1" applyAlignment="1">
      <alignment horizontal="center" vertical="center"/>
    </xf>
    <xf numFmtId="169" fontId="63" fillId="0" borderId="2" xfId="0" applyNumberFormat="1" applyFont="1" applyBorder="1" applyAlignment="1">
      <alignment horizontal="center" vertical="center"/>
    </xf>
    <xf numFmtId="169" fontId="11" fillId="0" borderId="2" xfId="0" applyNumberFormat="1" applyFont="1" applyBorder="1" applyAlignment="1">
      <alignment horizontal="center"/>
    </xf>
    <xf numFmtId="169" fontId="63" fillId="0" borderId="2" xfId="0" applyNumberFormat="1" applyFont="1" applyBorder="1" applyAlignment="1">
      <alignment horizontal="center"/>
    </xf>
    <xf numFmtId="169" fontId="61" fillId="0" borderId="2" xfId="0" applyNumberFormat="1" applyFont="1" applyBorder="1" applyAlignment="1">
      <alignment horizontal="center"/>
    </xf>
    <xf numFmtId="0" fontId="9" fillId="0" borderId="43" xfId="0" applyFont="1" applyBorder="1" applyAlignment="1">
      <alignment horizontal="center" vertical="center"/>
    </xf>
    <xf numFmtId="169" fontId="11" fillId="0" borderId="2" xfId="0" applyNumberFormat="1" applyFont="1" applyBorder="1"/>
    <xf numFmtId="169" fontId="63" fillId="0" borderId="2" xfId="0" applyNumberFormat="1" applyFont="1" applyBorder="1"/>
    <xf numFmtId="172" fontId="67" fillId="0" borderId="2" xfId="0" applyNumberFormat="1" applyFont="1" applyFill="1" applyBorder="1" applyAlignment="1" applyProtection="1">
      <alignment horizontal="center"/>
    </xf>
    <xf numFmtId="169" fontId="63" fillId="0" borderId="2" xfId="0" applyNumberFormat="1" applyFont="1" applyFill="1" applyBorder="1" applyAlignment="1">
      <alignment horizontal="center" vertical="center"/>
    </xf>
    <xf numFmtId="169" fontId="61" fillId="0" borderId="2" xfId="0" applyNumberFormat="1" applyFont="1" applyFill="1" applyBorder="1" applyAlignment="1">
      <alignment horizontal="center" vertical="center"/>
    </xf>
    <xf numFmtId="169" fontId="63" fillId="0" borderId="2" xfId="0" applyNumberFormat="1" applyFont="1" applyFill="1" applyBorder="1" applyAlignment="1" applyProtection="1">
      <alignment horizontal="center" vertical="center"/>
      <protection locked="0"/>
    </xf>
    <xf numFmtId="169" fontId="61" fillId="0" borderId="2" xfId="0" applyNumberFormat="1" applyFont="1" applyFill="1" applyBorder="1" applyAlignment="1" applyProtection="1">
      <alignment horizontal="center" vertical="center"/>
      <protection locked="0"/>
    </xf>
    <xf numFmtId="169" fontId="64" fillId="0" borderId="2" xfId="0" applyNumberFormat="1" applyFont="1" applyFill="1" applyBorder="1" applyAlignment="1" applyProtection="1">
      <alignment horizontal="center" vertical="center"/>
      <protection locked="0"/>
    </xf>
    <xf numFmtId="1" fontId="7" fillId="0" borderId="15" xfId="0" applyNumberFormat="1" applyFont="1" applyFill="1" applyBorder="1" applyAlignment="1">
      <alignment horizontal="center" vertical="center"/>
    </xf>
    <xf numFmtId="169" fontId="61" fillId="0" borderId="2" xfId="0" applyNumberFormat="1" applyFont="1" applyFill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/>
    </xf>
    <xf numFmtId="169" fontId="62" fillId="0" borderId="2" xfId="0" applyNumberFormat="1" applyFont="1" applyFill="1" applyBorder="1" applyAlignment="1" applyProtection="1">
      <alignment horizontal="center" vertical="center"/>
    </xf>
    <xf numFmtId="0" fontId="7" fillId="0" borderId="46" xfId="0" applyFont="1" applyBorder="1" applyAlignment="1" applyProtection="1">
      <alignment horizontal="center" vertical="top"/>
    </xf>
    <xf numFmtId="0" fontId="62" fillId="0" borderId="2" xfId="16" applyFont="1" applyFill="1" applyBorder="1" applyAlignment="1" applyProtection="1">
      <alignment wrapText="1"/>
    </xf>
    <xf numFmtId="0" fontId="102" fillId="0" borderId="2" xfId="0" applyFont="1" applyBorder="1" applyAlignment="1">
      <alignment horizontal="center" wrapText="1"/>
    </xf>
    <xf numFmtId="0" fontId="54" fillId="0" borderId="14" xfId="0" applyFont="1" applyFill="1" applyBorder="1" applyAlignment="1" applyProtection="1">
      <alignment horizontal="center" vertical="justify"/>
    </xf>
    <xf numFmtId="169" fontId="68" fillId="0" borderId="10" xfId="0" applyNumberFormat="1" applyFont="1" applyBorder="1" applyAlignment="1">
      <alignment horizontal="center" vertical="center"/>
    </xf>
    <xf numFmtId="169" fontId="64" fillId="0" borderId="10" xfId="0" applyNumberFormat="1" applyFont="1" applyBorder="1" applyAlignment="1">
      <alignment horizontal="center" vertical="center"/>
    </xf>
    <xf numFmtId="169" fontId="62" fillId="0" borderId="10" xfId="0" applyNumberFormat="1" applyFont="1" applyBorder="1" applyAlignment="1">
      <alignment horizontal="center" vertical="center"/>
    </xf>
    <xf numFmtId="174" fontId="79" fillId="0" borderId="2" xfId="0" applyNumberFormat="1" applyFont="1" applyFill="1" applyBorder="1" applyAlignment="1" applyProtection="1">
      <alignment horizontal="center" vertical="center"/>
    </xf>
    <xf numFmtId="0" fontId="27" fillId="0" borderId="14" xfId="0" applyFont="1" applyFill="1" applyBorder="1" applyAlignment="1" applyProtection="1">
      <alignment horizontal="center" vertical="justify"/>
    </xf>
    <xf numFmtId="2" fontId="39" fillId="0" borderId="43" xfId="0" applyNumberFormat="1" applyFont="1" applyBorder="1" applyAlignment="1">
      <alignment horizontal="center"/>
    </xf>
    <xf numFmtId="174" fontId="46" fillId="0" borderId="2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1" fontId="7" fillId="0" borderId="3" xfId="0" applyNumberFormat="1" applyFont="1" applyBorder="1" applyAlignment="1">
      <alignment horizontal="center" vertical="center"/>
    </xf>
    <xf numFmtId="0" fontId="9" fillId="3" borderId="3" xfId="0" applyFont="1" applyFill="1" applyBorder="1" applyAlignment="1" applyProtection="1">
      <alignment horizontal="center" vertical="center"/>
    </xf>
    <xf numFmtId="0" fontId="9" fillId="3" borderId="26" xfId="0" applyFont="1" applyFill="1" applyBorder="1" applyAlignment="1" applyProtection="1">
      <alignment horizontal="center" vertical="center"/>
    </xf>
    <xf numFmtId="174" fontId="11" fillId="0" borderId="2" xfId="0" applyNumberFormat="1" applyFont="1" applyFill="1" applyBorder="1" applyAlignment="1" applyProtection="1">
      <alignment horizontal="center"/>
    </xf>
    <xf numFmtId="169" fontId="124" fillId="0" borderId="2" xfId="0" applyNumberFormat="1" applyFont="1" applyFill="1" applyBorder="1" applyAlignment="1" applyProtection="1">
      <alignment horizontal="center" vertical="center"/>
    </xf>
    <xf numFmtId="0" fontId="46" fillId="0" borderId="2" xfId="0" applyFont="1" applyFill="1" applyBorder="1" applyAlignment="1">
      <alignment horizontal="center" vertical="center"/>
    </xf>
    <xf numFmtId="0" fontId="9" fillId="0" borderId="46" xfId="0" applyFont="1" applyFill="1" applyBorder="1" applyAlignment="1" applyProtection="1">
      <alignment horizontal="center" vertical="justify"/>
    </xf>
    <xf numFmtId="2" fontId="32" fillId="0" borderId="43" xfId="0" applyNumberFormat="1" applyFont="1" applyBorder="1" applyAlignment="1">
      <alignment horizontal="center"/>
    </xf>
    <xf numFmtId="0" fontId="7" fillId="0" borderId="3" xfId="0" applyFont="1" applyFill="1" applyBorder="1" applyAlignment="1" applyProtection="1">
      <alignment horizontal="center"/>
    </xf>
    <xf numFmtId="16" fontId="7" fillId="0" borderId="0" xfId="0" applyNumberFormat="1" applyFont="1" applyBorder="1"/>
    <xf numFmtId="0" fontId="60" fillId="0" borderId="2" xfId="0" applyFont="1" applyFill="1" applyBorder="1" applyAlignment="1" applyProtection="1">
      <alignment horizontal="center"/>
    </xf>
    <xf numFmtId="0" fontId="7" fillId="0" borderId="10" xfId="0" applyFont="1" applyFill="1" applyBorder="1" applyAlignment="1" applyProtection="1">
      <alignment horizontal="center"/>
    </xf>
    <xf numFmtId="1" fontId="45" fillId="0" borderId="2" xfId="0" applyNumberFormat="1" applyFont="1" applyFill="1" applyBorder="1" applyAlignment="1" applyProtection="1">
      <alignment horizontal="center" vertical="center"/>
    </xf>
    <xf numFmtId="2" fontId="45" fillId="0" borderId="2" xfId="0" applyNumberFormat="1" applyFont="1" applyFill="1" applyBorder="1" applyAlignment="1" applyProtection="1">
      <alignment horizontal="center" vertical="center"/>
    </xf>
    <xf numFmtId="2" fontId="45" fillId="0" borderId="3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/>
    </xf>
    <xf numFmtId="169" fontId="62" fillId="0" borderId="2" xfId="0" applyNumberFormat="1" applyFont="1" applyFill="1" applyBorder="1" applyAlignment="1">
      <alignment horizontal="center"/>
    </xf>
    <xf numFmtId="0" fontId="6" fillId="0" borderId="26" xfId="0" applyFont="1" applyFill="1" applyBorder="1" applyAlignment="1" applyProtection="1">
      <alignment horizontal="center"/>
    </xf>
    <xf numFmtId="168" fontId="9" fillId="0" borderId="2" xfId="0" applyNumberFormat="1" applyFont="1" applyFill="1" applyBorder="1" applyAlignment="1" applyProtection="1">
      <alignment horizontal="center"/>
    </xf>
    <xf numFmtId="2" fontId="9" fillId="0" borderId="6" xfId="0" applyNumberFormat="1" applyFont="1" applyFill="1" applyBorder="1" applyAlignment="1">
      <alignment horizontal="center"/>
    </xf>
    <xf numFmtId="169" fontId="6" fillId="0" borderId="10" xfId="0" applyNumberFormat="1" applyFont="1" applyFill="1" applyBorder="1" applyAlignment="1" applyProtection="1">
      <alignment horizontal="center"/>
      <protection locked="0"/>
    </xf>
    <xf numFmtId="0" fontId="8" fillId="0" borderId="46" xfId="0" applyFont="1" applyFill="1" applyBorder="1" applyAlignment="1" applyProtection="1">
      <alignment horizontal="center" vertical="justify"/>
      <protection locked="0"/>
    </xf>
    <xf numFmtId="0" fontId="32" fillId="0" borderId="46" xfId="0" applyFont="1" applyFill="1" applyBorder="1" applyAlignment="1">
      <alignment horizontal="center" vertical="justify" wrapText="1"/>
    </xf>
    <xf numFmtId="2" fontId="126" fillId="0" borderId="2" xfId="0" applyNumberFormat="1" applyFont="1" applyFill="1" applyBorder="1" applyAlignment="1" applyProtection="1">
      <alignment horizontal="center"/>
    </xf>
    <xf numFmtId="170" fontId="66" fillId="0" borderId="10" xfId="0" applyNumberFormat="1" applyFont="1" applyFill="1" applyBorder="1" applyAlignment="1" applyProtection="1">
      <alignment vertical="center" wrapText="1"/>
      <protection locked="0"/>
    </xf>
    <xf numFmtId="170" fontId="32" fillId="0" borderId="3" xfId="0" applyNumberFormat="1" applyFont="1" applyFill="1" applyBorder="1" applyAlignment="1" applyProtection="1">
      <alignment vertical="center" wrapText="1"/>
      <protection locked="0"/>
    </xf>
    <xf numFmtId="0" fontId="7" fillId="0" borderId="40" xfId="0" applyFont="1" applyBorder="1"/>
    <xf numFmtId="0" fontId="127" fillId="0" borderId="2" xfId="0" applyFont="1" applyFill="1" applyBorder="1" applyAlignment="1">
      <alignment horizontal="center"/>
    </xf>
    <xf numFmtId="0" fontId="127" fillId="0" borderId="2" xfId="0" applyFont="1" applyFill="1" applyBorder="1" applyAlignment="1" applyProtection="1">
      <alignment horizontal="center" vertical="center"/>
    </xf>
    <xf numFmtId="168" fontId="127" fillId="0" borderId="2" xfId="0" applyNumberFormat="1" applyFont="1" applyFill="1" applyBorder="1" applyAlignment="1" applyProtection="1">
      <alignment horizontal="center" vertical="center"/>
    </xf>
    <xf numFmtId="165" fontId="127" fillId="0" borderId="6" xfId="0" applyNumberFormat="1" applyFont="1" applyFill="1" applyBorder="1" applyAlignment="1" applyProtection="1">
      <alignment horizontal="center" vertical="center"/>
    </xf>
    <xf numFmtId="1" fontId="127" fillId="0" borderId="2" xfId="0" applyNumberFormat="1" applyFont="1" applyFill="1" applyBorder="1" applyAlignment="1" applyProtection="1">
      <alignment horizontal="center"/>
    </xf>
    <xf numFmtId="2" fontId="127" fillId="0" borderId="2" xfId="0" applyNumberFormat="1" applyFont="1" applyFill="1" applyBorder="1" applyAlignment="1" applyProtection="1">
      <alignment horizontal="center"/>
    </xf>
    <xf numFmtId="1" fontId="127" fillId="0" borderId="2" xfId="0" applyNumberFormat="1" applyFont="1" applyFill="1" applyBorder="1" applyAlignment="1">
      <alignment horizontal="center"/>
    </xf>
    <xf numFmtId="2" fontId="127" fillId="0" borderId="6" xfId="0" applyNumberFormat="1" applyFont="1" applyBorder="1" applyAlignment="1">
      <alignment horizontal="center"/>
    </xf>
    <xf numFmtId="175" fontId="62" fillId="0" borderId="2" xfId="0" applyNumberFormat="1" applyFont="1" applyFill="1" applyBorder="1" applyAlignment="1" applyProtection="1">
      <alignment horizontal="center"/>
    </xf>
    <xf numFmtId="166" fontId="9" fillId="0" borderId="2" xfId="0" applyNumberFormat="1" applyFont="1" applyFill="1" applyBorder="1" applyAlignment="1" applyProtection="1">
      <alignment horizontal="center" vertical="center"/>
    </xf>
    <xf numFmtId="168" fontId="9" fillId="0" borderId="2" xfId="0" applyNumberFormat="1" applyFont="1" applyFill="1" applyBorder="1" applyAlignment="1" applyProtection="1">
      <alignment horizontal="center" vertical="center"/>
    </xf>
    <xf numFmtId="0" fontId="122" fillId="5" borderId="0" xfId="0" applyFont="1" applyFill="1" applyAlignment="1">
      <alignment wrapText="1"/>
    </xf>
    <xf numFmtId="0" fontId="39" fillId="0" borderId="2" xfId="0" applyFont="1" applyBorder="1" applyAlignment="1">
      <alignment horizontal="left" wrapText="1"/>
    </xf>
    <xf numFmtId="2" fontId="7" fillId="0" borderId="2" xfId="0" applyNumberFormat="1" applyFont="1" applyFill="1" applyBorder="1" applyAlignment="1" applyProtection="1">
      <alignment horizontal="center"/>
      <protection locked="0"/>
    </xf>
    <xf numFmtId="2" fontId="7" fillId="0" borderId="6" xfId="0" applyNumberFormat="1" applyFont="1" applyFill="1" applyBorder="1" applyAlignment="1" applyProtection="1">
      <alignment horizontal="center"/>
      <protection locked="0"/>
    </xf>
    <xf numFmtId="0" fontId="7" fillId="0" borderId="33" xfId="0" applyFont="1" applyBorder="1" applyAlignment="1">
      <alignment horizontal="center"/>
    </xf>
    <xf numFmtId="167" fontId="7" fillId="0" borderId="33" xfId="0" applyNumberFormat="1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167" fontId="7" fillId="0" borderId="19" xfId="0" applyNumberFormat="1" applyFont="1" applyBorder="1" applyAlignment="1">
      <alignment horizontal="center"/>
    </xf>
    <xf numFmtId="2" fontId="129" fillId="0" borderId="2" xfId="0" applyNumberFormat="1" applyFont="1" applyFill="1" applyBorder="1" applyAlignment="1" applyProtection="1">
      <alignment horizontal="center" vertical="justify" shrinkToFit="1"/>
    </xf>
    <xf numFmtId="1" fontId="71" fillId="0" borderId="2" xfId="0" applyNumberFormat="1" applyFont="1" applyFill="1" applyBorder="1" applyAlignment="1" applyProtection="1">
      <alignment horizontal="right" vertical="center"/>
    </xf>
    <xf numFmtId="1" fontId="128" fillId="0" borderId="0" xfId="0" applyNumberFormat="1" applyFont="1"/>
    <xf numFmtId="0" fontId="129" fillId="0" borderId="2" xfId="0" applyFont="1" applyBorder="1" applyAlignment="1">
      <alignment horizontal="center" vertical="justify"/>
    </xf>
    <xf numFmtId="0" fontId="129" fillId="0" borderId="2" xfId="0" applyFont="1" applyFill="1" applyBorder="1" applyAlignment="1" applyProtection="1">
      <alignment horizontal="center" vertical="justify"/>
    </xf>
    <xf numFmtId="0" fontId="130" fillId="0" borderId="2" xfId="0" applyFont="1" applyFill="1" applyBorder="1" applyAlignment="1">
      <alignment horizontal="center" vertical="justify" shrinkToFit="1"/>
    </xf>
    <xf numFmtId="0" fontId="129" fillId="0" borderId="2" xfId="0" applyFont="1" applyFill="1" applyBorder="1" applyAlignment="1">
      <alignment horizontal="center" vertical="top" shrinkToFit="1"/>
    </xf>
    <xf numFmtId="0" fontId="129" fillId="0" borderId="2" xfId="0" applyFont="1" applyFill="1" applyBorder="1" applyAlignment="1" applyProtection="1">
      <alignment horizontal="center" vertical="top"/>
    </xf>
    <xf numFmtId="0" fontId="131" fillId="0" borderId="2" xfId="0" applyFont="1" applyFill="1" applyBorder="1" applyAlignment="1" applyProtection="1">
      <alignment horizontal="center" vertical="justify"/>
    </xf>
    <xf numFmtId="0" fontId="129" fillId="0" borderId="2" xfId="0" applyFont="1" applyBorder="1" applyAlignment="1">
      <alignment horizontal="center" vertical="top"/>
    </xf>
    <xf numFmtId="166" fontId="129" fillId="0" borderId="2" xfId="0" applyNumberFormat="1" applyFont="1" applyFill="1" applyBorder="1" applyAlignment="1" applyProtection="1">
      <alignment horizontal="center" vertical="top" wrapText="1"/>
    </xf>
    <xf numFmtId="0" fontId="131" fillId="0" borderId="2" xfId="0" applyFont="1" applyFill="1" applyBorder="1" applyAlignment="1">
      <alignment horizontal="center" vertical="top" wrapText="1"/>
    </xf>
    <xf numFmtId="0" fontId="129" fillId="0" borderId="2" xfId="0" applyFont="1" applyFill="1" applyBorder="1" applyAlignment="1" applyProtection="1">
      <alignment horizontal="center" vertical="justify" shrinkToFit="1"/>
    </xf>
    <xf numFmtId="0" fontId="129" fillId="0" borderId="2" xfId="0" applyFont="1" applyFill="1" applyBorder="1" applyAlignment="1">
      <alignment horizontal="center" vertical="justify" wrapText="1"/>
    </xf>
    <xf numFmtId="0" fontId="129" fillId="0" borderId="2" xfId="0" applyFont="1" applyFill="1" applyBorder="1" applyAlignment="1" applyProtection="1">
      <alignment horizontal="center" vertical="top" shrinkToFit="1"/>
    </xf>
    <xf numFmtId="174" fontId="26" fillId="0" borderId="0" xfId="0" applyNumberFormat="1" applyFont="1"/>
    <xf numFmtId="174" fontId="132" fillId="0" borderId="19" xfId="0" applyNumberFormat="1" applyFont="1" applyBorder="1" applyAlignment="1">
      <alignment horizontal="center" vertical="center"/>
    </xf>
    <xf numFmtId="1" fontId="132" fillId="0" borderId="19" xfId="0" applyNumberFormat="1" applyFont="1" applyBorder="1" applyAlignment="1">
      <alignment horizontal="center" vertical="center"/>
    </xf>
    <xf numFmtId="0" fontId="132" fillId="0" borderId="70" xfId="0" applyFont="1" applyBorder="1"/>
    <xf numFmtId="0" fontId="7" fillId="0" borderId="71" xfId="0" applyFont="1" applyBorder="1"/>
    <xf numFmtId="0" fontId="7" fillId="0" borderId="72" xfId="0" applyFont="1" applyBorder="1"/>
    <xf numFmtId="0" fontId="132" fillId="0" borderId="40" xfId="0" applyFont="1" applyBorder="1"/>
    <xf numFmtId="0" fontId="7" fillId="0" borderId="67" xfId="0" applyFont="1" applyBorder="1" applyAlignment="1">
      <alignment horizontal="center"/>
    </xf>
    <xf numFmtId="0" fontId="7" fillId="0" borderId="68" xfId="0" applyFont="1" applyBorder="1" applyAlignment="1">
      <alignment horizontal="center"/>
    </xf>
    <xf numFmtId="0" fontId="7" fillId="0" borderId="69" xfId="0" applyFont="1" applyBorder="1" applyAlignment="1">
      <alignment horizontal="center"/>
    </xf>
    <xf numFmtId="9" fontId="132" fillId="0" borderId="33" xfId="0" applyNumberFormat="1" applyFont="1" applyBorder="1" applyAlignment="1">
      <alignment horizontal="center"/>
    </xf>
    <xf numFmtId="169" fontId="127" fillId="0" borderId="2" xfId="0" applyNumberFormat="1" applyFont="1" applyFill="1" applyBorder="1" applyAlignment="1" applyProtection="1">
      <alignment horizontal="center"/>
      <protection locked="0"/>
    </xf>
    <xf numFmtId="172" fontId="126" fillId="0" borderId="2" xfId="0" applyNumberFormat="1" applyFont="1" applyFill="1" applyBorder="1" applyAlignment="1" applyProtection="1">
      <alignment horizontal="center"/>
    </xf>
    <xf numFmtId="1" fontId="71" fillId="0" borderId="0" xfId="0" applyNumberFormat="1" applyFont="1" applyFill="1" applyBorder="1" applyAlignment="1" applyProtection="1">
      <alignment horizontal="right" vertical="center"/>
    </xf>
    <xf numFmtId="172" fontId="133" fillId="0" borderId="2" xfId="0" applyNumberFormat="1" applyFont="1" applyFill="1" applyBorder="1" applyAlignment="1" applyProtection="1">
      <alignment horizontal="center"/>
      <protection locked="0"/>
    </xf>
    <xf numFmtId="169" fontId="10" fillId="0" borderId="2" xfId="0" applyNumberFormat="1" applyFont="1" applyFill="1" applyBorder="1" applyAlignment="1" applyProtection="1">
      <alignment horizontal="center"/>
    </xf>
    <xf numFmtId="169" fontId="133" fillId="0" borderId="2" xfId="0" applyNumberFormat="1" applyFont="1" applyBorder="1" applyAlignment="1">
      <alignment horizontal="center" vertical="center"/>
    </xf>
    <xf numFmtId="169" fontId="6" fillId="0" borderId="2" xfId="15" applyNumberFormat="1" applyFont="1" applyFill="1" applyBorder="1" applyAlignment="1" applyProtection="1">
      <alignment horizontal="center"/>
    </xf>
    <xf numFmtId="169" fontId="14" fillId="0" borderId="2" xfId="15" applyNumberFormat="1" applyFont="1" applyFill="1" applyBorder="1" applyAlignment="1" applyProtection="1">
      <alignment horizontal="center"/>
    </xf>
    <xf numFmtId="169" fontId="64" fillId="0" borderId="2" xfId="15" applyNumberFormat="1" applyFont="1" applyFill="1" applyBorder="1" applyAlignment="1" applyProtection="1">
      <alignment horizontal="center"/>
    </xf>
    <xf numFmtId="0" fontId="64" fillId="0" borderId="2" xfId="15" applyFont="1" applyFill="1" applyBorder="1" applyAlignment="1" applyProtection="1">
      <alignment vertical="justify" wrapText="1"/>
    </xf>
    <xf numFmtId="0" fontId="7" fillId="0" borderId="2" xfId="15" applyFont="1" applyFill="1" applyBorder="1" applyAlignment="1" applyProtection="1">
      <alignment vertical="justify" wrapText="1"/>
    </xf>
    <xf numFmtId="2" fontId="7" fillId="0" borderId="2" xfId="0" applyNumberFormat="1" applyFont="1" applyFill="1" applyBorder="1" applyAlignment="1">
      <alignment horizontal="center"/>
    </xf>
    <xf numFmtId="168" fontId="7" fillId="0" borderId="2" xfId="0" applyNumberFormat="1" applyFont="1" applyFill="1" applyBorder="1" applyAlignment="1" applyProtection="1">
      <alignment horizontal="center"/>
    </xf>
    <xf numFmtId="2" fontId="7" fillId="0" borderId="6" xfId="0" applyNumberFormat="1" applyFont="1" applyFill="1" applyBorder="1" applyAlignment="1">
      <alignment horizontal="center"/>
    </xf>
    <xf numFmtId="17" fontId="9" fillId="0" borderId="2" xfId="0" applyNumberFormat="1" applyFont="1" applyFill="1" applyBorder="1" applyAlignment="1" applyProtection="1">
      <alignment horizontal="center"/>
    </xf>
    <xf numFmtId="168" fontId="9" fillId="0" borderId="2" xfId="0" applyNumberFormat="1" applyFont="1" applyFill="1" applyBorder="1" applyAlignment="1">
      <alignment horizontal="center"/>
    </xf>
    <xf numFmtId="17" fontId="7" fillId="0" borderId="2" xfId="0" applyNumberFormat="1" applyFont="1" applyFill="1" applyBorder="1" applyAlignment="1" applyProtection="1">
      <alignment horizontal="center"/>
    </xf>
    <xf numFmtId="168" fontId="7" fillId="0" borderId="2" xfId="0" applyNumberFormat="1" applyFont="1" applyFill="1" applyBorder="1" applyAlignment="1">
      <alignment horizontal="center"/>
    </xf>
    <xf numFmtId="167" fontId="9" fillId="0" borderId="2" xfId="0" applyNumberFormat="1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left"/>
    </xf>
    <xf numFmtId="2" fontId="9" fillId="0" borderId="6" xfId="0" applyNumberFormat="1" applyFont="1" applyFill="1" applyBorder="1" applyAlignment="1"/>
    <xf numFmtId="2" fontId="32" fillId="0" borderId="6" xfId="0" applyNumberFormat="1" applyFont="1" applyFill="1" applyBorder="1" applyAlignment="1" applyProtection="1">
      <alignment horizontal="center" vertical="center"/>
      <protection locked="0"/>
    </xf>
    <xf numFmtId="0" fontId="32" fillId="0" borderId="10" xfId="0" applyFont="1" applyBorder="1"/>
    <xf numFmtId="166" fontId="9" fillId="0" borderId="6" xfId="0" applyNumberFormat="1" applyFont="1" applyFill="1" applyBorder="1" applyAlignment="1" applyProtection="1">
      <alignment horizontal="center"/>
      <protection locked="0"/>
    </xf>
    <xf numFmtId="0" fontId="9" fillId="0" borderId="6" xfId="0" applyFont="1" applyBorder="1" applyAlignment="1">
      <alignment horizontal="left"/>
    </xf>
    <xf numFmtId="168" fontId="9" fillId="0" borderId="2" xfId="0" applyNumberFormat="1" applyFont="1" applyFill="1" applyBorder="1" applyAlignment="1" applyProtection="1">
      <alignment horizontal="center"/>
      <protection locked="0"/>
    </xf>
    <xf numFmtId="0" fontId="9" fillId="0" borderId="10" xfId="0" applyFont="1" applyFill="1" applyBorder="1" applyAlignment="1" applyProtection="1">
      <alignment horizontal="center"/>
      <protection locked="0"/>
    </xf>
    <xf numFmtId="2" fontId="9" fillId="0" borderId="10" xfId="0" applyNumberFormat="1" applyFont="1" applyFill="1" applyBorder="1" applyAlignment="1" applyProtection="1">
      <alignment horizontal="center"/>
      <protection locked="0"/>
    </xf>
    <xf numFmtId="166" fontId="9" fillId="0" borderId="10" xfId="0" applyNumberFormat="1" applyFont="1" applyFill="1" applyBorder="1" applyAlignment="1" applyProtection="1">
      <alignment horizontal="center"/>
      <protection locked="0"/>
    </xf>
    <xf numFmtId="166" fontId="9" fillId="0" borderId="9" xfId="0" applyNumberFormat="1" applyFont="1" applyFill="1" applyBorder="1" applyAlignment="1" applyProtection="1">
      <alignment horizontal="center"/>
      <protection locked="0"/>
    </xf>
    <xf numFmtId="166" fontId="7" fillId="0" borderId="6" xfId="0" applyNumberFormat="1" applyFont="1" applyFill="1" applyBorder="1" applyAlignment="1" applyProtection="1">
      <alignment horizontal="center"/>
      <protection locked="0"/>
    </xf>
    <xf numFmtId="166" fontId="9" fillId="0" borderId="6" xfId="0" applyNumberFormat="1" applyFont="1" applyFill="1" applyBorder="1" applyAlignment="1">
      <alignment horizontal="center"/>
    </xf>
    <xf numFmtId="0" fontId="39" fillId="0" borderId="6" xfId="0" applyFont="1" applyBorder="1" applyAlignment="1">
      <alignment horizontal="center"/>
    </xf>
    <xf numFmtId="2" fontId="39" fillId="0" borderId="2" xfId="0" applyNumberFormat="1" applyFont="1" applyFill="1" applyBorder="1" applyAlignment="1">
      <alignment horizontal="center"/>
    </xf>
    <xf numFmtId="0" fontId="39" fillId="0" borderId="3" xfId="0" applyFont="1" applyFill="1" applyBorder="1" applyAlignment="1" applyProtection="1">
      <alignment horizontal="center"/>
    </xf>
    <xf numFmtId="2" fontId="39" fillId="0" borderId="10" xfId="0" applyNumberFormat="1" applyFont="1" applyFill="1" applyBorder="1" applyAlignment="1" applyProtection="1">
      <alignment horizontal="center"/>
    </xf>
    <xf numFmtId="0" fontId="39" fillId="0" borderId="10" xfId="0" applyFont="1" applyFill="1" applyBorder="1" applyAlignment="1">
      <alignment horizontal="center"/>
    </xf>
    <xf numFmtId="0" fontId="39" fillId="0" borderId="9" xfId="0" applyFont="1" applyBorder="1" applyAlignment="1">
      <alignment horizontal="center"/>
    </xf>
    <xf numFmtId="2" fontId="32" fillId="0" borderId="43" xfId="0" applyNumberFormat="1" applyFont="1" applyFill="1" applyBorder="1" applyAlignment="1" applyProtection="1">
      <alignment horizontal="center"/>
    </xf>
    <xf numFmtId="0" fontId="39" fillId="0" borderId="43" xfId="0" applyFont="1" applyBorder="1" applyAlignment="1">
      <alignment horizontal="center"/>
    </xf>
    <xf numFmtId="1" fontId="9" fillId="0" borderId="10" xfId="0" applyNumberFormat="1" applyFont="1" applyFill="1" applyBorder="1" applyAlignment="1" applyProtection="1">
      <alignment horizontal="center"/>
    </xf>
    <xf numFmtId="2" fontId="9" fillId="0" borderId="10" xfId="0" applyNumberFormat="1" applyFont="1" applyFill="1" applyBorder="1" applyAlignment="1" applyProtection="1">
      <alignment horizontal="center"/>
    </xf>
    <xf numFmtId="2" fontId="7" fillId="0" borderId="10" xfId="0" applyNumberFormat="1" applyFont="1" applyFill="1" applyBorder="1" applyAlignment="1">
      <alignment horizontal="center"/>
    </xf>
    <xf numFmtId="2" fontId="7" fillId="0" borderId="10" xfId="0" applyNumberFormat="1" applyFont="1" applyFill="1" applyBorder="1" applyAlignment="1" applyProtection="1">
      <alignment horizontal="center"/>
    </xf>
    <xf numFmtId="0" fontId="127" fillId="0" borderId="2" xfId="0" applyFont="1" applyFill="1" applyBorder="1" applyAlignment="1" applyProtection="1">
      <alignment horizontal="center"/>
    </xf>
    <xf numFmtId="0" fontId="126" fillId="0" borderId="2" xfId="0" applyFont="1" applyFill="1" applyBorder="1" applyAlignment="1" applyProtection="1">
      <alignment horizontal="center"/>
    </xf>
    <xf numFmtId="0" fontId="127" fillId="0" borderId="2" xfId="0" applyFont="1" applyFill="1" applyBorder="1" applyAlignment="1" applyProtection="1">
      <alignment horizontal="center" vertical="center"/>
      <protection locked="0"/>
    </xf>
    <xf numFmtId="2" fontId="127" fillId="0" borderId="2" xfId="0" applyNumberFormat="1" applyFont="1" applyBorder="1" applyAlignment="1">
      <alignment horizontal="center"/>
    </xf>
    <xf numFmtId="169" fontId="2" fillId="0" borderId="2" xfId="0" applyNumberFormat="1" applyFont="1" applyBorder="1"/>
    <xf numFmtId="174" fontId="128" fillId="0" borderId="2" xfId="0" applyNumberFormat="1" applyFont="1" applyFill="1" applyBorder="1" applyAlignment="1" applyProtection="1">
      <alignment horizontal="center"/>
    </xf>
    <xf numFmtId="0" fontId="128" fillId="0" borderId="2" xfId="0" applyFont="1" applyFill="1" applyBorder="1" applyAlignment="1" applyProtection="1">
      <alignment horizontal="center"/>
    </xf>
    <xf numFmtId="0" fontId="20" fillId="0" borderId="36" xfId="0" applyFont="1" applyFill="1" applyBorder="1" applyAlignment="1">
      <alignment horizontal="center" vertical="justify"/>
    </xf>
    <xf numFmtId="0" fontId="44" fillId="0" borderId="56" xfId="0" applyFont="1" applyFill="1" applyBorder="1" applyAlignment="1" applyProtection="1">
      <alignment horizontal="center" vertical="justify"/>
    </xf>
    <xf numFmtId="0" fontId="20" fillId="0" borderId="11" xfId="0" applyFont="1" applyFill="1" applyBorder="1" applyAlignment="1">
      <alignment horizontal="center" vertical="justify"/>
    </xf>
    <xf numFmtId="0" fontId="65" fillId="0" borderId="11" xfId="0" applyFont="1" applyFill="1" applyBorder="1" applyAlignment="1" applyProtection="1">
      <alignment wrapText="1"/>
    </xf>
    <xf numFmtId="0" fontId="6" fillId="0" borderId="21" xfId="0" applyFont="1" applyFill="1" applyBorder="1" applyAlignment="1" applyProtection="1">
      <alignment horizontal="center"/>
    </xf>
    <xf numFmtId="169" fontId="20" fillId="0" borderId="21" xfId="0" applyNumberFormat="1" applyFont="1" applyFill="1" applyBorder="1" applyAlignment="1">
      <alignment horizontal="center"/>
    </xf>
    <xf numFmtId="169" fontId="20" fillId="0" borderId="11" xfId="0" applyNumberFormat="1" applyFont="1" applyFill="1" applyBorder="1" applyAlignment="1">
      <alignment horizontal="center"/>
    </xf>
    <xf numFmtId="169" fontId="20" fillId="0" borderId="11" xfId="0" applyNumberFormat="1" applyFont="1" applyFill="1" applyBorder="1" applyAlignment="1" applyProtection="1">
      <alignment horizontal="center"/>
    </xf>
    <xf numFmtId="169" fontId="21" fillId="0" borderId="11" xfId="0" applyNumberFormat="1" applyFont="1" applyFill="1" applyBorder="1" applyAlignment="1">
      <alignment horizontal="center"/>
    </xf>
    <xf numFmtId="169" fontId="65" fillId="0" borderId="11" xfId="0" applyNumberFormat="1" applyFont="1" applyFill="1" applyBorder="1" applyAlignment="1">
      <alignment horizontal="center"/>
    </xf>
    <xf numFmtId="169" fontId="66" fillId="0" borderId="11" xfId="0" applyNumberFormat="1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/>
    </xf>
    <xf numFmtId="2" fontId="20" fillId="0" borderId="11" xfId="0" applyNumberFormat="1" applyFont="1" applyFill="1" applyBorder="1" applyAlignment="1">
      <alignment horizontal="center"/>
    </xf>
    <xf numFmtId="2" fontId="39" fillId="0" borderId="16" xfId="0" applyNumberFormat="1" applyFont="1" applyBorder="1" applyAlignment="1">
      <alignment horizontal="center"/>
    </xf>
    <xf numFmtId="0" fontId="6" fillId="0" borderId="11" xfId="0" applyFont="1" applyFill="1" applyBorder="1" applyAlignment="1" applyProtection="1">
      <alignment horizontal="center"/>
    </xf>
    <xf numFmtId="0" fontId="129" fillId="0" borderId="10" xfId="0" applyFont="1" applyBorder="1" applyAlignment="1">
      <alignment horizontal="center" vertical="top"/>
    </xf>
    <xf numFmtId="174" fontId="62" fillId="0" borderId="10" xfId="0" applyNumberFormat="1" applyFont="1" applyBorder="1" applyAlignment="1">
      <alignment horizontal="center"/>
    </xf>
    <xf numFmtId="0" fontId="47" fillId="0" borderId="2" xfId="0" applyFont="1" applyFill="1" applyBorder="1" applyAlignment="1" applyProtection="1">
      <alignment horizontal="center" vertical="center"/>
    </xf>
    <xf numFmtId="2" fontId="47" fillId="0" borderId="2" xfId="0" applyNumberFormat="1" applyFont="1" applyFill="1" applyBorder="1" applyAlignment="1" applyProtection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1" fontId="46" fillId="0" borderId="2" xfId="0" applyNumberFormat="1" applyFont="1" applyFill="1" applyBorder="1" applyAlignment="1" applyProtection="1">
      <alignment horizontal="center" vertical="center"/>
    </xf>
    <xf numFmtId="2" fontId="46" fillId="0" borderId="2" xfId="0" applyNumberFormat="1" applyFont="1" applyFill="1" applyBorder="1" applyAlignment="1" applyProtection="1">
      <alignment horizontal="center" vertical="center"/>
    </xf>
    <xf numFmtId="1" fontId="46" fillId="0" borderId="2" xfId="0" applyNumberFormat="1" applyFont="1" applyFill="1" applyBorder="1" applyAlignment="1">
      <alignment horizontal="center" vertical="center"/>
    </xf>
    <xf numFmtId="2" fontId="46" fillId="0" borderId="6" xfId="0" applyNumberFormat="1" applyFont="1" applyFill="1" applyBorder="1" applyAlignment="1">
      <alignment horizontal="center" vertical="center"/>
    </xf>
    <xf numFmtId="174" fontId="45" fillId="0" borderId="2" xfId="0" applyNumberFormat="1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justify"/>
    </xf>
    <xf numFmtId="2" fontId="45" fillId="0" borderId="42" xfId="0" applyNumberFormat="1" applyFont="1" applyFill="1" applyBorder="1" applyAlignment="1">
      <alignment horizontal="center" vertical="center"/>
    </xf>
    <xf numFmtId="0" fontId="125" fillId="0" borderId="2" xfId="0" applyFont="1" applyFill="1" applyBorder="1" applyAlignment="1" applyProtection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1" fontId="109" fillId="0" borderId="2" xfId="0" applyNumberFormat="1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Fill="1" applyBorder="1" applyAlignment="1" applyProtection="1">
      <alignment horizontal="center"/>
      <protection locked="0"/>
    </xf>
    <xf numFmtId="0" fontId="42" fillId="0" borderId="2" xfId="0" applyFont="1" applyBorder="1" applyAlignment="1">
      <alignment horizontal="center"/>
    </xf>
    <xf numFmtId="167" fontId="127" fillId="0" borderId="0" xfId="0" applyNumberFormat="1" applyFont="1" applyBorder="1" applyAlignment="1">
      <alignment horizontal="center" vertical="center"/>
    </xf>
    <xf numFmtId="174" fontId="128" fillId="0" borderId="0" xfId="0" applyNumberFormat="1" applyFont="1"/>
    <xf numFmtId="0" fontId="122" fillId="0" borderId="2" xfId="0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0" borderId="82" xfId="0" applyBorder="1" applyAlignment="1">
      <alignment horizontal="center"/>
    </xf>
    <xf numFmtId="0" fontId="9" fillId="0" borderId="83" xfId="0" applyFont="1" applyBorder="1" applyAlignment="1">
      <alignment horizontal="center"/>
    </xf>
    <xf numFmtId="0" fontId="9" fillId="0" borderId="84" xfId="0" applyFont="1" applyBorder="1" applyAlignment="1">
      <alignment horizontal="center"/>
    </xf>
    <xf numFmtId="0" fontId="9" fillId="0" borderId="85" xfId="0" applyFont="1" applyBorder="1" applyAlignment="1">
      <alignment horizontal="center"/>
    </xf>
    <xf numFmtId="174" fontId="7" fillId="0" borderId="86" xfId="0" applyNumberFormat="1" applyFont="1" applyBorder="1" applyAlignment="1">
      <alignment horizontal="center"/>
    </xf>
    <xf numFmtId="174" fontId="7" fillId="0" borderId="87" xfId="0" applyNumberFormat="1" applyFont="1" applyBorder="1" applyAlignment="1">
      <alignment horizontal="center"/>
    </xf>
    <xf numFmtId="0" fontId="9" fillId="0" borderId="88" xfId="0" applyFont="1" applyBorder="1" applyAlignment="1">
      <alignment horizontal="center"/>
    </xf>
    <xf numFmtId="174" fontId="7" fillId="0" borderId="89" xfId="0" applyNumberFormat="1" applyFont="1" applyBorder="1" applyAlignment="1">
      <alignment horizontal="center"/>
    </xf>
    <xf numFmtId="174" fontId="7" fillId="0" borderId="90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174" fontId="9" fillId="0" borderId="10" xfId="0" applyNumberFormat="1" applyFont="1" applyFill="1" applyBorder="1" applyAlignment="1" applyProtection="1">
      <alignment horizontal="center" vertical="center"/>
    </xf>
    <xf numFmtId="1" fontId="9" fillId="0" borderId="8" xfId="0" applyNumberFormat="1" applyFont="1" applyFill="1" applyBorder="1" applyAlignment="1">
      <alignment horizontal="center" vertical="justify"/>
    </xf>
    <xf numFmtId="171" fontId="32" fillId="0" borderId="3" xfId="0" applyNumberFormat="1" applyFont="1" applyFill="1" applyBorder="1" applyAlignment="1" applyProtection="1">
      <alignment horizontal="center" vertical="top" wrapText="1"/>
      <protection locked="0"/>
    </xf>
    <xf numFmtId="170" fontId="39" fillId="0" borderId="3" xfId="0" applyNumberFormat="1" applyFont="1" applyFill="1" applyBorder="1" applyAlignment="1" applyProtection="1">
      <alignment vertical="center" wrapText="1"/>
      <protection locked="0"/>
    </xf>
    <xf numFmtId="1" fontId="7" fillId="0" borderId="3" xfId="0" applyNumberFormat="1" applyFont="1" applyFill="1" applyBorder="1" applyAlignment="1" applyProtection="1">
      <alignment horizontal="center"/>
      <protection locked="0"/>
    </xf>
    <xf numFmtId="172" fontId="20" fillId="0" borderId="3" xfId="0" applyNumberFormat="1" applyFont="1" applyFill="1" applyBorder="1" applyAlignment="1" applyProtection="1">
      <alignment horizontal="center"/>
      <protection locked="0"/>
    </xf>
    <xf numFmtId="172" fontId="20" fillId="0" borderId="3" xfId="0" applyNumberFormat="1" applyFont="1" applyFill="1" applyBorder="1" applyAlignment="1">
      <alignment horizontal="center"/>
    </xf>
    <xf numFmtId="172" fontId="82" fillId="0" borderId="3" xfId="0" applyNumberFormat="1" applyFont="1" applyFill="1" applyBorder="1" applyAlignment="1" applyProtection="1">
      <alignment horizontal="center"/>
      <protection locked="0"/>
    </xf>
    <xf numFmtId="172" fontId="22" fillId="0" borderId="3" xfId="0" applyNumberFormat="1" applyFont="1" applyFill="1" applyBorder="1" applyAlignment="1" applyProtection="1">
      <alignment horizontal="center"/>
      <protection locked="0"/>
    </xf>
    <xf numFmtId="172" fontId="69" fillId="0" borderId="3" xfId="0" applyNumberFormat="1" applyFont="1" applyFill="1" applyBorder="1" applyAlignment="1" applyProtection="1">
      <alignment horizontal="center"/>
      <protection locked="0"/>
    </xf>
    <xf numFmtId="172" fontId="65" fillId="0" borderId="3" xfId="0" applyNumberFormat="1" applyFont="1" applyFill="1" applyBorder="1" applyAlignment="1" applyProtection="1">
      <alignment horizontal="center"/>
      <protection locked="0"/>
    </xf>
    <xf numFmtId="172" fontId="66" fillId="0" borderId="3" xfId="0" applyNumberFormat="1" applyFont="1" applyFill="1" applyBorder="1" applyAlignment="1" applyProtection="1">
      <alignment horizontal="center"/>
      <protection locked="0"/>
    </xf>
    <xf numFmtId="1" fontId="39" fillId="0" borderId="3" xfId="0" applyNumberFormat="1" applyFont="1" applyFill="1" applyBorder="1" applyAlignment="1" applyProtection="1">
      <alignment horizontal="center"/>
      <protection locked="0"/>
    </xf>
    <xf numFmtId="0" fontId="39" fillId="0" borderId="3" xfId="0" applyFont="1" applyFill="1" applyBorder="1" applyAlignment="1">
      <alignment horizontal="center"/>
    </xf>
    <xf numFmtId="2" fontId="127" fillId="0" borderId="2" xfId="0" applyNumberFormat="1" applyFont="1" applyFill="1" applyBorder="1" applyAlignment="1" applyProtection="1">
      <alignment horizontal="center" vertical="center"/>
    </xf>
    <xf numFmtId="0" fontId="6" fillId="0" borderId="46" xfId="0" applyFont="1" applyFill="1" applyBorder="1" applyAlignment="1">
      <alignment horizontal="center" vertical="justify"/>
    </xf>
    <xf numFmtId="172" fontId="10" fillId="0" borderId="2" xfId="0" applyNumberFormat="1" applyFont="1" applyFill="1" applyBorder="1" applyAlignment="1" applyProtection="1">
      <alignment horizontal="center"/>
    </xf>
    <xf numFmtId="172" fontId="102" fillId="0" borderId="2" xfId="0" applyNumberFormat="1" applyFont="1" applyFill="1" applyBorder="1" applyAlignment="1" applyProtection="1">
      <alignment horizontal="center"/>
    </xf>
    <xf numFmtId="0" fontId="39" fillId="0" borderId="2" xfId="0" applyFont="1" applyFill="1" applyBorder="1" applyAlignment="1" applyProtection="1">
      <alignment wrapText="1"/>
      <protection locked="0"/>
    </xf>
    <xf numFmtId="0" fontId="64" fillId="0" borderId="2" xfId="0" applyFont="1" applyFill="1" applyBorder="1" applyAlignment="1" applyProtection="1">
      <alignment wrapText="1"/>
      <protection locked="0"/>
    </xf>
    <xf numFmtId="0" fontId="6" fillId="0" borderId="10" xfId="0" applyFont="1" applyFill="1" applyBorder="1" applyAlignment="1" applyProtection="1">
      <alignment wrapText="1"/>
      <protection locked="0"/>
    </xf>
    <xf numFmtId="0" fontId="9" fillId="0" borderId="2" xfId="0" applyFont="1" applyFill="1" applyBorder="1" applyAlignment="1" applyProtection="1">
      <alignment wrapText="1"/>
      <protection locked="0"/>
    </xf>
    <xf numFmtId="174" fontId="7" fillId="0" borderId="2" xfId="0" applyNumberFormat="1" applyFont="1" applyBorder="1" applyAlignment="1">
      <alignment horizontal="left" vertical="center" wrapText="1"/>
    </xf>
    <xf numFmtId="169" fontId="128" fillId="0" borderId="2" xfId="0" applyNumberFormat="1" applyFont="1" applyFill="1" applyBorder="1" applyAlignment="1" applyProtection="1">
      <alignment horizontal="center"/>
    </xf>
    <xf numFmtId="169" fontId="126" fillId="0" borderId="2" xfId="0" applyNumberFormat="1" applyFont="1" applyFill="1" applyBorder="1" applyAlignment="1" applyProtection="1">
      <alignment horizontal="center"/>
    </xf>
    <xf numFmtId="174" fontId="133" fillId="0" borderId="2" xfId="0" applyNumberFormat="1" applyFont="1" applyFill="1" applyBorder="1" applyAlignment="1" applyProtection="1">
      <alignment horizontal="center"/>
    </xf>
    <xf numFmtId="0" fontId="39" fillId="0" borderId="2" xfId="0" applyFont="1" applyFill="1" applyBorder="1" applyAlignment="1">
      <alignment wrapText="1"/>
    </xf>
    <xf numFmtId="174" fontId="133" fillId="0" borderId="2" xfId="0" applyNumberFormat="1" applyFont="1" applyBorder="1" applyAlignment="1">
      <alignment horizontal="center"/>
    </xf>
    <xf numFmtId="174" fontId="126" fillId="0" borderId="2" xfId="0" applyNumberFormat="1" applyFont="1" applyBorder="1" applyAlignment="1">
      <alignment horizontal="center"/>
    </xf>
    <xf numFmtId="168" fontId="9" fillId="0" borderId="43" xfId="0" applyNumberFormat="1" applyFont="1" applyFill="1" applyBorder="1" applyAlignment="1">
      <alignment horizontal="center" vertical="center" wrapText="1"/>
    </xf>
    <xf numFmtId="166" fontId="135" fillId="0" borderId="13" xfId="0" applyNumberFormat="1" applyFont="1" applyFill="1" applyBorder="1" applyAlignment="1" applyProtection="1">
      <alignment horizontal="center"/>
    </xf>
    <xf numFmtId="0" fontId="135" fillId="0" borderId="39" xfId="0" applyFont="1" applyBorder="1" applyAlignment="1">
      <alignment horizontal="center"/>
    </xf>
    <xf numFmtId="166" fontId="9" fillId="0" borderId="5" xfId="0" applyNumberFormat="1" applyFont="1" applyFill="1" applyBorder="1" applyAlignment="1" applyProtection="1">
      <alignment horizontal="center" vertical="center"/>
    </xf>
    <xf numFmtId="2" fontId="9" fillId="0" borderId="5" xfId="0" applyNumberFormat="1" applyFont="1" applyFill="1" applyBorder="1" applyAlignment="1" applyProtection="1">
      <alignment horizontal="center" vertical="center"/>
    </xf>
    <xf numFmtId="165" fontId="9" fillId="0" borderId="5" xfId="0" applyNumberFormat="1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5" fontId="9" fillId="0" borderId="2" xfId="0" applyNumberFormat="1" applyFont="1" applyFill="1" applyBorder="1" applyAlignment="1" applyProtection="1">
      <alignment horizontal="center" vertical="center"/>
    </xf>
    <xf numFmtId="165" fontId="9" fillId="0" borderId="6" xfId="0" applyNumberFormat="1" applyFont="1" applyFill="1" applyBorder="1" applyAlignment="1" applyProtection="1">
      <alignment horizontal="center" vertical="center"/>
    </xf>
    <xf numFmtId="2" fontId="9" fillId="0" borderId="6" xfId="0" applyNumberFormat="1" applyFont="1" applyFill="1" applyBorder="1" applyAlignment="1" applyProtection="1">
      <alignment horizontal="center" vertical="center"/>
    </xf>
    <xf numFmtId="2" fontId="9" fillId="0" borderId="10" xfId="0" applyNumberFormat="1" applyFont="1" applyFill="1" applyBorder="1" applyAlignment="1" applyProtection="1">
      <alignment horizontal="center" vertical="center"/>
    </xf>
    <xf numFmtId="2" fontId="9" fillId="0" borderId="9" xfId="0" applyNumberFormat="1" applyFont="1" applyFill="1" applyBorder="1" applyAlignment="1" applyProtection="1">
      <alignment horizontal="center" vertical="center"/>
    </xf>
    <xf numFmtId="2" fontId="9" fillId="0" borderId="11" xfId="0" applyNumberFormat="1" applyFont="1" applyFill="1" applyBorder="1" applyAlignment="1" applyProtection="1">
      <alignment horizontal="center" vertical="center"/>
    </xf>
    <xf numFmtId="2" fontId="9" fillId="0" borderId="16" xfId="0" applyNumberFormat="1" applyFont="1" applyFill="1" applyBorder="1" applyAlignment="1" applyProtection="1">
      <alignment horizontal="center" vertical="center"/>
    </xf>
    <xf numFmtId="165" fontId="9" fillId="0" borderId="13" xfId="0" applyNumberFormat="1" applyFont="1" applyFill="1" applyBorder="1" applyAlignment="1" applyProtection="1">
      <alignment horizontal="center" vertical="center"/>
    </xf>
    <xf numFmtId="165" fontId="9" fillId="0" borderId="39" xfId="0" applyNumberFormat="1" applyFont="1" applyFill="1" applyBorder="1" applyAlignment="1" applyProtection="1">
      <alignment horizontal="center" vertical="center"/>
    </xf>
    <xf numFmtId="166" fontId="9" fillId="0" borderId="6" xfId="0" applyNumberFormat="1" applyFont="1" applyFill="1" applyBorder="1" applyAlignment="1" applyProtection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68" fontId="9" fillId="0" borderId="2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 applyProtection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165" fontId="9" fillId="0" borderId="43" xfId="0" applyNumberFormat="1" applyFont="1" applyFill="1" applyBorder="1" applyAlignment="1" applyProtection="1">
      <alignment horizontal="center" vertical="center"/>
    </xf>
    <xf numFmtId="169" fontId="68" fillId="0" borderId="2" xfId="0" applyNumberFormat="1" applyFont="1" applyFill="1" applyBorder="1" applyAlignment="1" applyProtection="1">
      <alignment vertical="center"/>
    </xf>
    <xf numFmtId="169" fontId="7" fillId="0" borderId="2" xfId="0" applyNumberFormat="1" applyFont="1" applyFill="1" applyBorder="1" applyAlignment="1" applyProtection="1">
      <alignment horizontal="center" vertical="center"/>
    </xf>
    <xf numFmtId="169" fontId="10" fillId="0" borderId="2" xfId="0" applyNumberFormat="1" applyFont="1" applyFill="1" applyBorder="1" applyAlignment="1" applyProtection="1">
      <alignment horizontal="center" vertical="center"/>
    </xf>
    <xf numFmtId="169" fontId="64" fillId="0" borderId="2" xfId="0" applyNumberFormat="1" applyFont="1" applyFill="1" applyBorder="1" applyAlignment="1" applyProtection="1">
      <alignment horizontal="center" vertical="center"/>
    </xf>
    <xf numFmtId="169" fontId="68" fillId="0" borderId="2" xfId="0" applyNumberFormat="1" applyFont="1" applyFill="1" applyBorder="1" applyAlignment="1">
      <alignment vertical="center"/>
    </xf>
    <xf numFmtId="0" fontId="7" fillId="0" borderId="0" xfId="0" applyFont="1" applyFill="1" applyAlignment="1">
      <alignment horizontal="center"/>
    </xf>
    <xf numFmtId="173" fontId="7" fillId="0" borderId="0" xfId="0" applyNumberFormat="1" applyFont="1" applyFill="1" applyAlignment="1" applyProtection="1">
      <alignment horizontal="center"/>
    </xf>
    <xf numFmtId="170" fontId="7" fillId="0" borderId="0" xfId="0" applyNumberFormat="1" applyFont="1" applyFill="1" applyAlignment="1" applyProtection="1">
      <alignment horizontal="center"/>
    </xf>
    <xf numFmtId="1" fontId="9" fillId="0" borderId="3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7" xfId="0" applyNumberFormat="1" applyFont="1" applyFill="1" applyBorder="1" applyAlignment="1" applyProtection="1">
      <alignment horizontal="center" vertical="center"/>
    </xf>
    <xf numFmtId="2" fontId="9" fillId="0" borderId="37" xfId="0" applyNumberFormat="1" applyFont="1" applyFill="1" applyBorder="1" applyAlignment="1" applyProtection="1">
      <alignment horizontal="center" vertical="center"/>
    </xf>
    <xf numFmtId="174" fontId="32" fillId="0" borderId="26" xfId="0" applyNumberFormat="1" applyFont="1" applyFill="1" applyBorder="1" applyAlignment="1" applyProtection="1">
      <alignment horizontal="center" vertical="center"/>
    </xf>
    <xf numFmtId="1" fontId="9" fillId="0" borderId="26" xfId="0" applyNumberFormat="1" applyFont="1" applyFill="1" applyBorder="1" applyAlignment="1" applyProtection="1">
      <alignment horizontal="center" vertical="center"/>
    </xf>
    <xf numFmtId="2" fontId="9" fillId="0" borderId="26" xfId="0" applyNumberFormat="1" applyFont="1" applyFill="1" applyBorder="1" applyAlignment="1" applyProtection="1">
      <alignment horizontal="center" vertical="center"/>
    </xf>
    <xf numFmtId="2" fontId="9" fillId="0" borderId="41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/>
    </xf>
    <xf numFmtId="2" fontId="9" fillId="0" borderId="37" xfId="0" applyNumberFormat="1" applyFont="1" applyFill="1" applyBorder="1" applyAlignment="1" applyProtection="1">
      <alignment horizontal="center"/>
    </xf>
    <xf numFmtId="2" fontId="7" fillId="0" borderId="6" xfId="0" applyNumberFormat="1" applyFont="1" applyFill="1" applyBorder="1"/>
    <xf numFmtId="2" fontId="7" fillId="0" borderId="2" xfId="0" applyNumberFormat="1" applyFont="1" applyFill="1" applyBorder="1"/>
    <xf numFmtId="1" fontId="7" fillId="0" borderId="46" xfId="0" applyNumberFormat="1" applyFont="1" applyFill="1" applyBorder="1" applyAlignment="1" applyProtection="1">
      <alignment horizontal="center"/>
    </xf>
    <xf numFmtId="166" fontId="7" fillId="0" borderId="2" xfId="0" applyNumberFormat="1" applyFont="1" applyFill="1" applyBorder="1" applyAlignment="1" applyProtection="1">
      <alignment horizontal="center"/>
    </xf>
    <xf numFmtId="2" fontId="107" fillId="0" borderId="2" xfId="0" applyNumberFormat="1" applyFont="1" applyFill="1" applyBorder="1" applyAlignment="1" applyProtection="1">
      <alignment horizontal="center"/>
      <protection locked="0"/>
    </xf>
    <xf numFmtId="2" fontId="107" fillId="0" borderId="6" xfId="0" applyNumberFormat="1" applyFont="1" applyFill="1" applyBorder="1" applyAlignment="1" applyProtection="1">
      <alignment horizontal="center"/>
      <protection locked="0"/>
    </xf>
    <xf numFmtId="2" fontId="107" fillId="0" borderId="2" xfId="0" applyNumberFormat="1" applyFont="1" applyFill="1" applyBorder="1"/>
    <xf numFmtId="2" fontId="107" fillId="0" borderId="6" xfId="0" applyNumberFormat="1" applyFont="1" applyFill="1" applyBorder="1"/>
    <xf numFmtId="2" fontId="39" fillId="0" borderId="6" xfId="0" applyNumberFormat="1" applyFont="1" applyFill="1" applyBorder="1" applyAlignment="1" applyProtection="1">
      <alignment horizontal="center"/>
    </xf>
    <xf numFmtId="2" fontId="39" fillId="0" borderId="2" xfId="0" applyNumberFormat="1" applyFont="1" applyFill="1" applyBorder="1"/>
    <xf numFmtId="2" fontId="39" fillId="0" borderId="6" xfId="0" applyNumberFormat="1" applyFont="1" applyFill="1" applyBorder="1"/>
    <xf numFmtId="2" fontId="39" fillId="0" borderId="2" xfId="0" applyNumberFormat="1" applyFont="1" applyFill="1" applyBorder="1" applyAlignment="1" applyProtection="1">
      <alignment horizontal="center"/>
      <protection locked="0"/>
    </xf>
    <xf numFmtId="2" fontId="39" fillId="0" borderId="6" xfId="0" applyNumberFormat="1" applyFont="1" applyFill="1" applyBorder="1" applyAlignment="1" applyProtection="1">
      <alignment horizontal="center"/>
      <protection locked="0"/>
    </xf>
    <xf numFmtId="2" fontId="107" fillId="0" borderId="2" xfId="0" applyNumberFormat="1" applyFont="1" applyFill="1" applyBorder="1" applyAlignment="1">
      <alignment horizontal="center"/>
    </xf>
    <xf numFmtId="2" fontId="107" fillId="0" borderId="6" xfId="0" applyNumberFormat="1" applyFont="1" applyFill="1" applyBorder="1" applyAlignment="1">
      <alignment horizontal="center"/>
    </xf>
    <xf numFmtId="2" fontId="39" fillId="0" borderId="3" xfId="0" applyNumberFormat="1" applyFont="1" applyFill="1" applyBorder="1" applyAlignment="1" applyProtection="1">
      <alignment horizontal="center"/>
      <protection locked="0"/>
    </xf>
    <xf numFmtId="2" fontId="39" fillId="0" borderId="37" xfId="0" applyNumberFormat="1" applyFont="1" applyFill="1" applyBorder="1" applyAlignment="1" applyProtection="1">
      <alignment horizontal="center"/>
      <protection locked="0"/>
    </xf>
    <xf numFmtId="2" fontId="39" fillId="0" borderId="6" xfId="0" applyNumberFormat="1" applyFont="1" applyFill="1" applyBorder="1" applyAlignment="1">
      <alignment horizontal="center"/>
    </xf>
    <xf numFmtId="2" fontId="39" fillId="0" borderId="2" xfId="0" applyNumberFormat="1" applyFont="1" applyFill="1" applyBorder="1" applyProtection="1">
      <protection locked="0"/>
    </xf>
    <xf numFmtId="1" fontId="39" fillId="0" borderId="2" xfId="0" applyNumberFormat="1" applyFont="1" applyFill="1" applyBorder="1" applyProtection="1">
      <protection locked="0"/>
    </xf>
    <xf numFmtId="2" fontId="39" fillId="0" borderId="6" xfId="0" applyNumberFormat="1" applyFont="1" applyFill="1" applyBorder="1" applyProtection="1">
      <protection locked="0"/>
    </xf>
    <xf numFmtId="174" fontId="126" fillId="0" borderId="2" xfId="0" applyNumberFormat="1" applyFont="1" applyFill="1" applyBorder="1" applyAlignment="1" applyProtection="1">
      <alignment horizontal="center" vertical="center"/>
      <protection locked="0"/>
    </xf>
    <xf numFmtId="1" fontId="127" fillId="0" borderId="2" xfId="0" applyNumberFormat="1" applyFont="1" applyBorder="1" applyAlignment="1">
      <alignment horizontal="center" vertical="center"/>
    </xf>
    <xf numFmtId="2" fontId="127" fillId="0" borderId="6" xfId="0" applyNumberFormat="1" applyFont="1" applyBorder="1" applyAlignment="1">
      <alignment horizontal="center" vertical="center"/>
    </xf>
    <xf numFmtId="1" fontId="127" fillId="0" borderId="2" xfId="0" applyNumberFormat="1" applyFont="1" applyFill="1" applyBorder="1" applyAlignment="1">
      <alignment horizontal="center" vertical="center"/>
    </xf>
    <xf numFmtId="2" fontId="127" fillId="0" borderId="2" xfId="0" applyNumberFormat="1" applyFont="1" applyFill="1" applyBorder="1" applyAlignment="1">
      <alignment horizontal="center" vertical="center"/>
    </xf>
    <xf numFmtId="1" fontId="126" fillId="0" borderId="2" xfId="0" applyNumberFormat="1" applyFont="1" applyFill="1" applyBorder="1" applyAlignment="1" applyProtection="1">
      <alignment horizontal="center"/>
    </xf>
    <xf numFmtId="2" fontId="126" fillId="0" borderId="6" xfId="0" applyNumberFormat="1" applyFont="1" applyFill="1" applyBorder="1" applyAlignment="1" applyProtection="1">
      <alignment horizontal="center"/>
    </xf>
    <xf numFmtId="2" fontId="126" fillId="0" borderId="43" xfId="0" applyNumberFormat="1" applyFont="1" applyFill="1" applyBorder="1" applyAlignment="1" applyProtection="1">
      <alignment horizontal="center"/>
    </xf>
    <xf numFmtId="0" fontId="0" fillId="0" borderId="0" xfId="0"/>
    <xf numFmtId="0" fontId="127" fillId="0" borderId="6" xfId="0" applyFont="1" applyFill="1" applyBorder="1" applyAlignment="1">
      <alignment horizontal="center"/>
    </xf>
    <xf numFmtId="0" fontId="133" fillId="0" borderId="2" xfId="0" applyFont="1" applyFill="1" applyBorder="1" applyAlignment="1" applyProtection="1">
      <alignment horizontal="center"/>
    </xf>
    <xf numFmtId="0" fontId="126" fillId="0" borderId="2" xfId="0" applyFont="1" applyFill="1" applyBorder="1" applyAlignment="1">
      <alignment horizontal="center"/>
    </xf>
    <xf numFmtId="0" fontId="126" fillId="0" borderId="6" xfId="0" applyFont="1" applyBorder="1" applyAlignment="1">
      <alignment horizontal="center"/>
    </xf>
    <xf numFmtId="1" fontId="128" fillId="0" borderId="2" xfId="0" applyNumberFormat="1" applyFont="1" applyFill="1" applyBorder="1" applyAlignment="1" applyProtection="1">
      <alignment horizontal="center"/>
    </xf>
    <xf numFmtId="0" fontId="0" fillId="0" borderId="0" xfId="0"/>
    <xf numFmtId="0" fontId="0" fillId="0" borderId="0" xfId="0"/>
    <xf numFmtId="2" fontId="6" fillId="0" borderId="2" xfId="0" applyNumberFormat="1" applyFont="1" applyFill="1" applyBorder="1" applyAlignment="1" applyProtection="1">
      <alignment horizontal="center"/>
    </xf>
    <xf numFmtId="0" fontId="0" fillId="0" borderId="0" xfId="0"/>
    <xf numFmtId="0" fontId="127" fillId="0" borderId="6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169" fontId="9" fillId="0" borderId="2" xfId="0" applyNumberFormat="1" applyFont="1" applyFill="1" applyBorder="1" applyAlignment="1" applyProtection="1">
      <alignment horizontal="center"/>
      <protection locked="0"/>
    </xf>
    <xf numFmtId="169" fontId="7" fillId="0" borderId="2" xfId="0" applyNumberFormat="1" applyFont="1" applyFill="1" applyBorder="1" applyAlignment="1" applyProtection="1">
      <alignment horizontal="center"/>
      <protection locked="0"/>
    </xf>
    <xf numFmtId="0" fontId="9" fillId="0" borderId="91" xfId="0" applyFont="1" applyBorder="1" applyAlignment="1">
      <alignment vertical="top" wrapText="1"/>
    </xf>
    <xf numFmtId="174" fontId="68" fillId="0" borderId="2" xfId="0" applyNumberFormat="1" applyFont="1" applyFill="1" applyBorder="1" applyAlignment="1" applyProtection="1">
      <alignment horizontal="center"/>
    </xf>
    <xf numFmtId="176" fontId="7" fillId="0" borderId="0" xfId="0" applyNumberFormat="1" applyFont="1"/>
    <xf numFmtId="0" fontId="0" fillId="0" borderId="0" xfId="0"/>
    <xf numFmtId="169" fontId="127" fillId="0" borderId="2" xfId="0" applyNumberFormat="1" applyFont="1" applyFill="1" applyBorder="1" applyAlignment="1" applyProtection="1">
      <alignment horizontal="center"/>
    </xf>
    <xf numFmtId="174" fontId="126" fillId="0" borderId="2" xfId="0" applyNumberFormat="1" applyFont="1" applyFill="1" applyBorder="1" applyAlignment="1" applyProtection="1">
      <alignment horizontal="center"/>
    </xf>
    <xf numFmtId="0" fontId="0" fillId="0" borderId="0" xfId="0"/>
    <xf numFmtId="169" fontId="127" fillId="0" borderId="2" xfId="0" applyNumberFormat="1" applyFont="1" applyFill="1" applyBorder="1" applyAlignment="1">
      <alignment horizontal="center" vertical="center" wrapText="1"/>
    </xf>
    <xf numFmtId="1" fontId="128" fillId="0" borderId="2" xfId="0" applyNumberFormat="1" applyFont="1" applyFill="1" applyBorder="1" applyAlignment="1">
      <alignment horizontal="center"/>
    </xf>
    <xf numFmtId="1" fontId="7" fillId="0" borderId="46" xfId="0" applyNumberFormat="1" applyFont="1" applyFill="1" applyBorder="1" applyAlignment="1">
      <alignment horizontal="center"/>
    </xf>
    <xf numFmtId="166" fontId="9" fillId="0" borderId="3" xfId="0" applyNumberFormat="1" applyFont="1" applyFill="1" applyBorder="1" applyAlignment="1" applyProtection="1">
      <alignment vertical="center" wrapText="1"/>
    </xf>
    <xf numFmtId="0" fontId="9" fillId="0" borderId="19" xfId="0" applyFont="1" applyBorder="1" applyAlignment="1">
      <alignment vertical="top" wrapText="1"/>
    </xf>
    <xf numFmtId="174" fontId="128" fillId="0" borderId="2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9" fillId="0" borderId="2" xfId="0" applyFont="1" applyFill="1" applyBorder="1" applyAlignment="1" applyProtection="1">
      <alignment horizontal="center" shrinkToFit="1"/>
    </xf>
    <xf numFmtId="0" fontId="9" fillId="0" borderId="2" xfId="0" applyFont="1" applyFill="1" applyBorder="1" applyAlignment="1" applyProtection="1">
      <alignment horizontal="center" vertical="top" shrinkToFit="1"/>
    </xf>
    <xf numFmtId="174" fontId="32" fillId="0" borderId="2" xfId="0" applyNumberFormat="1" applyFont="1" applyFill="1" applyBorder="1" applyAlignment="1" applyProtection="1">
      <alignment horizontal="center"/>
    </xf>
    <xf numFmtId="174" fontId="19" fillId="0" borderId="0" xfId="0" applyNumberFormat="1" applyFont="1"/>
    <xf numFmtId="0" fontId="0" fillId="0" borderId="0" xfId="0"/>
    <xf numFmtId="2" fontId="127" fillId="0" borderId="2" xfId="0" applyNumberFormat="1" applyFont="1" applyFill="1" applyBorder="1" applyAlignment="1">
      <alignment horizontal="center"/>
    </xf>
    <xf numFmtId="0" fontId="39" fillId="0" borderId="46" xfId="0" applyFont="1" applyBorder="1" applyAlignment="1">
      <alignment horizontal="center" vertical="top"/>
    </xf>
    <xf numFmtId="0" fontId="0" fillId="0" borderId="0" xfId="0"/>
    <xf numFmtId="0" fontId="0" fillId="0" borderId="0" xfId="0"/>
    <xf numFmtId="0" fontId="0" fillId="0" borderId="0" xfId="0"/>
    <xf numFmtId="2" fontId="128" fillId="0" borderId="2" xfId="0" applyNumberFormat="1" applyFont="1" applyFill="1" applyBorder="1" applyAlignment="1" applyProtection="1">
      <alignment horizontal="center"/>
    </xf>
    <xf numFmtId="2" fontId="128" fillId="0" borderId="6" xfId="0" applyNumberFormat="1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32" fillId="0" borderId="2" xfId="0" applyFont="1" applyBorder="1" applyAlignment="1">
      <alignment vertical="top" wrapText="1"/>
    </xf>
    <xf numFmtId="1" fontId="39" fillId="0" borderId="46" xfId="0" applyNumberFormat="1" applyFont="1" applyFill="1" applyBorder="1" applyAlignment="1" applyProtection="1">
      <alignment horizontal="center"/>
    </xf>
    <xf numFmtId="0" fontId="39" fillId="0" borderId="2" xfId="0" applyFont="1" applyFill="1" applyBorder="1" applyAlignment="1">
      <alignment horizontal="center" vertical="center" wrapText="1"/>
    </xf>
    <xf numFmtId="1" fontId="39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32" fillId="0" borderId="6" xfId="0" applyFont="1" applyFill="1" applyBorder="1" applyAlignment="1">
      <alignment horizontal="center"/>
    </xf>
    <xf numFmtId="169" fontId="7" fillId="0" borderId="2" xfId="0" applyNumberFormat="1" applyFont="1" applyFill="1" applyBorder="1" applyAlignment="1">
      <alignment horizontal="center"/>
    </xf>
    <xf numFmtId="169" fontId="39" fillId="0" borderId="2" xfId="0" applyNumberFormat="1" applyFont="1" applyFill="1" applyBorder="1" applyAlignment="1">
      <alignment horizontal="center"/>
    </xf>
    <xf numFmtId="169" fontId="64" fillId="0" borderId="2" xfId="0" applyNumberFormat="1" applyFont="1" applyFill="1" applyBorder="1" applyAlignment="1">
      <alignment horizontal="center"/>
    </xf>
    <xf numFmtId="0" fontId="7" fillId="0" borderId="2" xfId="0" applyNumberFormat="1" applyFont="1" applyBorder="1" applyAlignment="1">
      <alignment horizontal="center"/>
    </xf>
    <xf numFmtId="169" fontId="133" fillId="0" borderId="2" xfId="0" applyNumberFormat="1" applyFont="1" applyBorder="1" applyAlignment="1">
      <alignment horizontal="center"/>
    </xf>
    <xf numFmtId="172" fontId="7" fillId="0" borderId="3" xfId="0" applyNumberFormat="1" applyFont="1" applyFill="1" applyBorder="1" applyAlignment="1">
      <alignment horizontal="center"/>
    </xf>
    <xf numFmtId="172" fontId="68" fillId="0" borderId="3" xfId="0" applyNumberFormat="1" applyFont="1" applyFill="1" applyBorder="1" applyAlignment="1">
      <alignment horizontal="center"/>
    </xf>
    <xf numFmtId="172" fontId="7" fillId="0" borderId="3" xfId="0" applyNumberFormat="1" applyFont="1" applyFill="1" applyBorder="1" applyAlignment="1" applyProtection="1">
      <alignment horizontal="center"/>
    </xf>
    <xf numFmtId="172" fontId="10" fillId="0" borderId="3" xfId="0" applyNumberFormat="1" applyFont="1" applyFill="1" applyBorder="1" applyAlignment="1">
      <alignment horizontal="center"/>
    </xf>
    <xf numFmtId="172" fontId="102" fillId="0" borderId="3" xfId="0" applyNumberFormat="1" applyFont="1" applyFill="1" applyBorder="1" applyAlignment="1">
      <alignment horizontal="center"/>
    </xf>
    <xf numFmtId="172" fontId="64" fillId="0" borderId="3" xfId="0" applyNumberFormat="1" applyFont="1" applyFill="1" applyBorder="1" applyAlignment="1">
      <alignment horizontal="center"/>
    </xf>
    <xf numFmtId="169" fontId="7" fillId="0" borderId="2" xfId="0" applyNumberFormat="1" applyFont="1" applyFill="1" applyBorder="1" applyAlignment="1">
      <alignment horizontal="center" vertical="center"/>
    </xf>
    <xf numFmtId="169" fontId="7" fillId="0" borderId="2" xfId="0" applyNumberFormat="1" applyFont="1" applyFill="1" applyBorder="1" applyAlignment="1" applyProtection="1">
      <alignment horizontal="center" vertical="center"/>
      <protection locked="0"/>
    </xf>
    <xf numFmtId="169" fontId="9" fillId="0" borderId="2" xfId="0" applyNumberFormat="1" applyFont="1" applyFill="1" applyBorder="1" applyAlignment="1" applyProtection="1">
      <alignment horizontal="center" vertical="center"/>
      <protection locked="0"/>
    </xf>
    <xf numFmtId="169" fontId="32" fillId="0" borderId="2" xfId="0" applyNumberFormat="1" applyFont="1" applyFill="1" applyBorder="1" applyAlignment="1" applyProtection="1">
      <alignment horizontal="center" vertical="center"/>
      <protection locked="0"/>
    </xf>
    <xf numFmtId="169" fontId="14" fillId="0" borderId="10" xfId="0" applyNumberFormat="1" applyFont="1" applyFill="1" applyBorder="1" applyAlignment="1" applyProtection="1">
      <alignment horizontal="center"/>
      <protection locked="0"/>
    </xf>
    <xf numFmtId="169" fontId="102" fillId="0" borderId="10" xfId="0" applyNumberFormat="1" applyFont="1" applyFill="1" applyBorder="1" applyAlignment="1" applyProtection="1">
      <alignment horizontal="center"/>
      <protection locked="0"/>
    </xf>
    <xf numFmtId="169" fontId="64" fillId="0" borderId="10" xfId="0" applyNumberFormat="1" applyFont="1" applyFill="1" applyBorder="1" applyAlignment="1" applyProtection="1">
      <alignment horizontal="center"/>
      <protection locked="0"/>
    </xf>
    <xf numFmtId="169" fontId="62" fillId="0" borderId="10" xfId="0" applyNumberFormat="1" applyFont="1" applyFill="1" applyBorder="1" applyAlignment="1" applyProtection="1">
      <alignment horizontal="center"/>
      <protection locked="0"/>
    </xf>
    <xf numFmtId="2" fontId="7" fillId="0" borderId="10" xfId="0" applyNumberFormat="1" applyFont="1" applyFill="1" applyBorder="1" applyAlignment="1" applyProtection="1">
      <alignment horizontal="center"/>
      <protection locked="0"/>
    </xf>
    <xf numFmtId="166" fontId="7" fillId="0" borderId="9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Alignment="1" applyProtection="1">
      <alignment wrapText="1"/>
      <protection locked="0"/>
    </xf>
    <xf numFmtId="168" fontId="9" fillId="2" borderId="2" xfId="0" applyNumberFormat="1" applyFont="1" applyFill="1" applyBorder="1" applyAlignment="1" applyProtection="1">
      <alignment horizontal="center" vertical="center"/>
    </xf>
    <xf numFmtId="1" fontId="39" fillId="0" borderId="2" xfId="0" applyNumberFormat="1" applyFont="1" applyBorder="1" applyAlignment="1">
      <alignment horizontal="center"/>
    </xf>
    <xf numFmtId="0" fontId="0" fillId="0" borderId="0" xfId="0"/>
    <xf numFmtId="2" fontId="127" fillId="0" borderId="2" xfId="0" applyNumberFormat="1" applyFont="1" applyFill="1" applyBorder="1" applyAlignment="1" applyProtection="1">
      <alignment horizontal="center"/>
      <protection locked="0"/>
    </xf>
    <xf numFmtId="174" fontId="133" fillId="0" borderId="43" xfId="0" applyNumberFormat="1" applyFont="1" applyFill="1" applyBorder="1" applyAlignment="1" applyProtection="1">
      <alignment horizontal="center"/>
    </xf>
    <xf numFmtId="174" fontId="126" fillId="0" borderId="43" xfId="0" applyNumberFormat="1" applyFont="1" applyFill="1" applyBorder="1" applyAlignment="1" applyProtection="1">
      <alignment horizontal="center"/>
    </xf>
    <xf numFmtId="174" fontId="128" fillId="0" borderId="43" xfId="0" applyNumberFormat="1" applyFont="1" applyFill="1" applyBorder="1" applyAlignment="1" applyProtection="1">
      <alignment horizontal="center"/>
    </xf>
    <xf numFmtId="174" fontId="126" fillId="0" borderId="43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69" fontId="62" fillId="0" borderId="2" xfId="0" applyNumberFormat="1" applyFont="1" applyFill="1" applyBorder="1" applyAlignment="1" applyProtection="1">
      <alignment horizontal="center" vertical="center"/>
      <protection locked="0"/>
    </xf>
    <xf numFmtId="174" fontId="126" fillId="0" borderId="2" xfId="0" applyNumberFormat="1" applyFont="1" applyFill="1" applyBorder="1" applyAlignment="1" applyProtection="1">
      <alignment horizontal="center"/>
      <protection locked="0"/>
    </xf>
    <xf numFmtId="0" fontId="0" fillId="0" borderId="0" xfId="0"/>
    <xf numFmtId="174" fontId="68" fillId="0" borderId="10" xfId="0" applyNumberFormat="1" applyFont="1" applyFill="1" applyBorder="1" applyAlignment="1">
      <alignment horizontal="center"/>
    </xf>
    <xf numFmtId="174" fontId="64" fillId="0" borderId="10" xfId="0" applyNumberFormat="1" applyFont="1" applyFill="1" applyBorder="1" applyAlignment="1" applyProtection="1">
      <alignment horizontal="center"/>
    </xf>
    <xf numFmtId="0" fontId="0" fillId="0" borderId="0" xfId="0"/>
    <xf numFmtId="0" fontId="122" fillId="0" borderId="0" xfId="0" applyFont="1" applyBorder="1"/>
    <xf numFmtId="0" fontId="122" fillId="0" borderId="26" xfId="0" applyFont="1" applyBorder="1" applyAlignment="1">
      <alignment horizontal="center"/>
    </xf>
    <xf numFmtId="0" fontId="33" fillId="0" borderId="68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0" fontId="33" fillId="0" borderId="92" xfId="0" applyFont="1" applyBorder="1" applyAlignment="1">
      <alignment horizontal="center"/>
    </xf>
    <xf numFmtId="0" fontId="33" fillId="0" borderId="0" xfId="0" applyFont="1" applyBorder="1"/>
    <xf numFmtId="174" fontId="122" fillId="0" borderId="19" xfId="0" applyNumberFormat="1" applyFont="1" applyBorder="1" applyAlignment="1">
      <alignment horizontal="center"/>
    </xf>
    <xf numFmtId="174" fontId="122" fillId="0" borderId="67" xfId="0" applyNumberFormat="1" applyFont="1" applyBorder="1" applyAlignment="1">
      <alignment horizontal="center"/>
    </xf>
    <xf numFmtId="174" fontId="122" fillId="0" borderId="33" xfId="0" applyNumberFormat="1" applyFont="1" applyBorder="1" applyAlignment="1">
      <alignment horizontal="center"/>
    </xf>
    <xf numFmtId="174" fontId="122" fillId="0" borderId="64" xfId="0" applyNumberFormat="1" applyFont="1" applyBorder="1" applyAlignment="1">
      <alignment horizontal="center"/>
    </xf>
    <xf numFmtId="174" fontId="122" fillId="0" borderId="15" xfId="0" applyNumberFormat="1" applyFont="1" applyBorder="1" applyAlignment="1">
      <alignment horizontal="center"/>
    </xf>
    <xf numFmtId="174" fontId="122" fillId="0" borderId="70" xfId="0" applyNumberFormat="1" applyFont="1" applyBorder="1" applyAlignment="1">
      <alignment horizontal="center"/>
    </xf>
    <xf numFmtId="0" fontId="0" fillId="0" borderId="0" xfId="0"/>
    <xf numFmtId="169" fontId="11" fillId="0" borderId="2" xfId="0" applyNumberFormat="1" applyFont="1" applyFill="1" applyBorder="1" applyAlignment="1" applyProtection="1">
      <alignment horizontal="center"/>
    </xf>
    <xf numFmtId="174" fontId="32" fillId="0" borderId="2" xfId="0" applyNumberFormat="1" applyFont="1" applyBorder="1"/>
    <xf numFmtId="174" fontId="50" fillId="0" borderId="2" xfId="0" applyNumberFormat="1" applyFont="1" applyBorder="1" applyAlignment="1">
      <alignment horizontal="center" wrapText="1"/>
    </xf>
    <xf numFmtId="174" fontId="83" fillId="0" borderId="2" xfId="0" applyNumberFormat="1" applyFont="1" applyBorder="1" applyAlignment="1">
      <alignment horizontal="center" wrapText="1"/>
    </xf>
    <xf numFmtId="174" fontId="102" fillId="0" borderId="2" xfId="0" applyNumberFormat="1" applyFont="1" applyBorder="1" applyAlignment="1">
      <alignment horizontal="center" wrapText="1"/>
    </xf>
    <xf numFmtId="174" fontId="7" fillId="0" borderId="10" xfId="0" applyNumberFormat="1" applyFont="1" applyFill="1" applyBorder="1" applyAlignment="1">
      <alignment horizontal="center"/>
    </xf>
    <xf numFmtId="174" fontId="39" fillId="0" borderId="10" xfId="0" applyNumberFormat="1" applyFont="1" applyFill="1" applyBorder="1" applyAlignment="1">
      <alignment horizontal="center"/>
    </xf>
    <xf numFmtId="0" fontId="39" fillId="0" borderId="2" xfId="0" applyFont="1" applyFill="1" applyBorder="1" applyAlignment="1" applyProtection="1">
      <alignment horizontal="center"/>
      <protection locked="0"/>
    </xf>
    <xf numFmtId="0" fontId="39" fillId="0" borderId="2" xfId="0" applyFont="1" applyBorder="1" applyAlignment="1">
      <alignment horizontal="center"/>
    </xf>
    <xf numFmtId="169" fontId="39" fillId="0" borderId="2" xfId="0" applyNumberFormat="1" applyFont="1" applyFill="1" applyBorder="1" applyAlignment="1" applyProtection="1">
      <alignment horizontal="center"/>
      <protection locked="0"/>
    </xf>
    <xf numFmtId="169" fontId="7" fillId="0" borderId="10" xfId="0" applyNumberFormat="1" applyFont="1" applyFill="1" applyBorder="1" applyAlignment="1" applyProtection="1">
      <alignment horizontal="center"/>
      <protection locked="0"/>
    </xf>
    <xf numFmtId="0" fontId="39" fillId="0" borderId="2" xfId="0" applyFont="1" applyBorder="1" applyAlignment="1">
      <alignment horizontal="center" wrapText="1"/>
    </xf>
    <xf numFmtId="169" fontId="39" fillId="0" borderId="3" xfId="0" applyNumberFormat="1" applyFont="1" applyFill="1" applyBorder="1" applyAlignment="1" applyProtection="1">
      <alignment horizontal="center"/>
    </xf>
    <xf numFmtId="169" fontId="39" fillId="0" borderId="3" xfId="0" applyNumberFormat="1" applyFont="1" applyFill="1" applyBorder="1" applyAlignment="1">
      <alignment horizontal="center"/>
    </xf>
    <xf numFmtId="169" fontId="7" fillId="0" borderId="2" xfId="0" applyNumberFormat="1" applyFont="1" applyBorder="1" applyAlignment="1"/>
    <xf numFmtId="0" fontId="39" fillId="0" borderId="2" xfId="0" applyFont="1" applyFill="1" applyBorder="1" applyAlignment="1" applyProtection="1">
      <alignment horizontal="center" vertical="center"/>
    </xf>
    <xf numFmtId="1" fontId="39" fillId="0" borderId="3" xfId="0" applyNumberFormat="1" applyFont="1" applyFill="1" applyBorder="1" applyAlignment="1" applyProtection="1">
      <alignment horizontal="center"/>
    </xf>
    <xf numFmtId="0" fontId="0" fillId="0" borderId="0" xfId="0"/>
    <xf numFmtId="0" fontId="0" fillId="0" borderId="0" xfId="0"/>
    <xf numFmtId="0" fontId="128" fillId="0" borderId="2" xfId="0" applyFont="1" applyFill="1" applyBorder="1" applyAlignment="1">
      <alignment horizontal="center"/>
    </xf>
    <xf numFmtId="0" fontId="128" fillId="0" borderId="6" xfId="0" applyFont="1" applyFill="1" applyBorder="1" applyAlignment="1">
      <alignment horizontal="center"/>
    </xf>
    <xf numFmtId="0" fontId="0" fillId="0" borderId="0" xfId="0"/>
    <xf numFmtId="0" fontId="136" fillId="0" borderId="0" xfId="0" applyFont="1" applyAlignment="1">
      <alignment horizontal="center"/>
    </xf>
    <xf numFmtId="0" fontId="33" fillId="0" borderId="82" xfId="0" applyFont="1" applyBorder="1"/>
    <xf numFmtId="174" fontId="127" fillId="0" borderId="84" xfId="0" applyNumberFormat="1" applyFont="1" applyBorder="1"/>
    <xf numFmtId="0" fontId="122" fillId="0" borderId="85" xfId="0" applyFont="1" applyBorder="1"/>
    <xf numFmtId="0" fontId="7" fillId="0" borderId="86" xfId="0" applyFont="1" applyBorder="1" applyAlignment="1">
      <alignment horizontal="center"/>
    </xf>
    <xf numFmtId="0" fontId="7" fillId="0" borderId="87" xfId="0" applyFont="1" applyBorder="1"/>
    <xf numFmtId="0" fontId="33" fillId="0" borderId="85" xfId="0" applyFont="1" applyBorder="1"/>
    <xf numFmtId="0" fontId="9" fillId="0" borderId="86" xfId="0" applyFont="1" applyBorder="1" applyAlignment="1">
      <alignment horizontal="center"/>
    </xf>
    <xf numFmtId="174" fontId="127" fillId="0" borderId="87" xfId="0" applyNumberFormat="1" applyFont="1" applyBorder="1"/>
    <xf numFmtId="174" fontId="9" fillId="0" borderId="86" xfId="0" applyNumberFormat="1" applyFont="1" applyBorder="1" applyAlignment="1">
      <alignment horizontal="center"/>
    </xf>
    <xf numFmtId="0" fontId="33" fillId="0" borderId="88" xfId="0" applyFont="1" applyBorder="1"/>
    <xf numFmtId="174" fontId="9" fillId="0" borderId="89" xfId="0" applyNumberFormat="1" applyFont="1" applyBorder="1" applyAlignment="1">
      <alignment horizontal="center"/>
    </xf>
    <xf numFmtId="174" fontId="127" fillId="0" borderId="90" xfId="0" applyNumberFormat="1" applyFont="1" applyBorder="1"/>
    <xf numFmtId="0" fontId="33" fillId="0" borderId="93" xfId="0" applyFont="1" applyBorder="1" applyAlignment="1">
      <alignment horizontal="right"/>
    </xf>
    <xf numFmtId="174" fontId="42" fillId="0" borderId="0" xfId="0" applyNumberFormat="1" applyFont="1" applyBorder="1"/>
    <xf numFmtId="174" fontId="127" fillId="0" borderId="0" xfId="0" applyNumberFormat="1" applyFont="1" applyBorder="1"/>
    <xf numFmtId="0" fontId="33" fillId="0" borderId="0" xfId="0" applyFont="1" applyBorder="1" applyAlignment="1">
      <alignment horizontal="right"/>
    </xf>
    <xf numFmtId="0" fontId="0" fillId="0" borderId="0" xfId="0"/>
    <xf numFmtId="1" fontId="127" fillId="0" borderId="2" xfId="0" applyNumberFormat="1" applyFont="1" applyBorder="1" applyAlignment="1">
      <alignment horizontal="center"/>
    </xf>
    <xf numFmtId="2" fontId="127" fillId="0" borderId="43" xfId="0" applyNumberFormat="1" applyFont="1" applyBorder="1" applyAlignment="1">
      <alignment horizontal="center"/>
    </xf>
    <xf numFmtId="169" fontId="10" fillId="0" borderId="2" xfId="0" applyNumberFormat="1" applyFont="1" applyBorder="1"/>
    <xf numFmtId="169" fontId="64" fillId="0" borderId="2" xfId="0" applyNumberFormat="1" applyFont="1" applyBorder="1"/>
    <xf numFmtId="169" fontId="62" fillId="0" borderId="2" xfId="0" applyNumberFormat="1" applyFont="1" applyBorder="1"/>
    <xf numFmtId="169" fontId="128" fillId="0" borderId="2" xfId="0" applyNumberFormat="1" applyFont="1" applyBorder="1" applyAlignment="1">
      <alignment horizontal="center"/>
    </xf>
    <xf numFmtId="0" fontId="133" fillId="0" borderId="2" xfId="0" applyFont="1" applyBorder="1" applyAlignment="1">
      <alignment wrapText="1"/>
    </xf>
    <xf numFmtId="169" fontId="126" fillId="0" borderId="2" xfId="0" applyNumberFormat="1" applyFont="1" applyBorder="1" applyAlignment="1">
      <alignment horizontal="center"/>
    </xf>
    <xf numFmtId="172" fontId="133" fillId="0" borderId="2" xfId="0" applyNumberFormat="1" applyFont="1" applyFill="1" applyBorder="1" applyAlignment="1">
      <alignment horizontal="center"/>
    </xf>
    <xf numFmtId="0" fontId="132" fillId="0" borderId="71" xfId="0" applyFont="1" applyBorder="1"/>
    <xf numFmtId="0" fontId="132" fillId="0" borderId="0" xfId="0" applyFont="1" applyBorder="1"/>
    <xf numFmtId="172" fontId="126" fillId="0" borderId="2" xfId="0" applyNumberFormat="1" applyFont="1" applyFill="1" applyBorder="1" applyAlignment="1" applyProtection="1">
      <alignment horizontal="center"/>
      <protection locked="0"/>
    </xf>
    <xf numFmtId="0" fontId="0" fillId="0" borderId="0" xfId="0"/>
    <xf numFmtId="2" fontId="32" fillId="0" borderId="43" xfId="0" applyNumberFormat="1" applyFont="1" applyFill="1" applyBorder="1"/>
    <xf numFmtId="0" fontId="0" fillId="0" borderId="0" xfId="0"/>
    <xf numFmtId="174" fontId="133" fillId="0" borderId="2" xfId="0" applyNumberFormat="1" applyFont="1" applyFill="1" applyBorder="1" applyAlignment="1" applyProtection="1">
      <alignment horizontal="center"/>
      <protection locked="0"/>
    </xf>
    <xf numFmtId="169" fontId="126" fillId="0" borderId="2" xfId="0" applyNumberFormat="1" applyFont="1" applyFill="1" applyBorder="1" applyAlignment="1" applyProtection="1">
      <alignment horizontal="center"/>
      <protection locked="0"/>
    </xf>
    <xf numFmtId="169" fontId="133" fillId="0" borderId="2" xfId="0" applyNumberFormat="1" applyFont="1" applyFill="1" applyBorder="1" applyAlignment="1" applyProtection="1">
      <alignment horizontal="center"/>
      <protection locked="0"/>
    </xf>
    <xf numFmtId="174" fontId="9" fillId="0" borderId="0" xfId="0" applyNumberFormat="1" applyFont="1" applyFill="1" applyBorder="1" applyAlignment="1" applyProtection="1">
      <alignment horizontal="center" vertical="center"/>
    </xf>
    <xf numFmtId="169" fontId="128" fillId="0" borderId="2" xfId="0" applyNumberFormat="1" applyFont="1" applyFill="1" applyBorder="1" applyAlignment="1">
      <alignment horizontal="center" vertical="center" wrapText="1"/>
    </xf>
    <xf numFmtId="168" fontId="7" fillId="0" borderId="43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27" fillId="0" borderId="2" xfId="0" applyFont="1" applyBorder="1" applyAlignment="1">
      <alignment wrapText="1"/>
    </xf>
    <xf numFmtId="0" fontId="127" fillId="0" borderId="2" xfId="0" applyFont="1" applyBorder="1" applyAlignment="1">
      <alignment horizontal="center" vertical="top"/>
    </xf>
    <xf numFmtId="174" fontId="9" fillId="0" borderId="19" xfId="0" applyNumberFormat="1" applyFont="1" applyBorder="1" applyAlignment="1">
      <alignment horizontal="center" vertical="center"/>
    </xf>
    <xf numFmtId="174" fontId="9" fillId="0" borderId="33" xfId="0" applyNumberFormat="1" applyFont="1" applyBorder="1" applyAlignment="1">
      <alignment horizontal="center" vertical="center"/>
    </xf>
    <xf numFmtId="174" fontId="9" fillId="0" borderId="33" xfId="0" applyNumberFormat="1" applyFont="1" applyFill="1" applyBorder="1" applyAlignment="1">
      <alignment horizontal="center" vertical="center"/>
    </xf>
    <xf numFmtId="174" fontId="9" fillId="0" borderId="15" xfId="0" applyNumberFormat="1" applyFont="1" applyBorder="1" applyAlignment="1">
      <alignment horizontal="center" vertical="center"/>
    </xf>
    <xf numFmtId="174" fontId="45" fillId="0" borderId="2" xfId="0" applyNumberFormat="1" applyFont="1" applyFill="1" applyBorder="1" applyAlignment="1" applyProtection="1">
      <alignment horizontal="center" vertical="center"/>
    </xf>
    <xf numFmtId="174" fontId="46" fillId="0" borderId="2" xfId="0" applyNumberFormat="1" applyFont="1" applyFill="1" applyBorder="1" applyAlignment="1" applyProtection="1">
      <alignment horizontal="center" vertical="center"/>
    </xf>
    <xf numFmtId="0" fontId="32" fillId="0" borderId="2" xfId="0" applyFont="1" applyBorder="1" applyAlignment="1">
      <alignment vertical="center" wrapText="1"/>
    </xf>
    <xf numFmtId="0" fontId="137" fillId="0" borderId="2" xfId="0" applyFont="1" applyFill="1" applyBorder="1" applyAlignment="1" applyProtection="1">
      <alignment horizontal="center"/>
    </xf>
    <xf numFmtId="0" fontId="0" fillId="0" borderId="0" xfId="0"/>
    <xf numFmtId="0" fontId="133" fillId="0" borderId="2" xfId="0" applyFont="1" applyFill="1" applyBorder="1" applyAlignment="1" applyProtection="1">
      <alignment wrapText="1"/>
    </xf>
    <xf numFmtId="174" fontId="127" fillId="0" borderId="2" xfId="0" applyNumberFormat="1" applyFont="1" applyFill="1" applyBorder="1" applyAlignment="1" applyProtection="1">
      <alignment horizontal="center"/>
    </xf>
    <xf numFmtId="169" fontId="127" fillId="0" borderId="3" xfId="0" applyNumberFormat="1" applyFont="1" applyFill="1" applyBorder="1" applyAlignment="1" applyProtection="1">
      <alignment horizontal="center"/>
    </xf>
    <xf numFmtId="169" fontId="133" fillId="0" borderId="2" xfId="0" applyNumberFormat="1" applyFont="1" applyFill="1" applyBorder="1" applyAlignment="1" applyProtection="1">
      <alignment horizontal="center"/>
    </xf>
    <xf numFmtId="0" fontId="128" fillId="0" borderId="2" xfId="0" applyFont="1" applyFill="1" applyBorder="1" applyAlignment="1" applyProtection="1">
      <alignment wrapText="1"/>
    </xf>
    <xf numFmtId="0" fontId="127" fillId="0" borderId="2" xfId="0" applyFont="1" applyBorder="1" applyAlignment="1">
      <alignment horizontal="center"/>
    </xf>
    <xf numFmtId="169" fontId="127" fillId="0" borderId="2" xfId="0" applyNumberFormat="1" applyFont="1" applyBorder="1" applyAlignment="1">
      <alignment horizontal="center"/>
    </xf>
    <xf numFmtId="0" fontId="128" fillId="0" borderId="2" xfId="0" applyFont="1" applyBorder="1" applyAlignment="1">
      <alignment wrapText="1"/>
    </xf>
    <xf numFmtId="0" fontId="128" fillId="0" borderId="2" xfId="0" applyFont="1" applyBorder="1" applyAlignment="1">
      <alignment horizontal="center"/>
    </xf>
    <xf numFmtId="174" fontId="127" fillId="0" borderId="2" xfId="0" applyNumberFormat="1" applyFont="1" applyFill="1" applyBorder="1" applyAlignment="1">
      <alignment horizontal="center"/>
    </xf>
    <xf numFmtId="0" fontId="128" fillId="0" borderId="2" xfId="0" applyFont="1" applyFill="1" applyBorder="1" applyAlignment="1">
      <alignment horizontal="center" vertical="center" wrapText="1"/>
    </xf>
    <xf numFmtId="0" fontId="128" fillId="0" borderId="2" xfId="0" applyFont="1" applyBorder="1" applyAlignment="1">
      <alignment horizontal="center" vertical="center"/>
    </xf>
    <xf numFmtId="1" fontId="128" fillId="0" borderId="2" xfId="0" applyNumberFormat="1" applyFont="1" applyFill="1" applyBorder="1" applyAlignment="1">
      <alignment horizontal="center" vertical="center" wrapText="1"/>
    </xf>
    <xf numFmtId="174" fontId="67" fillId="0" borderId="19" xfId="0" applyNumberFormat="1" applyFont="1" applyBorder="1" applyAlignment="1">
      <alignment horizontal="center" vertical="center"/>
    </xf>
    <xf numFmtId="174" fontId="11" fillId="0" borderId="19" xfId="0" applyNumberFormat="1" applyFont="1" applyBorder="1" applyAlignment="1">
      <alignment horizontal="center" vertical="center"/>
    </xf>
    <xf numFmtId="174" fontId="101" fillId="0" borderId="19" xfId="0" applyNumberFormat="1" applyFont="1" applyBorder="1" applyAlignment="1">
      <alignment horizontal="center" vertical="center"/>
    </xf>
    <xf numFmtId="174" fontId="63" fillId="0" borderId="19" xfId="0" applyNumberFormat="1" applyFont="1" applyBorder="1" applyAlignment="1">
      <alignment horizontal="center" vertical="center"/>
    </xf>
    <xf numFmtId="174" fontId="61" fillId="0" borderId="19" xfId="0" applyNumberFormat="1" applyFont="1" applyBorder="1" applyAlignment="1">
      <alignment horizontal="center" vertical="center"/>
    </xf>
    <xf numFmtId="174" fontId="67" fillId="0" borderId="33" xfId="0" applyNumberFormat="1" applyFont="1" applyBorder="1" applyAlignment="1">
      <alignment horizontal="center" vertical="center"/>
    </xf>
    <xf numFmtId="174" fontId="11" fillId="0" borderId="33" xfId="0" applyNumberFormat="1" applyFont="1" applyBorder="1" applyAlignment="1">
      <alignment horizontal="center" vertical="center"/>
    </xf>
    <xf numFmtId="174" fontId="101" fillId="0" borderId="33" xfId="0" applyNumberFormat="1" applyFont="1" applyBorder="1" applyAlignment="1">
      <alignment horizontal="center" vertical="center"/>
    </xf>
    <xf numFmtId="174" fontId="63" fillId="0" borderId="33" xfId="0" applyNumberFormat="1" applyFont="1" applyBorder="1" applyAlignment="1">
      <alignment horizontal="center" vertical="center"/>
    </xf>
    <xf numFmtId="174" fontId="61" fillId="0" borderId="33" xfId="0" applyNumberFormat="1" applyFont="1" applyBorder="1" applyAlignment="1">
      <alignment horizontal="center" vertical="center"/>
    </xf>
    <xf numFmtId="174" fontId="67" fillId="0" borderId="33" xfId="0" applyNumberFormat="1" applyFont="1" applyFill="1" applyBorder="1" applyAlignment="1">
      <alignment horizontal="center" vertical="center"/>
    </xf>
    <xf numFmtId="174" fontId="11" fillId="0" borderId="33" xfId="0" applyNumberFormat="1" applyFont="1" applyFill="1" applyBorder="1" applyAlignment="1">
      <alignment horizontal="center" vertical="center"/>
    </xf>
    <xf numFmtId="174" fontId="101" fillId="0" borderId="33" xfId="0" applyNumberFormat="1" applyFont="1" applyFill="1" applyBorder="1" applyAlignment="1">
      <alignment horizontal="center" vertical="center"/>
    </xf>
    <xf numFmtId="174" fontId="63" fillId="0" borderId="33" xfId="0" applyNumberFormat="1" applyFont="1" applyFill="1" applyBorder="1" applyAlignment="1">
      <alignment horizontal="center" vertical="center"/>
    </xf>
    <xf numFmtId="174" fontId="61" fillId="0" borderId="33" xfId="0" applyNumberFormat="1" applyFont="1" applyFill="1" applyBorder="1" applyAlignment="1">
      <alignment horizontal="center" vertical="center"/>
    </xf>
    <xf numFmtId="174" fontId="67" fillId="0" borderId="15" xfId="0" applyNumberFormat="1" applyFont="1" applyBorder="1" applyAlignment="1">
      <alignment horizontal="center" vertical="center"/>
    </xf>
    <xf numFmtId="174" fontId="11" fillId="0" borderId="15" xfId="0" applyNumberFormat="1" applyFont="1" applyBorder="1" applyAlignment="1">
      <alignment horizontal="center" vertical="center"/>
    </xf>
    <xf numFmtId="174" fontId="101" fillId="0" borderId="15" xfId="0" applyNumberFormat="1" applyFont="1" applyBorder="1" applyAlignment="1">
      <alignment horizontal="center" vertical="center"/>
    </xf>
    <xf numFmtId="174" fontId="63" fillId="0" borderId="15" xfId="0" applyNumberFormat="1" applyFont="1" applyBorder="1" applyAlignment="1">
      <alignment horizontal="center" vertical="center"/>
    </xf>
    <xf numFmtId="174" fontId="61" fillId="0" borderId="15" xfId="0" applyNumberFormat="1" applyFont="1" applyBorder="1" applyAlignment="1">
      <alignment horizontal="center" vertical="center"/>
    </xf>
    <xf numFmtId="174" fontId="127" fillId="0" borderId="2" xfId="0" applyNumberFormat="1" applyFont="1" applyFill="1" applyBorder="1" applyAlignment="1" applyProtection="1">
      <alignment horizontal="center" vertical="center"/>
    </xf>
    <xf numFmtId="174" fontId="127" fillId="0" borderId="2" xfId="0" applyNumberFormat="1" applyFont="1" applyFill="1" applyBorder="1" applyAlignment="1" applyProtection="1">
      <alignment horizontal="center" vertical="center"/>
      <protection locked="0"/>
    </xf>
    <xf numFmtId="0" fontId="128" fillId="0" borderId="2" xfId="0" applyFont="1" applyFill="1" applyBorder="1" applyAlignment="1" applyProtection="1">
      <alignment horizontal="center" vertical="center"/>
      <protection locked="0"/>
    </xf>
    <xf numFmtId="2" fontId="127" fillId="0" borderId="43" xfId="0" applyNumberFormat="1" applyFont="1" applyFill="1" applyBorder="1" applyAlignment="1">
      <alignment horizontal="center"/>
    </xf>
    <xf numFmtId="169" fontId="10" fillId="0" borderId="2" xfId="0" applyNumberFormat="1" applyFont="1" applyFill="1" applyBorder="1" applyAlignment="1">
      <alignment horizontal="center"/>
    </xf>
    <xf numFmtId="166" fontId="7" fillId="0" borderId="2" xfId="0" applyNumberFormat="1" applyFont="1" applyFill="1" applyBorder="1" applyAlignment="1">
      <alignment horizontal="center"/>
    </xf>
    <xf numFmtId="2" fontId="128" fillId="0" borderId="2" xfId="0" applyNumberFormat="1" applyFont="1" applyFill="1" applyBorder="1" applyAlignment="1">
      <alignment horizontal="center"/>
    </xf>
    <xf numFmtId="2" fontId="128" fillId="0" borderId="43" xfId="0" applyNumberFormat="1" applyFont="1" applyFill="1" applyBorder="1" applyAlignment="1">
      <alignment horizontal="center"/>
    </xf>
    <xf numFmtId="169" fontId="127" fillId="0" borderId="2" xfId="0" applyNumberFormat="1" applyFont="1" applyFill="1" applyBorder="1" applyAlignment="1">
      <alignment horizontal="center"/>
    </xf>
    <xf numFmtId="169" fontId="128" fillId="0" borderId="2" xfId="0" applyNumberFormat="1" applyFont="1" applyFill="1" applyBorder="1" applyAlignment="1">
      <alignment horizontal="center"/>
    </xf>
    <xf numFmtId="0" fontId="128" fillId="0" borderId="2" xfId="0" applyFont="1" applyBorder="1" applyAlignment="1">
      <alignment horizontal="left" vertical="center" wrapText="1"/>
    </xf>
    <xf numFmtId="174" fontId="127" fillId="0" borderId="2" xfId="0" applyNumberFormat="1" applyFont="1" applyBorder="1" applyAlignment="1"/>
    <xf numFmtId="169" fontId="128" fillId="0" borderId="2" xfId="0" applyNumberFormat="1" applyFont="1" applyFill="1" applyBorder="1" applyAlignment="1" applyProtection="1">
      <alignment horizontal="center"/>
      <protection locked="0"/>
    </xf>
    <xf numFmtId="166" fontId="133" fillId="0" borderId="2" xfId="0" applyNumberFormat="1" applyFont="1" applyFill="1" applyBorder="1" applyAlignment="1" applyProtection="1">
      <alignment vertical="center" wrapText="1"/>
    </xf>
    <xf numFmtId="169" fontId="126" fillId="0" borderId="3" xfId="0" applyNumberFormat="1" applyFont="1" applyFill="1" applyBorder="1" applyAlignment="1" applyProtection="1">
      <alignment horizontal="center"/>
    </xf>
    <xf numFmtId="0" fontId="138" fillId="0" borderId="2" xfId="0" applyFont="1" applyFill="1" applyBorder="1" applyAlignment="1" applyProtection="1">
      <alignment horizontal="center" vertical="center"/>
    </xf>
    <xf numFmtId="174" fontId="139" fillId="0" borderId="2" xfId="0" applyNumberFormat="1" applyFont="1" applyFill="1" applyBorder="1" applyAlignment="1" applyProtection="1">
      <alignment horizontal="center" vertical="center"/>
    </xf>
    <xf numFmtId="174" fontId="139" fillId="0" borderId="2" xfId="0" applyNumberFormat="1" applyFont="1" applyFill="1" applyBorder="1" applyAlignment="1">
      <alignment horizontal="center" vertical="center"/>
    </xf>
    <xf numFmtId="174" fontId="128" fillId="0" borderId="2" xfId="0" applyNumberFormat="1" applyFont="1" applyFill="1" applyBorder="1" applyAlignment="1" applyProtection="1">
      <alignment horizontal="center" vertical="center"/>
    </xf>
    <xf numFmtId="0" fontId="140" fillId="0" borderId="2" xfId="0" applyFont="1" applyFill="1" applyBorder="1" applyAlignment="1" applyProtection="1">
      <alignment horizontal="center" wrapText="1"/>
    </xf>
    <xf numFmtId="170" fontId="133" fillId="0" borderId="2" xfId="0" applyNumberFormat="1" applyFont="1" applyFill="1" applyBorder="1" applyAlignment="1" applyProtection="1">
      <alignment vertical="center" wrapText="1"/>
    </xf>
    <xf numFmtId="172" fontId="133" fillId="0" borderId="2" xfId="0" applyNumberFormat="1" applyFont="1" applyFill="1" applyBorder="1" applyAlignment="1" applyProtection="1">
      <alignment horizontal="center"/>
    </xf>
    <xf numFmtId="172" fontId="126" fillId="0" borderId="2" xfId="0" applyNumberFormat="1" applyFont="1" applyFill="1" applyBorder="1" applyAlignment="1">
      <alignment horizontal="center"/>
    </xf>
    <xf numFmtId="0" fontId="128" fillId="0" borderId="2" xfId="0" applyFont="1" applyFill="1" applyBorder="1" applyAlignment="1" applyProtection="1">
      <alignment vertical="center" wrapText="1"/>
    </xf>
    <xf numFmtId="0" fontId="0" fillId="0" borderId="0" xfId="0"/>
    <xf numFmtId="174" fontId="127" fillId="0" borderId="2" xfId="0" applyNumberFormat="1" applyFont="1" applyFill="1" applyBorder="1" applyAlignment="1" applyProtection="1">
      <alignment horizontal="center"/>
      <protection locked="0"/>
    </xf>
    <xf numFmtId="172" fontId="128" fillId="0" borderId="2" xfId="0" applyNumberFormat="1" applyFont="1" applyFill="1" applyBorder="1" applyAlignment="1" applyProtection="1">
      <alignment horizontal="center"/>
    </xf>
    <xf numFmtId="0" fontId="128" fillId="0" borderId="2" xfId="0" applyFont="1" applyFill="1" applyBorder="1" applyAlignment="1">
      <alignment horizontal="left" vertical="justify" wrapText="1"/>
    </xf>
    <xf numFmtId="174" fontId="127" fillId="0" borderId="2" xfId="0" applyNumberFormat="1" applyFont="1" applyBorder="1"/>
    <xf numFmtId="174" fontId="128" fillId="0" borderId="2" xfId="0" applyNumberFormat="1" applyFont="1" applyBorder="1" applyAlignment="1">
      <alignment horizontal="center" vertical="center"/>
    </xf>
    <xf numFmtId="1" fontId="128" fillId="0" borderId="10" xfId="0" applyNumberFormat="1" applyFont="1" applyFill="1" applyBorder="1" applyAlignment="1">
      <alignment horizontal="center"/>
    </xf>
    <xf numFmtId="1" fontId="128" fillId="0" borderId="10" xfId="0" applyNumberFormat="1" applyFont="1" applyBorder="1" applyAlignment="1">
      <alignment horizontal="center"/>
    </xf>
    <xf numFmtId="1" fontId="128" fillId="0" borderId="2" xfId="0" applyNumberFormat="1" applyFont="1" applyBorder="1" applyAlignment="1">
      <alignment horizontal="center"/>
    </xf>
    <xf numFmtId="174" fontId="128" fillId="0" borderId="2" xfId="0" applyNumberFormat="1" applyFont="1" applyBorder="1" applyAlignment="1">
      <alignment horizontal="center"/>
    </xf>
    <xf numFmtId="169" fontId="126" fillId="0" borderId="2" xfId="0" applyNumberFormat="1" applyFont="1" applyBorder="1" applyAlignment="1">
      <alignment horizontal="center" vertical="center"/>
    </xf>
    <xf numFmtId="169" fontId="128" fillId="0" borderId="2" xfId="0" applyNumberFormat="1" applyFont="1" applyBorder="1" applyAlignment="1">
      <alignment horizontal="center" vertical="center"/>
    </xf>
    <xf numFmtId="0" fontId="133" fillId="0" borderId="2" xfId="0" applyFont="1" applyBorder="1" applyAlignment="1">
      <alignment horizontal="left" vertical="center" wrapText="1"/>
    </xf>
    <xf numFmtId="169" fontId="127" fillId="0" borderId="2" xfId="0" applyNumberFormat="1" applyFont="1" applyFill="1" applyBorder="1" applyAlignment="1" applyProtection="1">
      <alignment horizontal="center" vertical="center"/>
    </xf>
    <xf numFmtId="0" fontId="0" fillId="0" borderId="0" xfId="0"/>
    <xf numFmtId="0" fontId="141" fillId="0" borderId="2" xfId="0" applyFont="1" applyFill="1" applyBorder="1" applyAlignment="1" applyProtection="1">
      <alignment horizontal="center"/>
    </xf>
    <xf numFmtId="174" fontId="127" fillId="0" borderId="2" xfId="0" applyNumberFormat="1" applyFont="1" applyBorder="1" applyAlignment="1">
      <alignment horizontal="center"/>
    </xf>
    <xf numFmtId="0" fontId="128" fillId="0" borderId="2" xfId="0" applyFont="1" applyFill="1" applyBorder="1" applyAlignment="1">
      <alignment horizontal="left" vertical="center" wrapText="1"/>
    </xf>
    <xf numFmtId="174" fontId="128" fillId="0" borderId="10" xfId="0" applyNumberFormat="1" applyFont="1" applyBorder="1" applyAlignment="1">
      <alignment horizontal="center"/>
    </xf>
    <xf numFmtId="170" fontId="133" fillId="0" borderId="2" xfId="0" applyNumberFormat="1" applyFont="1" applyFill="1" applyBorder="1" applyAlignment="1" applyProtection="1">
      <alignment vertical="center" wrapText="1"/>
      <protection locked="0"/>
    </xf>
    <xf numFmtId="0" fontId="133" fillId="0" borderId="2" xfId="0" applyFont="1" applyFill="1" applyBorder="1" applyAlignment="1" applyProtection="1">
      <alignment wrapText="1"/>
      <protection locked="0"/>
    </xf>
    <xf numFmtId="0" fontId="128" fillId="0" borderId="2" xfId="0" applyFont="1" applyFill="1" applyBorder="1" applyAlignment="1" applyProtection="1">
      <alignment horizontal="center" vertical="center"/>
    </xf>
    <xf numFmtId="0" fontId="126" fillId="0" borderId="10" xfId="0" applyFont="1" applyFill="1" applyBorder="1" applyAlignment="1">
      <alignment horizontal="center"/>
    </xf>
    <xf numFmtId="0" fontId="126" fillId="0" borderId="9" xfId="0" applyFont="1" applyBorder="1" applyAlignment="1">
      <alignment horizontal="center"/>
    </xf>
    <xf numFmtId="0" fontId="128" fillId="0" borderId="10" xfId="0" applyFont="1" applyFill="1" applyBorder="1" applyAlignment="1" applyProtection="1">
      <alignment wrapText="1"/>
    </xf>
    <xf numFmtId="0" fontId="128" fillId="0" borderId="10" xfId="0" applyFont="1" applyFill="1" applyBorder="1" applyAlignment="1" applyProtection="1">
      <alignment horizontal="center"/>
    </xf>
    <xf numFmtId="169" fontId="127" fillId="0" borderId="10" xfId="0" applyNumberFormat="1" applyFont="1" applyFill="1" applyBorder="1" applyAlignment="1" applyProtection="1">
      <alignment horizontal="center"/>
    </xf>
    <xf numFmtId="169" fontId="128" fillId="0" borderId="10" xfId="0" applyNumberFormat="1" applyFont="1" applyFill="1" applyBorder="1" applyAlignment="1" applyProtection="1">
      <alignment horizontal="center"/>
    </xf>
    <xf numFmtId="168" fontId="7" fillId="0" borderId="2" xfId="0" applyNumberFormat="1" applyFont="1" applyFill="1" applyBorder="1" applyAlignment="1" applyProtection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133" fillId="0" borderId="2" xfId="0" applyFont="1" applyFill="1" applyBorder="1" applyAlignment="1" applyProtection="1">
      <alignment horizontal="center" vertical="center"/>
    </xf>
    <xf numFmtId="0" fontId="133" fillId="0" borderId="2" xfId="0" applyFont="1" applyFill="1" applyBorder="1" applyAlignment="1">
      <alignment vertical="center" wrapText="1"/>
    </xf>
    <xf numFmtId="1" fontId="128" fillId="0" borderId="3" xfId="0" applyNumberFormat="1" applyFont="1" applyFill="1" applyBorder="1" applyAlignment="1" applyProtection="1">
      <alignment horizontal="center"/>
    </xf>
    <xf numFmtId="174" fontId="128" fillId="0" borderId="43" xfId="0" applyNumberFormat="1" applyFont="1" applyBorder="1" applyAlignment="1">
      <alignment horizontal="center" wrapText="1"/>
    </xf>
    <xf numFmtId="174" fontId="127" fillId="0" borderId="43" xfId="0" applyNumberFormat="1" applyFont="1" applyBorder="1" applyAlignment="1">
      <alignment horizontal="center" wrapText="1"/>
    </xf>
    <xf numFmtId="172" fontId="126" fillId="0" borderId="3" xfId="0" applyNumberFormat="1" applyFont="1" applyFill="1" applyBorder="1" applyAlignment="1" applyProtection="1">
      <alignment horizontal="center"/>
      <protection locked="0"/>
    </xf>
    <xf numFmtId="0" fontId="133" fillId="0" borderId="2" xfId="0" applyFont="1" applyFill="1" applyBorder="1" applyAlignment="1">
      <alignment horizontal="left" vertical="center" wrapText="1"/>
    </xf>
    <xf numFmtId="169" fontId="126" fillId="0" borderId="2" xfId="0" applyNumberFormat="1" applyFont="1" applyFill="1" applyBorder="1" applyAlignment="1">
      <alignment horizontal="center" vertical="center" wrapText="1"/>
    </xf>
    <xf numFmtId="2" fontId="142" fillId="0" borderId="2" xfId="0" applyNumberFormat="1" applyFont="1" applyFill="1" applyBorder="1" applyAlignment="1" applyProtection="1">
      <alignment horizontal="center" vertical="center"/>
    </xf>
    <xf numFmtId="1" fontId="9" fillId="0" borderId="46" xfId="0" applyNumberFormat="1" applyFont="1" applyFill="1" applyBorder="1" applyAlignment="1">
      <alignment horizontal="center" vertical="top"/>
    </xf>
    <xf numFmtId="174" fontId="127" fillId="0" borderId="2" xfId="0" applyNumberFormat="1" applyFont="1" applyBorder="1" applyAlignment="1">
      <alignment horizontal="center" wrapText="1"/>
    </xf>
    <xf numFmtId="0" fontId="128" fillId="0" borderId="2" xfId="0" applyFont="1" applyFill="1" applyBorder="1" applyAlignment="1">
      <alignment wrapText="1"/>
    </xf>
    <xf numFmtId="0" fontId="128" fillId="0" borderId="2" xfId="0" applyFont="1" applyFill="1" applyBorder="1" applyAlignment="1" applyProtection="1">
      <alignment horizontal="center"/>
      <protection locked="0"/>
    </xf>
    <xf numFmtId="2" fontId="126" fillId="0" borderId="2" xfId="0" applyNumberFormat="1" applyFont="1" applyFill="1" applyBorder="1" applyAlignment="1" applyProtection="1">
      <alignment horizontal="center"/>
      <protection locked="0"/>
    </xf>
    <xf numFmtId="168" fontId="127" fillId="0" borderId="2" xfId="0" applyNumberFormat="1" applyFont="1" applyFill="1" applyBorder="1" applyAlignment="1">
      <alignment horizontal="center" vertical="center"/>
    </xf>
    <xf numFmtId="167" fontId="127" fillId="0" borderId="2" xfId="0" applyNumberFormat="1" applyFont="1" applyFill="1" applyBorder="1" applyAlignment="1" applyProtection="1">
      <alignment horizontal="center" vertical="center"/>
    </xf>
    <xf numFmtId="174" fontId="128" fillId="0" borderId="2" xfId="0" applyNumberFormat="1" applyFont="1" applyFill="1" applyBorder="1" applyAlignment="1" applyProtection="1">
      <alignment horizontal="center" vertical="center"/>
      <protection locked="0"/>
    </xf>
    <xf numFmtId="0" fontId="133" fillId="0" borderId="2" xfId="0" applyFont="1" applyFill="1" applyBorder="1" applyAlignment="1" applyProtection="1">
      <alignment vertical="center" wrapText="1"/>
    </xf>
    <xf numFmtId="0" fontId="133" fillId="0" borderId="2" xfId="0" applyFont="1" applyFill="1" applyBorder="1" applyAlignment="1">
      <alignment horizontal="left" vertical="justify" wrapText="1"/>
    </xf>
    <xf numFmtId="169" fontId="133" fillId="0" borderId="2" xfId="0" applyNumberFormat="1" applyFont="1" applyFill="1" applyBorder="1" applyAlignment="1" applyProtection="1">
      <alignment horizontal="center" vertical="center"/>
    </xf>
    <xf numFmtId="169" fontId="126" fillId="0" borderId="2" xfId="0" applyNumberFormat="1" applyFont="1" applyFill="1" applyBorder="1" applyAlignment="1" applyProtection="1">
      <alignment horizontal="center" vertical="center"/>
    </xf>
    <xf numFmtId="174" fontId="128" fillId="0" borderId="3" xfId="0" applyNumberFormat="1" applyFont="1" applyFill="1" applyBorder="1" applyAlignment="1" applyProtection="1">
      <alignment horizontal="center"/>
    </xf>
    <xf numFmtId="1" fontId="126" fillId="0" borderId="13" xfId="0" applyNumberFormat="1" applyFont="1" applyFill="1" applyBorder="1" applyAlignment="1" applyProtection="1">
      <alignment horizontal="center" vertical="center"/>
    </xf>
    <xf numFmtId="2" fontId="126" fillId="0" borderId="13" xfId="0" applyNumberFormat="1" applyFont="1" applyFill="1" applyBorder="1" applyAlignment="1" applyProtection="1">
      <alignment horizontal="center" vertical="center"/>
    </xf>
    <xf numFmtId="2" fontId="126" fillId="0" borderId="39" xfId="0" applyNumberFormat="1" applyFont="1" applyFill="1" applyBorder="1" applyAlignment="1" applyProtection="1">
      <alignment horizontal="center" vertical="center"/>
    </xf>
    <xf numFmtId="1" fontId="127" fillId="0" borderId="10" xfId="0" applyNumberFormat="1" applyFont="1" applyFill="1" applyBorder="1" applyAlignment="1">
      <alignment horizontal="center"/>
    </xf>
    <xf numFmtId="2" fontId="127" fillId="0" borderId="9" xfId="0" applyNumberFormat="1" applyFont="1" applyBorder="1" applyAlignment="1">
      <alignment horizontal="center"/>
    </xf>
    <xf numFmtId="166" fontId="127" fillId="0" borderId="2" xfId="0" applyNumberFormat="1" applyFont="1" applyFill="1" applyBorder="1" applyAlignment="1">
      <alignment horizontal="center" vertical="center" wrapText="1"/>
    </xf>
    <xf numFmtId="168" fontId="127" fillId="0" borderId="2" xfId="0" applyNumberFormat="1" applyFont="1" applyFill="1" applyBorder="1" applyAlignment="1">
      <alignment horizontal="center" vertical="center" wrapText="1"/>
    </xf>
    <xf numFmtId="168" fontId="127" fillId="0" borderId="2" xfId="0" applyNumberFormat="1" applyFont="1" applyFill="1" applyBorder="1" applyAlignment="1" applyProtection="1">
      <alignment horizontal="center"/>
    </xf>
    <xf numFmtId="166" fontId="127" fillId="0" borderId="2" xfId="0" applyNumberFormat="1" applyFont="1" applyFill="1" applyBorder="1" applyAlignment="1" applyProtection="1">
      <alignment horizontal="center" vertical="center"/>
    </xf>
    <xf numFmtId="2" fontId="9" fillId="0" borderId="6" xfId="0" applyNumberFormat="1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/>
    </xf>
    <xf numFmtId="2" fontId="127" fillId="0" borderId="6" xfId="0" applyNumberFormat="1" applyFont="1" applyFill="1" applyBorder="1" applyAlignment="1">
      <alignment horizontal="center" vertical="center"/>
    </xf>
    <xf numFmtId="167" fontId="9" fillId="0" borderId="10" xfId="0" applyNumberFormat="1" applyFont="1" applyFill="1" applyBorder="1" applyAlignment="1">
      <alignment horizontal="center" vertical="center"/>
    </xf>
    <xf numFmtId="0" fontId="9" fillId="0" borderId="10" xfId="0" applyNumberFormat="1" applyFont="1" applyFill="1" applyBorder="1" applyAlignment="1">
      <alignment horizontal="center"/>
    </xf>
    <xf numFmtId="177" fontId="7" fillId="0" borderId="0" xfId="0" applyNumberFormat="1" applyFont="1" applyAlignment="1">
      <alignment horizontal="center" vertical="center"/>
    </xf>
    <xf numFmtId="168" fontId="9" fillId="0" borderId="2" xfId="0" applyNumberFormat="1" applyFont="1" applyBorder="1" applyAlignment="1" applyProtection="1">
      <alignment horizontal="center" vertical="center"/>
    </xf>
    <xf numFmtId="2" fontId="19" fillId="0" borderId="2" xfId="0" applyNumberFormat="1" applyFont="1" applyBorder="1"/>
    <xf numFmtId="9" fontId="129" fillId="0" borderId="26" xfId="0" applyNumberFormat="1" applyFont="1" applyBorder="1" applyAlignment="1">
      <alignment horizontal="center" vertical="center"/>
    </xf>
    <xf numFmtId="9" fontId="129" fillId="0" borderId="21" xfId="0" applyNumberFormat="1" applyFont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 wrapText="1"/>
    </xf>
    <xf numFmtId="0" fontId="9" fillId="0" borderId="61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60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83" fillId="0" borderId="15" xfId="0" applyFont="1" applyBorder="1" applyAlignment="1">
      <alignment horizontal="center" vertical="center"/>
    </xf>
    <xf numFmtId="0" fontId="83" fillId="0" borderId="26" xfId="0" applyFont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63" fillId="0" borderId="26" xfId="0" applyFont="1" applyBorder="1" applyAlignment="1">
      <alignment horizontal="center" vertical="center"/>
    </xf>
    <xf numFmtId="2" fontId="9" fillId="0" borderId="23" xfId="0" applyNumberFormat="1" applyFont="1" applyBorder="1" applyAlignment="1">
      <alignment horizontal="center" vertical="center"/>
    </xf>
    <xf numFmtId="2" fontId="9" fillId="0" borderId="21" xfId="0" applyNumberFormat="1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7" fillId="0" borderId="78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57" xfId="0" applyFont="1" applyBorder="1" applyAlignment="1">
      <alignment horizontal="center" vertical="center" wrapText="1"/>
    </xf>
    <xf numFmtId="176" fontId="9" fillId="0" borderId="26" xfId="0" applyNumberFormat="1" applyFont="1" applyBorder="1" applyAlignment="1">
      <alignment horizontal="center" vertical="center"/>
    </xf>
    <xf numFmtId="176" fontId="9" fillId="0" borderId="21" xfId="0" applyNumberFormat="1" applyFont="1" applyBorder="1" applyAlignment="1">
      <alignment horizontal="center" vertical="center"/>
    </xf>
    <xf numFmtId="174" fontId="83" fillId="0" borderId="23" xfId="0" applyNumberFormat="1" applyFont="1" applyBorder="1" applyAlignment="1">
      <alignment horizontal="center" vertical="center"/>
    </xf>
    <xf numFmtId="174" fontId="83" fillId="0" borderId="21" xfId="0" applyNumberFormat="1" applyFont="1" applyBorder="1" applyAlignment="1">
      <alignment horizontal="center" vertical="center"/>
    </xf>
    <xf numFmtId="174" fontId="11" fillId="0" borderId="23" xfId="0" applyNumberFormat="1" applyFont="1" applyBorder="1" applyAlignment="1">
      <alignment horizontal="center" vertical="center"/>
    </xf>
    <xf numFmtId="174" fontId="11" fillId="0" borderId="21" xfId="0" applyNumberFormat="1" applyFont="1" applyBorder="1" applyAlignment="1">
      <alignment horizontal="center" vertical="center"/>
    </xf>
    <xf numFmtId="174" fontId="129" fillId="0" borderId="23" xfId="0" applyNumberFormat="1" applyFont="1" applyBorder="1" applyAlignment="1">
      <alignment horizontal="center" vertical="center"/>
    </xf>
    <xf numFmtId="174" fontId="129" fillId="0" borderId="21" xfId="0" applyNumberFormat="1" applyFont="1" applyBorder="1" applyAlignment="1">
      <alignment horizontal="center" vertical="center"/>
    </xf>
    <xf numFmtId="1" fontId="129" fillId="0" borderId="23" xfId="0" applyNumberFormat="1" applyFont="1" applyBorder="1" applyAlignment="1">
      <alignment horizontal="center" vertical="center"/>
    </xf>
    <xf numFmtId="1" fontId="129" fillId="0" borderId="21" xfId="0" applyNumberFormat="1" applyFont="1" applyBorder="1" applyAlignment="1">
      <alignment horizontal="center" vertical="center"/>
    </xf>
    <xf numFmtId="174" fontId="9" fillId="0" borderId="23" xfId="0" applyNumberFormat="1" applyFont="1" applyBorder="1" applyAlignment="1">
      <alignment horizontal="center" vertical="center"/>
    </xf>
    <xf numFmtId="174" fontId="9" fillId="0" borderId="21" xfId="0" applyNumberFormat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0" fillId="0" borderId="0" xfId="0"/>
    <xf numFmtId="0" fontId="9" fillId="0" borderId="75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0" fontId="9" fillId="0" borderId="68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81" fillId="0" borderId="15" xfId="0" applyFont="1" applyBorder="1" applyAlignment="1">
      <alignment horizontal="center" vertical="center"/>
    </xf>
    <xf numFmtId="0" fontId="81" fillId="0" borderId="26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61" fillId="0" borderId="15" xfId="0" applyFont="1" applyBorder="1" applyAlignment="1">
      <alignment horizontal="center" vertical="center"/>
    </xf>
    <xf numFmtId="0" fontId="61" fillId="0" borderId="26" xfId="0" applyFont="1" applyBorder="1" applyAlignment="1">
      <alignment horizontal="center" vertical="center"/>
    </xf>
    <xf numFmtId="1" fontId="9" fillId="0" borderId="23" xfId="0" applyNumberFormat="1" applyFont="1" applyBorder="1" applyAlignment="1">
      <alignment horizontal="center" vertical="center"/>
    </xf>
    <xf numFmtId="1" fontId="9" fillId="0" borderId="21" xfId="0" applyNumberFormat="1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1" fontId="35" fillId="0" borderId="50" xfId="0" applyNumberFormat="1" applyFont="1" applyBorder="1" applyAlignment="1">
      <alignment horizontal="center" vertical="center"/>
    </xf>
    <xf numFmtId="1" fontId="35" fillId="0" borderId="57" xfId="0" applyNumberFormat="1" applyFont="1" applyBorder="1" applyAlignment="1">
      <alignment horizontal="center" vertical="center"/>
    </xf>
    <xf numFmtId="2" fontId="33" fillId="0" borderId="50" xfId="0" applyNumberFormat="1" applyFont="1" applyBorder="1" applyAlignment="1">
      <alignment horizontal="center" vertical="center"/>
    </xf>
    <xf numFmtId="2" fontId="33" fillId="0" borderId="57" xfId="0" applyNumberFormat="1" applyFont="1" applyBorder="1" applyAlignment="1">
      <alignment horizontal="center" vertical="center"/>
    </xf>
    <xf numFmtId="174" fontId="81" fillId="0" borderId="23" xfId="0" applyNumberFormat="1" applyFont="1" applyBorder="1" applyAlignment="1">
      <alignment horizontal="center" vertical="center"/>
    </xf>
    <xf numFmtId="174" fontId="81" fillId="0" borderId="21" xfId="0" applyNumberFormat="1" applyFont="1" applyBorder="1" applyAlignment="1">
      <alignment horizontal="center" vertical="center"/>
    </xf>
    <xf numFmtId="174" fontId="63" fillId="0" borderId="23" xfId="0" applyNumberFormat="1" applyFont="1" applyBorder="1" applyAlignment="1">
      <alignment horizontal="center" vertical="center"/>
    </xf>
    <xf numFmtId="174" fontId="63" fillId="0" borderId="21" xfId="0" applyNumberFormat="1" applyFont="1" applyBorder="1" applyAlignment="1">
      <alignment horizontal="center" vertical="center"/>
    </xf>
    <xf numFmtId="167" fontId="9" fillId="0" borderId="26" xfId="0" applyNumberFormat="1" applyFont="1" applyBorder="1" applyAlignment="1">
      <alignment horizontal="center" vertical="center"/>
    </xf>
    <xf numFmtId="167" fontId="9" fillId="0" borderId="21" xfId="0" applyNumberFormat="1" applyFont="1" applyBorder="1" applyAlignment="1">
      <alignment horizontal="center" vertical="center"/>
    </xf>
    <xf numFmtId="2" fontId="9" fillId="0" borderId="50" xfId="0" applyNumberFormat="1" applyFont="1" applyBorder="1" applyAlignment="1">
      <alignment horizontal="center" vertical="center"/>
    </xf>
    <xf numFmtId="2" fontId="9" fillId="0" borderId="57" xfId="0" applyNumberFormat="1" applyFont="1" applyBorder="1" applyAlignment="1">
      <alignment horizontal="center" vertical="center"/>
    </xf>
    <xf numFmtId="174" fontId="61" fillId="0" borderId="23" xfId="0" applyNumberFormat="1" applyFont="1" applyBorder="1" applyAlignment="1">
      <alignment horizontal="center" vertical="center"/>
    </xf>
    <xf numFmtId="174" fontId="61" fillId="0" borderId="21" xfId="0" applyNumberFormat="1" applyFont="1" applyBorder="1" applyAlignment="1">
      <alignment horizontal="center" vertical="center"/>
    </xf>
    <xf numFmtId="0" fontId="127" fillId="0" borderId="23" xfId="0" applyFont="1" applyFill="1" applyBorder="1" applyAlignment="1" applyProtection="1">
      <alignment horizontal="center" vertical="center" wrapText="1"/>
    </xf>
    <xf numFmtId="0" fontId="127" fillId="0" borderId="26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8" fillId="0" borderId="26" xfId="0" applyFont="1" applyFill="1" applyBorder="1" applyAlignment="1" applyProtection="1">
      <alignment horizontal="center" vertical="center" wrapText="1"/>
    </xf>
    <xf numFmtId="0" fontId="8" fillId="0" borderId="61" xfId="0" applyFont="1" applyFill="1" applyBorder="1" applyAlignment="1" applyProtection="1">
      <alignment horizontal="center" vertical="center" wrapText="1"/>
    </xf>
    <xf numFmtId="0" fontId="8" fillId="0" borderId="41" xfId="0" applyFont="1" applyFill="1" applyBorder="1" applyAlignment="1" applyProtection="1">
      <alignment horizontal="center" vertical="center" wrapText="1"/>
    </xf>
    <xf numFmtId="0" fontId="8" fillId="0" borderId="67" xfId="0" applyFont="1" applyFill="1" applyBorder="1" applyAlignment="1" applyProtection="1">
      <alignment horizontal="center" vertical="center" wrapText="1"/>
    </xf>
    <xf numFmtId="0" fontId="8" fillId="0" borderId="69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wrapText="1"/>
    </xf>
    <xf numFmtId="0" fontId="8" fillId="0" borderId="33" xfId="0" applyFont="1" applyFill="1" applyBorder="1" applyAlignment="1" applyProtection="1">
      <alignment horizontal="center" vertical="center" wrapText="1"/>
    </xf>
    <xf numFmtId="0" fontId="8" fillId="0" borderId="62" xfId="0" applyFont="1" applyFill="1" applyBorder="1" applyAlignment="1" applyProtection="1">
      <alignment horizontal="center" vertical="center" wrapText="1"/>
    </xf>
    <xf numFmtId="0" fontId="8" fillId="0" borderId="73" xfId="0" applyFont="1" applyFill="1" applyBorder="1" applyAlignment="1" applyProtection="1">
      <alignment horizontal="center" vertical="center" wrapText="1"/>
    </xf>
    <xf numFmtId="0" fontId="8" fillId="0" borderId="74" xfId="0" applyFont="1" applyFill="1" applyBorder="1" applyAlignment="1" applyProtection="1">
      <alignment horizontal="center" vertical="center" wrapText="1"/>
    </xf>
    <xf numFmtId="0" fontId="8" fillId="0" borderId="65" xfId="0" applyFont="1" applyFill="1" applyBorder="1" applyAlignment="1" applyProtection="1">
      <alignment horizontal="center" vertical="center" wrapText="1"/>
    </xf>
    <xf numFmtId="0" fontId="8" fillId="0" borderId="64" xfId="0" applyFont="1" applyFill="1" applyBorder="1" applyAlignment="1" applyProtection="1">
      <alignment horizontal="center" vertical="center" wrapText="1"/>
    </xf>
    <xf numFmtId="0" fontId="8" fillId="0" borderId="66" xfId="0" applyFont="1" applyFill="1" applyBorder="1" applyAlignment="1" applyProtection="1">
      <alignment horizontal="center" vertical="center" wrapText="1"/>
    </xf>
    <xf numFmtId="0" fontId="8" fillId="0" borderId="80" xfId="0" applyFont="1" applyFill="1" applyBorder="1" applyAlignment="1">
      <alignment horizontal="center" vertical="center" wrapText="1"/>
    </xf>
    <xf numFmtId="0" fontId="8" fillId="0" borderId="81" xfId="0" applyFont="1" applyFill="1" applyBorder="1" applyAlignment="1">
      <alignment horizontal="center" vertical="center" wrapText="1"/>
    </xf>
    <xf numFmtId="0" fontId="93" fillId="0" borderId="33" xfId="0" applyFont="1" applyFill="1" applyBorder="1" applyAlignment="1" applyProtection="1">
      <alignment horizontal="center" vertical="center" wrapText="1"/>
    </xf>
    <xf numFmtId="0" fontId="53" fillId="0" borderId="0" xfId="0" applyFont="1" applyFill="1" applyAlignment="1" applyProtection="1">
      <alignment horizontal="center" vertical="center"/>
    </xf>
    <xf numFmtId="0" fontId="6" fillId="0" borderId="52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 applyProtection="1">
      <alignment horizontal="center" vertical="center" wrapText="1" shrinkToFit="1"/>
    </xf>
    <xf numFmtId="0" fontId="8" fillId="0" borderId="26" xfId="0" applyFont="1" applyFill="1" applyBorder="1" applyAlignment="1" applyProtection="1">
      <alignment horizontal="center" vertical="center" wrapText="1" shrinkToFit="1"/>
    </xf>
    <xf numFmtId="0" fontId="8" fillId="0" borderId="21" xfId="0" applyFont="1" applyFill="1" applyBorder="1" applyAlignment="1" applyProtection="1">
      <alignment horizontal="center" vertical="center" wrapText="1" shrinkToFit="1"/>
    </xf>
    <xf numFmtId="0" fontId="8" fillId="0" borderId="23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horizontal="center" vertical="center" wrapText="1"/>
    </xf>
    <xf numFmtId="0" fontId="8" fillId="0" borderId="73" xfId="0" applyFont="1" applyFill="1" applyBorder="1" applyAlignment="1" applyProtection="1">
      <alignment horizontal="center" wrapText="1"/>
    </xf>
    <xf numFmtId="0" fontId="8" fillId="0" borderId="74" xfId="0" applyFont="1" applyFill="1" applyBorder="1" applyAlignment="1" applyProtection="1">
      <alignment horizontal="center" wrapText="1"/>
    </xf>
    <xf numFmtId="0" fontId="8" fillId="0" borderId="65" xfId="0" applyFont="1" applyFill="1" applyBorder="1" applyAlignment="1" applyProtection="1">
      <alignment horizontal="center" wrapText="1"/>
    </xf>
    <xf numFmtId="0" fontId="8" fillId="0" borderId="79" xfId="0" applyFont="1" applyFill="1" applyBorder="1" applyAlignment="1" applyProtection="1">
      <alignment horizontal="center" vertical="center" wrapText="1"/>
    </xf>
    <xf numFmtId="0" fontId="44" fillId="0" borderId="15" xfId="0" applyFont="1" applyFill="1" applyBorder="1" applyAlignment="1" applyProtection="1">
      <alignment horizontal="center" vertical="center" wrapText="1"/>
    </xf>
    <xf numFmtId="0" fontId="44" fillId="0" borderId="26" xfId="0" applyFont="1" applyFill="1" applyBorder="1" applyAlignment="1" applyProtection="1">
      <alignment horizontal="center" vertical="center" wrapText="1"/>
    </xf>
    <xf numFmtId="0" fontId="53" fillId="0" borderId="0" xfId="0" applyFont="1" applyBorder="1" applyAlignment="1" applyProtection="1">
      <alignment horizontal="center"/>
    </xf>
    <xf numFmtId="0" fontId="9" fillId="0" borderId="67" xfId="0" applyFont="1" applyFill="1" applyBorder="1" applyAlignment="1" applyProtection="1">
      <alignment horizontal="center" vertical="center" wrapText="1"/>
    </xf>
    <xf numFmtId="0" fontId="9" fillId="0" borderId="69" xfId="0" applyFont="1" applyFill="1" applyBorder="1" applyAlignment="1" applyProtection="1">
      <alignment horizontal="center" vertical="center" wrapText="1"/>
    </xf>
    <xf numFmtId="0" fontId="9" fillId="0" borderId="61" xfId="0" applyFont="1" applyFill="1" applyBorder="1" applyAlignment="1" applyProtection="1">
      <alignment horizontal="center" vertical="center" wrapText="1"/>
    </xf>
    <xf numFmtId="0" fontId="9" fillId="0" borderId="41" xfId="0" applyFont="1" applyFill="1" applyBorder="1" applyAlignment="1" applyProtection="1">
      <alignment horizontal="center" vertical="center" wrapText="1"/>
    </xf>
    <xf numFmtId="0" fontId="9" fillId="0" borderId="15" xfId="0" applyFont="1" applyFill="1" applyBorder="1" applyAlignment="1" applyProtection="1">
      <alignment horizontal="center" vertical="center" wrapText="1"/>
    </xf>
    <xf numFmtId="0" fontId="9" fillId="0" borderId="73" xfId="0" applyFont="1" applyFill="1" applyBorder="1" applyAlignment="1" applyProtection="1">
      <alignment horizontal="center" vertical="center" wrapText="1"/>
    </xf>
    <xf numFmtId="0" fontId="9" fillId="0" borderId="74" xfId="0" applyFont="1" applyFill="1" applyBorder="1" applyAlignment="1" applyProtection="1">
      <alignment horizontal="center" vertical="center" wrapText="1"/>
    </xf>
    <xf numFmtId="0" fontId="9" fillId="0" borderId="79" xfId="0" applyFont="1" applyFill="1" applyBorder="1" applyAlignment="1" applyProtection="1">
      <alignment horizontal="center" vertical="center" wrapText="1"/>
    </xf>
    <xf numFmtId="0" fontId="9" fillId="0" borderId="65" xfId="0" applyFont="1" applyFill="1" applyBorder="1" applyAlignment="1" applyProtection="1">
      <alignment horizontal="center" vertical="center" wrapText="1"/>
    </xf>
    <xf numFmtId="0" fontId="35" fillId="0" borderId="33" xfId="0" applyFont="1" applyFill="1" applyBorder="1" applyAlignment="1" applyProtection="1">
      <alignment horizontal="center" vertical="center" wrapText="1"/>
    </xf>
    <xf numFmtId="0" fontId="9" fillId="0" borderId="64" xfId="0" applyFont="1" applyFill="1" applyBorder="1" applyAlignment="1" applyProtection="1">
      <alignment horizontal="center" vertical="center" wrapText="1"/>
    </xf>
    <xf numFmtId="0" fontId="9" fillId="0" borderId="66" xfId="0" applyFont="1" applyFill="1" applyBorder="1" applyAlignment="1" applyProtection="1">
      <alignment horizontal="center" vertical="center" wrapText="1"/>
    </xf>
    <xf numFmtId="0" fontId="9" fillId="0" borderId="33" xfId="0" applyFont="1" applyFill="1" applyBorder="1" applyAlignment="1" applyProtection="1">
      <alignment horizontal="center" vertical="center" wrapText="1"/>
    </xf>
    <xf numFmtId="0" fontId="9" fillId="0" borderId="62" xfId="0" applyFont="1" applyFill="1" applyBorder="1" applyAlignment="1" applyProtection="1">
      <alignment horizontal="center" vertical="center" wrapText="1"/>
    </xf>
    <xf numFmtId="0" fontId="24" fillId="0" borderId="0" xfId="0" applyFont="1" applyBorder="1" applyAlignment="1" applyProtection="1">
      <alignment horizontal="center"/>
    </xf>
    <xf numFmtId="0" fontId="9" fillId="0" borderId="80" xfId="0" applyFont="1" applyFill="1" applyBorder="1" applyAlignment="1">
      <alignment horizontal="center" vertical="center" wrapText="1"/>
    </xf>
    <xf numFmtId="0" fontId="9" fillId="0" borderId="81" xfId="0" applyFont="1" applyFill="1" applyBorder="1" applyAlignment="1">
      <alignment horizontal="center" vertical="center" wrapText="1"/>
    </xf>
    <xf numFmtId="0" fontId="53" fillId="0" borderId="0" xfId="0" applyFont="1" applyBorder="1" applyAlignment="1" applyProtection="1">
      <alignment horizontal="center" vertical="center"/>
    </xf>
    <xf numFmtId="0" fontId="58" fillId="0" borderId="0" xfId="0" applyFont="1" applyFill="1" applyAlignment="1" applyProtection="1">
      <alignment horizontal="center"/>
    </xf>
    <xf numFmtId="0" fontId="23" fillId="0" borderId="0" xfId="0" applyFont="1" applyFill="1" applyAlignment="1" applyProtection="1"/>
    <xf numFmtId="0" fontId="53" fillId="0" borderId="0" xfId="0" applyFont="1" applyFill="1" applyAlignment="1" applyProtection="1">
      <alignment horizontal="center"/>
    </xf>
    <xf numFmtId="0" fontId="24" fillId="0" borderId="0" xfId="0" applyFont="1" applyFill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7" fillId="0" borderId="17" xfId="0" applyFont="1" applyBorder="1" applyAlignment="1">
      <alignment horizontal="center"/>
    </xf>
    <xf numFmtId="0" fontId="53" fillId="0" borderId="0" xfId="0" applyFont="1" applyAlignment="1" applyProtection="1">
      <alignment horizontal="center" vertical="center"/>
    </xf>
  </cellXfs>
  <cellStyles count="19">
    <cellStyle name="”€ќђќ‘ћ‚›‰" xfId="1"/>
    <cellStyle name="”€љ‘€ђћ‚ђќќ›‰" xfId="2"/>
    <cellStyle name="„…ќ…†ќ›‰" xfId="3"/>
    <cellStyle name="„ђ’ђ" xfId="4"/>
    <cellStyle name="€’ћѓћ‚›‰" xfId="5"/>
    <cellStyle name="‡ђѓћ‹ћ‚ћљ1" xfId="6"/>
    <cellStyle name="‡ђѓћ‹ћ‚ћљ2" xfId="7"/>
    <cellStyle name="F2" xfId="8"/>
    <cellStyle name="F3" xfId="9"/>
    <cellStyle name="F4" xfId="10"/>
    <cellStyle name="F5" xfId="11"/>
    <cellStyle name="F6" xfId="12"/>
    <cellStyle name="F7" xfId="13"/>
    <cellStyle name="F8" xfId="14"/>
    <cellStyle name="Обычный" xfId="0" builtinId="0"/>
    <cellStyle name="Обычный 2" xfId="15"/>
    <cellStyle name="Обычный 6" xfId="16"/>
    <cellStyle name="Финансовый" xfId="17" builtinId="3"/>
    <cellStyle name="Џђћ–…ќ’ќ›‰" xfId="1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6600"/>
      <rgbColor rgb="00CCFFCC"/>
      <rgbColor rgb="00FFFF99"/>
      <rgbColor rgb="00A6CAF0"/>
      <rgbColor rgb="00CC9CCC"/>
      <rgbColor rgb="00FFCC00"/>
      <rgbColor rgb="00E3E3E3"/>
      <rgbColor rgb="003366FF"/>
      <rgbColor rgb="0033CCCC"/>
      <rgbColor rgb="00339933"/>
      <rgbColor rgb="00999933"/>
      <rgbColor rgb="00996633"/>
      <rgbColor rgb="00FF9933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9" transitionEvaluation="1" codeName="Лист1">
    <tabColor theme="9" tint="-0.499984740745262"/>
  </sheetPr>
  <dimension ref="A1:AK38"/>
  <sheetViews>
    <sheetView showGridLines="0" showZeros="0" workbookViewId="0">
      <pane xSplit="4" ySplit="8" topLeftCell="E9" activePane="bottomRight" state="frozen"/>
      <selection activeCell="E14" sqref="E14"/>
      <selection pane="topRight" activeCell="E14" sqref="E14"/>
      <selection pane="bottomLeft" activeCell="E14" sqref="E14"/>
      <selection pane="bottomRight" activeCell="D2" sqref="D2"/>
    </sheetView>
  </sheetViews>
  <sheetFormatPr defaultColWidth="9.58203125" defaultRowHeight="15.5" x14ac:dyDescent="0.35"/>
  <cols>
    <col min="1" max="1" width="1" style="3" customWidth="1"/>
    <col min="2" max="2" width="0.9140625" style="3" customWidth="1"/>
    <col min="3" max="3" width="2.75" style="3" bestFit="1" customWidth="1"/>
    <col min="4" max="4" width="18.6640625" style="25" customWidth="1"/>
    <col min="5" max="5" width="10.58203125" style="3" customWidth="1"/>
    <col min="6" max="6" width="8.25" style="3" customWidth="1"/>
    <col min="7" max="7" width="9.33203125" style="3" bestFit="1" customWidth="1"/>
    <col min="8" max="8" width="7.6640625" style="3" bestFit="1" customWidth="1"/>
    <col min="9" max="9" width="7.75" style="3" bestFit="1" customWidth="1"/>
    <col min="10" max="10" width="8.33203125" style="3" bestFit="1" customWidth="1"/>
    <col min="11" max="11" width="8.25" style="3" bestFit="1" customWidth="1"/>
    <col min="12" max="12" width="6.58203125" style="3" customWidth="1"/>
    <col min="13" max="13" width="5.6640625" style="3" customWidth="1"/>
    <col min="14" max="15" width="7.9140625" style="3" customWidth="1"/>
    <col min="16" max="16" width="5.58203125" style="3" customWidth="1"/>
    <col min="17" max="17" width="7.33203125" style="3" customWidth="1"/>
    <col min="18" max="18" width="4.4140625" style="3" customWidth="1"/>
    <col min="19" max="19" width="7.08203125" style="3" customWidth="1"/>
    <col min="20" max="20" width="5.6640625" style="3" customWidth="1"/>
    <col min="21" max="21" width="8.33203125" style="3" customWidth="1"/>
    <col min="22" max="22" width="5.58203125" style="3" customWidth="1"/>
    <col min="23" max="23" width="7.6640625" style="3" customWidth="1"/>
    <col min="24" max="24" width="5.25" style="3" customWidth="1"/>
    <col min="25" max="25" width="7.33203125" style="3" customWidth="1"/>
    <col min="26" max="26" width="6.33203125" style="3" customWidth="1"/>
    <col min="27" max="27" width="10.25" style="3" customWidth="1"/>
    <col min="28" max="28" width="10.08203125" style="3" bestFit="1" customWidth="1"/>
    <col min="29" max="29" width="3" style="3" customWidth="1"/>
    <col min="30" max="30" width="8.75" style="3" customWidth="1"/>
    <col min="31" max="31" width="7.75" style="3" customWidth="1"/>
    <col min="32" max="32" width="10.33203125" style="3" customWidth="1"/>
    <col min="33" max="33" width="4.08203125" style="3" customWidth="1"/>
    <col min="34" max="34" width="8.58203125" style="3" customWidth="1"/>
    <col min="35" max="35" width="8.75" style="3" customWidth="1"/>
    <col min="36" max="36" width="6" style="3" customWidth="1"/>
    <col min="37" max="16384" width="9.58203125" style="3"/>
  </cols>
  <sheetData>
    <row r="1" spans="1:37" ht="60" customHeight="1" x14ac:dyDescent="0.35">
      <c r="C1" s="3026" t="s">
        <v>11342</v>
      </c>
      <c r="D1" s="3027"/>
      <c r="E1" s="3027"/>
      <c r="F1" s="3027"/>
      <c r="G1" s="3027"/>
      <c r="H1" s="3027"/>
      <c r="I1" s="3027"/>
      <c r="J1" s="3027"/>
      <c r="K1" s="3027"/>
      <c r="L1" s="3027"/>
      <c r="M1" s="3027"/>
      <c r="N1" s="3027"/>
      <c r="O1" s="3027"/>
      <c r="P1" s="3027"/>
      <c r="Q1" s="3027"/>
      <c r="R1" s="3027"/>
      <c r="S1" s="3027"/>
      <c r="T1" s="3027"/>
      <c r="U1" s="3027"/>
      <c r="V1" s="3027"/>
      <c r="W1" s="3027"/>
    </row>
    <row r="2" spans="1:37" ht="17.5" x14ac:dyDescent="0.35">
      <c r="C2" s="221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37" ht="16" thickBot="1" x14ac:dyDescent="0.4">
      <c r="D3" s="3"/>
    </row>
    <row r="4" spans="1:37" ht="15.75" customHeight="1" x14ac:dyDescent="0.35">
      <c r="C4" s="190"/>
      <c r="D4" s="191"/>
      <c r="E4" s="192"/>
      <c r="F4" s="3028" t="s">
        <v>776</v>
      </c>
      <c r="G4" s="3029"/>
      <c r="H4" s="3029"/>
      <c r="I4" s="3029"/>
      <c r="J4" s="3028" t="s">
        <v>968</v>
      </c>
      <c r="K4" s="3029"/>
      <c r="L4" s="3029"/>
      <c r="M4" s="3029"/>
      <c r="N4" s="3029"/>
      <c r="O4" s="3032"/>
      <c r="P4" s="3028" t="s">
        <v>317</v>
      </c>
      <c r="Q4" s="3029"/>
      <c r="R4" s="3029"/>
      <c r="S4" s="3032"/>
      <c r="T4" s="3028" t="s">
        <v>2931</v>
      </c>
      <c r="U4" s="3029"/>
      <c r="V4" s="3029"/>
      <c r="W4" s="3047"/>
      <c r="AA4" s="3006"/>
      <c r="AB4" s="3009"/>
      <c r="AD4" s="2478"/>
      <c r="AE4" s="2479"/>
      <c r="AF4" s="2480"/>
      <c r="AH4" s="2478"/>
      <c r="AI4" s="2839"/>
      <c r="AJ4" s="2479"/>
      <c r="AK4" s="2480"/>
    </row>
    <row r="5" spans="1:37" x14ac:dyDescent="0.35">
      <c r="C5" s="193"/>
      <c r="D5" s="194"/>
      <c r="E5" s="174"/>
      <c r="F5" s="3030"/>
      <c r="G5" s="3031"/>
      <c r="H5" s="3031"/>
      <c r="I5" s="3031"/>
      <c r="J5" s="3033"/>
      <c r="K5" s="3034"/>
      <c r="L5" s="3034"/>
      <c r="M5" s="3034"/>
      <c r="N5" s="3034"/>
      <c r="O5" s="3035"/>
      <c r="P5" s="3033"/>
      <c r="Q5" s="3034"/>
      <c r="R5" s="3034"/>
      <c r="S5" s="3035"/>
      <c r="T5" s="3033"/>
      <c r="U5" s="3034"/>
      <c r="V5" s="3034"/>
      <c r="W5" s="3048"/>
      <c r="AA5" s="3007"/>
      <c r="AB5" s="3010"/>
      <c r="AD5" s="2481"/>
      <c r="AE5" s="2"/>
      <c r="AF5" s="1027"/>
      <c r="AH5" s="2481"/>
      <c r="AI5" s="2840"/>
      <c r="AJ5" s="2"/>
      <c r="AK5" s="1027"/>
    </row>
    <row r="6" spans="1:37" ht="28.5" customHeight="1" x14ac:dyDescent="0.35">
      <c r="C6" s="193" t="s">
        <v>72</v>
      </c>
      <c r="D6" s="196" t="s">
        <v>1340</v>
      </c>
      <c r="E6" s="174" t="s">
        <v>1341</v>
      </c>
      <c r="F6" s="196" t="s">
        <v>2908</v>
      </c>
      <c r="G6" s="196" t="s">
        <v>856</v>
      </c>
      <c r="H6" s="197" t="s">
        <v>1841</v>
      </c>
      <c r="I6" s="174" t="s">
        <v>2039</v>
      </c>
      <c r="J6" s="3039" t="s">
        <v>778</v>
      </c>
      <c r="K6" s="3041" t="s">
        <v>777</v>
      </c>
      <c r="L6" s="2996" t="s">
        <v>2967</v>
      </c>
      <c r="M6" s="2998" t="s">
        <v>2996</v>
      </c>
      <c r="N6" s="3002" t="s">
        <v>3105</v>
      </c>
      <c r="O6" s="3043" t="s">
        <v>910</v>
      </c>
      <c r="P6" s="3000" t="s">
        <v>911</v>
      </c>
      <c r="Q6" s="3000"/>
      <c r="R6" s="3049" t="s">
        <v>24</v>
      </c>
      <c r="S6" s="3049"/>
      <c r="T6" s="3000" t="s">
        <v>911</v>
      </c>
      <c r="U6" s="3000"/>
      <c r="V6" s="2992" t="s">
        <v>2004</v>
      </c>
      <c r="W6" s="2993"/>
      <c r="X6" s="2992" t="s">
        <v>2186</v>
      </c>
      <c r="Y6" s="2993"/>
      <c r="AA6" s="3007"/>
      <c r="AB6" s="3010"/>
      <c r="AD6" s="2481"/>
      <c r="AE6" s="2"/>
      <c r="AF6" s="1027"/>
      <c r="AH6" s="2481"/>
      <c r="AI6" s="2840"/>
      <c r="AJ6" s="2"/>
      <c r="AK6" s="1027"/>
    </row>
    <row r="7" spans="1:37" x14ac:dyDescent="0.35">
      <c r="C7" s="193" t="s">
        <v>1397</v>
      </c>
      <c r="D7" s="196" t="s">
        <v>1614</v>
      </c>
      <c r="E7" s="174" t="s">
        <v>1551</v>
      </c>
      <c r="F7" s="196"/>
      <c r="G7" s="196" t="s">
        <v>1615</v>
      </c>
      <c r="H7" s="197" t="s">
        <v>1616</v>
      </c>
      <c r="I7" s="174" t="s">
        <v>1616</v>
      </c>
      <c r="J7" s="3040"/>
      <c r="K7" s="3042"/>
      <c r="L7" s="2997"/>
      <c r="M7" s="2999"/>
      <c r="N7" s="3003"/>
      <c r="O7" s="3044"/>
      <c r="P7" s="3001"/>
      <c r="Q7" s="3001"/>
      <c r="R7" s="3050"/>
      <c r="S7" s="3050"/>
      <c r="T7" s="3001"/>
      <c r="U7" s="3001"/>
      <c r="V7" s="2994"/>
      <c r="W7" s="2995"/>
      <c r="X7" s="2994"/>
      <c r="Y7" s="2995"/>
      <c r="AA7" s="3007"/>
      <c r="AB7" s="3010"/>
      <c r="AD7" s="2440"/>
      <c r="AE7" s="2"/>
      <c r="AF7" s="1027"/>
      <c r="AH7" s="2440"/>
      <c r="AI7" s="2"/>
      <c r="AJ7" s="2"/>
      <c r="AK7" s="1027"/>
    </row>
    <row r="8" spans="1:37" ht="16" thickBot="1" x14ac:dyDescent="0.4">
      <c r="C8" s="198"/>
      <c r="D8" s="199"/>
      <c r="E8" s="200"/>
      <c r="F8" s="201"/>
      <c r="G8" s="201"/>
      <c r="H8" s="202"/>
      <c r="I8" s="203"/>
      <c r="J8" s="965" t="s">
        <v>1398</v>
      </c>
      <c r="K8" s="189" t="s">
        <v>1398</v>
      </c>
      <c r="L8" s="842" t="s">
        <v>1398</v>
      </c>
      <c r="M8" s="966" t="s">
        <v>1398</v>
      </c>
      <c r="N8" s="843" t="s">
        <v>1398</v>
      </c>
      <c r="O8" s="844" t="s">
        <v>1398</v>
      </c>
      <c r="P8" s="1604" t="s">
        <v>3087</v>
      </c>
      <c r="Q8" s="1604" t="s">
        <v>25</v>
      </c>
      <c r="R8" s="1604" t="s">
        <v>3087</v>
      </c>
      <c r="S8" s="1604" t="s">
        <v>25</v>
      </c>
      <c r="T8" s="1604" t="s">
        <v>3087</v>
      </c>
      <c r="U8" s="1604" t="s">
        <v>25</v>
      </c>
      <c r="V8" s="1604" t="s">
        <v>3087</v>
      </c>
      <c r="W8" s="1605" t="s">
        <v>25</v>
      </c>
      <c r="AA8" s="3008"/>
      <c r="AB8" s="3011"/>
      <c r="AD8" s="2482"/>
      <c r="AE8" s="2483"/>
      <c r="AF8" s="2484"/>
      <c r="AH8" s="2482"/>
      <c r="AI8" s="2483"/>
      <c r="AJ8" s="2483"/>
      <c r="AK8" s="2484"/>
    </row>
    <row r="9" spans="1:37" ht="18" customHeight="1" x14ac:dyDescent="0.35">
      <c r="A9" s="35"/>
      <c r="C9" s="204">
        <v>1</v>
      </c>
      <c r="D9" s="205" t="s">
        <v>1617</v>
      </c>
      <c r="E9" s="206" t="s">
        <v>1552</v>
      </c>
      <c r="F9" s="832">
        <f>Белыничи_!I10</f>
        <v>495.87400000000002</v>
      </c>
      <c r="G9" s="2855">
        <f>Белыничи_!J10</f>
        <v>487.40800000000002</v>
      </c>
      <c r="H9" s="832">
        <f>Белыничи_!K10</f>
        <v>3.214</v>
      </c>
      <c r="I9" s="832">
        <f>Белыничи_!L10</f>
        <v>5.251999999999998</v>
      </c>
      <c r="J9" s="2877"/>
      <c r="K9" s="2855">
        <f>Белыничи_!N10</f>
        <v>206.91900000000004</v>
      </c>
      <c r="L9" s="2878">
        <f>Белыничи_!O10</f>
        <v>2.6850000000000001</v>
      </c>
      <c r="M9" s="2879"/>
      <c r="N9" s="2880">
        <f>Белыничи_!Q10</f>
        <v>132.28999999999996</v>
      </c>
      <c r="O9" s="2881">
        <f>Белыничи_!R10</f>
        <v>145.51400000000001</v>
      </c>
      <c r="P9" s="207">
        <f>Белыничи_!S10</f>
        <v>21</v>
      </c>
      <c r="Q9" s="238">
        <f>Белыничи_!T10</f>
        <v>633.25</v>
      </c>
      <c r="R9" s="206">
        <f>Белыничи_!U10</f>
        <v>0</v>
      </c>
      <c r="S9" s="1663">
        <f>Белыничи_!V10</f>
        <v>0</v>
      </c>
      <c r="T9" s="207">
        <f>Белыничи_!W10</f>
        <v>809</v>
      </c>
      <c r="U9" s="238">
        <f>Белыничи_!X10</f>
        <v>10251.239999999998</v>
      </c>
      <c r="V9" s="207">
        <f>Белыничи_!Y10</f>
        <v>194</v>
      </c>
      <c r="W9" s="1664">
        <f>Белыничи_!Z10</f>
        <v>2215.6</v>
      </c>
      <c r="X9" s="68">
        <f>T9-V9</f>
        <v>615</v>
      </c>
      <c r="Y9" s="267">
        <f>U9-W9</f>
        <v>8035.6399999999976</v>
      </c>
      <c r="Z9" s="1798">
        <f>F9-H9-I9-J9-K9-L9-M9-N9-O9</f>
        <v>0</v>
      </c>
      <c r="AA9" s="2458"/>
      <c r="AB9" s="2459"/>
      <c r="AD9" s="2476"/>
      <c r="AE9" s="2477"/>
      <c r="AF9" s="2485"/>
      <c r="AH9" s="2476"/>
      <c r="AI9" s="2476"/>
      <c r="AJ9" s="2477"/>
      <c r="AK9" s="2485"/>
    </row>
    <row r="10" spans="1:37" ht="18" customHeight="1" x14ac:dyDescent="0.35">
      <c r="A10" s="35"/>
      <c r="C10" s="208">
        <v>2</v>
      </c>
      <c r="D10" s="209" t="s">
        <v>1618</v>
      </c>
      <c r="E10" s="210" t="s">
        <v>1553</v>
      </c>
      <c r="F10" s="833">
        <f>Бобруйск_!I10</f>
        <v>649.61299999999983</v>
      </c>
      <c r="G10" s="2856">
        <f>Бобруйск_!J10</f>
        <v>643.73599999999988</v>
      </c>
      <c r="H10" s="833"/>
      <c r="I10" s="833">
        <f>Бобруйск_!L10</f>
        <v>5.8769999999999989</v>
      </c>
      <c r="J10" s="2882"/>
      <c r="K10" s="2856">
        <f>Бобруйск_!N10</f>
        <v>295.6939999999999</v>
      </c>
      <c r="L10" s="2883">
        <f>Бобруйск_!O10</f>
        <v>5.5329999999999995</v>
      </c>
      <c r="M10" s="2884">
        <f>Бобруйск_!P10</f>
        <v>1.27</v>
      </c>
      <c r="N10" s="2885">
        <f>Бобруйск_!Q10</f>
        <v>210.64400000000001</v>
      </c>
      <c r="O10" s="2886">
        <f>Бобруйск_!R10</f>
        <v>130.595</v>
      </c>
      <c r="P10" s="211">
        <f>Бобруйск_!S10</f>
        <v>5</v>
      </c>
      <c r="Q10" s="239">
        <f>Бобруйск_!T10</f>
        <v>93.05</v>
      </c>
      <c r="R10" s="210">
        <f>Бобруйск_!U10</f>
        <v>0</v>
      </c>
      <c r="S10" s="241">
        <f>Бобруйск_!V10</f>
        <v>0</v>
      </c>
      <c r="T10" s="212">
        <f>Бобруйск_!W10</f>
        <v>852</v>
      </c>
      <c r="U10" s="239">
        <f>Бобруйск_!X10</f>
        <v>10807.450000000003</v>
      </c>
      <c r="V10" s="212">
        <f>Бобруйск_!Y10</f>
        <v>248</v>
      </c>
      <c r="W10" s="1665">
        <f>Бобруйск_!Z10</f>
        <v>2747.8</v>
      </c>
      <c r="X10" s="68">
        <f t="shared" ref="X10:X29" si="0">T10-V10</f>
        <v>604</v>
      </c>
      <c r="Y10" s="267">
        <f t="shared" ref="Y10:Y29" si="1">U10-W10</f>
        <v>8059.6500000000024</v>
      </c>
      <c r="Z10" s="1798">
        <f t="shared" ref="Z10:Z29" si="2">F10-H10-I10-J10-K10-L10-M10-N10-O10</f>
        <v>0</v>
      </c>
      <c r="AA10" s="2456"/>
      <c r="AB10" s="2457"/>
      <c r="AD10" s="2476"/>
      <c r="AE10" s="2477"/>
      <c r="AF10" s="2485"/>
      <c r="AH10" s="2476"/>
      <c r="AI10" s="2476"/>
      <c r="AJ10" s="2477"/>
      <c r="AK10" s="2485"/>
    </row>
    <row r="11" spans="1:37" ht="18" customHeight="1" x14ac:dyDescent="0.35">
      <c r="A11" s="35"/>
      <c r="C11" s="208">
        <v>3</v>
      </c>
      <c r="D11" s="209" t="s">
        <v>1619</v>
      </c>
      <c r="E11" s="210" t="s">
        <v>1554</v>
      </c>
      <c r="F11" s="833">
        <f>Быхов_!I10</f>
        <v>628.45500000000004</v>
      </c>
      <c r="G11" s="2856">
        <f>Быхов_!J10</f>
        <v>627.25700000000006</v>
      </c>
      <c r="H11" s="833">
        <f>Быхов_!K10</f>
        <v>0.8</v>
      </c>
      <c r="I11" s="833">
        <f>Быхов_!L10</f>
        <v>0.39799999999998931</v>
      </c>
      <c r="J11" s="2882">
        <f>Быхов_!M10</f>
        <v>10.042999999999992</v>
      </c>
      <c r="K11" s="2856">
        <f>Быхов_!N10</f>
        <v>243.18000000000009</v>
      </c>
      <c r="L11" s="2883">
        <f>Быхов_!O10</f>
        <v>1.06</v>
      </c>
      <c r="M11" s="2884"/>
      <c r="N11" s="2885">
        <f>Быхов_!Q10</f>
        <v>196.18100000000001</v>
      </c>
      <c r="O11" s="2886">
        <f>Быхов_!R10</f>
        <v>176.79300000000003</v>
      </c>
      <c r="P11" s="211">
        <f>Быхов_!S10</f>
        <v>30</v>
      </c>
      <c r="Q11" s="239">
        <f>Быхов_!T10</f>
        <v>597.79999999999995</v>
      </c>
      <c r="R11" s="210">
        <f>Быхов_!U10</f>
        <v>0</v>
      </c>
      <c r="S11" s="241">
        <f>Быхов_!V10</f>
        <v>0</v>
      </c>
      <c r="T11" s="212">
        <f>Быхов_!W10</f>
        <v>931</v>
      </c>
      <c r="U11" s="239">
        <f>Быхов_!X10</f>
        <v>11956.490000000003</v>
      </c>
      <c r="V11" s="212">
        <f>Быхов_!Y10</f>
        <v>232</v>
      </c>
      <c r="W11" s="1665">
        <f>Быхов_!Z10</f>
        <v>2570.1</v>
      </c>
      <c r="X11" s="68">
        <f t="shared" si="0"/>
        <v>699</v>
      </c>
      <c r="Y11" s="267">
        <f t="shared" si="1"/>
        <v>9386.3900000000031</v>
      </c>
      <c r="Z11" s="1798">
        <f>F11-H11-I11-J11-K11-L11-M11-N11-O11</f>
        <v>0</v>
      </c>
      <c r="AA11" s="2456"/>
      <c r="AB11" s="2457"/>
      <c r="AD11" s="2476"/>
      <c r="AE11" s="2477"/>
      <c r="AF11" s="2485"/>
      <c r="AH11" s="2476"/>
      <c r="AI11" s="2476"/>
      <c r="AJ11" s="2477"/>
      <c r="AK11" s="2485"/>
    </row>
    <row r="12" spans="1:37" ht="18" customHeight="1" x14ac:dyDescent="0.35">
      <c r="A12" s="35"/>
      <c r="C12" s="208">
        <v>4</v>
      </c>
      <c r="D12" s="209" t="s">
        <v>1357</v>
      </c>
      <c r="E12" s="210" t="s">
        <v>867</v>
      </c>
      <c r="F12" s="833">
        <f>Глуск_!I10</f>
        <v>414.43900000000002</v>
      </c>
      <c r="G12" s="2856">
        <f>Глуск_!J10</f>
        <v>403.42400000000004</v>
      </c>
      <c r="H12" s="833">
        <f>Глуск_!K10</f>
        <v>1.7050000000000001</v>
      </c>
      <c r="I12" s="833">
        <f>Глуск_!L10</f>
        <v>9.31</v>
      </c>
      <c r="J12" s="2882">
        <f>Глуск_!M10</f>
        <v>0.08</v>
      </c>
      <c r="K12" s="2856">
        <f>Глуск_!N10</f>
        <v>210.02600000000001</v>
      </c>
      <c r="L12" s="2883">
        <f>Глуск_!O10</f>
        <v>2.9</v>
      </c>
      <c r="M12" s="2884"/>
      <c r="N12" s="2885">
        <f>Глуск_!Q10</f>
        <v>158.73400000000001</v>
      </c>
      <c r="O12" s="2886">
        <f>Глуск_!R10</f>
        <v>31.684000000000005</v>
      </c>
      <c r="P12" s="211">
        <f>Глуск_!S10</f>
        <v>17</v>
      </c>
      <c r="Q12" s="239">
        <f>Глуск_!T10</f>
        <v>527.23</v>
      </c>
      <c r="R12" s="231">
        <f>Глуск_!U10</f>
        <v>0</v>
      </c>
      <c r="S12" s="241">
        <f>Глуск_!V10</f>
        <v>0</v>
      </c>
      <c r="T12" s="212">
        <f>Глуск_!W10</f>
        <v>429</v>
      </c>
      <c r="U12" s="239">
        <f>Глуск_!X10</f>
        <v>5507.3499950408932</v>
      </c>
      <c r="V12" s="212">
        <f>Глуск_!Y10</f>
        <v>107</v>
      </c>
      <c r="W12" s="1665">
        <f>Глуск_!Z10</f>
        <v>1184.3199999999997</v>
      </c>
      <c r="X12" s="68">
        <f t="shared" si="0"/>
        <v>322</v>
      </c>
      <c r="Y12" s="267">
        <f t="shared" si="1"/>
        <v>4323.0299950408935</v>
      </c>
      <c r="Z12" s="1798">
        <f>F12-H12-I12-J12-K12-L12-M12-N12-O12</f>
        <v>0</v>
      </c>
      <c r="AA12" s="2456"/>
      <c r="AB12" s="2457"/>
      <c r="AD12" s="2476"/>
      <c r="AE12" s="2477"/>
      <c r="AF12" s="2485"/>
      <c r="AH12" s="2476"/>
      <c r="AI12" s="2476"/>
      <c r="AJ12" s="2477"/>
      <c r="AK12" s="2485"/>
    </row>
    <row r="13" spans="1:37" ht="18" customHeight="1" x14ac:dyDescent="0.35">
      <c r="A13" s="35"/>
      <c r="C13" s="208">
        <v>5</v>
      </c>
      <c r="D13" s="209" t="s">
        <v>1358</v>
      </c>
      <c r="E13" s="210" t="s">
        <v>868</v>
      </c>
      <c r="F13" s="833">
        <f>Горки_!I10</f>
        <v>610.55100000000004</v>
      </c>
      <c r="G13" s="2856">
        <f>Горки_!J10</f>
        <v>607.64200000000005</v>
      </c>
      <c r="H13" s="833"/>
      <c r="I13" s="833">
        <f>Горки_!L10</f>
        <v>2.9090000000000007</v>
      </c>
      <c r="J13" s="2882"/>
      <c r="K13" s="2856">
        <f>Горки_!N10</f>
        <v>247.30300000000005</v>
      </c>
      <c r="L13" s="2883">
        <f>Горки_!O10</f>
        <v>8.0060000000000002</v>
      </c>
      <c r="M13" s="2884"/>
      <c r="N13" s="2885">
        <f>Горки_!Q10</f>
        <v>204.23100000000002</v>
      </c>
      <c r="O13" s="2886">
        <f>Горки_!R10</f>
        <v>148.10199999999992</v>
      </c>
      <c r="P13" s="211">
        <f>Горки_!S10</f>
        <v>30</v>
      </c>
      <c r="Q13" s="239">
        <f>Горки_!T10</f>
        <v>698.65000000000009</v>
      </c>
      <c r="R13" s="210">
        <f>Горки_!U10</f>
        <v>1</v>
      </c>
      <c r="S13" s="241">
        <f>Горки_!V10</f>
        <v>10</v>
      </c>
      <c r="T13" s="212">
        <f>Горки_!W10</f>
        <v>814</v>
      </c>
      <c r="U13" s="239">
        <f>Горки_!X10</f>
        <v>10994.159999999998</v>
      </c>
      <c r="V13" s="212">
        <f>Горки_!Y10</f>
        <v>164</v>
      </c>
      <c r="W13" s="1665">
        <f>Горки_!Z10</f>
        <v>1726.1000000000001</v>
      </c>
      <c r="X13" s="68">
        <f t="shared" si="0"/>
        <v>650</v>
      </c>
      <c r="Y13" s="267">
        <f t="shared" si="1"/>
        <v>9268.0599999999977</v>
      </c>
      <c r="Z13" s="1798">
        <f>F13-H13-I13-J13-K13-L13-M13-N13-O13</f>
        <v>0</v>
      </c>
      <c r="AA13" s="2456"/>
      <c r="AB13" s="2457"/>
      <c r="AD13" s="2476"/>
      <c r="AE13" s="2477"/>
      <c r="AF13" s="2485"/>
      <c r="AH13" s="2476"/>
      <c r="AI13" s="2476"/>
      <c r="AJ13" s="2477"/>
      <c r="AK13" s="2485"/>
    </row>
    <row r="14" spans="1:37" ht="18" customHeight="1" x14ac:dyDescent="0.35">
      <c r="A14" s="35"/>
      <c r="C14" s="208">
        <v>6</v>
      </c>
      <c r="D14" s="209" t="s">
        <v>3306</v>
      </c>
      <c r="E14" s="210" t="s">
        <v>2222</v>
      </c>
      <c r="F14" s="833">
        <f>Дрибин_!I10</f>
        <v>317.33299999999997</v>
      </c>
      <c r="G14" s="2856">
        <f>Дрибин_!J10</f>
        <v>311.56799999999998</v>
      </c>
      <c r="H14" s="833">
        <f>Дрибин_!K10</f>
        <v>2</v>
      </c>
      <c r="I14" s="833">
        <f>Дрибин_!L10</f>
        <v>3.7650000000000006</v>
      </c>
      <c r="J14" s="2856">
        <f>Дрибин_!M10</f>
        <v>0</v>
      </c>
      <c r="K14" s="2856">
        <f>Дрибин_!N10</f>
        <v>112.43799999999997</v>
      </c>
      <c r="L14" s="2883"/>
      <c r="M14" s="2884"/>
      <c r="N14" s="2885">
        <f>Дрибин_!Q10</f>
        <v>74.189000000000021</v>
      </c>
      <c r="O14" s="2886">
        <f>Дрибин_!R10</f>
        <v>124.94099999999997</v>
      </c>
      <c r="P14" s="211">
        <f>Дрибин_!S10</f>
        <v>10</v>
      </c>
      <c r="Q14" s="239">
        <f>Дрибин_!T10</f>
        <v>253.79999999999998</v>
      </c>
      <c r="R14" s="210">
        <f>Дрибин_!U10</f>
        <v>2</v>
      </c>
      <c r="S14" s="241">
        <f>Дрибин_!V10</f>
        <v>18</v>
      </c>
      <c r="T14" s="212">
        <f>Дрибин_!W10</f>
        <v>332</v>
      </c>
      <c r="U14" s="239">
        <f>Дрибин_!X10</f>
        <v>4456.09</v>
      </c>
      <c r="V14" s="212">
        <f>Дрибин_!Y10</f>
        <v>99</v>
      </c>
      <c r="W14" s="1665">
        <f>Дрибин_!Z10</f>
        <v>1083.7</v>
      </c>
      <c r="X14" s="68">
        <f t="shared" si="0"/>
        <v>233</v>
      </c>
      <c r="Y14" s="267">
        <f t="shared" si="1"/>
        <v>3372.3900000000003</v>
      </c>
      <c r="Z14" s="1798">
        <f t="shared" si="2"/>
        <v>0</v>
      </c>
      <c r="AA14" s="2456"/>
      <c r="AB14" s="2457"/>
      <c r="AD14" s="2476"/>
      <c r="AE14" s="2477"/>
      <c r="AF14" s="2485"/>
      <c r="AH14" s="2476"/>
      <c r="AI14" s="2476"/>
      <c r="AJ14" s="2477"/>
      <c r="AK14" s="2485"/>
    </row>
    <row r="15" spans="1:37" ht="18" customHeight="1" x14ac:dyDescent="0.35">
      <c r="A15" s="35"/>
      <c r="C15" s="208">
        <v>7</v>
      </c>
      <c r="D15" s="209" t="s">
        <v>1094</v>
      </c>
      <c r="E15" s="210" t="s">
        <v>2223</v>
      </c>
      <c r="F15" s="833">
        <f>Кировск_!I10</f>
        <v>455.42699999999991</v>
      </c>
      <c r="G15" s="2856">
        <f>Кировск_!J10</f>
        <v>454.34499999999991</v>
      </c>
      <c r="H15" s="833"/>
      <c r="I15" s="833">
        <f>Кировск_!L10</f>
        <v>1.0819999999999996</v>
      </c>
      <c r="J15" s="2882"/>
      <c r="K15" s="2856">
        <f>Кировск_!N10</f>
        <v>233.49599999999992</v>
      </c>
      <c r="L15" s="2883"/>
      <c r="M15" s="2884"/>
      <c r="N15" s="2885">
        <f>Кировск_!Q10</f>
        <v>120.474</v>
      </c>
      <c r="O15" s="2886">
        <f>Кировск_!R10</f>
        <v>100.375</v>
      </c>
      <c r="P15" s="211">
        <f>Кировск_!S10</f>
        <v>20</v>
      </c>
      <c r="Q15" s="239">
        <f>Кировск_!T10</f>
        <v>357.50000000000006</v>
      </c>
      <c r="R15" s="210">
        <f>Кировск_!U10</f>
        <v>0</v>
      </c>
      <c r="S15" s="241">
        <f>Кировск_!V10</f>
        <v>0</v>
      </c>
      <c r="T15" s="212">
        <f>Кировск_!W10</f>
        <v>578</v>
      </c>
      <c r="U15" s="239">
        <f>Кировск_!X10</f>
        <v>7065.33</v>
      </c>
      <c r="V15" s="212">
        <f>Кировск_!Y10</f>
        <v>203</v>
      </c>
      <c r="W15" s="1665">
        <f>Кировск_!Z10</f>
        <v>2204.88</v>
      </c>
      <c r="X15" s="68">
        <f t="shared" si="0"/>
        <v>375</v>
      </c>
      <c r="Y15" s="267">
        <f t="shared" si="1"/>
        <v>4860.45</v>
      </c>
      <c r="Z15" s="1798">
        <f t="shared" si="2"/>
        <v>0</v>
      </c>
      <c r="AA15" s="2456"/>
      <c r="AB15" s="2457"/>
      <c r="AD15" s="2476"/>
      <c r="AE15" s="2477"/>
      <c r="AF15" s="2485"/>
      <c r="AH15" s="2476"/>
      <c r="AI15" s="2476"/>
      <c r="AJ15" s="2477"/>
      <c r="AK15" s="2485"/>
    </row>
    <row r="16" spans="1:37" ht="18" customHeight="1" x14ac:dyDescent="0.35">
      <c r="A16" s="229"/>
      <c r="C16" s="208">
        <v>8</v>
      </c>
      <c r="D16" s="209" t="s">
        <v>1136</v>
      </c>
      <c r="E16" s="210" t="s">
        <v>2224</v>
      </c>
      <c r="F16" s="833">
        <f>Климовичи_!I10</f>
        <v>585.38499999999999</v>
      </c>
      <c r="G16" s="2856">
        <f>Климовичи_!J10</f>
        <v>563.90499999999997</v>
      </c>
      <c r="H16" s="833">
        <f>Климовичи_!K10</f>
        <v>7.5680000000000005</v>
      </c>
      <c r="I16" s="833">
        <f>Климовичи_!L10</f>
        <v>13.912000000000001</v>
      </c>
      <c r="J16" s="2882">
        <f>Климовичи_!M10</f>
        <v>1.323</v>
      </c>
      <c r="K16" s="2856">
        <f>Климовичи_!N10</f>
        <v>235.01600000000002</v>
      </c>
      <c r="L16" s="2883">
        <f>Климовичи_!O10</f>
        <v>7.117</v>
      </c>
      <c r="M16" s="2884"/>
      <c r="N16" s="2885">
        <f>Климовичи_!Q10</f>
        <v>162.64400000000001</v>
      </c>
      <c r="O16" s="2886">
        <f>Климовичи_!R10</f>
        <v>157.80500000000001</v>
      </c>
      <c r="P16" s="211">
        <f>Климовичи_!S10</f>
        <v>21</v>
      </c>
      <c r="Q16" s="239">
        <f>Климовичи_!T10</f>
        <v>595.00000190734863</v>
      </c>
      <c r="R16" s="231">
        <f>Климовичи_!U10</f>
        <v>1</v>
      </c>
      <c r="S16" s="241">
        <f>Климовичи_!V10</f>
        <v>16</v>
      </c>
      <c r="T16" s="212">
        <f>Климовичи_!W10</f>
        <v>863</v>
      </c>
      <c r="U16" s="239">
        <f>Климовичи_!X10</f>
        <v>11070.829999999998</v>
      </c>
      <c r="V16" s="212">
        <f>Климовичи_!Y10</f>
        <v>256</v>
      </c>
      <c r="W16" s="1665">
        <f>Климовичи_!Z10</f>
        <v>2918.6</v>
      </c>
      <c r="X16" s="68">
        <f t="shared" si="0"/>
        <v>607</v>
      </c>
      <c r="Y16" s="267">
        <f t="shared" si="1"/>
        <v>8152.2299999999977</v>
      </c>
      <c r="Z16" s="1798">
        <f t="shared" si="2"/>
        <v>0</v>
      </c>
      <c r="AA16" s="2456"/>
      <c r="AB16" s="2457"/>
      <c r="AD16" s="2476"/>
      <c r="AE16" s="2477"/>
      <c r="AF16" s="2485"/>
      <c r="AH16" s="2476"/>
      <c r="AI16" s="2476"/>
      <c r="AJ16" s="2477"/>
      <c r="AK16" s="2485"/>
    </row>
    <row r="17" spans="1:37" ht="18" customHeight="1" x14ac:dyDescent="0.35">
      <c r="A17" s="35"/>
      <c r="C17" s="208">
        <v>9</v>
      </c>
      <c r="D17" s="209" t="s">
        <v>672</v>
      </c>
      <c r="E17" s="210" t="s">
        <v>2225</v>
      </c>
      <c r="F17" s="833">
        <f>Костюковичи_!I10</f>
        <v>495.01100000000008</v>
      </c>
      <c r="G17" s="2856">
        <f>Костюковичи_!J10</f>
        <v>495.01100000000008</v>
      </c>
      <c r="H17" s="833"/>
      <c r="I17" s="833"/>
      <c r="J17" s="2882"/>
      <c r="K17" s="2856">
        <f>Костюковичи_!N10</f>
        <v>178.44</v>
      </c>
      <c r="L17" s="2883"/>
      <c r="M17" s="2884"/>
      <c r="N17" s="2885">
        <f>Костюковичи_!Q10</f>
        <v>160.39000000000001</v>
      </c>
      <c r="O17" s="2886">
        <f>Костюковичи_!R10</f>
        <v>156.18100000000004</v>
      </c>
      <c r="P17" s="211">
        <f>Костюковичи_!S10</f>
        <v>29</v>
      </c>
      <c r="Q17" s="239">
        <f>Костюковичи_!T10</f>
        <v>1038.6999999999998</v>
      </c>
      <c r="R17" s="237">
        <f>Костюковичи_!U10</f>
        <v>0</v>
      </c>
      <c r="S17" s="241">
        <f>Костюковичи_!V10</f>
        <v>0</v>
      </c>
      <c r="T17" s="212">
        <f>Костюковичи_!W10</f>
        <v>683</v>
      </c>
      <c r="U17" s="239">
        <f>Костюковичи_!X10</f>
        <v>9193.1900000000023</v>
      </c>
      <c r="V17" s="212">
        <f>Костюковичи_!Y10</f>
        <v>192</v>
      </c>
      <c r="W17" s="1665">
        <f>Костюковичи_!Z10</f>
        <v>2047.82</v>
      </c>
      <c r="X17" s="68">
        <f t="shared" si="0"/>
        <v>491</v>
      </c>
      <c r="Y17" s="267">
        <f t="shared" si="1"/>
        <v>7145.3700000000026</v>
      </c>
      <c r="Z17" s="1798">
        <f t="shared" si="2"/>
        <v>0</v>
      </c>
      <c r="AA17" s="2456"/>
      <c r="AB17" s="2457"/>
      <c r="AD17" s="2476"/>
      <c r="AE17" s="2477"/>
      <c r="AF17" s="2485"/>
      <c r="AH17" s="2476"/>
      <c r="AI17" s="2476"/>
      <c r="AJ17" s="2477"/>
      <c r="AK17" s="2485"/>
    </row>
    <row r="18" spans="1:37" ht="18" customHeight="1" x14ac:dyDescent="0.35">
      <c r="A18" s="35"/>
      <c r="C18" s="208">
        <v>10</v>
      </c>
      <c r="D18" s="209" t="s">
        <v>673</v>
      </c>
      <c r="E18" s="210" t="s">
        <v>2226</v>
      </c>
      <c r="F18" s="833">
        <f>Кличев_!I10</f>
        <v>526.13900000000001</v>
      </c>
      <c r="G18" s="2856">
        <f>Кличев_!J10</f>
        <v>522.298</v>
      </c>
      <c r="H18" s="833">
        <f>Кличев_!K10</f>
        <v>1.9019999999999999</v>
      </c>
      <c r="I18" s="833">
        <f>Кличев_!L10</f>
        <v>1.9389999999999963</v>
      </c>
      <c r="J18" s="2882"/>
      <c r="K18" s="2856">
        <f>Кличев_!N10</f>
        <v>155.892</v>
      </c>
      <c r="L18" s="2883">
        <f>Кличев_!O10</f>
        <v>4.8380000000000001</v>
      </c>
      <c r="M18" s="2884">
        <f>Кличев_!P10</f>
        <v>0.34</v>
      </c>
      <c r="N18" s="2885">
        <f>Кличев_!Q10</f>
        <v>226.65099999999995</v>
      </c>
      <c r="O18" s="2886">
        <f>Кличев_!R10</f>
        <v>134.57700000000003</v>
      </c>
      <c r="P18" s="211">
        <f>Кличев_!S10</f>
        <v>28</v>
      </c>
      <c r="Q18" s="239">
        <f>Кличев_!T10</f>
        <v>738.98</v>
      </c>
      <c r="R18" s="231">
        <f>Кличев_!U10</f>
        <v>3</v>
      </c>
      <c r="S18" s="241">
        <f>Кличев_!V10</f>
        <v>74.8</v>
      </c>
      <c r="T18" s="212">
        <f>Кличев_!W10</f>
        <v>627</v>
      </c>
      <c r="U18" s="239">
        <f>Кличев_!X10</f>
        <v>8452.34</v>
      </c>
      <c r="V18" s="212">
        <f>Кличев_!Y10</f>
        <v>149</v>
      </c>
      <c r="W18" s="1665">
        <f>Кличев_!Z10</f>
        <v>1743.9000000000003</v>
      </c>
      <c r="X18" s="68">
        <f t="shared" si="0"/>
        <v>478</v>
      </c>
      <c r="Y18" s="267">
        <f t="shared" si="1"/>
        <v>6708.44</v>
      </c>
      <c r="Z18" s="1798">
        <f t="shared" si="2"/>
        <v>0</v>
      </c>
      <c r="AA18" s="2456"/>
      <c r="AB18" s="2457"/>
      <c r="AD18" s="2476"/>
      <c r="AE18" s="2477"/>
      <c r="AF18" s="2485"/>
      <c r="AH18" s="2476"/>
      <c r="AI18" s="2476"/>
      <c r="AJ18" s="2477"/>
      <c r="AK18" s="2485"/>
    </row>
    <row r="19" spans="1:37" ht="18" customHeight="1" x14ac:dyDescent="0.35">
      <c r="A19" s="35"/>
      <c r="C19" s="213">
        <v>11</v>
      </c>
      <c r="D19" s="214" t="s">
        <v>353</v>
      </c>
      <c r="E19" s="211" t="s">
        <v>10801</v>
      </c>
      <c r="F19" s="834">
        <f>Краснополье_!I10</f>
        <v>420.57299999999992</v>
      </c>
      <c r="G19" s="2857">
        <f>Краснополье_!J10</f>
        <v>420.39299999999992</v>
      </c>
      <c r="H19" s="834">
        <f>Краснополье_!K10</f>
        <v>0</v>
      </c>
      <c r="I19" s="834">
        <f>Краснополье_!L10</f>
        <v>0.1800000000000006</v>
      </c>
      <c r="J19" s="2887"/>
      <c r="K19" s="2857">
        <f>Краснополье_!N10</f>
        <v>144.024</v>
      </c>
      <c r="L19" s="2888"/>
      <c r="M19" s="2889"/>
      <c r="N19" s="2890">
        <f>Краснополье_!Q10</f>
        <v>121.679</v>
      </c>
      <c r="O19" s="2891">
        <f>Краснополье_!R10</f>
        <v>154.68999999999997</v>
      </c>
      <c r="P19" s="211">
        <f>Краснополье_!S10</f>
        <v>9</v>
      </c>
      <c r="Q19" s="239">
        <f>Краснополье_!T10</f>
        <v>240.60000000000002</v>
      </c>
      <c r="R19" s="231">
        <f>Краснополье_!U10</f>
        <v>0</v>
      </c>
      <c r="S19" s="241">
        <f>Краснополье_!V10</f>
        <v>0</v>
      </c>
      <c r="T19" s="212">
        <f>Краснополье_!W10</f>
        <v>440</v>
      </c>
      <c r="U19" s="239">
        <f>Краснополье_!X10</f>
        <v>6086.3499999999985</v>
      </c>
      <c r="V19" s="212">
        <f>Краснополье_!Y10</f>
        <v>81</v>
      </c>
      <c r="W19" s="1665">
        <f>Краснополье_!Z10</f>
        <v>905.95</v>
      </c>
      <c r="X19" s="68">
        <f t="shared" si="0"/>
        <v>359</v>
      </c>
      <c r="Y19" s="267">
        <f t="shared" si="1"/>
        <v>5180.3999999999987</v>
      </c>
      <c r="Z19" s="1798">
        <f t="shared" si="2"/>
        <v>0</v>
      </c>
      <c r="AA19" s="2456"/>
      <c r="AB19" s="2457"/>
      <c r="AD19" s="2476"/>
      <c r="AE19" s="2477"/>
      <c r="AF19" s="2485"/>
      <c r="AH19" s="2476"/>
      <c r="AI19" s="2476"/>
      <c r="AJ19" s="2477"/>
      <c r="AK19" s="2485"/>
    </row>
    <row r="20" spans="1:37" ht="18" customHeight="1" x14ac:dyDescent="0.35">
      <c r="A20" s="35"/>
      <c r="C20" s="208">
        <v>12</v>
      </c>
      <c r="D20" s="209" t="s">
        <v>2055</v>
      </c>
      <c r="E20" s="210" t="s">
        <v>2227</v>
      </c>
      <c r="F20" s="833">
        <f>Кричев_!I10</f>
        <v>374.02500000000003</v>
      </c>
      <c r="G20" s="2856">
        <f>Кричев_!J10</f>
        <v>370.87800000000004</v>
      </c>
      <c r="H20" s="833"/>
      <c r="I20" s="833">
        <f>Кричев_!L10</f>
        <v>3.1470000000000002</v>
      </c>
      <c r="J20" s="2882">
        <f>Кричев_!M10</f>
        <v>1.6</v>
      </c>
      <c r="K20" s="2856">
        <f>Кричев_!N10</f>
        <v>156.46699999999998</v>
      </c>
      <c r="L20" s="2883"/>
      <c r="M20" s="2884"/>
      <c r="N20" s="2885">
        <f>Кричев_!Q10</f>
        <v>112.34100000000002</v>
      </c>
      <c r="O20" s="2886">
        <f>Кричев_!R10</f>
        <v>100.47</v>
      </c>
      <c r="P20" s="211">
        <f>Кричев_!S10</f>
        <v>20</v>
      </c>
      <c r="Q20" s="239">
        <f>Кричев_!T10</f>
        <v>410.12</v>
      </c>
      <c r="R20" s="210">
        <f>Кричев_!U10</f>
        <v>0</v>
      </c>
      <c r="S20" s="241">
        <f>Кричев_!V10</f>
        <v>0</v>
      </c>
      <c r="T20" s="212">
        <f>Кричев_!W10</f>
        <v>546</v>
      </c>
      <c r="U20" s="239">
        <f>Кричев_!X10</f>
        <v>7247.829999999999</v>
      </c>
      <c r="V20" s="212">
        <f>Кричев_!Y10</f>
        <v>173</v>
      </c>
      <c r="W20" s="1665">
        <f>Кричев_!Z10</f>
        <v>1895.0200000000002</v>
      </c>
      <c r="X20" s="68">
        <f t="shared" si="0"/>
        <v>373</v>
      </c>
      <c r="Y20" s="267">
        <f t="shared" si="1"/>
        <v>5352.8099999999986</v>
      </c>
      <c r="Z20" s="1798">
        <f>F20-H20-I20-J20-K20-L20-M20-N20-O20</f>
        <v>0</v>
      </c>
      <c r="AA20" s="2456"/>
      <c r="AB20" s="2457"/>
      <c r="AD20" s="2476"/>
      <c r="AE20" s="2477"/>
      <c r="AF20" s="2485"/>
      <c r="AH20" s="2476"/>
      <c r="AI20" s="2476"/>
      <c r="AJ20" s="2477"/>
      <c r="AK20" s="2485"/>
    </row>
    <row r="21" spans="1:37" ht="18" customHeight="1" x14ac:dyDescent="0.35">
      <c r="A21" s="35"/>
      <c r="C21" s="208">
        <v>13</v>
      </c>
      <c r="D21" s="209" t="s">
        <v>2053</v>
      </c>
      <c r="E21" s="210" t="s">
        <v>2228</v>
      </c>
      <c r="F21" s="833">
        <f>Круглое_!I10</f>
        <v>384.50200000000001</v>
      </c>
      <c r="G21" s="2856">
        <f>Круглое_!J10</f>
        <v>383.42700000000002</v>
      </c>
      <c r="H21" s="833">
        <f>Круглое_!K10</f>
        <v>0</v>
      </c>
      <c r="I21" s="833">
        <f>Круглое_!L10</f>
        <v>1.0750000000000008</v>
      </c>
      <c r="J21" s="2882"/>
      <c r="K21" s="2856">
        <f>Круглое_!N10</f>
        <v>181.94199999999998</v>
      </c>
      <c r="L21" s="2883">
        <f>Круглое_!O10</f>
        <v>14.925000000000001</v>
      </c>
      <c r="M21" s="2884"/>
      <c r="N21" s="2885">
        <f>Круглое_!Q10</f>
        <v>117.72499999999999</v>
      </c>
      <c r="O21" s="2886">
        <f>Круглое_!R10</f>
        <v>68.835000000000008</v>
      </c>
      <c r="P21" s="211">
        <f>Круглое_!S10</f>
        <v>12</v>
      </c>
      <c r="Q21" s="239">
        <f>Круглое_!T10</f>
        <v>491.00000000000006</v>
      </c>
      <c r="R21" s="210">
        <f>Круглое_!U10</f>
        <v>0</v>
      </c>
      <c r="S21" s="241">
        <f>Круглое_!V10</f>
        <v>0</v>
      </c>
      <c r="T21" s="212">
        <f>Круглое_!W10</f>
        <v>704</v>
      </c>
      <c r="U21" s="239">
        <f>Круглое_!X10</f>
        <v>8709.8199906539921</v>
      </c>
      <c r="V21" s="212">
        <f>Круглое_!Y10</f>
        <v>247</v>
      </c>
      <c r="W21" s="1665">
        <f>Круглое_!Z10</f>
        <v>2648.4000076293946</v>
      </c>
      <c r="X21" s="68">
        <f t="shared" si="0"/>
        <v>457</v>
      </c>
      <c r="Y21" s="267">
        <f t="shared" si="1"/>
        <v>6061.419983024598</v>
      </c>
      <c r="Z21" s="1798">
        <f t="shared" si="2"/>
        <v>0</v>
      </c>
      <c r="AA21" s="2456"/>
      <c r="AB21" s="2457"/>
      <c r="AD21" s="2476"/>
      <c r="AE21" s="2477"/>
      <c r="AF21" s="2485"/>
      <c r="AH21" s="2476"/>
      <c r="AI21" s="2476"/>
      <c r="AJ21" s="2477"/>
      <c r="AK21" s="2485"/>
    </row>
    <row r="22" spans="1:37" ht="18" customHeight="1" x14ac:dyDescent="0.35">
      <c r="A22" s="35"/>
      <c r="C22" s="208">
        <v>14</v>
      </c>
      <c r="D22" s="209" t="s">
        <v>708</v>
      </c>
      <c r="E22" s="210" t="s">
        <v>2229</v>
      </c>
      <c r="F22" s="833">
        <f>Могилев_!I10</f>
        <v>928.69699999999989</v>
      </c>
      <c r="G22" s="2856">
        <f>Могилев_!J10</f>
        <v>918.57199999999989</v>
      </c>
      <c r="H22" s="833">
        <f>Могилев_!K10</f>
        <v>2.0369999999999995</v>
      </c>
      <c r="I22" s="833">
        <f>Могилев_!L10</f>
        <v>8.088000000000001</v>
      </c>
      <c r="J22" s="2882">
        <f>Могилев_!M10</f>
        <v>79.61999999999999</v>
      </c>
      <c r="K22" s="2856">
        <f>Могилев_!N10</f>
        <v>281.50199999999995</v>
      </c>
      <c r="L22" s="2883">
        <f>Могилев_!O10</f>
        <v>3</v>
      </c>
      <c r="M22" s="2884">
        <f>Могилев_!P10</f>
        <v>0.9</v>
      </c>
      <c r="N22" s="2885">
        <f>Могилев_!Q10</f>
        <v>252.90599999999992</v>
      </c>
      <c r="O22" s="2886">
        <f>Могилев_!R10</f>
        <v>300.64399999999995</v>
      </c>
      <c r="P22" s="212">
        <f>Могилев_!S10</f>
        <v>28</v>
      </c>
      <c r="Q22" s="239">
        <f>Могилев_!T10</f>
        <v>735.25000000000011</v>
      </c>
      <c r="R22" s="210">
        <f>Могилев_!U10</f>
        <v>0</v>
      </c>
      <c r="S22" s="241">
        <f>Могилев_!V10</f>
        <v>0</v>
      </c>
      <c r="T22" s="212">
        <f>Могилев_!W10</f>
        <v>1290</v>
      </c>
      <c r="U22" s="239">
        <f>Могилев_!X10</f>
        <v>16290.660000000009</v>
      </c>
      <c r="V22" s="212">
        <f>Могилев_!Y10</f>
        <v>380</v>
      </c>
      <c r="W22" s="1665">
        <f>Могилев_!Z10</f>
        <v>4152.95</v>
      </c>
      <c r="X22" s="68">
        <f t="shared" si="0"/>
        <v>910</v>
      </c>
      <c r="Y22" s="267">
        <f t="shared" si="1"/>
        <v>12137.71000000001</v>
      </c>
      <c r="Z22" s="1798">
        <f t="shared" si="2"/>
        <v>0</v>
      </c>
      <c r="AA22" s="2456"/>
      <c r="AB22" s="2457"/>
      <c r="AD22" s="2476"/>
      <c r="AE22" s="2477"/>
      <c r="AF22" s="2485"/>
      <c r="AH22" s="2476"/>
      <c r="AI22" s="2476"/>
      <c r="AJ22" s="2477"/>
      <c r="AK22" s="2485"/>
    </row>
    <row r="23" spans="1:37" ht="18" customHeight="1" x14ac:dyDescent="0.35">
      <c r="A23" s="35"/>
      <c r="C23" s="208">
        <v>15</v>
      </c>
      <c r="D23" s="209" t="s">
        <v>1861</v>
      </c>
      <c r="E23" s="210" t="s">
        <v>2230</v>
      </c>
      <c r="F23" s="833">
        <f>Мстиславль_!I10</f>
        <v>594.49199999999985</v>
      </c>
      <c r="G23" s="2856">
        <f>Мстиславль_!J10</f>
        <v>579.06699999999989</v>
      </c>
      <c r="H23" s="833">
        <f>Мстиславль_!K10</f>
        <v>4.0200000000000005</v>
      </c>
      <c r="I23" s="833">
        <f>Мстиславль_!L10</f>
        <v>11.404999999999998</v>
      </c>
      <c r="J23" s="2882"/>
      <c r="K23" s="2856">
        <f>Мстиславль_!N10</f>
        <v>200.87299999999996</v>
      </c>
      <c r="L23" s="2883">
        <f>Мстиславль_!O10</f>
        <v>0</v>
      </c>
      <c r="M23" s="2884"/>
      <c r="N23" s="2885">
        <f>Мстиславль_!Q10</f>
        <v>191.608</v>
      </c>
      <c r="O23" s="2886">
        <f>Мстиславль_!R10</f>
        <v>186.5859999999999</v>
      </c>
      <c r="P23" s="211">
        <f>Мстиславль_!S10</f>
        <v>31</v>
      </c>
      <c r="Q23" s="239">
        <f>Мстиславль_!T10</f>
        <v>730.32000000000016</v>
      </c>
      <c r="R23" s="210">
        <f>Мстиславль_!U10</f>
        <v>2</v>
      </c>
      <c r="S23" s="241">
        <f>Мстиславль_!V10</f>
        <v>84.1</v>
      </c>
      <c r="T23" s="212">
        <f>Мстиславль_!W10</f>
        <v>867</v>
      </c>
      <c r="U23" s="239">
        <f>Мстиславль_!X10</f>
        <v>11967.920000000002</v>
      </c>
      <c r="V23" s="212">
        <f>Мстиславль_!Y10</f>
        <v>264</v>
      </c>
      <c r="W23" s="1665">
        <f>Мстиславль_!Z10</f>
        <v>2792.61</v>
      </c>
      <c r="X23" s="68">
        <f t="shared" si="0"/>
        <v>603</v>
      </c>
      <c r="Y23" s="267">
        <f t="shared" si="1"/>
        <v>9175.3100000000013</v>
      </c>
      <c r="Z23" s="1798">
        <f t="shared" si="2"/>
        <v>0</v>
      </c>
      <c r="AA23" s="2456"/>
      <c r="AB23" s="2457"/>
      <c r="AD23" s="2476"/>
      <c r="AE23" s="2477"/>
      <c r="AF23" s="2485"/>
      <c r="AH23" s="2476"/>
      <c r="AI23" s="2476"/>
      <c r="AJ23" s="2477"/>
      <c r="AK23" s="2485"/>
    </row>
    <row r="24" spans="1:37" ht="18" customHeight="1" x14ac:dyDescent="0.35">
      <c r="A24" s="35"/>
      <c r="C24" s="208">
        <v>16</v>
      </c>
      <c r="D24" s="209" t="s">
        <v>2243</v>
      </c>
      <c r="E24" s="210" t="s">
        <v>983</v>
      </c>
      <c r="F24" s="833">
        <f>Осиповичи_!I10</f>
        <v>534.20400000000006</v>
      </c>
      <c r="G24" s="2856">
        <f>Осиповичи_!J10</f>
        <v>530.74199999999996</v>
      </c>
      <c r="H24" s="833">
        <f>Осиповичи_!K10</f>
        <v>2.0170000000000003</v>
      </c>
      <c r="I24" s="833">
        <f>Осиповичи_!L10</f>
        <v>1.4449999999999994</v>
      </c>
      <c r="J24" s="2882">
        <f>Осиповичи_!M10</f>
        <v>2.7999999999999581E-2</v>
      </c>
      <c r="K24" s="2856">
        <f>Осиповичи_!N10</f>
        <v>207.05199999999999</v>
      </c>
      <c r="L24" s="2883"/>
      <c r="M24" s="2884">
        <f>Осиповичи_!P10</f>
        <v>0</v>
      </c>
      <c r="N24" s="2885">
        <f>Осиповичи_!Q10</f>
        <v>210.81699999999998</v>
      </c>
      <c r="O24" s="2886">
        <f>Осиповичи_!R10</f>
        <v>112.84499999999998</v>
      </c>
      <c r="P24" s="237">
        <f>Осиповичи_!S10</f>
        <v>13</v>
      </c>
      <c r="Q24" s="241">
        <f>Осиповичи_!T10</f>
        <v>533.45000000000005</v>
      </c>
      <c r="R24" s="210">
        <f>Осиповичи_!U10</f>
        <v>0</v>
      </c>
      <c r="S24" s="241">
        <f>Осиповичи_!V10</f>
        <v>0</v>
      </c>
      <c r="T24" s="212">
        <f>Осиповичи_!W10</f>
        <v>577</v>
      </c>
      <c r="U24" s="239">
        <f>Осиповичи_!X10</f>
        <v>7674.2099999999991</v>
      </c>
      <c r="V24" s="212">
        <f>Осиповичи_!Y10</f>
        <v>161</v>
      </c>
      <c r="W24" s="1665">
        <f>Осиповичи_!Z10</f>
        <v>1810.98</v>
      </c>
      <c r="X24" s="68">
        <f t="shared" si="0"/>
        <v>416</v>
      </c>
      <c r="Y24" s="267">
        <f t="shared" si="1"/>
        <v>5863.23</v>
      </c>
      <c r="Z24" s="1798">
        <f t="shared" si="2"/>
        <v>0</v>
      </c>
      <c r="AA24" s="2456"/>
      <c r="AB24" s="2457"/>
      <c r="AD24" s="2476"/>
      <c r="AE24" s="2477"/>
      <c r="AF24" s="2485"/>
      <c r="AH24" s="2476"/>
      <c r="AI24" s="2476"/>
      <c r="AJ24" s="2477"/>
      <c r="AK24" s="2485"/>
    </row>
    <row r="25" spans="1:37" ht="18" customHeight="1" x14ac:dyDescent="0.35">
      <c r="A25" s="35"/>
      <c r="C25" s="208">
        <v>17</v>
      </c>
      <c r="D25" s="209" t="s">
        <v>2244</v>
      </c>
      <c r="E25" s="210" t="s">
        <v>1168</v>
      </c>
      <c r="F25" s="833">
        <f>Славгород_!I10</f>
        <v>314.78399999999993</v>
      </c>
      <c r="G25" s="2856">
        <f>Славгород_!J10</f>
        <v>307.49999999999994</v>
      </c>
      <c r="H25" s="833"/>
      <c r="I25" s="833">
        <f>Славгород_!L10</f>
        <v>7.2840000000000034</v>
      </c>
      <c r="J25" s="2882"/>
      <c r="K25" s="2856">
        <f>Славгород_!N10</f>
        <v>126.17699999999995</v>
      </c>
      <c r="L25" s="2883">
        <f>Славгород_!O10</f>
        <v>0</v>
      </c>
      <c r="M25" s="2884"/>
      <c r="N25" s="2885">
        <f>Славгород_!Q10</f>
        <v>77.504999999999995</v>
      </c>
      <c r="O25" s="2886">
        <f>Славгород_!R10</f>
        <v>103.81799999999997</v>
      </c>
      <c r="P25" s="211">
        <f>Славгород_!S10</f>
        <v>17</v>
      </c>
      <c r="Q25" s="239">
        <f>Славгород_!T10</f>
        <v>380.34000000000003</v>
      </c>
      <c r="R25" s="210">
        <f>Славгород_!U10</f>
        <v>0</v>
      </c>
      <c r="S25" s="241">
        <f>Славгород_!V10</f>
        <v>0</v>
      </c>
      <c r="T25" s="212">
        <f>Славгород_!W10</f>
        <v>392</v>
      </c>
      <c r="U25" s="239">
        <f>Славгород_!X10</f>
        <v>5172.5399999999991</v>
      </c>
      <c r="V25" s="212">
        <f>Славгород_!Y10</f>
        <v>111</v>
      </c>
      <c r="W25" s="1665">
        <f>Славгород_!Z10</f>
        <v>1249.9400000000003</v>
      </c>
      <c r="X25" s="68">
        <f t="shared" si="0"/>
        <v>281</v>
      </c>
      <c r="Y25" s="267">
        <f t="shared" si="1"/>
        <v>3922.5999999999985</v>
      </c>
      <c r="Z25" s="1798">
        <f t="shared" si="2"/>
        <v>0</v>
      </c>
      <c r="AA25" s="2456"/>
      <c r="AB25" s="2457"/>
      <c r="AD25" s="2476"/>
      <c r="AE25" s="2477"/>
      <c r="AF25" s="2485"/>
      <c r="AH25" s="2476"/>
      <c r="AI25" s="2476"/>
      <c r="AJ25" s="2477"/>
      <c r="AK25" s="2485"/>
    </row>
    <row r="26" spans="1:37" ht="18" customHeight="1" x14ac:dyDescent="0.35">
      <c r="A26" s="35"/>
      <c r="C26" s="208">
        <v>18</v>
      </c>
      <c r="D26" s="209" t="s">
        <v>2245</v>
      </c>
      <c r="E26" s="210" t="s">
        <v>1169</v>
      </c>
      <c r="F26" s="833">
        <f>Хотимск_!I10</f>
        <v>287.29500000000002</v>
      </c>
      <c r="G26" s="2856">
        <f>Хотимск_!J10</f>
        <v>283.28899999999999</v>
      </c>
      <c r="H26" s="833">
        <f>Хотимск_!K10</f>
        <v>2.0950000000000002</v>
      </c>
      <c r="I26" s="833">
        <f>Хотимск_!L10</f>
        <v>1.911</v>
      </c>
      <c r="J26" s="2882">
        <f>Хотимск_!M10</f>
        <v>0.46799999999999997</v>
      </c>
      <c r="K26" s="2856">
        <f>Хотимск_!N10</f>
        <v>121.521</v>
      </c>
      <c r="L26" s="2883"/>
      <c r="M26" s="2884"/>
      <c r="N26" s="2885">
        <f>Хотимск_!Q10</f>
        <v>96.449999999999989</v>
      </c>
      <c r="O26" s="2886">
        <f>Хотимск_!R10</f>
        <v>64.850000000000009</v>
      </c>
      <c r="P26" s="211">
        <f>Хотимск_!S10</f>
        <v>18</v>
      </c>
      <c r="Q26" s="239">
        <f>Хотимск_!T10</f>
        <v>549.13</v>
      </c>
      <c r="R26" s="210">
        <f>Хотимск_!U10</f>
        <v>0</v>
      </c>
      <c r="S26" s="241">
        <f>Хотимск_!V10</f>
        <v>0</v>
      </c>
      <c r="T26" s="212">
        <f>Хотимск_!W10</f>
        <v>414</v>
      </c>
      <c r="U26" s="239">
        <f>Хотимск_!X10</f>
        <v>5606.1</v>
      </c>
      <c r="V26" s="212">
        <f>Хотимск_!Y10</f>
        <v>113</v>
      </c>
      <c r="W26" s="1665">
        <f>Хотимск_!Z10</f>
        <v>1197.5</v>
      </c>
      <c r="X26" s="68">
        <f t="shared" si="0"/>
        <v>301</v>
      </c>
      <c r="Y26" s="267">
        <f t="shared" si="1"/>
        <v>4408.6000000000004</v>
      </c>
      <c r="Z26" s="1798">
        <f t="shared" si="2"/>
        <v>0</v>
      </c>
      <c r="AA26" s="2456"/>
      <c r="AB26" s="2457"/>
      <c r="AD26" s="2476"/>
      <c r="AE26" s="2477"/>
      <c r="AF26" s="2485"/>
      <c r="AH26" s="2476"/>
      <c r="AI26" s="2476"/>
      <c r="AJ26" s="2477"/>
      <c r="AK26" s="2485"/>
    </row>
    <row r="27" spans="1:37" ht="18" customHeight="1" x14ac:dyDescent="0.35">
      <c r="A27" s="35"/>
      <c r="C27" s="208">
        <v>19</v>
      </c>
      <c r="D27" s="209" t="s">
        <v>263</v>
      </c>
      <c r="E27" s="210" t="s">
        <v>1170</v>
      </c>
      <c r="F27" s="833">
        <f>Чаусы_!I10</f>
        <v>567.33900000000006</v>
      </c>
      <c r="G27" s="2856">
        <f>Чаусы_!J10</f>
        <v>564.94000000000005</v>
      </c>
      <c r="H27" s="833"/>
      <c r="I27" s="833">
        <f>Чаусы_!L10</f>
        <v>2.3989999999999991</v>
      </c>
      <c r="J27" s="2882">
        <f>Чаусы_!M10</f>
        <v>54.999999999999986</v>
      </c>
      <c r="K27" s="2856">
        <f>Чаусы_!N10</f>
        <v>153.59300000000002</v>
      </c>
      <c r="L27" s="2883"/>
      <c r="M27" s="2884"/>
      <c r="N27" s="2885">
        <f>Чаусы_!Q10</f>
        <v>161.40200000000002</v>
      </c>
      <c r="O27" s="2886">
        <f>Чаусы_!R10</f>
        <v>194.94500000000002</v>
      </c>
      <c r="P27" s="212">
        <f>Чаусы_!S10</f>
        <v>22</v>
      </c>
      <c r="Q27" s="239">
        <f>Чаусы_!T10</f>
        <v>920.62000686645501</v>
      </c>
      <c r="R27" s="210">
        <f>Чаусы_!U10</f>
        <v>0</v>
      </c>
      <c r="S27" s="241">
        <f>Чаусы_!V10</f>
        <v>0</v>
      </c>
      <c r="T27" s="212">
        <f>Чаусы_!W10</f>
        <v>977</v>
      </c>
      <c r="U27" s="239">
        <f>Чаусы_!X10</f>
        <v>12679.809990081782</v>
      </c>
      <c r="V27" s="212">
        <f>Чаусы_!Y10</f>
        <v>333</v>
      </c>
      <c r="W27" s="1665">
        <f>Чаусы_!Z10</f>
        <v>3628.9000095367428</v>
      </c>
      <c r="X27" s="68">
        <f t="shared" si="0"/>
        <v>644</v>
      </c>
      <c r="Y27" s="267">
        <f t="shared" si="1"/>
        <v>9050.9099805450387</v>
      </c>
      <c r="Z27" s="1798">
        <f t="shared" si="2"/>
        <v>0</v>
      </c>
      <c r="AA27" s="2456"/>
      <c r="AB27" s="2457"/>
      <c r="AD27" s="2476"/>
      <c r="AE27" s="2477"/>
      <c r="AF27" s="2485"/>
      <c r="AH27" s="2476"/>
      <c r="AI27" s="2476"/>
      <c r="AJ27" s="2477"/>
      <c r="AK27" s="2485"/>
    </row>
    <row r="28" spans="1:37" ht="18" customHeight="1" x14ac:dyDescent="0.35">
      <c r="A28" s="35"/>
      <c r="C28" s="208">
        <v>20</v>
      </c>
      <c r="D28" s="209" t="s">
        <v>1723</v>
      </c>
      <c r="E28" s="210" t="s">
        <v>228</v>
      </c>
      <c r="F28" s="833">
        <f>Чериков_!I10</f>
        <v>350.28800000000001</v>
      </c>
      <c r="G28" s="2856">
        <f>Чериков_!J10</f>
        <v>348.74799999999999</v>
      </c>
      <c r="H28" s="833">
        <f>Чериков_!K10</f>
        <v>0</v>
      </c>
      <c r="I28" s="833">
        <f>Чериков_!L10</f>
        <v>1.5400000000000003</v>
      </c>
      <c r="J28" s="2882"/>
      <c r="K28" s="2856">
        <f>Чериков_!N10</f>
        <v>112.31700000000004</v>
      </c>
      <c r="L28" s="2883"/>
      <c r="M28" s="2884"/>
      <c r="N28" s="2885">
        <f>Чериков_!Q10</f>
        <v>77.391999999999982</v>
      </c>
      <c r="O28" s="2886">
        <f>Чериков_!R10</f>
        <v>159.03899999999999</v>
      </c>
      <c r="P28" s="211">
        <f>Чериков_!S10</f>
        <v>12</v>
      </c>
      <c r="Q28" s="239">
        <f>Чериков_!T10</f>
        <v>317.26000076293946</v>
      </c>
      <c r="R28" s="210">
        <f>Чериков_!U10</f>
        <v>1</v>
      </c>
      <c r="S28" s="241">
        <f>Чериков_!V10</f>
        <v>38</v>
      </c>
      <c r="T28" s="212">
        <f>Чериков_!W10</f>
        <v>414</v>
      </c>
      <c r="U28" s="239">
        <f>Чериков_!X10</f>
        <v>5172.5299994277957</v>
      </c>
      <c r="V28" s="212">
        <f>Чериков_!Y10</f>
        <v>131</v>
      </c>
      <c r="W28" s="1665">
        <f>Чериков_!Z10</f>
        <v>1364.3000026702882</v>
      </c>
      <c r="X28" s="68">
        <f t="shared" si="0"/>
        <v>283</v>
      </c>
      <c r="Y28" s="267">
        <f t="shared" si="1"/>
        <v>3808.2299967575073</v>
      </c>
      <c r="Z28" s="1798">
        <f t="shared" si="2"/>
        <v>0</v>
      </c>
      <c r="AA28" s="2456"/>
      <c r="AB28" s="2457"/>
      <c r="AD28" s="2476"/>
      <c r="AE28" s="2477"/>
      <c r="AF28" s="2485"/>
      <c r="AH28" s="2476"/>
      <c r="AI28" s="2476"/>
      <c r="AJ28" s="2477"/>
      <c r="AK28" s="2485"/>
    </row>
    <row r="29" spans="1:37" ht="18" customHeight="1" thickBot="1" x14ac:dyDescent="0.4">
      <c r="A29" s="35"/>
      <c r="C29" s="215">
        <v>21</v>
      </c>
      <c r="D29" s="144" t="s">
        <v>2189</v>
      </c>
      <c r="E29" s="141" t="s">
        <v>229</v>
      </c>
      <c r="F29" s="835">
        <f>Шклов_!I10</f>
        <v>638.02</v>
      </c>
      <c r="G29" s="2858">
        <f>Шклов_!J10</f>
        <v>624.399</v>
      </c>
      <c r="H29" s="835"/>
      <c r="I29" s="835">
        <f>Шклов_!L10</f>
        <v>13.621</v>
      </c>
      <c r="J29" s="2892">
        <f>Шклов_!M10</f>
        <v>1.2</v>
      </c>
      <c r="K29" s="2858">
        <f>Шклов_!N10</f>
        <v>201.25299999999993</v>
      </c>
      <c r="L29" s="2893">
        <f>Шклов_!O10</f>
        <v>0</v>
      </c>
      <c r="M29" s="2894"/>
      <c r="N29" s="2895">
        <f>Шклов_!Q10</f>
        <v>211.98600000000002</v>
      </c>
      <c r="O29" s="2896">
        <f>Шклов_!R10</f>
        <v>209.96</v>
      </c>
      <c r="P29" s="2398">
        <f>Шклов_!S10</f>
        <v>20</v>
      </c>
      <c r="Q29" s="242">
        <f>Шклов_!T10</f>
        <v>385.16240295639034</v>
      </c>
      <c r="R29" s="141">
        <f>Шклов_!U10</f>
        <v>0</v>
      </c>
      <c r="S29" s="240">
        <f>Шклов_!V10</f>
        <v>0</v>
      </c>
      <c r="T29" s="216">
        <f>Шклов_!W10</f>
        <v>778</v>
      </c>
      <c r="U29" s="240">
        <f>Шклов_!X10</f>
        <v>10003.759999999998</v>
      </c>
      <c r="V29" s="216">
        <f>Шклов_!Y10</f>
        <v>206</v>
      </c>
      <c r="W29" s="1666">
        <f>Шклов_!Z10</f>
        <v>2222.92</v>
      </c>
      <c r="X29" s="68">
        <f t="shared" si="0"/>
        <v>572</v>
      </c>
      <c r="Y29" s="267">
        <f t="shared" si="1"/>
        <v>7780.8399999999983</v>
      </c>
      <c r="Z29" s="1798">
        <f t="shared" si="2"/>
        <v>0</v>
      </c>
      <c r="AA29" s="2456"/>
      <c r="AB29" s="2457"/>
      <c r="AD29" s="2476"/>
      <c r="AE29" s="2477"/>
      <c r="AF29" s="2485"/>
      <c r="AH29" s="2476"/>
      <c r="AI29" s="2476"/>
      <c r="AJ29" s="2477"/>
      <c r="AK29" s="2485"/>
    </row>
    <row r="30" spans="1:37" x14ac:dyDescent="0.35">
      <c r="C30" s="3036" t="s">
        <v>1916</v>
      </c>
      <c r="D30" s="3032"/>
      <c r="E30" s="3024"/>
      <c r="F30" s="3022">
        <f t="shared" ref="F30:Q30" si="3">SUM(F9:F29)</f>
        <v>10572.446000000002</v>
      </c>
      <c r="G30" s="3022">
        <f t="shared" si="3"/>
        <v>10448.548999999999</v>
      </c>
      <c r="H30" s="3022">
        <f t="shared" si="3"/>
        <v>27.357999999999997</v>
      </c>
      <c r="I30" s="3022">
        <f t="shared" si="3"/>
        <v>96.538999999999987</v>
      </c>
      <c r="J30" s="3055">
        <f t="shared" si="3"/>
        <v>149.36199999999997</v>
      </c>
      <c r="K30" s="3022">
        <f t="shared" si="3"/>
        <v>4005.125</v>
      </c>
      <c r="L30" s="3016">
        <f t="shared" si="3"/>
        <v>50.064000000000007</v>
      </c>
      <c r="M30" s="3014">
        <f t="shared" si="3"/>
        <v>2.5100000000000002</v>
      </c>
      <c r="N30" s="3057">
        <f>SUM(N9:N29)</f>
        <v>3278.2389999999996</v>
      </c>
      <c r="O30" s="3063">
        <f>SUM(O9:O29)</f>
        <v>2963.2489999999998</v>
      </c>
      <c r="P30" s="3024">
        <f t="shared" si="3"/>
        <v>413</v>
      </c>
      <c r="Q30" s="3004">
        <f t="shared" si="3"/>
        <v>11227.212412493132</v>
      </c>
      <c r="R30" s="3045">
        <f t="shared" ref="R30:W30" si="4">SUM(R9:R29)</f>
        <v>10</v>
      </c>
      <c r="S30" s="3004">
        <f t="shared" si="4"/>
        <v>240.89999999999998</v>
      </c>
      <c r="T30" s="3024">
        <f t="shared" si="4"/>
        <v>14317</v>
      </c>
      <c r="U30" s="3004">
        <f>SUM(U9:U29)</f>
        <v>186365.9999752045</v>
      </c>
      <c r="V30" s="3024">
        <f t="shared" si="4"/>
        <v>4044</v>
      </c>
      <c r="W30" s="3061">
        <f t="shared" si="4"/>
        <v>44312.29001983643</v>
      </c>
      <c r="X30" s="3051">
        <f>SUM(X9:X29)</f>
        <v>10273</v>
      </c>
      <c r="Y30" s="3053">
        <f>SUM(Y9:Y29)</f>
        <v>142053.70995536802</v>
      </c>
      <c r="AA30" s="3012"/>
      <c r="AB30" s="3059"/>
      <c r="AD30" s="3018"/>
      <c r="AE30" s="3020"/>
      <c r="AF30" s="2990"/>
      <c r="AH30" s="3018"/>
      <c r="AI30" s="3018"/>
      <c r="AJ30" s="3020"/>
      <c r="AK30" s="2990"/>
    </row>
    <row r="31" spans="1:37" ht="16" thickBot="1" x14ac:dyDescent="0.4">
      <c r="C31" s="3037"/>
      <c r="D31" s="3038"/>
      <c r="E31" s="3025"/>
      <c r="F31" s="3023"/>
      <c r="G31" s="3023"/>
      <c r="H31" s="3023"/>
      <c r="I31" s="3023"/>
      <c r="J31" s="3056"/>
      <c r="K31" s="3023"/>
      <c r="L31" s="3017"/>
      <c r="M31" s="3015"/>
      <c r="N31" s="3058"/>
      <c r="O31" s="3064"/>
      <c r="P31" s="3025"/>
      <c r="Q31" s="3005"/>
      <c r="R31" s="3046"/>
      <c r="S31" s="3005"/>
      <c r="T31" s="3025"/>
      <c r="U31" s="3005"/>
      <c r="V31" s="3025"/>
      <c r="W31" s="3062"/>
      <c r="X31" s="3052"/>
      <c r="Y31" s="3054"/>
      <c r="AA31" s="3013"/>
      <c r="AB31" s="3060"/>
      <c r="AD31" s="3019"/>
      <c r="AE31" s="3021"/>
      <c r="AF31" s="2991"/>
      <c r="AH31" s="3019"/>
      <c r="AI31" s="3019"/>
      <c r="AJ31" s="3021"/>
      <c r="AK31" s="2991"/>
    </row>
    <row r="32" spans="1:37" x14ac:dyDescent="0.35">
      <c r="C32" s="195"/>
      <c r="D32" s="195"/>
      <c r="E32" s="195"/>
      <c r="F32" s="223"/>
      <c r="G32" s="2571"/>
      <c r="H32" s="223"/>
      <c r="I32" s="223"/>
      <c r="J32" s="223"/>
      <c r="K32" s="223"/>
      <c r="L32" s="223"/>
      <c r="M32" s="223"/>
      <c r="N32" s="195"/>
      <c r="O32" s="195"/>
      <c r="P32" s="195"/>
      <c r="Q32" s="224"/>
      <c r="R32" s="225"/>
      <c r="S32" s="225"/>
      <c r="T32" s="195"/>
      <c r="U32" s="224"/>
      <c r="V32" s="195"/>
      <c r="W32" s="224"/>
    </row>
    <row r="33" spans="4:27" x14ac:dyDescent="0.35">
      <c r="F33" s="35"/>
      <c r="G33" s="2572"/>
      <c r="H33" s="1798"/>
      <c r="J33" s="35"/>
      <c r="K33" s="35"/>
      <c r="L33" s="35"/>
      <c r="O33" s="35"/>
      <c r="Q33" s="267"/>
      <c r="U33" s="267"/>
    </row>
    <row r="34" spans="4:27" ht="18" x14ac:dyDescent="0.4">
      <c r="D34" s="218" t="s">
        <v>11153</v>
      </c>
      <c r="E34" s="218"/>
      <c r="F34" s="218"/>
      <c r="G34" s="266"/>
      <c r="H34" s="219"/>
      <c r="I34" s="219"/>
      <c r="J34" s="267"/>
      <c r="K34" s="267"/>
      <c r="L34" s="267"/>
      <c r="M34" s="267"/>
      <c r="N34" s="266"/>
      <c r="O34" s="220"/>
      <c r="P34" s="219"/>
      <c r="Q34" s="219"/>
      <c r="R34" s="219"/>
      <c r="S34" s="219"/>
      <c r="T34" s="219"/>
      <c r="U34" s="219"/>
      <c r="V34" s="219"/>
      <c r="AA34" s="2703"/>
    </row>
    <row r="35" spans="4:27" ht="18" x14ac:dyDescent="0.4">
      <c r="D35" s="218" t="s">
        <v>647</v>
      </c>
      <c r="E35" s="218"/>
      <c r="F35" s="218"/>
      <c r="G35" s="219"/>
      <c r="H35" s="219"/>
      <c r="I35" s="219"/>
      <c r="J35" s="219"/>
      <c r="K35" s="219"/>
      <c r="L35" s="219"/>
      <c r="M35" s="219"/>
      <c r="N35" s="219"/>
      <c r="O35" s="220" t="s">
        <v>11117</v>
      </c>
      <c r="P35" s="219"/>
      <c r="Q35" s="219"/>
      <c r="R35" s="219"/>
      <c r="S35" s="219"/>
      <c r="T35" s="219"/>
      <c r="U35" s="219"/>
      <c r="V35" s="220"/>
      <c r="W35" s="217"/>
    </row>
    <row r="36" spans="4:27" ht="18" x14ac:dyDescent="0.4">
      <c r="D36" s="218"/>
      <c r="E36" s="218"/>
      <c r="F36" s="218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20"/>
      <c r="W36" s="217"/>
    </row>
    <row r="38" spans="4:27" x14ac:dyDescent="0.35">
      <c r="D38" s="836" t="s">
        <v>10739</v>
      </c>
    </row>
  </sheetData>
  <mergeCells count="49">
    <mergeCell ref="AH30:AH31"/>
    <mergeCell ref="AJ30:AJ31"/>
    <mergeCell ref="AK30:AK31"/>
    <mergeCell ref="AI30:AI31"/>
    <mergeCell ref="AB30:AB31"/>
    <mergeCell ref="H30:H31"/>
    <mergeCell ref="E30:E31"/>
    <mergeCell ref="F30:F31"/>
    <mergeCell ref="X6:Y7"/>
    <mergeCell ref="X30:X31"/>
    <mergeCell ref="Y30:Y31"/>
    <mergeCell ref="J30:J31"/>
    <mergeCell ref="K30:K31"/>
    <mergeCell ref="P30:P31"/>
    <mergeCell ref="N30:N31"/>
    <mergeCell ref="S30:S31"/>
    <mergeCell ref="W30:W31"/>
    <mergeCell ref="Q30:Q31"/>
    <mergeCell ref="O30:O31"/>
    <mergeCell ref="G30:G31"/>
    <mergeCell ref="T30:T31"/>
    <mergeCell ref="C1:W1"/>
    <mergeCell ref="F4:I5"/>
    <mergeCell ref="J4:O5"/>
    <mergeCell ref="C30:D31"/>
    <mergeCell ref="J6:J7"/>
    <mergeCell ref="K6:K7"/>
    <mergeCell ref="V30:V31"/>
    <mergeCell ref="O6:O7"/>
    <mergeCell ref="R30:R31"/>
    <mergeCell ref="T4:W5"/>
    <mergeCell ref="P6:Q7"/>
    <mergeCell ref="R6:S7"/>
    <mergeCell ref="P4:S5"/>
    <mergeCell ref="I30:I31"/>
    <mergeCell ref="AF30:AF31"/>
    <mergeCell ref="V6:W7"/>
    <mergeCell ref="L6:L7"/>
    <mergeCell ref="M6:M7"/>
    <mergeCell ref="T6:U7"/>
    <mergeCell ref="N6:N7"/>
    <mergeCell ref="U30:U31"/>
    <mergeCell ref="AA4:AA8"/>
    <mergeCell ref="AB4:AB8"/>
    <mergeCell ref="AA30:AA31"/>
    <mergeCell ref="M30:M31"/>
    <mergeCell ref="L30:L31"/>
    <mergeCell ref="AD30:AD31"/>
    <mergeCell ref="AE30:AE31"/>
  </mergeCells>
  <phoneticPr fontId="0" type="noConversion"/>
  <printOptions horizontalCentered="1"/>
  <pageMargins left="0.11811023622047245" right="0.19685039370078741" top="0.78740157480314965" bottom="0" header="0.78740157480314965" footer="0.51181102362204722"/>
  <pageSetup paperSize="9" scale="69" fitToHeight="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AM457"/>
  <sheetViews>
    <sheetView zoomScale="90" zoomScaleNormal="90" workbookViewId="0">
      <pane xSplit="5" ySplit="10" topLeftCell="F11" activePane="bottomRight" state="frozen"/>
      <selection activeCell="A30" sqref="A30"/>
      <selection pane="topRight" activeCell="A30" sqref="A30"/>
      <selection pane="bottomLeft" activeCell="A30" sqref="A30"/>
      <selection pane="bottomRight" activeCell="H5" sqref="H5:H8"/>
    </sheetView>
  </sheetViews>
  <sheetFormatPr defaultColWidth="8.75" defaultRowHeight="15.5" x14ac:dyDescent="0.35"/>
  <cols>
    <col min="1" max="1" width="4.33203125" style="3" customWidth="1"/>
    <col min="2" max="3" width="7.25" style="3" hidden="1" customWidth="1"/>
    <col min="4" max="4" width="7.25" style="3" customWidth="1"/>
    <col min="5" max="5" width="43.4140625" style="3" customWidth="1"/>
    <col min="6" max="6" width="6.75" style="3" customWidth="1"/>
    <col min="7" max="8" width="7.25" style="3" customWidth="1"/>
    <col min="9" max="18" width="6.75" style="3" customWidth="1"/>
    <col min="19" max="19" width="4.33203125" style="3" customWidth="1"/>
    <col min="20" max="20" width="7.25" style="3" customWidth="1"/>
    <col min="21" max="21" width="4.33203125" style="3" customWidth="1"/>
    <col min="22" max="22" width="6" style="3" customWidth="1"/>
    <col min="23" max="23" width="4.6640625" style="3" customWidth="1"/>
    <col min="24" max="24" width="7.9140625" style="3" customWidth="1"/>
    <col min="25" max="25" width="4.4140625" style="3" customWidth="1"/>
    <col min="26" max="26" width="7.9140625" style="3" customWidth="1"/>
    <col min="27" max="36" width="8.75" style="3"/>
    <col min="37" max="37" width="21.58203125" style="3" customWidth="1"/>
    <col min="38" max="16384" width="8.75" style="3"/>
  </cols>
  <sheetData>
    <row r="1" spans="1:39" s="73" customFormat="1" ht="15.75" customHeight="1" x14ac:dyDescent="0.4">
      <c r="A1" s="3119"/>
      <c r="B1" s="3119"/>
      <c r="C1" s="3119"/>
      <c r="D1" s="3119"/>
      <c r="E1" s="3119"/>
      <c r="F1" s="3119"/>
      <c r="G1" s="3119"/>
      <c r="H1" s="3119"/>
      <c r="I1" s="3119"/>
      <c r="J1" s="3119"/>
      <c r="K1" s="3119"/>
      <c r="L1" s="3119"/>
      <c r="M1" s="3119"/>
      <c r="N1" s="3119"/>
      <c r="O1" s="3119"/>
      <c r="P1" s="3119"/>
      <c r="Q1" s="3119"/>
      <c r="R1" s="3119"/>
      <c r="S1" s="3119"/>
      <c r="T1" s="3119"/>
      <c r="U1" s="3119"/>
      <c r="V1" s="3119"/>
      <c r="W1" s="3119"/>
      <c r="X1" s="3119"/>
      <c r="Y1" s="3119"/>
      <c r="Z1" s="3119"/>
    </row>
    <row r="2" spans="1:39" s="73" customFormat="1" ht="23.25" customHeight="1" x14ac:dyDescent="0.4">
      <c r="A2" s="3120" t="s">
        <v>10624</v>
      </c>
      <c r="B2" s="3120"/>
      <c r="C2" s="3120"/>
      <c r="D2" s="3120"/>
      <c r="E2" s="3120"/>
      <c r="F2" s="3120"/>
      <c r="G2" s="3120"/>
      <c r="H2" s="3120"/>
      <c r="I2" s="3120"/>
      <c r="J2" s="3120"/>
      <c r="K2" s="3120"/>
      <c r="L2" s="3120"/>
      <c r="M2" s="3120"/>
      <c r="N2" s="3120"/>
      <c r="O2" s="3120"/>
      <c r="P2" s="3120"/>
      <c r="Q2" s="3120"/>
      <c r="R2" s="3120"/>
      <c r="S2" s="3120"/>
      <c r="T2" s="3120"/>
      <c r="U2" s="3120"/>
      <c r="V2" s="3120"/>
      <c r="W2" s="3120"/>
      <c r="X2" s="3120"/>
      <c r="Y2" s="3120"/>
      <c r="Z2" s="3120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s="73" customFormat="1" ht="16" thickBot="1" x14ac:dyDescent="0.4">
      <c r="D4" s="74"/>
      <c r="J4" s="2003"/>
      <c r="K4" s="2003"/>
      <c r="L4" s="2003"/>
      <c r="M4" s="2003"/>
      <c r="N4" s="2003"/>
      <c r="O4" s="2003"/>
      <c r="P4" s="2003"/>
      <c r="Q4" s="2003"/>
      <c r="R4" s="2003"/>
      <c r="W4" s="2059"/>
      <c r="X4" s="2060"/>
      <c r="Y4" s="2059"/>
    </row>
    <row r="5" spans="1:39" ht="16.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1.5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  <c r="AB9" s="1268"/>
      <c r="AC9" s="1208"/>
    </row>
    <row r="10" spans="1:39" ht="16" thickBot="1" x14ac:dyDescent="0.4">
      <c r="A10" s="784"/>
      <c r="B10" s="451"/>
      <c r="C10" s="451"/>
      <c r="D10" s="451"/>
      <c r="E10" s="1207" t="s">
        <v>2392</v>
      </c>
      <c r="F10" s="1207"/>
      <c r="G10" s="1207"/>
      <c r="H10" s="1207"/>
      <c r="I10" s="803">
        <f>J10+K10+L10</f>
        <v>526.13900000000001</v>
      </c>
      <c r="J10" s="803">
        <f>M10+N10+O10+P10+Q10+R10</f>
        <v>522.298</v>
      </c>
      <c r="K10" s="803">
        <f t="shared" ref="K10:R10" si="0">K11+K12+K13+K14</f>
        <v>1.9019999999999999</v>
      </c>
      <c r="L10" s="803">
        <f t="shared" si="0"/>
        <v>1.9389999999999963</v>
      </c>
      <c r="M10" s="803">
        <f t="shared" si="0"/>
        <v>0</v>
      </c>
      <c r="N10" s="803">
        <f t="shared" si="0"/>
        <v>155.892</v>
      </c>
      <c r="O10" s="613">
        <f t="shared" si="0"/>
        <v>4.8380000000000001</v>
      </c>
      <c r="P10" s="1367">
        <f t="shared" si="0"/>
        <v>0.34</v>
      </c>
      <c r="Q10" s="930">
        <f t="shared" si="0"/>
        <v>226.65099999999995</v>
      </c>
      <c r="R10" s="923">
        <f t="shared" si="0"/>
        <v>134.57700000000003</v>
      </c>
      <c r="S10" s="1268">
        <f>SUM(S30:S953)</f>
        <v>28</v>
      </c>
      <c r="T10" s="1208">
        <f t="shared" ref="T10:Z10" si="1">SUM(T30:T953)</f>
        <v>738.98</v>
      </c>
      <c r="U10" s="1268">
        <f t="shared" si="1"/>
        <v>3</v>
      </c>
      <c r="V10" s="1208">
        <f t="shared" si="1"/>
        <v>74.8</v>
      </c>
      <c r="W10" s="1268">
        <f t="shared" si="1"/>
        <v>627</v>
      </c>
      <c r="X10" s="1208">
        <f t="shared" si="1"/>
        <v>8452.34</v>
      </c>
      <c r="Y10" s="1268">
        <f t="shared" si="1"/>
        <v>149</v>
      </c>
      <c r="Z10" s="1595">
        <f t="shared" si="1"/>
        <v>1743.9000000000003</v>
      </c>
      <c r="AB10" s="1268">
        <f>SUM(AB30:AB956)</f>
        <v>151</v>
      </c>
      <c r="AK10" s="2150" t="s">
        <v>11226</v>
      </c>
      <c r="AL10" s="43"/>
      <c r="AM10" s="2812" t="s">
        <v>11227</v>
      </c>
    </row>
    <row r="11" spans="1:39" x14ac:dyDescent="0.35">
      <c r="A11" s="187"/>
      <c r="B11" s="1033"/>
      <c r="C11" s="1033"/>
      <c r="D11" s="184"/>
      <c r="E11" s="1264" t="s">
        <v>909</v>
      </c>
      <c r="F11" s="1245">
        <v>3</v>
      </c>
      <c r="G11" s="1245"/>
      <c r="H11" s="1245"/>
      <c r="I11" s="1246"/>
      <c r="J11" s="1246"/>
      <c r="K11" s="1246"/>
      <c r="L11" s="1246"/>
      <c r="M11" s="1246"/>
      <c r="N11" s="1246"/>
      <c r="O11" s="1247"/>
      <c r="P11" s="1316"/>
      <c r="Q11" s="1248"/>
      <c r="R11" s="1255"/>
      <c r="S11" s="1749"/>
      <c r="T11" s="1750"/>
      <c r="U11" s="1751"/>
      <c r="V11" s="1751"/>
      <c r="W11" s="188"/>
      <c r="X11" s="261"/>
      <c r="Y11" s="188"/>
      <c r="Z11" s="409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5.4349999999999996</v>
      </c>
      <c r="AM11" s="2814">
        <f>AL11-J18</f>
        <v>0</v>
      </c>
    </row>
    <row r="12" spans="1:39" x14ac:dyDescent="0.35">
      <c r="A12" s="273"/>
      <c r="B12" s="1034"/>
      <c r="C12" s="1034"/>
      <c r="D12" s="98"/>
      <c r="E12" s="640"/>
      <c r="F12" s="1249">
        <v>4</v>
      </c>
      <c r="G12" s="1249"/>
      <c r="H12" s="1249"/>
      <c r="I12" s="1250">
        <f t="shared" ref="I12:I20" si="2">J12+K12+L12</f>
        <v>276.08899999999994</v>
      </c>
      <c r="J12" s="1250">
        <f t="shared" ref="J12:J20" si="3">R12+Q12+P12+O12+N12+M12</f>
        <v>273.64</v>
      </c>
      <c r="K12" s="1250">
        <f>SUMIF(F30:F904,4,K30:K904)</f>
        <v>1.9019999999999999</v>
      </c>
      <c r="L12" s="1250">
        <f>SUMIF(F30:F904,4,L30:L904)</f>
        <v>0.5469999999999966</v>
      </c>
      <c r="M12" s="1250">
        <f>SUMIF(F30:F904,4,M30:M904)</f>
        <v>0</v>
      </c>
      <c r="N12" s="1250">
        <f>SUMIF(F30:F904,4,N30:N904)</f>
        <v>138.029</v>
      </c>
      <c r="O12" s="1251">
        <f>SUMIF(F30:F904,4,O30:O904)</f>
        <v>0</v>
      </c>
      <c r="P12" s="1317">
        <f>SUMIF(F30:F904,4,P30:P904)</f>
        <v>0.34</v>
      </c>
      <c r="Q12" s="1252">
        <f>SUMIF(F30:F904,4,Q30:Q904)</f>
        <v>135.27099999999996</v>
      </c>
      <c r="R12" s="1256">
        <f>SUMIF(F30:F904,4,R30:R904)</f>
        <v>0</v>
      </c>
      <c r="S12" s="1752"/>
      <c r="T12" s="1753"/>
      <c r="U12" s="1754"/>
      <c r="V12" s="1754"/>
      <c r="W12" s="228"/>
      <c r="X12" s="275"/>
      <c r="Y12" s="228"/>
      <c r="Z12" s="412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273"/>
      <c r="B13" s="1034"/>
      <c r="C13" s="1034"/>
      <c r="D13" s="98"/>
      <c r="E13" s="640"/>
      <c r="F13" s="1249">
        <v>5</v>
      </c>
      <c r="G13" s="1249"/>
      <c r="H13" s="1249"/>
      <c r="I13" s="1250">
        <f t="shared" si="2"/>
        <v>108.43299999999999</v>
      </c>
      <c r="J13" s="1250">
        <f t="shared" si="3"/>
        <v>107.05699999999999</v>
      </c>
      <c r="K13" s="1250">
        <f>SUMIF(F30:F904,5,K30:K904)</f>
        <v>0</v>
      </c>
      <c r="L13" s="1250">
        <f>SUMIF(F30:F904,5,L30:L904)</f>
        <v>1.3759999999999997</v>
      </c>
      <c r="M13" s="1250">
        <f>SUMIF(F30:F904,5,M30:M904)</f>
        <v>0</v>
      </c>
      <c r="N13" s="1250">
        <f>SUMIF(F30:F904,5,N30:N904)</f>
        <v>15.040999999999997</v>
      </c>
      <c r="O13" s="1251">
        <f>SUMIF(F30:F904,5,O30:O904)</f>
        <v>4.8380000000000001</v>
      </c>
      <c r="P13" s="1317">
        <f>SUMIF(F30:F904,5,P30:P904)</f>
        <v>0</v>
      </c>
      <c r="Q13" s="1252">
        <f>SUMIF(F30:F904,5,Q30:Q904)</f>
        <v>83.462999999999994</v>
      </c>
      <c r="R13" s="1256">
        <f>SUMIF(F30:F904,5,R30:R904)</f>
        <v>3.7149999999999999</v>
      </c>
      <c r="S13" s="1752"/>
      <c r="T13" s="1753"/>
      <c r="U13" s="1754"/>
      <c r="V13" s="1754"/>
      <c r="W13" s="228"/>
      <c r="X13" s="275"/>
      <c r="Y13" s="228"/>
      <c r="Z13" s="412"/>
      <c r="AD13" s="2777" t="s">
        <v>11126</v>
      </c>
      <c r="AE13" s="2776"/>
      <c r="AF13" s="2778">
        <v>79</v>
      </c>
      <c r="AG13" s="2783">
        <f>M12+N12+O12</f>
        <v>138.029</v>
      </c>
      <c r="AH13" s="2783">
        <f>M13+N13+O13</f>
        <v>19.878999999999998</v>
      </c>
      <c r="AI13" s="2784">
        <f>M14+N14+O14</f>
        <v>2.8220000000000001</v>
      </c>
      <c r="AK13" s="2818" t="s">
        <v>7184</v>
      </c>
      <c r="AL13" s="2819">
        <f>AL14+AL15+AL16+AL17+AL18</f>
        <v>5.4349999999999996</v>
      </c>
      <c r="AM13" s="2820">
        <f>AL13-AF29</f>
        <v>0</v>
      </c>
    </row>
    <row r="14" spans="1:39" x14ac:dyDescent="0.35">
      <c r="A14" s="273"/>
      <c r="B14" s="1034"/>
      <c r="C14" s="1034"/>
      <c r="D14" s="98"/>
      <c r="E14" s="640"/>
      <c r="F14" s="1249" t="s">
        <v>448</v>
      </c>
      <c r="G14" s="1249"/>
      <c r="H14" s="1249"/>
      <c r="I14" s="1250">
        <f>J14+K14+L14</f>
        <v>141.61700000000002</v>
      </c>
      <c r="J14" s="1250">
        <f>R14+Q14+P14+O14+N14+M14</f>
        <v>141.60100000000003</v>
      </c>
      <c r="K14" s="1250">
        <f>K15+K16+K17</f>
        <v>0</v>
      </c>
      <c r="L14" s="1250">
        <f>L15+L16+L17</f>
        <v>1.6E-2</v>
      </c>
      <c r="M14" s="1250">
        <f t="shared" ref="M14:R14" si="4">M15+M16+M17</f>
        <v>0</v>
      </c>
      <c r="N14" s="1250">
        <f t="shared" si="4"/>
        <v>2.8220000000000001</v>
      </c>
      <c r="O14" s="1251">
        <f t="shared" si="4"/>
        <v>0</v>
      </c>
      <c r="P14" s="1317">
        <f t="shared" si="4"/>
        <v>0</v>
      </c>
      <c r="Q14" s="1252">
        <f t="shared" si="4"/>
        <v>7.9170000000000016</v>
      </c>
      <c r="R14" s="1256">
        <f t="shared" si="4"/>
        <v>130.86200000000002</v>
      </c>
      <c r="S14" s="1752"/>
      <c r="T14" s="1753"/>
      <c r="U14" s="1754"/>
      <c r="V14" s="1754"/>
      <c r="W14" s="228"/>
      <c r="X14" s="275"/>
      <c r="Y14" s="228"/>
      <c r="Z14" s="412"/>
      <c r="AD14" s="2777" t="s">
        <v>11127</v>
      </c>
      <c r="AE14" s="2776"/>
      <c r="AF14" s="2778">
        <v>80</v>
      </c>
      <c r="AG14" s="2785">
        <f>P12+Q12</f>
        <v>135.61099999999996</v>
      </c>
      <c r="AH14" s="2785">
        <f>P13+Q13</f>
        <v>83.462999999999994</v>
      </c>
      <c r="AI14" s="2786">
        <f>P14+Q14</f>
        <v>7.9170000000000016</v>
      </c>
      <c r="AK14" s="2815" t="s">
        <v>11230</v>
      </c>
      <c r="AL14" s="2579">
        <f>SUMIFS(M30:M952,F30:F952,4,G30:G952,3)</f>
        <v>0</v>
      </c>
      <c r="AM14" s="2817"/>
    </row>
    <row r="15" spans="1:39" x14ac:dyDescent="0.35">
      <c r="A15" s="273"/>
      <c r="B15" s="1034"/>
      <c r="C15" s="1034"/>
      <c r="D15" s="98"/>
      <c r="E15" s="640"/>
      <c r="F15" s="1253" t="s">
        <v>827</v>
      </c>
      <c r="G15" s="1249"/>
      <c r="H15" s="1249"/>
      <c r="I15" s="1318">
        <f>J15+K15+L15</f>
        <v>58.745000000000012</v>
      </c>
      <c r="J15" s="1318">
        <f>R15+Q15+P15+O15+N15+M15</f>
        <v>58.745000000000012</v>
      </c>
      <c r="K15" s="1318">
        <f>SUMIF(F30:F944,"=6а",K30:K944)</f>
        <v>0</v>
      </c>
      <c r="L15" s="1318">
        <f>SUMIF(F30:F944,"=6а",L30:L944)</f>
        <v>0</v>
      </c>
      <c r="M15" s="1318">
        <f>SUMIF(F30:F944,"=6а",M30:M944)</f>
        <v>0</v>
      </c>
      <c r="N15" s="1318">
        <f>SUMIF(F30:F944,"=6а",N30:N944)</f>
        <v>0.96199999999999997</v>
      </c>
      <c r="O15" s="1319">
        <f>SUMIF(F30:F944,"=6а",O30:O944)</f>
        <v>0</v>
      </c>
      <c r="P15" s="1320">
        <f>SUMIF(F30:F944,"=6а",P30:P944)</f>
        <v>0</v>
      </c>
      <c r="Q15" s="1321">
        <f>SUMIF(F30:F944,"=6а",Q30:Q944)</f>
        <v>4.3930000000000007</v>
      </c>
      <c r="R15" s="1322">
        <f>SUMIF(F30:F944,"=6а",R30:R944)</f>
        <v>53.390000000000008</v>
      </c>
      <c r="S15" s="1752"/>
      <c r="T15" s="1753"/>
      <c r="U15" s="1754"/>
      <c r="V15" s="1754"/>
      <c r="W15" s="228"/>
      <c r="X15" s="275"/>
      <c r="Y15" s="228"/>
      <c r="Z15" s="412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3.7149999999999999</v>
      </c>
      <c r="AI15" s="2788">
        <f>R14</f>
        <v>130.86200000000002</v>
      </c>
      <c r="AK15" s="2815" t="s">
        <v>11231</v>
      </c>
      <c r="AL15" s="2579">
        <f>SUMIFS(N30:N952,F30:F952,4,G30:G952,3)</f>
        <v>5.4349999999999996</v>
      </c>
      <c r="AM15" s="2817"/>
    </row>
    <row r="16" spans="1:39" x14ac:dyDescent="0.35">
      <c r="A16" s="273"/>
      <c r="B16" s="1034"/>
      <c r="C16" s="1034"/>
      <c r="D16" s="98"/>
      <c r="E16" s="1265"/>
      <c r="F16" s="1254" t="s">
        <v>1490</v>
      </c>
      <c r="G16" s="1249"/>
      <c r="H16" s="1249"/>
      <c r="I16" s="1318">
        <f>J16+K16+L16</f>
        <v>41.844000000000001</v>
      </c>
      <c r="J16" s="1318">
        <f>R16+Q16+P16+O16+N16+M16</f>
        <v>41.828000000000003</v>
      </c>
      <c r="K16" s="1318">
        <f>SUMIF(F30:F945,"=6б",K30:K945)</f>
        <v>0</v>
      </c>
      <c r="L16" s="1318">
        <f>SUMIF(F30:F945,"=6б",L30:L945)</f>
        <v>1.6E-2</v>
      </c>
      <c r="M16" s="1318">
        <f>SUMIF(F30:F945,"=6б",M30:M945)</f>
        <v>0</v>
      </c>
      <c r="N16" s="1318">
        <f>SUMIF(F30:F945,"=6б",N30:N945)</f>
        <v>1.1600000000000001</v>
      </c>
      <c r="O16" s="1319">
        <f>SUMIF(F30:F945,"=6б",O30:O945)</f>
        <v>0</v>
      </c>
      <c r="P16" s="1320">
        <f>SUMIF(F30:F945,"=6б",P30:P945)</f>
        <v>0</v>
      </c>
      <c r="Q16" s="1321">
        <f>SUMIF(F30:F945,"=6б",Q30:Q945)</f>
        <v>3.2740000000000005</v>
      </c>
      <c r="R16" s="1322">
        <f>SUMIF(F30:F945,"=6б",R30:R945)</f>
        <v>37.394000000000005</v>
      </c>
      <c r="S16" s="1752"/>
      <c r="T16" s="1753"/>
      <c r="U16" s="1754"/>
      <c r="V16" s="1754"/>
      <c r="W16" s="228"/>
      <c r="X16" s="275"/>
      <c r="Y16" s="228"/>
      <c r="Z16" s="412"/>
      <c r="AK16" s="2815" t="s">
        <v>11232</v>
      </c>
      <c r="AL16" s="2579">
        <f>SUMIFS(O30:O952,F30:F952,4,G30:G952,3)</f>
        <v>0</v>
      </c>
      <c r="AM16" s="2817"/>
    </row>
    <row r="17" spans="1:39" x14ac:dyDescent="0.35">
      <c r="A17" s="273"/>
      <c r="B17" s="1034"/>
      <c r="C17" s="1034"/>
      <c r="D17" s="98"/>
      <c r="E17" s="1265"/>
      <c r="F17" s="2271" t="s">
        <v>449</v>
      </c>
      <c r="G17" s="1249"/>
      <c r="H17" s="1249"/>
      <c r="I17" s="2272">
        <f>J17+K17+L17</f>
        <v>41.028000000000013</v>
      </c>
      <c r="J17" s="2272">
        <f>R17+Q17+P17+O17+N17+M17</f>
        <v>41.028000000000013</v>
      </c>
      <c r="K17" s="2272">
        <f>SUMIF(F30:F946,"=б/к",K30:K946)</f>
        <v>0</v>
      </c>
      <c r="L17" s="2272">
        <f>SUMIF(F30:F946,"=б/к",L30:L946)</f>
        <v>0</v>
      </c>
      <c r="M17" s="2272">
        <f>SUMIF(F30:F946,"=б/к",M30:M946)</f>
        <v>0</v>
      </c>
      <c r="N17" s="2272">
        <f>SUMIF(F30:F946,"=б/к",N30:N946)</f>
        <v>0.7</v>
      </c>
      <c r="O17" s="2272">
        <f>SUMIF(F30:F946,"=б/к",O30:O946)</f>
        <v>0</v>
      </c>
      <c r="P17" s="2272">
        <f>SUMIF(F30:F946,"=б/к",P30:P946)</f>
        <v>0</v>
      </c>
      <c r="Q17" s="2273">
        <f>SUMIF(F30:F946,"=б/к",Q30:Q946)</f>
        <v>0.25</v>
      </c>
      <c r="R17" s="2274">
        <f>SUMIF(F30:F946,"=б/к",R30:R946)</f>
        <v>40.07800000000001</v>
      </c>
      <c r="S17" s="1752"/>
      <c r="T17" s="1753"/>
      <c r="U17" s="1754"/>
      <c r="V17" s="1754"/>
      <c r="W17" s="228"/>
      <c r="X17" s="275"/>
      <c r="Y17" s="228"/>
      <c r="Z17" s="412"/>
      <c r="AK17" s="2815" t="s">
        <v>11233</v>
      </c>
      <c r="AL17" s="2579">
        <f>SUMIFS(P30:P952,F30:F952,4,G30:G952,3)+SUMIFS(Q30:Q952,F30:F952,4,G30:G952,3)</f>
        <v>0</v>
      </c>
      <c r="AM17" s="2817"/>
    </row>
    <row r="18" spans="1:39" x14ac:dyDescent="0.35">
      <c r="A18" s="273"/>
      <c r="B18" s="1034"/>
      <c r="C18" s="1034"/>
      <c r="D18" s="98"/>
      <c r="E18" s="1266"/>
      <c r="F18" s="1266" t="s">
        <v>3303</v>
      </c>
      <c r="G18" s="1241">
        <v>3</v>
      </c>
      <c r="H18" s="1241"/>
      <c r="I18" s="1242">
        <f t="shared" si="2"/>
        <v>7.3369999999999997</v>
      </c>
      <c r="J18" s="1242">
        <f t="shared" si="3"/>
        <v>5.4349999999999996</v>
      </c>
      <c r="K18" s="1242">
        <f>SUMIF(G30:G904,3,K30:K904)</f>
        <v>1.9019999999999999</v>
      </c>
      <c r="L18" s="1242">
        <f>SUMIF(G30:G904,3,L30:L904)</f>
        <v>0</v>
      </c>
      <c r="M18" s="1242">
        <f>SUMIF(G30:G904,3,M30:M904)</f>
        <v>0</v>
      </c>
      <c r="N18" s="1242">
        <f>SUMIF(G30:G904,3,N30:N904)</f>
        <v>5.4349999999999996</v>
      </c>
      <c r="O18" s="1243">
        <f>SUMIF(G30:G904,3,O30:O904)</f>
        <v>0</v>
      </c>
      <c r="P18" s="1323">
        <f>SUMIF(G30:G904,3,P30:P904)</f>
        <v>0</v>
      </c>
      <c r="Q18" s="1244">
        <f>SUMIF(G30:G904,3,Q30:Q904)</f>
        <v>0</v>
      </c>
      <c r="R18" s="1257">
        <f>SUMIF(G30:G904,3,R30:R904)</f>
        <v>0</v>
      </c>
      <c r="S18" s="1752"/>
      <c r="T18" s="1753"/>
      <c r="U18" s="1754"/>
      <c r="V18" s="1754"/>
      <c r="W18" s="228"/>
      <c r="X18" s="275"/>
      <c r="Y18" s="228"/>
      <c r="Z18" s="412"/>
      <c r="AK18" s="2815" t="s">
        <v>910</v>
      </c>
      <c r="AL18" s="2579">
        <f>SUMIFS(R30:R952,F30:F952,4,G30:G952,3)</f>
        <v>0</v>
      </c>
      <c r="AM18" s="2817"/>
    </row>
    <row r="19" spans="1:39" x14ac:dyDescent="0.35">
      <c r="A19" s="273"/>
      <c r="B19" s="1034"/>
      <c r="C19" s="1034"/>
      <c r="D19" s="98"/>
      <c r="E19" s="98"/>
      <c r="F19" s="1240"/>
      <c r="G19" s="1241">
        <v>4</v>
      </c>
      <c r="H19" s="1241"/>
      <c r="I19" s="1242">
        <f t="shared" si="2"/>
        <v>169.04900000000001</v>
      </c>
      <c r="J19" s="1242">
        <f t="shared" si="3"/>
        <v>168.04300000000001</v>
      </c>
      <c r="K19" s="1242">
        <f>SUMIF(G30:G904,4,K30:K904)</f>
        <v>0</v>
      </c>
      <c r="L19" s="1242">
        <f>SUMIF(G30:G904,4,L30:L904)</f>
        <v>1.0059999999999967</v>
      </c>
      <c r="M19" s="1242">
        <f>SUMIF(G30:G904,4,M30:M904)</f>
        <v>0</v>
      </c>
      <c r="N19" s="1242">
        <f>SUMIF(G30:G904,4,N30:N904)</f>
        <v>99.718000000000004</v>
      </c>
      <c r="O19" s="1243">
        <f>SUMIF(G30:G904,4,O30:O904)</f>
        <v>0</v>
      </c>
      <c r="P19" s="1323">
        <f>SUMIF(G30:G904,4,P30:P904)</f>
        <v>0.34</v>
      </c>
      <c r="Q19" s="1244">
        <f>SUMIF(G30:G904,4,Q30:Q904)</f>
        <v>67.984999999999999</v>
      </c>
      <c r="R19" s="1257">
        <f>SUMIF(G30:G904,4,R30:R904)</f>
        <v>0</v>
      </c>
      <c r="S19" s="1752"/>
      <c r="T19" s="1753"/>
      <c r="U19" s="1754"/>
      <c r="V19" s="1754"/>
      <c r="W19" s="228"/>
      <c r="X19" s="275"/>
      <c r="Y19" s="228"/>
      <c r="Z19" s="412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273"/>
      <c r="B20" s="1034"/>
      <c r="C20" s="1034"/>
      <c r="D20" s="98"/>
      <c r="E20" s="98"/>
      <c r="F20" s="1240"/>
      <c r="G20" s="1241">
        <v>5</v>
      </c>
      <c r="H20" s="1241"/>
      <c r="I20" s="1242">
        <f t="shared" si="2"/>
        <v>349.75299999999993</v>
      </c>
      <c r="J20" s="1242">
        <f t="shared" si="3"/>
        <v>348.81999999999994</v>
      </c>
      <c r="K20" s="1242">
        <f>SUMIF(G30:G904,5,K30:K904)</f>
        <v>0</v>
      </c>
      <c r="L20" s="1242">
        <f>SUMIF(G30:G904,5,L30:L904)</f>
        <v>0.93299999999999983</v>
      </c>
      <c r="M20" s="1242">
        <f>SUMIF(G30:G904,5,M30:M904)</f>
        <v>0</v>
      </c>
      <c r="N20" s="1242">
        <f>SUMIF(G30:G904,5,N30:N904)</f>
        <v>50.739000000000004</v>
      </c>
      <c r="O20" s="1243">
        <f>SUMIF(G30:G904,5,O30:O904)</f>
        <v>4.8380000000000001</v>
      </c>
      <c r="P20" s="1323">
        <f>SUMIF(G30:G904,5,P30:P904)</f>
        <v>0</v>
      </c>
      <c r="Q20" s="1244">
        <f>SUMIF(G30:G904,5,Q30:Q904)</f>
        <v>158.66599999999994</v>
      </c>
      <c r="R20" s="1257">
        <f>SUMIF(G30:G904,5,R30:R904)</f>
        <v>134.57699999999994</v>
      </c>
      <c r="S20" s="1752"/>
      <c r="T20" s="1753"/>
      <c r="U20" s="1754"/>
      <c r="V20" s="1754"/>
      <c r="W20" s="228"/>
      <c r="X20" s="275"/>
      <c r="Y20" s="228"/>
      <c r="Z20" s="412"/>
      <c r="AK20" s="2815" t="s">
        <v>11230</v>
      </c>
      <c r="AL20" s="2579">
        <f>SUMIFS(M30:M952,F30:F952,5,G30:G952,3)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SUMIFS(N30:N952,F30:F952,5,G30:G952,3)</f>
        <v>0</v>
      </c>
      <c r="AM21" s="2817"/>
    </row>
    <row r="22" spans="1:39" customFormat="1" x14ac:dyDescent="0.35">
      <c r="A22" s="285"/>
      <c r="B22" s="993"/>
      <c r="C22" s="993"/>
      <c r="D22" s="538">
        <f>SUMIF(C30:C876,"=сад",AB30:AB876)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SUMIF(C30:C876,"=сад",K30:K876)</f>
        <v>0</v>
      </c>
      <c r="L22" s="2247">
        <f>SUMIF(C30:C876,"=сад",L30:L876)</f>
        <v>0</v>
      </c>
      <c r="M22" s="2247">
        <f>SUMIF(C30:C876,"=сад",M30:M876)</f>
        <v>0</v>
      </c>
      <c r="N22" s="2247">
        <f>SUMIF(C30:C876,"=сад",N30:N876)</f>
        <v>0</v>
      </c>
      <c r="O22" s="2248">
        <f>SUMIF(C30:C876,"=сад",O30:O876)</f>
        <v>0</v>
      </c>
      <c r="P22" s="2247">
        <f>SUMIF(C30:C876,"=сад",P30:P876)</f>
        <v>0</v>
      </c>
      <c r="Q22" s="2249">
        <f>SUMIF(C30:C876,"=сад",Q30:Q876)</f>
        <v>0</v>
      </c>
      <c r="R22" s="2250">
        <f>SUMIF(C30:C876,"=сад",R30:R876)</f>
        <v>0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SUMIFS(O30:O952,F30:F952,5,G30:G952,3)</f>
        <v>0</v>
      </c>
      <c r="AM22" s="2817"/>
    </row>
    <row r="23" spans="1:39" customFormat="1" x14ac:dyDescent="0.35">
      <c r="A23" s="285"/>
      <c r="B23" s="993"/>
      <c r="C23" s="993"/>
      <c r="D23" s="538">
        <f>SUMIF(C30:C877,"=индив",AB30:AB877)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SUMIF(C30:C877,"=индив",K30:K877)</f>
        <v>0</v>
      </c>
      <c r="L23" s="2247">
        <f>SUMIF(C30:C877,"=индив",L30:L877)</f>
        <v>0</v>
      </c>
      <c r="M23" s="2247">
        <f>SUMIF(C30:C877,"=индив",M30:M877)</f>
        <v>0</v>
      </c>
      <c r="N23" s="2247">
        <f>SUMIF(C30:C877,"=индив",N30:N877)</f>
        <v>0</v>
      </c>
      <c r="O23" s="2248">
        <f>SUMIF(C30:C877,"=индив",O30:O877)</f>
        <v>0</v>
      </c>
      <c r="P23" s="2247">
        <f>SUMIF(C30:C877,"=индив",P30:P877)</f>
        <v>0</v>
      </c>
      <c r="Q23" s="2249">
        <f>SUMIF(C30:C877,"=индив",Q30:Q877)</f>
        <v>0</v>
      </c>
      <c r="R23" s="2250">
        <f>SUMIF(C30:C877,"=индив",R30:R877)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SUMIFS(P30:P952,F30:F952,5,G30:G952,3)+SUMIFS(Q30:Q952,F30:F952,5,G30:G952,3)</f>
        <v>0</v>
      </c>
      <c r="AM23" s="2817"/>
    </row>
    <row r="24" spans="1:39" customFormat="1" x14ac:dyDescent="0.35">
      <c r="A24" s="285"/>
      <c r="B24" s="993"/>
      <c r="C24" s="993"/>
      <c r="D24" s="538">
        <f>SUMIF(C30:C878,"=кладб",AB30:AB878)</f>
        <v>71</v>
      </c>
      <c r="E24" s="2241" t="s">
        <v>2761</v>
      </c>
      <c r="F24" s="98"/>
      <c r="G24" s="226"/>
      <c r="H24" s="226"/>
      <c r="I24" s="2247">
        <f>J24+K24+L24</f>
        <v>40.969000000000008</v>
      </c>
      <c r="J24" s="2247">
        <f>R24+Q24+P24+O24+N24+M24</f>
        <v>40.969000000000008</v>
      </c>
      <c r="K24" s="2247">
        <f>SUMIF(C30:C878,"=кладб",K30:K878)</f>
        <v>0</v>
      </c>
      <c r="L24" s="2247">
        <f>SUMIF(C30:C878,"=кладб",L30:L878)</f>
        <v>0</v>
      </c>
      <c r="M24" s="2247">
        <f>SUMIF(C30:C878,"=кладб",M30:M878)</f>
        <v>0</v>
      </c>
      <c r="N24" s="2247">
        <f>SUMIF(C30:C878,"=кладб",N30:N878)</f>
        <v>3.29</v>
      </c>
      <c r="O24" s="2248">
        <f>SUMIF(C30:C878,"=кладб",O30:O878)</f>
        <v>0</v>
      </c>
      <c r="P24" s="2247">
        <f>SUMIF(C30:C878,"=кладб",P30:P878)</f>
        <v>0</v>
      </c>
      <c r="Q24" s="2249">
        <f>SUMIF(C30:C878,"=кладб",Q30:Q878)</f>
        <v>0.29400000000000004</v>
      </c>
      <c r="R24" s="2250">
        <f>SUMIF(C30:C878,"=кладб",R30:R878)</f>
        <v>37.385000000000012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SUMIFS(R30:R952,F30:F952,5,G30:G952,3)</f>
        <v>0</v>
      </c>
      <c r="AM24" s="2817"/>
    </row>
    <row r="25" spans="1:39" customFormat="1" x14ac:dyDescent="0.35">
      <c r="A25" s="387"/>
      <c r="B25" s="994"/>
      <c r="C25" s="994"/>
      <c r="D25" s="538">
        <f>SUMIF(C30:C879,"=прир",AB30:AB879)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SUMIF(C30:C879,"=прир",K30:K879)</f>
        <v>0</v>
      </c>
      <c r="L25" s="2259">
        <f>SUMIF(C30:C879,"=прир",L30:L879)</f>
        <v>0</v>
      </c>
      <c r="M25" s="2259">
        <f>SUMIF(C30:C879,"=прир",M30:M879)</f>
        <v>0</v>
      </c>
      <c r="N25" s="2259">
        <f>SUMIF(C30:C879,"=прир",N30:N879)</f>
        <v>0</v>
      </c>
      <c r="O25" s="2260">
        <f>SUMIF(C30:C879,"=прир",O30:O879)</f>
        <v>0</v>
      </c>
      <c r="P25" s="2259">
        <f>SUMIF(C30:C879,"=прир",P30:P879)</f>
        <v>0</v>
      </c>
      <c r="Q25" s="2261">
        <f>SUMIF(C30:C879,"=прир",Q30:Q879)</f>
        <v>0</v>
      </c>
      <c r="R25" s="2262">
        <f>SUMIF(C30:C879,"=прир",R30:R879)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SUMIF(C30:C880,"=ист",AB30:AB880)</f>
        <v>1</v>
      </c>
      <c r="E26" s="2241" t="s">
        <v>1628</v>
      </c>
      <c r="F26" s="319"/>
      <c r="G26" s="2258"/>
      <c r="H26" s="2258"/>
      <c r="I26" s="2259">
        <f>J26+K26+L26</f>
        <v>0.6</v>
      </c>
      <c r="J26" s="2259">
        <f>R26+Q26+P26+O26+N26+M26</f>
        <v>0.6</v>
      </c>
      <c r="K26" s="2259">
        <f>SUMIF(C30:C880,"=ист",K30:K880)</f>
        <v>0</v>
      </c>
      <c r="L26" s="2259">
        <f>SUMIF(C30:C880,"=ист",L30:L880)</f>
        <v>0</v>
      </c>
      <c r="M26" s="2259">
        <f>SUMIF(C30:C880,"=ист",M30:M880)</f>
        <v>0</v>
      </c>
      <c r="N26" s="2259">
        <f>SUMIF(C30:C880,"=ист",N30:N880)</f>
        <v>0.6</v>
      </c>
      <c r="O26" s="2260">
        <f>SUMIF(C30:C880,"=ист",O30:O880)</f>
        <v>0</v>
      </c>
      <c r="P26" s="2259">
        <f>SUMIF(C30:C880,"=ист",P30:P880)</f>
        <v>0</v>
      </c>
      <c r="Q26" s="2261">
        <f>SUMIF(C30:C880,"=ист",Q30:Q880)</f>
        <v>0</v>
      </c>
      <c r="R26" s="2262">
        <f>SUMIF(C30:C880,"=ист",R30:R880)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SUMIFS(M30:M952,F30:F952,"6а",G30:G952,3)+SUMIFS(M30:M952,F30:F952,"6б",G30:G952,3)+SUMIFS(M30:M952,F30:F952,"б/к",G30:G952,3)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SUMIFS(N30:N952,F30:F952,"6а",G30:G952,3)+SUMIFS(N30:N952,F30:F952,"6б",G30:G952,3)+SUMIFS(N30:N952,F30:F952,"б/к",G30:G952,3)</f>
        <v>0</v>
      </c>
      <c r="AM27" s="2817"/>
    </row>
    <row r="28" spans="1:39" ht="16" thickBot="1" x14ac:dyDescent="0.4">
      <c r="A28" s="629"/>
      <c r="B28" s="1038"/>
      <c r="C28" s="1038"/>
      <c r="D28" s="630"/>
      <c r="E28" s="451"/>
      <c r="F28" s="630"/>
      <c r="G28" s="630"/>
      <c r="H28" s="630"/>
      <c r="I28" s="2324">
        <f t="shared" ref="I28:R28" si="5">SUBTOTAL(9,I30:I417)</f>
        <v>526.13900000000035</v>
      </c>
      <c r="J28" s="2324">
        <f t="shared" si="5"/>
        <v>522.29800000000046</v>
      </c>
      <c r="K28" s="2324">
        <f t="shared" si="5"/>
        <v>3.8039999999999998</v>
      </c>
      <c r="L28" s="2324">
        <f t="shared" si="5"/>
        <v>3.877999999999993</v>
      </c>
      <c r="M28" s="2324">
        <f t="shared" si="5"/>
        <v>0</v>
      </c>
      <c r="N28" s="2324">
        <f t="shared" si="5"/>
        <v>291.43800000000022</v>
      </c>
      <c r="O28" s="2324">
        <f t="shared" si="5"/>
        <v>8.391</v>
      </c>
      <c r="P28" s="2324">
        <f t="shared" si="5"/>
        <v>0.68</v>
      </c>
      <c r="Q28" s="2324">
        <f t="shared" si="5"/>
        <v>416.85900000000004</v>
      </c>
      <c r="R28" s="2324">
        <f t="shared" si="5"/>
        <v>194.43299999999988</v>
      </c>
      <c r="S28" s="1755"/>
      <c r="T28" s="1756"/>
      <c r="U28" s="1757"/>
      <c r="V28" s="1757"/>
      <c r="W28" s="631"/>
      <c r="X28" s="632"/>
      <c r="Y28" s="631"/>
      <c r="Z28" s="1611"/>
      <c r="AB28" s="2334">
        <f>SUBTOTAL(9,AB30:AB417)</f>
        <v>151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SUMIFS(O30:O952,F30:F952,"6а",G30:G952,3)+SUMIFS(O30:O952,F30:F952,"6б",G30:G952,3)+SUMIFS(O30:O952,F30:F952,"б/к",G30:G952,3)</f>
        <v>0</v>
      </c>
      <c r="AM28" s="2817"/>
    </row>
    <row r="29" spans="1:39" s="75" customFormat="1" x14ac:dyDescent="0.35">
      <c r="A29" s="23"/>
      <c r="B29" s="1039"/>
      <c r="C29" s="1039"/>
      <c r="D29" s="133"/>
      <c r="E29" s="476" t="s">
        <v>2871</v>
      </c>
      <c r="F29" s="133"/>
      <c r="G29" s="133"/>
      <c r="H29" s="133"/>
      <c r="I29" s="513"/>
      <c r="J29" s="514"/>
      <c r="K29" s="514"/>
      <c r="L29" s="514"/>
      <c r="M29" s="514"/>
      <c r="N29" s="514"/>
      <c r="O29" s="936"/>
      <c r="P29" s="985"/>
      <c r="Q29" s="940"/>
      <c r="R29" s="944"/>
      <c r="S29" s="1758"/>
      <c r="T29" s="1759"/>
      <c r="U29" s="1758"/>
      <c r="V29" s="1758"/>
      <c r="W29" s="133"/>
      <c r="X29" s="133"/>
      <c r="Y29" s="133"/>
      <c r="Z29" s="1718"/>
      <c r="AD29" s="2578" t="s">
        <v>7180</v>
      </c>
      <c r="AE29" s="2579">
        <f>SUMIFS(M30:M903,F30:F903,3,G30:G903,3)+SUMIFS(N30:N903,F30:F903,3,G30:G903,3)+SUMIFS(O30:O903,F30:F903,3,G30:G903,3)+SUMIFS(P30:P903,F30:F903,3,G30:G903,3)+SUMIFS(Q30:Q903,F30:F903,3,G30:G903,3)+SUMIFS(R30:R903,F30:F903,3,G30:G903,3)</f>
        <v>0</v>
      </c>
      <c r="AF29" s="2579">
        <f>SUMIFS(M30:M903,F30:F903,4,G30:G903,3)+SUMIFS(N30:N903,F30:F903,4,G30:G903,3)+SUMIFS(O30:O903,F30:F903,4,G30:G903,3)+SUMIFS(P30:P903,F30:F903,4,G30:G903,3)+SUMIFS(Q30:Q903,F30:F903,4,G30:G903,3)+SUMIFS(R30:R903,F30:F903,4,G30:G903,3)</f>
        <v>5.4349999999999996</v>
      </c>
      <c r="AG29" s="2579">
        <f>SUMIFS(M30:M903,F30:F903,5,G30:G903,3)+SUMIFS(N30:N903,F30:F903,5,G30:G903,3)+SUMIFS(O30:O903,F30:F903,5,G30:G903,3)+SUMIFS(P30:P903,F30:F903,5,G30:G903,3)+SUMIFS(Q30:Q903,F30:F903,5,G30:G903,3)+SUMIFS(R30:R903,F30:F903,5,G30:G903,3)</f>
        <v>0</v>
      </c>
      <c r="AH29" s="2579">
        <f>SUMIFS(M30:M903,F30:F903,"6а",G30:G903,3)+SUMIFS(N30:N903,F30:F903,"6а",G30:G903,3)+SUMIFS(O30:O903,F30:F903,"6а",G30:G903,3)+SUMIFS(P30:P903,F30:F903,"6а",G30:G903,3)+SUMIFS(Q30:Q903,F30:F903,"6а",G30:G903,3)+SUMIFS(R30:R903,F30:F903,"6а",G30:G903,3)</f>
        <v>0</v>
      </c>
      <c r="AI29" s="2579">
        <f>SUMIFS(M30:M903,F30:F903,"6б",G30:G903,3)+SUMIFS(N30:N903,F30:F903,"6б",G30:G903,3)+SUMIFS(O30:O903,F30:F903,"6б",G30:G903,3)+SUMIFS(P30:P903,F30:F903,"6б",G30:G903,3)+SUMIFS(Q30:Q903,F30:F903,"6б",G30:G903,3)+SUMIFS(R30:R903,F30:F903,"6б",G30:G903,3)</f>
        <v>0</v>
      </c>
      <c r="AJ29" s="2580">
        <f>SUMIFS(M30:M903,F30:F903,"б/к",G30:G903,3)+SUMIFS(N30:N903,F30:F903,"б/к",G30:G903,3)+SUMIFS(O30:O903,F30:F903,"б/к",G30:G903,3)+SUMIFS(P30:P903,F30:F903,"б/к",G30:G903,3)+SUMIFS(Q30:Q903,F30:F903,"б/к",G30:G903,3)+SUMIFS(R30:R903,F30:F903,"б/к",G30:G903,3)</f>
        <v>0</v>
      </c>
      <c r="AK29" s="2815" t="s">
        <v>11233</v>
      </c>
      <c r="AL29" s="2579">
        <f>SUMIFS(P30:P952,F30:F952,"6а",G30:G952,3)+SUMIFS(Q30:Q952,F30:F952,"6а",G30:G952,3)+SUMIFS(P30:P952,F30:F952,"6б",G30:G952,3)+SUMIFS(Q30:Q952,F30:F952,"6б",G30:G952,3)+SUMIFS(P30:P952,F30:F952,"б/к",G30:G952,3)+SUMIFS(Q30:Q952,F30:F952,"б/к",G30:G952,3)</f>
        <v>0</v>
      </c>
      <c r="AM29" s="2817"/>
    </row>
    <row r="30" spans="1:39" s="75" customFormat="1" ht="30" x14ac:dyDescent="0.35">
      <c r="A30" s="2001">
        <v>1</v>
      </c>
      <c r="B30" s="515">
        <v>10601</v>
      </c>
      <c r="C30" s="515"/>
      <c r="D30" s="515" t="s">
        <v>3167</v>
      </c>
      <c r="E30" s="1999" t="s">
        <v>11000</v>
      </c>
      <c r="F30" s="2289"/>
      <c r="G30" s="166" t="s">
        <v>191</v>
      </c>
      <c r="H30" s="166" t="s">
        <v>191</v>
      </c>
      <c r="I30" s="517">
        <f>J30+K30+L30</f>
        <v>35.247</v>
      </c>
      <c r="J30" s="518">
        <f>SUM(M30:R30)</f>
        <v>33.278000000000006</v>
      </c>
      <c r="K30" s="518">
        <f>SUM(K31:K41)</f>
        <v>1.9019999999999999</v>
      </c>
      <c r="L30" s="518">
        <f>SUM(L31:L41)</f>
        <v>6.6999999999996618E-2</v>
      </c>
      <c r="M30" s="518"/>
      <c r="N30" s="518">
        <f>SUM(N31:N41)</f>
        <v>26.997999999999998</v>
      </c>
      <c r="O30" s="611"/>
      <c r="P30" s="967"/>
      <c r="Q30" s="888">
        <f>SUM(Q31:Q41)</f>
        <v>6.2800000000000047</v>
      </c>
      <c r="R30" s="886"/>
      <c r="S30" s="1760">
        <v>6</v>
      </c>
      <c r="T30" s="1761">
        <f>18.4+75.9+75.8+18.4+6.1+30.8</f>
        <v>225.40000000000003</v>
      </c>
      <c r="U30" s="1760"/>
      <c r="V30" s="1760"/>
      <c r="W30" s="1760">
        <v>51</v>
      </c>
      <c r="X30" s="1761">
        <v>676.3</v>
      </c>
      <c r="Y30" s="1760">
        <v>23</v>
      </c>
      <c r="Z30" s="2507">
        <v>257.3</v>
      </c>
      <c r="AB30" s="75">
        <v>1</v>
      </c>
      <c r="AD30" s="2578" t="s">
        <v>7181</v>
      </c>
      <c r="AE30" s="2579">
        <f>SUMIFS(M30:M903,F30:F903,3,G30:G903,4)+SUMIFS(N30:N903,F30:F903,3,G30:G903,4)+SUMIFS(O30:O903,F30:F903,3,G30:G903,4)+SUMIFS(P30:P903,F30:F903,3,G30:G903,4)+SUMIFS(Q30:Q903,F30:F903,3,G30:G903,4)+SUMIFS(R30:R903,F30:F903,3,G30:G903,4)</f>
        <v>0</v>
      </c>
      <c r="AF30" s="2579">
        <f>SUMIFS(M30:M903,F30:F903,4,G30:G903,4)+SUMIFS(N30:N903,F30:F903,4,G30:G903,4)+SUMIFS(O30:O903,F30:F903,4,G30:G903,4)+SUMIFS(P30:P903,F30:F903,4,G30:G903,4)+SUMIFS(Q30:Q903,F30:F903,4,G30:G903,4)+SUMIFS(R30:R903,F30:F903,4,G30:G903,4)</f>
        <v>152.79900000000004</v>
      </c>
      <c r="AG30" s="2579">
        <f>SUMIFS(M30:M903,F30:F903,5,G30:G903,4)+SUMIFS(N30:N903,F30:F903,5,G30:G903,4)+SUMIFS(O30:O903,F30:F903,5,G30:G903,4)+SUMIFS(P30:P903,F30:F903,5,G30:G903,4)+SUMIFS(Q30:Q903,F30:F903,5,G30:G903,4)+SUMIFS(R30:R903,F30:F903,5,G30:G903,4)</f>
        <v>15.244</v>
      </c>
      <c r="AH30" s="2579">
        <f>SUMIFS(M30:M903,F30:F903,"6а",G30:G903,4)+SUMIFS(N30:N903,F30:F903,"6а",G30:G903,4)+SUMIFS(O30:O903,F30:F903,"6а",G30:G903,4)+SUMIFS(P30:P903,F30:F903,"6а",G30:G903,4)+SUMIFS(Q30:Q903,F30:F903,"6а",G30:G903,4)+SUMIFS(R30:R903,F30:F903,"6а",G30:G903,4)</f>
        <v>0</v>
      </c>
      <c r="AI30" s="2579">
        <f>SUMIFS(M30:M903,F30:F903,"6б",G30:G903,4)+SUMIFS(N30:N903,F30:F903,"6б",G30:G903,4)+SUMIFS(O30:O903,F30:F903,"6б",G30:G903,4)+SUMIFS(P30:P903,F30:F903,"6б",G30:G903,4)+SUMIFS(Q30:Q903,F30:F903,"6б",G30:G903,4)+SUMIFS(R30:R903,F30:F903,"6б",G30:G903,4)</f>
        <v>0</v>
      </c>
      <c r="AJ30" s="2580">
        <f>SUMIFS(M30:M903,F30:F903,"б/к",G30:G903,4)+SUMIFS(N30:N903,F30:F903,"б/к",G30:G903,4)+SUMIFS(O30:O903,F30:F903,"б/к",G30:G903,4)+SUMIFS(P30:P903,F30:F903,"б/к",G30:G903,4)+SUMIFS(Q30:Q903,F30:F903,"б/к",G30:G903,4)+SUMIFS(R30:R903,F30:F903,"б/к",G30:G903,4)</f>
        <v>0</v>
      </c>
      <c r="AK30" s="2815" t="s">
        <v>910</v>
      </c>
      <c r="AL30" s="2579">
        <f>SUMIFS(R30:R952,F30:F952,"6а",G30:G952,3)+SUMIFS(R30:R952,F30:F952,"6б",G30:G952,3)+SUMIFS(R30:R952,F30:F952,"б/к",G30:G952,3)</f>
        <v>0</v>
      </c>
      <c r="AM30" s="2817"/>
    </row>
    <row r="31" spans="1:39" s="75" customFormat="1" ht="46.5" x14ac:dyDescent="0.35">
      <c r="A31" s="2001"/>
      <c r="B31" s="515">
        <v>10601</v>
      </c>
      <c r="C31" s="515"/>
      <c r="D31" s="515"/>
      <c r="E31" s="523" t="s">
        <v>11001</v>
      </c>
      <c r="F31" s="2289">
        <v>4</v>
      </c>
      <c r="G31" s="166">
        <v>3</v>
      </c>
      <c r="H31" s="166" t="s">
        <v>191</v>
      </c>
      <c r="I31" s="517"/>
      <c r="J31" s="518"/>
      <c r="K31" s="2275">
        <v>0.89700000000000002</v>
      </c>
      <c r="L31" s="1569"/>
      <c r="M31" s="518"/>
      <c r="N31" s="518"/>
      <c r="O31" s="611"/>
      <c r="P31" s="967"/>
      <c r="Q31" s="888"/>
      <c r="R31" s="886"/>
      <c r="S31" s="1760"/>
      <c r="T31" s="1761"/>
      <c r="U31" s="1760"/>
      <c r="V31" s="1760"/>
      <c r="W31" s="1760"/>
      <c r="X31" s="1761"/>
      <c r="Y31" s="1760"/>
      <c r="Z31" s="2507"/>
      <c r="AD31" s="2581" t="s">
        <v>7182</v>
      </c>
      <c r="AE31" s="2582">
        <f>SUMIFS(M30:M903,F30:F903,3,G30:G903,5)+SUMIFS(N30:N903,F30:F903,3,G30:G903,5)+SUMIFS(O30:O903,F30:F903,3,G30:G903,5)+SUMIFS(P30:P903,F30:F903,3,G30:G903,5)+SUMIFS(Q30:Q903,F30:F903,3,G30:G903,5)+SUMIFS(R30:R903,F30:F903,3,G30:G903,5)</f>
        <v>0</v>
      </c>
      <c r="AF31" s="2582">
        <f>SUMIFS(M30:M903,F30:F903,4,G30:G903,5)+SUMIFS(N30:N903,F30:F903,4,G30:G903,5)+SUMIFS(O30:O903,F30:F903,4,G30:G903,5)+SUMIFS(P30:P903,F30:F903,4,G30:G903,5)+SUMIFS(Q30:Q903,F30:F903,4,G30:G903,5)+SUMIFS(R30:R903,F30:F903,4,G30:G903,5)</f>
        <v>115.40600000000001</v>
      </c>
      <c r="AG31" s="2582">
        <f>SUMIFS(M30:M903,F30:F903,5,G30:G903,5)+SUMIFS(N30:N903,F30:F903,5,G30:G903,5)+SUMIFS(O30:O903,F30:F903,5,G30:G903,5)+SUMIFS(P30:P903,F30:F903,5,G30:G903,5)+SUMIFS(Q30:Q903,F30:F903,5,G30:G903,5)+SUMIFS(R30:R903,F30:F903,5,G30:G903,5)</f>
        <v>91.813000000000002</v>
      </c>
      <c r="AH31" s="2582">
        <f>SUMIFS(M30:M903,F30:F903,"6а",G30:G903,5)+SUMIFS(N30:N903,F30:F903,"6а",G30:G903,5)+SUMIFS(O30:O903,F30:F903,"6а",G30:G903,5)+SUMIFS(P30:P903,F30:F903,"6а",G30:G903,5)+SUMIFS(Q30:Q903,F30:F903,"6а",G30:G903,5)+SUMIFS(R30:R903,F30:F903,"6а",G30:G903,5)</f>
        <v>58.745000000000005</v>
      </c>
      <c r="AI31" s="2582">
        <f>SUMIFS(M30:M903,F30:F903,"6б",G30:G903,5)+SUMIFS(N30:N903,F30:F903,"6б",G30:G903,5)+SUMIFS(O30:O903,F30:F903,"6б",G30:G903,5)+SUMIFS(P30:P903,F30:F903,"6б",G30:G903,5)+SUMIFS(Q30:Q903,F30:F903,"6б",G30:G903,5)+SUMIFS(R30:R903,F30:F903,"6б",G30:G903,5)</f>
        <v>41.828000000000003</v>
      </c>
      <c r="AJ31" s="2583">
        <f>SUMIFS(M30:M903,F30:F903,"б/к",G30:G903,5)+SUMIFS(N30:N903,F30:F903,"б/к",G30:G903,5)+SUMIFS(O30:O903,F30:F903,"б/к",G30:G903,5)+SUMIFS(P30:P903,F30:F903,"б/к",G30:G903,5)+SUMIFS(Q30:Q903,F30:F903,"б/к",G30:G903,5)+SUMIFS(R30:R903,F30:F903,"б/к",G30:G903,5)</f>
        <v>41.028000000000013</v>
      </c>
      <c r="AK31" s="2815"/>
      <c r="AL31" s="2579"/>
      <c r="AM31" s="2817"/>
    </row>
    <row r="32" spans="1:39" s="75" customFormat="1" ht="93" x14ac:dyDescent="0.3">
      <c r="A32" s="2001"/>
      <c r="B32" s="515">
        <v>10601</v>
      </c>
      <c r="C32" s="515"/>
      <c r="D32" s="515"/>
      <c r="E32" s="523" t="s">
        <v>11002</v>
      </c>
      <c r="F32" s="2289">
        <v>4</v>
      </c>
      <c r="G32" s="166">
        <v>3</v>
      </c>
      <c r="H32" s="166" t="s">
        <v>191</v>
      </c>
      <c r="I32" s="517"/>
      <c r="J32" s="518"/>
      <c r="K32" s="2275">
        <f>1.902-0.897</f>
        <v>1.0049999999999999</v>
      </c>
      <c r="L32" s="1569"/>
      <c r="M32" s="518"/>
      <c r="N32" s="518"/>
      <c r="O32" s="611"/>
      <c r="P32" s="967"/>
      <c r="Q32" s="888"/>
      <c r="R32" s="886"/>
      <c r="S32" s="1760"/>
      <c r="T32" s="1761"/>
      <c r="U32" s="1760"/>
      <c r="V32" s="1760"/>
      <c r="W32" s="1760"/>
      <c r="X32" s="1761"/>
      <c r="Y32" s="1760"/>
      <c r="Z32" s="2507"/>
      <c r="AD32"/>
      <c r="AE32" s="1572"/>
      <c r="AF32"/>
      <c r="AG32"/>
      <c r="AH32"/>
      <c r="AI32" s="2584" t="s">
        <v>7183</v>
      </c>
      <c r="AJ32" s="2585">
        <f>SUMIF(AB30:AB903,"=1",J30:J903)</f>
        <v>522.29800000000046</v>
      </c>
      <c r="AK32" s="2818" t="s">
        <v>11235</v>
      </c>
      <c r="AL32" s="2821">
        <f>AL34+AL40+AL46</f>
        <v>168.04300000000003</v>
      </c>
      <c r="AM32" s="2820">
        <f>AL32-J19</f>
        <v>0</v>
      </c>
    </row>
    <row r="33" spans="1:39" s="76" customFormat="1" ht="46.5" x14ac:dyDescent="0.35">
      <c r="A33" s="2001"/>
      <c r="B33" s="515">
        <v>10601</v>
      </c>
      <c r="C33" s="515"/>
      <c r="D33" s="515"/>
      <c r="E33" s="519" t="s">
        <v>10517</v>
      </c>
      <c r="F33" s="2289"/>
      <c r="G33" s="166" t="s">
        <v>191</v>
      </c>
      <c r="H33" s="166" t="s">
        <v>191</v>
      </c>
      <c r="I33" s="517"/>
      <c r="J33" s="518"/>
      <c r="K33" s="1569"/>
      <c r="L33" s="1569"/>
      <c r="M33" s="518"/>
      <c r="N33" s="518"/>
      <c r="O33" s="611"/>
      <c r="P33" s="967"/>
      <c r="Q33" s="888"/>
      <c r="R33" s="886"/>
      <c r="S33" s="1760"/>
      <c r="T33" s="1761"/>
      <c r="U33" s="1760"/>
      <c r="V33" s="1760"/>
      <c r="W33" s="1760"/>
      <c r="X33" s="1761"/>
      <c r="Y33" s="1760"/>
      <c r="Z33" s="2507"/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s="76" customFormat="1" x14ac:dyDescent="0.3">
      <c r="A34" s="2002"/>
      <c r="B34" s="515">
        <v>10601</v>
      </c>
      <c r="C34" s="515"/>
      <c r="D34" s="521"/>
      <c r="E34" s="523" t="s">
        <v>11003</v>
      </c>
      <c r="F34" s="165">
        <v>4</v>
      </c>
      <c r="G34" s="166">
        <v>3</v>
      </c>
      <c r="H34" s="166">
        <v>6</v>
      </c>
      <c r="I34" s="522"/>
      <c r="J34" s="522"/>
      <c r="K34" s="1570"/>
      <c r="L34" s="1570"/>
      <c r="M34" s="522"/>
      <c r="N34" s="522">
        <f>7.337-1.902</f>
        <v>5.4349999999999996</v>
      </c>
      <c r="O34" s="937"/>
      <c r="P34" s="986"/>
      <c r="Q34" s="941"/>
      <c r="R34" s="945"/>
      <c r="S34" s="1762"/>
      <c r="T34" s="1763"/>
      <c r="U34" s="1762"/>
      <c r="V34" s="1762"/>
      <c r="W34" s="1760"/>
      <c r="X34" s="1761"/>
      <c r="Y34" s="1760"/>
      <c r="Z34" s="2507"/>
      <c r="AK34" s="2818" t="s">
        <v>7184</v>
      </c>
      <c r="AL34" s="2821">
        <f>AL35+AL36+AL37+AL38+AL39</f>
        <v>152.79900000000004</v>
      </c>
      <c r="AM34" s="2820">
        <f>AL34-AF30</f>
        <v>0</v>
      </c>
    </row>
    <row r="35" spans="1:39" s="76" customFormat="1" x14ac:dyDescent="0.35">
      <c r="A35" s="2002"/>
      <c r="B35" s="515">
        <v>10601</v>
      </c>
      <c r="C35" s="515"/>
      <c r="D35" s="521"/>
      <c r="E35" s="523" t="s">
        <v>11004</v>
      </c>
      <c r="F35" s="165">
        <v>4</v>
      </c>
      <c r="G35" s="165">
        <v>4</v>
      </c>
      <c r="H35" s="166">
        <v>6</v>
      </c>
      <c r="I35" s="522"/>
      <c r="J35" s="522"/>
      <c r="K35" s="1570"/>
      <c r="L35" s="1570"/>
      <c r="M35" s="522"/>
      <c r="N35" s="522">
        <f>22.025-7.337</f>
        <v>14.687999999999999</v>
      </c>
      <c r="O35" s="937"/>
      <c r="P35" s="986"/>
      <c r="Q35" s="941"/>
      <c r="R35" s="945"/>
      <c r="S35" s="1762"/>
      <c r="T35" s="1763"/>
      <c r="U35" s="1762"/>
      <c r="V35" s="1762"/>
      <c r="W35" s="1760"/>
      <c r="X35" s="1761"/>
      <c r="Y35" s="1760"/>
      <c r="Z35" s="2507"/>
      <c r="AK35" s="2815" t="s">
        <v>11230</v>
      </c>
      <c r="AL35" s="2579">
        <f>SUMIFS(M30:M952,F30:F952,4,G30:G952,4)</f>
        <v>0</v>
      </c>
      <c r="AM35" s="2817"/>
    </row>
    <row r="36" spans="1:39" s="76" customFormat="1" ht="46.5" x14ac:dyDescent="0.35">
      <c r="A36" s="2002"/>
      <c r="B36" s="515"/>
      <c r="C36" s="515"/>
      <c r="D36" s="521"/>
      <c r="E36" s="1022" t="s">
        <v>10521</v>
      </c>
      <c r="F36" s="165">
        <v>4</v>
      </c>
      <c r="G36" s="165">
        <v>4</v>
      </c>
      <c r="H36" s="166" t="s">
        <v>191</v>
      </c>
      <c r="I36" s="522"/>
      <c r="J36" s="522"/>
      <c r="K36" s="1570"/>
      <c r="L36" s="1570">
        <f>22.06-22.025</f>
        <v>3.5000000000000142E-2</v>
      </c>
      <c r="M36" s="522"/>
      <c r="N36" s="522"/>
      <c r="O36" s="937"/>
      <c r="P36" s="986"/>
      <c r="Q36" s="941"/>
      <c r="R36" s="945"/>
      <c r="S36" s="1762"/>
      <c r="T36" s="1763"/>
      <c r="U36" s="1762"/>
      <c r="V36" s="1762"/>
      <c r="W36" s="1760"/>
      <c r="X36" s="1761"/>
      <c r="Y36" s="1760"/>
      <c r="Z36" s="2507"/>
      <c r="AK36" s="2815" t="s">
        <v>11231</v>
      </c>
      <c r="AL36" s="2579">
        <f>SUMIFS(N30:N952,F30:F952,4,G30:G952,4)</f>
        <v>95.645000000000024</v>
      </c>
      <c r="AM36" s="2817"/>
    </row>
    <row r="37" spans="1:39" s="76" customFormat="1" x14ac:dyDescent="0.35">
      <c r="A37" s="2002"/>
      <c r="B37" s="515">
        <v>10601</v>
      </c>
      <c r="C37" s="515"/>
      <c r="D37" s="521"/>
      <c r="E37" s="519" t="s">
        <v>10522</v>
      </c>
      <c r="F37" s="165">
        <v>4</v>
      </c>
      <c r="G37" s="165">
        <v>4</v>
      </c>
      <c r="H37" s="166">
        <v>6</v>
      </c>
      <c r="I37" s="522"/>
      <c r="J37" s="522"/>
      <c r="K37" s="1570"/>
      <c r="L37" s="1570"/>
      <c r="M37" s="522"/>
      <c r="N37" s="522">
        <f>27.992-22.06</f>
        <v>5.9320000000000022</v>
      </c>
      <c r="O37" s="937"/>
      <c r="P37" s="986"/>
      <c r="Q37" s="941"/>
      <c r="R37" s="945"/>
      <c r="S37" s="1762"/>
      <c r="T37" s="1763"/>
      <c r="U37" s="1762"/>
      <c r="V37" s="1762"/>
      <c r="W37" s="1760"/>
      <c r="X37" s="1761"/>
      <c r="Y37" s="1760"/>
      <c r="Z37" s="2507"/>
      <c r="AK37" s="2815" t="s">
        <v>11232</v>
      </c>
      <c r="AL37" s="2579">
        <f>SUMIFS(O30:O952,F30:F952,4,G30:G952,4)</f>
        <v>0</v>
      </c>
      <c r="AM37" s="2817"/>
    </row>
    <row r="38" spans="1:39" s="76" customFormat="1" x14ac:dyDescent="0.35">
      <c r="A38" s="2002"/>
      <c r="B38" s="515">
        <v>10601</v>
      </c>
      <c r="C38" s="515"/>
      <c r="D38" s="521"/>
      <c r="E38" s="949" t="s">
        <v>10518</v>
      </c>
      <c r="F38" s="165">
        <v>4</v>
      </c>
      <c r="G38" s="165">
        <v>4</v>
      </c>
      <c r="H38" s="166">
        <v>6</v>
      </c>
      <c r="I38" s="522"/>
      <c r="J38" s="522"/>
      <c r="K38" s="1570"/>
      <c r="L38" s="1570"/>
      <c r="M38" s="522"/>
      <c r="N38" s="522"/>
      <c r="O38" s="937"/>
      <c r="P38" s="986"/>
      <c r="Q38" s="941">
        <f>31.287-27.992</f>
        <v>3.2949999999999982</v>
      </c>
      <c r="R38" s="945"/>
      <c r="S38" s="1762"/>
      <c r="T38" s="1763"/>
      <c r="U38" s="1762"/>
      <c r="V38" s="1762"/>
      <c r="W38" s="1760"/>
      <c r="X38" s="1761"/>
      <c r="Y38" s="1760"/>
      <c r="Z38" s="2507"/>
      <c r="AK38" s="2815" t="s">
        <v>11233</v>
      </c>
      <c r="AL38" s="2579">
        <f>SUMIFS(P30:P952,F30:F952,4,G30:G952,4)+SUMIFS(Q30:Q952,F30:F952,4,G30:G952,4)</f>
        <v>57.153999999999996</v>
      </c>
      <c r="AM38" s="2817"/>
    </row>
    <row r="39" spans="1:39" s="76" customFormat="1" x14ac:dyDescent="0.35">
      <c r="A39" s="2002"/>
      <c r="B39" s="515">
        <v>10601</v>
      </c>
      <c r="C39" s="515"/>
      <c r="D39" s="521"/>
      <c r="E39" s="519" t="s">
        <v>10519</v>
      </c>
      <c r="F39" s="165">
        <v>4</v>
      </c>
      <c r="G39" s="165">
        <v>4</v>
      </c>
      <c r="H39" s="166">
        <v>6</v>
      </c>
      <c r="I39" s="522"/>
      <c r="J39" s="522"/>
      <c r="K39" s="1570"/>
      <c r="L39" s="1570"/>
      <c r="M39" s="522"/>
      <c r="N39" s="522">
        <f>32.23-31.287</f>
        <v>0.94299999999999784</v>
      </c>
      <c r="O39" s="937"/>
      <c r="P39" s="986"/>
      <c r="Q39" s="941"/>
      <c r="R39" s="945"/>
      <c r="S39" s="1762"/>
      <c r="T39" s="1763"/>
      <c r="U39" s="1762"/>
      <c r="V39" s="1762"/>
      <c r="W39" s="1760"/>
      <c r="X39" s="1761"/>
      <c r="Y39" s="1760"/>
      <c r="Z39" s="2507"/>
      <c r="AK39" s="2815" t="s">
        <v>910</v>
      </c>
      <c r="AL39" s="2579">
        <f>SUMIFS(R30:R952,F30:F952,4,G30:G952,4)</f>
        <v>0</v>
      </c>
      <c r="AM39" s="2817"/>
    </row>
    <row r="40" spans="1:39" s="75" customFormat="1" x14ac:dyDescent="0.3">
      <c r="A40" s="2002"/>
      <c r="B40" s="515">
        <v>10601</v>
      </c>
      <c r="C40" s="515"/>
      <c r="D40" s="521"/>
      <c r="E40" s="949" t="s">
        <v>10520</v>
      </c>
      <c r="F40" s="165">
        <v>4</v>
      </c>
      <c r="G40" s="165">
        <v>4</v>
      </c>
      <c r="H40" s="166">
        <v>6</v>
      </c>
      <c r="I40" s="522"/>
      <c r="J40" s="522"/>
      <c r="K40" s="1570"/>
      <c r="L40" s="1570"/>
      <c r="M40" s="522"/>
      <c r="N40" s="522"/>
      <c r="O40" s="937"/>
      <c r="P40" s="986"/>
      <c r="Q40" s="941">
        <f>35.215-32.23</f>
        <v>2.9850000000000065</v>
      </c>
      <c r="R40" s="945"/>
      <c r="S40" s="1762"/>
      <c r="T40" s="1763"/>
      <c r="U40" s="1762"/>
      <c r="V40" s="1762"/>
      <c r="W40" s="1760"/>
      <c r="X40" s="1761"/>
      <c r="Y40" s="1760"/>
      <c r="Z40" s="2507"/>
      <c r="AK40" s="2818" t="s">
        <v>7185</v>
      </c>
      <c r="AL40" s="2821">
        <f>AL41+AL42+AL43+AL44+AL45</f>
        <v>15.244</v>
      </c>
      <c r="AM40" s="2820">
        <f>AL40-AG30</f>
        <v>0</v>
      </c>
    </row>
    <row r="41" spans="1:39" s="76" customFormat="1" ht="31" x14ac:dyDescent="0.35">
      <c r="A41" s="2002"/>
      <c r="B41" s="515">
        <v>10601</v>
      </c>
      <c r="C41" s="515"/>
      <c r="D41" s="521"/>
      <c r="E41" s="951" t="s">
        <v>10802</v>
      </c>
      <c r="F41" s="165">
        <v>4</v>
      </c>
      <c r="G41" s="165">
        <v>4</v>
      </c>
      <c r="H41" s="166" t="s">
        <v>191</v>
      </c>
      <c r="I41" s="522"/>
      <c r="J41" s="522"/>
      <c r="K41" s="1570"/>
      <c r="L41" s="1570">
        <f>35.247-35.215</f>
        <v>3.1999999999996476E-2</v>
      </c>
      <c r="M41" s="522"/>
      <c r="N41" s="522"/>
      <c r="O41" s="937"/>
      <c r="P41" s="986"/>
      <c r="Q41" s="941"/>
      <c r="R41" s="945"/>
      <c r="S41" s="1762"/>
      <c r="T41" s="1763"/>
      <c r="U41" s="1762"/>
      <c r="V41" s="1762"/>
      <c r="W41" s="1760"/>
      <c r="X41" s="1761"/>
      <c r="Y41" s="1760"/>
      <c r="Z41" s="2507"/>
      <c r="AK41" s="2815" t="s">
        <v>11230</v>
      </c>
      <c r="AL41" s="2579">
        <f>SUMIFS(M30:M952,F30:F952,5,G30:G952,4)</f>
        <v>0</v>
      </c>
      <c r="AM41" s="2817"/>
    </row>
    <row r="42" spans="1:39" s="76" customFormat="1" ht="45" x14ac:dyDescent="0.35">
      <c r="A42" s="2001">
        <v>2</v>
      </c>
      <c r="B42" s="515">
        <v>10601</v>
      </c>
      <c r="C42" s="515"/>
      <c r="D42" s="2467" t="s">
        <v>4806</v>
      </c>
      <c r="E42" s="1999" t="s">
        <v>11005</v>
      </c>
      <c r="F42" s="165"/>
      <c r="G42" s="166" t="s">
        <v>191</v>
      </c>
      <c r="H42" s="166" t="s">
        <v>191</v>
      </c>
      <c r="I42" s="517">
        <f>J42+K42+L42</f>
        <v>1.9670000000000001</v>
      </c>
      <c r="J42" s="518">
        <f>SUM(M42:R42)</f>
        <v>1.9670000000000001</v>
      </c>
      <c r="K42" s="1569"/>
      <c r="L42" s="1569"/>
      <c r="M42" s="517"/>
      <c r="N42" s="517"/>
      <c r="O42" s="938"/>
      <c r="P42" s="987"/>
      <c r="Q42" s="942">
        <f>SUM(Q43:Q44)</f>
        <v>1.3180000000000001</v>
      </c>
      <c r="R42" s="946">
        <f>SUM(R43:R44)</f>
        <v>0.64900000000000002</v>
      </c>
      <c r="S42" s="1760"/>
      <c r="T42" s="1761"/>
      <c r="U42" s="1760"/>
      <c r="V42" s="1760"/>
      <c r="W42" s="1760">
        <v>3</v>
      </c>
      <c r="X42" s="1761">
        <v>36.869999999999997</v>
      </c>
      <c r="Y42" s="1760"/>
      <c r="Z42" s="2507"/>
      <c r="AB42" s="75">
        <v>1</v>
      </c>
      <c r="AE42" s="2461"/>
      <c r="AF42" s="2462"/>
      <c r="AK42" s="2815" t="s">
        <v>11231</v>
      </c>
      <c r="AL42" s="2579">
        <f>SUMIFS(N30:N952,F30:F952,5,G30:G952,4)</f>
        <v>4.0729999999999968</v>
      </c>
      <c r="AM42" s="2817"/>
    </row>
    <row r="43" spans="1:39" s="76" customFormat="1" x14ac:dyDescent="0.35">
      <c r="A43" s="2002"/>
      <c r="B43" s="515">
        <v>10601</v>
      </c>
      <c r="C43" s="515"/>
      <c r="D43" s="521"/>
      <c r="E43" s="949" t="s">
        <v>10532</v>
      </c>
      <c r="F43" s="165" t="s">
        <v>827</v>
      </c>
      <c r="G43" s="165">
        <v>5</v>
      </c>
      <c r="H43" s="166">
        <v>6</v>
      </c>
      <c r="I43" s="522"/>
      <c r="J43" s="522"/>
      <c r="K43" s="1570"/>
      <c r="L43" s="1570"/>
      <c r="M43" s="522"/>
      <c r="N43" s="522"/>
      <c r="O43" s="937"/>
      <c r="P43" s="986"/>
      <c r="Q43" s="941">
        <v>1.3180000000000001</v>
      </c>
      <c r="R43" s="945"/>
      <c r="S43" s="1762"/>
      <c r="T43" s="1763"/>
      <c r="U43" s="1762"/>
      <c r="V43" s="1762"/>
      <c r="W43" s="1760"/>
      <c r="X43" s="1761"/>
      <c r="Y43" s="1760"/>
      <c r="Z43" s="2507"/>
      <c r="AE43" s="2461"/>
      <c r="AF43" s="68"/>
      <c r="AK43" s="2815" t="s">
        <v>11232</v>
      </c>
      <c r="AL43" s="2579">
        <f>SUMIFS(O30:O952,F30:F952,5,G30:G952,4)</f>
        <v>0</v>
      </c>
      <c r="AM43" s="2817"/>
    </row>
    <row r="44" spans="1:39" s="76" customFormat="1" x14ac:dyDescent="0.35">
      <c r="A44" s="2002"/>
      <c r="B44" s="515">
        <v>10601</v>
      </c>
      <c r="C44" s="515"/>
      <c r="D44" s="521"/>
      <c r="E44" s="948" t="s">
        <v>10533</v>
      </c>
      <c r="F44" s="165" t="s">
        <v>1490</v>
      </c>
      <c r="G44" s="165">
        <v>5</v>
      </c>
      <c r="H44" s="165">
        <v>6</v>
      </c>
      <c r="I44" s="522"/>
      <c r="J44" s="522"/>
      <c r="K44" s="1570"/>
      <c r="L44" s="1570"/>
      <c r="M44" s="522"/>
      <c r="N44" s="522"/>
      <c r="O44" s="937"/>
      <c r="P44" s="986"/>
      <c r="Q44" s="941"/>
      <c r="R44" s="945">
        <f>1.967-1.318</f>
        <v>0.64900000000000002</v>
      </c>
      <c r="S44" s="1762"/>
      <c r="T44" s="1763"/>
      <c r="U44" s="1762"/>
      <c r="V44" s="1762"/>
      <c r="W44" s="1760"/>
      <c r="X44" s="1761"/>
      <c r="Y44" s="1760"/>
      <c r="Z44" s="2507"/>
      <c r="AE44" s="2461"/>
      <c r="AF44" s="68"/>
      <c r="AK44" s="2815" t="s">
        <v>11233</v>
      </c>
      <c r="AL44" s="2579">
        <f>SUMIFS(P30:P952,F30:F952,5,G30:G952,4)+SUMIFS(Q30:Q952,F30:F952,5,G30:G952,4)</f>
        <v>11.171000000000003</v>
      </c>
      <c r="AM44" s="2817"/>
    </row>
    <row r="45" spans="1:39" s="76" customFormat="1" ht="45" x14ac:dyDescent="0.35">
      <c r="A45" s="2001">
        <v>3</v>
      </c>
      <c r="B45" s="515">
        <v>10601</v>
      </c>
      <c r="C45" s="515"/>
      <c r="D45" s="2467" t="s">
        <v>4807</v>
      </c>
      <c r="E45" s="516" t="s">
        <v>7706</v>
      </c>
      <c r="F45" s="165"/>
      <c r="G45" s="165" t="s">
        <v>191</v>
      </c>
      <c r="H45" s="166" t="s">
        <v>191</v>
      </c>
      <c r="I45" s="517">
        <f>J45+K45+L45</f>
        <v>4.59</v>
      </c>
      <c r="J45" s="518">
        <f>SUM(M45:R45)</f>
        <v>4.59</v>
      </c>
      <c r="K45" s="1569"/>
      <c r="L45" s="1569"/>
      <c r="M45" s="518"/>
      <c r="N45" s="518"/>
      <c r="O45" s="611"/>
      <c r="P45" s="967"/>
      <c r="Q45" s="888">
        <f>SUM(Q46:Q48)</f>
        <v>2.74</v>
      </c>
      <c r="R45" s="886">
        <f>SUM(R46:R48)</f>
        <v>1.85</v>
      </c>
      <c r="S45" s="1760"/>
      <c r="T45" s="1761"/>
      <c r="U45" s="1760"/>
      <c r="V45" s="1760"/>
      <c r="W45" s="1760">
        <v>6</v>
      </c>
      <c r="X45" s="1761">
        <v>60.5</v>
      </c>
      <c r="Y45" s="1760"/>
      <c r="Z45" s="2507"/>
      <c r="AB45" s="75">
        <v>1</v>
      </c>
      <c r="AE45" s="2461"/>
      <c r="AF45" s="68"/>
      <c r="AK45" s="2815" t="s">
        <v>910</v>
      </c>
      <c r="AL45" s="2579">
        <f>SUMIFS(R30:R952,F30:F952,5,G30:G952,4)</f>
        <v>0</v>
      </c>
      <c r="AM45" s="2817"/>
    </row>
    <row r="46" spans="1:39" s="76" customFormat="1" x14ac:dyDescent="0.35">
      <c r="A46" s="2002"/>
      <c r="B46" s="515">
        <v>10601</v>
      </c>
      <c r="C46" s="515"/>
      <c r="D46" s="521"/>
      <c r="E46" s="949" t="s">
        <v>1743</v>
      </c>
      <c r="F46" s="165">
        <v>5</v>
      </c>
      <c r="G46" s="165">
        <v>5</v>
      </c>
      <c r="H46" s="166">
        <v>6</v>
      </c>
      <c r="I46" s="522"/>
      <c r="J46" s="522"/>
      <c r="K46" s="1570"/>
      <c r="L46" s="1570"/>
      <c r="M46" s="522"/>
      <c r="N46" s="522"/>
      <c r="O46" s="937"/>
      <c r="P46" s="986"/>
      <c r="Q46" s="941">
        <v>0.65</v>
      </c>
      <c r="R46" s="945"/>
      <c r="S46" s="1762"/>
      <c r="T46" s="1763"/>
      <c r="U46" s="1762"/>
      <c r="V46" s="1762"/>
      <c r="W46" s="1760"/>
      <c r="X46" s="1761"/>
      <c r="Y46" s="1760"/>
      <c r="Z46" s="2507"/>
      <c r="AE46" s="2461"/>
      <c r="AF46" s="68"/>
      <c r="AK46" s="2818" t="s">
        <v>11234</v>
      </c>
      <c r="AL46" s="2821">
        <f>AL47+AL48+AL49+AL50+AL51</f>
        <v>0</v>
      </c>
      <c r="AM46" s="2820">
        <f>AL46-AH30-AI30-AJ30</f>
        <v>0</v>
      </c>
    </row>
    <row r="47" spans="1:39" s="76" customFormat="1" x14ac:dyDescent="0.35">
      <c r="A47" s="2002"/>
      <c r="B47" s="515">
        <v>10601</v>
      </c>
      <c r="C47" s="515"/>
      <c r="D47" s="521"/>
      <c r="E47" s="949" t="s">
        <v>2391</v>
      </c>
      <c r="F47" s="165" t="s">
        <v>827</v>
      </c>
      <c r="G47" s="165">
        <v>5</v>
      </c>
      <c r="H47" s="166">
        <v>6</v>
      </c>
      <c r="I47" s="522"/>
      <c r="J47" s="522"/>
      <c r="K47" s="1570"/>
      <c r="L47" s="1570"/>
      <c r="M47" s="522"/>
      <c r="N47" s="522"/>
      <c r="O47" s="937"/>
      <c r="P47" s="986"/>
      <c r="Q47" s="941">
        <f>2.74-0.65</f>
        <v>2.0900000000000003</v>
      </c>
      <c r="R47" s="945"/>
      <c r="S47" s="1762"/>
      <c r="T47" s="1763"/>
      <c r="U47" s="1762"/>
      <c r="V47" s="1762"/>
      <c r="W47" s="1760"/>
      <c r="X47" s="1761"/>
      <c r="Y47" s="1760"/>
      <c r="Z47" s="2507"/>
      <c r="AE47" s="2461"/>
      <c r="AF47" s="68"/>
      <c r="AK47" s="2815" t="s">
        <v>11230</v>
      </c>
      <c r="AL47" s="2579">
        <f>SUMIFS(M30:M952,F30:F952,"6а",G30:G952,4)+SUMIFS(M30:M952,F30:F952,"6б",G30:G952,4)+SUMIFS(M30:M952,F30:F952,"б/к",G30:G952,4)</f>
        <v>0</v>
      </c>
      <c r="AM47" s="2817"/>
    </row>
    <row r="48" spans="1:39" s="76" customFormat="1" x14ac:dyDescent="0.35">
      <c r="A48" s="2002"/>
      <c r="B48" s="515">
        <v>10601</v>
      </c>
      <c r="C48" s="515"/>
      <c r="D48" s="521"/>
      <c r="E48" s="948" t="s">
        <v>1232</v>
      </c>
      <c r="F48" s="165" t="s">
        <v>664</v>
      </c>
      <c r="G48" s="165">
        <v>5</v>
      </c>
      <c r="H48" s="165">
        <v>6</v>
      </c>
      <c r="I48" s="522"/>
      <c r="J48" s="522"/>
      <c r="K48" s="1570"/>
      <c r="L48" s="1570"/>
      <c r="M48" s="522"/>
      <c r="N48" s="522"/>
      <c r="O48" s="937"/>
      <c r="P48" s="986"/>
      <c r="Q48" s="941"/>
      <c r="R48" s="945">
        <v>1.85</v>
      </c>
      <c r="S48" s="1762"/>
      <c r="T48" s="1763"/>
      <c r="U48" s="1762"/>
      <c r="V48" s="1762"/>
      <c r="W48" s="1760"/>
      <c r="X48" s="1761"/>
      <c r="Y48" s="1760"/>
      <c r="Z48" s="2507"/>
      <c r="AE48" s="2461"/>
      <c r="AF48" s="68"/>
      <c r="AK48" s="2815" t="s">
        <v>11231</v>
      </c>
      <c r="AL48" s="2579">
        <f>SUMIFS(N30:N952,F30:F952,"6а",G30:G952,4)+SUMIFS(N30:N952,F30:F952,"6б",G30:G952,4)+SUMIFS(N30:N952,F30:F952,"б/к",G30:G952,4)</f>
        <v>0</v>
      </c>
      <c r="AM48" s="2817"/>
    </row>
    <row r="49" spans="1:39" s="76" customFormat="1" ht="105.5" x14ac:dyDescent="0.35">
      <c r="A49" s="525">
        <v>4</v>
      </c>
      <c r="B49" s="693">
        <v>10601</v>
      </c>
      <c r="C49" s="693"/>
      <c r="D49" s="2467" t="s">
        <v>4808</v>
      </c>
      <c r="E49" s="269" t="s">
        <v>9321</v>
      </c>
      <c r="F49" s="165">
        <v>5</v>
      </c>
      <c r="G49" s="165">
        <v>5</v>
      </c>
      <c r="H49" s="166">
        <v>6</v>
      </c>
      <c r="I49" s="517">
        <f>J49+K49+L49</f>
        <v>0.3</v>
      </c>
      <c r="J49" s="518">
        <f>SUM(M49:R49)</f>
        <v>0.3</v>
      </c>
      <c r="K49" s="1571"/>
      <c r="L49" s="1571"/>
      <c r="M49" s="527"/>
      <c r="N49" s="580">
        <v>0.3</v>
      </c>
      <c r="O49" s="939"/>
      <c r="P49" s="988"/>
      <c r="Q49" s="943"/>
      <c r="R49" s="947"/>
      <c r="S49" s="1571"/>
      <c r="T49" s="1571"/>
      <c r="U49" s="1571"/>
      <c r="V49" s="1571"/>
      <c r="W49" s="1760"/>
      <c r="X49" s="1761"/>
      <c r="Y49" s="1760"/>
      <c r="Z49" s="2507"/>
      <c r="AB49" s="75">
        <v>1</v>
      </c>
      <c r="AE49" s="2461"/>
      <c r="AF49" s="68"/>
      <c r="AK49" s="2815" t="s">
        <v>11232</v>
      </c>
      <c r="AL49" s="2579">
        <f>SUMIFS(O30:O952,F30:F952,"6а",G30:G952,4)+SUMIFS(O30:O952,F30:F952,"6б",G30:G952,4)+SUMIFS(O30:O952,F30:F952,"б/к",G30:G952,4)</f>
        <v>0</v>
      </c>
      <c r="AM49" s="2817"/>
    </row>
    <row r="50" spans="1:39" s="76" customFormat="1" ht="45.5" x14ac:dyDescent="0.35">
      <c r="A50" s="525">
        <v>5</v>
      </c>
      <c r="B50" s="693">
        <v>10601</v>
      </c>
      <c r="C50" s="693" t="s">
        <v>1656</v>
      </c>
      <c r="D50" s="2467" t="s">
        <v>4809</v>
      </c>
      <c r="E50" s="526" t="s">
        <v>9253</v>
      </c>
      <c r="F50" s="165"/>
      <c r="G50" s="165" t="s">
        <v>191</v>
      </c>
      <c r="H50" s="166" t="s">
        <v>191</v>
      </c>
      <c r="I50" s="517">
        <f>J50+K50+L50</f>
        <v>0.60799999999999998</v>
      </c>
      <c r="J50" s="518">
        <f>SUM(M50:R50)</f>
        <v>0.60799999999999998</v>
      </c>
      <c r="K50" s="1571"/>
      <c r="L50" s="1571"/>
      <c r="M50" s="527"/>
      <c r="N50" s="580">
        <f>SUM(N51:N52)</f>
        <v>0.41399999999999998</v>
      </c>
      <c r="O50" s="939"/>
      <c r="P50" s="988"/>
      <c r="Q50" s="2356">
        <f>SUM(Q51:Q52)</f>
        <v>0.19400000000000001</v>
      </c>
      <c r="R50" s="947"/>
      <c r="S50" s="1571"/>
      <c r="T50" s="1571"/>
      <c r="U50" s="1571"/>
      <c r="V50" s="1571"/>
      <c r="W50" s="1760">
        <v>2</v>
      </c>
      <c r="X50" s="1761">
        <v>20.04</v>
      </c>
      <c r="Y50" s="1760"/>
      <c r="Z50" s="2507"/>
      <c r="AB50" s="75">
        <v>1</v>
      </c>
      <c r="AE50" s="2461"/>
      <c r="AF50" s="68"/>
      <c r="AK50" s="2815" t="s">
        <v>11233</v>
      </c>
      <c r="AL50" s="2579">
        <f>SUMIFS(P30:P952,F30:F952,"6а",G30:G952,4)+SUMIFS(Q30:Q952,F30:F952,"6а",G30:G952,4)+SUMIFS(P30:P952,F30:F952,"6б",G30:G952,4)+SUMIFS(Q30:Q952,F30:F952,"6б",G30:G952,4)+SUMIFS(O30:O952,F30:F952,"б/к",G30:G952,4)+SUMIFS(P30:P952,F30:F952,"б/к",G30:G952,4)+SUMIFS(Q30:Q952,F30:F952,"б/к",G30:G952,4)</f>
        <v>0</v>
      </c>
      <c r="AM50" s="2817"/>
    </row>
    <row r="51" spans="1:39" s="76" customFormat="1" x14ac:dyDescent="0.35">
      <c r="A51" s="525"/>
      <c r="B51" s="693">
        <v>10601</v>
      </c>
      <c r="C51" s="693"/>
      <c r="D51" s="515"/>
      <c r="E51" s="519" t="s">
        <v>2155</v>
      </c>
      <c r="F51" s="165" t="s">
        <v>827</v>
      </c>
      <c r="G51" s="165">
        <v>5</v>
      </c>
      <c r="H51" s="166">
        <v>6</v>
      </c>
      <c r="I51" s="522"/>
      <c r="J51" s="524"/>
      <c r="K51" s="91"/>
      <c r="L51" s="91"/>
      <c r="M51" s="2210"/>
      <c r="N51" s="581">
        <v>0.41399999999999998</v>
      </c>
      <c r="O51" s="2211"/>
      <c r="P51" s="2404"/>
      <c r="Q51" s="943"/>
      <c r="R51" s="947"/>
      <c r="S51" s="1571"/>
      <c r="T51" s="1571"/>
      <c r="U51" s="1571"/>
      <c r="V51" s="1571"/>
      <c r="W51" s="1760"/>
      <c r="X51" s="1761"/>
      <c r="Y51" s="1760"/>
      <c r="Z51" s="2507"/>
      <c r="AB51" s="75"/>
      <c r="AE51" s="2461"/>
      <c r="AF51" s="68"/>
      <c r="AK51" s="2815" t="s">
        <v>910</v>
      </c>
      <c r="AL51" s="2579">
        <f>SUMIFS(R30:R952,F30:F952,"6а",G30:G952,4)+SUMIFS(R30:R952,F30:F952,"6б",G30:G952,4)+SUMIFS(R30:R952,F30:F952,"б/к",G30:G952,4)</f>
        <v>0</v>
      </c>
      <c r="AM51" s="2817"/>
    </row>
    <row r="52" spans="1:39" s="76" customFormat="1" x14ac:dyDescent="0.35">
      <c r="A52" s="525"/>
      <c r="B52" s="693">
        <v>10601</v>
      </c>
      <c r="C52" s="693"/>
      <c r="D52" s="515"/>
      <c r="E52" s="949" t="s">
        <v>2156</v>
      </c>
      <c r="F52" s="165" t="s">
        <v>1490</v>
      </c>
      <c r="G52" s="165">
        <v>5</v>
      </c>
      <c r="H52" s="166">
        <v>6</v>
      </c>
      <c r="I52" s="517"/>
      <c r="J52" s="518"/>
      <c r="K52" s="1571"/>
      <c r="L52" s="1571"/>
      <c r="M52" s="527"/>
      <c r="N52" s="580"/>
      <c r="O52" s="939"/>
      <c r="P52" s="988"/>
      <c r="Q52" s="914">
        <f>0.608-0.414</f>
        <v>0.19400000000000001</v>
      </c>
      <c r="R52" s="947"/>
      <c r="S52" s="1571"/>
      <c r="T52" s="1571"/>
      <c r="U52" s="1571"/>
      <c r="V52" s="1571"/>
      <c r="W52" s="1760"/>
      <c r="X52" s="1761"/>
      <c r="Y52" s="1760"/>
      <c r="Z52" s="2507"/>
      <c r="AB52" s="75"/>
      <c r="AE52" s="2461"/>
      <c r="AF52" s="68"/>
      <c r="AK52" s="2815"/>
      <c r="AL52" s="2579"/>
      <c r="AM52" s="2817"/>
    </row>
    <row r="53" spans="1:39" s="76" customFormat="1" ht="45" x14ac:dyDescent="0.35">
      <c r="A53" s="525">
        <v>6</v>
      </c>
      <c r="B53" s="693">
        <v>10601</v>
      </c>
      <c r="C53" s="693" t="s">
        <v>1656</v>
      </c>
      <c r="D53" s="2467" t="s">
        <v>4810</v>
      </c>
      <c r="E53" s="322" t="s">
        <v>9254</v>
      </c>
      <c r="F53" s="92">
        <v>5</v>
      </c>
      <c r="G53" s="92">
        <v>5</v>
      </c>
      <c r="H53" s="166">
        <v>6</v>
      </c>
      <c r="I53" s="1924">
        <f>J53+K53+L53</f>
        <v>0.1</v>
      </c>
      <c r="J53" s="1924">
        <f>SUM(M53:R53)</f>
        <v>0.1</v>
      </c>
      <c r="K53" s="622"/>
      <c r="L53" s="622"/>
      <c r="M53" s="622"/>
      <c r="N53" s="622">
        <v>0.1</v>
      </c>
      <c r="O53" s="622"/>
      <c r="P53" s="622"/>
      <c r="Q53" s="913"/>
      <c r="R53" s="906"/>
      <c r="S53" s="1571"/>
      <c r="T53" s="1571"/>
      <c r="U53" s="1571"/>
      <c r="V53" s="1571"/>
      <c r="W53" s="1760"/>
      <c r="X53" s="1761"/>
      <c r="Y53" s="1760"/>
      <c r="Z53" s="2507"/>
      <c r="AA53" s="3"/>
      <c r="AB53" s="3">
        <v>1</v>
      </c>
      <c r="AE53" s="2461"/>
      <c r="AF53" s="68"/>
      <c r="AK53" s="2818" t="s">
        <v>11236</v>
      </c>
      <c r="AL53" s="2821">
        <f>AL55+AL61+AL67</f>
        <v>348.82000000000005</v>
      </c>
      <c r="AM53" s="2820">
        <f>AL53-J20</f>
        <v>0</v>
      </c>
    </row>
    <row r="54" spans="1:39" s="76" customFormat="1" ht="45" x14ac:dyDescent="0.35">
      <c r="A54" s="525">
        <v>7</v>
      </c>
      <c r="B54" s="693">
        <v>10601</v>
      </c>
      <c r="C54" s="693" t="s">
        <v>1656</v>
      </c>
      <c r="D54" s="2467" t="s">
        <v>4811</v>
      </c>
      <c r="E54" s="322" t="s">
        <v>8475</v>
      </c>
      <c r="F54" s="92" t="s">
        <v>1490</v>
      </c>
      <c r="G54" s="92">
        <v>5</v>
      </c>
      <c r="H54" s="165">
        <v>6</v>
      </c>
      <c r="I54" s="1924">
        <f>J54+K54+L54</f>
        <v>0.1</v>
      </c>
      <c r="J54" s="1924">
        <f>SUM(M54:R54)</f>
        <v>0.1</v>
      </c>
      <c r="K54" s="622"/>
      <c r="L54" s="622"/>
      <c r="M54" s="622"/>
      <c r="N54" s="622"/>
      <c r="O54" s="622"/>
      <c r="P54" s="622"/>
      <c r="Q54" s="913"/>
      <c r="R54" s="906">
        <v>0.1</v>
      </c>
      <c r="S54" s="1571"/>
      <c r="T54" s="1571"/>
      <c r="U54" s="1571"/>
      <c r="V54" s="1571"/>
      <c r="W54" s="1760"/>
      <c r="X54" s="1761"/>
      <c r="Y54" s="1760"/>
      <c r="Z54" s="2507"/>
      <c r="AA54" s="3"/>
      <c r="AB54" s="3">
        <v>1</v>
      </c>
      <c r="AE54" s="2461"/>
      <c r="AF54" s="68"/>
      <c r="AK54" s="2815" t="s">
        <v>11229</v>
      </c>
      <c r="AL54" s="2579"/>
      <c r="AM54" s="2817"/>
    </row>
    <row r="55" spans="1:39" s="76" customFormat="1" ht="45" x14ac:dyDescent="0.35">
      <c r="A55" s="525">
        <v>8</v>
      </c>
      <c r="B55" s="693">
        <v>10601</v>
      </c>
      <c r="C55" s="693" t="s">
        <v>1656</v>
      </c>
      <c r="D55" s="2467" t="s">
        <v>4812</v>
      </c>
      <c r="E55" s="322" t="s">
        <v>8476</v>
      </c>
      <c r="F55" s="92" t="s">
        <v>1490</v>
      </c>
      <c r="G55" s="92">
        <v>5</v>
      </c>
      <c r="H55" s="165">
        <v>6</v>
      </c>
      <c r="I55" s="1924">
        <f>J55+K55+L55</f>
        <v>0.1</v>
      </c>
      <c r="J55" s="1924">
        <f>SUM(M55:R55)</f>
        <v>0.1</v>
      </c>
      <c r="K55" s="622"/>
      <c r="L55" s="622"/>
      <c r="M55" s="622"/>
      <c r="N55" s="622"/>
      <c r="O55" s="622"/>
      <c r="P55" s="622"/>
      <c r="Q55" s="913"/>
      <c r="R55" s="906">
        <v>0.1</v>
      </c>
      <c r="S55" s="1571"/>
      <c r="T55" s="1571"/>
      <c r="U55" s="1571"/>
      <c r="V55" s="1571"/>
      <c r="W55" s="1760"/>
      <c r="X55" s="1761"/>
      <c r="Y55" s="1760"/>
      <c r="Z55" s="2507"/>
      <c r="AA55" s="3"/>
      <c r="AB55" s="3">
        <v>1</v>
      </c>
      <c r="AE55" s="2461"/>
      <c r="AF55" s="68"/>
      <c r="AK55" s="2818" t="s">
        <v>7184</v>
      </c>
      <c r="AL55" s="2821">
        <f>AL56+AL57+AL58+AL59+AL60</f>
        <v>115.40600000000001</v>
      </c>
      <c r="AM55" s="2820">
        <f>AL55-AF31</f>
        <v>0</v>
      </c>
    </row>
    <row r="56" spans="1:39" s="76" customFormat="1" ht="45" x14ac:dyDescent="0.35">
      <c r="A56" s="525">
        <v>9</v>
      </c>
      <c r="B56" s="693">
        <v>10601</v>
      </c>
      <c r="C56" s="693" t="s">
        <v>1656</v>
      </c>
      <c r="D56" s="2467" t="s">
        <v>4813</v>
      </c>
      <c r="E56" s="322" t="s">
        <v>9255</v>
      </c>
      <c r="F56" s="92" t="s">
        <v>1490</v>
      </c>
      <c r="G56" s="92">
        <v>5</v>
      </c>
      <c r="H56" s="165">
        <v>6</v>
      </c>
      <c r="I56" s="1924">
        <f>J56+K56+L56</f>
        <v>0.1</v>
      </c>
      <c r="J56" s="1924">
        <f>SUM(M56:R56)</f>
        <v>0.1</v>
      </c>
      <c r="K56" s="622"/>
      <c r="L56" s="622"/>
      <c r="M56" s="622"/>
      <c r="N56" s="622"/>
      <c r="O56" s="622"/>
      <c r="P56" s="622"/>
      <c r="Q56" s="913"/>
      <c r="R56" s="906">
        <v>0.1</v>
      </c>
      <c r="S56" s="1571"/>
      <c r="T56" s="1571"/>
      <c r="U56" s="1571"/>
      <c r="V56" s="1571"/>
      <c r="W56" s="1760"/>
      <c r="X56" s="1761"/>
      <c r="Y56" s="1760"/>
      <c r="Z56" s="2507"/>
      <c r="AA56" s="3"/>
      <c r="AB56" s="3">
        <v>1</v>
      </c>
      <c r="AE56" s="2461"/>
      <c r="AF56" s="68"/>
      <c r="AK56" s="2815" t="s">
        <v>11230</v>
      </c>
      <c r="AL56" s="2579">
        <f>SUMIFS(M30:M952,F30:F952,4,G30:G952,5)</f>
        <v>0</v>
      </c>
      <c r="AM56" s="2817"/>
    </row>
    <row r="57" spans="1:39" s="76" customFormat="1" ht="30" x14ac:dyDescent="0.35">
      <c r="A57" s="525">
        <v>10</v>
      </c>
      <c r="B57" s="515">
        <v>10602</v>
      </c>
      <c r="C57" s="515"/>
      <c r="D57" s="515" t="s">
        <v>3168</v>
      </c>
      <c r="E57" s="1999" t="s">
        <v>11006</v>
      </c>
      <c r="F57" s="2289"/>
      <c r="G57" s="166" t="s">
        <v>191</v>
      </c>
      <c r="H57" s="964" t="s">
        <v>191</v>
      </c>
      <c r="I57" s="517">
        <f>J57+K57+L57</f>
        <v>28.702999999999999</v>
      </c>
      <c r="J57" s="518">
        <f>SUM(M57:R57)</f>
        <v>28.702999999999999</v>
      </c>
      <c r="K57" s="1569"/>
      <c r="L57" s="1569"/>
      <c r="M57" s="518"/>
      <c r="N57" s="2897">
        <f>SUM(N58:N68)</f>
        <v>23.138999999999999</v>
      </c>
      <c r="O57" s="611"/>
      <c r="P57" s="967"/>
      <c r="Q57" s="888">
        <f>SUM(Q58:Q68)</f>
        <v>5.5640000000000001</v>
      </c>
      <c r="R57" s="886"/>
      <c r="S57" s="1760">
        <v>2</v>
      </c>
      <c r="T57" s="1761">
        <v>36.799999999999997</v>
      </c>
      <c r="U57" s="1760"/>
      <c r="V57" s="1760"/>
      <c r="W57" s="1760">
        <v>40</v>
      </c>
      <c r="X57" s="1761">
        <v>580.98</v>
      </c>
      <c r="Y57" s="1760">
        <v>17</v>
      </c>
      <c r="Z57" s="2507">
        <v>225.22</v>
      </c>
      <c r="AB57" s="75">
        <v>1</v>
      </c>
      <c r="AE57" s="2461"/>
      <c r="AF57" s="68"/>
      <c r="AK57" s="2815" t="s">
        <v>11231</v>
      </c>
      <c r="AL57" s="2579">
        <f>SUMIFS(N30:N952,F30:F952,4,G30:G952,5)</f>
        <v>36.949000000000005</v>
      </c>
      <c r="AM57" s="2817"/>
    </row>
    <row r="58" spans="1:39" s="76" customFormat="1" x14ac:dyDescent="0.35">
      <c r="A58" s="2002"/>
      <c r="B58" s="515">
        <v>10602</v>
      </c>
      <c r="C58" s="515"/>
      <c r="D58" s="521"/>
      <c r="E58" s="519" t="s">
        <v>390</v>
      </c>
      <c r="F58" s="165">
        <v>4</v>
      </c>
      <c r="G58" s="165">
        <v>4</v>
      </c>
      <c r="H58" s="166">
        <v>6</v>
      </c>
      <c r="I58" s="522"/>
      <c r="J58" s="522"/>
      <c r="K58" s="1570"/>
      <c r="L58" s="1570"/>
      <c r="M58" s="522"/>
      <c r="N58" s="522">
        <v>7.1849999999999996</v>
      </c>
      <c r="O58" s="937"/>
      <c r="P58" s="986"/>
      <c r="Q58" s="941"/>
      <c r="R58" s="945"/>
      <c r="S58" s="1762"/>
      <c r="T58" s="1763"/>
      <c r="U58" s="1762"/>
      <c r="V58" s="1762"/>
      <c r="W58" s="1760"/>
      <c r="X58" s="1761"/>
      <c r="Y58" s="1760"/>
      <c r="Z58" s="2507"/>
      <c r="AE58" s="2461"/>
      <c r="AF58" s="68"/>
      <c r="AK58" s="2815" t="s">
        <v>11232</v>
      </c>
      <c r="AL58" s="2579">
        <f>SUMIFS(O30:O952,F30:F952,4,G30:G952,5)</f>
        <v>0</v>
      </c>
      <c r="AM58" s="2817"/>
    </row>
    <row r="59" spans="1:39" s="75" customFormat="1" x14ac:dyDescent="0.35">
      <c r="A59" s="2002"/>
      <c r="B59" s="515">
        <v>10602</v>
      </c>
      <c r="C59" s="515"/>
      <c r="D59" s="521"/>
      <c r="E59" s="951" t="s">
        <v>391</v>
      </c>
      <c r="F59" s="165">
        <v>4</v>
      </c>
      <c r="G59" s="165">
        <v>4</v>
      </c>
      <c r="H59" s="166">
        <v>10</v>
      </c>
      <c r="I59" s="2275"/>
      <c r="J59" s="2275"/>
      <c r="K59" s="2275"/>
      <c r="L59" s="2275"/>
      <c r="M59" s="2275"/>
      <c r="N59" s="2275">
        <f>8.314-7.185</f>
        <v>1.1290000000000004</v>
      </c>
      <c r="O59" s="937"/>
      <c r="P59" s="986"/>
      <c r="Q59" s="941"/>
      <c r="R59" s="945"/>
      <c r="S59" s="1762"/>
      <c r="T59" s="1763"/>
      <c r="U59" s="1762"/>
      <c r="V59" s="1762"/>
      <c r="W59" s="1760"/>
      <c r="X59" s="1761"/>
      <c r="Y59" s="1760"/>
      <c r="Z59" s="2507"/>
      <c r="AA59" s="76"/>
      <c r="AB59" s="76"/>
      <c r="AE59" s="2461"/>
      <c r="AF59" s="68"/>
      <c r="AK59" s="2815" t="s">
        <v>11233</v>
      </c>
      <c r="AL59" s="2579">
        <f>SUMIFS(P30:P952,F30:F952,4,G30:G952,5)+SUMIFS(Q30:Q952,F30:F952,4,G30:G952,5)</f>
        <v>78.456999999999994</v>
      </c>
      <c r="AM59" s="2817"/>
    </row>
    <row r="60" spans="1:39" s="76" customFormat="1" x14ac:dyDescent="0.35">
      <c r="A60" s="2002"/>
      <c r="B60" s="515">
        <v>10602</v>
      </c>
      <c r="C60" s="515"/>
      <c r="D60" s="521"/>
      <c r="E60" s="519" t="s">
        <v>1197</v>
      </c>
      <c r="F60" s="165">
        <v>4</v>
      </c>
      <c r="G60" s="165">
        <v>4</v>
      </c>
      <c r="H60" s="166">
        <v>6</v>
      </c>
      <c r="I60" s="2275"/>
      <c r="J60" s="2275"/>
      <c r="K60" s="2275"/>
      <c r="L60" s="2275"/>
      <c r="M60" s="2275"/>
      <c r="N60" s="2275">
        <f>8.831-8.314</f>
        <v>0.51699999999999946</v>
      </c>
      <c r="O60" s="937"/>
      <c r="P60" s="986"/>
      <c r="Q60" s="941"/>
      <c r="R60" s="945"/>
      <c r="S60" s="1762"/>
      <c r="T60" s="1763"/>
      <c r="U60" s="1762"/>
      <c r="V60" s="1762"/>
      <c r="W60" s="1760"/>
      <c r="X60" s="1761"/>
      <c r="Y60" s="1760"/>
      <c r="Z60" s="2507"/>
      <c r="AA60" s="75"/>
      <c r="AB60" s="75"/>
      <c r="AE60" s="2461"/>
      <c r="AF60" s="68"/>
      <c r="AK60" s="2815" t="s">
        <v>910</v>
      </c>
      <c r="AL60" s="2579">
        <f>SUMIFS(R30:R952,F30:F952,4,G30:G952,5)</f>
        <v>0</v>
      </c>
      <c r="AM60" s="2817"/>
    </row>
    <row r="61" spans="1:39" s="76" customFormat="1" x14ac:dyDescent="0.35">
      <c r="A61" s="2002"/>
      <c r="B61" s="515"/>
      <c r="C61" s="515"/>
      <c r="D61" s="521"/>
      <c r="E61" s="519" t="s">
        <v>1198</v>
      </c>
      <c r="F61" s="165">
        <v>4</v>
      </c>
      <c r="G61" s="165">
        <v>4</v>
      </c>
      <c r="H61" s="166">
        <v>10</v>
      </c>
      <c r="I61" s="2275"/>
      <c r="J61" s="2275"/>
      <c r="K61" s="2275"/>
      <c r="L61" s="2275"/>
      <c r="M61" s="2275"/>
      <c r="N61" s="2275">
        <f>10.47-8.831</f>
        <v>1.6390000000000011</v>
      </c>
      <c r="O61" s="937"/>
      <c r="P61" s="986"/>
      <c r="Q61" s="941"/>
      <c r="R61" s="945"/>
      <c r="S61" s="1762"/>
      <c r="T61" s="1763"/>
      <c r="U61" s="1762"/>
      <c r="V61" s="1762"/>
      <c r="W61" s="1760"/>
      <c r="X61" s="1761"/>
      <c r="Y61" s="1760"/>
      <c r="Z61" s="2507"/>
      <c r="AA61" s="75"/>
      <c r="AB61" s="75"/>
      <c r="AE61" s="2461"/>
      <c r="AF61" s="68"/>
      <c r="AK61" s="2818" t="s">
        <v>7185</v>
      </c>
      <c r="AL61" s="2821">
        <f>AL62+AL63+AL64+AL65+AL66</f>
        <v>91.813000000000002</v>
      </c>
      <c r="AM61" s="2820">
        <f>AL61-AG31</f>
        <v>0</v>
      </c>
    </row>
    <row r="62" spans="1:39" s="76" customFormat="1" x14ac:dyDescent="0.35">
      <c r="A62" s="2002"/>
      <c r="B62" s="515"/>
      <c r="C62" s="515"/>
      <c r="D62" s="521"/>
      <c r="E62" s="519" t="s">
        <v>696</v>
      </c>
      <c r="F62" s="165">
        <v>4</v>
      </c>
      <c r="G62" s="165">
        <v>4</v>
      </c>
      <c r="H62" s="166">
        <v>6</v>
      </c>
      <c r="I62" s="2275"/>
      <c r="J62" s="2275"/>
      <c r="K62" s="2275"/>
      <c r="L62" s="2275"/>
      <c r="M62" s="2275"/>
      <c r="N62" s="2275">
        <f>12.93-10.47</f>
        <v>2.4599999999999991</v>
      </c>
      <c r="O62" s="937"/>
      <c r="P62" s="986"/>
      <c r="Q62" s="941"/>
      <c r="R62" s="945"/>
      <c r="S62" s="1762"/>
      <c r="T62" s="1763"/>
      <c r="U62" s="1762"/>
      <c r="V62" s="1762"/>
      <c r="W62" s="1760"/>
      <c r="X62" s="1761"/>
      <c r="Y62" s="1760"/>
      <c r="Z62" s="2507"/>
      <c r="AA62" s="75"/>
      <c r="AB62" s="75"/>
      <c r="AE62" s="2461"/>
      <c r="AF62" s="68"/>
      <c r="AK62" s="2815" t="s">
        <v>11230</v>
      </c>
      <c r="AL62" s="2579">
        <f>SUMIFS(M30:M952,F30:F952,5,G30:G952,5)</f>
        <v>0</v>
      </c>
      <c r="AM62" s="2817"/>
    </row>
    <row r="63" spans="1:39" s="76" customFormat="1" x14ac:dyDescent="0.35">
      <c r="A63" s="2002"/>
      <c r="B63" s="515">
        <v>10602</v>
      </c>
      <c r="C63" s="515"/>
      <c r="D63" s="521"/>
      <c r="E63" s="951" t="s">
        <v>10449</v>
      </c>
      <c r="F63" s="165">
        <v>4</v>
      </c>
      <c r="G63" s="165">
        <v>4</v>
      </c>
      <c r="H63" s="166">
        <v>10</v>
      </c>
      <c r="I63" s="2275"/>
      <c r="J63" s="2275"/>
      <c r="K63" s="2275"/>
      <c r="L63" s="2275"/>
      <c r="M63" s="2275"/>
      <c r="N63" s="2275">
        <f>16.33-12.93</f>
        <v>3.3999999999999986</v>
      </c>
      <c r="O63" s="937"/>
      <c r="P63" s="986"/>
      <c r="Q63" s="941"/>
      <c r="R63" s="945"/>
      <c r="S63" s="1762"/>
      <c r="T63" s="1763"/>
      <c r="U63" s="1762"/>
      <c r="V63" s="1762"/>
      <c r="W63" s="1760"/>
      <c r="X63" s="1761"/>
      <c r="Y63" s="1760"/>
      <c r="Z63" s="2507"/>
      <c r="AE63" s="2461"/>
      <c r="AF63" s="68"/>
      <c r="AK63" s="2815" t="s">
        <v>11231</v>
      </c>
      <c r="AL63" s="2579">
        <f>SUMIFS(N30:N952,F30:F952,5,G30:G952,5)</f>
        <v>10.968</v>
      </c>
      <c r="AM63" s="2817"/>
    </row>
    <row r="64" spans="1:39" s="76" customFormat="1" x14ac:dyDescent="0.35">
      <c r="A64" s="2002"/>
      <c r="B64" s="515">
        <v>10602</v>
      </c>
      <c r="C64" s="515"/>
      <c r="D64" s="521"/>
      <c r="E64" s="2968" t="s">
        <v>10450</v>
      </c>
      <c r="F64" s="165">
        <v>4</v>
      </c>
      <c r="G64" s="165">
        <v>4</v>
      </c>
      <c r="H64" s="166">
        <v>6</v>
      </c>
      <c r="I64" s="522"/>
      <c r="J64" s="522"/>
      <c r="K64" s="1570"/>
      <c r="L64" s="1570"/>
      <c r="M64" s="522"/>
      <c r="N64" s="2967">
        <f>18.915-16.33</f>
        <v>2.5850000000000009</v>
      </c>
      <c r="O64" s="937"/>
      <c r="P64" s="986"/>
      <c r="Q64" s="941">
        <v>0</v>
      </c>
      <c r="R64" s="945"/>
      <c r="S64" s="1762"/>
      <c r="T64" s="1763"/>
      <c r="U64" s="1762"/>
      <c r="V64" s="1762"/>
      <c r="W64" s="1760"/>
      <c r="X64" s="1761"/>
      <c r="Y64" s="1760"/>
      <c r="Z64" s="2507"/>
      <c r="AE64" s="2461"/>
      <c r="AF64" s="68"/>
      <c r="AK64" s="2815" t="s">
        <v>11232</v>
      </c>
      <c r="AL64" s="2579">
        <f>SUMIFS(O30:O952,F30:F952,5,G30:G952,5)</f>
        <v>4.8380000000000001</v>
      </c>
      <c r="AM64" s="2817"/>
    </row>
    <row r="65" spans="1:39" s="76" customFormat="1" x14ac:dyDescent="0.35">
      <c r="A65" s="2002"/>
      <c r="B65" s="515">
        <v>10602</v>
      </c>
      <c r="C65" s="515"/>
      <c r="D65" s="521"/>
      <c r="E65" s="519" t="s">
        <v>771</v>
      </c>
      <c r="F65" s="165">
        <v>4</v>
      </c>
      <c r="G65" s="165">
        <v>4</v>
      </c>
      <c r="H65" s="166">
        <v>6</v>
      </c>
      <c r="I65" s="522"/>
      <c r="J65" s="522"/>
      <c r="K65" s="1570"/>
      <c r="L65" s="1570"/>
      <c r="M65" s="522"/>
      <c r="N65" s="522">
        <f>19.9-18.915</f>
        <v>0.98499999999999943</v>
      </c>
      <c r="O65" s="937"/>
      <c r="P65" s="986"/>
      <c r="Q65" s="941"/>
      <c r="R65" s="945"/>
      <c r="S65" s="1762"/>
      <c r="T65" s="1763"/>
      <c r="U65" s="1762"/>
      <c r="V65" s="1762"/>
      <c r="W65" s="1760"/>
      <c r="X65" s="1761"/>
      <c r="Y65" s="1760"/>
      <c r="Z65" s="2507"/>
      <c r="AE65" s="2461"/>
      <c r="AF65" s="68"/>
      <c r="AK65" s="2815" t="s">
        <v>11233</v>
      </c>
      <c r="AL65" s="2579">
        <f>SUMIFS(P30:P952,F30:F952,5,G30:G952,5)+SUMIFS(Q30:Q952,F30:F952,5,G30:G952,5)</f>
        <v>72.292000000000002</v>
      </c>
      <c r="AM65" s="2817"/>
    </row>
    <row r="66" spans="1:39" s="76" customFormat="1" x14ac:dyDescent="0.35">
      <c r="A66" s="2002"/>
      <c r="B66" s="515">
        <v>10602</v>
      </c>
      <c r="C66" s="515"/>
      <c r="D66" s="521"/>
      <c r="E66" s="519" t="s">
        <v>834</v>
      </c>
      <c r="F66" s="165">
        <v>4</v>
      </c>
      <c r="G66" s="165">
        <v>5</v>
      </c>
      <c r="H66" s="166">
        <v>6</v>
      </c>
      <c r="I66" s="522"/>
      <c r="J66" s="522"/>
      <c r="K66" s="1570"/>
      <c r="L66" s="1570"/>
      <c r="M66" s="522"/>
      <c r="N66" s="522">
        <f>22.382-19.9</f>
        <v>2.4820000000000029</v>
      </c>
      <c r="O66" s="937"/>
      <c r="P66" s="986"/>
      <c r="Q66" s="941"/>
      <c r="R66" s="945"/>
      <c r="S66" s="1762"/>
      <c r="T66" s="1763"/>
      <c r="U66" s="1762"/>
      <c r="V66" s="1762"/>
      <c r="W66" s="1760"/>
      <c r="X66" s="1761"/>
      <c r="Y66" s="1760"/>
      <c r="Z66" s="2507"/>
      <c r="AE66" s="2461"/>
      <c r="AF66" s="68"/>
      <c r="AK66" s="2815" t="s">
        <v>910</v>
      </c>
      <c r="AL66" s="2579">
        <f>SUMIFS(R30:R952,F30:F952,5,G30:G952,5)</f>
        <v>3.7149999999999999</v>
      </c>
      <c r="AM66" s="2817"/>
    </row>
    <row r="67" spans="1:39" s="76" customFormat="1" x14ac:dyDescent="0.35">
      <c r="A67" s="2002"/>
      <c r="B67" s="515">
        <v>10602</v>
      </c>
      <c r="C67" s="515"/>
      <c r="D67" s="521"/>
      <c r="E67" s="949" t="s">
        <v>1040</v>
      </c>
      <c r="F67" s="165">
        <v>4</v>
      </c>
      <c r="G67" s="165">
        <v>5</v>
      </c>
      <c r="H67" s="166">
        <v>6</v>
      </c>
      <c r="I67" s="522"/>
      <c r="J67" s="522"/>
      <c r="K67" s="1570"/>
      <c r="L67" s="1570"/>
      <c r="M67" s="522"/>
      <c r="N67" s="522"/>
      <c r="O67" s="937"/>
      <c r="P67" s="986"/>
      <c r="Q67" s="941">
        <f>27.946-22.382</f>
        <v>5.5640000000000001</v>
      </c>
      <c r="R67" s="945"/>
      <c r="S67" s="1762"/>
      <c r="T67" s="1763"/>
      <c r="U67" s="1762"/>
      <c r="V67" s="1762"/>
      <c r="W67" s="1760"/>
      <c r="X67" s="1761"/>
      <c r="Y67" s="1760"/>
      <c r="Z67" s="2507"/>
      <c r="AE67" s="2461"/>
      <c r="AF67" s="68"/>
      <c r="AK67" s="2818" t="s">
        <v>11234</v>
      </c>
      <c r="AL67" s="2821">
        <f>AL68+AL69+AL70+AL71+AL72</f>
        <v>141.60100000000003</v>
      </c>
      <c r="AM67" s="2820">
        <f>AL67-AH31-AI31-AJ31</f>
        <v>0</v>
      </c>
    </row>
    <row r="68" spans="1:39" s="76" customFormat="1" x14ac:dyDescent="0.35">
      <c r="A68" s="2002"/>
      <c r="B68" s="515">
        <v>10602</v>
      </c>
      <c r="C68" s="515"/>
      <c r="D68" s="521"/>
      <c r="E68" s="519" t="s">
        <v>2644</v>
      </c>
      <c r="F68" s="165">
        <v>4</v>
      </c>
      <c r="G68" s="165">
        <v>5</v>
      </c>
      <c r="H68" s="166">
        <v>6</v>
      </c>
      <c r="I68" s="522"/>
      <c r="J68" s="522"/>
      <c r="K68" s="1570"/>
      <c r="L68" s="1570"/>
      <c r="M68" s="522"/>
      <c r="N68" s="522">
        <f>28.703-27.946</f>
        <v>0.7569999999999979</v>
      </c>
      <c r="O68" s="937"/>
      <c r="P68" s="986"/>
      <c r="Q68" s="941"/>
      <c r="R68" s="945"/>
      <c r="S68" s="1762"/>
      <c r="T68" s="1763"/>
      <c r="U68" s="1762"/>
      <c r="V68" s="1762"/>
      <c r="W68" s="1760"/>
      <c r="X68" s="1761"/>
      <c r="Y68" s="1760"/>
      <c r="Z68" s="2507"/>
      <c r="AE68" s="2461"/>
      <c r="AF68" s="68"/>
      <c r="AK68" s="2815" t="s">
        <v>11230</v>
      </c>
      <c r="AL68" s="2579">
        <f>SUMIFS(M30:M952,F30:F952,"6а",G30:G952,5)+SUMIFS(M30:M952,F30:F952,"6б",G30:G952,5)+SUMIFS(M30:M952,F30:F952,"б/к",G30:G952,5)</f>
        <v>0</v>
      </c>
      <c r="AM68" s="2817"/>
    </row>
    <row r="69" spans="1:39" s="76" customFormat="1" ht="45" x14ac:dyDescent="0.35">
      <c r="A69" s="2001">
        <v>11</v>
      </c>
      <c r="B69" s="515">
        <v>10602</v>
      </c>
      <c r="C69" s="515"/>
      <c r="D69" s="2467" t="s">
        <v>4815</v>
      </c>
      <c r="E69" s="516" t="s">
        <v>10374</v>
      </c>
      <c r="F69" s="165" t="s">
        <v>664</v>
      </c>
      <c r="G69" s="165">
        <v>5</v>
      </c>
      <c r="H69" s="165">
        <v>6</v>
      </c>
      <c r="I69" s="517">
        <f t="shared" ref="I69:I77" si="6">J69+K69+L69</f>
        <v>3.1</v>
      </c>
      <c r="J69" s="518">
        <f t="shared" ref="J69:J77" si="7">SUM(M69:R69)</f>
        <v>3.1</v>
      </c>
      <c r="K69" s="1569"/>
      <c r="L69" s="1569"/>
      <c r="M69" s="517"/>
      <c r="N69" s="517"/>
      <c r="O69" s="938"/>
      <c r="P69" s="987"/>
      <c r="Q69" s="942"/>
      <c r="R69" s="946">
        <v>3.1</v>
      </c>
      <c r="S69" s="1760"/>
      <c r="T69" s="1761"/>
      <c r="U69" s="1760"/>
      <c r="V69" s="1760"/>
      <c r="W69" s="1760"/>
      <c r="X69" s="1761"/>
      <c r="Y69" s="1760"/>
      <c r="Z69" s="2507"/>
      <c r="AB69" s="75">
        <v>1</v>
      </c>
      <c r="AE69" s="2461"/>
      <c r="AF69" s="68"/>
      <c r="AK69" s="2815" t="s">
        <v>11231</v>
      </c>
      <c r="AL69" s="2579">
        <f>SUMIFS(N30:N952,F30:F952,"6а",G30:G952,5)+SUMIFS(N30:N952,F30:F952,"6б",G30:G952,5)+SUMIFS(N30:N952,F30:F952,"б/к",G30:G952,5)</f>
        <v>2.8220000000000001</v>
      </c>
      <c r="AM69" s="2817"/>
    </row>
    <row r="70" spans="1:39" s="76" customFormat="1" ht="45" x14ac:dyDescent="0.35">
      <c r="A70" s="2001">
        <v>12</v>
      </c>
      <c r="B70" s="515">
        <v>10602</v>
      </c>
      <c r="C70" s="515"/>
      <c r="D70" s="2467" t="s">
        <v>4816</v>
      </c>
      <c r="E70" s="516" t="s">
        <v>10375</v>
      </c>
      <c r="F70" s="165" t="s">
        <v>664</v>
      </c>
      <c r="G70" s="165">
        <v>5</v>
      </c>
      <c r="H70" s="165">
        <v>6</v>
      </c>
      <c r="I70" s="517">
        <f t="shared" si="6"/>
        <v>1.05</v>
      </c>
      <c r="J70" s="518">
        <f t="shared" si="7"/>
        <v>1.05</v>
      </c>
      <c r="K70" s="1569"/>
      <c r="L70" s="1569"/>
      <c r="M70" s="517"/>
      <c r="N70" s="517"/>
      <c r="O70" s="938"/>
      <c r="P70" s="987"/>
      <c r="Q70" s="942"/>
      <c r="R70" s="946">
        <v>1.05</v>
      </c>
      <c r="S70" s="1760"/>
      <c r="T70" s="1761"/>
      <c r="U70" s="1760"/>
      <c r="V70" s="1760"/>
      <c r="W70" s="1760"/>
      <c r="X70" s="1761"/>
      <c r="Y70" s="1760"/>
      <c r="Z70" s="2507"/>
      <c r="AB70" s="75">
        <v>1</v>
      </c>
      <c r="AE70" s="2461"/>
      <c r="AF70" s="68"/>
      <c r="AK70" s="2815" t="s">
        <v>11232</v>
      </c>
      <c r="AL70" s="2579">
        <f>SUMIFS(O30:O952,F30:F952,"6а",G30:G952,5)+SUMIFS(O30:O952,F30:F952,"6б",G30:G952,5)+SUMIFS(O30:O952,F30:F952,"б/к",G30:G952,5)</f>
        <v>0</v>
      </c>
      <c r="AM70" s="2817"/>
    </row>
    <row r="71" spans="1:39" s="76" customFormat="1" ht="45.5" x14ac:dyDescent="0.35">
      <c r="A71" s="2001">
        <v>13</v>
      </c>
      <c r="B71" s="693">
        <v>10602</v>
      </c>
      <c r="C71" s="693" t="s">
        <v>1656</v>
      </c>
      <c r="D71" s="2467" t="s">
        <v>4817</v>
      </c>
      <c r="E71" s="526" t="s">
        <v>10376</v>
      </c>
      <c r="F71" s="165"/>
      <c r="G71" s="166" t="s">
        <v>191</v>
      </c>
      <c r="H71" s="166" t="s">
        <v>191</v>
      </c>
      <c r="I71" s="517">
        <f t="shared" si="6"/>
        <v>2</v>
      </c>
      <c r="J71" s="518">
        <f t="shared" si="7"/>
        <v>2</v>
      </c>
      <c r="K71" s="2791"/>
      <c r="L71" s="2791"/>
      <c r="M71" s="580"/>
      <c r="N71" s="580">
        <v>1</v>
      </c>
      <c r="O71" s="2792"/>
      <c r="P71" s="2793"/>
      <c r="Q71" s="2356"/>
      <c r="R71" s="2235">
        <v>1</v>
      </c>
      <c r="S71" s="1571"/>
      <c r="T71" s="1571"/>
      <c r="U71" s="1571"/>
      <c r="V71" s="1571"/>
      <c r="W71" s="1760"/>
      <c r="X71" s="1761"/>
      <c r="Y71" s="1760"/>
      <c r="Z71" s="2507"/>
      <c r="AB71" s="75">
        <v>1</v>
      </c>
      <c r="AE71" s="2461"/>
      <c r="AF71" s="68"/>
      <c r="AK71" s="2815" t="s">
        <v>11233</v>
      </c>
      <c r="AL71" s="2579">
        <f>SUMIFS(P30:P952,F30:F952,"6а",G30:G952,5)+SUMIFS(Q30:Q952,F30:F952,"6а",G30:G952,5)+SUMIFS(P30:P952,F30:F952,"6б",G30:G952,5)+SUMIFS(Q30:Q952,F30:F952,"6б",G30:G952,5)+SUMIFS(P30:P952,F30:F952,"б/к",G30:G952,5)+SUMIFS(Q30:Q952,F30:F952,"б/к",G30:G952,5)</f>
        <v>7.9170000000000016</v>
      </c>
      <c r="AM71" s="2817"/>
    </row>
    <row r="72" spans="1:39" s="76" customFormat="1" x14ac:dyDescent="0.35">
      <c r="A72" s="2001"/>
      <c r="B72" s="693"/>
      <c r="C72" s="693"/>
      <c r="D72" s="2467"/>
      <c r="E72" s="519" t="s">
        <v>2628</v>
      </c>
      <c r="F72" s="165" t="s">
        <v>1490</v>
      </c>
      <c r="G72" s="165">
        <v>5</v>
      </c>
      <c r="H72" s="166">
        <v>6</v>
      </c>
      <c r="I72" s="522"/>
      <c r="J72" s="524"/>
      <c r="K72" s="1857"/>
      <c r="L72" s="1857"/>
      <c r="M72" s="581"/>
      <c r="N72" s="581">
        <v>1</v>
      </c>
      <c r="O72" s="919"/>
      <c r="P72" s="2794"/>
      <c r="Q72" s="914"/>
      <c r="R72" s="907"/>
      <c r="S72" s="1571"/>
      <c r="T72" s="1571"/>
      <c r="U72" s="1571"/>
      <c r="V72" s="1571"/>
      <c r="W72" s="1760"/>
      <c r="X72" s="1761"/>
      <c r="Y72" s="1760"/>
      <c r="Z72" s="2507"/>
      <c r="AB72" s="75"/>
      <c r="AE72" s="2461"/>
      <c r="AF72" s="68"/>
      <c r="AK72" s="2815" t="s">
        <v>910</v>
      </c>
      <c r="AL72" s="2579">
        <f>SUMIFS(R30:R952,F30:F952,"6а",G30:G952,5)+SUMIFS(R30:R952,F30:F952,"6б",G30:G952,5)+SUMIFS(R30:R952,F30:F952,"б/к",G30:G952,5)</f>
        <v>130.86200000000002</v>
      </c>
      <c r="AM72" s="2817"/>
    </row>
    <row r="73" spans="1:39" s="76" customFormat="1" x14ac:dyDescent="0.35">
      <c r="A73" s="2001"/>
      <c r="B73" s="693"/>
      <c r="C73" s="693"/>
      <c r="D73" s="2467"/>
      <c r="E73" s="948" t="s">
        <v>11152</v>
      </c>
      <c r="F73" s="165" t="s">
        <v>1490</v>
      </c>
      <c r="G73" s="165">
        <v>5</v>
      </c>
      <c r="H73" s="165">
        <v>6</v>
      </c>
      <c r="I73" s="522"/>
      <c r="J73" s="524"/>
      <c r="K73" s="1857"/>
      <c r="L73" s="1857"/>
      <c r="M73" s="581"/>
      <c r="N73" s="581"/>
      <c r="O73" s="919"/>
      <c r="P73" s="2794"/>
      <c r="Q73" s="914"/>
      <c r="R73" s="907">
        <f>2-1</f>
        <v>1</v>
      </c>
      <c r="S73" s="1571"/>
      <c r="T73" s="1571"/>
      <c r="U73" s="1571"/>
      <c r="V73" s="1571"/>
      <c r="W73" s="1760"/>
      <c r="X73" s="1761"/>
      <c r="Y73" s="1760"/>
      <c r="Z73" s="2507"/>
      <c r="AB73" s="75"/>
      <c r="AE73" s="2461"/>
      <c r="AF73" s="68"/>
      <c r="AK73" s="2815"/>
      <c r="AL73" s="2579"/>
      <c r="AM73" s="2817"/>
    </row>
    <row r="74" spans="1:39" s="76" customFormat="1" ht="45" x14ac:dyDescent="0.35">
      <c r="A74" s="2001">
        <v>14</v>
      </c>
      <c r="B74" s="693">
        <v>10602</v>
      </c>
      <c r="C74" s="693" t="s">
        <v>1656</v>
      </c>
      <c r="D74" s="2467" t="s">
        <v>4818</v>
      </c>
      <c r="E74" s="322" t="s">
        <v>10377</v>
      </c>
      <c r="F74" s="92" t="s">
        <v>664</v>
      </c>
      <c r="G74" s="92">
        <v>5</v>
      </c>
      <c r="H74" s="165">
        <v>6</v>
      </c>
      <c r="I74" s="1924">
        <f t="shared" si="6"/>
        <v>0.3</v>
      </c>
      <c r="J74" s="1924">
        <f t="shared" si="7"/>
        <v>0.3</v>
      </c>
      <c r="K74" s="622"/>
      <c r="L74" s="622"/>
      <c r="M74" s="622"/>
      <c r="N74" s="622"/>
      <c r="O74" s="622"/>
      <c r="P74" s="622"/>
      <c r="Q74" s="913"/>
      <c r="R74" s="906">
        <v>0.3</v>
      </c>
      <c r="S74" s="1571"/>
      <c r="T74" s="1571"/>
      <c r="U74" s="1571"/>
      <c r="V74" s="1571"/>
      <c r="W74" s="1760"/>
      <c r="X74" s="1761"/>
      <c r="Y74" s="1760"/>
      <c r="Z74" s="2507"/>
      <c r="AA74" s="3"/>
      <c r="AB74" s="3">
        <v>1</v>
      </c>
      <c r="AE74" s="2461"/>
      <c r="AF74" s="68"/>
      <c r="AK74" s="2822" t="s">
        <v>11237</v>
      </c>
      <c r="AL74" s="2823">
        <f>AL11+AL32+AL53</f>
        <v>522.29800000000012</v>
      </c>
      <c r="AM74" s="2824">
        <f>AL74-J10</f>
        <v>0</v>
      </c>
    </row>
    <row r="75" spans="1:39" s="76" customFormat="1" ht="45" x14ac:dyDescent="0.35">
      <c r="A75" s="2001">
        <v>15</v>
      </c>
      <c r="B75" s="693">
        <v>10602</v>
      </c>
      <c r="C75" s="693" t="s">
        <v>1656</v>
      </c>
      <c r="D75" s="2467" t="s">
        <v>4819</v>
      </c>
      <c r="E75" s="322" t="s">
        <v>10378</v>
      </c>
      <c r="F75" s="92" t="s">
        <v>1490</v>
      </c>
      <c r="G75" s="92">
        <v>5</v>
      </c>
      <c r="H75" s="165">
        <v>6</v>
      </c>
      <c r="I75" s="1924">
        <f t="shared" si="6"/>
        <v>0.1</v>
      </c>
      <c r="J75" s="1924">
        <f t="shared" si="7"/>
        <v>0.1</v>
      </c>
      <c r="K75" s="622"/>
      <c r="L75" s="622"/>
      <c r="M75" s="622"/>
      <c r="N75" s="622"/>
      <c r="O75" s="622"/>
      <c r="P75" s="622"/>
      <c r="Q75" s="913"/>
      <c r="R75" s="906">
        <v>0.1</v>
      </c>
      <c r="S75" s="1571"/>
      <c r="T75" s="1571"/>
      <c r="U75" s="1571"/>
      <c r="V75" s="1571"/>
      <c r="W75" s="1760"/>
      <c r="X75" s="1761"/>
      <c r="Y75" s="1760"/>
      <c r="Z75" s="2507"/>
      <c r="AA75" s="3"/>
      <c r="AB75" s="3">
        <v>1</v>
      </c>
      <c r="AE75" s="2461"/>
      <c r="AF75" s="68"/>
      <c r="AK75" s="2825" t="s">
        <v>11238</v>
      </c>
      <c r="AL75" s="2826">
        <f>AL34+AL55+AL13</f>
        <v>273.64000000000004</v>
      </c>
      <c r="AM75" s="2827">
        <f>AL75-J12</f>
        <v>0</v>
      </c>
    </row>
    <row r="76" spans="1:39" s="76" customFormat="1" ht="45" x14ac:dyDescent="0.35">
      <c r="A76" s="2001">
        <v>16</v>
      </c>
      <c r="B76" s="693">
        <v>10602</v>
      </c>
      <c r="C76" s="693" t="s">
        <v>1656</v>
      </c>
      <c r="D76" s="2467" t="s">
        <v>4820</v>
      </c>
      <c r="E76" s="322" t="s">
        <v>10379</v>
      </c>
      <c r="F76" s="92" t="s">
        <v>1490</v>
      </c>
      <c r="G76" s="92">
        <v>5</v>
      </c>
      <c r="H76" s="165">
        <v>6</v>
      </c>
      <c r="I76" s="1924">
        <f t="shared" si="6"/>
        <v>0.1</v>
      </c>
      <c r="J76" s="1924">
        <f t="shared" si="7"/>
        <v>0.1</v>
      </c>
      <c r="K76" s="622"/>
      <c r="L76" s="622"/>
      <c r="M76" s="622"/>
      <c r="N76" s="622"/>
      <c r="O76" s="622"/>
      <c r="P76" s="622"/>
      <c r="Q76" s="913"/>
      <c r="R76" s="906">
        <v>0.1</v>
      </c>
      <c r="S76" s="1571"/>
      <c r="T76" s="1571"/>
      <c r="U76" s="1571"/>
      <c r="V76" s="1571"/>
      <c r="W76" s="1760"/>
      <c r="X76" s="1761"/>
      <c r="Y76" s="1760"/>
      <c r="Z76" s="2507"/>
      <c r="AA76" s="3"/>
      <c r="AB76" s="3">
        <v>1</v>
      </c>
      <c r="AE76" s="2461"/>
      <c r="AF76" s="68"/>
      <c r="AK76" s="2828" t="s">
        <v>11239</v>
      </c>
      <c r="AL76" s="2826">
        <f>AL19+AL40+AL61</f>
        <v>107.057</v>
      </c>
      <c r="AM76" s="2827">
        <f>AL76-J13</f>
        <v>0</v>
      </c>
    </row>
    <row r="77" spans="1:39" s="75" customFormat="1" ht="30" x14ac:dyDescent="0.35">
      <c r="A77" s="2001">
        <v>17</v>
      </c>
      <c r="B77" s="515">
        <v>10603</v>
      </c>
      <c r="C77" s="515"/>
      <c r="D77" s="515" t="s">
        <v>2523</v>
      </c>
      <c r="E77" s="516" t="s">
        <v>7126</v>
      </c>
      <c r="F77" s="2289"/>
      <c r="G77" s="2289" t="s">
        <v>191</v>
      </c>
      <c r="H77" s="166" t="s">
        <v>191</v>
      </c>
      <c r="I77" s="517">
        <f t="shared" si="6"/>
        <v>29.736000000000004</v>
      </c>
      <c r="J77" s="518">
        <f t="shared" si="7"/>
        <v>28.797000000000004</v>
      </c>
      <c r="K77" s="1569"/>
      <c r="L77" s="751">
        <f>SUM(L78:L90)</f>
        <v>0.93900000000000006</v>
      </c>
      <c r="M77" s="518"/>
      <c r="N77" s="518">
        <f>SUM(N78:N90)</f>
        <v>11.219999999999997</v>
      </c>
      <c r="O77" s="611"/>
      <c r="P77" s="967"/>
      <c r="Q77" s="888">
        <f>SUM(Q78:Q90)</f>
        <v>17.577000000000005</v>
      </c>
      <c r="R77" s="886"/>
      <c r="S77" s="1760">
        <v>2</v>
      </c>
      <c r="T77" s="1761">
        <v>40.380000000000003</v>
      </c>
      <c r="U77" s="1760"/>
      <c r="V77" s="1760"/>
      <c r="W77" s="1760">
        <v>38</v>
      </c>
      <c r="X77" s="1761">
        <v>530.25</v>
      </c>
      <c r="Y77" s="1760">
        <v>5</v>
      </c>
      <c r="Z77" s="2507">
        <v>64</v>
      </c>
      <c r="AA77" s="76"/>
      <c r="AB77" s="75">
        <v>1</v>
      </c>
      <c r="AE77" s="2461"/>
      <c r="AF77" s="68"/>
      <c r="AK77" s="2828" t="s">
        <v>11240</v>
      </c>
      <c r="AL77" s="2826">
        <f>AL25+AL46+AL67</f>
        <v>141.60100000000003</v>
      </c>
      <c r="AM77" s="2827">
        <f>AL77-J14</f>
        <v>0</v>
      </c>
    </row>
    <row r="78" spans="1:39" s="76" customFormat="1" x14ac:dyDescent="0.35">
      <c r="A78" s="2002"/>
      <c r="B78" s="515">
        <v>10603</v>
      </c>
      <c r="C78" s="515"/>
      <c r="D78" s="521"/>
      <c r="E78" s="519" t="s">
        <v>1199</v>
      </c>
      <c r="F78" s="165">
        <v>4</v>
      </c>
      <c r="G78" s="2289">
        <v>4</v>
      </c>
      <c r="H78" s="166">
        <v>6</v>
      </c>
      <c r="I78" s="522"/>
      <c r="J78" s="522"/>
      <c r="K78" s="1570"/>
      <c r="L78" s="1570"/>
      <c r="M78" s="522"/>
      <c r="N78" s="522">
        <v>7.1470000000000002</v>
      </c>
      <c r="O78" s="937"/>
      <c r="P78" s="986"/>
      <c r="Q78" s="941"/>
      <c r="R78" s="945"/>
      <c r="S78" s="1762"/>
      <c r="T78" s="1763"/>
      <c r="U78" s="1762"/>
      <c r="V78" s="1762"/>
      <c r="W78" s="1760"/>
      <c r="X78" s="1761"/>
      <c r="Y78" s="1760"/>
      <c r="Z78" s="2507"/>
      <c r="AE78" s="2461"/>
      <c r="AF78" s="68"/>
    </row>
    <row r="79" spans="1:39" s="76" customFormat="1" x14ac:dyDescent="0.35">
      <c r="A79" s="2002"/>
      <c r="B79" s="515">
        <v>10603</v>
      </c>
      <c r="C79" s="515"/>
      <c r="D79" s="521"/>
      <c r="E79" s="949" t="s">
        <v>1200</v>
      </c>
      <c r="F79" s="165">
        <v>4</v>
      </c>
      <c r="G79" s="2289">
        <v>4</v>
      </c>
      <c r="H79" s="166">
        <v>6</v>
      </c>
      <c r="I79" s="522"/>
      <c r="J79" s="522"/>
      <c r="K79" s="1570"/>
      <c r="L79" s="1570"/>
      <c r="M79" s="522"/>
      <c r="N79" s="522"/>
      <c r="O79" s="937"/>
      <c r="P79" s="986"/>
      <c r="Q79" s="941">
        <f>13.553-7.147</f>
        <v>6.4060000000000006</v>
      </c>
      <c r="R79" s="945"/>
      <c r="S79" s="1762"/>
      <c r="T79" s="1763"/>
      <c r="U79" s="1762"/>
      <c r="V79" s="1762"/>
      <c r="W79" s="1760"/>
      <c r="X79" s="1761"/>
      <c r="Y79" s="1760"/>
      <c r="Z79" s="2507"/>
      <c r="AA79" s="75"/>
      <c r="AB79" s="75"/>
      <c r="AE79" s="2461"/>
      <c r="AF79" s="68"/>
    </row>
    <row r="80" spans="1:39" s="76" customFormat="1" x14ac:dyDescent="0.35">
      <c r="A80" s="2002"/>
      <c r="B80" s="515">
        <v>10603</v>
      </c>
      <c r="C80" s="515"/>
      <c r="D80" s="521"/>
      <c r="E80" s="519" t="s">
        <v>871</v>
      </c>
      <c r="F80" s="165">
        <v>5</v>
      </c>
      <c r="G80" s="2289">
        <v>4</v>
      </c>
      <c r="H80" s="166">
        <v>6</v>
      </c>
      <c r="I80" s="522"/>
      <c r="J80" s="522"/>
      <c r="K80" s="1570"/>
      <c r="L80" s="1570"/>
      <c r="M80" s="522"/>
      <c r="N80" s="522">
        <f>14.011-13.553</f>
        <v>0.45799999999999841</v>
      </c>
      <c r="O80" s="937"/>
      <c r="P80" s="986"/>
      <c r="Q80" s="941"/>
      <c r="R80" s="945"/>
      <c r="S80" s="1762"/>
      <c r="T80" s="1763"/>
      <c r="U80" s="1762"/>
      <c r="V80" s="1762"/>
      <c r="W80" s="1760"/>
      <c r="X80" s="1761"/>
      <c r="Y80" s="1760"/>
      <c r="Z80" s="2507"/>
      <c r="AE80" s="2461"/>
      <c r="AF80" s="68"/>
    </row>
    <row r="81" spans="1:32" s="76" customFormat="1" x14ac:dyDescent="0.35">
      <c r="A81" s="2002"/>
      <c r="B81" s="515">
        <v>10603</v>
      </c>
      <c r="C81" s="515"/>
      <c r="D81" s="521"/>
      <c r="E81" s="949" t="s">
        <v>1974</v>
      </c>
      <c r="F81" s="165">
        <v>5</v>
      </c>
      <c r="G81" s="2289">
        <v>4</v>
      </c>
      <c r="H81" s="166">
        <v>6</v>
      </c>
      <c r="I81" s="522"/>
      <c r="J81" s="522"/>
      <c r="K81" s="1570"/>
      <c r="L81" s="1570"/>
      <c r="M81" s="522"/>
      <c r="N81" s="522"/>
      <c r="O81" s="937"/>
      <c r="P81" s="986"/>
      <c r="Q81" s="941">
        <f>15.346-14.011</f>
        <v>1.3350000000000009</v>
      </c>
      <c r="R81" s="945"/>
      <c r="S81" s="1762"/>
      <c r="T81" s="1763"/>
      <c r="U81" s="1762"/>
      <c r="V81" s="1762"/>
      <c r="W81" s="1760"/>
      <c r="X81" s="1761"/>
      <c r="Y81" s="1760"/>
      <c r="Z81" s="2507"/>
      <c r="AE81" s="2461"/>
      <c r="AF81" s="68"/>
    </row>
    <row r="82" spans="1:32" s="76" customFormat="1" ht="62" x14ac:dyDescent="0.35">
      <c r="A82" s="2002"/>
      <c r="B82" s="515">
        <v>10603</v>
      </c>
      <c r="C82" s="515"/>
      <c r="D82" s="521"/>
      <c r="E82" s="523" t="s">
        <v>9828</v>
      </c>
      <c r="F82" s="165">
        <v>5</v>
      </c>
      <c r="G82" s="165">
        <v>4</v>
      </c>
      <c r="H82" s="165" t="s">
        <v>191</v>
      </c>
      <c r="I82" s="522"/>
      <c r="J82" s="522"/>
      <c r="K82" s="1570"/>
      <c r="L82" s="1570">
        <f>16.285-15.346</f>
        <v>0.93900000000000006</v>
      </c>
      <c r="M82" s="522"/>
      <c r="N82" s="522"/>
      <c r="O82" s="937"/>
      <c r="P82" s="986"/>
      <c r="Q82" s="941"/>
      <c r="R82" s="945"/>
      <c r="S82" s="1762"/>
      <c r="T82" s="1763"/>
      <c r="U82" s="1762"/>
      <c r="V82" s="1762"/>
      <c r="W82" s="1760"/>
      <c r="X82" s="1761"/>
      <c r="Y82" s="1760"/>
      <c r="Z82" s="2507"/>
      <c r="AE82" s="2461"/>
      <c r="AF82" s="68"/>
    </row>
    <row r="83" spans="1:32" s="76" customFormat="1" x14ac:dyDescent="0.35">
      <c r="A83" s="2002"/>
      <c r="B83" s="515">
        <v>10603</v>
      </c>
      <c r="C83" s="515"/>
      <c r="D83" s="521"/>
      <c r="E83" s="949" t="s">
        <v>1407</v>
      </c>
      <c r="F83" s="165">
        <v>5</v>
      </c>
      <c r="G83" s="2289">
        <v>4</v>
      </c>
      <c r="H83" s="166">
        <v>6</v>
      </c>
      <c r="I83" s="522"/>
      <c r="J83" s="522"/>
      <c r="K83" s="1570"/>
      <c r="L83" s="1570"/>
      <c r="M83" s="522"/>
      <c r="N83" s="522"/>
      <c r="O83" s="937"/>
      <c r="P83" s="986"/>
      <c r="Q83" s="941">
        <f>17.26-16.285</f>
        <v>0.97500000000000142</v>
      </c>
      <c r="R83" s="945"/>
      <c r="S83" s="1762"/>
      <c r="T83" s="1763"/>
      <c r="U83" s="1762"/>
      <c r="V83" s="1762"/>
      <c r="W83" s="1760"/>
      <c r="X83" s="1761"/>
      <c r="Y83" s="1760"/>
      <c r="Z83" s="2507"/>
      <c r="AE83" s="2461"/>
      <c r="AF83" s="68"/>
    </row>
    <row r="84" spans="1:32" s="76" customFormat="1" x14ac:dyDescent="0.35">
      <c r="A84" s="2002"/>
      <c r="B84" s="515">
        <v>10603</v>
      </c>
      <c r="C84" s="515"/>
      <c r="D84" s="521"/>
      <c r="E84" s="519" t="s">
        <v>1408</v>
      </c>
      <c r="F84" s="165">
        <v>5</v>
      </c>
      <c r="G84" s="2289">
        <v>4</v>
      </c>
      <c r="H84" s="166">
        <v>6</v>
      </c>
      <c r="I84" s="522"/>
      <c r="J84" s="522"/>
      <c r="K84" s="1570"/>
      <c r="L84" s="1570"/>
      <c r="M84" s="522"/>
      <c r="N84" s="522">
        <f>17.626-17.26</f>
        <v>0.36599999999999966</v>
      </c>
      <c r="O84" s="937"/>
      <c r="P84" s="986"/>
      <c r="Q84" s="941"/>
      <c r="R84" s="945"/>
      <c r="S84" s="1762"/>
      <c r="T84" s="1763"/>
      <c r="U84" s="1762"/>
      <c r="V84" s="1762"/>
      <c r="W84" s="1760"/>
      <c r="X84" s="1761"/>
      <c r="Y84" s="1760"/>
      <c r="Z84" s="2507"/>
      <c r="AE84" s="2461"/>
      <c r="AF84" s="68"/>
    </row>
    <row r="85" spans="1:32" s="76" customFormat="1" x14ac:dyDescent="0.35">
      <c r="A85" s="2002"/>
      <c r="B85" s="515">
        <v>10603</v>
      </c>
      <c r="C85" s="515"/>
      <c r="D85" s="521"/>
      <c r="E85" s="949" t="s">
        <v>1409</v>
      </c>
      <c r="F85" s="165">
        <v>5</v>
      </c>
      <c r="G85" s="2289">
        <v>4</v>
      </c>
      <c r="H85" s="166">
        <v>6</v>
      </c>
      <c r="I85" s="522"/>
      <c r="J85" s="522"/>
      <c r="K85" s="1570"/>
      <c r="L85" s="1570"/>
      <c r="M85" s="522"/>
      <c r="N85" s="522"/>
      <c r="O85" s="937"/>
      <c r="P85" s="986"/>
      <c r="Q85" s="941">
        <f>19.125-17.626</f>
        <v>1.4989999999999988</v>
      </c>
      <c r="R85" s="945"/>
      <c r="S85" s="1762"/>
      <c r="T85" s="1763"/>
      <c r="U85" s="1762"/>
      <c r="V85" s="1762"/>
      <c r="W85" s="1760"/>
      <c r="X85" s="1761"/>
      <c r="Y85" s="1760"/>
      <c r="Z85" s="2507"/>
      <c r="AE85" s="2461"/>
      <c r="AF85" s="68"/>
    </row>
    <row r="86" spans="1:32" s="76" customFormat="1" x14ac:dyDescent="0.35">
      <c r="A86" s="2002"/>
      <c r="B86" s="515">
        <v>10603</v>
      </c>
      <c r="C86" s="515"/>
      <c r="D86" s="521"/>
      <c r="E86" s="519" t="s">
        <v>1410</v>
      </c>
      <c r="F86" s="165">
        <v>5</v>
      </c>
      <c r="G86" s="2289">
        <v>4</v>
      </c>
      <c r="H86" s="166">
        <v>6</v>
      </c>
      <c r="I86" s="522"/>
      <c r="J86" s="522"/>
      <c r="K86" s="1570"/>
      <c r="L86" s="1570"/>
      <c r="M86" s="522"/>
      <c r="N86" s="522">
        <f>19.96-19.125</f>
        <v>0.83500000000000085</v>
      </c>
      <c r="O86" s="937"/>
      <c r="P86" s="986"/>
      <c r="Q86" s="941"/>
      <c r="R86" s="945"/>
      <c r="S86" s="1762"/>
      <c r="T86" s="1763"/>
      <c r="U86" s="1762"/>
      <c r="V86" s="1762"/>
      <c r="W86" s="1760"/>
      <c r="X86" s="1761"/>
      <c r="Y86" s="1760"/>
      <c r="Z86" s="2507"/>
      <c r="AE86" s="2461"/>
      <c r="AF86" s="68"/>
    </row>
    <row r="87" spans="1:32" s="76" customFormat="1" x14ac:dyDescent="0.35">
      <c r="A87" s="2002"/>
      <c r="B87" s="515">
        <v>10603</v>
      </c>
      <c r="C87" s="515"/>
      <c r="D87" s="521"/>
      <c r="E87" s="949" t="s">
        <v>1411</v>
      </c>
      <c r="F87" s="165">
        <v>5</v>
      </c>
      <c r="G87" s="2289">
        <v>4</v>
      </c>
      <c r="H87" s="166">
        <v>6</v>
      </c>
      <c r="I87" s="522"/>
      <c r="J87" s="522"/>
      <c r="K87" s="1570"/>
      <c r="L87" s="1570"/>
      <c r="M87" s="522"/>
      <c r="N87" s="522"/>
      <c r="O87" s="937"/>
      <c r="P87" s="986"/>
      <c r="Q87" s="941">
        <f>21.077-19.96</f>
        <v>1.1170000000000009</v>
      </c>
      <c r="R87" s="945"/>
      <c r="S87" s="1762"/>
      <c r="T87" s="1763"/>
      <c r="U87" s="1762"/>
      <c r="V87" s="1762"/>
      <c r="W87" s="1760"/>
      <c r="X87" s="1761"/>
      <c r="Y87" s="1760"/>
      <c r="Z87" s="2507"/>
      <c r="AE87" s="2461"/>
      <c r="AF87" s="68"/>
    </row>
    <row r="88" spans="1:32" s="75" customFormat="1" x14ac:dyDescent="0.35">
      <c r="A88" s="2002"/>
      <c r="B88" s="515">
        <v>10603</v>
      </c>
      <c r="C88" s="515"/>
      <c r="D88" s="521"/>
      <c r="E88" s="523" t="s">
        <v>11007</v>
      </c>
      <c r="F88" s="165">
        <v>5</v>
      </c>
      <c r="G88" s="2289">
        <v>4</v>
      </c>
      <c r="H88" s="166">
        <v>6</v>
      </c>
      <c r="I88" s="522"/>
      <c r="J88" s="522"/>
      <c r="K88" s="1570"/>
      <c r="L88" s="1570"/>
      <c r="M88" s="522"/>
      <c r="N88" s="2275">
        <f>21.875-21.077</f>
        <v>0.79799999999999827</v>
      </c>
      <c r="O88" s="937"/>
      <c r="P88" s="986"/>
      <c r="Q88" s="941"/>
      <c r="R88" s="945"/>
      <c r="S88" s="1762"/>
      <c r="T88" s="1763"/>
      <c r="U88" s="1762"/>
      <c r="V88" s="1762"/>
      <c r="W88" s="1760"/>
      <c r="X88" s="1761"/>
      <c r="Y88" s="1760"/>
      <c r="Z88" s="2507"/>
      <c r="AA88" s="76"/>
      <c r="AB88" s="76"/>
      <c r="AE88" s="2461"/>
      <c r="AF88" s="68"/>
    </row>
    <row r="89" spans="1:32" s="76" customFormat="1" x14ac:dyDescent="0.35">
      <c r="A89" s="2002"/>
      <c r="B89" s="515">
        <v>10603</v>
      </c>
      <c r="C89" s="515"/>
      <c r="D89" s="521"/>
      <c r="E89" s="949" t="s">
        <v>10751</v>
      </c>
      <c r="F89" s="165">
        <v>5</v>
      </c>
      <c r="G89" s="2289">
        <v>4</v>
      </c>
      <c r="H89" s="166">
        <v>6</v>
      </c>
      <c r="I89" s="522"/>
      <c r="J89" s="522"/>
      <c r="K89" s="1570"/>
      <c r="L89" s="1570"/>
      <c r="M89" s="522"/>
      <c r="N89" s="522"/>
      <c r="O89" s="937"/>
      <c r="P89" s="986"/>
      <c r="Q89" s="941">
        <f>28.12-21.875</f>
        <v>6.245000000000001</v>
      </c>
      <c r="R89" s="945"/>
      <c r="S89" s="1762"/>
      <c r="T89" s="1763"/>
      <c r="U89" s="1762"/>
      <c r="V89" s="1762"/>
      <c r="W89" s="1760"/>
      <c r="X89" s="1761"/>
      <c r="Y89" s="1760"/>
      <c r="Z89" s="2507"/>
      <c r="AE89" s="2461"/>
      <c r="AF89" s="68"/>
    </row>
    <row r="90" spans="1:32" s="76" customFormat="1" x14ac:dyDescent="0.35">
      <c r="A90" s="2002"/>
      <c r="B90" s="515">
        <v>10603</v>
      </c>
      <c r="C90" s="515"/>
      <c r="D90" s="521"/>
      <c r="E90" s="519" t="s">
        <v>434</v>
      </c>
      <c r="F90" s="165">
        <v>5</v>
      </c>
      <c r="G90" s="2289">
        <v>4</v>
      </c>
      <c r="H90" s="166">
        <v>6</v>
      </c>
      <c r="I90" s="522"/>
      <c r="J90" s="522"/>
      <c r="K90" s="1570"/>
      <c r="L90" s="1570"/>
      <c r="M90" s="522"/>
      <c r="N90" s="522">
        <f>29.736-28.12</f>
        <v>1.6159999999999997</v>
      </c>
      <c r="O90" s="937"/>
      <c r="P90" s="986"/>
      <c r="Q90" s="941"/>
      <c r="R90" s="945"/>
      <c r="S90" s="1762"/>
      <c r="T90" s="1763"/>
      <c r="U90" s="1762"/>
      <c r="V90" s="1762"/>
      <c r="W90" s="1760"/>
      <c r="X90" s="1761"/>
      <c r="Y90" s="1760"/>
      <c r="Z90" s="2507"/>
      <c r="AA90" s="75"/>
      <c r="AB90" s="75"/>
      <c r="AE90" s="2461"/>
      <c r="AF90" s="68"/>
    </row>
    <row r="91" spans="1:32" s="76" customFormat="1" ht="45" x14ac:dyDescent="0.35">
      <c r="A91" s="2001">
        <v>18</v>
      </c>
      <c r="B91" s="515">
        <v>10603</v>
      </c>
      <c r="C91" s="515"/>
      <c r="D91" s="2467" t="s">
        <v>4821</v>
      </c>
      <c r="E91" s="516" t="s">
        <v>7707</v>
      </c>
      <c r="F91" s="165">
        <v>5</v>
      </c>
      <c r="G91" s="165">
        <v>5</v>
      </c>
      <c r="H91" s="166">
        <v>6</v>
      </c>
      <c r="I91" s="517">
        <f t="shared" ref="I91:I98" si="8">J91+K91+L91</f>
        <v>2.6</v>
      </c>
      <c r="J91" s="518">
        <f t="shared" ref="J91:J98" si="9">SUM(M91:R91)</f>
        <v>2.6</v>
      </c>
      <c r="K91" s="1569"/>
      <c r="L91" s="1569"/>
      <c r="M91" s="517"/>
      <c r="N91" s="517"/>
      <c r="O91" s="938"/>
      <c r="P91" s="987"/>
      <c r="Q91" s="942">
        <v>2.6</v>
      </c>
      <c r="R91" s="946"/>
      <c r="S91" s="1760"/>
      <c r="T91" s="1761"/>
      <c r="U91" s="1760"/>
      <c r="V91" s="1760"/>
      <c r="W91" s="1760">
        <v>4</v>
      </c>
      <c r="X91" s="1761">
        <v>57.8</v>
      </c>
      <c r="Y91" s="1760">
        <v>1</v>
      </c>
      <c r="Z91" s="2507">
        <v>12.5</v>
      </c>
      <c r="AB91" s="75">
        <v>1</v>
      </c>
      <c r="AE91" s="2461"/>
      <c r="AF91" s="68"/>
    </row>
    <row r="92" spans="1:32" s="76" customFormat="1" ht="60" x14ac:dyDescent="0.35">
      <c r="A92" s="525">
        <v>19</v>
      </c>
      <c r="B92" s="693">
        <v>10603</v>
      </c>
      <c r="C92" s="693" t="s">
        <v>1656</v>
      </c>
      <c r="D92" s="2467" t="s">
        <v>4822</v>
      </c>
      <c r="E92" s="322" t="s">
        <v>8477</v>
      </c>
      <c r="F92" s="92" t="s">
        <v>664</v>
      </c>
      <c r="G92" s="92">
        <v>5</v>
      </c>
      <c r="H92" s="165">
        <v>6</v>
      </c>
      <c r="I92" s="1924">
        <f t="shared" si="8"/>
        <v>0.7</v>
      </c>
      <c r="J92" s="1924">
        <f t="shared" si="9"/>
        <v>0.7</v>
      </c>
      <c r="K92" s="622"/>
      <c r="L92" s="622"/>
      <c r="M92" s="622"/>
      <c r="N92" s="622"/>
      <c r="O92" s="622"/>
      <c r="P92" s="622"/>
      <c r="Q92" s="913"/>
      <c r="R92" s="906">
        <v>0.7</v>
      </c>
      <c r="S92" s="1571"/>
      <c r="T92" s="1571"/>
      <c r="U92" s="1571"/>
      <c r="V92" s="1571"/>
      <c r="W92" s="1760"/>
      <c r="X92" s="1761"/>
      <c r="Y92" s="1760"/>
      <c r="Z92" s="2507"/>
      <c r="AA92" s="3"/>
      <c r="AB92" s="3">
        <v>1</v>
      </c>
      <c r="AE92" s="2461"/>
      <c r="AF92" s="68"/>
    </row>
    <row r="93" spans="1:32" s="76" customFormat="1" ht="45" x14ac:dyDescent="0.35">
      <c r="A93" s="2001">
        <v>20</v>
      </c>
      <c r="B93" s="515">
        <v>10603</v>
      </c>
      <c r="C93" s="515"/>
      <c r="D93" s="2467" t="s">
        <v>4823</v>
      </c>
      <c r="E93" s="1999" t="s">
        <v>7708</v>
      </c>
      <c r="F93" s="165" t="s">
        <v>664</v>
      </c>
      <c r="G93" s="165">
        <v>5</v>
      </c>
      <c r="H93" s="165">
        <v>6</v>
      </c>
      <c r="I93" s="517">
        <f t="shared" si="8"/>
        <v>2.75</v>
      </c>
      <c r="J93" s="518">
        <f t="shared" si="9"/>
        <v>2.75</v>
      </c>
      <c r="K93" s="1569"/>
      <c r="L93" s="1569"/>
      <c r="M93" s="517"/>
      <c r="N93" s="517"/>
      <c r="O93" s="938"/>
      <c r="P93" s="987"/>
      <c r="Q93" s="942"/>
      <c r="R93" s="946">
        <v>2.75</v>
      </c>
      <c r="S93" s="1760"/>
      <c r="T93" s="1761"/>
      <c r="U93" s="1760"/>
      <c r="V93" s="1760"/>
      <c r="W93" s="1760">
        <v>4</v>
      </c>
      <c r="X93" s="1761">
        <v>50.7</v>
      </c>
      <c r="Y93" s="1760"/>
      <c r="Z93" s="2507"/>
      <c r="AB93" s="75">
        <v>1</v>
      </c>
      <c r="AE93" s="2461"/>
      <c r="AF93" s="68"/>
    </row>
    <row r="94" spans="1:32" s="76" customFormat="1" ht="60" x14ac:dyDescent="0.35">
      <c r="A94" s="525">
        <v>21</v>
      </c>
      <c r="B94" s="515">
        <v>10603</v>
      </c>
      <c r="C94" s="515" t="s">
        <v>1656</v>
      </c>
      <c r="D94" s="2467" t="s">
        <v>4824</v>
      </c>
      <c r="E94" s="1999" t="s">
        <v>8478</v>
      </c>
      <c r="F94" s="165" t="s">
        <v>1490</v>
      </c>
      <c r="G94" s="165">
        <v>5</v>
      </c>
      <c r="H94" s="165">
        <v>6</v>
      </c>
      <c r="I94" s="517">
        <f>J94+K94+L94</f>
        <v>0.99</v>
      </c>
      <c r="J94" s="518">
        <f>SUM(M94:R94)</f>
        <v>0.99</v>
      </c>
      <c r="K94" s="1569"/>
      <c r="L94" s="1569"/>
      <c r="M94" s="517"/>
      <c r="N94" s="517"/>
      <c r="O94" s="938"/>
      <c r="P94" s="987"/>
      <c r="Q94" s="942"/>
      <c r="R94" s="946">
        <v>0.99</v>
      </c>
      <c r="S94" s="1760"/>
      <c r="T94" s="1761"/>
      <c r="U94" s="1760"/>
      <c r="V94" s="1760"/>
      <c r="W94" s="1760"/>
      <c r="X94" s="1761"/>
      <c r="Y94" s="1760"/>
      <c r="Z94" s="2507"/>
      <c r="AB94" s="75">
        <v>1</v>
      </c>
      <c r="AE94" s="2461"/>
      <c r="AF94" s="68"/>
    </row>
    <row r="95" spans="1:32" s="76" customFormat="1" ht="45.5" x14ac:dyDescent="0.35">
      <c r="A95" s="2001">
        <v>22</v>
      </c>
      <c r="B95" s="693">
        <v>10603</v>
      </c>
      <c r="C95" s="693" t="s">
        <v>1656</v>
      </c>
      <c r="D95" s="2467" t="s">
        <v>4825</v>
      </c>
      <c r="E95" s="526" t="s">
        <v>9256</v>
      </c>
      <c r="F95" s="165" t="s">
        <v>1490</v>
      </c>
      <c r="G95" s="165">
        <v>5</v>
      </c>
      <c r="H95" s="165">
        <v>6</v>
      </c>
      <c r="I95" s="517">
        <f t="shared" si="8"/>
        <v>0.4</v>
      </c>
      <c r="J95" s="518">
        <f>SUM(M95:R95)</f>
        <v>0.4</v>
      </c>
      <c r="K95" s="1571"/>
      <c r="L95" s="1571"/>
      <c r="M95" s="527"/>
      <c r="N95" s="527"/>
      <c r="O95" s="939"/>
      <c r="P95" s="988"/>
      <c r="Q95" s="943"/>
      <c r="R95" s="2235">
        <v>0.4</v>
      </c>
      <c r="S95" s="1571"/>
      <c r="T95" s="1571"/>
      <c r="U95" s="1571"/>
      <c r="V95" s="1571"/>
      <c r="W95" s="1760">
        <v>1</v>
      </c>
      <c r="X95" s="1761">
        <v>10</v>
      </c>
      <c r="Y95" s="1760"/>
      <c r="Z95" s="2507"/>
      <c r="AB95" s="75">
        <v>1</v>
      </c>
      <c r="AC95" s="76" t="s">
        <v>2570</v>
      </c>
      <c r="AE95" s="2461"/>
      <c r="AF95" s="68"/>
    </row>
    <row r="96" spans="1:32" s="75" customFormat="1" ht="45" x14ac:dyDescent="0.35">
      <c r="A96" s="525">
        <v>23</v>
      </c>
      <c r="B96" s="693">
        <v>10603</v>
      </c>
      <c r="C96" s="693" t="s">
        <v>1656</v>
      </c>
      <c r="D96" s="2467" t="s">
        <v>4826</v>
      </c>
      <c r="E96" s="322" t="s">
        <v>8479</v>
      </c>
      <c r="F96" s="92" t="s">
        <v>1490</v>
      </c>
      <c r="G96" s="92">
        <v>5</v>
      </c>
      <c r="H96" s="165">
        <v>6</v>
      </c>
      <c r="I96" s="1924">
        <f t="shared" si="8"/>
        <v>0.3</v>
      </c>
      <c r="J96" s="1924">
        <f t="shared" si="9"/>
        <v>0.3</v>
      </c>
      <c r="K96" s="622"/>
      <c r="L96" s="622"/>
      <c r="M96" s="622"/>
      <c r="N96" s="622"/>
      <c r="O96" s="622"/>
      <c r="P96" s="622"/>
      <c r="Q96" s="913"/>
      <c r="R96" s="906">
        <v>0.3</v>
      </c>
      <c r="S96" s="1571"/>
      <c r="T96" s="1571"/>
      <c r="U96" s="1571"/>
      <c r="V96" s="1571"/>
      <c r="W96" s="1760">
        <v>1</v>
      </c>
      <c r="X96" s="1761">
        <v>7.5</v>
      </c>
      <c r="Y96" s="1760"/>
      <c r="Z96" s="2507"/>
      <c r="AA96" s="3"/>
      <c r="AB96" s="3">
        <v>1</v>
      </c>
      <c r="AE96" s="2461"/>
      <c r="AF96" s="68"/>
    </row>
    <row r="97" spans="1:32" s="76" customFormat="1" ht="45" x14ac:dyDescent="0.35">
      <c r="A97" s="2001">
        <v>24</v>
      </c>
      <c r="B97" s="693">
        <v>10603</v>
      </c>
      <c r="C97" s="693" t="s">
        <v>1656</v>
      </c>
      <c r="D97" s="2467" t="s">
        <v>4827</v>
      </c>
      <c r="E97" s="322" t="s">
        <v>8480</v>
      </c>
      <c r="F97" s="92" t="s">
        <v>664</v>
      </c>
      <c r="G97" s="92">
        <v>5</v>
      </c>
      <c r="H97" s="165">
        <v>6</v>
      </c>
      <c r="I97" s="1924">
        <f t="shared" si="8"/>
        <v>0.3</v>
      </c>
      <c r="J97" s="1924">
        <f t="shared" si="9"/>
        <v>0.3</v>
      </c>
      <c r="K97" s="622"/>
      <c r="L97" s="622"/>
      <c r="M97" s="622"/>
      <c r="N97" s="622"/>
      <c r="O97" s="622"/>
      <c r="P97" s="622"/>
      <c r="Q97" s="913"/>
      <c r="R97" s="906">
        <v>0.3</v>
      </c>
      <c r="S97" s="1571"/>
      <c r="T97" s="1571"/>
      <c r="U97" s="1571"/>
      <c r="V97" s="1571"/>
      <c r="W97" s="1760"/>
      <c r="X97" s="1761"/>
      <c r="Y97" s="1760"/>
      <c r="Z97" s="2507"/>
      <c r="AA97" s="3"/>
      <c r="AB97" s="3">
        <v>1</v>
      </c>
      <c r="AE97" s="2461"/>
      <c r="AF97" s="68"/>
    </row>
    <row r="98" spans="1:32" s="76" customFormat="1" ht="60" x14ac:dyDescent="0.35">
      <c r="A98" s="525">
        <v>25</v>
      </c>
      <c r="B98" s="515">
        <v>10604</v>
      </c>
      <c r="C98" s="515"/>
      <c r="D98" s="515" t="s">
        <v>2524</v>
      </c>
      <c r="E98" s="516" t="s">
        <v>9809</v>
      </c>
      <c r="F98" s="2289"/>
      <c r="G98" s="166" t="s">
        <v>191</v>
      </c>
      <c r="H98" s="166" t="s">
        <v>191</v>
      </c>
      <c r="I98" s="517">
        <f t="shared" si="8"/>
        <v>26.780000000000005</v>
      </c>
      <c r="J98" s="518">
        <f t="shared" si="9"/>
        <v>26.780000000000005</v>
      </c>
      <c r="K98" s="1569"/>
      <c r="L98" s="1569"/>
      <c r="M98" s="518"/>
      <c r="N98" s="2897">
        <f>SUM(N99:N110)</f>
        <v>18.880000000000003</v>
      </c>
      <c r="O98" s="611"/>
      <c r="P98" s="967"/>
      <c r="Q98" s="888">
        <f>SUM(Q99:Q110)</f>
        <v>7.42</v>
      </c>
      <c r="R98" s="886">
        <f>SUM(R99:R110)</f>
        <v>0.48</v>
      </c>
      <c r="S98" s="1760"/>
      <c r="T98" s="1761"/>
      <c r="U98" s="1760"/>
      <c r="V98" s="1760"/>
      <c r="W98" s="1760">
        <v>34</v>
      </c>
      <c r="X98" s="1761">
        <v>502.1</v>
      </c>
      <c r="Y98" s="1760">
        <v>6</v>
      </c>
      <c r="Z98" s="2507">
        <v>70</v>
      </c>
      <c r="AA98" s="76" t="s">
        <v>3414</v>
      </c>
      <c r="AB98" s="75">
        <v>1</v>
      </c>
      <c r="AE98" s="2461"/>
      <c r="AF98" s="68"/>
    </row>
    <row r="99" spans="1:32" s="76" customFormat="1" x14ac:dyDescent="0.35">
      <c r="A99" s="2002"/>
      <c r="B99" s="515">
        <v>10604</v>
      </c>
      <c r="C99" s="515"/>
      <c r="D99" s="521"/>
      <c r="E99" s="951" t="s">
        <v>10447</v>
      </c>
      <c r="F99" s="165">
        <v>4</v>
      </c>
      <c r="G99" s="165">
        <v>4</v>
      </c>
      <c r="H99" s="166">
        <v>10</v>
      </c>
      <c r="I99" s="2275"/>
      <c r="J99" s="2275"/>
      <c r="K99" s="2275"/>
      <c r="L99" s="2275"/>
      <c r="M99" s="2275"/>
      <c r="N99" s="2275">
        <v>6.3</v>
      </c>
      <c r="O99" s="937"/>
      <c r="P99" s="986"/>
      <c r="Q99" s="941"/>
      <c r="R99" s="945"/>
      <c r="S99" s="1762"/>
      <c r="T99" s="1763"/>
      <c r="U99" s="1762"/>
      <c r="V99" s="1762"/>
      <c r="W99" s="1760"/>
      <c r="X99" s="1761"/>
      <c r="Y99" s="1760"/>
      <c r="Z99" s="2507"/>
      <c r="AE99" s="2461"/>
      <c r="AF99" s="68"/>
    </row>
    <row r="100" spans="1:32" s="76" customFormat="1" x14ac:dyDescent="0.35">
      <c r="A100" s="2002"/>
      <c r="B100" s="515">
        <v>10604</v>
      </c>
      <c r="C100" s="515"/>
      <c r="D100" s="521"/>
      <c r="E100" s="951" t="s">
        <v>10448</v>
      </c>
      <c r="F100" s="165">
        <v>4</v>
      </c>
      <c r="G100" s="165">
        <v>4</v>
      </c>
      <c r="H100" s="166">
        <v>6</v>
      </c>
      <c r="I100" s="522"/>
      <c r="J100" s="522"/>
      <c r="K100" s="1570"/>
      <c r="L100" s="1570"/>
      <c r="M100" s="522"/>
      <c r="N100" s="2275">
        <f>9.29-6.3</f>
        <v>2.9899999999999993</v>
      </c>
      <c r="O100" s="937"/>
      <c r="P100" s="986"/>
      <c r="Q100" s="941"/>
      <c r="R100" s="945"/>
      <c r="S100" s="1762"/>
      <c r="T100" s="1763"/>
      <c r="U100" s="1762"/>
      <c r="V100" s="1762"/>
      <c r="W100" s="1760"/>
      <c r="X100" s="1761"/>
      <c r="Y100" s="1760"/>
      <c r="Z100" s="2507"/>
      <c r="AE100" s="2461"/>
      <c r="AF100" s="68"/>
    </row>
    <row r="101" spans="1:32" s="76" customFormat="1" x14ac:dyDescent="0.35">
      <c r="A101" s="2002"/>
      <c r="B101" s="515">
        <v>10604</v>
      </c>
      <c r="C101" s="515"/>
      <c r="D101" s="521"/>
      <c r="E101" s="951" t="s">
        <v>10752</v>
      </c>
      <c r="F101" s="165">
        <v>4</v>
      </c>
      <c r="G101" s="165">
        <v>4</v>
      </c>
      <c r="H101" s="166">
        <v>6</v>
      </c>
      <c r="I101" s="522"/>
      <c r="J101" s="522"/>
      <c r="K101" s="1570"/>
      <c r="L101" s="1570"/>
      <c r="M101" s="522"/>
      <c r="N101" s="522">
        <f>12.98-9.29</f>
        <v>3.6900000000000013</v>
      </c>
      <c r="O101" s="937"/>
      <c r="P101" s="986"/>
      <c r="Q101" s="941"/>
      <c r="R101" s="945"/>
      <c r="S101" s="1762"/>
      <c r="T101" s="1763"/>
      <c r="U101" s="1762"/>
      <c r="V101" s="1762"/>
      <c r="W101" s="1760"/>
      <c r="X101" s="1761"/>
      <c r="Y101" s="1760"/>
      <c r="Z101" s="2507"/>
      <c r="AA101" s="75"/>
      <c r="AB101" s="75"/>
      <c r="AE101" s="2461"/>
      <c r="AF101" s="68"/>
    </row>
    <row r="102" spans="1:32" s="76" customFormat="1" x14ac:dyDescent="0.35">
      <c r="A102" s="2002"/>
      <c r="B102" s="515">
        <v>10604</v>
      </c>
      <c r="C102" s="515"/>
      <c r="D102" s="521"/>
      <c r="E102" s="2968" t="s">
        <v>1890</v>
      </c>
      <c r="F102" s="165">
        <v>4</v>
      </c>
      <c r="G102" s="165">
        <v>4</v>
      </c>
      <c r="H102" s="166">
        <v>6</v>
      </c>
      <c r="I102" s="522"/>
      <c r="J102" s="522"/>
      <c r="K102" s="1570"/>
      <c r="L102" s="1570"/>
      <c r="M102" s="522"/>
      <c r="N102" s="2967">
        <f>14.35-12.98</f>
        <v>1.3699999999999992</v>
      </c>
      <c r="O102" s="937"/>
      <c r="P102" s="986"/>
      <c r="Q102" s="941">
        <v>0</v>
      </c>
      <c r="R102" s="945"/>
      <c r="S102" s="1762"/>
      <c r="T102" s="1763"/>
      <c r="U102" s="1762"/>
      <c r="V102" s="1762"/>
      <c r="W102" s="1760"/>
      <c r="X102" s="1761"/>
      <c r="Y102" s="1760"/>
      <c r="Z102" s="2507"/>
      <c r="AE102" s="2461"/>
      <c r="AF102" s="68"/>
    </row>
    <row r="103" spans="1:32" s="76" customFormat="1" x14ac:dyDescent="0.35">
      <c r="A103" s="2002"/>
      <c r="B103" s="515">
        <v>10604</v>
      </c>
      <c r="C103" s="515"/>
      <c r="D103" s="521"/>
      <c r="E103" s="519" t="s">
        <v>2502</v>
      </c>
      <c r="F103" s="165">
        <v>4</v>
      </c>
      <c r="G103" s="165">
        <v>5</v>
      </c>
      <c r="H103" s="166">
        <v>6</v>
      </c>
      <c r="I103" s="522"/>
      <c r="J103" s="522"/>
      <c r="K103" s="1570"/>
      <c r="L103" s="1570"/>
      <c r="M103" s="522"/>
      <c r="N103" s="522">
        <v>1.89</v>
      </c>
      <c r="O103" s="937"/>
      <c r="P103" s="986"/>
      <c r="Q103" s="941"/>
      <c r="R103" s="945"/>
      <c r="S103" s="1762"/>
      <c r="T103" s="1763"/>
      <c r="U103" s="1762"/>
      <c r="V103" s="1762"/>
      <c r="W103" s="1760"/>
      <c r="X103" s="1761"/>
      <c r="Y103" s="1760"/>
      <c r="Z103" s="2507"/>
      <c r="AE103" s="2461"/>
      <c r="AF103" s="68"/>
    </row>
    <row r="104" spans="1:32" s="76" customFormat="1" x14ac:dyDescent="0.35">
      <c r="A104" s="2002"/>
      <c r="B104" s="515">
        <v>10604</v>
      </c>
      <c r="C104" s="515"/>
      <c r="D104" s="521"/>
      <c r="E104" s="949" t="s">
        <v>11288</v>
      </c>
      <c r="F104" s="165">
        <v>4</v>
      </c>
      <c r="G104" s="165">
        <v>5</v>
      </c>
      <c r="H104" s="166">
        <v>6</v>
      </c>
      <c r="I104" s="522"/>
      <c r="J104" s="522"/>
      <c r="K104" s="1570"/>
      <c r="L104" s="1570"/>
      <c r="M104" s="522"/>
      <c r="N104" s="522"/>
      <c r="O104" s="937"/>
      <c r="P104" s="986"/>
      <c r="Q104" s="941">
        <v>3.15</v>
      </c>
      <c r="R104" s="945"/>
      <c r="S104" s="1762"/>
      <c r="T104" s="1763"/>
      <c r="U104" s="1762"/>
      <c r="V104" s="1762"/>
      <c r="W104" s="1760"/>
      <c r="X104" s="1761"/>
      <c r="Y104" s="1760"/>
      <c r="Z104" s="2507"/>
      <c r="AE104" s="2461"/>
      <c r="AF104" s="68"/>
    </row>
    <row r="105" spans="1:32" s="76" customFormat="1" x14ac:dyDescent="0.35">
      <c r="A105" s="2002"/>
      <c r="B105" s="515">
        <v>10604</v>
      </c>
      <c r="C105" s="515"/>
      <c r="D105" s="521"/>
      <c r="E105" s="519" t="s">
        <v>215</v>
      </c>
      <c r="F105" s="165">
        <v>4</v>
      </c>
      <c r="G105" s="165">
        <v>5</v>
      </c>
      <c r="H105" s="166">
        <v>6</v>
      </c>
      <c r="I105" s="522"/>
      <c r="J105" s="522"/>
      <c r="K105" s="1570"/>
      <c r="L105" s="1570"/>
      <c r="M105" s="522"/>
      <c r="N105" s="522">
        <v>0.42</v>
      </c>
      <c r="O105" s="937"/>
      <c r="P105" s="986"/>
      <c r="Q105" s="941"/>
      <c r="R105" s="945"/>
      <c r="S105" s="1762"/>
      <c r="T105" s="1763"/>
      <c r="U105" s="1762"/>
      <c r="V105" s="1762"/>
      <c r="W105" s="1760"/>
      <c r="X105" s="1761"/>
      <c r="Y105" s="1760"/>
      <c r="Z105" s="2507"/>
      <c r="AE105" s="2461"/>
      <c r="AF105" s="68"/>
    </row>
    <row r="106" spans="1:32" s="76" customFormat="1" x14ac:dyDescent="0.35">
      <c r="A106" s="2002"/>
      <c r="B106" s="515">
        <v>10604</v>
      </c>
      <c r="C106" s="515"/>
      <c r="D106" s="521"/>
      <c r="E106" s="949" t="s">
        <v>451</v>
      </c>
      <c r="F106" s="165">
        <v>4</v>
      </c>
      <c r="G106" s="165">
        <v>5</v>
      </c>
      <c r="H106" s="166">
        <v>6</v>
      </c>
      <c r="I106" s="522"/>
      <c r="J106" s="522"/>
      <c r="K106" s="1570"/>
      <c r="L106" s="1570"/>
      <c r="M106" s="522"/>
      <c r="N106" s="522"/>
      <c r="O106" s="937"/>
      <c r="P106" s="986"/>
      <c r="Q106" s="941">
        <f>21.9-19.81</f>
        <v>2.09</v>
      </c>
      <c r="R106" s="945"/>
      <c r="S106" s="1762"/>
      <c r="T106" s="1763"/>
      <c r="U106" s="1762"/>
      <c r="V106" s="1762"/>
      <c r="W106" s="1760"/>
      <c r="X106" s="1761"/>
      <c r="Y106" s="1760"/>
      <c r="Z106" s="2507"/>
      <c r="AE106" s="2461"/>
      <c r="AF106" s="68"/>
    </row>
    <row r="107" spans="1:32" s="76" customFormat="1" x14ac:dyDescent="0.35">
      <c r="A107" s="2002"/>
      <c r="B107" s="515">
        <v>10604</v>
      </c>
      <c r="C107" s="515"/>
      <c r="D107" s="521"/>
      <c r="E107" s="519" t="s">
        <v>452</v>
      </c>
      <c r="F107" s="165">
        <v>4</v>
      </c>
      <c r="G107" s="165">
        <v>5</v>
      </c>
      <c r="H107" s="166">
        <v>6</v>
      </c>
      <c r="I107" s="522"/>
      <c r="J107" s="522"/>
      <c r="K107" s="1570"/>
      <c r="L107" s="1570"/>
      <c r="M107" s="522"/>
      <c r="N107" s="522">
        <f>24.12-21.9</f>
        <v>2.2200000000000024</v>
      </c>
      <c r="O107" s="937"/>
      <c r="P107" s="986"/>
      <c r="Q107" s="941"/>
      <c r="R107" s="945"/>
      <c r="S107" s="1762"/>
      <c r="T107" s="1763"/>
      <c r="U107" s="1762"/>
      <c r="V107" s="1762"/>
      <c r="W107" s="1760"/>
      <c r="X107" s="1761"/>
      <c r="Y107" s="1760"/>
      <c r="Z107" s="2507"/>
      <c r="AE107" s="2461"/>
      <c r="AF107" s="68"/>
    </row>
    <row r="108" spans="1:32" s="76" customFormat="1" x14ac:dyDescent="0.35">
      <c r="A108" s="2002"/>
      <c r="B108" s="515">
        <v>10604</v>
      </c>
      <c r="C108" s="515"/>
      <c r="D108" s="521"/>
      <c r="E108" s="949" t="s">
        <v>1228</v>
      </c>
      <c r="F108" s="165">
        <v>4</v>
      </c>
      <c r="G108" s="165">
        <v>5</v>
      </c>
      <c r="H108" s="166">
        <v>6</v>
      </c>
      <c r="I108" s="522"/>
      <c r="J108" s="522"/>
      <c r="K108" s="1570"/>
      <c r="L108" s="1570"/>
      <c r="M108" s="522"/>
      <c r="N108" s="522"/>
      <c r="O108" s="937"/>
      <c r="P108" s="986"/>
      <c r="Q108" s="941">
        <f>25.51-24.12</f>
        <v>1.3900000000000006</v>
      </c>
      <c r="R108" s="945"/>
      <c r="S108" s="1762"/>
      <c r="T108" s="1763"/>
      <c r="U108" s="1762"/>
      <c r="V108" s="1762"/>
      <c r="W108" s="1760"/>
      <c r="X108" s="1761"/>
      <c r="Y108" s="1760"/>
      <c r="Z108" s="2507"/>
      <c r="AE108" s="2461"/>
      <c r="AF108" s="68"/>
    </row>
    <row r="109" spans="1:32" s="76" customFormat="1" x14ac:dyDescent="0.35">
      <c r="A109" s="2002"/>
      <c r="B109" s="515">
        <v>10604</v>
      </c>
      <c r="C109" s="515"/>
      <c r="D109" s="521"/>
      <c r="E109" s="949" t="s">
        <v>1227</v>
      </c>
      <c r="F109" s="165">
        <v>5</v>
      </c>
      <c r="G109" s="165">
        <v>5</v>
      </c>
      <c r="H109" s="166">
        <v>6</v>
      </c>
      <c r="I109" s="522"/>
      <c r="J109" s="522"/>
      <c r="K109" s="1570"/>
      <c r="L109" s="1570"/>
      <c r="M109" s="522"/>
      <c r="N109" s="522"/>
      <c r="O109" s="937"/>
      <c r="P109" s="986"/>
      <c r="Q109" s="941">
        <f>26.3-25.51</f>
        <v>0.78999999999999915</v>
      </c>
      <c r="R109" s="945"/>
      <c r="S109" s="1762"/>
      <c r="T109" s="1763"/>
      <c r="U109" s="1762"/>
      <c r="V109" s="1762"/>
      <c r="W109" s="1760"/>
      <c r="X109" s="1761"/>
      <c r="Y109" s="1760"/>
      <c r="Z109" s="2507"/>
      <c r="AE109" s="2461"/>
      <c r="AF109" s="68"/>
    </row>
    <row r="110" spans="1:32" s="75" customFormat="1" x14ac:dyDescent="0.35">
      <c r="A110" s="2002"/>
      <c r="B110" s="515">
        <v>10604</v>
      </c>
      <c r="C110" s="515"/>
      <c r="D110" s="521"/>
      <c r="E110" s="948" t="s">
        <v>216</v>
      </c>
      <c r="F110" s="165">
        <v>5</v>
      </c>
      <c r="G110" s="165">
        <v>5</v>
      </c>
      <c r="H110" s="165">
        <v>6</v>
      </c>
      <c r="I110" s="522"/>
      <c r="J110" s="522"/>
      <c r="K110" s="1570"/>
      <c r="L110" s="1570"/>
      <c r="M110" s="522"/>
      <c r="N110" s="522"/>
      <c r="O110" s="937"/>
      <c r="P110" s="986"/>
      <c r="Q110" s="941"/>
      <c r="R110" s="945">
        <v>0.48</v>
      </c>
      <c r="S110" s="1762"/>
      <c r="T110" s="1763"/>
      <c r="U110" s="1762"/>
      <c r="V110" s="1762"/>
      <c r="W110" s="1760"/>
      <c r="X110" s="1761"/>
      <c r="Y110" s="1760"/>
      <c r="Z110" s="2507"/>
      <c r="AA110" s="76"/>
      <c r="AB110" s="76"/>
      <c r="AE110" s="2461"/>
      <c r="AF110" s="68"/>
    </row>
    <row r="111" spans="1:32" s="76" customFormat="1" ht="75" x14ac:dyDescent="0.35">
      <c r="A111" s="2001">
        <v>26</v>
      </c>
      <c r="B111" s="515">
        <v>10604</v>
      </c>
      <c r="C111" s="515"/>
      <c r="D111" s="2467" t="s">
        <v>4828</v>
      </c>
      <c r="E111" s="516" t="s">
        <v>9810</v>
      </c>
      <c r="F111" s="165">
        <v>5</v>
      </c>
      <c r="G111" s="165">
        <v>5</v>
      </c>
      <c r="H111" s="166">
        <v>6</v>
      </c>
      <c r="I111" s="517">
        <f t="shared" ref="I111:I118" si="10">J111+K111+L111</f>
        <v>1.7</v>
      </c>
      <c r="J111" s="518">
        <f t="shared" ref="J111:J118" si="11">SUM(M111:R111)</f>
        <v>1.7</v>
      </c>
      <c r="K111" s="1569"/>
      <c r="L111" s="1569"/>
      <c r="M111" s="517"/>
      <c r="N111" s="517"/>
      <c r="O111" s="938"/>
      <c r="P111" s="987"/>
      <c r="Q111" s="942">
        <v>1.7</v>
      </c>
      <c r="R111" s="946"/>
      <c r="S111" s="1760"/>
      <c r="T111" s="1761"/>
      <c r="U111" s="1760"/>
      <c r="V111" s="1760"/>
      <c r="W111" s="1760"/>
      <c r="X111" s="1761"/>
      <c r="Y111" s="1760"/>
      <c r="Z111" s="2507"/>
      <c r="AB111" s="75">
        <v>1</v>
      </c>
      <c r="AE111" s="2461"/>
      <c r="AF111" s="68"/>
    </row>
    <row r="112" spans="1:32" s="76" customFormat="1" ht="90" x14ac:dyDescent="0.35">
      <c r="A112" s="525">
        <v>27</v>
      </c>
      <c r="B112" s="693">
        <v>10605</v>
      </c>
      <c r="C112" s="693" t="s">
        <v>1656</v>
      </c>
      <c r="D112" s="2467" t="s">
        <v>4829</v>
      </c>
      <c r="E112" s="322" t="s">
        <v>9811</v>
      </c>
      <c r="F112" s="92" t="s">
        <v>1490</v>
      </c>
      <c r="G112" s="92">
        <v>5</v>
      </c>
      <c r="H112" s="165">
        <v>6</v>
      </c>
      <c r="I112" s="1924">
        <f t="shared" si="10"/>
        <v>0.78</v>
      </c>
      <c r="J112" s="1924">
        <f t="shared" si="11"/>
        <v>0.78</v>
      </c>
      <c r="K112" s="622"/>
      <c r="L112" s="622"/>
      <c r="M112" s="622"/>
      <c r="N112" s="622"/>
      <c r="O112" s="622"/>
      <c r="P112" s="622"/>
      <c r="Q112" s="913"/>
      <c r="R112" s="906">
        <v>0.78</v>
      </c>
      <c r="S112" s="1571"/>
      <c r="T112" s="1571"/>
      <c r="U112" s="1571"/>
      <c r="V112" s="1571"/>
      <c r="W112" s="1760"/>
      <c r="X112" s="1761"/>
      <c r="Y112" s="1760"/>
      <c r="Z112" s="2507"/>
      <c r="AA112" s="3"/>
      <c r="AB112" s="3">
        <v>1</v>
      </c>
      <c r="AE112" s="2461"/>
      <c r="AF112" s="68"/>
    </row>
    <row r="113" spans="1:32" s="76" customFormat="1" ht="90" x14ac:dyDescent="0.35">
      <c r="A113" s="2001">
        <v>28</v>
      </c>
      <c r="B113" s="693">
        <v>10605</v>
      </c>
      <c r="C113" s="693" t="s">
        <v>1656</v>
      </c>
      <c r="D113" s="2467" t="s">
        <v>4830</v>
      </c>
      <c r="E113" s="322" t="s">
        <v>9812</v>
      </c>
      <c r="F113" s="92" t="s">
        <v>1490</v>
      </c>
      <c r="G113" s="92">
        <v>5</v>
      </c>
      <c r="H113" s="165">
        <v>6</v>
      </c>
      <c r="I113" s="1924">
        <f t="shared" si="10"/>
        <v>0.1</v>
      </c>
      <c r="J113" s="1924">
        <f t="shared" si="11"/>
        <v>0.1</v>
      </c>
      <c r="K113" s="622"/>
      <c r="L113" s="622"/>
      <c r="M113" s="622"/>
      <c r="N113" s="622"/>
      <c r="O113" s="622"/>
      <c r="P113" s="622"/>
      <c r="Q113" s="913"/>
      <c r="R113" s="906">
        <v>0.1</v>
      </c>
      <c r="S113" s="1571"/>
      <c r="T113" s="1571"/>
      <c r="U113" s="1571"/>
      <c r="V113" s="1571"/>
      <c r="W113" s="1760"/>
      <c r="X113" s="1761"/>
      <c r="Y113" s="1760"/>
      <c r="Z113" s="2507"/>
      <c r="AA113" s="3"/>
      <c r="AB113" s="3">
        <v>1</v>
      </c>
      <c r="AE113" s="2461"/>
      <c r="AF113" s="68"/>
    </row>
    <row r="114" spans="1:32" s="76" customFormat="1" ht="75" x14ac:dyDescent="0.35">
      <c r="A114" s="525">
        <v>29</v>
      </c>
      <c r="B114" s="515">
        <v>10604</v>
      </c>
      <c r="C114" s="515"/>
      <c r="D114" s="2467" t="s">
        <v>4831</v>
      </c>
      <c r="E114" s="516" t="s">
        <v>9813</v>
      </c>
      <c r="F114" s="165" t="s">
        <v>827</v>
      </c>
      <c r="G114" s="165">
        <v>5</v>
      </c>
      <c r="H114" s="165">
        <v>6</v>
      </c>
      <c r="I114" s="517">
        <f t="shared" si="10"/>
        <v>1.532</v>
      </c>
      <c r="J114" s="518">
        <f t="shared" si="11"/>
        <v>1.532</v>
      </c>
      <c r="K114" s="1569"/>
      <c r="L114" s="1569"/>
      <c r="M114" s="517"/>
      <c r="N114" s="517"/>
      <c r="O114" s="938"/>
      <c r="P114" s="987"/>
      <c r="Q114" s="942"/>
      <c r="R114" s="946">
        <v>1.532</v>
      </c>
      <c r="S114" s="1760"/>
      <c r="T114" s="1761"/>
      <c r="U114" s="1760"/>
      <c r="V114" s="1760"/>
      <c r="W114" s="1760">
        <v>1</v>
      </c>
      <c r="X114" s="1761">
        <v>10.1</v>
      </c>
      <c r="Y114" s="1760"/>
      <c r="Z114" s="2507"/>
      <c r="AB114" s="75">
        <v>1</v>
      </c>
      <c r="AE114" s="2461"/>
      <c r="AF114" s="68"/>
    </row>
    <row r="115" spans="1:32" s="76" customFormat="1" ht="90" x14ac:dyDescent="0.35">
      <c r="A115" s="2001">
        <v>30</v>
      </c>
      <c r="B115" s="693">
        <v>10604</v>
      </c>
      <c r="C115" s="693" t="s">
        <v>1656</v>
      </c>
      <c r="D115" s="2467" t="s">
        <v>4832</v>
      </c>
      <c r="E115" s="322" t="s">
        <v>9814</v>
      </c>
      <c r="F115" s="92" t="s">
        <v>664</v>
      </c>
      <c r="G115" s="92">
        <v>5</v>
      </c>
      <c r="H115" s="165">
        <v>6</v>
      </c>
      <c r="I115" s="1924">
        <f t="shared" si="10"/>
        <v>0.9</v>
      </c>
      <c r="J115" s="1924">
        <f t="shared" si="11"/>
        <v>0.9</v>
      </c>
      <c r="K115" s="622"/>
      <c r="L115" s="622"/>
      <c r="M115" s="622"/>
      <c r="N115" s="622"/>
      <c r="O115" s="622"/>
      <c r="P115" s="622"/>
      <c r="Q115" s="913"/>
      <c r="R115" s="906">
        <v>0.9</v>
      </c>
      <c r="S115" s="1571"/>
      <c r="T115" s="1571"/>
      <c r="U115" s="1571"/>
      <c r="V115" s="1571"/>
      <c r="W115" s="1760"/>
      <c r="X115" s="1761"/>
      <c r="Y115" s="1760"/>
      <c r="Z115" s="2507"/>
      <c r="AA115" s="3"/>
      <c r="AB115" s="3">
        <v>1</v>
      </c>
      <c r="AE115" s="2461"/>
      <c r="AF115" s="68"/>
    </row>
    <row r="116" spans="1:32" s="75" customFormat="1" ht="75.5" x14ac:dyDescent="0.35">
      <c r="A116" s="525">
        <v>31</v>
      </c>
      <c r="B116" s="693">
        <v>10604</v>
      </c>
      <c r="C116" s="693" t="s">
        <v>1656</v>
      </c>
      <c r="D116" s="2467" t="s">
        <v>4833</v>
      </c>
      <c r="E116" s="526" t="s">
        <v>9815</v>
      </c>
      <c r="F116" s="165">
        <v>5</v>
      </c>
      <c r="G116" s="165">
        <v>5</v>
      </c>
      <c r="H116" s="166">
        <v>6</v>
      </c>
      <c r="I116" s="517">
        <f t="shared" si="10"/>
        <v>0.27600000000000002</v>
      </c>
      <c r="J116" s="518">
        <f t="shared" si="11"/>
        <v>0.27600000000000002</v>
      </c>
      <c r="K116" s="1571"/>
      <c r="L116" s="1571"/>
      <c r="M116" s="527"/>
      <c r="N116" s="527">
        <v>0.27600000000000002</v>
      </c>
      <c r="O116" s="939"/>
      <c r="P116" s="988"/>
      <c r="Q116" s="943"/>
      <c r="R116" s="947"/>
      <c r="S116" s="1571"/>
      <c r="T116" s="1571"/>
      <c r="U116" s="1571"/>
      <c r="V116" s="1571"/>
      <c r="W116" s="1760"/>
      <c r="X116" s="1761"/>
      <c r="Y116" s="1760"/>
      <c r="Z116" s="2507"/>
      <c r="AA116" s="76"/>
      <c r="AB116" s="75">
        <v>1</v>
      </c>
      <c r="AE116" s="2461"/>
      <c r="AF116" s="68"/>
    </row>
    <row r="117" spans="1:32" s="75" customFormat="1" ht="90" x14ac:dyDescent="0.35">
      <c r="A117" s="2001">
        <v>32</v>
      </c>
      <c r="B117" s="693">
        <v>10604</v>
      </c>
      <c r="C117" s="693" t="s">
        <v>1656</v>
      </c>
      <c r="D117" s="2467" t="s">
        <v>4834</v>
      </c>
      <c r="E117" s="322" t="s">
        <v>9816</v>
      </c>
      <c r="F117" s="92" t="s">
        <v>664</v>
      </c>
      <c r="G117" s="92">
        <v>5</v>
      </c>
      <c r="H117" s="165">
        <v>6</v>
      </c>
      <c r="I117" s="1924">
        <f t="shared" si="10"/>
        <v>0.42</v>
      </c>
      <c r="J117" s="1924">
        <f t="shared" si="11"/>
        <v>0.42</v>
      </c>
      <c r="K117" s="622"/>
      <c r="L117" s="622"/>
      <c r="M117" s="622"/>
      <c r="N117" s="622"/>
      <c r="O117" s="622"/>
      <c r="P117" s="622"/>
      <c r="Q117" s="913"/>
      <c r="R117" s="906">
        <v>0.42</v>
      </c>
      <c r="S117" s="1571"/>
      <c r="T117" s="1571"/>
      <c r="U117" s="1571"/>
      <c r="V117" s="1571"/>
      <c r="W117" s="1760"/>
      <c r="X117" s="1761"/>
      <c r="Y117" s="1760"/>
      <c r="Z117" s="2507"/>
      <c r="AA117" s="3"/>
      <c r="AB117" s="3">
        <v>1</v>
      </c>
      <c r="AE117" s="2461"/>
      <c r="AF117" s="68"/>
    </row>
    <row r="118" spans="1:32" s="76" customFormat="1" x14ac:dyDescent="0.35">
      <c r="A118" s="525">
        <v>33</v>
      </c>
      <c r="B118" s="515">
        <v>10605</v>
      </c>
      <c r="C118" s="515"/>
      <c r="D118" s="515" t="s">
        <v>2525</v>
      </c>
      <c r="E118" s="516" t="s">
        <v>7127</v>
      </c>
      <c r="F118" s="2289"/>
      <c r="G118" s="166" t="s">
        <v>191</v>
      </c>
      <c r="H118" s="166" t="s">
        <v>191</v>
      </c>
      <c r="I118" s="517">
        <f t="shared" si="10"/>
        <v>18.757000000000001</v>
      </c>
      <c r="J118" s="518">
        <f t="shared" si="11"/>
        <v>18.757000000000001</v>
      </c>
      <c r="K118" s="1569"/>
      <c r="L118" s="1569"/>
      <c r="M118" s="518"/>
      <c r="N118" s="518">
        <f>SUM(N119:N124)</f>
        <v>11.577000000000002</v>
      </c>
      <c r="O118" s="611"/>
      <c r="P118" s="967"/>
      <c r="Q118" s="888">
        <f>SUM(Q119:Q124)</f>
        <v>7.18</v>
      </c>
      <c r="R118" s="886"/>
      <c r="S118" s="1760"/>
      <c r="T118" s="1761"/>
      <c r="U118" s="1760"/>
      <c r="V118" s="1760"/>
      <c r="W118" s="1760">
        <v>29</v>
      </c>
      <c r="X118" s="1761">
        <f>377.12+5</f>
        <v>382.12</v>
      </c>
      <c r="Y118" s="1760">
        <v>8</v>
      </c>
      <c r="Z118" s="2507">
        <v>92.68</v>
      </c>
      <c r="AA118" s="75"/>
      <c r="AB118" s="75">
        <v>1</v>
      </c>
      <c r="AE118" s="2461"/>
      <c r="AF118" s="68"/>
    </row>
    <row r="119" spans="1:32" s="76" customFormat="1" x14ac:dyDescent="0.35">
      <c r="A119" s="2002"/>
      <c r="B119" s="515">
        <v>10605</v>
      </c>
      <c r="C119" s="515"/>
      <c r="D119" s="521"/>
      <c r="E119" s="519" t="s">
        <v>131</v>
      </c>
      <c r="F119" s="165">
        <v>4</v>
      </c>
      <c r="G119" s="165">
        <v>4</v>
      </c>
      <c r="H119" s="166">
        <v>6</v>
      </c>
      <c r="I119" s="522"/>
      <c r="J119" s="522"/>
      <c r="K119" s="1570"/>
      <c r="L119" s="1570"/>
      <c r="M119" s="522"/>
      <c r="N119" s="522">
        <v>8.93</v>
      </c>
      <c r="O119" s="937"/>
      <c r="P119" s="986"/>
      <c r="Q119" s="941"/>
      <c r="R119" s="945"/>
      <c r="S119" s="1762"/>
      <c r="T119" s="1763"/>
      <c r="U119" s="1762"/>
      <c r="V119" s="1762"/>
      <c r="W119" s="1760"/>
      <c r="X119" s="1761"/>
      <c r="Y119" s="1760"/>
      <c r="Z119" s="2507"/>
      <c r="AE119" s="2461"/>
      <c r="AF119" s="68"/>
    </row>
    <row r="120" spans="1:32" s="76" customFormat="1" x14ac:dyDescent="0.35">
      <c r="A120" s="2002"/>
      <c r="B120" s="515">
        <v>10605</v>
      </c>
      <c r="C120" s="515"/>
      <c r="D120" s="521"/>
      <c r="E120" s="519" t="s">
        <v>130</v>
      </c>
      <c r="F120" s="165">
        <v>4</v>
      </c>
      <c r="G120" s="165">
        <v>4</v>
      </c>
      <c r="H120" s="166">
        <v>10</v>
      </c>
      <c r="I120" s="522"/>
      <c r="J120" s="522"/>
      <c r="K120" s="1570"/>
      <c r="L120" s="1570"/>
      <c r="M120" s="522"/>
      <c r="N120" s="522">
        <f>10-8.93</f>
        <v>1.0700000000000003</v>
      </c>
      <c r="O120" s="937"/>
      <c r="P120" s="986"/>
      <c r="Q120" s="941"/>
      <c r="R120" s="945"/>
      <c r="S120" s="1762"/>
      <c r="T120" s="1763"/>
      <c r="U120" s="1762"/>
      <c r="V120" s="1762"/>
      <c r="W120" s="1760"/>
      <c r="X120" s="1761"/>
      <c r="Y120" s="1760"/>
      <c r="Z120" s="2507"/>
      <c r="AE120" s="2461"/>
      <c r="AF120" s="68"/>
    </row>
    <row r="121" spans="1:32" s="76" customFormat="1" x14ac:dyDescent="0.35">
      <c r="A121" s="2002"/>
      <c r="B121" s="515"/>
      <c r="C121" s="515"/>
      <c r="D121" s="521"/>
      <c r="E121" s="523" t="s">
        <v>11333</v>
      </c>
      <c r="F121" s="165">
        <v>4</v>
      </c>
      <c r="G121" s="165">
        <v>4</v>
      </c>
      <c r="H121" s="166">
        <v>6</v>
      </c>
      <c r="I121" s="2275"/>
      <c r="J121" s="2275"/>
      <c r="K121" s="2275"/>
      <c r="L121" s="2275"/>
      <c r="M121" s="2275"/>
      <c r="N121" s="2275">
        <f>11-10</f>
        <v>1</v>
      </c>
      <c r="O121" s="937"/>
      <c r="P121" s="986"/>
      <c r="Q121" s="941"/>
      <c r="R121" s="945"/>
      <c r="S121" s="1762"/>
      <c r="T121" s="1763"/>
      <c r="U121" s="1762"/>
      <c r="V121" s="1762"/>
      <c r="W121" s="1760"/>
      <c r="X121" s="1761"/>
      <c r="Y121" s="1760"/>
      <c r="Z121" s="2507"/>
      <c r="AE121" s="2461"/>
      <c r="AF121" s="68"/>
    </row>
    <row r="122" spans="1:32" s="76" customFormat="1" x14ac:dyDescent="0.35">
      <c r="A122" s="2002"/>
      <c r="B122" s="515">
        <v>10605</v>
      </c>
      <c r="C122" s="515"/>
      <c r="D122" s="521"/>
      <c r="E122" s="949" t="s">
        <v>11332</v>
      </c>
      <c r="F122" s="165">
        <v>4</v>
      </c>
      <c r="G122" s="165">
        <v>4</v>
      </c>
      <c r="H122" s="166">
        <v>6</v>
      </c>
      <c r="I122" s="522"/>
      <c r="J122" s="522"/>
      <c r="K122" s="1570"/>
      <c r="L122" s="1570"/>
      <c r="M122" s="522"/>
      <c r="N122" s="522"/>
      <c r="O122" s="937"/>
      <c r="P122" s="986"/>
      <c r="Q122" s="941">
        <f>15-11</f>
        <v>4</v>
      </c>
      <c r="R122" s="945"/>
      <c r="S122" s="1762"/>
      <c r="T122" s="1763"/>
      <c r="U122" s="1762"/>
      <c r="V122" s="1762"/>
      <c r="W122" s="1760"/>
      <c r="X122" s="1761"/>
      <c r="Y122" s="1760"/>
      <c r="Z122" s="2507"/>
      <c r="AE122" s="2461"/>
      <c r="AF122" s="68"/>
    </row>
    <row r="123" spans="1:32" s="75" customFormat="1" x14ac:dyDescent="0.35">
      <c r="A123" s="2002"/>
      <c r="B123" s="515">
        <v>10605</v>
      </c>
      <c r="C123" s="515"/>
      <c r="D123" s="521"/>
      <c r="E123" s="949" t="s">
        <v>872</v>
      </c>
      <c r="F123" s="165">
        <v>4</v>
      </c>
      <c r="G123" s="165">
        <v>5</v>
      </c>
      <c r="H123" s="166">
        <v>6</v>
      </c>
      <c r="I123" s="522"/>
      <c r="J123" s="522"/>
      <c r="K123" s="1570"/>
      <c r="L123" s="1570"/>
      <c r="M123" s="522"/>
      <c r="N123" s="522"/>
      <c r="O123" s="937"/>
      <c r="P123" s="986"/>
      <c r="Q123" s="941">
        <f>18.18-15</f>
        <v>3.1799999999999997</v>
      </c>
      <c r="R123" s="945"/>
      <c r="S123" s="1762"/>
      <c r="T123" s="1763"/>
      <c r="U123" s="1762"/>
      <c r="V123" s="1762"/>
      <c r="W123" s="1760"/>
      <c r="X123" s="1761"/>
      <c r="Y123" s="1760"/>
      <c r="Z123" s="2507"/>
      <c r="AE123" s="2461"/>
      <c r="AF123" s="68"/>
    </row>
    <row r="124" spans="1:32" s="76" customFormat="1" x14ac:dyDescent="0.35">
      <c r="A124" s="2002"/>
      <c r="B124" s="515">
        <v>10605</v>
      </c>
      <c r="C124" s="515"/>
      <c r="D124" s="521"/>
      <c r="E124" s="519" t="s">
        <v>873</v>
      </c>
      <c r="F124" s="165">
        <v>4</v>
      </c>
      <c r="G124" s="165">
        <v>5</v>
      </c>
      <c r="H124" s="166">
        <v>6</v>
      </c>
      <c r="I124" s="522"/>
      <c r="J124" s="522"/>
      <c r="K124" s="1570"/>
      <c r="L124" s="1570"/>
      <c r="M124" s="522"/>
      <c r="N124" s="522">
        <f>18.757-18.18</f>
        <v>0.57700000000000173</v>
      </c>
      <c r="O124" s="937"/>
      <c r="P124" s="986"/>
      <c r="Q124" s="941"/>
      <c r="R124" s="945"/>
      <c r="S124" s="1762"/>
      <c r="T124" s="1763"/>
      <c r="U124" s="1762"/>
      <c r="V124" s="1762"/>
      <c r="W124" s="1760"/>
      <c r="X124" s="1761"/>
      <c r="Y124" s="1760"/>
      <c r="Z124" s="2507"/>
      <c r="AA124" s="75"/>
      <c r="AB124" s="75"/>
      <c r="AE124" s="2461"/>
      <c r="AF124" s="68"/>
    </row>
    <row r="125" spans="1:32" s="76" customFormat="1" ht="30" x14ac:dyDescent="0.35">
      <c r="A125" s="2001">
        <v>34</v>
      </c>
      <c r="B125" s="515">
        <v>10605</v>
      </c>
      <c r="C125" s="515"/>
      <c r="D125" s="2467" t="s">
        <v>4835</v>
      </c>
      <c r="E125" s="1999" t="s">
        <v>7709</v>
      </c>
      <c r="F125" s="165"/>
      <c r="G125" s="166" t="s">
        <v>191</v>
      </c>
      <c r="H125" s="166" t="s">
        <v>191</v>
      </c>
      <c r="I125" s="297">
        <f>J125+K125+L125</f>
        <v>3.5059999999999998</v>
      </c>
      <c r="J125" s="297">
        <f>SUM(M125:R125)</f>
        <v>3.5059999999999998</v>
      </c>
      <c r="K125" s="1570"/>
      <c r="L125" s="1570"/>
      <c r="M125" s="517"/>
      <c r="N125" s="517">
        <f>SUM(N126:N128)</f>
        <v>0.14799999999999999</v>
      </c>
      <c r="O125" s="2371"/>
      <c r="P125" s="2372"/>
      <c r="Q125" s="2000">
        <f>SUM(Q126:Q128)</f>
        <v>1.8619999999999999</v>
      </c>
      <c r="R125" s="2373">
        <f>SUM(R126:R128)</f>
        <v>1.496</v>
      </c>
      <c r="S125" s="1762"/>
      <c r="T125" s="1763"/>
      <c r="U125" s="1762"/>
      <c r="V125" s="1762"/>
      <c r="W125" s="1760">
        <v>1</v>
      </c>
      <c r="X125" s="1761">
        <v>13.1</v>
      </c>
      <c r="Y125" s="1760"/>
      <c r="Z125" s="2507"/>
      <c r="AB125" s="76">
        <v>1</v>
      </c>
      <c r="AE125" s="2461"/>
      <c r="AF125" s="68"/>
    </row>
    <row r="126" spans="1:32" s="76" customFormat="1" x14ac:dyDescent="0.35">
      <c r="A126" s="2001"/>
      <c r="B126" s="515"/>
      <c r="C126" s="515"/>
      <c r="D126" s="697"/>
      <c r="E126" s="519" t="s">
        <v>3288</v>
      </c>
      <c r="F126" s="165" t="s">
        <v>827</v>
      </c>
      <c r="G126" s="166">
        <v>5</v>
      </c>
      <c r="H126" s="166">
        <v>6</v>
      </c>
      <c r="I126" s="298"/>
      <c r="J126" s="298"/>
      <c r="K126" s="2275"/>
      <c r="L126" s="2275"/>
      <c r="M126" s="522"/>
      <c r="N126" s="522">
        <v>0.14799999999999999</v>
      </c>
      <c r="O126" s="2371"/>
      <c r="P126" s="2372"/>
      <c r="Q126" s="2000"/>
      <c r="R126" s="2373"/>
      <c r="S126" s="1762"/>
      <c r="T126" s="1763"/>
      <c r="U126" s="1762"/>
      <c r="V126" s="1762"/>
      <c r="W126" s="1760"/>
      <c r="X126" s="1761"/>
      <c r="Y126" s="1760"/>
      <c r="Z126" s="2507"/>
      <c r="AE126" s="2461"/>
      <c r="AF126" s="68"/>
    </row>
    <row r="127" spans="1:32" s="76" customFormat="1" x14ac:dyDescent="0.35">
      <c r="A127" s="2001"/>
      <c r="B127" s="515">
        <v>10605</v>
      </c>
      <c r="C127" s="515"/>
      <c r="D127" s="697"/>
      <c r="E127" s="949" t="s">
        <v>306</v>
      </c>
      <c r="F127" s="165" t="s">
        <v>1490</v>
      </c>
      <c r="G127" s="166">
        <v>5</v>
      </c>
      <c r="H127" s="166">
        <v>6</v>
      </c>
      <c r="I127" s="298"/>
      <c r="J127" s="298"/>
      <c r="K127" s="2275"/>
      <c r="L127" s="2275"/>
      <c r="M127" s="522"/>
      <c r="N127" s="522"/>
      <c r="O127" s="2276"/>
      <c r="P127" s="2277"/>
      <c r="Q127" s="2278">
        <f>2.01-0.148</f>
        <v>1.8619999999999999</v>
      </c>
      <c r="R127" s="2279"/>
      <c r="S127" s="1762"/>
      <c r="T127" s="1763"/>
      <c r="U127" s="1762"/>
      <c r="V127" s="1762"/>
      <c r="W127" s="1760"/>
      <c r="X127" s="1761"/>
      <c r="Y127" s="1760"/>
      <c r="Z127" s="2507"/>
      <c r="AE127" s="2461"/>
      <c r="AF127" s="68"/>
    </row>
    <row r="128" spans="1:32" s="76" customFormat="1" x14ac:dyDescent="0.35">
      <c r="A128" s="2001"/>
      <c r="B128" s="515">
        <v>10605</v>
      </c>
      <c r="C128" s="515"/>
      <c r="D128" s="697"/>
      <c r="E128" s="948" t="s">
        <v>980</v>
      </c>
      <c r="F128" s="165" t="s">
        <v>1490</v>
      </c>
      <c r="G128" s="166">
        <v>5</v>
      </c>
      <c r="H128" s="165">
        <v>6</v>
      </c>
      <c r="I128" s="298"/>
      <c r="J128" s="298"/>
      <c r="K128" s="2275"/>
      <c r="L128" s="2275"/>
      <c r="M128" s="522"/>
      <c r="N128" s="522"/>
      <c r="O128" s="2276"/>
      <c r="P128" s="2277"/>
      <c r="Q128" s="2278"/>
      <c r="R128" s="2279">
        <f>3.506-2.01</f>
        <v>1.496</v>
      </c>
      <c r="S128" s="1762"/>
      <c r="T128" s="1763"/>
      <c r="U128" s="1762"/>
      <c r="V128" s="1762"/>
      <c r="W128" s="1760"/>
      <c r="X128" s="1761"/>
      <c r="Y128" s="1760"/>
      <c r="Z128" s="2507"/>
      <c r="AE128" s="2461"/>
      <c r="AF128" s="68"/>
    </row>
    <row r="129" spans="1:32" s="76" customFormat="1" ht="30" x14ac:dyDescent="0.35">
      <c r="A129" s="525">
        <v>35</v>
      </c>
      <c r="B129" s="693">
        <v>10605</v>
      </c>
      <c r="C129" s="693" t="s">
        <v>1656</v>
      </c>
      <c r="D129" s="2467" t="s">
        <v>4836</v>
      </c>
      <c r="E129" s="322" t="s">
        <v>8481</v>
      </c>
      <c r="F129" s="92" t="s">
        <v>664</v>
      </c>
      <c r="G129" s="92">
        <v>5</v>
      </c>
      <c r="H129" s="165">
        <v>6</v>
      </c>
      <c r="I129" s="1924">
        <f>J129+K129+L129</f>
        <v>1.5</v>
      </c>
      <c r="J129" s="1924">
        <f>SUM(M129:R129)</f>
        <v>1.5</v>
      </c>
      <c r="K129" s="622"/>
      <c r="L129" s="622"/>
      <c r="M129" s="622"/>
      <c r="N129" s="622"/>
      <c r="O129" s="622"/>
      <c r="P129" s="622"/>
      <c r="Q129" s="913"/>
      <c r="R129" s="906">
        <v>1.5</v>
      </c>
      <c r="S129" s="1571"/>
      <c r="T129" s="1571"/>
      <c r="U129" s="1571"/>
      <c r="V129" s="1571"/>
      <c r="W129" s="1760"/>
      <c r="X129" s="1761"/>
      <c r="Y129" s="1760"/>
      <c r="Z129" s="2507"/>
      <c r="AA129" s="3"/>
      <c r="AB129" s="3">
        <v>1</v>
      </c>
      <c r="AE129" s="2461"/>
      <c r="AF129" s="68"/>
    </row>
    <row r="130" spans="1:32" s="76" customFormat="1" ht="30" x14ac:dyDescent="0.35">
      <c r="A130" s="525">
        <v>36</v>
      </c>
      <c r="B130" s="693">
        <v>10605</v>
      </c>
      <c r="C130" s="693" t="s">
        <v>1656</v>
      </c>
      <c r="D130" s="2467" t="s">
        <v>4837</v>
      </c>
      <c r="E130" s="322" t="s">
        <v>8482</v>
      </c>
      <c r="F130" s="92" t="s">
        <v>1490</v>
      </c>
      <c r="G130" s="92">
        <v>5</v>
      </c>
      <c r="H130" s="165">
        <v>6</v>
      </c>
      <c r="I130" s="1924">
        <f>J130+K130+L130</f>
        <v>0.1</v>
      </c>
      <c r="J130" s="1924">
        <f>SUM(M130:R130)</f>
        <v>0.1</v>
      </c>
      <c r="K130" s="622"/>
      <c r="L130" s="622"/>
      <c r="M130" s="622"/>
      <c r="N130" s="622"/>
      <c r="O130" s="622"/>
      <c r="P130" s="622"/>
      <c r="Q130" s="913"/>
      <c r="R130" s="906">
        <v>0.1</v>
      </c>
      <c r="S130" s="1571"/>
      <c r="T130" s="1571"/>
      <c r="U130" s="1571"/>
      <c r="V130" s="1571"/>
      <c r="W130" s="1760"/>
      <c r="X130" s="1761"/>
      <c r="Y130" s="1760"/>
      <c r="Z130" s="2507"/>
      <c r="AA130" s="3"/>
      <c r="AB130" s="3">
        <v>1</v>
      </c>
      <c r="AE130" s="2461"/>
      <c r="AF130" s="68"/>
    </row>
    <row r="131" spans="1:32" s="75" customFormat="1" ht="30" x14ac:dyDescent="0.35">
      <c r="A131" s="525">
        <v>37</v>
      </c>
      <c r="B131" s="693">
        <v>10608</v>
      </c>
      <c r="C131" s="693" t="s">
        <v>1656</v>
      </c>
      <c r="D131" s="2467" t="s">
        <v>4845</v>
      </c>
      <c r="E131" s="322" t="s">
        <v>8483</v>
      </c>
      <c r="F131" s="92" t="s">
        <v>664</v>
      </c>
      <c r="G131" s="92">
        <v>5</v>
      </c>
      <c r="H131" s="165">
        <v>6</v>
      </c>
      <c r="I131" s="1924">
        <f>J131+K131+L131</f>
        <v>0.35</v>
      </c>
      <c r="J131" s="1924">
        <f>SUM(M131:R131)</f>
        <v>0.35</v>
      </c>
      <c r="K131" s="622"/>
      <c r="L131" s="622"/>
      <c r="M131" s="622"/>
      <c r="N131" s="622"/>
      <c r="O131" s="622"/>
      <c r="P131" s="622"/>
      <c r="Q131" s="913"/>
      <c r="R131" s="906">
        <v>0.35</v>
      </c>
      <c r="S131" s="1571"/>
      <c r="T131" s="1571"/>
      <c r="U131" s="1571"/>
      <c r="V131" s="1571"/>
      <c r="W131" s="1760"/>
      <c r="X131" s="1761"/>
      <c r="Y131" s="1760"/>
      <c r="Z131" s="2507"/>
      <c r="AA131" s="3"/>
      <c r="AB131" s="3">
        <v>1</v>
      </c>
      <c r="AE131" s="2461"/>
      <c r="AF131" s="68"/>
    </row>
    <row r="132" spans="1:32" s="76" customFormat="1" ht="30" x14ac:dyDescent="0.35">
      <c r="A132" s="525">
        <v>38</v>
      </c>
      <c r="B132" s="515">
        <v>10606</v>
      </c>
      <c r="C132" s="515"/>
      <c r="D132" s="515" t="s">
        <v>2526</v>
      </c>
      <c r="E132" s="516" t="s">
        <v>3153</v>
      </c>
      <c r="F132" s="2289"/>
      <c r="G132" s="2289" t="s">
        <v>191</v>
      </c>
      <c r="H132" s="166" t="s">
        <v>191</v>
      </c>
      <c r="I132" s="517">
        <f>J132+K132+L132</f>
        <v>17.850000000000001</v>
      </c>
      <c r="J132" s="518">
        <f>SUM(M132:R132)</f>
        <v>17.850000000000001</v>
      </c>
      <c r="K132" s="1569"/>
      <c r="L132" s="1569"/>
      <c r="M132" s="518"/>
      <c r="N132" s="518">
        <f>SUM(N133:N134)</f>
        <v>0.55000000000000004</v>
      </c>
      <c r="O132" s="611"/>
      <c r="P132" s="967"/>
      <c r="Q132" s="888">
        <f>SUM(Q133:Q134)</f>
        <v>17.3</v>
      </c>
      <c r="R132" s="886"/>
      <c r="S132" s="1760">
        <v>2</v>
      </c>
      <c r="T132" s="1761">
        <v>19.899999999999999</v>
      </c>
      <c r="U132" s="1760"/>
      <c r="V132" s="1760"/>
      <c r="W132" s="1760">
        <v>19</v>
      </c>
      <c r="X132" s="1761">
        <v>254.3</v>
      </c>
      <c r="Y132" s="1760">
        <v>3</v>
      </c>
      <c r="Z132" s="2507">
        <v>37</v>
      </c>
      <c r="AB132" s="75">
        <v>1</v>
      </c>
      <c r="AE132" s="2461"/>
      <c r="AF132" s="68"/>
    </row>
    <row r="133" spans="1:32" s="76" customFormat="1" x14ac:dyDescent="0.35">
      <c r="A133" s="2002"/>
      <c r="B133" s="515">
        <v>10606</v>
      </c>
      <c r="C133" s="515"/>
      <c r="D133" s="521"/>
      <c r="E133" s="949" t="s">
        <v>2389</v>
      </c>
      <c r="F133" s="2289">
        <v>4</v>
      </c>
      <c r="G133" s="2289">
        <v>5</v>
      </c>
      <c r="H133" s="166">
        <v>6</v>
      </c>
      <c r="I133" s="522"/>
      <c r="J133" s="522"/>
      <c r="K133" s="1570"/>
      <c r="L133" s="1570"/>
      <c r="M133" s="522"/>
      <c r="N133" s="522"/>
      <c r="O133" s="937"/>
      <c r="P133" s="986"/>
      <c r="Q133" s="941">
        <v>17.3</v>
      </c>
      <c r="R133" s="945"/>
      <c r="S133" s="1762"/>
      <c r="T133" s="1763"/>
      <c r="U133" s="1762"/>
      <c r="V133" s="1762"/>
      <c r="W133" s="1760"/>
      <c r="X133" s="1761"/>
      <c r="Y133" s="1760"/>
      <c r="Z133" s="2507"/>
      <c r="AE133" s="2461"/>
      <c r="AF133" s="68"/>
    </row>
    <row r="134" spans="1:32" s="76" customFormat="1" x14ac:dyDescent="0.35">
      <c r="A134" s="2002"/>
      <c r="B134" s="515">
        <v>10606</v>
      </c>
      <c r="C134" s="515"/>
      <c r="D134" s="521"/>
      <c r="E134" s="519" t="s">
        <v>1333</v>
      </c>
      <c r="F134" s="2289">
        <v>4</v>
      </c>
      <c r="G134" s="2289">
        <v>5</v>
      </c>
      <c r="H134" s="166">
        <v>6</v>
      </c>
      <c r="I134" s="522"/>
      <c r="J134" s="522"/>
      <c r="K134" s="1570"/>
      <c r="L134" s="1570"/>
      <c r="M134" s="522"/>
      <c r="N134" s="522">
        <v>0.55000000000000004</v>
      </c>
      <c r="O134" s="937"/>
      <c r="P134" s="986"/>
      <c r="Q134" s="941"/>
      <c r="R134" s="945"/>
      <c r="S134" s="1762"/>
      <c r="T134" s="1763"/>
      <c r="U134" s="1762"/>
      <c r="V134" s="1762"/>
      <c r="W134" s="1760"/>
      <c r="X134" s="1761"/>
      <c r="Y134" s="1760"/>
      <c r="Z134" s="2507"/>
      <c r="AE134" s="2461"/>
      <c r="AF134" s="68"/>
    </row>
    <row r="135" spans="1:32" s="76" customFormat="1" ht="45" x14ac:dyDescent="0.35">
      <c r="A135" s="525">
        <v>39</v>
      </c>
      <c r="B135" s="693">
        <v>10606</v>
      </c>
      <c r="C135" s="693" t="s">
        <v>1656</v>
      </c>
      <c r="D135" s="2467" t="s">
        <v>4838</v>
      </c>
      <c r="E135" s="322" t="s">
        <v>8484</v>
      </c>
      <c r="F135" s="92" t="s">
        <v>664</v>
      </c>
      <c r="G135" s="92">
        <v>5</v>
      </c>
      <c r="H135" s="165">
        <v>6</v>
      </c>
      <c r="I135" s="1924">
        <f t="shared" ref="I135:I140" si="12">J135+K135+L135</f>
        <v>0.3</v>
      </c>
      <c r="J135" s="1924">
        <f t="shared" ref="J135:J140" si="13">SUM(M135:R135)</f>
        <v>0.3</v>
      </c>
      <c r="K135" s="622"/>
      <c r="L135" s="622"/>
      <c r="M135" s="622"/>
      <c r="N135" s="622"/>
      <c r="O135" s="622"/>
      <c r="P135" s="622"/>
      <c r="Q135" s="913"/>
      <c r="R135" s="906">
        <v>0.3</v>
      </c>
      <c r="S135" s="1571"/>
      <c r="T135" s="1571"/>
      <c r="U135" s="1571"/>
      <c r="V135" s="1571"/>
      <c r="W135" s="1760"/>
      <c r="X135" s="1761"/>
      <c r="Y135" s="1760"/>
      <c r="Z135" s="2507"/>
      <c r="AA135" s="3"/>
      <c r="AB135" s="3">
        <v>1</v>
      </c>
      <c r="AE135" s="2461"/>
      <c r="AF135" s="68"/>
    </row>
    <row r="136" spans="1:32" s="76" customFormat="1" ht="45" x14ac:dyDescent="0.35">
      <c r="A136" s="525">
        <v>40</v>
      </c>
      <c r="B136" s="693">
        <v>10606</v>
      </c>
      <c r="C136" s="693" t="s">
        <v>1656</v>
      </c>
      <c r="D136" s="2467" t="s">
        <v>4839</v>
      </c>
      <c r="E136" s="322" t="s">
        <v>8485</v>
      </c>
      <c r="F136" s="92" t="s">
        <v>664</v>
      </c>
      <c r="G136" s="92">
        <v>5</v>
      </c>
      <c r="H136" s="165">
        <v>6</v>
      </c>
      <c r="I136" s="1924">
        <f t="shared" si="12"/>
        <v>0.16</v>
      </c>
      <c r="J136" s="1924">
        <f t="shared" si="13"/>
        <v>0.16</v>
      </c>
      <c r="K136" s="622"/>
      <c r="L136" s="622"/>
      <c r="M136" s="622"/>
      <c r="N136" s="622"/>
      <c r="O136" s="622"/>
      <c r="P136" s="622"/>
      <c r="Q136" s="913"/>
      <c r="R136" s="906">
        <v>0.16</v>
      </c>
      <c r="S136" s="1571"/>
      <c r="T136" s="1571"/>
      <c r="U136" s="1571"/>
      <c r="V136" s="1571"/>
      <c r="W136" s="1760"/>
      <c r="X136" s="1761"/>
      <c r="Y136" s="1760"/>
      <c r="Z136" s="2507"/>
      <c r="AA136" s="3"/>
      <c r="AB136" s="3">
        <v>1</v>
      </c>
      <c r="AE136" s="2461"/>
      <c r="AF136" s="68"/>
    </row>
    <row r="137" spans="1:32" s="75" customFormat="1" ht="45" x14ac:dyDescent="0.35">
      <c r="A137" s="525">
        <v>41</v>
      </c>
      <c r="B137" s="693">
        <v>10606</v>
      </c>
      <c r="C137" s="693" t="s">
        <v>1656</v>
      </c>
      <c r="D137" s="2467" t="s">
        <v>4840</v>
      </c>
      <c r="E137" s="322" t="s">
        <v>8486</v>
      </c>
      <c r="F137" s="92" t="s">
        <v>664</v>
      </c>
      <c r="G137" s="92">
        <v>5</v>
      </c>
      <c r="H137" s="165">
        <v>6</v>
      </c>
      <c r="I137" s="1924">
        <f t="shared" si="12"/>
        <v>2.15</v>
      </c>
      <c r="J137" s="1924">
        <f t="shared" si="13"/>
        <v>2.15</v>
      </c>
      <c r="K137" s="622"/>
      <c r="L137" s="622"/>
      <c r="M137" s="622"/>
      <c r="N137" s="622"/>
      <c r="O137" s="622"/>
      <c r="P137" s="622"/>
      <c r="Q137" s="913"/>
      <c r="R137" s="906">
        <v>2.15</v>
      </c>
      <c r="S137" s="1571"/>
      <c r="T137" s="1571"/>
      <c r="U137" s="1571"/>
      <c r="V137" s="1571"/>
      <c r="W137" s="1760"/>
      <c r="X137" s="1761"/>
      <c r="Y137" s="1760"/>
      <c r="Z137" s="2507"/>
      <c r="AA137" s="3"/>
      <c r="AB137" s="3">
        <v>1</v>
      </c>
      <c r="AE137" s="2461"/>
      <c r="AF137" s="68"/>
    </row>
    <row r="138" spans="1:32" s="76" customFormat="1" ht="60" x14ac:dyDescent="0.35">
      <c r="A138" s="525">
        <v>42</v>
      </c>
      <c r="B138" s="693">
        <v>10606</v>
      </c>
      <c r="C138" s="693" t="s">
        <v>1656</v>
      </c>
      <c r="D138" s="2467" t="s">
        <v>4841</v>
      </c>
      <c r="E138" s="322" t="s">
        <v>8487</v>
      </c>
      <c r="F138" s="92" t="s">
        <v>664</v>
      </c>
      <c r="G138" s="92">
        <v>5</v>
      </c>
      <c r="H138" s="165">
        <v>6</v>
      </c>
      <c r="I138" s="1924">
        <f t="shared" si="12"/>
        <v>3</v>
      </c>
      <c r="J138" s="1924">
        <f t="shared" si="13"/>
        <v>3</v>
      </c>
      <c r="K138" s="622"/>
      <c r="L138" s="622"/>
      <c r="M138" s="622"/>
      <c r="N138" s="622"/>
      <c r="O138" s="622"/>
      <c r="P138" s="622"/>
      <c r="Q138" s="913"/>
      <c r="R138" s="906">
        <v>3</v>
      </c>
      <c r="S138" s="1571"/>
      <c r="T138" s="1571"/>
      <c r="U138" s="1571"/>
      <c r="V138" s="1571"/>
      <c r="W138" s="1760"/>
      <c r="X138" s="1761"/>
      <c r="Y138" s="1760"/>
      <c r="Z138" s="2507"/>
      <c r="AA138" s="3"/>
      <c r="AB138" s="3">
        <v>1</v>
      </c>
      <c r="AE138" s="2461"/>
      <c r="AF138" s="68"/>
    </row>
    <row r="139" spans="1:32" s="76" customFormat="1" ht="60" x14ac:dyDescent="0.35">
      <c r="A139" s="525">
        <v>43</v>
      </c>
      <c r="B139" s="693">
        <v>10606</v>
      </c>
      <c r="C139" s="693" t="s">
        <v>1656</v>
      </c>
      <c r="D139" s="2467" t="s">
        <v>4842</v>
      </c>
      <c r="E139" s="322" t="s">
        <v>8488</v>
      </c>
      <c r="F139" s="92" t="s">
        <v>1490</v>
      </c>
      <c r="G139" s="92">
        <v>5</v>
      </c>
      <c r="H139" s="165">
        <v>6</v>
      </c>
      <c r="I139" s="1924">
        <f t="shared" si="12"/>
        <v>0.3</v>
      </c>
      <c r="J139" s="1924">
        <f t="shared" si="13"/>
        <v>0.3</v>
      </c>
      <c r="K139" s="622"/>
      <c r="L139" s="622"/>
      <c r="M139" s="622"/>
      <c r="N139" s="622"/>
      <c r="O139" s="622"/>
      <c r="P139" s="622"/>
      <c r="Q139" s="913"/>
      <c r="R139" s="906">
        <v>0.3</v>
      </c>
      <c r="S139" s="1571"/>
      <c r="T139" s="1571"/>
      <c r="U139" s="1571"/>
      <c r="V139" s="1571"/>
      <c r="W139" s="1760"/>
      <c r="X139" s="1761"/>
      <c r="Y139" s="1760"/>
      <c r="Z139" s="2507"/>
      <c r="AA139" s="3"/>
      <c r="AB139" s="3">
        <v>1</v>
      </c>
      <c r="AE139" s="2461"/>
      <c r="AF139" s="68"/>
    </row>
    <row r="140" spans="1:32" s="76" customFormat="1" ht="45" x14ac:dyDescent="0.35">
      <c r="A140" s="525">
        <v>44</v>
      </c>
      <c r="B140" s="515">
        <v>10607</v>
      </c>
      <c r="C140" s="515"/>
      <c r="D140" s="515" t="s">
        <v>1865</v>
      </c>
      <c r="E140" s="516" t="s">
        <v>9400</v>
      </c>
      <c r="F140" s="2289"/>
      <c r="G140" s="2289" t="s">
        <v>191</v>
      </c>
      <c r="H140" s="166" t="s">
        <v>191</v>
      </c>
      <c r="I140" s="517">
        <f t="shared" si="12"/>
        <v>26.09</v>
      </c>
      <c r="J140" s="518">
        <f t="shared" si="13"/>
        <v>26.09</v>
      </c>
      <c r="K140" s="1569"/>
      <c r="L140" s="1569"/>
      <c r="M140" s="518"/>
      <c r="N140" s="518">
        <f>SUM(N141:N145)</f>
        <v>0.98</v>
      </c>
      <c r="O140" s="611"/>
      <c r="P140" s="967">
        <f>SUM(P141:P145)</f>
        <v>0.34</v>
      </c>
      <c r="Q140" s="888">
        <f>SUM(Q141:Q145)</f>
        <v>24.77</v>
      </c>
      <c r="R140" s="886"/>
      <c r="S140" s="1760">
        <v>2</v>
      </c>
      <c r="T140" s="1761">
        <v>67.099999999999994</v>
      </c>
      <c r="U140" s="1760"/>
      <c r="V140" s="1760"/>
      <c r="W140" s="1760">
        <v>35</v>
      </c>
      <c r="X140" s="1761">
        <f>483.2+7.5</f>
        <v>490.7</v>
      </c>
      <c r="Y140" s="1760">
        <v>12</v>
      </c>
      <c r="Z140" s="2507">
        <f>136+7.5</f>
        <v>143.5</v>
      </c>
      <c r="AB140" s="75">
        <v>1</v>
      </c>
      <c r="AE140" s="2461"/>
      <c r="AF140" s="68"/>
    </row>
    <row r="141" spans="1:32" s="76" customFormat="1" x14ac:dyDescent="0.35">
      <c r="A141" s="2002"/>
      <c r="B141" s="515">
        <v>10607</v>
      </c>
      <c r="C141" s="515"/>
      <c r="D141" s="521"/>
      <c r="E141" s="950" t="s">
        <v>874</v>
      </c>
      <c r="F141" s="2289">
        <v>4</v>
      </c>
      <c r="G141" s="2289">
        <v>4</v>
      </c>
      <c r="H141" s="166">
        <v>6</v>
      </c>
      <c r="I141" s="522"/>
      <c r="J141" s="522"/>
      <c r="K141" s="1570"/>
      <c r="L141" s="1570"/>
      <c r="M141" s="522"/>
      <c r="N141" s="522">
        <v>0.86</v>
      </c>
      <c r="O141" s="937"/>
      <c r="P141" s="986"/>
      <c r="Q141" s="941"/>
      <c r="R141" s="945"/>
      <c r="S141" s="1762"/>
      <c r="T141" s="1763"/>
      <c r="U141" s="1762"/>
      <c r="V141" s="1762"/>
      <c r="W141" s="1760"/>
      <c r="X141" s="1761"/>
      <c r="Y141" s="1760"/>
      <c r="Z141" s="2507"/>
      <c r="AE141" s="2461"/>
      <c r="AF141" s="68"/>
    </row>
    <row r="142" spans="1:32" s="76" customFormat="1" x14ac:dyDescent="0.35">
      <c r="A142" s="2002"/>
      <c r="B142" s="515">
        <v>10607</v>
      </c>
      <c r="C142" s="515"/>
      <c r="D142" s="521"/>
      <c r="E142" s="949" t="s">
        <v>875</v>
      </c>
      <c r="F142" s="2289">
        <v>4</v>
      </c>
      <c r="G142" s="2289">
        <v>4</v>
      </c>
      <c r="H142" s="166">
        <v>6</v>
      </c>
      <c r="I142" s="522"/>
      <c r="J142" s="522"/>
      <c r="K142" s="1570"/>
      <c r="L142" s="1570"/>
      <c r="M142" s="522"/>
      <c r="N142" s="522"/>
      <c r="O142" s="937"/>
      <c r="P142" s="986"/>
      <c r="Q142" s="941">
        <v>14.93</v>
      </c>
      <c r="R142" s="945"/>
      <c r="S142" s="1762"/>
      <c r="T142" s="1763"/>
      <c r="U142" s="1762"/>
      <c r="V142" s="1762"/>
      <c r="W142" s="1760"/>
      <c r="X142" s="1761"/>
      <c r="Y142" s="1760"/>
      <c r="Z142" s="2507"/>
      <c r="AE142" s="2461"/>
      <c r="AF142" s="68"/>
    </row>
    <row r="143" spans="1:32" s="75" customFormat="1" x14ac:dyDescent="0.35">
      <c r="A143" s="2002"/>
      <c r="B143" s="515">
        <v>10607</v>
      </c>
      <c r="C143" s="515"/>
      <c r="D143" s="521"/>
      <c r="E143" s="519" t="s">
        <v>1334</v>
      </c>
      <c r="F143" s="2289">
        <v>4</v>
      </c>
      <c r="G143" s="2289">
        <v>4</v>
      </c>
      <c r="H143" s="166">
        <v>6</v>
      </c>
      <c r="I143" s="522"/>
      <c r="J143" s="522"/>
      <c r="K143" s="1570"/>
      <c r="L143" s="1570"/>
      <c r="M143" s="522"/>
      <c r="N143" s="522">
        <v>0.12</v>
      </c>
      <c r="O143" s="937"/>
      <c r="P143" s="986"/>
      <c r="Q143" s="941"/>
      <c r="R143" s="945"/>
      <c r="S143" s="1762"/>
      <c r="T143" s="1763"/>
      <c r="U143" s="1762"/>
      <c r="V143" s="1762"/>
      <c r="W143" s="1760"/>
      <c r="X143" s="1761"/>
      <c r="Y143" s="1760"/>
      <c r="Z143" s="2507"/>
      <c r="AA143" s="76"/>
      <c r="AB143" s="76"/>
      <c r="AE143" s="2461"/>
      <c r="AF143" s="68"/>
    </row>
    <row r="144" spans="1:32" s="76" customFormat="1" x14ac:dyDescent="0.35">
      <c r="A144" s="2002"/>
      <c r="B144" s="515">
        <v>10607</v>
      </c>
      <c r="C144" s="515"/>
      <c r="D144" s="521"/>
      <c r="E144" s="949" t="s">
        <v>1873</v>
      </c>
      <c r="F144" s="2289">
        <v>4</v>
      </c>
      <c r="G144" s="2289">
        <v>4</v>
      </c>
      <c r="H144" s="166">
        <v>6</v>
      </c>
      <c r="I144" s="522"/>
      <c r="J144" s="522"/>
      <c r="K144" s="1570"/>
      <c r="L144" s="1570"/>
      <c r="M144" s="522"/>
      <c r="N144" s="522"/>
      <c r="O144" s="937"/>
      <c r="P144" s="986"/>
      <c r="Q144" s="941">
        <v>9.84</v>
      </c>
      <c r="R144" s="945"/>
      <c r="S144" s="1762"/>
      <c r="T144" s="1763"/>
      <c r="U144" s="1762"/>
      <c r="V144" s="1762"/>
      <c r="W144" s="1760"/>
      <c r="X144" s="1761"/>
      <c r="Y144" s="1760"/>
      <c r="Z144" s="2507"/>
      <c r="AC144" s="62" t="s">
        <v>1326</v>
      </c>
      <c r="AD144" s="353">
        <v>36626</v>
      </c>
      <c r="AE144" s="2461"/>
      <c r="AF144" s="68"/>
    </row>
    <row r="145" spans="1:32" s="76" customFormat="1" x14ac:dyDescent="0.35">
      <c r="A145" s="2002"/>
      <c r="B145" s="515">
        <v>10607</v>
      </c>
      <c r="C145" s="515"/>
      <c r="D145" s="521"/>
      <c r="E145" s="989" t="s">
        <v>1819</v>
      </c>
      <c r="F145" s="2289">
        <v>4</v>
      </c>
      <c r="G145" s="2289">
        <v>4</v>
      </c>
      <c r="H145" s="166">
        <v>6</v>
      </c>
      <c r="I145" s="522"/>
      <c r="J145" s="522"/>
      <c r="K145" s="1570"/>
      <c r="L145" s="1570"/>
      <c r="M145" s="522"/>
      <c r="N145" s="522"/>
      <c r="O145" s="937"/>
      <c r="P145" s="986">
        <v>0.34</v>
      </c>
      <c r="Q145" s="941"/>
      <c r="R145" s="945"/>
      <c r="S145" s="1762"/>
      <c r="T145" s="1763"/>
      <c r="U145" s="1762"/>
      <c r="V145" s="1762"/>
      <c r="W145" s="1760"/>
      <c r="X145" s="1761"/>
      <c r="Y145" s="1760"/>
      <c r="Z145" s="2507"/>
      <c r="AC145" s="62" t="s">
        <v>1326</v>
      </c>
      <c r="AD145" s="353">
        <v>36626</v>
      </c>
      <c r="AE145" s="2461"/>
      <c r="AF145" s="68"/>
    </row>
    <row r="146" spans="1:32" s="76" customFormat="1" ht="60" x14ac:dyDescent="0.35">
      <c r="A146" s="2001">
        <v>45</v>
      </c>
      <c r="B146" s="515">
        <v>10607</v>
      </c>
      <c r="C146" s="515"/>
      <c r="D146" s="2467" t="s">
        <v>4843</v>
      </c>
      <c r="E146" s="516" t="s">
        <v>9817</v>
      </c>
      <c r="F146" s="165" t="s">
        <v>1490</v>
      </c>
      <c r="G146" s="165">
        <v>5</v>
      </c>
      <c r="H146" s="165">
        <v>6</v>
      </c>
      <c r="I146" s="517">
        <f>J146+K146+L146</f>
        <v>0.7</v>
      </c>
      <c r="J146" s="518">
        <f>SUM(M146:R146)</f>
        <v>0.7</v>
      </c>
      <c r="K146" s="1569"/>
      <c r="L146" s="1569"/>
      <c r="M146" s="517"/>
      <c r="N146" s="517"/>
      <c r="O146" s="938"/>
      <c r="P146" s="987"/>
      <c r="Q146" s="942"/>
      <c r="R146" s="946">
        <v>0.7</v>
      </c>
      <c r="S146" s="1760"/>
      <c r="T146" s="1761"/>
      <c r="U146" s="1760"/>
      <c r="V146" s="1760"/>
      <c r="W146" s="1760"/>
      <c r="X146" s="1761"/>
      <c r="Y146" s="1760"/>
      <c r="Z146" s="2507"/>
      <c r="AB146" s="75">
        <v>1</v>
      </c>
      <c r="AE146" s="2461"/>
      <c r="AF146" s="68"/>
    </row>
    <row r="147" spans="1:32" s="75" customFormat="1" ht="45" x14ac:dyDescent="0.35">
      <c r="A147" s="2001">
        <v>46</v>
      </c>
      <c r="B147" s="515">
        <v>10608</v>
      </c>
      <c r="C147" s="515"/>
      <c r="D147" s="515" t="s">
        <v>1866</v>
      </c>
      <c r="E147" s="516" t="s">
        <v>9818</v>
      </c>
      <c r="F147" s="2289"/>
      <c r="G147" s="2289" t="s">
        <v>191</v>
      </c>
      <c r="H147" s="166" t="s">
        <v>191</v>
      </c>
      <c r="I147" s="517">
        <f>J147+K147+L147</f>
        <v>14.244999999999999</v>
      </c>
      <c r="J147" s="518">
        <f>SUM(M147:R147)</f>
        <v>14.244999999999999</v>
      </c>
      <c r="K147" s="1569"/>
      <c r="L147" s="1569"/>
      <c r="M147" s="518"/>
      <c r="N147" s="518">
        <f>SUM(N148:N150)</f>
        <v>2.3879999999999999</v>
      </c>
      <c r="O147" s="611"/>
      <c r="P147" s="967"/>
      <c r="Q147" s="888">
        <f>SUM(Q148:Q150)</f>
        <v>11.856999999999999</v>
      </c>
      <c r="R147" s="886"/>
      <c r="S147" s="1760"/>
      <c r="T147" s="1761"/>
      <c r="U147" s="1760"/>
      <c r="V147" s="1760"/>
      <c r="W147" s="1760">
        <v>19</v>
      </c>
      <c r="X147" s="1761">
        <v>280.5</v>
      </c>
      <c r="Y147" s="1760">
        <v>5</v>
      </c>
      <c r="Z147" s="2507">
        <v>75</v>
      </c>
      <c r="AB147" s="75">
        <v>1</v>
      </c>
      <c r="AE147" s="2461"/>
      <c r="AF147" s="68"/>
    </row>
    <row r="148" spans="1:32" s="76" customFormat="1" x14ac:dyDescent="0.35">
      <c r="A148" s="2002"/>
      <c r="B148" s="515">
        <v>10608</v>
      </c>
      <c r="C148" s="515"/>
      <c r="D148" s="521"/>
      <c r="E148" s="949" t="s">
        <v>2727</v>
      </c>
      <c r="F148" s="2289">
        <v>5</v>
      </c>
      <c r="G148" s="2289">
        <v>5</v>
      </c>
      <c r="H148" s="166">
        <v>6</v>
      </c>
      <c r="I148" s="522"/>
      <c r="J148" s="522"/>
      <c r="K148" s="1570"/>
      <c r="L148" s="1570"/>
      <c r="M148" s="522"/>
      <c r="N148" s="522"/>
      <c r="O148" s="937"/>
      <c r="P148" s="986"/>
      <c r="Q148" s="941">
        <v>7.8520000000000003</v>
      </c>
      <c r="R148" s="945"/>
      <c r="S148" s="1762"/>
      <c r="T148" s="1763"/>
      <c r="U148" s="1762"/>
      <c r="V148" s="1762"/>
      <c r="W148" s="1760"/>
      <c r="X148" s="1761"/>
      <c r="Y148" s="1760"/>
      <c r="Z148" s="2507"/>
      <c r="AE148" s="2461"/>
      <c r="AF148" s="68"/>
    </row>
    <row r="149" spans="1:32" s="76" customFormat="1" x14ac:dyDescent="0.35">
      <c r="A149" s="2002"/>
      <c r="B149" s="515">
        <v>10608</v>
      </c>
      <c r="C149" s="515"/>
      <c r="D149" s="521"/>
      <c r="E149" s="519" t="s">
        <v>2728</v>
      </c>
      <c r="F149" s="2289">
        <v>5</v>
      </c>
      <c r="G149" s="2289">
        <v>5</v>
      </c>
      <c r="H149" s="166">
        <v>6</v>
      </c>
      <c r="I149" s="522"/>
      <c r="J149" s="522"/>
      <c r="K149" s="1570"/>
      <c r="L149" s="1570"/>
      <c r="M149" s="522"/>
      <c r="N149" s="522">
        <v>2.3879999999999999</v>
      </c>
      <c r="O149" s="937"/>
      <c r="P149" s="986"/>
      <c r="Q149" s="941"/>
      <c r="R149" s="945"/>
      <c r="S149" s="1762"/>
      <c r="T149" s="1763"/>
      <c r="U149" s="1762"/>
      <c r="V149" s="1762"/>
      <c r="W149" s="1760"/>
      <c r="X149" s="1761"/>
      <c r="Y149" s="1760"/>
      <c r="Z149" s="2507"/>
      <c r="AE149" s="2461"/>
      <c r="AF149" s="68"/>
    </row>
    <row r="150" spans="1:32" s="76" customFormat="1" x14ac:dyDescent="0.35">
      <c r="A150" s="2002"/>
      <c r="B150" s="515">
        <v>10608</v>
      </c>
      <c r="C150" s="515"/>
      <c r="D150" s="521"/>
      <c r="E150" s="949" t="s">
        <v>2838</v>
      </c>
      <c r="F150" s="2289">
        <v>5</v>
      </c>
      <c r="G150" s="2289">
        <v>5</v>
      </c>
      <c r="H150" s="166">
        <v>6</v>
      </c>
      <c r="I150" s="522"/>
      <c r="J150" s="522"/>
      <c r="K150" s="1570"/>
      <c r="L150" s="1570"/>
      <c r="M150" s="522"/>
      <c r="N150" s="522"/>
      <c r="O150" s="937"/>
      <c r="P150" s="986"/>
      <c r="Q150" s="941">
        <v>4.0049999999999999</v>
      </c>
      <c r="R150" s="945"/>
      <c r="S150" s="1762"/>
      <c r="T150" s="1763"/>
      <c r="U150" s="1762"/>
      <c r="V150" s="1762"/>
      <c r="W150" s="1760"/>
      <c r="X150" s="1761"/>
      <c r="Y150" s="1760"/>
      <c r="Z150" s="2507"/>
      <c r="AE150" s="2461"/>
      <c r="AF150" s="68"/>
    </row>
    <row r="151" spans="1:32" s="76" customFormat="1" ht="75" x14ac:dyDescent="0.35">
      <c r="A151" s="2001">
        <v>47</v>
      </c>
      <c r="B151" s="515">
        <v>10608</v>
      </c>
      <c r="C151" s="515"/>
      <c r="D151" s="2467" t="s">
        <v>4846</v>
      </c>
      <c r="E151" s="1999" t="s">
        <v>9819</v>
      </c>
      <c r="F151" s="165"/>
      <c r="G151" s="166" t="s">
        <v>191</v>
      </c>
      <c r="H151" s="166" t="s">
        <v>191</v>
      </c>
      <c r="I151" s="518">
        <f t="shared" ref="I151:I166" si="14">J151+K151+L151</f>
        <v>0.69</v>
      </c>
      <c r="J151" s="518">
        <f>SUM(M151:R151)</f>
        <v>0.69</v>
      </c>
      <c r="K151" s="1570"/>
      <c r="L151" s="1570"/>
      <c r="M151" s="517"/>
      <c r="N151" s="517">
        <f>SUM(N152:N154)</f>
        <v>0.2</v>
      </c>
      <c r="O151" s="2371"/>
      <c r="P151" s="2372"/>
      <c r="Q151" s="2000">
        <f>SUM(Q152:Q154)</f>
        <v>0.25</v>
      </c>
      <c r="R151" s="2373">
        <f>SUM(R152:R154)</f>
        <v>0.23999999999999994</v>
      </c>
      <c r="S151" s="1762"/>
      <c r="T151" s="1763"/>
      <c r="U151" s="1762"/>
      <c r="V151" s="1762"/>
      <c r="W151" s="1760"/>
      <c r="X151" s="1761"/>
      <c r="Y151" s="1760"/>
      <c r="Z151" s="2507"/>
      <c r="AB151" s="76">
        <v>1</v>
      </c>
      <c r="AE151" s="2461"/>
      <c r="AF151" s="68"/>
    </row>
    <row r="152" spans="1:32" s="76" customFormat="1" x14ac:dyDescent="0.35">
      <c r="A152" s="2001"/>
      <c r="B152" s="515"/>
      <c r="C152" s="515"/>
      <c r="D152" s="697"/>
      <c r="E152" s="519" t="s">
        <v>1795</v>
      </c>
      <c r="F152" s="165" t="s">
        <v>664</v>
      </c>
      <c r="G152" s="166">
        <v>5</v>
      </c>
      <c r="H152" s="166">
        <v>6</v>
      </c>
      <c r="I152" s="298"/>
      <c r="J152" s="298"/>
      <c r="K152" s="2275"/>
      <c r="L152" s="2275"/>
      <c r="M152" s="522"/>
      <c r="N152" s="522">
        <v>0.2</v>
      </c>
      <c r="O152" s="2276"/>
      <c r="P152" s="2277"/>
      <c r="Q152" s="2278"/>
      <c r="R152" s="2279"/>
      <c r="S152" s="1762"/>
      <c r="T152" s="1763"/>
      <c r="U152" s="1762"/>
      <c r="V152" s="1762"/>
      <c r="W152" s="1760"/>
      <c r="X152" s="1761"/>
      <c r="Y152" s="1760"/>
      <c r="Z152" s="2507"/>
      <c r="AE152" s="2461"/>
      <c r="AF152" s="68"/>
    </row>
    <row r="153" spans="1:32" s="76" customFormat="1" x14ac:dyDescent="0.35">
      <c r="A153" s="2001"/>
      <c r="B153" s="515"/>
      <c r="C153" s="515"/>
      <c r="D153" s="697"/>
      <c r="E153" s="949" t="s">
        <v>192</v>
      </c>
      <c r="F153" s="165" t="s">
        <v>664</v>
      </c>
      <c r="G153" s="166">
        <v>5</v>
      </c>
      <c r="H153" s="166">
        <v>6</v>
      </c>
      <c r="I153" s="298"/>
      <c r="J153" s="298"/>
      <c r="K153" s="2275"/>
      <c r="L153" s="2275"/>
      <c r="M153" s="522"/>
      <c r="N153" s="522"/>
      <c r="O153" s="2276"/>
      <c r="P153" s="2277"/>
      <c r="Q153" s="2278">
        <f>0.45-0.2</f>
        <v>0.25</v>
      </c>
      <c r="R153" s="2279"/>
      <c r="S153" s="1762"/>
      <c r="T153" s="1763"/>
      <c r="U153" s="1762"/>
      <c r="V153" s="1762"/>
      <c r="W153" s="1760"/>
      <c r="X153" s="1761"/>
      <c r="Y153" s="1760"/>
      <c r="Z153" s="2507"/>
      <c r="AE153" s="2461"/>
      <c r="AF153" s="68"/>
    </row>
    <row r="154" spans="1:32" s="76" customFormat="1" x14ac:dyDescent="0.35">
      <c r="A154" s="2001"/>
      <c r="B154" s="515"/>
      <c r="C154" s="515"/>
      <c r="D154" s="697"/>
      <c r="E154" s="948" t="s">
        <v>193</v>
      </c>
      <c r="F154" s="165" t="s">
        <v>664</v>
      </c>
      <c r="G154" s="166">
        <v>5</v>
      </c>
      <c r="H154" s="165">
        <v>6</v>
      </c>
      <c r="I154" s="298"/>
      <c r="J154" s="298"/>
      <c r="K154" s="2275"/>
      <c r="L154" s="2275"/>
      <c r="M154" s="522"/>
      <c r="N154" s="522"/>
      <c r="O154" s="2276"/>
      <c r="P154" s="2277"/>
      <c r="Q154" s="2278"/>
      <c r="R154" s="2279">
        <f>0.69-0.45</f>
        <v>0.23999999999999994</v>
      </c>
      <c r="S154" s="1762"/>
      <c r="T154" s="1763"/>
      <c r="U154" s="1762"/>
      <c r="V154" s="1762"/>
      <c r="W154" s="1760"/>
      <c r="X154" s="1761"/>
      <c r="Y154" s="1760"/>
      <c r="Z154" s="2507"/>
      <c r="AE154" s="2461"/>
      <c r="AF154" s="68"/>
    </row>
    <row r="155" spans="1:32" s="75" customFormat="1" x14ac:dyDescent="0.35">
      <c r="A155" s="525">
        <v>48</v>
      </c>
      <c r="B155" s="515">
        <v>10609</v>
      </c>
      <c r="C155" s="515"/>
      <c r="D155" s="515" t="s">
        <v>1867</v>
      </c>
      <c r="E155" s="516" t="s">
        <v>401</v>
      </c>
      <c r="F155" s="165">
        <v>4</v>
      </c>
      <c r="G155" s="165">
        <v>4</v>
      </c>
      <c r="H155" s="166">
        <v>6</v>
      </c>
      <c r="I155" s="517">
        <f t="shared" si="14"/>
        <v>11.82</v>
      </c>
      <c r="J155" s="518">
        <f t="shared" ref="J155:J166" si="15">SUM(M155:R155)</f>
        <v>11.82</v>
      </c>
      <c r="K155" s="1569"/>
      <c r="L155" s="1569"/>
      <c r="M155" s="517"/>
      <c r="N155" s="517">
        <v>11.82</v>
      </c>
      <c r="O155" s="938"/>
      <c r="P155" s="987"/>
      <c r="Q155" s="942"/>
      <c r="R155" s="946"/>
      <c r="S155" s="1760">
        <v>2</v>
      </c>
      <c r="T155" s="1761">
        <v>70.7</v>
      </c>
      <c r="U155" s="1760"/>
      <c r="V155" s="1760"/>
      <c r="W155" s="1760">
        <v>27</v>
      </c>
      <c r="X155" s="1761">
        <v>345.7</v>
      </c>
      <c r="Y155" s="1760">
        <v>9</v>
      </c>
      <c r="Z155" s="2507">
        <v>100</v>
      </c>
      <c r="AA155" s="76"/>
      <c r="AB155" s="75">
        <v>1</v>
      </c>
      <c r="AE155" s="2461"/>
      <c r="AF155" s="68"/>
    </row>
    <row r="156" spans="1:32" s="75" customFormat="1" ht="30" x14ac:dyDescent="0.35">
      <c r="A156" s="2001">
        <v>49</v>
      </c>
      <c r="B156" s="515">
        <v>10609</v>
      </c>
      <c r="C156" s="515"/>
      <c r="D156" s="2467" t="s">
        <v>4847</v>
      </c>
      <c r="E156" s="516" t="s">
        <v>9820</v>
      </c>
      <c r="F156" s="165">
        <v>5</v>
      </c>
      <c r="G156" s="165">
        <v>5</v>
      </c>
      <c r="H156" s="166">
        <v>6</v>
      </c>
      <c r="I156" s="517">
        <f t="shared" si="14"/>
        <v>0.3</v>
      </c>
      <c r="J156" s="518">
        <f t="shared" si="15"/>
        <v>0.3</v>
      </c>
      <c r="K156" s="1569"/>
      <c r="L156" s="1569"/>
      <c r="M156" s="517"/>
      <c r="N156" s="517">
        <v>0.3</v>
      </c>
      <c r="O156" s="938"/>
      <c r="P156" s="987"/>
      <c r="Q156" s="942"/>
      <c r="R156" s="946"/>
      <c r="S156" s="1760"/>
      <c r="T156" s="1761"/>
      <c r="U156" s="1760"/>
      <c r="V156" s="1760"/>
      <c r="W156" s="1760">
        <v>1</v>
      </c>
      <c r="X156" s="1761">
        <v>12.1</v>
      </c>
      <c r="Y156" s="1760"/>
      <c r="Z156" s="2507"/>
      <c r="AB156" s="75">
        <v>1</v>
      </c>
      <c r="AE156" s="2461"/>
      <c r="AF156" s="68"/>
    </row>
    <row r="157" spans="1:32" s="75" customFormat="1" ht="30" x14ac:dyDescent="0.35">
      <c r="A157" s="525">
        <v>50</v>
      </c>
      <c r="B157" s="515">
        <v>10609</v>
      </c>
      <c r="C157" s="515"/>
      <c r="D157" s="2467" t="s">
        <v>4848</v>
      </c>
      <c r="E157" s="516" t="s">
        <v>7710</v>
      </c>
      <c r="F157" s="165" t="s">
        <v>827</v>
      </c>
      <c r="G157" s="165">
        <v>5</v>
      </c>
      <c r="H157" s="165">
        <v>6</v>
      </c>
      <c r="I157" s="517">
        <f t="shared" si="14"/>
        <v>2.19</v>
      </c>
      <c r="J157" s="518">
        <f t="shared" si="15"/>
        <v>2.19</v>
      </c>
      <c r="K157" s="1569"/>
      <c r="L157" s="1569"/>
      <c r="M157" s="517"/>
      <c r="N157" s="517"/>
      <c r="O157" s="938"/>
      <c r="P157" s="987"/>
      <c r="Q157" s="942"/>
      <c r="R157" s="946">
        <v>2.19</v>
      </c>
      <c r="S157" s="1760">
        <v>1</v>
      </c>
      <c r="T157" s="1761">
        <v>14.7</v>
      </c>
      <c r="U157" s="1760"/>
      <c r="V157" s="1760"/>
      <c r="W157" s="1760">
        <v>1</v>
      </c>
      <c r="X157" s="1761">
        <v>10</v>
      </c>
      <c r="Y157" s="1760"/>
      <c r="Z157" s="2507"/>
      <c r="AA157" s="76"/>
      <c r="AB157" s="75">
        <v>1</v>
      </c>
      <c r="AE157" s="2461"/>
      <c r="AF157" s="68"/>
    </row>
    <row r="158" spans="1:32" s="76" customFormat="1" ht="45.5" x14ac:dyDescent="0.35">
      <c r="A158" s="2001">
        <v>51</v>
      </c>
      <c r="B158" s="693">
        <v>10609</v>
      </c>
      <c r="C158" s="693" t="s">
        <v>2435</v>
      </c>
      <c r="D158" s="2467" t="s">
        <v>4849</v>
      </c>
      <c r="E158" s="269" t="s">
        <v>7377</v>
      </c>
      <c r="F158" s="165">
        <v>5</v>
      </c>
      <c r="G158" s="165">
        <v>5</v>
      </c>
      <c r="H158" s="166">
        <v>6</v>
      </c>
      <c r="I158" s="517">
        <f t="shared" si="14"/>
        <v>0.6</v>
      </c>
      <c r="J158" s="518">
        <f t="shared" si="15"/>
        <v>0.6</v>
      </c>
      <c r="K158" s="1571"/>
      <c r="L158" s="1571"/>
      <c r="M158" s="527"/>
      <c r="N158" s="580">
        <v>0.6</v>
      </c>
      <c r="O158" s="939"/>
      <c r="P158" s="988"/>
      <c r="Q158" s="943"/>
      <c r="R158" s="947"/>
      <c r="S158" s="1571"/>
      <c r="T158" s="1571"/>
      <c r="U158" s="1571"/>
      <c r="V158" s="1571"/>
      <c r="W158" s="1760">
        <v>1</v>
      </c>
      <c r="X158" s="1761">
        <v>12.5</v>
      </c>
      <c r="Y158" s="1760"/>
      <c r="Z158" s="2507"/>
      <c r="AB158" s="75">
        <v>1</v>
      </c>
      <c r="AE158" s="2461"/>
      <c r="AF158" s="68"/>
    </row>
    <row r="159" spans="1:32" s="76" customFormat="1" ht="45.5" x14ac:dyDescent="0.35">
      <c r="A159" s="525">
        <v>52</v>
      </c>
      <c r="B159" s="515">
        <v>10609</v>
      </c>
      <c r="C159" s="358" t="s">
        <v>1656</v>
      </c>
      <c r="D159" s="2467" t="s">
        <v>4850</v>
      </c>
      <c r="E159" s="269" t="s">
        <v>7378</v>
      </c>
      <c r="F159" s="165" t="s">
        <v>664</v>
      </c>
      <c r="G159" s="166">
        <v>5</v>
      </c>
      <c r="H159" s="166">
        <v>6</v>
      </c>
      <c r="I159" s="297">
        <f t="shared" si="14"/>
        <v>0.5</v>
      </c>
      <c r="J159" s="297">
        <f>SUM(M159:R159)</f>
        <v>0.5</v>
      </c>
      <c r="K159" s="1570"/>
      <c r="L159" s="1570"/>
      <c r="M159" s="517"/>
      <c r="N159" s="517">
        <v>0.5</v>
      </c>
      <c r="O159" s="2371"/>
      <c r="P159" s="2372"/>
      <c r="Q159" s="2000"/>
      <c r="R159" s="2373"/>
      <c r="S159" s="1762"/>
      <c r="T159" s="1763"/>
      <c r="U159" s="1762"/>
      <c r="V159" s="1762"/>
      <c r="W159" s="1760"/>
      <c r="X159" s="1761"/>
      <c r="Y159" s="1760"/>
      <c r="Z159" s="2507"/>
      <c r="AB159" s="76">
        <v>1</v>
      </c>
      <c r="AE159" s="2461"/>
      <c r="AF159" s="68"/>
    </row>
    <row r="160" spans="1:32" s="76" customFormat="1" ht="45" x14ac:dyDescent="0.35">
      <c r="A160" s="2001">
        <v>53</v>
      </c>
      <c r="B160" s="693">
        <v>10609</v>
      </c>
      <c r="C160" s="693"/>
      <c r="D160" s="2467" t="s">
        <v>4852</v>
      </c>
      <c r="E160" s="322" t="s">
        <v>11186</v>
      </c>
      <c r="F160" s="2289"/>
      <c r="G160" s="2289" t="s">
        <v>191</v>
      </c>
      <c r="H160" s="166" t="s">
        <v>191</v>
      </c>
      <c r="I160" s="1924">
        <f>J160+K160+L160</f>
        <v>0.8</v>
      </c>
      <c r="J160" s="1924">
        <f>SUM(M160:R160)</f>
        <v>0.8</v>
      </c>
      <c r="K160" s="622"/>
      <c r="L160" s="622"/>
      <c r="M160" s="622"/>
      <c r="N160" s="622">
        <f>SUM(N161:N165)</f>
        <v>3.2000000000000001E-2</v>
      </c>
      <c r="O160" s="622"/>
      <c r="P160" s="622"/>
      <c r="Q160" s="913">
        <f>SUM(Q161:Q165)</f>
        <v>5.2000000000000005E-2</v>
      </c>
      <c r="R160" s="906">
        <f>SUM(R161:R165)</f>
        <v>0.71600000000000008</v>
      </c>
      <c r="S160" s="1571"/>
      <c r="T160" s="1571"/>
      <c r="U160" s="1571"/>
      <c r="V160" s="1571"/>
      <c r="W160" s="1760"/>
      <c r="X160" s="1761"/>
      <c r="Y160" s="1760"/>
      <c r="Z160" s="2507"/>
      <c r="AA160" s="3"/>
      <c r="AB160" s="3">
        <v>1</v>
      </c>
      <c r="AE160" s="2461"/>
      <c r="AF160" s="68"/>
    </row>
    <row r="161" spans="1:32" s="76" customFormat="1" x14ac:dyDescent="0.35">
      <c r="A161" s="2001"/>
      <c r="B161" s="693"/>
      <c r="C161" s="693"/>
      <c r="D161" s="2467"/>
      <c r="E161" s="948" t="s">
        <v>11137</v>
      </c>
      <c r="F161" s="92" t="s">
        <v>1490</v>
      </c>
      <c r="G161" s="92">
        <v>5</v>
      </c>
      <c r="H161" s="165">
        <v>6</v>
      </c>
      <c r="I161" s="1918"/>
      <c r="J161" s="1918"/>
      <c r="K161" s="395"/>
      <c r="L161" s="395"/>
      <c r="M161" s="395"/>
      <c r="N161" s="395"/>
      <c r="O161" s="395"/>
      <c r="P161" s="395"/>
      <c r="Q161" s="914"/>
      <c r="R161" s="907">
        <v>0.11600000000000001</v>
      </c>
      <c r="S161" s="1571"/>
      <c r="T161" s="1571"/>
      <c r="U161" s="1571"/>
      <c r="V161" s="1571"/>
      <c r="W161" s="1760"/>
      <c r="X161" s="1761"/>
      <c r="Y161" s="1760"/>
      <c r="Z161" s="2507"/>
      <c r="AA161" s="3"/>
      <c r="AB161" s="3"/>
      <c r="AE161" s="2461"/>
      <c r="AF161" s="68"/>
    </row>
    <row r="162" spans="1:32" s="76" customFormat="1" x14ac:dyDescent="0.35">
      <c r="A162" s="2001"/>
      <c r="B162" s="693"/>
      <c r="C162" s="693"/>
      <c r="D162" s="2467"/>
      <c r="E162" s="949" t="s">
        <v>11136</v>
      </c>
      <c r="F162" s="92" t="s">
        <v>1490</v>
      </c>
      <c r="G162" s="92">
        <v>5</v>
      </c>
      <c r="H162" s="165">
        <v>6</v>
      </c>
      <c r="I162" s="1918"/>
      <c r="J162" s="1918"/>
      <c r="K162" s="395"/>
      <c r="L162" s="395"/>
      <c r="M162" s="395"/>
      <c r="N162" s="395"/>
      <c r="O162" s="395"/>
      <c r="P162" s="395"/>
      <c r="Q162" s="914">
        <f>0.141-0.116</f>
        <v>2.4999999999999981E-2</v>
      </c>
      <c r="R162" s="907"/>
      <c r="S162" s="1571"/>
      <c r="T162" s="1571"/>
      <c r="U162" s="1571"/>
      <c r="V162" s="1571"/>
      <c r="W162" s="1760"/>
      <c r="X162" s="1761"/>
      <c r="Y162" s="1760"/>
      <c r="Z162" s="2507"/>
      <c r="AA162" s="3"/>
      <c r="AB162" s="3"/>
      <c r="AE162" s="2461"/>
      <c r="AF162" s="68"/>
    </row>
    <row r="163" spans="1:32" s="76" customFormat="1" ht="46.5" x14ac:dyDescent="0.35">
      <c r="A163" s="2001"/>
      <c r="B163" s="693"/>
      <c r="C163" s="693"/>
      <c r="D163" s="2467"/>
      <c r="E163" s="324" t="s">
        <v>11135</v>
      </c>
      <c r="F163" s="92" t="s">
        <v>1490</v>
      </c>
      <c r="G163" s="92">
        <v>5</v>
      </c>
      <c r="H163" s="165">
        <v>6</v>
      </c>
      <c r="I163" s="1918"/>
      <c r="J163" s="1918"/>
      <c r="K163" s="395"/>
      <c r="L163" s="395"/>
      <c r="M163" s="395"/>
      <c r="N163" s="395">
        <f>0.173-0.141</f>
        <v>3.2000000000000001E-2</v>
      </c>
      <c r="O163" s="395"/>
      <c r="P163" s="395"/>
      <c r="Q163" s="914"/>
      <c r="R163" s="907"/>
      <c r="S163" s="1571"/>
      <c r="T163" s="1571"/>
      <c r="U163" s="1571"/>
      <c r="V163" s="1571"/>
      <c r="W163" s="1760"/>
      <c r="X163" s="1761"/>
      <c r="Y163" s="1760"/>
      <c r="Z163" s="2507"/>
      <c r="AA163" s="3"/>
      <c r="AB163" s="3"/>
      <c r="AE163" s="2461"/>
      <c r="AF163" s="68"/>
    </row>
    <row r="164" spans="1:32" s="76" customFormat="1" x14ac:dyDescent="0.35">
      <c r="A164" s="2001"/>
      <c r="B164" s="693"/>
      <c r="C164" s="693"/>
      <c r="D164" s="2467"/>
      <c r="E164" s="949" t="s">
        <v>11138</v>
      </c>
      <c r="F164" s="92" t="s">
        <v>1490</v>
      </c>
      <c r="G164" s="92">
        <v>5</v>
      </c>
      <c r="H164" s="165">
        <v>6</v>
      </c>
      <c r="I164" s="1918"/>
      <c r="J164" s="1918"/>
      <c r="K164" s="395"/>
      <c r="L164" s="395"/>
      <c r="M164" s="395"/>
      <c r="N164" s="395"/>
      <c r="O164" s="395"/>
      <c r="P164" s="395"/>
      <c r="Q164" s="914">
        <f>0.2-0.173</f>
        <v>2.7000000000000024E-2</v>
      </c>
      <c r="R164" s="907"/>
      <c r="S164" s="1571"/>
      <c r="T164" s="1571"/>
      <c r="U164" s="1571"/>
      <c r="V164" s="1571"/>
      <c r="W164" s="1760"/>
      <c r="X164" s="1761"/>
      <c r="Y164" s="1760"/>
      <c r="Z164" s="2507"/>
      <c r="AA164" s="3"/>
      <c r="AB164" s="3"/>
      <c r="AE164" s="2461"/>
      <c r="AF164" s="68"/>
    </row>
    <row r="165" spans="1:32" s="76" customFormat="1" x14ac:dyDescent="0.35">
      <c r="A165" s="2001"/>
      <c r="B165" s="693"/>
      <c r="C165" s="693"/>
      <c r="D165" s="2467"/>
      <c r="E165" s="948" t="s">
        <v>11139</v>
      </c>
      <c r="F165" s="92" t="s">
        <v>1490</v>
      </c>
      <c r="G165" s="92">
        <v>5</v>
      </c>
      <c r="H165" s="165">
        <v>6</v>
      </c>
      <c r="I165" s="1918"/>
      <c r="J165" s="1918"/>
      <c r="K165" s="395"/>
      <c r="L165" s="395"/>
      <c r="M165" s="395"/>
      <c r="N165" s="395"/>
      <c r="O165" s="395"/>
      <c r="P165" s="395"/>
      <c r="Q165" s="914"/>
      <c r="R165" s="907">
        <f>0.8-0.2</f>
        <v>0.60000000000000009</v>
      </c>
      <c r="S165" s="1571"/>
      <c r="T165" s="1571"/>
      <c r="U165" s="1571"/>
      <c r="V165" s="1571"/>
      <c r="W165" s="1760"/>
      <c r="X165" s="1761"/>
      <c r="Y165" s="1760"/>
      <c r="Z165" s="2507"/>
      <c r="AA165" s="3"/>
      <c r="AB165" s="3"/>
      <c r="AE165" s="2461"/>
      <c r="AF165" s="68"/>
    </row>
    <row r="166" spans="1:32" s="76" customFormat="1" ht="30" x14ac:dyDescent="0.35">
      <c r="A166" s="525">
        <v>54</v>
      </c>
      <c r="B166" s="515">
        <v>10610</v>
      </c>
      <c r="C166" s="515"/>
      <c r="D166" s="515" t="s">
        <v>991</v>
      </c>
      <c r="E166" s="516" t="s">
        <v>7128</v>
      </c>
      <c r="F166" s="2289"/>
      <c r="G166" s="2289" t="s">
        <v>191</v>
      </c>
      <c r="H166" s="166" t="s">
        <v>191</v>
      </c>
      <c r="I166" s="517">
        <f t="shared" si="14"/>
        <v>9.9730000000000008</v>
      </c>
      <c r="J166" s="518">
        <f t="shared" si="15"/>
        <v>9.9730000000000008</v>
      </c>
      <c r="K166" s="1569"/>
      <c r="L166" s="1569"/>
      <c r="M166" s="518"/>
      <c r="N166" s="518">
        <f>SUM(N167:N171)</f>
        <v>3.9150000000000009</v>
      </c>
      <c r="O166" s="611"/>
      <c r="P166" s="967"/>
      <c r="Q166" s="888">
        <f>SUM(Q167:Q171)</f>
        <v>6.0579999999999998</v>
      </c>
      <c r="R166" s="886"/>
      <c r="S166" s="1760"/>
      <c r="T166" s="1761"/>
      <c r="U166" s="1760"/>
      <c r="V166" s="1760"/>
      <c r="W166" s="1760">
        <v>22</v>
      </c>
      <c r="X166" s="1761">
        <v>349.3</v>
      </c>
      <c r="Y166" s="1760">
        <v>5</v>
      </c>
      <c r="Z166" s="2507">
        <v>70</v>
      </c>
      <c r="AB166" s="75">
        <v>1</v>
      </c>
      <c r="AE166" s="2461"/>
      <c r="AF166" s="68"/>
    </row>
    <row r="167" spans="1:32" s="75" customFormat="1" x14ac:dyDescent="0.35">
      <c r="A167" s="2002"/>
      <c r="B167" s="515">
        <v>10610</v>
      </c>
      <c r="C167" s="515"/>
      <c r="D167" s="521"/>
      <c r="E167" s="519" t="s">
        <v>1717</v>
      </c>
      <c r="F167" s="2289">
        <v>4</v>
      </c>
      <c r="G167" s="2289">
        <v>4</v>
      </c>
      <c r="H167" s="166">
        <v>6</v>
      </c>
      <c r="I167" s="522"/>
      <c r="J167" s="522"/>
      <c r="K167" s="1570"/>
      <c r="L167" s="1570"/>
      <c r="M167" s="522"/>
      <c r="N167" s="522">
        <v>1.34</v>
      </c>
      <c r="O167" s="937"/>
      <c r="P167" s="986"/>
      <c r="Q167" s="941"/>
      <c r="R167" s="945"/>
      <c r="S167" s="1762"/>
      <c r="T167" s="1763"/>
      <c r="U167" s="1762"/>
      <c r="V167" s="1762"/>
      <c r="W167" s="1760"/>
      <c r="X167" s="1761"/>
      <c r="Y167" s="1760"/>
      <c r="Z167" s="2507"/>
      <c r="AA167" s="76"/>
      <c r="AB167" s="76"/>
      <c r="AE167" s="2461"/>
      <c r="AF167" s="68"/>
    </row>
    <row r="168" spans="1:32" s="75" customFormat="1" x14ac:dyDescent="0.35">
      <c r="A168" s="2002"/>
      <c r="B168" s="515">
        <v>10610</v>
      </c>
      <c r="C168" s="515"/>
      <c r="D168" s="521"/>
      <c r="E168" s="949" t="s">
        <v>2839</v>
      </c>
      <c r="F168" s="2289">
        <v>4</v>
      </c>
      <c r="G168" s="2289">
        <v>4</v>
      </c>
      <c r="H168" s="166">
        <v>6</v>
      </c>
      <c r="I168" s="522"/>
      <c r="J168" s="522"/>
      <c r="K168" s="1570"/>
      <c r="L168" s="1570"/>
      <c r="M168" s="522"/>
      <c r="N168" s="522"/>
      <c r="O168" s="937"/>
      <c r="P168" s="986"/>
      <c r="Q168" s="941">
        <f>4.743-1.34</f>
        <v>3.4030000000000005</v>
      </c>
      <c r="R168" s="945"/>
      <c r="S168" s="1762"/>
      <c r="T168" s="1763"/>
      <c r="U168" s="1762"/>
      <c r="V168" s="1762"/>
      <c r="W168" s="1760"/>
      <c r="X168" s="1761"/>
      <c r="Y168" s="1760"/>
      <c r="Z168" s="2507"/>
      <c r="AA168" s="76"/>
      <c r="AB168" s="76"/>
      <c r="AE168" s="2461"/>
      <c r="AF168" s="68"/>
    </row>
    <row r="169" spans="1:32" s="76" customFormat="1" x14ac:dyDescent="0.35">
      <c r="A169" s="2002"/>
      <c r="B169" s="515">
        <v>10610</v>
      </c>
      <c r="C169" s="515"/>
      <c r="D169" s="521"/>
      <c r="E169" s="519" t="s">
        <v>2840</v>
      </c>
      <c r="F169" s="2289">
        <v>4</v>
      </c>
      <c r="G169" s="2289">
        <v>4</v>
      </c>
      <c r="H169" s="166">
        <v>6</v>
      </c>
      <c r="I169" s="522"/>
      <c r="J169" s="522"/>
      <c r="K169" s="1570"/>
      <c r="L169" s="1570"/>
      <c r="M169" s="522"/>
      <c r="N169" s="522">
        <f>6.368-4.743</f>
        <v>1.625</v>
      </c>
      <c r="O169" s="937"/>
      <c r="P169" s="986"/>
      <c r="Q169" s="941"/>
      <c r="R169" s="945"/>
      <c r="S169" s="1762"/>
      <c r="T169" s="1763"/>
      <c r="U169" s="1762"/>
      <c r="V169" s="1762"/>
      <c r="W169" s="1760"/>
      <c r="X169" s="1761"/>
      <c r="Y169" s="1760"/>
      <c r="Z169" s="2507"/>
      <c r="AE169" s="2461"/>
      <c r="AF169" s="68"/>
    </row>
    <row r="170" spans="1:32" s="76" customFormat="1" x14ac:dyDescent="0.35">
      <c r="A170" s="2002"/>
      <c r="B170" s="515">
        <v>10610</v>
      </c>
      <c r="C170" s="515"/>
      <c r="D170" s="521"/>
      <c r="E170" s="949" t="s">
        <v>11307</v>
      </c>
      <c r="F170" s="2289">
        <v>4</v>
      </c>
      <c r="G170" s="2289">
        <v>4</v>
      </c>
      <c r="H170" s="166">
        <v>6</v>
      </c>
      <c r="I170" s="522"/>
      <c r="J170" s="522"/>
      <c r="K170" s="1570"/>
      <c r="L170" s="1570"/>
      <c r="M170" s="522"/>
      <c r="N170" s="522"/>
      <c r="O170" s="937"/>
      <c r="P170" s="986"/>
      <c r="Q170" s="941">
        <f>9.023-6.368</f>
        <v>2.6549999999999994</v>
      </c>
      <c r="R170" s="945"/>
      <c r="S170" s="1762"/>
      <c r="T170" s="1763"/>
      <c r="U170" s="1762"/>
      <c r="V170" s="1762"/>
      <c r="W170" s="1760"/>
      <c r="X170" s="1761"/>
      <c r="Y170" s="1760"/>
      <c r="Z170" s="2507"/>
      <c r="AA170" s="75"/>
      <c r="AB170" s="75"/>
      <c r="AE170" s="2461"/>
      <c r="AF170" s="68"/>
    </row>
    <row r="171" spans="1:32" s="75" customFormat="1" x14ac:dyDescent="0.35">
      <c r="A171" s="2002"/>
      <c r="B171" s="515">
        <v>10610</v>
      </c>
      <c r="C171" s="515"/>
      <c r="D171" s="521"/>
      <c r="E171" s="519" t="s">
        <v>11308</v>
      </c>
      <c r="F171" s="2289">
        <v>4</v>
      </c>
      <c r="G171" s="2289">
        <v>4</v>
      </c>
      <c r="H171" s="166">
        <v>6</v>
      </c>
      <c r="I171" s="522"/>
      <c r="J171" s="522"/>
      <c r="K171" s="1570"/>
      <c r="L171" s="1570"/>
      <c r="M171" s="522"/>
      <c r="N171" s="522">
        <f>9.973-9.023</f>
        <v>0.95000000000000107</v>
      </c>
      <c r="O171" s="937"/>
      <c r="P171" s="986"/>
      <c r="Q171" s="941"/>
      <c r="R171" s="945"/>
      <c r="S171" s="1762"/>
      <c r="T171" s="1763"/>
      <c r="U171" s="1762"/>
      <c r="V171" s="1762"/>
      <c r="W171" s="1760"/>
      <c r="X171" s="1761"/>
      <c r="Y171" s="1760"/>
      <c r="Z171" s="2507"/>
      <c r="AA171" s="76"/>
      <c r="AB171" s="76"/>
      <c r="AE171" s="2461"/>
      <c r="AF171" s="68"/>
    </row>
    <row r="172" spans="1:32" s="76" customFormat="1" ht="45" x14ac:dyDescent="0.35">
      <c r="A172" s="2001">
        <v>55</v>
      </c>
      <c r="B172" s="515">
        <v>10610</v>
      </c>
      <c r="C172" s="515"/>
      <c r="D172" s="2467" t="s">
        <v>4853</v>
      </c>
      <c r="E172" s="516" t="s">
        <v>7711</v>
      </c>
      <c r="F172" s="165">
        <v>5</v>
      </c>
      <c r="G172" s="165">
        <v>5</v>
      </c>
      <c r="H172" s="165">
        <v>6</v>
      </c>
      <c r="I172" s="517">
        <f>J172+K172+L172</f>
        <v>1.2849999999999999</v>
      </c>
      <c r="J172" s="518">
        <f>SUM(M172:R172)</f>
        <v>1.2849999999999999</v>
      </c>
      <c r="K172" s="1569"/>
      <c r="L172" s="1569"/>
      <c r="M172" s="517"/>
      <c r="N172" s="517"/>
      <c r="O172" s="938">
        <v>1.2849999999999999</v>
      </c>
      <c r="P172" s="987"/>
      <c r="Q172" s="942"/>
      <c r="R172" s="946"/>
      <c r="S172" s="1760">
        <v>1</v>
      </c>
      <c r="T172" s="1761">
        <v>6</v>
      </c>
      <c r="U172" s="1760"/>
      <c r="V172" s="1760"/>
      <c r="W172" s="1760">
        <v>1</v>
      </c>
      <c r="X172" s="1761">
        <v>9.8000000000000007</v>
      </c>
      <c r="Y172" s="1760"/>
      <c r="Z172" s="2507"/>
      <c r="AB172" s="75">
        <v>1</v>
      </c>
      <c r="AE172" s="2461"/>
      <c r="AF172" s="68"/>
    </row>
    <row r="173" spans="1:32" s="76" customFormat="1" ht="45" x14ac:dyDescent="0.35">
      <c r="A173" s="2001">
        <v>56</v>
      </c>
      <c r="B173" s="515">
        <v>10610</v>
      </c>
      <c r="C173" s="515"/>
      <c r="D173" s="2467" t="s">
        <v>4854</v>
      </c>
      <c r="E173" s="516" t="s">
        <v>9426</v>
      </c>
      <c r="F173" s="2289"/>
      <c r="G173" s="2289" t="s">
        <v>191</v>
      </c>
      <c r="H173" s="166" t="s">
        <v>191</v>
      </c>
      <c r="I173" s="517">
        <f>J173+K173+L173</f>
        <v>3.6479999999999997</v>
      </c>
      <c r="J173" s="518">
        <f>SUM(M173:R173)</f>
        <v>3.6479999999999997</v>
      </c>
      <c r="K173" s="1569"/>
      <c r="L173" s="1569"/>
      <c r="M173" s="518"/>
      <c r="N173" s="518">
        <f>SUM(N174:N176)</f>
        <v>2.7789999999999999</v>
      </c>
      <c r="O173" s="611"/>
      <c r="P173" s="967"/>
      <c r="Q173" s="888">
        <f>SUM(Q174:Q175)</f>
        <v>0.86899999999999999</v>
      </c>
      <c r="R173" s="886"/>
      <c r="S173" s="1760"/>
      <c r="T173" s="1761"/>
      <c r="U173" s="1760"/>
      <c r="V173" s="1760"/>
      <c r="W173" s="1760">
        <v>6</v>
      </c>
      <c r="X173" s="1761">
        <v>80.8</v>
      </c>
      <c r="Y173" s="1760">
        <v>2</v>
      </c>
      <c r="Z173" s="2507">
        <v>25</v>
      </c>
      <c r="AB173" s="75">
        <v>1</v>
      </c>
      <c r="AE173" s="2461"/>
      <c r="AF173" s="68"/>
    </row>
    <row r="174" spans="1:32" s="76" customFormat="1" x14ac:dyDescent="0.35">
      <c r="A174" s="2002"/>
      <c r="B174" s="515">
        <v>10610</v>
      </c>
      <c r="C174" s="515"/>
      <c r="D174" s="521"/>
      <c r="E174" s="519" t="s">
        <v>2640</v>
      </c>
      <c r="F174" s="2289">
        <v>4</v>
      </c>
      <c r="G174" s="2289">
        <v>5</v>
      </c>
      <c r="H174" s="166">
        <v>6</v>
      </c>
      <c r="I174" s="522"/>
      <c r="J174" s="522"/>
      <c r="K174" s="1570"/>
      <c r="L174" s="1570"/>
      <c r="M174" s="522"/>
      <c r="N174" s="522">
        <v>1.26</v>
      </c>
      <c r="O174" s="937"/>
      <c r="P174" s="986"/>
      <c r="Q174" s="941"/>
      <c r="R174" s="945"/>
      <c r="S174" s="1762"/>
      <c r="T174" s="1763"/>
      <c r="U174" s="1762"/>
      <c r="V174" s="1762"/>
      <c r="W174" s="1760"/>
      <c r="X174" s="1761"/>
      <c r="Y174" s="1760"/>
      <c r="Z174" s="2507"/>
      <c r="AA174" s="75"/>
      <c r="AB174" s="75"/>
      <c r="AE174" s="2461"/>
      <c r="AF174" s="68"/>
    </row>
    <row r="175" spans="1:32" s="76" customFormat="1" x14ac:dyDescent="0.35">
      <c r="A175" s="2002"/>
      <c r="B175" s="515">
        <v>10610</v>
      </c>
      <c r="C175" s="515"/>
      <c r="D175" s="521"/>
      <c r="E175" s="949" t="s">
        <v>411</v>
      </c>
      <c r="F175" s="2289">
        <v>4</v>
      </c>
      <c r="G175" s="2289">
        <v>5</v>
      </c>
      <c r="H175" s="166">
        <v>6</v>
      </c>
      <c r="I175" s="522"/>
      <c r="J175" s="522"/>
      <c r="K175" s="1570"/>
      <c r="L175" s="1570"/>
      <c r="M175" s="522"/>
      <c r="N175" s="522"/>
      <c r="O175" s="937"/>
      <c r="P175" s="986"/>
      <c r="Q175" s="941">
        <f>2.129-1.26</f>
        <v>0.86899999999999999</v>
      </c>
      <c r="R175" s="945"/>
      <c r="S175" s="1762"/>
      <c r="T175" s="1763"/>
      <c r="U175" s="1762"/>
      <c r="V175" s="1762"/>
      <c r="W175" s="1760"/>
      <c r="X175" s="1761"/>
      <c r="Y175" s="1760"/>
      <c r="Z175" s="2507"/>
      <c r="AA175" s="75"/>
      <c r="AB175" s="75"/>
      <c r="AE175" s="2461"/>
      <c r="AF175" s="68"/>
    </row>
    <row r="176" spans="1:32" s="76" customFormat="1" x14ac:dyDescent="0.35">
      <c r="A176" s="2002"/>
      <c r="B176" s="515">
        <v>10610</v>
      </c>
      <c r="C176" s="515"/>
      <c r="D176" s="521"/>
      <c r="E176" s="519" t="s">
        <v>2929</v>
      </c>
      <c r="F176" s="2289">
        <v>4</v>
      </c>
      <c r="G176" s="2289">
        <v>5</v>
      </c>
      <c r="H176" s="166">
        <v>6</v>
      </c>
      <c r="I176" s="522"/>
      <c r="J176" s="522"/>
      <c r="K176" s="1570"/>
      <c r="L176" s="1570"/>
      <c r="M176" s="522"/>
      <c r="N176" s="522">
        <f>3.648-2.129</f>
        <v>1.5190000000000001</v>
      </c>
      <c r="O176" s="937"/>
      <c r="P176" s="986"/>
      <c r="Q176" s="941"/>
      <c r="R176" s="945"/>
      <c r="S176" s="1762"/>
      <c r="T176" s="1763"/>
      <c r="U176" s="1762"/>
      <c r="V176" s="1762"/>
      <c r="W176" s="1760"/>
      <c r="X176" s="1761"/>
      <c r="Y176" s="1760"/>
      <c r="Z176" s="2507"/>
      <c r="AA176" s="75"/>
      <c r="AB176" s="75"/>
      <c r="AE176" s="2461"/>
      <c r="AF176" s="68"/>
    </row>
    <row r="177" spans="1:32" s="75" customFormat="1" ht="60" x14ac:dyDescent="0.35">
      <c r="A177" s="696">
        <v>57</v>
      </c>
      <c r="B177" s="515">
        <v>10610</v>
      </c>
      <c r="C177" s="515"/>
      <c r="D177" s="2467" t="s">
        <v>4855</v>
      </c>
      <c r="E177" s="1999" t="s">
        <v>9427</v>
      </c>
      <c r="F177" s="165">
        <v>4</v>
      </c>
      <c r="G177" s="165">
        <v>5</v>
      </c>
      <c r="H177" s="166">
        <v>6</v>
      </c>
      <c r="I177" s="517">
        <f>J177+K177+L177</f>
        <v>0.15</v>
      </c>
      <c r="J177" s="518">
        <f>SUM(M177:R177)</f>
        <v>0.15</v>
      </c>
      <c r="K177" s="1570"/>
      <c r="L177" s="1570"/>
      <c r="M177" s="522"/>
      <c r="N177" s="522">
        <v>0.15</v>
      </c>
      <c r="O177" s="937"/>
      <c r="P177" s="986"/>
      <c r="Q177" s="941"/>
      <c r="R177" s="945"/>
      <c r="S177" s="1762"/>
      <c r="T177" s="1763"/>
      <c r="U177" s="1762"/>
      <c r="V177" s="1762"/>
      <c r="W177" s="1760"/>
      <c r="X177" s="1761"/>
      <c r="Y177" s="1760"/>
      <c r="Z177" s="2507"/>
      <c r="AB177" s="75">
        <v>1</v>
      </c>
      <c r="AE177" s="2461"/>
      <c r="AF177" s="68"/>
    </row>
    <row r="178" spans="1:32" s="76" customFormat="1" ht="45" x14ac:dyDescent="0.35">
      <c r="A178" s="2001">
        <v>58</v>
      </c>
      <c r="B178" s="515">
        <v>10610</v>
      </c>
      <c r="C178" s="515"/>
      <c r="D178" s="2467" t="s">
        <v>4856</v>
      </c>
      <c r="E178" s="516" t="s">
        <v>7712</v>
      </c>
      <c r="F178" s="165" t="s">
        <v>664</v>
      </c>
      <c r="G178" s="165">
        <v>5</v>
      </c>
      <c r="H178" s="165">
        <v>6</v>
      </c>
      <c r="I178" s="517">
        <f>J178+K178+L178</f>
        <v>0.53</v>
      </c>
      <c r="J178" s="518">
        <f>SUM(M178:R178)</f>
        <v>0.53</v>
      </c>
      <c r="K178" s="1569"/>
      <c r="L178" s="1569"/>
      <c r="M178" s="517"/>
      <c r="N178" s="517"/>
      <c r="O178" s="938"/>
      <c r="P178" s="987"/>
      <c r="Q178" s="942"/>
      <c r="R178" s="946">
        <v>0.53</v>
      </c>
      <c r="S178" s="1760"/>
      <c r="T178" s="1761"/>
      <c r="U178" s="1760"/>
      <c r="V178" s="1760"/>
      <c r="W178" s="1760">
        <v>1</v>
      </c>
      <c r="X178" s="1761">
        <v>15</v>
      </c>
      <c r="Y178" s="1760"/>
      <c r="Z178" s="2507"/>
      <c r="AB178" s="75">
        <v>1</v>
      </c>
      <c r="AE178" s="2461"/>
      <c r="AF178" s="68"/>
    </row>
    <row r="179" spans="1:32" s="76" customFormat="1" ht="45" x14ac:dyDescent="0.35">
      <c r="A179" s="696">
        <v>59</v>
      </c>
      <c r="B179" s="693">
        <v>10610</v>
      </c>
      <c r="C179" s="693" t="s">
        <v>1656</v>
      </c>
      <c r="D179" s="2467" t="s">
        <v>4857</v>
      </c>
      <c r="E179" s="322" t="s">
        <v>8489</v>
      </c>
      <c r="F179" s="92" t="s">
        <v>664</v>
      </c>
      <c r="G179" s="92">
        <v>5</v>
      </c>
      <c r="H179" s="165">
        <v>6</v>
      </c>
      <c r="I179" s="1924">
        <f>J179+K179+L179</f>
        <v>0.2</v>
      </c>
      <c r="J179" s="1924">
        <f>SUM(M179:R179)</f>
        <v>0.2</v>
      </c>
      <c r="K179" s="622"/>
      <c r="L179" s="622"/>
      <c r="M179" s="622"/>
      <c r="N179" s="622"/>
      <c r="O179" s="622"/>
      <c r="P179" s="622"/>
      <c r="Q179" s="913"/>
      <c r="R179" s="906">
        <v>0.2</v>
      </c>
      <c r="S179" s="1571"/>
      <c r="T179" s="1571"/>
      <c r="U179" s="1571"/>
      <c r="V179" s="1571"/>
      <c r="W179" s="1760"/>
      <c r="X179" s="1761"/>
      <c r="Y179" s="1760"/>
      <c r="Z179" s="2507"/>
      <c r="AA179" s="3"/>
      <c r="AB179" s="3">
        <v>1</v>
      </c>
      <c r="AE179" s="2461"/>
      <c r="AF179" s="68"/>
    </row>
    <row r="180" spans="1:32" s="75" customFormat="1" ht="45" x14ac:dyDescent="0.35">
      <c r="A180" s="2001">
        <v>60</v>
      </c>
      <c r="B180" s="693">
        <v>10610</v>
      </c>
      <c r="C180" s="693" t="s">
        <v>1656</v>
      </c>
      <c r="D180" s="2467" t="s">
        <v>4858</v>
      </c>
      <c r="E180" s="322" t="s">
        <v>8490</v>
      </c>
      <c r="F180" s="92" t="s">
        <v>827</v>
      </c>
      <c r="G180" s="92">
        <v>5</v>
      </c>
      <c r="H180" s="165">
        <v>6</v>
      </c>
      <c r="I180" s="1924">
        <f>J180+K180+L180</f>
        <v>0.15</v>
      </c>
      <c r="J180" s="1924">
        <f>SUM(M180:R180)</f>
        <v>0.15</v>
      </c>
      <c r="K180" s="622"/>
      <c r="L180" s="622"/>
      <c r="M180" s="622"/>
      <c r="N180" s="622"/>
      <c r="O180" s="622"/>
      <c r="P180" s="622"/>
      <c r="Q180" s="913"/>
      <c r="R180" s="906">
        <v>0.15</v>
      </c>
      <c r="S180" s="1571"/>
      <c r="T180" s="1571"/>
      <c r="U180" s="1571"/>
      <c r="V180" s="1571"/>
      <c r="W180" s="1760">
        <v>1</v>
      </c>
      <c r="X180" s="1761">
        <v>10</v>
      </c>
      <c r="Y180" s="1760"/>
      <c r="Z180" s="2507"/>
      <c r="AA180" s="3"/>
      <c r="AB180" s="3">
        <v>1</v>
      </c>
      <c r="AC180" s="75" t="s">
        <v>2570</v>
      </c>
      <c r="AE180" s="2461"/>
      <c r="AF180" s="68"/>
    </row>
    <row r="181" spans="1:32" s="76" customFormat="1" x14ac:dyDescent="0.35">
      <c r="A181" s="696">
        <v>61</v>
      </c>
      <c r="B181" s="515">
        <v>10611</v>
      </c>
      <c r="C181" s="515"/>
      <c r="D181" s="515" t="s">
        <v>1919</v>
      </c>
      <c r="E181" s="516" t="s">
        <v>3398</v>
      </c>
      <c r="F181" s="2289"/>
      <c r="G181" s="2289" t="s">
        <v>191</v>
      </c>
      <c r="H181" s="166" t="s">
        <v>191</v>
      </c>
      <c r="I181" s="517">
        <f>J181+K181+L181</f>
        <v>9.24</v>
      </c>
      <c r="J181" s="518">
        <f>SUM(M181:R181)</f>
        <v>9.24</v>
      </c>
      <c r="K181" s="1569"/>
      <c r="L181" s="1569"/>
      <c r="M181" s="518"/>
      <c r="N181" s="518">
        <f>SUM(N182:N189)</f>
        <v>1.01</v>
      </c>
      <c r="O181" s="611"/>
      <c r="P181" s="967"/>
      <c r="Q181" s="888">
        <f>SUM(Q182:Q189)</f>
        <v>7.82</v>
      </c>
      <c r="R181" s="886">
        <f>SUM(R182:R189)</f>
        <v>0.41</v>
      </c>
      <c r="S181" s="1760"/>
      <c r="T181" s="1761"/>
      <c r="U181" s="1760"/>
      <c r="V181" s="1760"/>
      <c r="W181" s="1760">
        <v>21</v>
      </c>
      <c r="X181" s="1761">
        <v>258.7</v>
      </c>
      <c r="Y181" s="1760">
        <v>10</v>
      </c>
      <c r="Z181" s="2507">
        <v>95</v>
      </c>
      <c r="AB181" s="75">
        <v>1</v>
      </c>
      <c r="AE181" s="2461"/>
      <c r="AF181" s="68"/>
    </row>
    <row r="182" spans="1:32" s="76" customFormat="1" x14ac:dyDescent="0.35">
      <c r="A182" s="2002"/>
      <c r="B182" s="515">
        <v>10611</v>
      </c>
      <c r="C182" s="515"/>
      <c r="D182" s="521"/>
      <c r="E182" s="949" t="s">
        <v>1966</v>
      </c>
      <c r="F182" s="165">
        <v>4</v>
      </c>
      <c r="G182" s="165">
        <v>4</v>
      </c>
      <c r="H182" s="166">
        <v>6</v>
      </c>
      <c r="I182" s="522"/>
      <c r="J182" s="522"/>
      <c r="K182" s="1570"/>
      <c r="L182" s="1570"/>
      <c r="M182" s="522"/>
      <c r="N182" s="522"/>
      <c r="O182" s="937"/>
      <c r="P182" s="986"/>
      <c r="Q182" s="941">
        <v>0.8</v>
      </c>
      <c r="R182" s="945"/>
      <c r="S182" s="1762"/>
      <c r="T182" s="1763"/>
      <c r="U182" s="1762"/>
      <c r="V182" s="1762"/>
      <c r="W182" s="1760"/>
      <c r="X182" s="1761"/>
      <c r="Y182" s="1760"/>
      <c r="Z182" s="2507"/>
      <c r="AE182" s="2461"/>
      <c r="AF182" s="68"/>
    </row>
    <row r="183" spans="1:32" s="75" customFormat="1" x14ac:dyDescent="0.35">
      <c r="A183" s="2002"/>
      <c r="B183" s="515">
        <v>10611</v>
      </c>
      <c r="C183" s="515"/>
      <c r="D183" s="521"/>
      <c r="E183" s="519" t="s">
        <v>2080</v>
      </c>
      <c r="F183" s="165">
        <v>4</v>
      </c>
      <c r="G183" s="165">
        <v>4</v>
      </c>
      <c r="H183" s="166">
        <v>6</v>
      </c>
      <c r="I183" s="522"/>
      <c r="J183" s="522"/>
      <c r="K183" s="1570"/>
      <c r="L183" s="1570"/>
      <c r="M183" s="522"/>
      <c r="N183" s="522">
        <v>0.47</v>
      </c>
      <c r="O183" s="937"/>
      <c r="P183" s="986"/>
      <c r="Q183" s="941"/>
      <c r="R183" s="945"/>
      <c r="S183" s="1762"/>
      <c r="T183" s="1763"/>
      <c r="U183" s="1762"/>
      <c r="V183" s="1762"/>
      <c r="W183" s="1760"/>
      <c r="X183" s="1761"/>
      <c r="Y183" s="1760"/>
      <c r="Z183" s="2507"/>
      <c r="AE183" s="2461"/>
      <c r="AF183" s="68"/>
    </row>
    <row r="184" spans="1:32" s="76" customFormat="1" x14ac:dyDescent="0.35">
      <c r="A184" s="2002"/>
      <c r="B184" s="515">
        <v>10611</v>
      </c>
      <c r="C184" s="515"/>
      <c r="D184" s="521"/>
      <c r="E184" s="949" t="s">
        <v>2841</v>
      </c>
      <c r="F184" s="165">
        <v>4</v>
      </c>
      <c r="G184" s="165">
        <v>4</v>
      </c>
      <c r="H184" s="166">
        <v>6</v>
      </c>
      <c r="I184" s="522"/>
      <c r="J184" s="522"/>
      <c r="K184" s="1570"/>
      <c r="L184" s="1570"/>
      <c r="M184" s="522"/>
      <c r="N184" s="522"/>
      <c r="O184" s="937"/>
      <c r="P184" s="986"/>
      <c r="Q184" s="941">
        <v>4.9800000000000004</v>
      </c>
      <c r="R184" s="945"/>
      <c r="S184" s="1762"/>
      <c r="T184" s="1763"/>
      <c r="U184" s="1762"/>
      <c r="V184" s="1762"/>
      <c r="W184" s="1760"/>
      <c r="X184" s="1761"/>
      <c r="Y184" s="1760"/>
      <c r="Z184" s="2507"/>
      <c r="AA184" s="75"/>
      <c r="AB184" s="75"/>
      <c r="AE184" s="2461"/>
      <c r="AF184" s="68"/>
    </row>
    <row r="185" spans="1:32" s="76" customFormat="1" x14ac:dyDescent="0.35">
      <c r="A185" s="2002"/>
      <c r="B185" s="515">
        <v>10611</v>
      </c>
      <c r="C185" s="515"/>
      <c r="D185" s="521"/>
      <c r="E185" s="519" t="s">
        <v>2842</v>
      </c>
      <c r="F185" s="165">
        <v>4</v>
      </c>
      <c r="G185" s="165">
        <v>4</v>
      </c>
      <c r="H185" s="166">
        <v>6</v>
      </c>
      <c r="I185" s="522"/>
      <c r="J185" s="522"/>
      <c r="K185" s="1570"/>
      <c r="L185" s="1570"/>
      <c r="M185" s="522"/>
      <c r="N185" s="522">
        <v>0.37</v>
      </c>
      <c r="O185" s="937"/>
      <c r="P185" s="986"/>
      <c r="Q185" s="941"/>
      <c r="R185" s="945"/>
      <c r="S185" s="1762"/>
      <c r="T185" s="1763"/>
      <c r="U185" s="1762"/>
      <c r="V185" s="1762"/>
      <c r="W185" s="1760"/>
      <c r="X185" s="1761"/>
      <c r="Y185" s="1760"/>
      <c r="Z185" s="2507"/>
      <c r="AA185" s="75"/>
      <c r="AB185" s="75"/>
      <c r="AE185" s="2461"/>
      <c r="AF185" s="68"/>
    </row>
    <row r="186" spans="1:32" s="76" customFormat="1" x14ac:dyDescent="0.35">
      <c r="A186" s="2002"/>
      <c r="B186" s="515">
        <v>10611</v>
      </c>
      <c r="C186" s="515"/>
      <c r="D186" s="521"/>
      <c r="E186" s="949" t="s">
        <v>2843</v>
      </c>
      <c r="F186" s="165">
        <v>4</v>
      </c>
      <c r="G186" s="165">
        <v>4</v>
      </c>
      <c r="H186" s="166">
        <v>6</v>
      </c>
      <c r="I186" s="522"/>
      <c r="J186" s="522"/>
      <c r="K186" s="1570"/>
      <c r="L186" s="1570"/>
      <c r="M186" s="522"/>
      <c r="N186" s="522"/>
      <c r="O186" s="937"/>
      <c r="P186" s="986"/>
      <c r="Q186" s="941">
        <v>1.88</v>
      </c>
      <c r="R186" s="945"/>
      <c r="S186" s="1762"/>
      <c r="T186" s="1763"/>
      <c r="U186" s="1762"/>
      <c r="V186" s="1762"/>
      <c r="W186" s="1760"/>
      <c r="X186" s="1761"/>
      <c r="Y186" s="1760"/>
      <c r="Z186" s="2507"/>
      <c r="AA186" s="75"/>
      <c r="AB186" s="75"/>
      <c r="AE186" s="2461"/>
      <c r="AF186" s="68"/>
    </row>
    <row r="187" spans="1:32" s="76" customFormat="1" x14ac:dyDescent="0.35">
      <c r="A187" s="2002"/>
      <c r="B187" s="515">
        <v>10611</v>
      </c>
      <c r="C187" s="515"/>
      <c r="D187" s="521"/>
      <c r="E187" s="519" t="s">
        <v>2844</v>
      </c>
      <c r="F187" s="165">
        <v>4</v>
      </c>
      <c r="G187" s="165">
        <v>4</v>
      </c>
      <c r="H187" s="166">
        <v>6</v>
      </c>
      <c r="I187" s="522"/>
      <c r="J187" s="522"/>
      <c r="K187" s="1570"/>
      <c r="L187" s="1570"/>
      <c r="M187" s="522"/>
      <c r="N187" s="522">
        <v>0.17</v>
      </c>
      <c r="O187" s="937"/>
      <c r="P187" s="986"/>
      <c r="Q187" s="941"/>
      <c r="R187" s="945"/>
      <c r="S187" s="1762"/>
      <c r="T187" s="1763"/>
      <c r="U187" s="1762"/>
      <c r="V187" s="1762"/>
      <c r="W187" s="1760"/>
      <c r="X187" s="1761"/>
      <c r="Y187" s="1760"/>
      <c r="Z187" s="2507"/>
      <c r="AE187" s="2461"/>
      <c r="AF187" s="68"/>
    </row>
    <row r="188" spans="1:32" s="75" customFormat="1" x14ac:dyDescent="0.35">
      <c r="A188" s="2002"/>
      <c r="B188" s="515">
        <v>10611</v>
      </c>
      <c r="C188" s="515"/>
      <c r="D188" s="521"/>
      <c r="E188" s="949" t="s">
        <v>495</v>
      </c>
      <c r="F188" s="165">
        <v>4</v>
      </c>
      <c r="G188" s="165">
        <v>4</v>
      </c>
      <c r="H188" s="166">
        <v>6</v>
      </c>
      <c r="I188" s="522"/>
      <c r="J188" s="522"/>
      <c r="K188" s="1570"/>
      <c r="L188" s="1570"/>
      <c r="M188" s="522"/>
      <c r="N188" s="522"/>
      <c r="O188" s="937"/>
      <c r="P188" s="986"/>
      <c r="Q188" s="941">
        <v>0.16</v>
      </c>
      <c r="R188" s="945"/>
      <c r="S188" s="1762"/>
      <c r="T188" s="1763"/>
      <c r="U188" s="1762"/>
      <c r="V188" s="1762"/>
      <c r="W188" s="1760"/>
      <c r="X188" s="1761"/>
      <c r="Y188" s="1760"/>
      <c r="Z188" s="2507"/>
      <c r="AA188" s="76"/>
      <c r="AB188" s="76"/>
      <c r="AE188" s="2461"/>
      <c r="AF188" s="68"/>
    </row>
    <row r="189" spans="1:32" s="75" customFormat="1" x14ac:dyDescent="0.35">
      <c r="A189" s="2002"/>
      <c r="B189" s="515">
        <v>10611</v>
      </c>
      <c r="C189" s="515"/>
      <c r="D189" s="521"/>
      <c r="E189" s="948" t="s">
        <v>1597</v>
      </c>
      <c r="F189" s="165">
        <v>5</v>
      </c>
      <c r="G189" s="165">
        <v>5</v>
      </c>
      <c r="H189" s="165">
        <v>6</v>
      </c>
      <c r="I189" s="522"/>
      <c r="J189" s="522"/>
      <c r="K189" s="1570"/>
      <c r="L189" s="1570"/>
      <c r="M189" s="522"/>
      <c r="N189" s="522"/>
      <c r="O189" s="937"/>
      <c r="P189" s="986"/>
      <c r="Q189" s="941"/>
      <c r="R189" s="945">
        <v>0.41</v>
      </c>
      <c r="S189" s="1762"/>
      <c r="T189" s="1763"/>
      <c r="U189" s="1762"/>
      <c r="V189" s="1762"/>
      <c r="W189" s="1760"/>
      <c r="X189" s="1761"/>
      <c r="Y189" s="1760"/>
      <c r="Z189" s="2507"/>
      <c r="AE189" s="2461"/>
      <c r="AF189" s="68"/>
    </row>
    <row r="190" spans="1:32" s="75" customFormat="1" ht="30" x14ac:dyDescent="0.35">
      <c r="A190" s="2001">
        <v>62</v>
      </c>
      <c r="B190" s="515">
        <v>10611</v>
      </c>
      <c r="C190" s="515"/>
      <c r="D190" s="2467" t="s">
        <v>4859</v>
      </c>
      <c r="E190" s="516" t="s">
        <v>7713</v>
      </c>
      <c r="F190" s="165" t="s">
        <v>827</v>
      </c>
      <c r="G190" s="165">
        <v>5</v>
      </c>
      <c r="H190" s="165">
        <v>6</v>
      </c>
      <c r="I190" s="517">
        <f>J190+K190+L190</f>
        <v>0.93600000000000005</v>
      </c>
      <c r="J190" s="518">
        <f>SUM(M190:R190)</f>
        <v>0.93600000000000005</v>
      </c>
      <c r="K190" s="1569"/>
      <c r="L190" s="1569"/>
      <c r="M190" s="517"/>
      <c r="N190" s="517"/>
      <c r="O190" s="938"/>
      <c r="P190" s="987"/>
      <c r="Q190" s="942"/>
      <c r="R190" s="946">
        <v>0.93600000000000005</v>
      </c>
      <c r="S190" s="1760"/>
      <c r="T190" s="1761"/>
      <c r="U190" s="1760"/>
      <c r="V190" s="1760"/>
      <c r="W190" s="1760">
        <v>1</v>
      </c>
      <c r="X190" s="1761">
        <v>13</v>
      </c>
      <c r="Y190" s="1760"/>
      <c r="Z190" s="2507"/>
      <c r="AA190" s="76"/>
      <c r="AB190" s="75">
        <v>1</v>
      </c>
      <c r="AE190" s="2461"/>
      <c r="AF190" s="68"/>
    </row>
    <row r="191" spans="1:32" s="75" customFormat="1" ht="45" x14ac:dyDescent="0.35">
      <c r="A191" s="525">
        <v>63</v>
      </c>
      <c r="B191" s="693">
        <v>10611</v>
      </c>
      <c r="C191" s="693" t="s">
        <v>1656</v>
      </c>
      <c r="D191" s="2467" t="s">
        <v>4860</v>
      </c>
      <c r="E191" s="322" t="s">
        <v>8491</v>
      </c>
      <c r="F191" s="92" t="s">
        <v>827</v>
      </c>
      <c r="G191" s="92">
        <v>5</v>
      </c>
      <c r="H191" s="165">
        <v>6</v>
      </c>
      <c r="I191" s="1924">
        <f>J191+K191+L191</f>
        <v>0.97499999999999998</v>
      </c>
      <c r="J191" s="1924">
        <f>SUM(M191:R191)</f>
        <v>0.97499999999999998</v>
      </c>
      <c r="K191" s="622"/>
      <c r="L191" s="622"/>
      <c r="M191" s="622"/>
      <c r="N191" s="622"/>
      <c r="O191" s="622"/>
      <c r="P191" s="622"/>
      <c r="Q191" s="913"/>
      <c r="R191" s="906">
        <v>0.97499999999999998</v>
      </c>
      <c r="S191" s="1571"/>
      <c r="T191" s="1571"/>
      <c r="U191" s="1571"/>
      <c r="V191" s="1571"/>
      <c r="W191" s="1760">
        <v>4</v>
      </c>
      <c r="X191" s="1761">
        <v>41.6</v>
      </c>
      <c r="Y191" s="1760">
        <v>1</v>
      </c>
      <c r="Z191" s="2507">
        <v>10.199999999999999</v>
      </c>
      <c r="AA191" s="3"/>
      <c r="AB191" s="3">
        <v>1</v>
      </c>
      <c r="AE191" s="2461"/>
      <c r="AF191" s="68"/>
    </row>
    <row r="192" spans="1:32" s="75" customFormat="1" ht="30" x14ac:dyDescent="0.35">
      <c r="A192" s="2001">
        <v>64</v>
      </c>
      <c r="B192" s="515">
        <v>10611</v>
      </c>
      <c r="C192" s="515"/>
      <c r="D192" s="2467" t="s">
        <v>4861</v>
      </c>
      <c r="E192" s="1999" t="s">
        <v>7714</v>
      </c>
      <c r="F192" s="165" t="s">
        <v>1490</v>
      </c>
      <c r="G192" s="165">
        <v>5</v>
      </c>
      <c r="H192" s="165">
        <v>6</v>
      </c>
      <c r="I192" s="517">
        <f>J192+K192+L192</f>
        <v>0.37</v>
      </c>
      <c r="J192" s="518">
        <f>SUM(M192:R192)</f>
        <v>0.37</v>
      </c>
      <c r="K192" s="1569"/>
      <c r="L192" s="1569"/>
      <c r="M192" s="517"/>
      <c r="N192" s="517"/>
      <c r="O192" s="938"/>
      <c r="P192" s="987"/>
      <c r="Q192" s="942"/>
      <c r="R192" s="946">
        <v>0.37</v>
      </c>
      <c r="S192" s="1760"/>
      <c r="T192" s="1761"/>
      <c r="U192" s="1760"/>
      <c r="V192" s="1760"/>
      <c r="W192" s="1760"/>
      <c r="X192" s="1761"/>
      <c r="Y192" s="1760"/>
      <c r="Z192" s="2507"/>
      <c r="AA192" s="76"/>
      <c r="AB192" s="75">
        <v>1</v>
      </c>
      <c r="AE192" s="2461"/>
      <c r="AF192" s="68"/>
    </row>
    <row r="193" spans="1:32" s="75" customFormat="1" ht="30" x14ac:dyDescent="0.35">
      <c r="A193" s="525">
        <v>65</v>
      </c>
      <c r="B193" s="693">
        <v>10611</v>
      </c>
      <c r="C193" s="693" t="s">
        <v>1656</v>
      </c>
      <c r="D193" s="2467" t="s">
        <v>4862</v>
      </c>
      <c r="E193" s="322" t="s">
        <v>8492</v>
      </c>
      <c r="F193" s="92" t="s">
        <v>664</v>
      </c>
      <c r="G193" s="92">
        <v>5</v>
      </c>
      <c r="H193" s="165">
        <v>6</v>
      </c>
      <c r="I193" s="1924">
        <f>J193+K193+L193</f>
        <v>0.35</v>
      </c>
      <c r="J193" s="1924">
        <f>SUM(M193:R193)</f>
        <v>0.35</v>
      </c>
      <c r="K193" s="622"/>
      <c r="L193" s="622"/>
      <c r="M193" s="622"/>
      <c r="N193" s="622"/>
      <c r="O193" s="622"/>
      <c r="P193" s="622"/>
      <c r="Q193" s="913"/>
      <c r="R193" s="906">
        <v>0.35</v>
      </c>
      <c r="S193" s="1571"/>
      <c r="T193" s="1571"/>
      <c r="U193" s="1571"/>
      <c r="V193" s="1571"/>
      <c r="W193" s="1760"/>
      <c r="X193" s="1761"/>
      <c r="Y193" s="1760"/>
      <c r="Z193" s="2507"/>
      <c r="AA193" s="3"/>
      <c r="AB193" s="3">
        <v>1</v>
      </c>
      <c r="AE193" s="2461"/>
      <c r="AF193" s="68"/>
    </row>
    <row r="194" spans="1:32" s="76" customFormat="1" ht="30" x14ac:dyDescent="0.35">
      <c r="A194" s="2001">
        <v>66</v>
      </c>
      <c r="B194" s="515">
        <v>10612</v>
      </c>
      <c r="C194" s="515"/>
      <c r="D194" s="515" t="s">
        <v>1920</v>
      </c>
      <c r="E194" s="516" t="s">
        <v>9821</v>
      </c>
      <c r="F194" s="2289"/>
      <c r="G194" s="2289" t="s">
        <v>191</v>
      </c>
      <c r="H194" s="166" t="s">
        <v>191</v>
      </c>
      <c r="I194" s="517">
        <f>J194+K194+L194</f>
        <v>19.5</v>
      </c>
      <c r="J194" s="518">
        <f>SUM(M194:R194)</f>
        <v>19.5</v>
      </c>
      <c r="K194" s="1569"/>
      <c r="L194" s="1569"/>
      <c r="M194" s="518"/>
      <c r="N194" s="518">
        <f>SUM(N195:N198)</f>
        <v>3.64</v>
      </c>
      <c r="O194" s="611"/>
      <c r="P194" s="967"/>
      <c r="Q194" s="888">
        <f>SUM(Q195:Q198)</f>
        <v>10.23</v>
      </c>
      <c r="R194" s="886">
        <f>SUM(R195:R198)</f>
        <v>5.63</v>
      </c>
      <c r="S194" s="1760"/>
      <c r="T194" s="1761"/>
      <c r="U194" s="1760"/>
      <c r="V194" s="1760"/>
      <c r="W194" s="1760">
        <v>17</v>
      </c>
      <c r="X194" s="1761">
        <v>226.7</v>
      </c>
      <c r="Y194" s="1760">
        <v>3</v>
      </c>
      <c r="Z194" s="2507">
        <v>38</v>
      </c>
      <c r="AB194" s="75">
        <v>1</v>
      </c>
      <c r="AE194" s="2461"/>
      <c r="AF194" s="68"/>
    </row>
    <row r="195" spans="1:32" s="76" customFormat="1" x14ac:dyDescent="0.35">
      <c r="A195" s="2002"/>
      <c r="B195" s="515">
        <v>10612</v>
      </c>
      <c r="C195" s="515"/>
      <c r="D195" s="521"/>
      <c r="E195" s="519" t="s">
        <v>2090</v>
      </c>
      <c r="F195" s="165">
        <v>4</v>
      </c>
      <c r="G195" s="165">
        <v>5</v>
      </c>
      <c r="H195" s="166">
        <v>6</v>
      </c>
      <c r="I195" s="522"/>
      <c r="J195" s="522"/>
      <c r="K195" s="1570"/>
      <c r="L195" s="1570"/>
      <c r="M195" s="522"/>
      <c r="N195" s="522">
        <v>3.64</v>
      </c>
      <c r="O195" s="937"/>
      <c r="P195" s="986"/>
      <c r="Q195" s="941"/>
      <c r="R195" s="945"/>
      <c r="S195" s="1762"/>
      <c r="T195" s="1763"/>
      <c r="U195" s="1762"/>
      <c r="V195" s="1762"/>
      <c r="W195" s="1760"/>
      <c r="X195" s="1761"/>
      <c r="Y195" s="1760"/>
      <c r="Z195" s="2507"/>
      <c r="AE195" s="2461"/>
      <c r="AF195" s="68"/>
    </row>
    <row r="196" spans="1:32" s="76" customFormat="1" x14ac:dyDescent="0.35">
      <c r="A196" s="2002"/>
      <c r="B196" s="515">
        <v>10612</v>
      </c>
      <c r="C196" s="515"/>
      <c r="D196" s="521"/>
      <c r="E196" s="949" t="s">
        <v>504</v>
      </c>
      <c r="F196" s="165">
        <v>4</v>
      </c>
      <c r="G196" s="165">
        <v>5</v>
      </c>
      <c r="H196" s="166">
        <v>6</v>
      </c>
      <c r="I196" s="522"/>
      <c r="J196" s="522"/>
      <c r="K196" s="1570"/>
      <c r="L196" s="1570"/>
      <c r="M196" s="522"/>
      <c r="N196" s="522"/>
      <c r="O196" s="937"/>
      <c r="P196" s="986"/>
      <c r="Q196" s="941">
        <v>4.8600000000000003</v>
      </c>
      <c r="R196" s="945"/>
      <c r="S196" s="1762"/>
      <c r="T196" s="1763"/>
      <c r="U196" s="1762"/>
      <c r="V196" s="1762"/>
      <c r="W196" s="1760"/>
      <c r="X196" s="1761"/>
      <c r="Y196" s="1760"/>
      <c r="Z196" s="2507"/>
      <c r="AE196" s="2461"/>
      <c r="AF196" s="68"/>
    </row>
    <row r="197" spans="1:32" s="75" customFormat="1" x14ac:dyDescent="0.35">
      <c r="A197" s="2002"/>
      <c r="B197" s="515">
        <v>10612</v>
      </c>
      <c r="C197" s="515"/>
      <c r="D197" s="521"/>
      <c r="E197" s="949" t="s">
        <v>881</v>
      </c>
      <c r="F197" s="165">
        <v>5</v>
      </c>
      <c r="G197" s="165">
        <v>5</v>
      </c>
      <c r="H197" s="166">
        <v>6</v>
      </c>
      <c r="I197" s="522"/>
      <c r="J197" s="522"/>
      <c r="K197" s="1570"/>
      <c r="L197" s="1570"/>
      <c r="M197" s="522"/>
      <c r="N197" s="522"/>
      <c r="O197" s="937"/>
      <c r="P197" s="986"/>
      <c r="Q197" s="941">
        <v>5.37</v>
      </c>
      <c r="R197" s="945"/>
      <c r="S197" s="1762"/>
      <c r="T197" s="1763"/>
      <c r="U197" s="1762"/>
      <c r="V197" s="1762"/>
      <c r="W197" s="1760"/>
      <c r="X197" s="1761"/>
      <c r="Y197" s="1760"/>
      <c r="Z197" s="2507"/>
      <c r="AE197" s="2461"/>
      <c r="AF197" s="68"/>
    </row>
    <row r="198" spans="1:32" s="75" customFormat="1" x14ac:dyDescent="0.35">
      <c r="A198" s="2002"/>
      <c r="B198" s="515">
        <v>10612</v>
      </c>
      <c r="C198" s="515"/>
      <c r="D198" s="521"/>
      <c r="E198" s="948" t="s">
        <v>505</v>
      </c>
      <c r="F198" s="165" t="s">
        <v>827</v>
      </c>
      <c r="G198" s="165">
        <v>5</v>
      </c>
      <c r="H198" s="165">
        <v>6</v>
      </c>
      <c r="I198" s="522"/>
      <c r="J198" s="522"/>
      <c r="K198" s="1570"/>
      <c r="L198" s="1570"/>
      <c r="M198" s="522"/>
      <c r="N198" s="522"/>
      <c r="O198" s="937"/>
      <c r="P198" s="986"/>
      <c r="Q198" s="941"/>
      <c r="R198" s="945">
        <v>5.63</v>
      </c>
      <c r="S198" s="1762"/>
      <c r="T198" s="1763"/>
      <c r="U198" s="1762"/>
      <c r="V198" s="1762"/>
      <c r="W198" s="1760"/>
      <c r="X198" s="1761"/>
      <c r="Y198" s="1760"/>
      <c r="Z198" s="2507"/>
      <c r="AA198" s="76"/>
      <c r="AB198" s="76"/>
      <c r="AE198" s="2461"/>
      <c r="AF198" s="68"/>
    </row>
    <row r="199" spans="1:32" s="75" customFormat="1" ht="45" x14ac:dyDescent="0.35">
      <c r="A199" s="525">
        <v>67</v>
      </c>
      <c r="B199" s="693">
        <v>10612</v>
      </c>
      <c r="C199" s="693" t="s">
        <v>1656</v>
      </c>
      <c r="D199" s="2467" t="s">
        <v>4863</v>
      </c>
      <c r="E199" s="322" t="s">
        <v>9822</v>
      </c>
      <c r="F199" s="92" t="s">
        <v>1490</v>
      </c>
      <c r="G199" s="92">
        <v>5</v>
      </c>
      <c r="H199" s="165">
        <v>6</v>
      </c>
      <c r="I199" s="1924">
        <f>J199+K199+L199</f>
        <v>1.095</v>
      </c>
      <c r="J199" s="1924">
        <f>SUM(M199:R199)</f>
        <v>1.095</v>
      </c>
      <c r="K199" s="622"/>
      <c r="L199" s="622"/>
      <c r="M199" s="622"/>
      <c r="N199" s="622"/>
      <c r="O199" s="622"/>
      <c r="P199" s="622"/>
      <c r="Q199" s="913"/>
      <c r="R199" s="906">
        <v>1.095</v>
      </c>
      <c r="S199" s="1571"/>
      <c r="T199" s="1571"/>
      <c r="U199" s="1571"/>
      <c r="V199" s="1571"/>
      <c r="W199" s="1760">
        <v>3</v>
      </c>
      <c r="X199" s="1761">
        <v>30.03</v>
      </c>
      <c r="Y199" s="1760"/>
      <c r="Z199" s="2507"/>
      <c r="AA199" s="3"/>
      <c r="AB199" s="3">
        <v>1</v>
      </c>
      <c r="AC199" s="76" t="s">
        <v>2570</v>
      </c>
      <c r="AE199" s="2461"/>
      <c r="AF199" s="68"/>
    </row>
    <row r="200" spans="1:32" s="75" customFormat="1" ht="45" x14ac:dyDescent="0.35">
      <c r="A200" s="525">
        <v>68</v>
      </c>
      <c r="B200" s="693">
        <v>10612</v>
      </c>
      <c r="C200" s="693" t="s">
        <v>1656</v>
      </c>
      <c r="D200" s="2467" t="s">
        <v>4864</v>
      </c>
      <c r="E200" s="322" t="s">
        <v>9823</v>
      </c>
      <c r="F200" s="92" t="s">
        <v>664</v>
      </c>
      <c r="G200" s="92">
        <v>5</v>
      </c>
      <c r="H200" s="165">
        <v>6</v>
      </c>
      <c r="I200" s="1924">
        <f>J200+K200+L200</f>
        <v>0.8</v>
      </c>
      <c r="J200" s="1924">
        <f>SUM(M200:R200)</f>
        <v>0.8</v>
      </c>
      <c r="K200" s="622"/>
      <c r="L200" s="622"/>
      <c r="M200" s="622"/>
      <c r="N200" s="622"/>
      <c r="O200" s="622"/>
      <c r="P200" s="622"/>
      <c r="Q200" s="913"/>
      <c r="R200" s="906">
        <v>0.8</v>
      </c>
      <c r="S200" s="1571"/>
      <c r="T200" s="1571"/>
      <c r="U200" s="1571"/>
      <c r="V200" s="1571"/>
      <c r="W200" s="1760"/>
      <c r="X200" s="1761"/>
      <c r="Y200" s="1760"/>
      <c r="Z200" s="2507"/>
      <c r="AA200" s="3"/>
      <c r="AB200" s="3">
        <v>1</v>
      </c>
      <c r="AE200" s="2461"/>
      <c r="AF200" s="68"/>
    </row>
    <row r="201" spans="1:32" s="76" customFormat="1" ht="45" x14ac:dyDescent="0.35">
      <c r="A201" s="525">
        <v>69</v>
      </c>
      <c r="B201" s="693">
        <v>10612</v>
      </c>
      <c r="C201" s="693" t="s">
        <v>1656</v>
      </c>
      <c r="D201" s="2467" t="s">
        <v>4865</v>
      </c>
      <c r="E201" s="322" t="s">
        <v>9824</v>
      </c>
      <c r="F201" s="92" t="s">
        <v>664</v>
      </c>
      <c r="G201" s="92">
        <v>5</v>
      </c>
      <c r="H201" s="165">
        <v>6</v>
      </c>
      <c r="I201" s="1924">
        <f>J201+K201+L201</f>
        <v>0.2</v>
      </c>
      <c r="J201" s="1924">
        <f>SUM(M201:R201)</f>
        <v>0.2</v>
      </c>
      <c r="K201" s="622"/>
      <c r="L201" s="622"/>
      <c r="M201" s="622"/>
      <c r="N201" s="622"/>
      <c r="O201" s="622"/>
      <c r="P201" s="622"/>
      <c r="Q201" s="913"/>
      <c r="R201" s="906">
        <v>0.2</v>
      </c>
      <c r="S201" s="1571"/>
      <c r="T201" s="1571"/>
      <c r="U201" s="1571"/>
      <c r="V201" s="1571"/>
      <c r="W201" s="1760"/>
      <c r="X201" s="1761"/>
      <c r="Y201" s="1760"/>
      <c r="Z201" s="2507"/>
      <c r="AA201" s="3"/>
      <c r="AB201" s="3">
        <v>1</v>
      </c>
      <c r="AE201" s="2461"/>
      <c r="AF201" s="68"/>
    </row>
    <row r="202" spans="1:32" s="76" customFormat="1" ht="45" x14ac:dyDescent="0.35">
      <c r="A202" s="525">
        <v>70</v>
      </c>
      <c r="B202" s="693">
        <v>10612</v>
      </c>
      <c r="C202" s="693"/>
      <c r="D202" s="2467" t="s">
        <v>4866</v>
      </c>
      <c r="E202" s="322" t="s">
        <v>9825</v>
      </c>
      <c r="F202" s="92" t="s">
        <v>1490</v>
      </c>
      <c r="G202" s="92">
        <v>5</v>
      </c>
      <c r="H202" s="165">
        <v>6</v>
      </c>
      <c r="I202" s="1924">
        <f>J202+K202+L202</f>
        <v>3</v>
      </c>
      <c r="J202" s="1924">
        <f>SUM(M202:R202)</f>
        <v>3</v>
      </c>
      <c r="K202" s="622"/>
      <c r="L202" s="622"/>
      <c r="M202" s="622"/>
      <c r="N202" s="622"/>
      <c r="O202" s="622"/>
      <c r="P202" s="622"/>
      <c r="Q202" s="913"/>
      <c r="R202" s="906">
        <v>3</v>
      </c>
      <c r="S202" s="1571"/>
      <c r="T202" s="1571"/>
      <c r="U202" s="1571"/>
      <c r="V202" s="1571"/>
      <c r="W202" s="1760"/>
      <c r="X202" s="1761"/>
      <c r="Y202" s="1760"/>
      <c r="Z202" s="2507"/>
      <c r="AA202" s="3"/>
      <c r="AB202" s="3">
        <v>1</v>
      </c>
      <c r="AE202" s="2461"/>
      <c r="AF202" s="68"/>
    </row>
    <row r="203" spans="1:32" s="76" customFormat="1" x14ac:dyDescent="0.35">
      <c r="A203" s="525">
        <v>71</v>
      </c>
      <c r="B203" s="515">
        <v>10613</v>
      </c>
      <c r="C203" s="515"/>
      <c r="D203" s="515" t="s">
        <v>1921</v>
      </c>
      <c r="E203" s="516" t="s">
        <v>7129</v>
      </c>
      <c r="F203" s="2289"/>
      <c r="G203" s="166" t="s">
        <v>191</v>
      </c>
      <c r="H203" s="166" t="s">
        <v>191</v>
      </c>
      <c r="I203" s="517">
        <f>J203+K203+L203</f>
        <v>10.56</v>
      </c>
      <c r="J203" s="518">
        <f>SUM(M203:R203)</f>
        <v>10.56</v>
      </c>
      <c r="K203" s="1569"/>
      <c r="L203" s="1569"/>
      <c r="M203" s="518"/>
      <c r="N203" s="518">
        <f>SUM(N204:N207)</f>
        <v>7.67</v>
      </c>
      <c r="O203" s="611"/>
      <c r="P203" s="967"/>
      <c r="Q203" s="888">
        <f>SUM(Q204:Q207)</f>
        <v>2.13</v>
      </c>
      <c r="R203" s="886">
        <f>SUM(R204:R207)</f>
        <v>0.76</v>
      </c>
      <c r="S203" s="1760">
        <v>1</v>
      </c>
      <c r="T203" s="1761">
        <v>63.6</v>
      </c>
      <c r="U203" s="1760"/>
      <c r="V203" s="1760"/>
      <c r="W203" s="1760">
        <v>20</v>
      </c>
      <c r="X203" s="1761">
        <v>278.10000000000002</v>
      </c>
      <c r="Y203" s="1760">
        <v>8</v>
      </c>
      <c r="Z203" s="2507">
        <v>90</v>
      </c>
      <c r="AB203" s="75">
        <v>1</v>
      </c>
      <c r="AE203" s="2461"/>
      <c r="AF203" s="68"/>
    </row>
    <row r="204" spans="1:32" s="76" customFormat="1" x14ac:dyDescent="0.35">
      <c r="A204" s="2002"/>
      <c r="B204" s="515">
        <v>10613</v>
      </c>
      <c r="C204" s="515"/>
      <c r="D204" s="521"/>
      <c r="E204" s="948" t="s">
        <v>3030</v>
      </c>
      <c r="F204" s="165" t="s">
        <v>1490</v>
      </c>
      <c r="G204" s="165">
        <v>5</v>
      </c>
      <c r="H204" s="165">
        <v>6</v>
      </c>
      <c r="I204" s="522"/>
      <c r="J204" s="522"/>
      <c r="K204" s="1570"/>
      <c r="L204" s="1570"/>
      <c r="M204" s="522"/>
      <c r="N204" s="522"/>
      <c r="O204" s="937"/>
      <c r="P204" s="986"/>
      <c r="Q204" s="941"/>
      <c r="R204" s="945">
        <v>0.76</v>
      </c>
      <c r="S204" s="1762"/>
      <c r="T204" s="1763"/>
      <c r="U204" s="1762"/>
      <c r="V204" s="1762"/>
      <c r="W204" s="1760"/>
      <c r="X204" s="1761"/>
      <c r="Y204" s="1760"/>
      <c r="Z204" s="2507"/>
      <c r="AA204" s="75"/>
      <c r="AB204" s="75"/>
      <c r="AE204" s="2461"/>
      <c r="AF204" s="68"/>
    </row>
    <row r="205" spans="1:32" s="75" customFormat="1" x14ac:dyDescent="0.35">
      <c r="A205" s="2002"/>
      <c r="B205" s="515">
        <v>10613</v>
      </c>
      <c r="C205" s="515"/>
      <c r="D205" s="521"/>
      <c r="E205" s="949" t="s">
        <v>3031</v>
      </c>
      <c r="F205" s="165">
        <v>5</v>
      </c>
      <c r="G205" s="165">
        <v>5</v>
      </c>
      <c r="H205" s="166">
        <v>6</v>
      </c>
      <c r="I205" s="522"/>
      <c r="J205" s="522"/>
      <c r="K205" s="1570"/>
      <c r="L205" s="1570"/>
      <c r="M205" s="522"/>
      <c r="N205" s="522"/>
      <c r="O205" s="937"/>
      <c r="P205" s="986"/>
      <c r="Q205" s="941">
        <v>2.13</v>
      </c>
      <c r="R205" s="945"/>
      <c r="S205" s="1762"/>
      <c r="T205" s="1763"/>
      <c r="U205" s="1762"/>
      <c r="V205" s="1762"/>
      <c r="W205" s="1760"/>
      <c r="X205" s="1761"/>
      <c r="Y205" s="1760"/>
      <c r="Z205" s="2507"/>
      <c r="AA205" s="76"/>
      <c r="AB205" s="76"/>
      <c r="AE205" s="2461"/>
      <c r="AF205" s="68"/>
    </row>
    <row r="206" spans="1:32" s="76" customFormat="1" x14ac:dyDescent="0.35">
      <c r="A206" s="2002"/>
      <c r="B206" s="515">
        <v>10613</v>
      </c>
      <c r="C206" s="515"/>
      <c r="D206" s="521"/>
      <c r="E206" s="519" t="s">
        <v>1907</v>
      </c>
      <c r="F206" s="165">
        <v>4</v>
      </c>
      <c r="G206" s="165">
        <v>4</v>
      </c>
      <c r="H206" s="166">
        <v>6</v>
      </c>
      <c r="I206" s="522"/>
      <c r="J206" s="522"/>
      <c r="K206" s="1570"/>
      <c r="L206" s="1570"/>
      <c r="M206" s="522"/>
      <c r="N206" s="522">
        <v>3.96</v>
      </c>
      <c r="O206" s="937"/>
      <c r="P206" s="986"/>
      <c r="Q206" s="941"/>
      <c r="R206" s="945"/>
      <c r="S206" s="1762"/>
      <c r="T206" s="1763"/>
      <c r="U206" s="1762"/>
      <c r="V206" s="1762"/>
      <c r="W206" s="1760"/>
      <c r="X206" s="1761"/>
      <c r="Y206" s="1760"/>
      <c r="Z206" s="2507"/>
      <c r="AE206" s="2461"/>
      <c r="AF206" s="68"/>
    </row>
    <row r="207" spans="1:32" s="76" customFormat="1" x14ac:dyDescent="0.35">
      <c r="A207" s="2002"/>
      <c r="B207" s="515">
        <v>10613</v>
      </c>
      <c r="C207" s="515"/>
      <c r="D207" s="521"/>
      <c r="E207" s="519" t="s">
        <v>1860</v>
      </c>
      <c r="F207" s="165">
        <v>4</v>
      </c>
      <c r="G207" s="165">
        <v>5</v>
      </c>
      <c r="H207" s="166">
        <v>6</v>
      </c>
      <c r="I207" s="522"/>
      <c r="J207" s="522"/>
      <c r="K207" s="1570"/>
      <c r="L207" s="1570"/>
      <c r="M207" s="522"/>
      <c r="N207" s="522">
        <v>3.71</v>
      </c>
      <c r="O207" s="937"/>
      <c r="P207" s="986"/>
      <c r="Q207" s="941"/>
      <c r="R207" s="945"/>
      <c r="S207" s="1762"/>
      <c r="T207" s="1763"/>
      <c r="U207" s="1762"/>
      <c r="V207" s="1762"/>
      <c r="W207" s="1760"/>
      <c r="X207" s="1761"/>
      <c r="Y207" s="1760"/>
      <c r="Z207" s="2507"/>
      <c r="AA207" s="76" t="s">
        <v>2863</v>
      </c>
      <c r="AB207" s="75"/>
      <c r="AE207" s="2461"/>
      <c r="AF207" s="68"/>
    </row>
    <row r="208" spans="1:32" s="75" customFormat="1" ht="45" x14ac:dyDescent="0.35">
      <c r="A208" s="525">
        <v>72</v>
      </c>
      <c r="B208" s="693">
        <v>10613</v>
      </c>
      <c r="C208" s="693" t="s">
        <v>1656</v>
      </c>
      <c r="D208" s="2467" t="s">
        <v>4867</v>
      </c>
      <c r="E208" s="322" t="s">
        <v>8493</v>
      </c>
      <c r="F208" s="92" t="s">
        <v>664</v>
      </c>
      <c r="G208" s="92">
        <v>5</v>
      </c>
      <c r="H208" s="165">
        <v>6</v>
      </c>
      <c r="I208" s="1924">
        <f>J208+K208+L208</f>
        <v>1</v>
      </c>
      <c r="J208" s="1924">
        <f>SUM(M208:R208)</f>
        <v>1</v>
      </c>
      <c r="K208" s="622"/>
      <c r="L208" s="622"/>
      <c r="M208" s="622"/>
      <c r="N208" s="622"/>
      <c r="O208" s="622"/>
      <c r="P208" s="622"/>
      <c r="Q208" s="913"/>
      <c r="R208" s="906">
        <v>1</v>
      </c>
      <c r="S208" s="1571"/>
      <c r="T208" s="1571"/>
      <c r="U208" s="1571"/>
      <c r="V208" s="1571"/>
      <c r="W208" s="1760"/>
      <c r="X208" s="1761"/>
      <c r="Y208" s="1760"/>
      <c r="Z208" s="2507"/>
      <c r="AA208" s="3"/>
      <c r="AB208" s="3">
        <v>1</v>
      </c>
      <c r="AE208" s="2461"/>
      <c r="AF208" s="68"/>
    </row>
    <row r="209" spans="1:32" s="75" customFormat="1" ht="30" x14ac:dyDescent="0.35">
      <c r="A209" s="525">
        <v>73</v>
      </c>
      <c r="B209" s="693">
        <v>10613</v>
      </c>
      <c r="C209" s="693" t="s">
        <v>1656</v>
      </c>
      <c r="D209" s="2467" t="s">
        <v>4868</v>
      </c>
      <c r="E209" s="322" t="s">
        <v>8494</v>
      </c>
      <c r="F209" s="92" t="s">
        <v>664</v>
      </c>
      <c r="G209" s="92">
        <v>5</v>
      </c>
      <c r="H209" s="165">
        <v>6</v>
      </c>
      <c r="I209" s="1924">
        <f>J209+K209+L209</f>
        <v>0.8</v>
      </c>
      <c r="J209" s="1924">
        <f>SUM(M209:R209)</f>
        <v>0.8</v>
      </c>
      <c r="K209" s="622"/>
      <c r="L209" s="622"/>
      <c r="M209" s="622"/>
      <c r="N209" s="622"/>
      <c r="O209" s="622"/>
      <c r="P209" s="622"/>
      <c r="Q209" s="913"/>
      <c r="R209" s="906">
        <v>0.8</v>
      </c>
      <c r="S209" s="1571"/>
      <c r="T209" s="1571"/>
      <c r="U209" s="1571"/>
      <c r="V209" s="1571"/>
      <c r="W209" s="1760"/>
      <c r="X209" s="1761"/>
      <c r="Y209" s="1760"/>
      <c r="Z209" s="2507"/>
      <c r="AA209" s="3"/>
      <c r="AB209" s="3">
        <v>1</v>
      </c>
      <c r="AE209" s="2461"/>
      <c r="AF209" s="68"/>
    </row>
    <row r="210" spans="1:32" ht="45" x14ac:dyDescent="0.35">
      <c r="A210" s="525">
        <v>74</v>
      </c>
      <c r="B210" s="693">
        <v>10613</v>
      </c>
      <c r="C210" s="693" t="s">
        <v>1656</v>
      </c>
      <c r="D210" s="2467" t="s">
        <v>4869</v>
      </c>
      <c r="E210" s="2187" t="s">
        <v>8495</v>
      </c>
      <c r="F210" s="93" t="s">
        <v>664</v>
      </c>
      <c r="G210" s="93">
        <v>5</v>
      </c>
      <c r="H210" s="165">
        <v>6</v>
      </c>
      <c r="I210" s="2202">
        <f>J210+K210+L210</f>
        <v>0.28000000000000003</v>
      </c>
      <c r="J210" s="2202">
        <f>SUM(M210:R210)</f>
        <v>0.28000000000000003</v>
      </c>
      <c r="K210" s="1782"/>
      <c r="L210" s="1782"/>
      <c r="M210" s="1782"/>
      <c r="N210" s="1782"/>
      <c r="O210" s="1782"/>
      <c r="P210" s="1782"/>
      <c r="Q210" s="1782"/>
      <c r="R210" s="2207">
        <v>0.28000000000000003</v>
      </c>
      <c r="S210" s="1571"/>
      <c r="T210" s="1571"/>
      <c r="U210" s="1571"/>
      <c r="V210" s="1571"/>
      <c r="W210" s="1760"/>
      <c r="X210" s="1761"/>
      <c r="Y210" s="1760"/>
      <c r="Z210" s="2507"/>
      <c r="AB210" s="3">
        <v>1</v>
      </c>
      <c r="AE210" s="2461"/>
      <c r="AF210" s="68"/>
    </row>
    <row r="211" spans="1:32" ht="30" x14ac:dyDescent="0.35">
      <c r="A211" s="525">
        <v>75</v>
      </c>
      <c r="B211" s="693">
        <v>10613</v>
      </c>
      <c r="C211" s="693"/>
      <c r="D211" s="2467" t="s">
        <v>4870</v>
      </c>
      <c r="E211" s="2187" t="s">
        <v>7715</v>
      </c>
      <c r="F211" s="93" t="s">
        <v>664</v>
      </c>
      <c r="G211" s="93">
        <v>5</v>
      </c>
      <c r="H211" s="165">
        <v>6</v>
      </c>
      <c r="I211" s="2202">
        <f>J211+K211+L211</f>
        <v>0.48</v>
      </c>
      <c r="J211" s="2202">
        <f>SUM(M211:R211)</f>
        <v>0.48</v>
      </c>
      <c r="K211" s="1782"/>
      <c r="L211" s="1782"/>
      <c r="M211" s="1782"/>
      <c r="N211" s="1782"/>
      <c r="O211" s="1782"/>
      <c r="P211" s="1782"/>
      <c r="Q211" s="1782"/>
      <c r="R211" s="2207">
        <v>0.48</v>
      </c>
      <c r="S211" s="1571"/>
      <c r="T211" s="1571"/>
      <c r="U211" s="1571"/>
      <c r="V211" s="1571"/>
      <c r="W211" s="1760"/>
      <c r="X211" s="1761"/>
      <c r="Y211" s="1760"/>
      <c r="Z211" s="2507"/>
      <c r="AB211" s="3">
        <v>1</v>
      </c>
      <c r="AE211" s="2461"/>
      <c r="AF211" s="68"/>
    </row>
    <row r="212" spans="1:32" s="75" customFormat="1" ht="30" x14ac:dyDescent="0.35">
      <c r="A212" s="525">
        <v>76</v>
      </c>
      <c r="B212" s="515">
        <v>10614</v>
      </c>
      <c r="C212" s="515"/>
      <c r="D212" s="515" t="s">
        <v>1922</v>
      </c>
      <c r="E212" s="516" t="s">
        <v>1474</v>
      </c>
      <c r="F212" s="2289"/>
      <c r="G212" s="2289" t="s">
        <v>191</v>
      </c>
      <c r="H212" s="166" t="s">
        <v>191</v>
      </c>
      <c r="I212" s="517">
        <f>J212+K212+L212</f>
        <v>19.05</v>
      </c>
      <c r="J212" s="518">
        <f>SUM(M212:R212)</f>
        <v>19.05</v>
      </c>
      <c r="K212" s="1569"/>
      <c r="L212" s="1569"/>
      <c r="M212" s="518"/>
      <c r="N212" s="518">
        <f>SUM(N213:N215)</f>
        <v>0.47</v>
      </c>
      <c r="O212" s="611"/>
      <c r="P212" s="967"/>
      <c r="Q212" s="888">
        <f>SUM(Q213:Q215)</f>
        <v>6.43</v>
      </c>
      <c r="R212" s="886">
        <f>SUM(R213:R215)</f>
        <v>12.15</v>
      </c>
      <c r="S212" s="1760">
        <v>1</v>
      </c>
      <c r="T212" s="1761">
        <v>14</v>
      </c>
      <c r="U212" s="1760">
        <v>1</v>
      </c>
      <c r="V212" s="1761">
        <v>14</v>
      </c>
      <c r="W212" s="1760">
        <v>22</v>
      </c>
      <c r="X212" s="1761">
        <v>314.89999999999998</v>
      </c>
      <c r="Y212" s="1760"/>
      <c r="Z212" s="2507"/>
      <c r="AA212" s="76"/>
      <c r="AB212" s="75">
        <v>1</v>
      </c>
      <c r="AE212" s="2461"/>
      <c r="AF212" s="68"/>
    </row>
    <row r="213" spans="1:32" s="75" customFormat="1" x14ac:dyDescent="0.35">
      <c r="A213" s="2002"/>
      <c r="B213" s="515">
        <v>10614</v>
      </c>
      <c r="C213" s="515"/>
      <c r="D213" s="521"/>
      <c r="E213" s="519" t="s">
        <v>3032</v>
      </c>
      <c r="F213" s="165">
        <v>5</v>
      </c>
      <c r="G213" s="165">
        <v>5</v>
      </c>
      <c r="H213" s="166">
        <v>6</v>
      </c>
      <c r="I213" s="522"/>
      <c r="J213" s="522"/>
      <c r="K213" s="1570"/>
      <c r="L213" s="1570"/>
      <c r="M213" s="522"/>
      <c r="N213" s="522">
        <v>0.47</v>
      </c>
      <c r="O213" s="937"/>
      <c r="P213" s="986"/>
      <c r="Q213" s="941"/>
      <c r="R213" s="945"/>
      <c r="S213" s="1762"/>
      <c r="T213" s="1763"/>
      <c r="U213" s="1762"/>
      <c r="V213" s="1762"/>
      <c r="W213" s="1760"/>
      <c r="X213" s="1761"/>
      <c r="Y213" s="1760"/>
      <c r="Z213" s="2507"/>
      <c r="AA213" s="76"/>
      <c r="AB213" s="76"/>
      <c r="AE213" s="2461"/>
      <c r="AF213" s="68"/>
    </row>
    <row r="214" spans="1:32" s="75" customFormat="1" x14ac:dyDescent="0.35">
      <c r="A214" s="2002"/>
      <c r="B214" s="515">
        <v>10614</v>
      </c>
      <c r="C214" s="515"/>
      <c r="D214" s="521"/>
      <c r="E214" s="949" t="s">
        <v>3033</v>
      </c>
      <c r="F214" s="165">
        <v>5</v>
      </c>
      <c r="G214" s="165">
        <v>5</v>
      </c>
      <c r="H214" s="166">
        <v>6</v>
      </c>
      <c r="I214" s="522"/>
      <c r="J214" s="522"/>
      <c r="K214" s="1570"/>
      <c r="L214" s="1570"/>
      <c r="M214" s="522"/>
      <c r="N214" s="522"/>
      <c r="O214" s="937"/>
      <c r="P214" s="986"/>
      <c r="Q214" s="941">
        <v>6.43</v>
      </c>
      <c r="R214" s="945"/>
      <c r="S214" s="1762"/>
      <c r="T214" s="1763"/>
      <c r="U214" s="1762"/>
      <c r="V214" s="1762"/>
      <c r="W214" s="1760"/>
      <c r="X214" s="1761"/>
      <c r="Y214" s="1760"/>
      <c r="Z214" s="2507"/>
      <c r="AA214" s="76"/>
      <c r="AB214" s="76"/>
      <c r="AE214" s="2461"/>
      <c r="AF214" s="68"/>
    </row>
    <row r="215" spans="1:32" s="75" customFormat="1" x14ac:dyDescent="0.35">
      <c r="A215" s="2002"/>
      <c r="B215" s="997">
        <v>10614</v>
      </c>
      <c r="C215" s="997"/>
      <c r="D215" s="521"/>
      <c r="E215" s="948" t="s">
        <v>3034</v>
      </c>
      <c r="F215" s="165" t="s">
        <v>827</v>
      </c>
      <c r="G215" s="165">
        <v>5</v>
      </c>
      <c r="H215" s="165">
        <v>6</v>
      </c>
      <c r="I215" s="522"/>
      <c r="J215" s="522"/>
      <c r="K215" s="1570"/>
      <c r="L215" s="1570"/>
      <c r="M215" s="522"/>
      <c r="N215" s="522"/>
      <c r="O215" s="937"/>
      <c r="P215" s="986"/>
      <c r="Q215" s="941"/>
      <c r="R215" s="945">
        <v>12.15</v>
      </c>
      <c r="S215" s="1762"/>
      <c r="T215" s="1763"/>
      <c r="U215" s="1762"/>
      <c r="V215" s="1762"/>
      <c r="W215" s="1760"/>
      <c r="X215" s="1761"/>
      <c r="Y215" s="1760"/>
      <c r="Z215" s="2507"/>
      <c r="AA215" s="76"/>
      <c r="AB215" s="76"/>
      <c r="AE215" s="2461"/>
      <c r="AF215" s="68"/>
    </row>
    <row r="216" spans="1:32" s="76" customFormat="1" ht="60" x14ac:dyDescent="0.35">
      <c r="A216" s="2001">
        <v>77</v>
      </c>
      <c r="B216" s="693">
        <v>10609</v>
      </c>
      <c r="C216" s="693" t="s">
        <v>1656</v>
      </c>
      <c r="D216" s="2467" t="s">
        <v>4851</v>
      </c>
      <c r="E216" s="322" t="s">
        <v>8496</v>
      </c>
      <c r="F216" s="92" t="s">
        <v>664</v>
      </c>
      <c r="G216" s="92">
        <v>5</v>
      </c>
      <c r="H216" s="165">
        <v>6</v>
      </c>
      <c r="I216" s="1924">
        <f>J216+K216+L216</f>
        <v>0.43</v>
      </c>
      <c r="J216" s="1924">
        <f>SUM(M216:R216)</f>
        <v>0.43</v>
      </c>
      <c r="K216" s="622"/>
      <c r="L216" s="622"/>
      <c r="M216" s="622"/>
      <c r="N216" s="622"/>
      <c r="O216" s="622"/>
      <c r="P216" s="622"/>
      <c r="Q216" s="913"/>
      <c r="R216" s="906">
        <v>0.43</v>
      </c>
      <c r="S216" s="1571"/>
      <c r="T216" s="1571"/>
      <c r="U216" s="1571"/>
      <c r="V216" s="1571"/>
      <c r="W216" s="1760"/>
      <c r="X216" s="1761"/>
      <c r="Y216" s="1760"/>
      <c r="Z216" s="2507"/>
      <c r="AA216" s="3"/>
      <c r="AB216" s="3">
        <v>1</v>
      </c>
      <c r="AE216" s="2461"/>
      <c r="AF216" s="68"/>
    </row>
    <row r="217" spans="1:32" s="75" customFormat="1" ht="30" x14ac:dyDescent="0.35">
      <c r="A217" s="2001">
        <v>78</v>
      </c>
      <c r="B217" s="997">
        <v>10615</v>
      </c>
      <c r="C217" s="997"/>
      <c r="D217" s="515" t="s">
        <v>1923</v>
      </c>
      <c r="E217" s="516" t="s">
        <v>7130</v>
      </c>
      <c r="F217" s="166"/>
      <c r="G217" s="166" t="s">
        <v>191</v>
      </c>
      <c r="H217" s="166" t="s">
        <v>191</v>
      </c>
      <c r="I217" s="517">
        <f>J217+K217+L217</f>
        <v>15.530000000000001</v>
      </c>
      <c r="J217" s="518">
        <f>SUM(M217:R217)</f>
        <v>15.05</v>
      </c>
      <c r="K217" s="1569"/>
      <c r="L217" s="751">
        <f>SUM(L218:L221)</f>
        <v>0.48</v>
      </c>
      <c r="M217" s="518"/>
      <c r="N217" s="518">
        <f>SUM(N218:N221)</f>
        <v>7.3650000000000002</v>
      </c>
      <c r="O217" s="611"/>
      <c r="P217" s="967"/>
      <c r="Q217" s="888">
        <f>SUM(Q218:Q221)</f>
        <v>7.6849999999999996</v>
      </c>
      <c r="R217" s="886"/>
      <c r="S217" s="1760"/>
      <c r="T217" s="1761"/>
      <c r="U217" s="1760"/>
      <c r="V217" s="1760"/>
      <c r="W217" s="1760">
        <v>16</v>
      </c>
      <c r="X217" s="1761">
        <v>215</v>
      </c>
      <c r="Y217" s="1760">
        <v>3</v>
      </c>
      <c r="Z217" s="2507">
        <v>30</v>
      </c>
      <c r="AB217" s="75">
        <v>1</v>
      </c>
      <c r="AE217" s="2461"/>
      <c r="AF217" s="68"/>
    </row>
    <row r="218" spans="1:32" s="75" customFormat="1" x14ac:dyDescent="0.35">
      <c r="A218" s="2002"/>
      <c r="B218" s="997">
        <v>10615</v>
      </c>
      <c r="C218" s="997"/>
      <c r="D218" s="521"/>
      <c r="E218" s="519" t="s">
        <v>2551</v>
      </c>
      <c r="F218" s="166">
        <v>4</v>
      </c>
      <c r="G218" s="166">
        <v>5</v>
      </c>
      <c r="H218" s="166">
        <v>6</v>
      </c>
      <c r="I218" s="522"/>
      <c r="J218" s="522"/>
      <c r="K218" s="1570"/>
      <c r="L218" s="1570"/>
      <c r="M218" s="522"/>
      <c r="N218" s="522">
        <v>2.31</v>
      </c>
      <c r="O218" s="937"/>
      <c r="P218" s="986"/>
      <c r="Q218" s="941"/>
      <c r="R218" s="945"/>
      <c r="S218" s="1762"/>
      <c r="T218" s="1763"/>
      <c r="U218" s="1762"/>
      <c r="V218" s="1762"/>
      <c r="W218" s="1760"/>
      <c r="X218" s="1761"/>
      <c r="Y218" s="1760"/>
      <c r="Z218" s="2507"/>
      <c r="AE218" s="2461"/>
      <c r="AF218" s="68"/>
    </row>
    <row r="219" spans="1:32" s="75" customFormat="1" ht="31" x14ac:dyDescent="0.35">
      <c r="A219" s="2002"/>
      <c r="B219" s="997">
        <v>10615</v>
      </c>
      <c r="C219" s="997"/>
      <c r="D219" s="521"/>
      <c r="E219" s="519" t="s">
        <v>9829</v>
      </c>
      <c r="F219" s="166">
        <v>4</v>
      </c>
      <c r="G219" s="166">
        <v>5</v>
      </c>
      <c r="H219" s="165" t="s">
        <v>191</v>
      </c>
      <c r="I219" s="522"/>
      <c r="J219" s="522"/>
      <c r="K219" s="1570"/>
      <c r="L219" s="1570">
        <f>2.79-2.31</f>
        <v>0.48</v>
      </c>
      <c r="M219" s="522"/>
      <c r="N219" s="522"/>
      <c r="O219" s="937"/>
      <c r="P219" s="986"/>
      <c r="Q219" s="941"/>
      <c r="R219" s="945"/>
      <c r="S219" s="1762"/>
      <c r="T219" s="1763"/>
      <c r="U219" s="1762"/>
      <c r="V219" s="1762"/>
      <c r="W219" s="1760"/>
      <c r="X219" s="1761"/>
      <c r="Y219" s="1760"/>
      <c r="Z219" s="2507"/>
      <c r="AE219" s="2461"/>
      <c r="AF219" s="68"/>
    </row>
    <row r="220" spans="1:32" s="75" customFormat="1" x14ac:dyDescent="0.35">
      <c r="A220" s="2002"/>
      <c r="B220" s="997">
        <v>10615</v>
      </c>
      <c r="C220" s="997"/>
      <c r="D220" s="521"/>
      <c r="E220" s="519" t="s">
        <v>384</v>
      </c>
      <c r="F220" s="166">
        <v>4</v>
      </c>
      <c r="G220" s="166">
        <v>5</v>
      </c>
      <c r="H220" s="166">
        <v>6</v>
      </c>
      <c r="I220" s="522"/>
      <c r="J220" s="522"/>
      <c r="K220" s="1570"/>
      <c r="L220" s="1570"/>
      <c r="M220" s="522"/>
      <c r="N220" s="522">
        <f>7.845-2.79</f>
        <v>5.0549999999999997</v>
      </c>
      <c r="O220" s="937"/>
      <c r="P220" s="986"/>
      <c r="Q220" s="941"/>
      <c r="R220" s="945"/>
      <c r="S220" s="1762"/>
      <c r="T220" s="1763"/>
      <c r="U220" s="1762"/>
      <c r="V220" s="1762"/>
      <c r="W220" s="1760"/>
      <c r="X220" s="1761"/>
      <c r="Y220" s="1760"/>
      <c r="Z220" s="2507"/>
      <c r="AE220" s="2461"/>
      <c r="AF220" s="68"/>
    </row>
    <row r="221" spans="1:32" s="75" customFormat="1" x14ac:dyDescent="0.35">
      <c r="A221" s="2002"/>
      <c r="B221" s="997">
        <v>10615</v>
      </c>
      <c r="C221" s="997"/>
      <c r="D221" s="521"/>
      <c r="E221" s="949" t="s">
        <v>2624</v>
      </c>
      <c r="F221" s="166">
        <v>4</v>
      </c>
      <c r="G221" s="166">
        <v>5</v>
      </c>
      <c r="H221" s="166">
        <v>6</v>
      </c>
      <c r="I221" s="522"/>
      <c r="J221" s="522"/>
      <c r="K221" s="1570"/>
      <c r="L221" s="1570"/>
      <c r="M221" s="522"/>
      <c r="N221" s="522"/>
      <c r="O221" s="937"/>
      <c r="P221" s="986"/>
      <c r="Q221" s="941">
        <f>15.53-7.845</f>
        <v>7.6849999999999996</v>
      </c>
      <c r="R221" s="945"/>
      <c r="S221" s="1762"/>
      <c r="T221" s="1763"/>
      <c r="U221" s="1762"/>
      <c r="V221" s="1762"/>
      <c r="W221" s="1760"/>
      <c r="X221" s="1761"/>
      <c r="Y221" s="1760"/>
      <c r="Z221" s="2507"/>
      <c r="AE221" s="2461"/>
      <c r="AF221" s="68"/>
    </row>
    <row r="222" spans="1:32" s="75" customFormat="1" ht="45.5" x14ac:dyDescent="0.35">
      <c r="A222" s="525">
        <v>79</v>
      </c>
      <c r="B222" s="1040">
        <v>10615</v>
      </c>
      <c r="C222" s="693" t="s">
        <v>1656</v>
      </c>
      <c r="D222" s="2467" t="s">
        <v>4871</v>
      </c>
      <c r="E222" s="526" t="s">
        <v>9257</v>
      </c>
      <c r="F222" s="165">
        <v>5</v>
      </c>
      <c r="G222" s="165">
        <v>5</v>
      </c>
      <c r="H222" s="166">
        <v>6</v>
      </c>
      <c r="I222" s="517">
        <f t="shared" ref="I222:I236" si="16">J222+K222+L222</f>
        <v>0.1</v>
      </c>
      <c r="J222" s="518">
        <f t="shared" ref="J222:J236" si="17">SUM(M222:R222)</f>
        <v>0.1</v>
      </c>
      <c r="K222" s="1571"/>
      <c r="L222" s="1571"/>
      <c r="M222" s="527"/>
      <c r="N222" s="580">
        <v>0.1</v>
      </c>
      <c r="O222" s="939"/>
      <c r="P222" s="988"/>
      <c r="Q222" s="943"/>
      <c r="R222" s="947"/>
      <c r="S222" s="1571"/>
      <c r="T222" s="1571"/>
      <c r="U222" s="1571"/>
      <c r="V222" s="1571"/>
      <c r="W222" s="1760"/>
      <c r="X222" s="1761"/>
      <c r="Y222" s="1760"/>
      <c r="Z222" s="2507"/>
      <c r="AB222" s="75">
        <v>1</v>
      </c>
      <c r="AE222" s="2461"/>
      <c r="AF222" s="68"/>
    </row>
    <row r="223" spans="1:32" s="76" customFormat="1" ht="45" x14ac:dyDescent="0.35">
      <c r="A223" s="525">
        <v>80</v>
      </c>
      <c r="B223" s="1040">
        <v>10615</v>
      </c>
      <c r="C223" s="693" t="s">
        <v>1656</v>
      </c>
      <c r="D223" s="2467" t="s">
        <v>4872</v>
      </c>
      <c r="E223" s="322" t="s">
        <v>8497</v>
      </c>
      <c r="F223" s="92" t="s">
        <v>664</v>
      </c>
      <c r="G223" s="92">
        <v>5</v>
      </c>
      <c r="H223" s="165">
        <v>6</v>
      </c>
      <c r="I223" s="1924">
        <f>J223+K223+L223</f>
        <v>1.1000000000000001</v>
      </c>
      <c r="J223" s="1924">
        <f>SUM(M223:R223)</f>
        <v>1.1000000000000001</v>
      </c>
      <c r="K223" s="622"/>
      <c r="L223" s="622"/>
      <c r="M223" s="622"/>
      <c r="N223" s="622"/>
      <c r="O223" s="622"/>
      <c r="P223" s="622"/>
      <c r="Q223" s="913"/>
      <c r="R223" s="906">
        <v>1.1000000000000001</v>
      </c>
      <c r="S223" s="1571"/>
      <c r="T223" s="1571"/>
      <c r="U223" s="1571"/>
      <c r="V223" s="1571"/>
      <c r="W223" s="1760"/>
      <c r="X223" s="1761"/>
      <c r="Y223" s="1760"/>
      <c r="Z223" s="2507"/>
      <c r="AA223" s="3"/>
      <c r="AB223" s="3">
        <v>1</v>
      </c>
      <c r="AE223" s="2461"/>
      <c r="AF223" s="68"/>
    </row>
    <row r="224" spans="1:32" s="76" customFormat="1" ht="45" x14ac:dyDescent="0.35">
      <c r="A224" s="525">
        <v>81</v>
      </c>
      <c r="B224" s="1040">
        <v>10615</v>
      </c>
      <c r="C224" s="515"/>
      <c r="D224" s="2467" t="s">
        <v>4873</v>
      </c>
      <c r="E224" s="516" t="s">
        <v>7716</v>
      </c>
      <c r="F224" s="165" t="s">
        <v>827</v>
      </c>
      <c r="G224" s="165">
        <v>5</v>
      </c>
      <c r="H224" s="165">
        <v>6</v>
      </c>
      <c r="I224" s="517">
        <f>J224+K224+L224</f>
        <v>2.5</v>
      </c>
      <c r="J224" s="518">
        <f>SUM(M224:R224)</f>
        <v>2.5</v>
      </c>
      <c r="K224" s="1569"/>
      <c r="L224" s="1569"/>
      <c r="M224" s="517"/>
      <c r="N224" s="517"/>
      <c r="O224" s="938"/>
      <c r="P224" s="987"/>
      <c r="Q224" s="942"/>
      <c r="R224" s="946">
        <v>2.5</v>
      </c>
      <c r="S224" s="1760"/>
      <c r="T224" s="1761"/>
      <c r="U224" s="1760"/>
      <c r="V224" s="1760"/>
      <c r="W224" s="1760"/>
      <c r="X224" s="1761"/>
      <c r="Y224" s="1760"/>
      <c r="Z224" s="2507"/>
      <c r="AB224" s="75">
        <v>1</v>
      </c>
      <c r="AE224" s="2461"/>
      <c r="AF224" s="68"/>
    </row>
    <row r="225" spans="1:32" s="76" customFormat="1" x14ac:dyDescent="0.35">
      <c r="A225" s="525">
        <v>82</v>
      </c>
      <c r="B225" s="997">
        <v>10616</v>
      </c>
      <c r="C225" s="997"/>
      <c r="D225" s="515" t="s">
        <v>2114</v>
      </c>
      <c r="E225" s="1999" t="s">
        <v>1718</v>
      </c>
      <c r="F225" s="165">
        <v>4</v>
      </c>
      <c r="G225" s="165">
        <v>5</v>
      </c>
      <c r="H225" s="166">
        <v>6</v>
      </c>
      <c r="I225" s="517">
        <f t="shared" si="16"/>
        <v>4.9279999999999999</v>
      </c>
      <c r="J225" s="518">
        <f t="shared" si="17"/>
        <v>4.9279999999999999</v>
      </c>
      <c r="K225" s="1569"/>
      <c r="L225" s="1569"/>
      <c r="M225" s="517"/>
      <c r="N225" s="517"/>
      <c r="O225" s="938"/>
      <c r="P225" s="987"/>
      <c r="Q225" s="942">
        <v>4.9279999999999999</v>
      </c>
      <c r="R225" s="946"/>
      <c r="S225" s="1760"/>
      <c r="T225" s="1761"/>
      <c r="U225" s="1760"/>
      <c r="V225" s="1760"/>
      <c r="W225" s="1760">
        <v>10</v>
      </c>
      <c r="X225" s="1761">
        <v>130.5</v>
      </c>
      <c r="Y225" s="1760">
        <v>5</v>
      </c>
      <c r="Z225" s="2507">
        <v>60</v>
      </c>
      <c r="AB225" s="75">
        <v>1</v>
      </c>
      <c r="AE225" s="2461"/>
      <c r="AF225" s="68"/>
    </row>
    <row r="226" spans="1:32" s="76" customFormat="1" ht="30" x14ac:dyDescent="0.35">
      <c r="A226" s="525">
        <v>83</v>
      </c>
      <c r="B226" s="1040">
        <v>10616</v>
      </c>
      <c r="C226" s="693" t="s">
        <v>1656</v>
      </c>
      <c r="D226" s="2467" t="s">
        <v>4874</v>
      </c>
      <c r="E226" s="322" t="s">
        <v>8498</v>
      </c>
      <c r="F226" s="92" t="s">
        <v>664</v>
      </c>
      <c r="G226" s="92">
        <v>5</v>
      </c>
      <c r="H226" s="165">
        <v>6</v>
      </c>
      <c r="I226" s="1924">
        <f t="shared" si="16"/>
        <v>0.41</v>
      </c>
      <c r="J226" s="1924">
        <f t="shared" si="17"/>
        <v>0.41</v>
      </c>
      <c r="K226" s="622"/>
      <c r="L226" s="622"/>
      <c r="M226" s="622"/>
      <c r="N226" s="622"/>
      <c r="O226" s="622"/>
      <c r="P226" s="622"/>
      <c r="Q226" s="913"/>
      <c r="R226" s="906">
        <v>0.41</v>
      </c>
      <c r="S226" s="1571"/>
      <c r="T226" s="1571"/>
      <c r="U226" s="1571"/>
      <c r="V226" s="1571"/>
      <c r="W226" s="1760"/>
      <c r="X226" s="1761"/>
      <c r="Y226" s="1760"/>
      <c r="Z226" s="2507"/>
      <c r="AA226" s="3"/>
      <c r="AB226" s="3">
        <v>1</v>
      </c>
      <c r="AE226" s="2461"/>
      <c r="AF226" s="68"/>
    </row>
    <row r="227" spans="1:32" s="76" customFormat="1" x14ac:dyDescent="0.35">
      <c r="A227" s="525">
        <v>84</v>
      </c>
      <c r="B227" s="997">
        <v>10617</v>
      </c>
      <c r="C227" s="997"/>
      <c r="D227" s="515" t="s">
        <v>1292</v>
      </c>
      <c r="E227" s="516" t="s">
        <v>2578</v>
      </c>
      <c r="F227" s="165">
        <v>4</v>
      </c>
      <c r="G227" s="165">
        <v>5</v>
      </c>
      <c r="H227" s="166">
        <v>6</v>
      </c>
      <c r="I227" s="517">
        <f t="shared" si="16"/>
        <v>3.8</v>
      </c>
      <c r="J227" s="518">
        <f t="shared" si="17"/>
        <v>3.8</v>
      </c>
      <c r="K227" s="1569"/>
      <c r="L227" s="1569"/>
      <c r="M227" s="517"/>
      <c r="N227" s="517">
        <v>3.8</v>
      </c>
      <c r="O227" s="938"/>
      <c r="P227" s="987"/>
      <c r="Q227" s="942"/>
      <c r="R227" s="946"/>
      <c r="S227" s="1760"/>
      <c r="T227" s="1761"/>
      <c r="U227" s="1760"/>
      <c r="V227" s="1760"/>
      <c r="W227" s="1760">
        <v>7</v>
      </c>
      <c r="X227" s="1761">
        <v>99.9</v>
      </c>
      <c r="Y227" s="1760">
        <v>1</v>
      </c>
      <c r="Z227" s="2507">
        <v>10.4</v>
      </c>
      <c r="AA227" s="76" t="s">
        <v>3178</v>
      </c>
      <c r="AB227" s="75">
        <v>1</v>
      </c>
      <c r="AE227" s="2461"/>
      <c r="AF227" s="68"/>
    </row>
    <row r="228" spans="1:32" s="76" customFormat="1" ht="30" x14ac:dyDescent="0.35">
      <c r="A228" s="525">
        <v>85</v>
      </c>
      <c r="B228" s="997">
        <v>10617</v>
      </c>
      <c r="C228" s="997" t="s">
        <v>1656</v>
      </c>
      <c r="D228" s="2467" t="s">
        <v>4875</v>
      </c>
      <c r="E228" s="516" t="s">
        <v>8499</v>
      </c>
      <c r="F228" s="165" t="s">
        <v>1490</v>
      </c>
      <c r="G228" s="165">
        <v>5</v>
      </c>
      <c r="H228" s="166">
        <v>6</v>
      </c>
      <c r="I228" s="517">
        <f>J228+K228+L228</f>
        <v>0.1</v>
      </c>
      <c r="J228" s="518">
        <f>SUM(M228:R228)</f>
        <v>0.1</v>
      </c>
      <c r="K228" s="1569"/>
      <c r="L228" s="1569"/>
      <c r="M228" s="517"/>
      <c r="N228" s="517">
        <v>0.1</v>
      </c>
      <c r="O228" s="938"/>
      <c r="P228" s="987"/>
      <c r="Q228" s="942"/>
      <c r="R228" s="946"/>
      <c r="S228" s="1760"/>
      <c r="T228" s="1761"/>
      <c r="U228" s="1760"/>
      <c r="V228" s="1760"/>
      <c r="W228" s="1760"/>
      <c r="X228" s="1761"/>
      <c r="Y228" s="1760"/>
      <c r="Z228" s="2507"/>
      <c r="AB228" s="75">
        <v>1</v>
      </c>
      <c r="AE228" s="2461"/>
      <c r="AF228" s="68"/>
    </row>
    <row r="229" spans="1:32" s="75" customFormat="1" x14ac:dyDescent="0.35">
      <c r="A229" s="525">
        <v>86</v>
      </c>
      <c r="B229" s="997">
        <v>10618</v>
      </c>
      <c r="C229" s="997"/>
      <c r="D229" s="515" t="s">
        <v>1293</v>
      </c>
      <c r="E229" s="516" t="s">
        <v>1719</v>
      </c>
      <c r="F229" s="165">
        <v>4</v>
      </c>
      <c r="G229" s="165">
        <v>5</v>
      </c>
      <c r="H229" s="166">
        <v>6</v>
      </c>
      <c r="I229" s="517">
        <f t="shared" si="16"/>
        <v>11.84</v>
      </c>
      <c r="J229" s="518">
        <f t="shared" si="17"/>
        <v>11.84</v>
      </c>
      <c r="K229" s="1569"/>
      <c r="L229" s="1569"/>
      <c r="M229" s="517"/>
      <c r="N229" s="517"/>
      <c r="O229" s="938"/>
      <c r="P229" s="987"/>
      <c r="Q229" s="942">
        <v>11.84</v>
      </c>
      <c r="R229" s="946"/>
      <c r="S229" s="1760"/>
      <c r="T229" s="1761"/>
      <c r="U229" s="1760"/>
      <c r="V229" s="1760"/>
      <c r="W229" s="1760">
        <v>8</v>
      </c>
      <c r="X229" s="1761">
        <v>119.7</v>
      </c>
      <c r="Y229" s="1760">
        <v>1</v>
      </c>
      <c r="Z229" s="2507">
        <v>15</v>
      </c>
      <c r="AA229" s="76" t="s">
        <v>1350</v>
      </c>
      <c r="AB229" s="75">
        <v>1</v>
      </c>
      <c r="AE229" s="2461"/>
      <c r="AF229" s="68"/>
    </row>
    <row r="230" spans="1:32" s="76" customFormat="1" ht="30" x14ac:dyDescent="0.35">
      <c r="A230" s="525">
        <v>87</v>
      </c>
      <c r="B230" s="997">
        <v>10618</v>
      </c>
      <c r="C230" s="997"/>
      <c r="D230" s="2467" t="s">
        <v>4876</v>
      </c>
      <c r="E230" s="516" t="s">
        <v>7717</v>
      </c>
      <c r="F230" s="165" t="s">
        <v>827</v>
      </c>
      <c r="G230" s="165">
        <v>5</v>
      </c>
      <c r="H230" s="165">
        <v>6</v>
      </c>
      <c r="I230" s="517">
        <f t="shared" si="16"/>
        <v>1.5</v>
      </c>
      <c r="J230" s="518">
        <f t="shared" si="17"/>
        <v>1.5</v>
      </c>
      <c r="K230" s="1569"/>
      <c r="L230" s="1569"/>
      <c r="M230" s="517"/>
      <c r="N230" s="517"/>
      <c r="O230" s="938"/>
      <c r="P230" s="987"/>
      <c r="Q230" s="942"/>
      <c r="R230" s="946">
        <v>1.5</v>
      </c>
      <c r="S230" s="1760"/>
      <c r="T230" s="1761"/>
      <c r="U230" s="1760"/>
      <c r="V230" s="1760"/>
      <c r="W230" s="1760"/>
      <c r="X230" s="1761"/>
      <c r="Y230" s="1760"/>
      <c r="Z230" s="2507"/>
      <c r="AA230" s="75"/>
      <c r="AB230" s="75">
        <v>1</v>
      </c>
      <c r="AE230" s="2461"/>
      <c r="AF230" s="68"/>
    </row>
    <row r="231" spans="1:32" s="76" customFormat="1" x14ac:dyDescent="0.35">
      <c r="A231" s="525">
        <v>88</v>
      </c>
      <c r="B231" s="997">
        <v>10619</v>
      </c>
      <c r="C231" s="997"/>
      <c r="D231" s="515" t="s">
        <v>1294</v>
      </c>
      <c r="E231" s="516" t="s">
        <v>2139</v>
      </c>
      <c r="F231" s="165">
        <v>4</v>
      </c>
      <c r="G231" s="165">
        <v>5</v>
      </c>
      <c r="H231" s="166">
        <v>6</v>
      </c>
      <c r="I231" s="517">
        <f t="shared" si="16"/>
        <v>7.1749999999999998</v>
      </c>
      <c r="J231" s="518">
        <f t="shared" si="17"/>
        <v>7.1749999999999998</v>
      </c>
      <c r="K231" s="1569"/>
      <c r="L231" s="1569"/>
      <c r="M231" s="518"/>
      <c r="N231" s="518"/>
      <c r="O231" s="611"/>
      <c r="P231" s="967"/>
      <c r="Q231" s="888">
        <v>7.1749999999999998</v>
      </c>
      <c r="R231" s="886"/>
      <c r="S231" s="1760">
        <v>1</v>
      </c>
      <c r="T231" s="1761">
        <v>31</v>
      </c>
      <c r="U231" s="1760"/>
      <c r="V231" s="1760"/>
      <c r="W231" s="1760">
        <v>21</v>
      </c>
      <c r="X231" s="1761">
        <v>314.60000000000002</v>
      </c>
      <c r="Y231" s="1760">
        <v>3</v>
      </c>
      <c r="Z231" s="2507">
        <v>40</v>
      </c>
      <c r="AA231" s="75"/>
      <c r="AB231" s="75">
        <v>1</v>
      </c>
      <c r="AE231" s="2461"/>
      <c r="AF231" s="68"/>
    </row>
    <row r="232" spans="1:32" s="76" customFormat="1" ht="30" x14ac:dyDescent="0.35">
      <c r="A232" s="525">
        <v>89</v>
      </c>
      <c r="B232" s="997">
        <v>10619</v>
      </c>
      <c r="C232" s="997"/>
      <c r="D232" s="2467" t="s">
        <v>4877</v>
      </c>
      <c r="E232" s="1999" t="s">
        <v>7718</v>
      </c>
      <c r="F232" s="165">
        <v>4</v>
      </c>
      <c r="G232" s="165">
        <v>5</v>
      </c>
      <c r="H232" s="166">
        <v>6</v>
      </c>
      <c r="I232" s="517">
        <f t="shared" si="16"/>
        <v>0.8</v>
      </c>
      <c r="J232" s="518">
        <f t="shared" si="17"/>
        <v>0.8</v>
      </c>
      <c r="K232" s="1570"/>
      <c r="L232" s="1570"/>
      <c r="M232" s="522"/>
      <c r="N232" s="522"/>
      <c r="O232" s="937"/>
      <c r="P232" s="986"/>
      <c r="Q232" s="2000">
        <v>0.8</v>
      </c>
      <c r="R232" s="945"/>
      <c r="S232" s="1762"/>
      <c r="T232" s="1763"/>
      <c r="U232" s="1762"/>
      <c r="V232" s="1762"/>
      <c r="W232" s="1760"/>
      <c r="X232" s="1761"/>
      <c r="Y232" s="1760"/>
      <c r="Z232" s="2507"/>
      <c r="AA232" s="75"/>
      <c r="AB232" s="75">
        <v>1</v>
      </c>
      <c r="AE232" s="2461"/>
      <c r="AF232" s="68"/>
    </row>
    <row r="233" spans="1:32" s="76" customFormat="1" ht="45" x14ac:dyDescent="0.35">
      <c r="A233" s="525">
        <v>90</v>
      </c>
      <c r="B233" s="997">
        <v>10619</v>
      </c>
      <c r="C233" s="997" t="s">
        <v>1656</v>
      </c>
      <c r="D233" s="2467" t="s">
        <v>4878</v>
      </c>
      <c r="E233" s="1999" t="s">
        <v>8500</v>
      </c>
      <c r="F233" s="165" t="s">
        <v>1490</v>
      </c>
      <c r="G233" s="165">
        <v>5</v>
      </c>
      <c r="H233" s="165">
        <v>6</v>
      </c>
      <c r="I233" s="517">
        <f>J233+K233+L233</f>
        <v>0.21</v>
      </c>
      <c r="J233" s="518">
        <f>SUM(M233:R233)</f>
        <v>0.21</v>
      </c>
      <c r="K233" s="1570"/>
      <c r="L233" s="1570"/>
      <c r="M233" s="522"/>
      <c r="N233" s="522"/>
      <c r="O233" s="937"/>
      <c r="P233" s="986"/>
      <c r="Q233" s="2000"/>
      <c r="R233" s="2373">
        <v>0.21</v>
      </c>
      <c r="S233" s="1762"/>
      <c r="T233" s="1763"/>
      <c r="U233" s="1762"/>
      <c r="V233" s="1762"/>
      <c r="W233" s="1760"/>
      <c r="X233" s="1761"/>
      <c r="Y233" s="1760"/>
      <c r="Z233" s="2507"/>
      <c r="AA233" s="75"/>
      <c r="AB233" s="75">
        <v>1</v>
      </c>
      <c r="AE233" s="2461"/>
      <c r="AF233" s="68"/>
    </row>
    <row r="234" spans="1:32" s="75" customFormat="1" ht="45" x14ac:dyDescent="0.35">
      <c r="A234" s="525">
        <v>91</v>
      </c>
      <c r="B234" s="997">
        <v>10619</v>
      </c>
      <c r="C234" s="997" t="s">
        <v>1656</v>
      </c>
      <c r="D234" s="2467" t="s">
        <v>4879</v>
      </c>
      <c r="E234" s="516" t="s">
        <v>8501</v>
      </c>
      <c r="F234" s="165" t="s">
        <v>1490</v>
      </c>
      <c r="G234" s="165">
        <v>5</v>
      </c>
      <c r="H234" s="165">
        <v>6</v>
      </c>
      <c r="I234" s="517">
        <f>J234+K234+L234</f>
        <v>0.3</v>
      </c>
      <c r="J234" s="518">
        <f>SUM(M234:R234)</f>
        <v>0.3</v>
      </c>
      <c r="K234" s="1569"/>
      <c r="L234" s="1569"/>
      <c r="M234" s="517"/>
      <c r="N234" s="517"/>
      <c r="O234" s="938"/>
      <c r="P234" s="987"/>
      <c r="Q234" s="942"/>
      <c r="R234" s="946">
        <v>0.3</v>
      </c>
      <c r="S234" s="1760"/>
      <c r="T234" s="1761"/>
      <c r="U234" s="1760"/>
      <c r="V234" s="1760"/>
      <c r="W234" s="1760"/>
      <c r="X234" s="1761"/>
      <c r="Y234" s="1760"/>
      <c r="Z234" s="2507"/>
      <c r="AB234" s="75">
        <v>1</v>
      </c>
      <c r="AE234" s="2461"/>
      <c r="AF234" s="68"/>
    </row>
    <row r="235" spans="1:32" s="75" customFormat="1" ht="30" x14ac:dyDescent="0.35">
      <c r="A235" s="525">
        <v>92</v>
      </c>
      <c r="B235" s="997">
        <v>10620</v>
      </c>
      <c r="C235" s="997"/>
      <c r="D235" s="515" t="s">
        <v>1295</v>
      </c>
      <c r="E235" s="516" t="s">
        <v>1073</v>
      </c>
      <c r="F235" s="165">
        <v>4</v>
      </c>
      <c r="G235" s="165">
        <v>4</v>
      </c>
      <c r="H235" s="166">
        <v>6</v>
      </c>
      <c r="I235" s="517">
        <f t="shared" si="16"/>
        <v>1.48</v>
      </c>
      <c r="J235" s="518">
        <f t="shared" si="17"/>
        <v>1.48</v>
      </c>
      <c r="K235" s="1569"/>
      <c r="L235" s="1569"/>
      <c r="M235" s="517"/>
      <c r="N235" s="517"/>
      <c r="O235" s="938"/>
      <c r="P235" s="987"/>
      <c r="Q235" s="942">
        <v>1.48</v>
      </c>
      <c r="R235" s="946"/>
      <c r="S235" s="1760"/>
      <c r="T235" s="1761"/>
      <c r="U235" s="1760"/>
      <c r="V235" s="1760"/>
      <c r="W235" s="1760">
        <v>3</v>
      </c>
      <c r="X235" s="1761">
        <v>40.1</v>
      </c>
      <c r="Y235" s="1760">
        <v>2</v>
      </c>
      <c r="Z235" s="2507">
        <v>20</v>
      </c>
      <c r="AA235" s="76"/>
      <c r="AB235" s="75">
        <v>1</v>
      </c>
      <c r="AE235" s="2461"/>
      <c r="AF235" s="68"/>
    </row>
    <row r="236" spans="1:32" s="75" customFormat="1" x14ac:dyDescent="0.35">
      <c r="A236" s="525">
        <v>93</v>
      </c>
      <c r="B236" s="997">
        <v>10621</v>
      </c>
      <c r="C236" s="997"/>
      <c r="D236" s="515" t="s">
        <v>1268</v>
      </c>
      <c r="E236" s="516" t="s">
        <v>7131</v>
      </c>
      <c r="F236" s="165" t="s">
        <v>1490</v>
      </c>
      <c r="G236" s="165">
        <v>5</v>
      </c>
      <c r="H236" s="165">
        <v>6</v>
      </c>
      <c r="I236" s="517">
        <f t="shared" si="16"/>
        <v>5.133</v>
      </c>
      <c r="J236" s="518">
        <f t="shared" si="17"/>
        <v>5.133</v>
      </c>
      <c r="K236" s="1569"/>
      <c r="L236" s="1569"/>
      <c r="M236" s="517"/>
      <c r="N236" s="517"/>
      <c r="O236" s="938"/>
      <c r="P236" s="987"/>
      <c r="Q236" s="942"/>
      <c r="R236" s="946">
        <v>5.133</v>
      </c>
      <c r="S236" s="1760"/>
      <c r="T236" s="1761"/>
      <c r="U236" s="1760"/>
      <c r="V236" s="1760"/>
      <c r="W236" s="1760"/>
      <c r="X236" s="1761"/>
      <c r="Y236" s="1760"/>
      <c r="Z236" s="2507"/>
      <c r="AA236" s="76"/>
      <c r="AB236" s="75">
        <v>1</v>
      </c>
      <c r="AE236" s="2461"/>
      <c r="AF236" s="68"/>
    </row>
    <row r="237" spans="1:32" s="75" customFormat="1" ht="46.5" x14ac:dyDescent="0.35">
      <c r="A237" s="525"/>
      <c r="B237" s="997">
        <v>10621</v>
      </c>
      <c r="C237" s="997"/>
      <c r="D237" s="515"/>
      <c r="E237" s="519" t="s">
        <v>9991</v>
      </c>
      <c r="F237" s="165"/>
      <c r="G237" s="165" t="s">
        <v>191</v>
      </c>
      <c r="H237" s="165" t="s">
        <v>191</v>
      </c>
      <c r="I237" s="517"/>
      <c r="J237" s="518"/>
      <c r="K237" s="1569"/>
      <c r="L237" s="1569"/>
      <c r="M237" s="517"/>
      <c r="N237" s="517"/>
      <c r="O237" s="938"/>
      <c r="P237" s="987"/>
      <c r="Q237" s="942"/>
      <c r="R237" s="946"/>
      <c r="S237" s="1760"/>
      <c r="T237" s="1761"/>
      <c r="U237" s="1760"/>
      <c r="V237" s="1760"/>
      <c r="W237" s="1760"/>
      <c r="X237" s="1761"/>
      <c r="Y237" s="1760"/>
      <c r="Z237" s="2507"/>
      <c r="AA237" s="76"/>
      <c r="AB237" s="76"/>
      <c r="AE237" s="2461"/>
      <c r="AF237" s="68"/>
    </row>
    <row r="238" spans="1:32" s="75" customFormat="1" x14ac:dyDescent="0.35">
      <c r="A238" s="525">
        <v>94</v>
      </c>
      <c r="B238" s="997">
        <v>10622</v>
      </c>
      <c r="C238" s="997"/>
      <c r="D238" s="515" t="s">
        <v>1269</v>
      </c>
      <c r="E238" s="516" t="s">
        <v>1720</v>
      </c>
      <c r="F238" s="165">
        <v>5</v>
      </c>
      <c r="G238" s="165">
        <v>5</v>
      </c>
      <c r="H238" s="166">
        <v>6</v>
      </c>
      <c r="I238" s="517">
        <f>J238+K238+L238</f>
        <v>2.56</v>
      </c>
      <c r="J238" s="518">
        <f>SUM(M238:R238)</f>
        <v>2.56</v>
      </c>
      <c r="K238" s="1569"/>
      <c r="L238" s="1569"/>
      <c r="M238" s="517"/>
      <c r="N238" s="517"/>
      <c r="O238" s="938"/>
      <c r="P238" s="987"/>
      <c r="Q238" s="942">
        <v>2.56</v>
      </c>
      <c r="R238" s="946"/>
      <c r="S238" s="1760"/>
      <c r="T238" s="1761"/>
      <c r="U238" s="1760"/>
      <c r="V238" s="1760"/>
      <c r="W238" s="1760">
        <v>5</v>
      </c>
      <c r="X238" s="1761">
        <v>60.2</v>
      </c>
      <c r="Y238" s="1760"/>
      <c r="Z238" s="2507"/>
      <c r="AB238" s="75">
        <v>1</v>
      </c>
      <c r="AE238" s="2461"/>
      <c r="AF238" s="68"/>
    </row>
    <row r="239" spans="1:32" s="75" customFormat="1" x14ac:dyDescent="0.35">
      <c r="A239" s="525">
        <v>95</v>
      </c>
      <c r="B239" s="997">
        <v>10623</v>
      </c>
      <c r="C239" s="997"/>
      <c r="D239" s="515" t="s">
        <v>2206</v>
      </c>
      <c r="E239" s="516" t="s">
        <v>1721</v>
      </c>
      <c r="F239" s="2289"/>
      <c r="G239" s="2289" t="s">
        <v>191</v>
      </c>
      <c r="H239" s="166" t="s">
        <v>191</v>
      </c>
      <c r="I239" s="517">
        <f>J239+K239+L239</f>
        <v>3.04</v>
      </c>
      <c r="J239" s="518">
        <f>SUM(M239:R239)</f>
        <v>3.04</v>
      </c>
      <c r="K239" s="1569"/>
      <c r="L239" s="1569"/>
      <c r="M239" s="518"/>
      <c r="N239" s="518"/>
      <c r="O239" s="611"/>
      <c r="P239" s="967"/>
      <c r="Q239" s="888">
        <f>SUM(Q240:Q241)</f>
        <v>2.88</v>
      </c>
      <c r="R239" s="886">
        <f>SUM(R240:R241)</f>
        <v>0.16</v>
      </c>
      <c r="S239" s="1760"/>
      <c r="T239" s="1761"/>
      <c r="U239" s="1760"/>
      <c r="V239" s="1760"/>
      <c r="W239" s="1760">
        <v>3</v>
      </c>
      <c r="X239" s="1761">
        <v>35.299999999999997</v>
      </c>
      <c r="Y239" s="1760"/>
      <c r="Z239" s="2507"/>
      <c r="AA239" s="76"/>
      <c r="AB239" s="75">
        <v>1</v>
      </c>
      <c r="AE239" s="2461"/>
      <c r="AF239" s="68"/>
    </row>
    <row r="240" spans="1:32" s="76" customFormat="1" x14ac:dyDescent="0.35">
      <c r="A240" s="525"/>
      <c r="B240" s="997">
        <v>10623</v>
      </c>
      <c r="C240" s="997"/>
      <c r="D240" s="521"/>
      <c r="E240" s="949" t="s">
        <v>1566</v>
      </c>
      <c r="F240" s="2289">
        <v>5</v>
      </c>
      <c r="G240" s="2289">
        <v>5</v>
      </c>
      <c r="H240" s="166">
        <v>6</v>
      </c>
      <c r="I240" s="522"/>
      <c r="J240" s="522"/>
      <c r="K240" s="1570"/>
      <c r="L240" s="1570"/>
      <c r="M240" s="522"/>
      <c r="N240" s="522"/>
      <c r="O240" s="937"/>
      <c r="P240" s="986"/>
      <c r="Q240" s="941">
        <v>2.88</v>
      </c>
      <c r="R240" s="945"/>
      <c r="S240" s="1762"/>
      <c r="T240" s="1763"/>
      <c r="U240" s="1762"/>
      <c r="V240" s="1762"/>
      <c r="W240" s="1760"/>
      <c r="X240" s="1761"/>
      <c r="Y240" s="1760"/>
      <c r="Z240" s="2507"/>
      <c r="AE240" s="2461"/>
      <c r="AF240" s="68"/>
    </row>
    <row r="241" spans="1:32" s="76" customFormat="1" x14ac:dyDescent="0.35">
      <c r="A241" s="525"/>
      <c r="B241" s="997">
        <v>10623</v>
      </c>
      <c r="C241" s="997"/>
      <c r="D241" s="521"/>
      <c r="E241" s="948" t="s">
        <v>1567</v>
      </c>
      <c r="F241" s="2289">
        <v>5</v>
      </c>
      <c r="G241" s="2289">
        <v>5</v>
      </c>
      <c r="H241" s="165">
        <v>6</v>
      </c>
      <c r="I241" s="522"/>
      <c r="J241" s="522"/>
      <c r="K241" s="1570"/>
      <c r="L241" s="1570"/>
      <c r="M241" s="522"/>
      <c r="N241" s="522"/>
      <c r="O241" s="937"/>
      <c r="P241" s="986"/>
      <c r="Q241" s="941"/>
      <c r="R241" s="945">
        <v>0.16</v>
      </c>
      <c r="S241" s="1762"/>
      <c r="T241" s="1763"/>
      <c r="U241" s="1762"/>
      <c r="V241" s="1762"/>
      <c r="W241" s="1760"/>
      <c r="X241" s="1761"/>
      <c r="Y241" s="1760"/>
      <c r="Z241" s="2507"/>
      <c r="AA241" s="75"/>
      <c r="AB241" s="75"/>
      <c r="AE241" s="2461"/>
      <c r="AF241" s="68"/>
    </row>
    <row r="242" spans="1:32" s="76" customFormat="1" ht="30" x14ac:dyDescent="0.35">
      <c r="A242" s="525">
        <v>96</v>
      </c>
      <c r="B242" s="1040">
        <v>10623</v>
      </c>
      <c r="C242" s="693" t="s">
        <v>1656</v>
      </c>
      <c r="D242" s="2467" t="s">
        <v>4880</v>
      </c>
      <c r="E242" s="322" t="s">
        <v>8502</v>
      </c>
      <c r="F242" s="92" t="s">
        <v>1490</v>
      </c>
      <c r="G242" s="92">
        <v>5</v>
      </c>
      <c r="H242" s="165">
        <v>6</v>
      </c>
      <c r="I242" s="1924">
        <f>J242+K242+L242</f>
        <v>1.1950000000000001</v>
      </c>
      <c r="J242" s="1924">
        <f>SUM(M242:R242)</f>
        <v>1.1950000000000001</v>
      </c>
      <c r="K242" s="622"/>
      <c r="L242" s="622"/>
      <c r="M242" s="622"/>
      <c r="N242" s="622"/>
      <c r="O242" s="622"/>
      <c r="P242" s="622"/>
      <c r="Q242" s="913"/>
      <c r="R242" s="906">
        <v>1.1950000000000001</v>
      </c>
      <c r="S242" s="1571"/>
      <c r="T242" s="1571"/>
      <c r="U242" s="1571"/>
      <c r="V242" s="1571"/>
      <c r="W242" s="1760">
        <v>1</v>
      </c>
      <c r="X242" s="1761">
        <v>7.51</v>
      </c>
      <c r="Y242" s="1760"/>
      <c r="Z242" s="2507"/>
      <c r="AA242" s="3"/>
      <c r="AB242" s="3">
        <v>1</v>
      </c>
      <c r="AC242" s="76" t="s">
        <v>2570</v>
      </c>
      <c r="AE242" s="2461"/>
      <c r="AF242" s="68"/>
    </row>
    <row r="243" spans="1:32" s="75" customFormat="1" ht="45" x14ac:dyDescent="0.35">
      <c r="A243" s="525">
        <v>97</v>
      </c>
      <c r="B243" s="997">
        <v>10624</v>
      </c>
      <c r="C243" s="997"/>
      <c r="D243" s="515" t="s">
        <v>2442</v>
      </c>
      <c r="E243" s="516" t="s">
        <v>7132</v>
      </c>
      <c r="F243" s="2289"/>
      <c r="G243" s="2289" t="s">
        <v>191</v>
      </c>
      <c r="H243" s="166" t="s">
        <v>191</v>
      </c>
      <c r="I243" s="517">
        <f>J243+K243+L243</f>
        <v>12.12</v>
      </c>
      <c r="J243" s="518">
        <f>SUM(M243:R243)</f>
        <v>11.751999999999999</v>
      </c>
      <c r="K243" s="1569"/>
      <c r="L243" s="751">
        <f>SUM(L244:L248)</f>
        <v>0.36799999999999999</v>
      </c>
      <c r="M243" s="518"/>
      <c r="N243" s="518"/>
      <c r="O243" s="611">
        <f>SUM(O244:O248)</f>
        <v>3.5529999999999999</v>
      </c>
      <c r="P243" s="967"/>
      <c r="Q243" s="888">
        <f>SUM(Q244:Q248)</f>
        <v>2.2269999999999999</v>
      </c>
      <c r="R243" s="886">
        <f>SUM(R244:R248)</f>
        <v>5.9719999999999995</v>
      </c>
      <c r="S243" s="1760"/>
      <c r="T243" s="1761"/>
      <c r="U243" s="1760"/>
      <c r="V243" s="1760"/>
      <c r="W243" s="1760">
        <v>10</v>
      </c>
      <c r="X243" s="1761">
        <v>136.69999999999999</v>
      </c>
      <c r="Y243" s="1760"/>
      <c r="Z243" s="2507"/>
      <c r="AB243" s="75">
        <v>1</v>
      </c>
      <c r="AE243" s="2461"/>
      <c r="AF243" s="68"/>
    </row>
    <row r="244" spans="1:32" s="75" customFormat="1" x14ac:dyDescent="0.35">
      <c r="A244" s="2002"/>
      <c r="B244" s="997">
        <v>10624</v>
      </c>
      <c r="C244" s="997"/>
      <c r="D244" s="521"/>
      <c r="E244" s="950" t="s">
        <v>1568</v>
      </c>
      <c r="F244" s="165">
        <v>5</v>
      </c>
      <c r="G244" s="165">
        <v>5</v>
      </c>
      <c r="H244" s="165">
        <v>6</v>
      </c>
      <c r="I244" s="522"/>
      <c r="J244" s="522"/>
      <c r="K244" s="1570"/>
      <c r="L244" s="1570"/>
      <c r="M244" s="522"/>
      <c r="N244" s="522"/>
      <c r="O244" s="937">
        <v>3.5529999999999999</v>
      </c>
      <c r="P244" s="986"/>
      <c r="Q244" s="941"/>
      <c r="R244" s="945"/>
      <c r="S244" s="1762"/>
      <c r="T244" s="1763"/>
      <c r="U244" s="1762"/>
      <c r="V244" s="1762"/>
      <c r="W244" s="1760"/>
      <c r="X244" s="1761"/>
      <c r="Y244" s="1760"/>
      <c r="Z244" s="2507"/>
      <c r="AE244" s="2461"/>
      <c r="AF244" s="68"/>
    </row>
    <row r="245" spans="1:32" s="75" customFormat="1" x14ac:dyDescent="0.35">
      <c r="A245" s="2002"/>
      <c r="B245" s="997">
        <v>10624</v>
      </c>
      <c r="C245" s="997"/>
      <c r="D245" s="521"/>
      <c r="E245" s="949" t="s">
        <v>1569</v>
      </c>
      <c r="F245" s="165">
        <v>5</v>
      </c>
      <c r="G245" s="165">
        <v>5</v>
      </c>
      <c r="H245" s="166">
        <v>6</v>
      </c>
      <c r="I245" s="522"/>
      <c r="J245" s="522"/>
      <c r="K245" s="1570"/>
      <c r="L245" s="1570"/>
      <c r="M245" s="522"/>
      <c r="N245" s="522"/>
      <c r="O245" s="937"/>
      <c r="P245" s="986"/>
      <c r="Q245" s="941">
        <v>2.2269999999999999</v>
      </c>
      <c r="R245" s="945"/>
      <c r="S245" s="1762"/>
      <c r="T245" s="1763"/>
      <c r="U245" s="1762"/>
      <c r="V245" s="1762"/>
      <c r="W245" s="1760"/>
      <c r="X245" s="1761"/>
      <c r="Y245" s="1760"/>
      <c r="Z245" s="2507"/>
      <c r="AE245" s="2461"/>
      <c r="AF245" s="68"/>
    </row>
    <row r="246" spans="1:32" s="75" customFormat="1" x14ac:dyDescent="0.35">
      <c r="A246" s="2002"/>
      <c r="B246" s="997">
        <v>10624</v>
      </c>
      <c r="C246" s="997"/>
      <c r="D246" s="521"/>
      <c r="E246" s="948" t="s">
        <v>385</v>
      </c>
      <c r="F246" s="165">
        <v>5</v>
      </c>
      <c r="G246" s="165">
        <v>5</v>
      </c>
      <c r="H246" s="165">
        <v>6</v>
      </c>
      <c r="I246" s="522"/>
      <c r="J246" s="522"/>
      <c r="K246" s="1570"/>
      <c r="L246" s="1570"/>
      <c r="M246" s="522"/>
      <c r="N246" s="522"/>
      <c r="O246" s="937"/>
      <c r="P246" s="986"/>
      <c r="Q246" s="941"/>
      <c r="R246" s="945">
        <v>0.30499999999999999</v>
      </c>
      <c r="S246" s="1762"/>
      <c r="T246" s="1763"/>
      <c r="U246" s="1762"/>
      <c r="V246" s="1762"/>
      <c r="W246" s="1760"/>
      <c r="X246" s="1761"/>
      <c r="Y246" s="1760"/>
      <c r="Z246" s="2507"/>
      <c r="AE246" s="2461"/>
      <c r="AF246" s="68"/>
    </row>
    <row r="247" spans="1:32" s="75" customFormat="1" ht="46.5" x14ac:dyDescent="0.35">
      <c r="A247" s="2002"/>
      <c r="B247" s="997">
        <v>10624</v>
      </c>
      <c r="C247" s="997"/>
      <c r="D247" s="521"/>
      <c r="E247" s="523" t="s">
        <v>9830</v>
      </c>
      <c r="F247" s="165">
        <v>5</v>
      </c>
      <c r="G247" s="165">
        <v>5</v>
      </c>
      <c r="H247" s="165" t="s">
        <v>191</v>
      </c>
      <c r="I247" s="522"/>
      <c r="J247" s="522"/>
      <c r="K247" s="1570"/>
      <c r="L247" s="1570">
        <v>0.36799999999999999</v>
      </c>
      <c r="M247" s="522"/>
      <c r="N247" s="522"/>
      <c r="O247" s="937"/>
      <c r="P247" s="986"/>
      <c r="Q247" s="941"/>
      <c r="R247" s="945"/>
      <c r="S247" s="1762"/>
      <c r="T247" s="1763"/>
      <c r="U247" s="1762"/>
      <c r="V247" s="1762"/>
      <c r="W247" s="1760"/>
      <c r="X247" s="1761"/>
      <c r="Y247" s="1760"/>
      <c r="Z247" s="2507"/>
      <c r="AE247" s="2461"/>
      <c r="AF247" s="68"/>
    </row>
    <row r="248" spans="1:32" s="76" customFormat="1" x14ac:dyDescent="0.35">
      <c r="A248" s="2002"/>
      <c r="B248" s="997">
        <v>10624</v>
      </c>
      <c r="C248" s="997"/>
      <c r="D248" s="521"/>
      <c r="E248" s="948" t="s">
        <v>2447</v>
      </c>
      <c r="F248" s="165" t="s">
        <v>827</v>
      </c>
      <c r="G248" s="165">
        <v>5</v>
      </c>
      <c r="H248" s="165">
        <v>6</v>
      </c>
      <c r="I248" s="522"/>
      <c r="J248" s="522"/>
      <c r="K248" s="1570"/>
      <c r="L248" s="1570"/>
      <c r="M248" s="522"/>
      <c r="N248" s="522"/>
      <c r="O248" s="937"/>
      <c r="P248" s="986"/>
      <c r="Q248" s="941"/>
      <c r="R248" s="945">
        <v>5.6669999999999998</v>
      </c>
      <c r="S248" s="1762"/>
      <c r="T248" s="1763"/>
      <c r="U248" s="1762"/>
      <c r="V248" s="1762"/>
      <c r="W248" s="1760"/>
      <c r="X248" s="1761"/>
      <c r="Y248" s="1760"/>
      <c r="Z248" s="2507"/>
      <c r="AA248" s="75"/>
      <c r="AB248" s="75"/>
      <c r="AE248" s="2461"/>
      <c r="AF248" s="68"/>
    </row>
    <row r="249" spans="1:32" s="76" customFormat="1" ht="60" x14ac:dyDescent="0.35">
      <c r="A249" s="525">
        <v>98</v>
      </c>
      <c r="B249" s="1040">
        <v>10624</v>
      </c>
      <c r="C249" s="693" t="s">
        <v>1656</v>
      </c>
      <c r="D249" s="2467" t="s">
        <v>4881</v>
      </c>
      <c r="E249" s="322" t="s">
        <v>8503</v>
      </c>
      <c r="F249" s="92" t="s">
        <v>664</v>
      </c>
      <c r="G249" s="92">
        <v>5</v>
      </c>
      <c r="H249" s="165">
        <v>6</v>
      </c>
      <c r="I249" s="1924">
        <f>J249+K249+L249</f>
        <v>1.6</v>
      </c>
      <c r="J249" s="1924">
        <f>SUM(M249:R249)</f>
        <v>1.6</v>
      </c>
      <c r="K249" s="622"/>
      <c r="L249" s="622"/>
      <c r="M249" s="622"/>
      <c r="N249" s="622"/>
      <c r="O249" s="622"/>
      <c r="P249" s="622"/>
      <c r="Q249" s="913"/>
      <c r="R249" s="906">
        <v>1.6</v>
      </c>
      <c r="S249" s="1571"/>
      <c r="T249" s="1571"/>
      <c r="U249" s="1571"/>
      <c r="V249" s="1571"/>
      <c r="W249" s="1760"/>
      <c r="X249" s="1761"/>
      <c r="Y249" s="1760"/>
      <c r="Z249" s="2507"/>
      <c r="AA249" s="3"/>
      <c r="AB249" s="3">
        <v>1</v>
      </c>
      <c r="AE249" s="2461"/>
      <c r="AF249" s="68"/>
    </row>
    <row r="250" spans="1:32" s="76" customFormat="1" ht="30" x14ac:dyDescent="0.35">
      <c r="A250" s="2001">
        <v>99</v>
      </c>
      <c r="B250" s="997">
        <v>10625</v>
      </c>
      <c r="C250" s="997"/>
      <c r="D250" s="515" t="s">
        <v>2443</v>
      </c>
      <c r="E250" s="516" t="s">
        <v>2448</v>
      </c>
      <c r="F250" s="2289"/>
      <c r="G250" s="2289" t="s">
        <v>191</v>
      </c>
      <c r="H250" s="166" t="s">
        <v>191</v>
      </c>
      <c r="I250" s="517">
        <f>J250+K250+L250</f>
        <v>6.88</v>
      </c>
      <c r="J250" s="518">
        <f>SUM(M250:R250)</f>
        <v>6.88</v>
      </c>
      <c r="K250" s="1569"/>
      <c r="L250" s="1569"/>
      <c r="M250" s="518"/>
      <c r="N250" s="518">
        <f>SUM(N251:N252)</f>
        <v>1.343</v>
      </c>
      <c r="O250" s="611"/>
      <c r="P250" s="967"/>
      <c r="Q250" s="888">
        <f>SUM(Q251:Q252)</f>
        <v>5.5369999999999999</v>
      </c>
      <c r="R250" s="886"/>
      <c r="S250" s="1760">
        <v>1</v>
      </c>
      <c r="T250" s="1761">
        <v>18.600000000000001</v>
      </c>
      <c r="U250" s="1760"/>
      <c r="V250" s="1760"/>
      <c r="W250" s="1760">
        <v>6</v>
      </c>
      <c r="X250" s="1761">
        <v>65.400000000000006</v>
      </c>
      <c r="Y250" s="1760">
        <v>1</v>
      </c>
      <c r="Z250" s="2507">
        <v>10</v>
      </c>
      <c r="AA250" s="75"/>
      <c r="AB250" s="75">
        <v>1</v>
      </c>
      <c r="AE250" s="2461"/>
      <c r="AF250" s="68"/>
    </row>
    <row r="251" spans="1:32" s="76" customFormat="1" x14ac:dyDescent="0.35">
      <c r="A251" s="2002"/>
      <c r="B251" s="997">
        <v>10625</v>
      </c>
      <c r="C251" s="997"/>
      <c r="D251" s="521"/>
      <c r="E251" s="519" t="s">
        <v>1613</v>
      </c>
      <c r="F251" s="2289">
        <v>5</v>
      </c>
      <c r="G251" s="2289">
        <v>5</v>
      </c>
      <c r="H251" s="166">
        <v>6</v>
      </c>
      <c r="I251" s="522"/>
      <c r="J251" s="522"/>
      <c r="K251" s="1570"/>
      <c r="L251" s="1570"/>
      <c r="M251" s="522"/>
      <c r="N251" s="522">
        <v>1.343</v>
      </c>
      <c r="O251" s="937"/>
      <c r="P251" s="986"/>
      <c r="Q251" s="941"/>
      <c r="R251" s="945"/>
      <c r="S251" s="1762"/>
      <c r="T251" s="1763"/>
      <c r="U251" s="1762"/>
      <c r="V251" s="1762"/>
      <c r="W251" s="1760"/>
      <c r="X251" s="1761"/>
      <c r="Y251" s="1760"/>
      <c r="Z251" s="2507"/>
      <c r="AA251" s="75"/>
      <c r="AB251" s="75"/>
      <c r="AE251" s="2461"/>
      <c r="AF251" s="68"/>
    </row>
    <row r="252" spans="1:32" s="76" customFormat="1" x14ac:dyDescent="0.35">
      <c r="A252" s="2002"/>
      <c r="B252" s="997">
        <v>10625</v>
      </c>
      <c r="C252" s="997"/>
      <c r="D252" s="521"/>
      <c r="E252" s="949" t="s">
        <v>426</v>
      </c>
      <c r="F252" s="2289">
        <v>5</v>
      </c>
      <c r="G252" s="2289">
        <v>5</v>
      </c>
      <c r="H252" s="166">
        <v>6</v>
      </c>
      <c r="I252" s="522"/>
      <c r="J252" s="522"/>
      <c r="K252" s="1570"/>
      <c r="L252" s="1570"/>
      <c r="M252" s="522"/>
      <c r="N252" s="522"/>
      <c r="O252" s="937"/>
      <c r="P252" s="986"/>
      <c r="Q252" s="941">
        <v>5.5369999999999999</v>
      </c>
      <c r="R252" s="945"/>
      <c r="S252" s="1762"/>
      <c r="T252" s="1763"/>
      <c r="U252" s="1762"/>
      <c r="V252" s="1762"/>
      <c r="W252" s="1760"/>
      <c r="X252" s="1761"/>
      <c r="Y252" s="1760"/>
      <c r="Z252" s="2507"/>
      <c r="AA252" s="75"/>
      <c r="AB252" s="75"/>
      <c r="AE252" s="2461"/>
      <c r="AF252" s="68"/>
    </row>
    <row r="253" spans="1:32" s="76" customFormat="1" ht="45" x14ac:dyDescent="0.35">
      <c r="A253" s="525">
        <v>100</v>
      </c>
      <c r="B253" s="1040">
        <v>10625</v>
      </c>
      <c r="C253" s="693" t="s">
        <v>1656</v>
      </c>
      <c r="D253" s="2467" t="s">
        <v>4882</v>
      </c>
      <c r="E253" s="322" t="s">
        <v>8504</v>
      </c>
      <c r="F253" s="92" t="s">
        <v>664</v>
      </c>
      <c r="G253" s="92">
        <v>5</v>
      </c>
      <c r="H253" s="165">
        <v>6</v>
      </c>
      <c r="I253" s="1924">
        <f>J253+K253+L253</f>
        <v>1.05</v>
      </c>
      <c r="J253" s="1924">
        <f>SUM(M253:R253)</f>
        <v>1.05</v>
      </c>
      <c r="K253" s="622"/>
      <c r="L253" s="622"/>
      <c r="M253" s="622"/>
      <c r="N253" s="622"/>
      <c r="O253" s="622"/>
      <c r="P253" s="622"/>
      <c r="Q253" s="913"/>
      <c r="R253" s="906">
        <v>1.05</v>
      </c>
      <c r="S253" s="1571"/>
      <c r="T253" s="1571"/>
      <c r="U253" s="1571"/>
      <c r="V253" s="1571"/>
      <c r="W253" s="1760"/>
      <c r="X253" s="1761"/>
      <c r="Y253" s="1760"/>
      <c r="Z253" s="2507"/>
      <c r="AA253" s="3"/>
      <c r="AB253" s="3">
        <v>1</v>
      </c>
      <c r="AE253" s="2461"/>
      <c r="AF253" s="68"/>
    </row>
    <row r="254" spans="1:32" s="76" customFormat="1" ht="45" x14ac:dyDescent="0.35">
      <c r="A254" s="525">
        <v>101</v>
      </c>
      <c r="B254" s="693">
        <v>10601</v>
      </c>
      <c r="C254" s="693" t="s">
        <v>1656</v>
      </c>
      <c r="D254" s="2467" t="s">
        <v>4814</v>
      </c>
      <c r="E254" s="322" t="s">
        <v>8505</v>
      </c>
      <c r="F254" s="92" t="s">
        <v>1490</v>
      </c>
      <c r="G254" s="92">
        <v>5</v>
      </c>
      <c r="H254" s="165">
        <v>6</v>
      </c>
      <c r="I254" s="1924">
        <f>J254+K254+L254</f>
        <v>0.1</v>
      </c>
      <c r="J254" s="1924">
        <f>SUM(M254:R254)</f>
        <v>0.1</v>
      </c>
      <c r="K254" s="622"/>
      <c r="L254" s="622"/>
      <c r="M254" s="622"/>
      <c r="N254" s="622"/>
      <c r="O254" s="622"/>
      <c r="P254" s="622"/>
      <c r="Q254" s="913"/>
      <c r="R254" s="906">
        <v>0.1</v>
      </c>
      <c r="S254" s="1571"/>
      <c r="T254" s="1571"/>
      <c r="U254" s="1571"/>
      <c r="V254" s="1571"/>
      <c r="W254" s="1760"/>
      <c r="X254" s="1761"/>
      <c r="Y254" s="1760"/>
      <c r="Z254" s="2507"/>
      <c r="AA254" s="3"/>
      <c r="AB254" s="3">
        <v>1</v>
      </c>
      <c r="AE254" s="2461"/>
      <c r="AF254" s="68"/>
    </row>
    <row r="255" spans="1:32" s="76" customFormat="1" x14ac:dyDescent="0.35">
      <c r="A255" s="2001">
        <v>102</v>
      </c>
      <c r="B255" s="997">
        <v>10626</v>
      </c>
      <c r="C255" s="997"/>
      <c r="D255" s="515" t="s">
        <v>2968</v>
      </c>
      <c r="E255" s="516" t="s">
        <v>7133</v>
      </c>
      <c r="F255" s="165"/>
      <c r="G255" s="165" t="s">
        <v>191</v>
      </c>
      <c r="H255" s="166" t="s">
        <v>191</v>
      </c>
      <c r="I255" s="517">
        <f>J255+K255+L255</f>
        <v>9.5300000000000011</v>
      </c>
      <c r="J255" s="518">
        <f>SUM(M255:R255)</f>
        <v>9.5300000000000011</v>
      </c>
      <c r="K255" s="1569"/>
      <c r="L255" s="1569"/>
      <c r="M255" s="518"/>
      <c r="N255" s="518"/>
      <c r="O255" s="611"/>
      <c r="P255" s="967"/>
      <c r="Q255" s="888">
        <f>SUM(Q256:Q257)</f>
        <v>2.5</v>
      </c>
      <c r="R255" s="886">
        <f>SUM(R256:R257)</f>
        <v>7.03</v>
      </c>
      <c r="S255" s="1760">
        <v>1</v>
      </c>
      <c r="T255" s="1761">
        <v>10</v>
      </c>
      <c r="U255" s="1760">
        <v>1</v>
      </c>
      <c r="V255" s="1761">
        <v>10</v>
      </c>
      <c r="W255" s="1760">
        <v>2</v>
      </c>
      <c r="X255" s="1761">
        <v>25.1</v>
      </c>
      <c r="Y255" s="1760">
        <v>1</v>
      </c>
      <c r="Z255" s="2507">
        <v>10</v>
      </c>
      <c r="AA255" s="75"/>
      <c r="AB255" s="75">
        <v>1</v>
      </c>
      <c r="AE255" s="2461"/>
      <c r="AF255" s="68"/>
    </row>
    <row r="256" spans="1:32" s="76" customFormat="1" x14ac:dyDescent="0.35">
      <c r="A256" s="2002"/>
      <c r="B256" s="997">
        <v>10626</v>
      </c>
      <c r="C256" s="997"/>
      <c r="D256" s="521"/>
      <c r="E256" s="949" t="s">
        <v>3284</v>
      </c>
      <c r="F256" s="165">
        <v>5</v>
      </c>
      <c r="G256" s="165">
        <v>5</v>
      </c>
      <c r="H256" s="166">
        <v>6</v>
      </c>
      <c r="I256" s="522"/>
      <c r="J256" s="522"/>
      <c r="K256" s="1570"/>
      <c r="L256" s="1570"/>
      <c r="M256" s="522"/>
      <c r="N256" s="522"/>
      <c r="O256" s="937"/>
      <c r="P256" s="986"/>
      <c r="Q256" s="941">
        <v>2.5</v>
      </c>
      <c r="R256" s="945"/>
      <c r="S256" s="1762"/>
      <c r="T256" s="1763"/>
      <c r="U256" s="1762"/>
      <c r="V256" s="1762"/>
      <c r="W256" s="1760"/>
      <c r="X256" s="1761"/>
      <c r="Y256" s="1760"/>
      <c r="Z256" s="2507"/>
      <c r="AA256" s="75"/>
      <c r="AB256" s="75"/>
      <c r="AE256" s="2461"/>
      <c r="AF256" s="68"/>
    </row>
    <row r="257" spans="1:32" s="76" customFormat="1" x14ac:dyDescent="0.35">
      <c r="A257" s="2002"/>
      <c r="B257" s="997">
        <v>10626</v>
      </c>
      <c r="C257" s="997"/>
      <c r="D257" s="521"/>
      <c r="E257" s="948" t="s">
        <v>1470</v>
      </c>
      <c r="F257" s="165" t="s">
        <v>827</v>
      </c>
      <c r="G257" s="165">
        <v>5</v>
      </c>
      <c r="H257" s="165">
        <v>6</v>
      </c>
      <c r="I257" s="522"/>
      <c r="J257" s="522"/>
      <c r="K257" s="1570"/>
      <c r="L257" s="1570"/>
      <c r="M257" s="522"/>
      <c r="N257" s="522"/>
      <c r="O257" s="937"/>
      <c r="P257" s="986"/>
      <c r="Q257" s="941"/>
      <c r="R257" s="945">
        <v>7.03</v>
      </c>
      <c r="S257" s="1762"/>
      <c r="T257" s="1763"/>
      <c r="U257" s="1762"/>
      <c r="V257" s="1762"/>
      <c r="W257" s="1760"/>
      <c r="X257" s="1761"/>
      <c r="Y257" s="1760"/>
      <c r="Z257" s="2507"/>
      <c r="AA257" s="75"/>
      <c r="AB257" s="75"/>
      <c r="AE257" s="2461"/>
      <c r="AF257" s="68"/>
    </row>
    <row r="258" spans="1:32" s="76" customFormat="1" ht="30" x14ac:dyDescent="0.35">
      <c r="A258" s="2001">
        <v>103</v>
      </c>
      <c r="B258" s="997">
        <v>10626</v>
      </c>
      <c r="C258" s="997"/>
      <c r="D258" s="2467" t="s">
        <v>4883</v>
      </c>
      <c r="E258" s="516" t="s">
        <v>7719</v>
      </c>
      <c r="F258" s="2289" t="s">
        <v>827</v>
      </c>
      <c r="G258" s="2289">
        <v>5</v>
      </c>
      <c r="H258" s="165">
        <v>6</v>
      </c>
      <c r="I258" s="517">
        <f>J258+K258+L258</f>
        <v>0.6</v>
      </c>
      <c r="J258" s="518">
        <f>SUM(M258:R258)</f>
        <v>0.6</v>
      </c>
      <c r="K258" s="1569"/>
      <c r="L258" s="1569"/>
      <c r="M258" s="518"/>
      <c r="N258" s="518"/>
      <c r="O258" s="611"/>
      <c r="P258" s="967"/>
      <c r="Q258" s="888"/>
      <c r="R258" s="886">
        <v>0.6</v>
      </c>
      <c r="S258" s="1760"/>
      <c r="T258" s="1761"/>
      <c r="U258" s="1760"/>
      <c r="V258" s="1760"/>
      <c r="W258" s="1760"/>
      <c r="X258" s="1761"/>
      <c r="Y258" s="1760"/>
      <c r="Z258" s="2507"/>
      <c r="AB258" s="75">
        <v>1</v>
      </c>
      <c r="AE258" s="2461"/>
      <c r="AF258" s="68"/>
    </row>
    <row r="259" spans="1:32" s="76" customFormat="1" ht="30" x14ac:dyDescent="0.35">
      <c r="A259" s="2001">
        <v>104</v>
      </c>
      <c r="B259" s="997">
        <v>10627</v>
      </c>
      <c r="C259" s="997"/>
      <c r="D259" s="515" t="s">
        <v>2969</v>
      </c>
      <c r="E259" s="516" t="s">
        <v>7134</v>
      </c>
      <c r="F259" s="2289"/>
      <c r="G259" s="2289" t="s">
        <v>191</v>
      </c>
      <c r="H259" s="166" t="s">
        <v>191</v>
      </c>
      <c r="I259" s="517">
        <f>J259+K259+L259</f>
        <v>10.78</v>
      </c>
      <c r="J259" s="518">
        <f>SUM(M259:R259)</f>
        <v>10.78</v>
      </c>
      <c r="K259" s="1569"/>
      <c r="L259" s="1569"/>
      <c r="M259" s="518"/>
      <c r="N259" s="518">
        <f>SUM(N260:N263)</f>
        <v>2.5999999999999996</v>
      </c>
      <c r="O259" s="611"/>
      <c r="P259" s="967"/>
      <c r="Q259" s="888">
        <f>SUM(Q260:Q263)</f>
        <v>5.67</v>
      </c>
      <c r="R259" s="886">
        <f>SUM(R260:R262)</f>
        <v>2.5099999999999998</v>
      </c>
      <c r="S259" s="1760">
        <v>1</v>
      </c>
      <c r="T259" s="1761">
        <v>6</v>
      </c>
      <c r="U259" s="1760"/>
      <c r="V259" s="1760"/>
      <c r="W259" s="1760">
        <v>19</v>
      </c>
      <c r="X259" s="1761">
        <v>212.6</v>
      </c>
      <c r="Y259" s="1760">
        <v>2</v>
      </c>
      <c r="Z259" s="2507">
        <v>20.5</v>
      </c>
      <c r="AB259" s="75">
        <v>1</v>
      </c>
      <c r="AE259" s="2461"/>
      <c r="AF259" s="68"/>
    </row>
    <row r="260" spans="1:32" s="76" customFormat="1" x14ac:dyDescent="0.35">
      <c r="A260" s="2002"/>
      <c r="B260" s="997">
        <v>10627</v>
      </c>
      <c r="C260" s="997"/>
      <c r="D260" s="521"/>
      <c r="E260" s="949" t="s">
        <v>427</v>
      </c>
      <c r="F260" s="165">
        <v>5</v>
      </c>
      <c r="G260" s="165">
        <v>5</v>
      </c>
      <c r="H260" s="166">
        <v>6</v>
      </c>
      <c r="I260" s="522"/>
      <c r="J260" s="522"/>
      <c r="K260" s="1570"/>
      <c r="L260" s="1570"/>
      <c r="M260" s="522"/>
      <c r="N260" s="522"/>
      <c r="O260" s="937"/>
      <c r="P260" s="986"/>
      <c r="Q260" s="941">
        <v>3.76</v>
      </c>
      <c r="R260" s="945"/>
      <c r="S260" s="1762"/>
      <c r="T260" s="1763"/>
      <c r="U260" s="1762"/>
      <c r="V260" s="1762"/>
      <c r="W260" s="1760"/>
      <c r="X260" s="1761"/>
      <c r="Y260" s="1760"/>
      <c r="Z260" s="2507"/>
      <c r="AE260" s="2461"/>
      <c r="AF260" s="68"/>
    </row>
    <row r="261" spans="1:32" s="76" customFormat="1" x14ac:dyDescent="0.35">
      <c r="A261" s="2002"/>
      <c r="B261" s="997">
        <v>10627</v>
      </c>
      <c r="C261" s="997"/>
      <c r="D261" s="521"/>
      <c r="E261" s="948" t="s">
        <v>428</v>
      </c>
      <c r="F261" s="165" t="s">
        <v>827</v>
      </c>
      <c r="G261" s="165">
        <v>5</v>
      </c>
      <c r="H261" s="165">
        <v>6</v>
      </c>
      <c r="I261" s="522"/>
      <c r="J261" s="522"/>
      <c r="K261" s="1570"/>
      <c r="L261" s="1570"/>
      <c r="M261" s="522"/>
      <c r="N261" s="522"/>
      <c r="O261" s="937"/>
      <c r="P261" s="986"/>
      <c r="Q261" s="941"/>
      <c r="R261" s="945">
        <v>2.5099999999999998</v>
      </c>
      <c r="S261" s="1762"/>
      <c r="T261" s="1763"/>
      <c r="U261" s="1762"/>
      <c r="V261" s="1762"/>
      <c r="W261" s="1760"/>
      <c r="X261" s="1761"/>
      <c r="Y261" s="1760"/>
      <c r="Z261" s="2507"/>
      <c r="AE261" s="2461"/>
      <c r="AF261" s="68"/>
    </row>
    <row r="262" spans="1:32" s="76" customFormat="1" x14ac:dyDescent="0.35">
      <c r="A262" s="2002"/>
      <c r="B262" s="997">
        <v>10627</v>
      </c>
      <c r="C262" s="997"/>
      <c r="D262" s="521"/>
      <c r="E262" s="949" t="s">
        <v>2390</v>
      </c>
      <c r="F262" s="165">
        <v>5</v>
      </c>
      <c r="G262" s="165">
        <v>5</v>
      </c>
      <c r="H262" s="166">
        <v>6</v>
      </c>
      <c r="I262" s="522"/>
      <c r="J262" s="522"/>
      <c r="K262" s="1570"/>
      <c r="L262" s="1570"/>
      <c r="M262" s="522"/>
      <c r="N262" s="522"/>
      <c r="O262" s="937"/>
      <c r="P262" s="986"/>
      <c r="Q262" s="941">
        <f>8.18-6.27</f>
        <v>1.9100000000000001</v>
      </c>
      <c r="R262" s="945"/>
      <c r="S262" s="1762"/>
      <c r="T262" s="1763"/>
      <c r="U262" s="1762"/>
      <c r="V262" s="1762"/>
      <c r="W262" s="1760"/>
      <c r="X262" s="1761"/>
      <c r="Y262" s="1760"/>
      <c r="Z262" s="2507"/>
      <c r="AA262" s="75"/>
      <c r="AB262" s="75"/>
      <c r="AE262" s="2461"/>
      <c r="AF262" s="68"/>
    </row>
    <row r="263" spans="1:32" s="76" customFormat="1" x14ac:dyDescent="0.35">
      <c r="A263" s="2002"/>
      <c r="B263" s="997">
        <v>10627</v>
      </c>
      <c r="C263" s="997"/>
      <c r="D263" s="521"/>
      <c r="E263" s="951" t="s">
        <v>736</v>
      </c>
      <c r="F263" s="165">
        <v>5</v>
      </c>
      <c r="G263" s="165">
        <v>5</v>
      </c>
      <c r="H263" s="166">
        <v>6</v>
      </c>
      <c r="I263" s="522"/>
      <c r="J263" s="522"/>
      <c r="K263" s="1570"/>
      <c r="L263" s="1570"/>
      <c r="M263" s="522"/>
      <c r="N263" s="522">
        <f>10.78-8.18</f>
        <v>2.5999999999999996</v>
      </c>
      <c r="O263" s="937"/>
      <c r="P263" s="986"/>
      <c r="Q263" s="941"/>
      <c r="R263" s="945"/>
      <c r="S263" s="1762"/>
      <c r="T263" s="1763"/>
      <c r="U263" s="1762"/>
      <c r="V263" s="1762"/>
      <c r="W263" s="1760"/>
      <c r="X263" s="1761"/>
      <c r="Y263" s="1760"/>
      <c r="Z263" s="2507"/>
      <c r="AE263" s="2461"/>
      <c r="AF263" s="68"/>
    </row>
    <row r="264" spans="1:32" s="76" customFormat="1" ht="45" x14ac:dyDescent="0.35">
      <c r="A264" s="525">
        <v>105</v>
      </c>
      <c r="B264" s="1040">
        <v>10627</v>
      </c>
      <c r="C264" s="693" t="s">
        <v>1656</v>
      </c>
      <c r="D264" s="2467" t="s">
        <v>4884</v>
      </c>
      <c r="E264" s="322" t="s">
        <v>11008</v>
      </c>
      <c r="F264" s="92" t="s">
        <v>664</v>
      </c>
      <c r="G264" s="92">
        <v>5</v>
      </c>
      <c r="H264" s="165">
        <v>6</v>
      </c>
      <c r="I264" s="1924">
        <f>J264+K264+L264</f>
        <v>0.87</v>
      </c>
      <c r="J264" s="1924">
        <f>SUM(M264:R264)</f>
        <v>0.87</v>
      </c>
      <c r="K264" s="622"/>
      <c r="L264" s="622"/>
      <c r="M264" s="622"/>
      <c r="N264" s="622"/>
      <c r="O264" s="622"/>
      <c r="P264" s="622"/>
      <c r="Q264" s="913"/>
      <c r="R264" s="906">
        <v>0.87</v>
      </c>
      <c r="S264" s="1571"/>
      <c r="T264" s="1571"/>
      <c r="U264" s="1571"/>
      <c r="V264" s="1571"/>
      <c r="W264" s="1760"/>
      <c r="X264" s="1761"/>
      <c r="Y264" s="1760"/>
      <c r="Z264" s="2507"/>
      <c r="AA264" s="3"/>
      <c r="AB264" s="3">
        <v>1</v>
      </c>
      <c r="AE264" s="2461"/>
      <c r="AF264" s="68"/>
    </row>
    <row r="265" spans="1:32" s="76" customFormat="1" x14ac:dyDescent="0.35">
      <c r="A265" s="2001">
        <v>106</v>
      </c>
      <c r="B265" s="997">
        <v>10628</v>
      </c>
      <c r="C265" s="997"/>
      <c r="D265" s="515" t="s">
        <v>2970</v>
      </c>
      <c r="E265" s="1999" t="s">
        <v>11468</v>
      </c>
      <c r="F265" s="165"/>
      <c r="G265" s="165" t="s">
        <v>191</v>
      </c>
      <c r="H265" s="166" t="s">
        <v>191</v>
      </c>
      <c r="I265" s="2898">
        <f>J265+K265+L265</f>
        <v>9.1</v>
      </c>
      <c r="J265" s="2897">
        <f>SUM(M265:R265)</f>
        <v>9.1</v>
      </c>
      <c r="K265" s="1569"/>
      <c r="L265" s="1569"/>
      <c r="M265" s="517"/>
      <c r="N265" s="517"/>
      <c r="O265" s="938"/>
      <c r="P265" s="987"/>
      <c r="Q265" s="942">
        <f>SUM(Q266:Q267)</f>
        <v>2.895</v>
      </c>
      <c r="R265" s="946">
        <f>SUM(R266:R267)</f>
        <v>6.2050000000000001</v>
      </c>
      <c r="S265" s="1760"/>
      <c r="T265" s="1761"/>
      <c r="U265" s="1760"/>
      <c r="V265" s="1760"/>
      <c r="W265" s="1760">
        <v>4</v>
      </c>
      <c r="X265" s="1761">
        <v>58.1</v>
      </c>
      <c r="Y265" s="1760"/>
      <c r="Z265" s="2507"/>
      <c r="AB265" s="75">
        <v>1</v>
      </c>
      <c r="AE265" s="2461"/>
      <c r="AF265" s="68"/>
    </row>
    <row r="266" spans="1:32" x14ac:dyDescent="0.35">
      <c r="A266" s="2001"/>
      <c r="B266" s="997">
        <v>10628</v>
      </c>
      <c r="C266" s="997"/>
      <c r="D266" s="515"/>
      <c r="E266" s="949" t="s">
        <v>429</v>
      </c>
      <c r="F266" s="2899">
        <v>5</v>
      </c>
      <c r="G266" s="165">
        <v>5</v>
      </c>
      <c r="H266" s="166">
        <v>6</v>
      </c>
      <c r="I266" s="522"/>
      <c r="J266" s="524"/>
      <c r="K266" s="1570"/>
      <c r="L266" s="1570"/>
      <c r="M266" s="522"/>
      <c r="N266" s="522"/>
      <c r="O266" s="937"/>
      <c r="P266" s="986"/>
      <c r="Q266" s="941">
        <v>2.895</v>
      </c>
      <c r="R266" s="945"/>
      <c r="S266" s="1760"/>
      <c r="T266" s="1761"/>
      <c r="U266" s="1760"/>
      <c r="V266" s="1760"/>
      <c r="W266" s="1760"/>
      <c r="X266" s="1761"/>
      <c r="Y266" s="1760"/>
      <c r="Z266" s="2507"/>
      <c r="AA266" s="76"/>
      <c r="AB266" s="76"/>
      <c r="AE266" s="2461"/>
      <c r="AF266" s="68"/>
    </row>
    <row r="267" spans="1:32" x14ac:dyDescent="0.35">
      <c r="A267" s="2001"/>
      <c r="B267" s="997">
        <v>10628</v>
      </c>
      <c r="C267" s="997"/>
      <c r="D267" s="515"/>
      <c r="E267" s="948" t="s">
        <v>11469</v>
      </c>
      <c r="F267" s="165" t="s">
        <v>1490</v>
      </c>
      <c r="G267" s="165">
        <v>5</v>
      </c>
      <c r="H267" s="165">
        <v>6</v>
      </c>
      <c r="I267" s="522"/>
      <c r="J267" s="524"/>
      <c r="K267" s="1570"/>
      <c r="L267" s="1570"/>
      <c r="M267" s="522"/>
      <c r="N267" s="522"/>
      <c r="O267" s="937"/>
      <c r="P267" s="986"/>
      <c r="Q267" s="941"/>
      <c r="R267" s="945">
        <f>9.1-2.895</f>
        <v>6.2050000000000001</v>
      </c>
      <c r="S267" s="1760"/>
      <c r="T267" s="1761"/>
      <c r="U267" s="1760"/>
      <c r="V267" s="1760"/>
      <c r="W267" s="1760"/>
      <c r="X267" s="1761"/>
      <c r="Y267" s="1760"/>
      <c r="Z267" s="2507"/>
      <c r="AA267" s="75"/>
      <c r="AB267" s="75"/>
      <c r="AE267" s="2461"/>
      <c r="AF267" s="68"/>
    </row>
    <row r="268" spans="1:32" ht="30" x14ac:dyDescent="0.35">
      <c r="A268" s="2001">
        <v>107</v>
      </c>
      <c r="B268" s="997">
        <v>10628</v>
      </c>
      <c r="C268" s="997" t="s">
        <v>1656</v>
      </c>
      <c r="D268" s="2467" t="s">
        <v>4885</v>
      </c>
      <c r="E268" s="322" t="s">
        <v>8506</v>
      </c>
      <c r="F268" s="165" t="s">
        <v>1490</v>
      </c>
      <c r="G268" s="165">
        <v>5</v>
      </c>
      <c r="H268" s="165">
        <v>6</v>
      </c>
      <c r="I268" s="517">
        <f>J268+K268+L268</f>
        <v>2.5</v>
      </c>
      <c r="J268" s="518">
        <f>SUM(M268:R268)</f>
        <v>2.5</v>
      </c>
      <c r="K268" s="1570"/>
      <c r="L268" s="1570"/>
      <c r="M268" s="522"/>
      <c r="N268" s="522"/>
      <c r="O268" s="937"/>
      <c r="P268" s="986"/>
      <c r="Q268" s="941"/>
      <c r="R268" s="2373">
        <v>2.5</v>
      </c>
      <c r="S268" s="1760"/>
      <c r="T268" s="1761"/>
      <c r="U268" s="1760"/>
      <c r="V268" s="1760"/>
      <c r="W268" s="1760"/>
      <c r="X268" s="1761"/>
      <c r="Y268" s="1760"/>
      <c r="Z268" s="2507"/>
      <c r="AA268" s="75"/>
      <c r="AB268" s="75">
        <v>1</v>
      </c>
      <c r="AE268" s="2461"/>
      <c r="AF268" s="68"/>
    </row>
    <row r="269" spans="1:32" x14ac:dyDescent="0.35">
      <c r="A269" s="2001">
        <v>108</v>
      </c>
      <c r="B269" s="997">
        <v>10629</v>
      </c>
      <c r="C269" s="997"/>
      <c r="D269" s="515" t="s">
        <v>2971</v>
      </c>
      <c r="E269" s="516" t="s">
        <v>2449</v>
      </c>
      <c r="F269" s="165">
        <v>5</v>
      </c>
      <c r="G269" s="165">
        <v>5</v>
      </c>
      <c r="H269" s="165">
        <v>6</v>
      </c>
      <c r="I269" s="517">
        <f>J269+K269+L269</f>
        <v>2.1</v>
      </c>
      <c r="J269" s="518">
        <f>SUM(M269:R269)</f>
        <v>2.1</v>
      </c>
      <c r="K269" s="1569"/>
      <c r="L269" s="1569"/>
      <c r="M269" s="517"/>
      <c r="N269" s="517"/>
      <c r="O269" s="938"/>
      <c r="P269" s="987"/>
      <c r="Q269" s="942"/>
      <c r="R269" s="946">
        <v>2.1</v>
      </c>
      <c r="S269" s="1760"/>
      <c r="T269" s="1761"/>
      <c r="U269" s="1760"/>
      <c r="V269" s="1760"/>
      <c r="W269" s="1760">
        <v>4</v>
      </c>
      <c r="X269" s="1761">
        <v>42.7</v>
      </c>
      <c r="Y269" s="1760"/>
      <c r="Z269" s="2507"/>
      <c r="AA269" s="75"/>
      <c r="AB269" s="75">
        <v>1</v>
      </c>
      <c r="AE269" s="2461"/>
      <c r="AF269" s="68"/>
    </row>
    <row r="270" spans="1:32" ht="30" x14ac:dyDescent="0.35">
      <c r="A270" s="2001">
        <v>109</v>
      </c>
      <c r="B270" s="1040">
        <v>10629</v>
      </c>
      <c r="C270" s="693" t="s">
        <v>1656</v>
      </c>
      <c r="D270" s="2467" t="s">
        <v>4886</v>
      </c>
      <c r="E270" s="322" t="s">
        <v>8507</v>
      </c>
      <c r="F270" s="92" t="s">
        <v>664</v>
      </c>
      <c r="G270" s="92">
        <v>5</v>
      </c>
      <c r="H270" s="165">
        <v>6</v>
      </c>
      <c r="I270" s="1924">
        <f>J270+K270+L270</f>
        <v>0.7</v>
      </c>
      <c r="J270" s="1924">
        <f>SUM(M270:R270)</f>
        <v>0.7</v>
      </c>
      <c r="K270" s="622"/>
      <c r="L270" s="622"/>
      <c r="M270" s="622"/>
      <c r="N270" s="622"/>
      <c r="O270" s="622"/>
      <c r="P270" s="622"/>
      <c r="Q270" s="913"/>
      <c r="R270" s="906">
        <v>0.7</v>
      </c>
      <c r="S270" s="1571"/>
      <c r="T270" s="1571"/>
      <c r="U270" s="1571"/>
      <c r="V270" s="1571"/>
      <c r="W270" s="1760"/>
      <c r="X270" s="1761"/>
      <c r="Y270" s="1760"/>
      <c r="Z270" s="2507"/>
      <c r="AB270" s="3">
        <v>1</v>
      </c>
      <c r="AE270" s="2461"/>
      <c r="AF270" s="68"/>
    </row>
    <row r="271" spans="1:32" ht="30" x14ac:dyDescent="0.35">
      <c r="A271" s="2001">
        <v>110</v>
      </c>
      <c r="B271" s="997">
        <v>10630</v>
      </c>
      <c r="C271" s="997"/>
      <c r="D271" s="515" t="s">
        <v>2972</v>
      </c>
      <c r="E271" s="516" t="s">
        <v>7720</v>
      </c>
      <c r="F271" s="165" t="s">
        <v>1490</v>
      </c>
      <c r="G271" s="165">
        <v>5</v>
      </c>
      <c r="H271" s="165">
        <v>6</v>
      </c>
      <c r="I271" s="517">
        <f>J271+K271+L271</f>
        <v>0.88</v>
      </c>
      <c r="J271" s="518">
        <f>SUM(M271:R271)</f>
        <v>0.88</v>
      </c>
      <c r="K271" s="1569"/>
      <c r="L271" s="1569"/>
      <c r="M271" s="517"/>
      <c r="N271" s="517"/>
      <c r="O271" s="938"/>
      <c r="P271" s="987"/>
      <c r="Q271" s="942"/>
      <c r="R271" s="946">
        <v>0.88</v>
      </c>
      <c r="S271" s="1760"/>
      <c r="T271" s="1761"/>
      <c r="U271" s="1760"/>
      <c r="V271" s="1760"/>
      <c r="W271" s="1760">
        <v>1</v>
      </c>
      <c r="X271" s="1761">
        <v>12.6</v>
      </c>
      <c r="Y271" s="1760"/>
      <c r="Z271" s="2507"/>
      <c r="AA271" s="75"/>
      <c r="AB271" s="75">
        <v>1</v>
      </c>
      <c r="AE271" s="2461"/>
      <c r="AF271" s="68"/>
    </row>
    <row r="272" spans="1:32" x14ac:dyDescent="0.35">
      <c r="A272" s="2001">
        <v>111</v>
      </c>
      <c r="B272" s="997">
        <v>10631</v>
      </c>
      <c r="C272" s="997"/>
      <c r="D272" s="515" t="s">
        <v>2973</v>
      </c>
      <c r="E272" s="516" t="s">
        <v>7135</v>
      </c>
      <c r="F272" s="2289"/>
      <c r="G272" s="2289" t="s">
        <v>191</v>
      </c>
      <c r="H272" s="166" t="s">
        <v>191</v>
      </c>
      <c r="I272" s="517">
        <f>J272+K272+L272</f>
        <v>3.2730000000000001</v>
      </c>
      <c r="J272" s="518">
        <f>SUM(M272:R272)</f>
        <v>3.2730000000000001</v>
      </c>
      <c r="K272" s="1569"/>
      <c r="L272" s="1569"/>
      <c r="M272" s="518"/>
      <c r="N272" s="518">
        <f>SUM(N273:N275)</f>
        <v>2.5</v>
      </c>
      <c r="O272" s="611"/>
      <c r="P272" s="967"/>
      <c r="Q272" s="888">
        <f>SUM(Q273:Q275)</f>
        <v>0.77300000000000002</v>
      </c>
      <c r="R272" s="886"/>
      <c r="S272" s="1760"/>
      <c r="T272" s="1761"/>
      <c r="U272" s="1760"/>
      <c r="V272" s="1760"/>
      <c r="W272" s="1760">
        <v>6</v>
      </c>
      <c r="X272" s="1761">
        <v>94</v>
      </c>
      <c r="Y272" s="1760"/>
      <c r="Z272" s="2507"/>
      <c r="AA272" s="75"/>
      <c r="AB272" s="75">
        <v>1</v>
      </c>
      <c r="AE272" s="2461"/>
      <c r="AF272" s="68"/>
    </row>
    <row r="273" spans="1:32" x14ac:dyDescent="0.35">
      <c r="A273" s="2002"/>
      <c r="B273" s="997">
        <v>10631</v>
      </c>
      <c r="C273" s="997"/>
      <c r="D273" s="521"/>
      <c r="E273" s="949" t="s">
        <v>2490</v>
      </c>
      <c r="F273" s="2289">
        <v>4</v>
      </c>
      <c r="G273" s="2289">
        <v>5</v>
      </c>
      <c r="H273" s="166">
        <v>6</v>
      </c>
      <c r="I273" s="522"/>
      <c r="J273" s="522"/>
      <c r="K273" s="1570"/>
      <c r="L273" s="1570"/>
      <c r="M273" s="522"/>
      <c r="N273" s="522"/>
      <c r="O273" s="937"/>
      <c r="P273" s="986"/>
      <c r="Q273" s="941">
        <v>0.5</v>
      </c>
      <c r="R273" s="945"/>
      <c r="S273" s="1762"/>
      <c r="T273" s="1763"/>
      <c r="U273" s="1762"/>
      <c r="V273" s="1762"/>
      <c r="W273" s="1760"/>
      <c r="X273" s="1761"/>
      <c r="Y273" s="1760"/>
      <c r="Z273" s="2507"/>
      <c r="AA273" s="75"/>
      <c r="AB273" s="75"/>
      <c r="AE273" s="2461"/>
      <c r="AF273" s="68"/>
    </row>
    <row r="274" spans="1:32" x14ac:dyDescent="0.35">
      <c r="A274" s="2002"/>
      <c r="B274" s="997">
        <v>10631</v>
      </c>
      <c r="C274" s="997"/>
      <c r="D274" s="521"/>
      <c r="E274" s="519" t="s">
        <v>2450</v>
      </c>
      <c r="F274" s="2289">
        <v>4</v>
      </c>
      <c r="G274" s="2289">
        <v>5</v>
      </c>
      <c r="H274" s="166">
        <v>6</v>
      </c>
      <c r="I274" s="522"/>
      <c r="J274" s="522"/>
      <c r="K274" s="1570"/>
      <c r="L274" s="1570"/>
      <c r="M274" s="522"/>
      <c r="N274" s="522">
        <v>2.5</v>
      </c>
      <c r="O274" s="937"/>
      <c r="P274" s="986"/>
      <c r="Q274" s="941"/>
      <c r="R274" s="945"/>
      <c r="S274" s="1762"/>
      <c r="T274" s="1763"/>
      <c r="U274" s="1762"/>
      <c r="V274" s="1762"/>
      <c r="W274" s="1760"/>
      <c r="X274" s="1761"/>
      <c r="Y274" s="1760"/>
      <c r="Z274" s="2507"/>
      <c r="AA274" s="75"/>
      <c r="AB274" s="75"/>
      <c r="AE274" s="2461"/>
      <c r="AF274" s="68"/>
    </row>
    <row r="275" spans="1:32" x14ac:dyDescent="0.35">
      <c r="A275" s="2002"/>
      <c r="B275" s="997">
        <v>10631</v>
      </c>
      <c r="C275" s="997"/>
      <c r="D275" s="521"/>
      <c r="E275" s="949" t="s">
        <v>2451</v>
      </c>
      <c r="F275" s="2289">
        <v>4</v>
      </c>
      <c r="G275" s="2289">
        <v>5</v>
      </c>
      <c r="H275" s="166">
        <v>6</v>
      </c>
      <c r="I275" s="522"/>
      <c r="J275" s="522"/>
      <c r="K275" s="1570"/>
      <c r="L275" s="1570"/>
      <c r="M275" s="522"/>
      <c r="N275" s="522"/>
      <c r="O275" s="937"/>
      <c r="P275" s="986"/>
      <c r="Q275" s="941">
        <v>0.27300000000000002</v>
      </c>
      <c r="R275" s="945"/>
      <c r="S275" s="1762"/>
      <c r="T275" s="1763"/>
      <c r="U275" s="1762"/>
      <c r="V275" s="1762"/>
      <c r="W275" s="1760"/>
      <c r="X275" s="1761"/>
      <c r="Y275" s="1760"/>
      <c r="Z275" s="2507"/>
      <c r="AA275" s="76"/>
      <c r="AB275" s="76"/>
      <c r="AE275" s="2461"/>
      <c r="AF275" s="68"/>
    </row>
    <row r="276" spans="1:32" x14ac:dyDescent="0.35">
      <c r="A276" s="2001">
        <v>112</v>
      </c>
      <c r="B276" s="997">
        <v>10632</v>
      </c>
      <c r="C276" s="997"/>
      <c r="D276" s="515" t="s">
        <v>2974</v>
      </c>
      <c r="E276" s="516" t="s">
        <v>2328</v>
      </c>
      <c r="F276" s="165">
        <v>5</v>
      </c>
      <c r="G276" s="165">
        <v>5</v>
      </c>
      <c r="H276" s="166">
        <v>6</v>
      </c>
      <c r="I276" s="517">
        <f>J276+K276+L276</f>
        <v>1.7</v>
      </c>
      <c r="J276" s="518">
        <f>SUM(M276:R276)</f>
        <v>1.7</v>
      </c>
      <c r="K276" s="1569"/>
      <c r="L276" s="1569"/>
      <c r="M276" s="517"/>
      <c r="N276" s="517"/>
      <c r="O276" s="938"/>
      <c r="P276" s="987"/>
      <c r="Q276" s="942">
        <v>1.7</v>
      </c>
      <c r="R276" s="946"/>
      <c r="S276" s="1760"/>
      <c r="T276" s="1761"/>
      <c r="U276" s="1760"/>
      <c r="V276" s="1760"/>
      <c r="W276" s="1760">
        <v>3</v>
      </c>
      <c r="X276" s="1761">
        <f>26.3+8</f>
        <v>34.299999999999997</v>
      </c>
      <c r="Y276" s="1760">
        <v>1</v>
      </c>
      <c r="Z276" s="2507">
        <f>7+3</f>
        <v>10</v>
      </c>
      <c r="AA276" s="76"/>
      <c r="AB276" s="75">
        <v>1</v>
      </c>
      <c r="AE276" s="2461"/>
      <c r="AF276" s="68"/>
    </row>
    <row r="277" spans="1:32" x14ac:dyDescent="0.35">
      <c r="A277" s="2001">
        <v>113</v>
      </c>
      <c r="B277" s="997">
        <v>10633</v>
      </c>
      <c r="C277" s="997"/>
      <c r="D277" s="515" t="s">
        <v>2975</v>
      </c>
      <c r="E277" s="516" t="s">
        <v>2883</v>
      </c>
      <c r="F277" s="165"/>
      <c r="G277" s="2289" t="s">
        <v>191</v>
      </c>
      <c r="H277" s="166" t="s">
        <v>191</v>
      </c>
      <c r="I277" s="517">
        <f>J277+K277+L277</f>
        <v>2.3450000000000002</v>
      </c>
      <c r="J277" s="518">
        <f>SUM(M277:R277)</f>
        <v>2.3450000000000002</v>
      </c>
      <c r="K277" s="1569"/>
      <c r="L277" s="1569"/>
      <c r="M277" s="518"/>
      <c r="N277" s="2011">
        <f>SUM(N278:N280)</f>
        <v>0.28999999999999998</v>
      </c>
      <c r="O277" s="611"/>
      <c r="P277" s="967"/>
      <c r="Q277" s="888">
        <f>SUM(Q278:Q280)</f>
        <v>1.4949999999999999</v>
      </c>
      <c r="R277" s="886">
        <f>SUM(R278:R280)</f>
        <v>0.56000000000000028</v>
      </c>
      <c r="S277" s="1760">
        <v>1</v>
      </c>
      <c r="T277" s="1761">
        <v>28</v>
      </c>
      <c r="U277" s="1764"/>
      <c r="V277" s="1764"/>
      <c r="W277" s="1760">
        <v>5</v>
      </c>
      <c r="X277" s="1761">
        <v>54</v>
      </c>
      <c r="Y277" s="1760"/>
      <c r="Z277" s="2507"/>
      <c r="AA277" s="76"/>
      <c r="AB277" s="75">
        <v>1</v>
      </c>
      <c r="AE277" s="2461"/>
      <c r="AF277" s="68"/>
    </row>
    <row r="278" spans="1:32" x14ac:dyDescent="0.35">
      <c r="A278" s="2001"/>
      <c r="B278" s="997"/>
      <c r="C278" s="997"/>
      <c r="D278" s="515"/>
      <c r="E278" s="523" t="s">
        <v>91</v>
      </c>
      <c r="F278" s="165">
        <v>5</v>
      </c>
      <c r="G278" s="2289">
        <v>5</v>
      </c>
      <c r="H278" s="166">
        <v>6</v>
      </c>
      <c r="I278" s="517"/>
      <c r="J278" s="518"/>
      <c r="K278" s="1569"/>
      <c r="L278" s="1569"/>
      <c r="M278" s="518"/>
      <c r="N278" s="2017">
        <v>0.28999999999999998</v>
      </c>
      <c r="O278" s="611"/>
      <c r="P278" s="967"/>
      <c r="Q278" s="888"/>
      <c r="R278" s="886"/>
      <c r="S278" s="1760"/>
      <c r="T278" s="1761"/>
      <c r="U278" s="1764"/>
      <c r="V278" s="1764"/>
      <c r="W278" s="1760"/>
      <c r="X278" s="1761"/>
      <c r="Y278" s="1760"/>
      <c r="Z278" s="2507"/>
      <c r="AA278" s="76"/>
      <c r="AB278" s="75"/>
      <c r="AE278" s="2461"/>
      <c r="AF278" s="68"/>
    </row>
    <row r="279" spans="1:32" x14ac:dyDescent="0.35">
      <c r="A279" s="2001"/>
      <c r="B279" s="997">
        <v>10633</v>
      </c>
      <c r="C279" s="997"/>
      <c r="D279" s="515"/>
      <c r="E279" s="949" t="s">
        <v>11278</v>
      </c>
      <c r="F279" s="165">
        <v>5</v>
      </c>
      <c r="G279" s="2289">
        <v>5</v>
      </c>
      <c r="H279" s="166">
        <v>6</v>
      </c>
      <c r="I279" s="517"/>
      <c r="J279" s="518"/>
      <c r="K279" s="1569"/>
      <c r="L279" s="1569"/>
      <c r="M279" s="518"/>
      <c r="N279" s="518"/>
      <c r="O279" s="611"/>
      <c r="P279" s="967"/>
      <c r="Q279" s="2370">
        <f>1.785-0.29</f>
        <v>1.4949999999999999</v>
      </c>
      <c r="R279" s="886"/>
      <c r="S279" s="1760"/>
      <c r="T279" s="1761"/>
      <c r="U279" s="1764"/>
      <c r="V279" s="1764"/>
      <c r="W279" s="1760"/>
      <c r="X279" s="1761"/>
      <c r="Y279" s="1760"/>
      <c r="Z279" s="2507"/>
      <c r="AA279" s="76"/>
      <c r="AB279" s="75"/>
      <c r="AE279" s="2461"/>
      <c r="AF279" s="68"/>
    </row>
    <row r="280" spans="1:32" x14ac:dyDescent="0.35">
      <c r="A280" s="2001"/>
      <c r="B280" s="997">
        <v>10633</v>
      </c>
      <c r="C280" s="997"/>
      <c r="D280" s="515"/>
      <c r="E280" s="948" t="s">
        <v>3007</v>
      </c>
      <c r="F280" s="165" t="s">
        <v>827</v>
      </c>
      <c r="G280" s="2289">
        <v>5</v>
      </c>
      <c r="H280" s="165">
        <v>6</v>
      </c>
      <c r="I280" s="517"/>
      <c r="J280" s="518"/>
      <c r="K280" s="1569"/>
      <c r="L280" s="1569"/>
      <c r="M280" s="518"/>
      <c r="N280" s="518"/>
      <c r="O280" s="611"/>
      <c r="P280" s="967"/>
      <c r="Q280" s="888"/>
      <c r="R280" s="2019">
        <f>2.345-1.785</f>
        <v>0.56000000000000028</v>
      </c>
      <c r="S280" s="1760"/>
      <c r="T280" s="1761"/>
      <c r="U280" s="1764"/>
      <c r="V280" s="1764"/>
      <c r="W280" s="1760"/>
      <c r="X280" s="1761"/>
      <c r="Y280" s="1760"/>
      <c r="Z280" s="2507"/>
      <c r="AA280" s="76"/>
      <c r="AB280" s="75"/>
      <c r="AE280" s="2461"/>
      <c r="AF280" s="68"/>
    </row>
    <row r="281" spans="1:32" x14ac:dyDescent="0.35">
      <c r="A281" s="2001">
        <v>114</v>
      </c>
      <c r="B281" s="997">
        <v>10634</v>
      </c>
      <c r="C281" s="997"/>
      <c r="D281" s="515" t="s">
        <v>1517</v>
      </c>
      <c r="E281" s="516" t="s">
        <v>1162</v>
      </c>
      <c r="F281" s="165" t="s">
        <v>827</v>
      </c>
      <c r="G281" s="165">
        <v>5</v>
      </c>
      <c r="H281" s="165">
        <v>6</v>
      </c>
      <c r="I281" s="517">
        <f>J281+K281+L281</f>
        <v>3.84</v>
      </c>
      <c r="J281" s="518">
        <f>SUM(M281:R281)</f>
        <v>3.84</v>
      </c>
      <c r="K281" s="1569"/>
      <c r="L281" s="1569"/>
      <c r="M281" s="517"/>
      <c r="N281" s="517"/>
      <c r="O281" s="938"/>
      <c r="P281" s="987"/>
      <c r="Q281" s="942"/>
      <c r="R281" s="946">
        <v>3.84</v>
      </c>
      <c r="S281" s="1760"/>
      <c r="T281" s="1761"/>
      <c r="U281" s="1760"/>
      <c r="V281" s="1760"/>
      <c r="W281" s="1760">
        <v>2</v>
      </c>
      <c r="X281" s="1761">
        <v>24.6</v>
      </c>
      <c r="Y281" s="1760"/>
      <c r="Z281" s="2507"/>
      <c r="AA281" s="75"/>
      <c r="AB281" s="75">
        <v>1</v>
      </c>
      <c r="AE281" s="2461"/>
      <c r="AF281" s="68"/>
    </row>
    <row r="282" spans="1:32" ht="30" x14ac:dyDescent="0.35">
      <c r="A282" s="2001">
        <v>115</v>
      </c>
      <c r="B282" s="1040">
        <v>10634</v>
      </c>
      <c r="C282" s="693" t="s">
        <v>1656</v>
      </c>
      <c r="D282" s="2467" t="s">
        <v>4887</v>
      </c>
      <c r="E282" s="322" t="s">
        <v>8508</v>
      </c>
      <c r="F282" s="92" t="s">
        <v>664</v>
      </c>
      <c r="G282" s="92">
        <v>5</v>
      </c>
      <c r="H282" s="165">
        <v>6</v>
      </c>
      <c r="I282" s="1924">
        <f>J282+K282+L282</f>
        <v>0.34</v>
      </c>
      <c r="J282" s="1924">
        <f>SUM(M282:R282)</f>
        <v>0.34</v>
      </c>
      <c r="K282" s="622"/>
      <c r="L282" s="622"/>
      <c r="M282" s="622"/>
      <c r="N282" s="622"/>
      <c r="O282" s="622"/>
      <c r="P282" s="622"/>
      <c r="Q282" s="913"/>
      <c r="R282" s="906">
        <v>0.34</v>
      </c>
      <c r="S282" s="1571"/>
      <c r="T282" s="1571"/>
      <c r="U282" s="1571"/>
      <c r="V282" s="1571"/>
      <c r="W282" s="1760"/>
      <c r="X282" s="1761"/>
      <c r="Y282" s="1760"/>
      <c r="Z282" s="2507"/>
      <c r="AB282" s="3">
        <v>1</v>
      </c>
      <c r="AE282" s="2461"/>
      <c r="AF282" s="68"/>
    </row>
    <row r="283" spans="1:32" ht="30" x14ac:dyDescent="0.35">
      <c r="A283" s="2001">
        <v>116</v>
      </c>
      <c r="B283" s="997">
        <v>10635</v>
      </c>
      <c r="C283" s="997"/>
      <c r="D283" s="515" t="s">
        <v>2976</v>
      </c>
      <c r="E283" s="516" t="s">
        <v>156</v>
      </c>
      <c r="F283" s="2289"/>
      <c r="G283" s="2289" t="s">
        <v>191</v>
      </c>
      <c r="H283" s="166" t="s">
        <v>191</v>
      </c>
      <c r="I283" s="517">
        <f>J283+K283+L283</f>
        <v>6.19</v>
      </c>
      <c r="J283" s="518">
        <f>SUM(M283:R283)</f>
        <v>6.19</v>
      </c>
      <c r="K283" s="1569"/>
      <c r="L283" s="1569"/>
      <c r="M283" s="518"/>
      <c r="N283" s="518"/>
      <c r="O283" s="611"/>
      <c r="P283" s="967"/>
      <c r="Q283" s="888">
        <f>SUM(Q284:Q287)</f>
        <v>4.04</v>
      </c>
      <c r="R283" s="886">
        <f>SUM(R284:R287)</f>
        <v>2.1500000000000004</v>
      </c>
      <c r="S283" s="1760"/>
      <c r="T283" s="1761"/>
      <c r="U283" s="1760"/>
      <c r="V283" s="1760"/>
      <c r="W283" s="1760">
        <v>3</v>
      </c>
      <c r="X283" s="1761">
        <v>40.200000000000003</v>
      </c>
      <c r="Y283" s="1760"/>
      <c r="Z283" s="2507"/>
      <c r="AA283" s="75"/>
      <c r="AB283" s="75">
        <v>1</v>
      </c>
      <c r="AE283" s="2461"/>
      <c r="AF283" s="68"/>
    </row>
    <row r="284" spans="1:32" x14ac:dyDescent="0.35">
      <c r="A284" s="2002"/>
      <c r="B284" s="997">
        <v>10635</v>
      </c>
      <c r="C284" s="997"/>
      <c r="D284" s="521"/>
      <c r="E284" s="949" t="s">
        <v>1738</v>
      </c>
      <c r="F284" s="165">
        <v>5</v>
      </c>
      <c r="G284" s="165">
        <v>5</v>
      </c>
      <c r="H284" s="166">
        <v>6</v>
      </c>
      <c r="I284" s="522"/>
      <c r="J284" s="522"/>
      <c r="K284" s="1570"/>
      <c r="L284" s="1570"/>
      <c r="M284" s="522"/>
      <c r="N284" s="522"/>
      <c r="O284" s="937"/>
      <c r="P284" s="986"/>
      <c r="Q284" s="941">
        <v>1.7</v>
      </c>
      <c r="R284" s="945"/>
      <c r="S284" s="1762"/>
      <c r="T284" s="1763"/>
      <c r="U284" s="1762"/>
      <c r="V284" s="1762"/>
      <c r="W284" s="1760"/>
      <c r="X284" s="1761"/>
      <c r="Y284" s="1760"/>
      <c r="Z284" s="2507"/>
      <c r="AA284" s="75"/>
      <c r="AB284" s="75"/>
      <c r="AE284" s="2461"/>
      <c r="AF284" s="68"/>
    </row>
    <row r="285" spans="1:32" x14ac:dyDescent="0.35">
      <c r="A285" s="2002"/>
      <c r="B285" s="997">
        <v>10635</v>
      </c>
      <c r="C285" s="997"/>
      <c r="D285" s="521"/>
      <c r="E285" s="949" t="s">
        <v>389</v>
      </c>
      <c r="F285" s="165" t="s">
        <v>1490</v>
      </c>
      <c r="G285" s="165">
        <v>5</v>
      </c>
      <c r="H285" s="166">
        <v>6</v>
      </c>
      <c r="I285" s="522"/>
      <c r="J285" s="522"/>
      <c r="K285" s="1570"/>
      <c r="L285" s="1570"/>
      <c r="M285" s="522"/>
      <c r="N285" s="522"/>
      <c r="O285" s="937"/>
      <c r="P285" s="986"/>
      <c r="Q285" s="941">
        <f>2.3-1.7</f>
        <v>0.59999999999999987</v>
      </c>
      <c r="R285" s="945"/>
      <c r="S285" s="1762"/>
      <c r="T285" s="1763"/>
      <c r="U285" s="1762"/>
      <c r="V285" s="1762"/>
      <c r="W285" s="1760"/>
      <c r="X285" s="1761"/>
      <c r="Y285" s="1760"/>
      <c r="Z285" s="2507"/>
      <c r="AA285" s="75"/>
      <c r="AB285" s="75"/>
      <c r="AE285" s="2461"/>
      <c r="AF285" s="68"/>
    </row>
    <row r="286" spans="1:32" x14ac:dyDescent="0.35">
      <c r="A286" s="2002"/>
      <c r="B286" s="997">
        <v>10635</v>
      </c>
      <c r="C286" s="997"/>
      <c r="D286" s="521"/>
      <c r="E286" s="948" t="s">
        <v>483</v>
      </c>
      <c r="F286" s="165" t="s">
        <v>827</v>
      </c>
      <c r="G286" s="165">
        <v>5</v>
      </c>
      <c r="H286" s="165">
        <v>6</v>
      </c>
      <c r="I286" s="522"/>
      <c r="J286" s="522"/>
      <c r="K286" s="1570"/>
      <c r="L286" s="1570"/>
      <c r="M286" s="522"/>
      <c r="N286" s="522"/>
      <c r="O286" s="937"/>
      <c r="P286" s="986"/>
      <c r="Q286" s="941"/>
      <c r="R286" s="945">
        <f>4.45-2.3</f>
        <v>2.1500000000000004</v>
      </c>
      <c r="S286" s="1762"/>
      <c r="T286" s="1763"/>
      <c r="U286" s="1762"/>
      <c r="V286" s="1762"/>
      <c r="W286" s="1760"/>
      <c r="X286" s="1761"/>
      <c r="Y286" s="1760"/>
      <c r="Z286" s="2507"/>
      <c r="AA286" s="75"/>
      <c r="AB286" s="75"/>
      <c r="AE286" s="2461"/>
      <c r="AF286" s="68"/>
    </row>
    <row r="287" spans="1:32" x14ac:dyDescent="0.35">
      <c r="A287" s="2002"/>
      <c r="B287" s="997">
        <v>10635</v>
      </c>
      <c r="C287" s="997"/>
      <c r="D287" s="521"/>
      <c r="E287" s="949" t="s">
        <v>157</v>
      </c>
      <c r="F287" s="165">
        <v>5</v>
      </c>
      <c r="G287" s="165">
        <v>5</v>
      </c>
      <c r="H287" s="166">
        <v>6</v>
      </c>
      <c r="I287" s="522"/>
      <c r="J287" s="522"/>
      <c r="K287" s="1570"/>
      <c r="L287" s="1570"/>
      <c r="M287" s="522"/>
      <c r="N287" s="522"/>
      <c r="O287" s="937"/>
      <c r="P287" s="986"/>
      <c r="Q287" s="941">
        <f>6.19-4.45</f>
        <v>1.7400000000000002</v>
      </c>
      <c r="R287" s="945"/>
      <c r="S287" s="1762"/>
      <c r="T287" s="1763"/>
      <c r="U287" s="1762"/>
      <c r="V287" s="1762"/>
      <c r="W287" s="1760"/>
      <c r="X287" s="1761"/>
      <c r="Y287" s="1760"/>
      <c r="Z287" s="2507"/>
      <c r="AA287" s="75"/>
      <c r="AB287" s="75"/>
      <c r="AE287" s="2461"/>
      <c r="AF287" s="68"/>
    </row>
    <row r="288" spans="1:32" ht="45" x14ac:dyDescent="0.35">
      <c r="A288" s="2111">
        <v>117</v>
      </c>
      <c r="B288" s="515">
        <v>10635</v>
      </c>
      <c r="C288" s="515"/>
      <c r="D288" s="2467" t="s">
        <v>4888</v>
      </c>
      <c r="E288" s="516" t="s">
        <v>7721</v>
      </c>
      <c r="F288" s="165"/>
      <c r="G288" s="165" t="s">
        <v>191</v>
      </c>
      <c r="H288" s="166" t="s">
        <v>191</v>
      </c>
      <c r="I288" s="517">
        <f>J288+K288+L288</f>
        <v>1.3</v>
      </c>
      <c r="J288" s="518">
        <f>SUM(M288:R288)</f>
        <v>1.3</v>
      </c>
      <c r="K288" s="1569"/>
      <c r="L288" s="1569"/>
      <c r="M288" s="517"/>
      <c r="N288" s="517"/>
      <c r="O288" s="938"/>
      <c r="P288" s="987"/>
      <c r="Q288" s="942">
        <f>SUM(Q289:Q291)</f>
        <v>1.2</v>
      </c>
      <c r="R288" s="946">
        <f>SUM(R289:R291)</f>
        <v>0.1</v>
      </c>
      <c r="S288" s="1760"/>
      <c r="T288" s="1761"/>
      <c r="U288" s="1760"/>
      <c r="V288" s="1760"/>
      <c r="W288" s="1760">
        <v>1</v>
      </c>
      <c r="X288" s="1761">
        <v>17.600000000000001</v>
      </c>
      <c r="Y288" s="1760"/>
      <c r="Z288" s="2507"/>
      <c r="AA288" s="76"/>
      <c r="AB288" s="75">
        <v>1</v>
      </c>
      <c r="AE288" s="2461"/>
      <c r="AF288" s="68"/>
    </row>
    <row r="289" spans="1:32" x14ac:dyDescent="0.35">
      <c r="A289" s="2111"/>
      <c r="B289" s="515">
        <v>10635</v>
      </c>
      <c r="C289" s="515"/>
      <c r="D289" s="515"/>
      <c r="E289" s="949" t="s">
        <v>782</v>
      </c>
      <c r="F289" s="165">
        <v>5</v>
      </c>
      <c r="G289" s="165">
        <v>5</v>
      </c>
      <c r="H289" s="166">
        <v>6</v>
      </c>
      <c r="I289" s="522"/>
      <c r="J289" s="524"/>
      <c r="K289" s="1570"/>
      <c r="L289" s="1570"/>
      <c r="M289" s="522"/>
      <c r="N289" s="522"/>
      <c r="O289" s="937"/>
      <c r="P289" s="986"/>
      <c r="Q289" s="941">
        <v>0.75</v>
      </c>
      <c r="R289" s="945"/>
      <c r="S289" s="1760"/>
      <c r="T289" s="1761"/>
      <c r="U289" s="1760"/>
      <c r="V289" s="1760"/>
      <c r="W289" s="1760"/>
      <c r="X289" s="1761"/>
      <c r="Y289" s="1760"/>
      <c r="Z289" s="2507"/>
      <c r="AA289" s="76"/>
      <c r="AB289" s="76"/>
      <c r="AE289" s="2461"/>
      <c r="AF289" s="68"/>
    </row>
    <row r="290" spans="1:32" x14ac:dyDescent="0.35">
      <c r="A290" s="2111"/>
      <c r="B290" s="515">
        <v>10635</v>
      </c>
      <c r="C290" s="515"/>
      <c r="D290" s="515"/>
      <c r="E290" s="949" t="s">
        <v>392</v>
      </c>
      <c r="F290" s="165" t="s">
        <v>1490</v>
      </c>
      <c r="G290" s="165">
        <v>5</v>
      </c>
      <c r="H290" s="166">
        <v>6</v>
      </c>
      <c r="I290" s="522"/>
      <c r="J290" s="524"/>
      <c r="K290" s="1570"/>
      <c r="L290" s="1570"/>
      <c r="M290" s="522"/>
      <c r="N290" s="522"/>
      <c r="O290" s="937"/>
      <c r="P290" s="986"/>
      <c r="Q290" s="941">
        <f>1.2-0.75</f>
        <v>0.44999999999999996</v>
      </c>
      <c r="R290" s="945"/>
      <c r="S290" s="1760"/>
      <c r="T290" s="1761"/>
      <c r="U290" s="1760"/>
      <c r="V290" s="1760"/>
      <c r="W290" s="1760"/>
      <c r="X290" s="1761"/>
      <c r="Y290" s="1760"/>
      <c r="Z290" s="2507"/>
      <c r="AA290" s="76"/>
      <c r="AB290" s="76"/>
      <c r="AE290" s="2461"/>
      <c r="AF290" s="68"/>
    </row>
    <row r="291" spans="1:32" x14ac:dyDescent="0.35">
      <c r="A291" s="2111"/>
      <c r="B291" s="515">
        <v>10635</v>
      </c>
      <c r="C291" s="515"/>
      <c r="D291" s="515"/>
      <c r="E291" s="948" t="s">
        <v>1539</v>
      </c>
      <c r="F291" s="165" t="s">
        <v>827</v>
      </c>
      <c r="G291" s="165">
        <v>5</v>
      </c>
      <c r="H291" s="165">
        <v>6</v>
      </c>
      <c r="I291" s="522"/>
      <c r="J291" s="524"/>
      <c r="K291" s="1570"/>
      <c r="L291" s="1570"/>
      <c r="M291" s="522"/>
      <c r="N291" s="522"/>
      <c r="O291" s="937"/>
      <c r="P291" s="986"/>
      <c r="Q291" s="941"/>
      <c r="R291" s="945">
        <v>0.1</v>
      </c>
      <c r="S291" s="1760"/>
      <c r="T291" s="1761"/>
      <c r="U291" s="1760"/>
      <c r="V291" s="1760"/>
      <c r="W291" s="1760"/>
      <c r="X291" s="1761"/>
      <c r="Y291" s="1760"/>
      <c r="Z291" s="2507"/>
      <c r="AA291" s="76"/>
      <c r="AB291" s="76"/>
      <c r="AE291" s="2461"/>
      <c r="AF291" s="68"/>
    </row>
    <row r="292" spans="1:32" x14ac:dyDescent="0.35">
      <c r="A292" s="2111">
        <v>118</v>
      </c>
      <c r="B292" s="515">
        <v>10636</v>
      </c>
      <c r="C292" s="515"/>
      <c r="D292" s="515" t="s">
        <v>2977</v>
      </c>
      <c r="E292" s="516" t="s">
        <v>7137</v>
      </c>
      <c r="F292" s="2289"/>
      <c r="G292" s="2289" t="s">
        <v>191</v>
      </c>
      <c r="H292" s="166" t="s">
        <v>191</v>
      </c>
      <c r="I292" s="517">
        <f>J292+K292+L292</f>
        <v>2.08</v>
      </c>
      <c r="J292" s="518">
        <f>SUM(M292:R292)</f>
        <v>2.08</v>
      </c>
      <c r="K292" s="1569"/>
      <c r="L292" s="1569"/>
      <c r="M292" s="518"/>
      <c r="N292" s="518"/>
      <c r="O292" s="611"/>
      <c r="P292" s="967"/>
      <c r="Q292" s="888">
        <f>SUM(Q293:Q294)</f>
        <v>1.82</v>
      </c>
      <c r="R292" s="886">
        <f>SUM(R293:R294)</f>
        <v>0.26</v>
      </c>
      <c r="S292" s="1760"/>
      <c r="T292" s="1761"/>
      <c r="U292" s="1760"/>
      <c r="V292" s="1760"/>
      <c r="W292" s="1760">
        <v>7</v>
      </c>
      <c r="X292" s="1761">
        <v>87.2</v>
      </c>
      <c r="Y292" s="1760">
        <v>3</v>
      </c>
      <c r="Z292" s="2507">
        <v>31.2</v>
      </c>
      <c r="AA292" s="76"/>
      <c r="AB292" s="75">
        <v>1</v>
      </c>
      <c r="AE292" s="2461"/>
      <c r="AF292" s="68"/>
    </row>
    <row r="293" spans="1:32" x14ac:dyDescent="0.35">
      <c r="A293" s="2112"/>
      <c r="B293" s="515">
        <v>10636</v>
      </c>
      <c r="C293" s="515"/>
      <c r="D293" s="521"/>
      <c r="E293" s="949" t="s">
        <v>489</v>
      </c>
      <c r="F293" s="2289">
        <v>5</v>
      </c>
      <c r="G293" s="2289">
        <v>5</v>
      </c>
      <c r="H293" s="166">
        <v>6</v>
      </c>
      <c r="I293" s="522"/>
      <c r="J293" s="522"/>
      <c r="K293" s="1570"/>
      <c r="L293" s="1570"/>
      <c r="M293" s="522"/>
      <c r="N293" s="522"/>
      <c r="O293" s="937"/>
      <c r="P293" s="986"/>
      <c r="Q293" s="941">
        <v>1.82</v>
      </c>
      <c r="R293" s="945"/>
      <c r="S293" s="1762"/>
      <c r="T293" s="1763"/>
      <c r="U293" s="1762"/>
      <c r="V293" s="1762"/>
      <c r="W293" s="1760"/>
      <c r="X293" s="1761"/>
      <c r="Y293" s="1760"/>
      <c r="Z293" s="2507"/>
      <c r="AA293" s="76"/>
      <c r="AB293" s="76"/>
      <c r="AE293" s="2461"/>
      <c r="AF293" s="68"/>
    </row>
    <row r="294" spans="1:32" x14ac:dyDescent="0.35">
      <c r="A294" s="2112"/>
      <c r="B294" s="515">
        <v>10636</v>
      </c>
      <c r="C294" s="515"/>
      <c r="D294" s="521"/>
      <c r="E294" s="948" t="s">
        <v>490</v>
      </c>
      <c r="F294" s="2289">
        <v>5</v>
      </c>
      <c r="G294" s="2289">
        <v>5</v>
      </c>
      <c r="H294" s="165">
        <v>6</v>
      </c>
      <c r="I294" s="522"/>
      <c r="J294" s="522"/>
      <c r="K294" s="1570"/>
      <c r="L294" s="1570"/>
      <c r="M294" s="522"/>
      <c r="N294" s="522"/>
      <c r="O294" s="937"/>
      <c r="P294" s="986"/>
      <c r="Q294" s="941"/>
      <c r="R294" s="945">
        <v>0.26</v>
      </c>
      <c r="S294" s="1762"/>
      <c r="T294" s="1763"/>
      <c r="U294" s="1762"/>
      <c r="V294" s="1762"/>
      <c r="W294" s="1760"/>
      <c r="X294" s="1761"/>
      <c r="Y294" s="1760"/>
      <c r="Z294" s="2507"/>
      <c r="AA294" s="76"/>
      <c r="AB294" s="76"/>
      <c r="AE294" s="2461"/>
      <c r="AF294" s="68"/>
    </row>
    <row r="295" spans="1:32" ht="30" x14ac:dyDescent="0.35">
      <c r="A295" s="2111">
        <v>119</v>
      </c>
      <c r="B295" s="515">
        <v>10636</v>
      </c>
      <c r="C295" s="515"/>
      <c r="D295" s="2467" t="s">
        <v>7136</v>
      </c>
      <c r="E295" s="516" t="s">
        <v>7722</v>
      </c>
      <c r="F295" s="2289">
        <v>5</v>
      </c>
      <c r="G295" s="2289">
        <v>5</v>
      </c>
      <c r="H295" s="166">
        <v>6</v>
      </c>
      <c r="I295" s="517">
        <f>J295+K295+L295</f>
        <v>0.64</v>
      </c>
      <c r="J295" s="518">
        <f>SUM(M295:R295)</f>
        <v>0.64</v>
      </c>
      <c r="K295" s="1569"/>
      <c r="L295" s="1569"/>
      <c r="M295" s="518"/>
      <c r="N295" s="518"/>
      <c r="O295" s="611"/>
      <c r="P295" s="967"/>
      <c r="Q295" s="888">
        <v>0.64</v>
      </c>
      <c r="R295" s="886"/>
      <c r="S295" s="1760"/>
      <c r="T295" s="1761"/>
      <c r="U295" s="1760"/>
      <c r="V295" s="1760"/>
      <c r="W295" s="1760"/>
      <c r="X295" s="1761"/>
      <c r="Y295" s="1760"/>
      <c r="Z295" s="2507"/>
      <c r="AA295" s="76"/>
      <c r="AB295" s="75">
        <v>1</v>
      </c>
      <c r="AE295" s="2461"/>
      <c r="AF295" s="68"/>
    </row>
    <row r="296" spans="1:32" x14ac:dyDescent="0.35">
      <c r="A296" s="2111">
        <v>120</v>
      </c>
      <c r="B296" s="515">
        <v>10637</v>
      </c>
      <c r="C296" s="515"/>
      <c r="D296" s="515" t="s">
        <v>3281</v>
      </c>
      <c r="E296" s="516" t="s">
        <v>7138</v>
      </c>
      <c r="F296" s="165">
        <v>5</v>
      </c>
      <c r="G296" s="165">
        <v>5</v>
      </c>
      <c r="H296" s="166">
        <v>6</v>
      </c>
      <c r="I296" s="517">
        <f>J296+K296+L296</f>
        <v>0.92</v>
      </c>
      <c r="J296" s="518">
        <f>SUM(M296:R296)</f>
        <v>0.92</v>
      </c>
      <c r="K296" s="1570"/>
      <c r="L296" s="1570"/>
      <c r="M296" s="522"/>
      <c r="N296" s="522"/>
      <c r="O296" s="937"/>
      <c r="P296" s="986"/>
      <c r="Q296" s="2000">
        <v>0.92</v>
      </c>
      <c r="R296" s="945"/>
      <c r="S296" s="1762"/>
      <c r="T296" s="1763"/>
      <c r="U296" s="1762"/>
      <c r="V296" s="1762"/>
      <c r="W296" s="1760"/>
      <c r="X296" s="1761"/>
      <c r="Y296" s="1760"/>
      <c r="Z296" s="2507"/>
      <c r="AA296" s="76"/>
      <c r="AB296" s="76">
        <v>1</v>
      </c>
      <c r="AE296" s="2461"/>
      <c r="AF296" s="68"/>
    </row>
    <row r="297" spans="1:32" ht="30.5" x14ac:dyDescent="0.35">
      <c r="A297" s="2112"/>
      <c r="B297" s="693" t="s">
        <v>298</v>
      </c>
      <c r="C297" s="693"/>
      <c r="D297" s="521"/>
      <c r="E297" s="1582" t="s">
        <v>2287</v>
      </c>
      <c r="F297" s="165"/>
      <c r="G297" s="165"/>
      <c r="H297" s="165"/>
      <c r="I297" s="522"/>
      <c r="J297" s="522"/>
      <c r="K297" s="1570"/>
      <c r="L297" s="1570"/>
      <c r="M297" s="522"/>
      <c r="N297" s="522"/>
      <c r="O297" s="937"/>
      <c r="P297" s="986"/>
      <c r="Q297" s="941"/>
      <c r="R297" s="945"/>
      <c r="S297" s="1762"/>
      <c r="T297" s="1763"/>
      <c r="U297" s="1762"/>
      <c r="V297" s="1762"/>
      <c r="W297" s="1760"/>
      <c r="X297" s="1761"/>
      <c r="Y297" s="1760"/>
      <c r="Z297" s="2507"/>
      <c r="AA297" s="76"/>
      <c r="AB297" s="76"/>
      <c r="AE297" s="2461"/>
      <c r="AF297" s="68"/>
    </row>
    <row r="298" spans="1:32" ht="30" x14ac:dyDescent="0.35">
      <c r="A298" s="693">
        <v>121</v>
      </c>
      <c r="B298" s="693" t="s">
        <v>298</v>
      </c>
      <c r="C298" s="693" t="s">
        <v>1656</v>
      </c>
      <c r="D298" s="2467" t="s">
        <v>4889</v>
      </c>
      <c r="E298" s="322" t="s">
        <v>8509</v>
      </c>
      <c r="F298" s="92" t="s">
        <v>664</v>
      </c>
      <c r="G298" s="92">
        <v>5</v>
      </c>
      <c r="H298" s="165">
        <v>6</v>
      </c>
      <c r="I298" s="1924">
        <f>J298+K298+L298</f>
        <v>0.5</v>
      </c>
      <c r="J298" s="1924">
        <f>SUM(M298:R298)</f>
        <v>0.5</v>
      </c>
      <c r="K298" s="622"/>
      <c r="L298" s="622"/>
      <c r="M298" s="622"/>
      <c r="N298" s="622"/>
      <c r="O298" s="622"/>
      <c r="P298" s="622"/>
      <c r="Q298" s="913"/>
      <c r="R298" s="906">
        <v>0.5</v>
      </c>
      <c r="S298" s="1571"/>
      <c r="T298" s="1571"/>
      <c r="U298" s="1571"/>
      <c r="V298" s="1571"/>
      <c r="W298" s="1760"/>
      <c r="X298" s="1761"/>
      <c r="Y298" s="1760"/>
      <c r="Z298" s="2507"/>
      <c r="AB298" s="3">
        <v>1</v>
      </c>
      <c r="AE298" s="2461"/>
      <c r="AF298" s="68"/>
    </row>
    <row r="299" spans="1:32" s="76" customFormat="1" ht="30" x14ac:dyDescent="0.35">
      <c r="A299" s="2001">
        <v>122</v>
      </c>
      <c r="B299" s="515">
        <v>10607</v>
      </c>
      <c r="C299" s="515" t="s">
        <v>1656</v>
      </c>
      <c r="D299" s="2467" t="s">
        <v>4844</v>
      </c>
      <c r="E299" s="516" t="s">
        <v>8510</v>
      </c>
      <c r="F299" s="165" t="s">
        <v>827</v>
      </c>
      <c r="G299" s="165">
        <v>5</v>
      </c>
      <c r="H299" s="166">
        <v>6</v>
      </c>
      <c r="I299" s="517">
        <f>J299+K299+L299</f>
        <v>0.4</v>
      </c>
      <c r="J299" s="518">
        <f>SUM(M299:R299)</f>
        <v>0.4</v>
      </c>
      <c r="K299" s="1569"/>
      <c r="L299" s="1569"/>
      <c r="M299" s="517"/>
      <c r="N299" s="517">
        <v>0.4</v>
      </c>
      <c r="O299" s="938"/>
      <c r="P299" s="987"/>
      <c r="Q299" s="942"/>
      <c r="R299" s="946"/>
      <c r="S299" s="1760"/>
      <c r="T299" s="1761"/>
      <c r="U299" s="1760"/>
      <c r="V299" s="1760"/>
      <c r="W299" s="1760"/>
      <c r="X299" s="1761"/>
      <c r="Y299" s="1760"/>
      <c r="Z299" s="2507"/>
      <c r="AB299" s="75">
        <v>1</v>
      </c>
      <c r="AE299" s="2461"/>
      <c r="AF299" s="68"/>
    </row>
    <row r="300" spans="1:32" ht="30.5" x14ac:dyDescent="0.35">
      <c r="A300" s="2112"/>
      <c r="B300" s="515" t="s">
        <v>2919</v>
      </c>
      <c r="C300" s="515"/>
      <c r="D300" s="521"/>
      <c r="E300" s="1582" t="s">
        <v>663</v>
      </c>
      <c r="F300" s="165"/>
      <c r="G300" s="165"/>
      <c r="H300" s="165"/>
      <c r="I300" s="522"/>
      <c r="J300" s="522"/>
      <c r="K300" s="1570"/>
      <c r="L300" s="1570"/>
      <c r="M300" s="522"/>
      <c r="N300" s="522"/>
      <c r="O300" s="937"/>
      <c r="P300" s="986"/>
      <c r="Q300" s="941"/>
      <c r="R300" s="945"/>
      <c r="S300" s="1762"/>
      <c r="T300" s="1763"/>
      <c r="U300" s="1762"/>
      <c r="V300" s="1762"/>
      <c r="W300" s="1760"/>
      <c r="X300" s="1761"/>
      <c r="Y300" s="1760"/>
      <c r="Z300" s="2507"/>
      <c r="AA300" s="76"/>
      <c r="AB300" s="76"/>
      <c r="AE300" s="2461"/>
      <c r="AF300" s="68"/>
    </row>
    <row r="301" spans="1:32" ht="30" x14ac:dyDescent="0.35">
      <c r="A301" s="2111">
        <v>123</v>
      </c>
      <c r="B301" s="515" t="s">
        <v>2919</v>
      </c>
      <c r="C301" s="515"/>
      <c r="D301" s="2467" t="s">
        <v>4890</v>
      </c>
      <c r="E301" s="516" t="s">
        <v>7723</v>
      </c>
      <c r="F301" s="165" t="s">
        <v>827</v>
      </c>
      <c r="G301" s="165">
        <v>5</v>
      </c>
      <c r="H301" s="165">
        <v>6</v>
      </c>
      <c r="I301" s="517">
        <f>J301+K301+L301</f>
        <v>1.1200000000000001</v>
      </c>
      <c r="J301" s="518">
        <f>SUM(M301:R301)</f>
        <v>1.1200000000000001</v>
      </c>
      <c r="K301" s="1569"/>
      <c r="L301" s="1569"/>
      <c r="M301" s="517"/>
      <c r="N301" s="517"/>
      <c r="O301" s="938"/>
      <c r="P301" s="987"/>
      <c r="Q301" s="942"/>
      <c r="R301" s="946">
        <v>1.1200000000000001</v>
      </c>
      <c r="S301" s="1760"/>
      <c r="T301" s="1761"/>
      <c r="U301" s="1760"/>
      <c r="V301" s="1760"/>
      <c r="W301" s="1760">
        <v>1</v>
      </c>
      <c r="X301" s="1761">
        <v>5</v>
      </c>
      <c r="Y301" s="1760"/>
      <c r="Z301" s="2507"/>
      <c r="AA301" s="76"/>
      <c r="AB301" s="75">
        <v>1</v>
      </c>
      <c r="AE301" s="2461"/>
      <c r="AF301" s="68"/>
    </row>
    <row r="302" spans="1:32" ht="45" x14ac:dyDescent="0.35">
      <c r="A302" s="2111">
        <v>124</v>
      </c>
      <c r="B302" s="515" t="s">
        <v>2919</v>
      </c>
      <c r="C302" s="515"/>
      <c r="D302" s="2467" t="s">
        <v>4891</v>
      </c>
      <c r="E302" s="516" t="s">
        <v>7724</v>
      </c>
      <c r="F302" s="165" t="s">
        <v>827</v>
      </c>
      <c r="G302" s="165">
        <v>5</v>
      </c>
      <c r="H302" s="165">
        <v>6</v>
      </c>
      <c r="I302" s="517">
        <f>J302+K302+L302</f>
        <v>1.85</v>
      </c>
      <c r="J302" s="518">
        <f>SUM(M302:R302)</f>
        <v>1.85</v>
      </c>
      <c r="K302" s="1569"/>
      <c r="L302" s="1569"/>
      <c r="M302" s="517"/>
      <c r="N302" s="517"/>
      <c r="O302" s="938"/>
      <c r="P302" s="987"/>
      <c r="Q302" s="942"/>
      <c r="R302" s="946">
        <v>1.85</v>
      </c>
      <c r="S302" s="1760"/>
      <c r="T302" s="1761"/>
      <c r="U302" s="1760"/>
      <c r="V302" s="1760"/>
      <c r="W302" s="1760">
        <v>2</v>
      </c>
      <c r="X302" s="1761">
        <v>22</v>
      </c>
      <c r="Y302" s="1760"/>
      <c r="Z302" s="2507"/>
      <c r="AA302" s="76"/>
      <c r="AB302" s="75">
        <v>1</v>
      </c>
      <c r="AE302" s="2461"/>
      <c r="AF302" s="68"/>
    </row>
    <row r="303" spans="1:32" ht="45" x14ac:dyDescent="0.35">
      <c r="A303" s="2111">
        <v>125</v>
      </c>
      <c r="B303" s="515" t="s">
        <v>2919</v>
      </c>
      <c r="C303" s="515"/>
      <c r="D303" s="2467" t="s">
        <v>4892</v>
      </c>
      <c r="E303" s="516" t="s">
        <v>10534</v>
      </c>
      <c r="F303" s="165"/>
      <c r="G303" s="165" t="s">
        <v>191</v>
      </c>
      <c r="H303" s="166" t="s">
        <v>191</v>
      </c>
      <c r="I303" s="517">
        <f>J303+K303+L303</f>
        <v>0.60499999999999998</v>
      </c>
      <c r="J303" s="518">
        <f>SUM(M303:R303)</f>
        <v>0.58899999999999997</v>
      </c>
      <c r="K303" s="1569"/>
      <c r="L303" s="1569">
        <f>SUM(L304:L306)</f>
        <v>1.6E-2</v>
      </c>
      <c r="M303" s="517"/>
      <c r="N303" s="517">
        <f>SUM(N304:N307)</f>
        <v>2.7999999999999997E-2</v>
      </c>
      <c r="O303" s="938"/>
      <c r="P303" s="987"/>
      <c r="Q303" s="942">
        <f>SUM(Q304:Q307)</f>
        <v>1.6000000000000014E-2</v>
      </c>
      <c r="R303" s="946">
        <f>SUM(R304:R307)</f>
        <v>0.54499999999999993</v>
      </c>
      <c r="S303" s="1760"/>
      <c r="T303" s="1761"/>
      <c r="U303" s="1760"/>
      <c r="V303" s="1760"/>
      <c r="W303" s="1760"/>
      <c r="X303" s="1761"/>
      <c r="Y303" s="1760"/>
      <c r="Z303" s="2507"/>
      <c r="AA303" s="76"/>
      <c r="AB303" s="75">
        <v>1</v>
      </c>
      <c r="AE303" s="2461"/>
      <c r="AF303" s="68"/>
    </row>
    <row r="304" spans="1:32" ht="31" x14ac:dyDescent="0.35">
      <c r="A304" s="2111"/>
      <c r="B304" s="515"/>
      <c r="C304" s="515"/>
      <c r="D304" s="2467"/>
      <c r="E304" s="1935" t="s">
        <v>10536</v>
      </c>
      <c r="F304" s="165" t="s">
        <v>1490</v>
      </c>
      <c r="G304" s="165">
        <v>5</v>
      </c>
      <c r="H304" s="166" t="s">
        <v>191</v>
      </c>
      <c r="I304" s="522"/>
      <c r="J304" s="524"/>
      <c r="K304" s="2275"/>
      <c r="L304" s="2275">
        <v>1.6E-2</v>
      </c>
      <c r="M304" s="522"/>
      <c r="N304" s="522"/>
      <c r="O304" s="2276"/>
      <c r="P304" s="2277"/>
      <c r="Q304" s="2278"/>
      <c r="R304" s="2279"/>
      <c r="S304" s="1760"/>
      <c r="T304" s="1761"/>
      <c r="U304" s="1760"/>
      <c r="V304" s="1760"/>
      <c r="W304" s="1760"/>
      <c r="X304" s="1761"/>
      <c r="Y304" s="1760"/>
      <c r="Z304" s="2507"/>
      <c r="AA304" s="76"/>
      <c r="AB304" s="75"/>
      <c r="AE304" s="2461"/>
      <c r="AF304" s="68"/>
    </row>
    <row r="305" spans="1:32" x14ac:dyDescent="0.35">
      <c r="A305" s="2111"/>
      <c r="B305" s="515" t="s">
        <v>2919</v>
      </c>
      <c r="C305" s="515"/>
      <c r="D305" s="515"/>
      <c r="E305" s="625" t="s">
        <v>10537</v>
      </c>
      <c r="F305" s="165" t="s">
        <v>1490</v>
      </c>
      <c r="G305" s="165">
        <v>5</v>
      </c>
      <c r="H305" s="166">
        <v>6</v>
      </c>
      <c r="I305" s="522"/>
      <c r="J305" s="524"/>
      <c r="K305" s="2275"/>
      <c r="L305" s="2275"/>
      <c r="M305" s="522"/>
      <c r="N305" s="522">
        <f>0.044-0.016</f>
        <v>2.7999999999999997E-2</v>
      </c>
      <c r="O305" s="2276"/>
      <c r="P305" s="2277"/>
      <c r="Q305" s="2278"/>
      <c r="R305" s="2279"/>
      <c r="S305" s="1760"/>
      <c r="T305" s="1761"/>
      <c r="U305" s="1760"/>
      <c r="V305" s="1760"/>
      <c r="W305" s="1760"/>
      <c r="X305" s="1761"/>
      <c r="Y305" s="1760"/>
      <c r="Z305" s="2507"/>
      <c r="AA305" s="76"/>
      <c r="AB305" s="76"/>
      <c r="AE305" s="2461"/>
      <c r="AF305" s="68"/>
    </row>
    <row r="306" spans="1:32" x14ac:dyDescent="0.35">
      <c r="A306" s="2111"/>
      <c r="B306" s="515"/>
      <c r="C306" s="515"/>
      <c r="D306" s="2467"/>
      <c r="E306" s="948" t="s">
        <v>10538</v>
      </c>
      <c r="F306" s="165" t="s">
        <v>1490</v>
      </c>
      <c r="G306" s="165">
        <v>5</v>
      </c>
      <c r="H306" s="165">
        <v>6</v>
      </c>
      <c r="I306" s="522"/>
      <c r="J306" s="524"/>
      <c r="K306" s="2275"/>
      <c r="L306" s="2275"/>
      <c r="M306" s="522"/>
      <c r="N306" s="522"/>
      <c r="O306" s="2276"/>
      <c r="P306" s="2277"/>
      <c r="Q306" s="2278"/>
      <c r="R306" s="2279">
        <f>0.589-0.044</f>
        <v>0.54499999999999993</v>
      </c>
      <c r="S306" s="1760"/>
      <c r="T306" s="1761"/>
      <c r="U306" s="1760"/>
      <c r="V306" s="1760"/>
      <c r="W306" s="1760"/>
      <c r="X306" s="1761"/>
      <c r="Y306" s="1760"/>
      <c r="Z306" s="2507"/>
      <c r="AA306" s="76"/>
      <c r="AB306" s="75"/>
      <c r="AE306" s="2461"/>
      <c r="AF306" s="68"/>
    </row>
    <row r="307" spans="1:32" x14ac:dyDescent="0.35">
      <c r="A307" s="2111"/>
      <c r="B307" s="515"/>
      <c r="C307" s="515"/>
      <c r="D307" s="2467"/>
      <c r="E307" s="949" t="s">
        <v>10539</v>
      </c>
      <c r="F307" s="165" t="s">
        <v>1490</v>
      </c>
      <c r="G307" s="165">
        <v>5</v>
      </c>
      <c r="H307" s="165">
        <v>6</v>
      </c>
      <c r="I307" s="522"/>
      <c r="J307" s="524"/>
      <c r="K307" s="2275"/>
      <c r="L307" s="2275"/>
      <c r="M307" s="522"/>
      <c r="N307" s="522"/>
      <c r="O307" s="2276"/>
      <c r="P307" s="2277"/>
      <c r="Q307" s="2278">
        <f>0.605-0.589</f>
        <v>1.6000000000000014E-2</v>
      </c>
      <c r="R307" s="2279"/>
      <c r="S307" s="1760"/>
      <c r="T307" s="1761"/>
      <c r="U307" s="1760"/>
      <c r="V307" s="1760"/>
      <c r="W307" s="1760"/>
      <c r="X307" s="1761"/>
      <c r="Y307" s="1760"/>
      <c r="Z307" s="2507"/>
      <c r="AA307" s="76"/>
      <c r="AB307" s="75"/>
      <c r="AE307" s="2461"/>
      <c r="AF307" s="68"/>
    </row>
    <row r="308" spans="1:32" ht="30" x14ac:dyDescent="0.35">
      <c r="A308" s="2111">
        <v>126</v>
      </c>
      <c r="B308" s="515" t="s">
        <v>2919</v>
      </c>
      <c r="C308" s="515"/>
      <c r="D308" s="2467" t="s">
        <v>4893</v>
      </c>
      <c r="E308" s="516" t="s">
        <v>7725</v>
      </c>
      <c r="F308" s="165"/>
      <c r="G308" s="165" t="s">
        <v>191</v>
      </c>
      <c r="H308" s="166" t="s">
        <v>191</v>
      </c>
      <c r="I308" s="517">
        <f>J308+K308+L308</f>
        <v>6.5190000000000001</v>
      </c>
      <c r="J308" s="518">
        <f>SUM(M308:R308)</f>
        <v>6.45</v>
      </c>
      <c r="K308" s="1569"/>
      <c r="L308" s="1569">
        <f>SUM(L309:L314)</f>
        <v>6.8999999999999784E-2</v>
      </c>
      <c r="M308" s="517"/>
      <c r="N308" s="517">
        <f>SUM(N309:N314)</f>
        <v>5.400000000000027E-2</v>
      </c>
      <c r="O308" s="938"/>
      <c r="P308" s="987"/>
      <c r="Q308" s="942">
        <f>SUM(Q309:Q314)</f>
        <v>6.3959999999999999</v>
      </c>
      <c r="R308" s="2677"/>
      <c r="S308" s="1760"/>
      <c r="T308" s="1761"/>
      <c r="U308" s="1760"/>
      <c r="V308" s="1760"/>
      <c r="W308" s="1760">
        <v>11</v>
      </c>
      <c r="X308" s="1761">
        <v>141.21</v>
      </c>
      <c r="Y308" s="1760"/>
      <c r="Z308" s="2507"/>
      <c r="AA308" s="76"/>
      <c r="AB308" s="75">
        <v>1</v>
      </c>
      <c r="AE308" s="2461"/>
      <c r="AF308" s="68"/>
    </row>
    <row r="309" spans="1:32" ht="31" x14ac:dyDescent="0.35">
      <c r="A309" s="2111"/>
      <c r="B309" s="515" t="s">
        <v>2919</v>
      </c>
      <c r="C309" s="515"/>
      <c r="D309" s="515"/>
      <c r="E309" s="1935" t="s">
        <v>10511</v>
      </c>
      <c r="F309" s="165">
        <v>5</v>
      </c>
      <c r="G309" s="165">
        <v>5</v>
      </c>
      <c r="H309" s="166" t="s">
        <v>191</v>
      </c>
      <c r="I309" s="517"/>
      <c r="J309" s="518"/>
      <c r="K309" s="1569"/>
      <c r="L309" s="1569">
        <v>5.0999999999999997E-2</v>
      </c>
      <c r="M309" s="517"/>
      <c r="N309" s="517"/>
      <c r="O309" s="938"/>
      <c r="P309" s="987"/>
      <c r="Q309" s="2278"/>
      <c r="R309" s="2279"/>
      <c r="S309" s="1760"/>
      <c r="T309" s="1761"/>
      <c r="U309" s="1760"/>
      <c r="V309" s="1760"/>
      <c r="W309" s="1760"/>
      <c r="X309" s="1761"/>
      <c r="Y309" s="1760"/>
      <c r="Z309" s="2507"/>
      <c r="AA309" s="76"/>
      <c r="AB309" s="75"/>
      <c r="AE309" s="2461"/>
      <c r="AF309" s="68"/>
    </row>
    <row r="310" spans="1:32" x14ac:dyDescent="0.35">
      <c r="A310" s="2111"/>
      <c r="B310" s="515" t="s">
        <v>2919</v>
      </c>
      <c r="C310" s="515"/>
      <c r="D310" s="515"/>
      <c r="E310" s="949" t="s">
        <v>10513</v>
      </c>
      <c r="F310" s="165">
        <v>5</v>
      </c>
      <c r="G310" s="165">
        <v>5</v>
      </c>
      <c r="H310" s="166">
        <v>6</v>
      </c>
      <c r="I310" s="517"/>
      <c r="J310" s="518"/>
      <c r="K310" s="1569"/>
      <c r="L310" s="1569"/>
      <c r="M310" s="517"/>
      <c r="N310" s="517"/>
      <c r="O310" s="938"/>
      <c r="P310" s="987"/>
      <c r="Q310" s="2278">
        <f>3.408-0.051</f>
        <v>3.3569999999999998</v>
      </c>
      <c r="R310" s="2279"/>
      <c r="S310" s="1760"/>
      <c r="T310" s="1761"/>
      <c r="U310" s="1760"/>
      <c r="V310" s="1760"/>
      <c r="W310" s="1760"/>
      <c r="X310" s="1761"/>
      <c r="Y310" s="1760"/>
      <c r="Z310" s="2507"/>
      <c r="AA310" s="76"/>
      <c r="AB310" s="75"/>
      <c r="AE310" s="2461"/>
      <c r="AF310" s="68"/>
    </row>
    <row r="311" spans="1:32" x14ac:dyDescent="0.35">
      <c r="A311" s="2111"/>
      <c r="B311" s="515" t="s">
        <v>2919</v>
      </c>
      <c r="C311" s="515"/>
      <c r="D311" s="515"/>
      <c r="E311" s="949" t="s">
        <v>10514</v>
      </c>
      <c r="F311" s="165" t="s">
        <v>827</v>
      </c>
      <c r="G311" s="165">
        <v>5</v>
      </c>
      <c r="H311" s="165">
        <v>6</v>
      </c>
      <c r="I311" s="517"/>
      <c r="J311" s="518"/>
      <c r="K311" s="1569"/>
      <c r="L311" s="1569"/>
      <c r="M311" s="517"/>
      <c r="N311" s="517"/>
      <c r="O311" s="938"/>
      <c r="P311" s="987"/>
      <c r="Q311" s="2278">
        <f>4.393-3.408</f>
        <v>0.98499999999999988</v>
      </c>
      <c r="R311" s="2279"/>
      <c r="S311" s="1760"/>
      <c r="T311" s="1761"/>
      <c r="U311" s="1760"/>
      <c r="V311" s="1760"/>
      <c r="W311" s="1760"/>
      <c r="X311" s="1761"/>
      <c r="Y311" s="1760"/>
      <c r="Z311" s="2507"/>
      <c r="AA311" s="76"/>
      <c r="AB311" s="75"/>
      <c r="AE311" s="2461"/>
      <c r="AF311" s="68"/>
    </row>
    <row r="312" spans="1:32" x14ac:dyDescent="0.35">
      <c r="A312" s="2111"/>
      <c r="B312" s="515" t="s">
        <v>2919</v>
      </c>
      <c r="C312" s="515"/>
      <c r="D312" s="515"/>
      <c r="E312" s="949" t="s">
        <v>10515</v>
      </c>
      <c r="F312" s="165">
        <v>5</v>
      </c>
      <c r="G312" s="165">
        <v>5</v>
      </c>
      <c r="H312" s="166">
        <v>6</v>
      </c>
      <c r="I312" s="517"/>
      <c r="J312" s="518"/>
      <c r="K312" s="1569"/>
      <c r="L312" s="1569"/>
      <c r="M312" s="517"/>
      <c r="N312" s="517"/>
      <c r="O312" s="938"/>
      <c r="P312" s="987"/>
      <c r="Q312" s="2278">
        <f>6.447-4.393</f>
        <v>2.0540000000000003</v>
      </c>
      <c r="R312" s="2279"/>
      <c r="S312" s="1760"/>
      <c r="T312" s="1761"/>
      <c r="U312" s="1760"/>
      <c r="V312" s="1760"/>
      <c r="W312" s="1760"/>
      <c r="X312" s="1761"/>
      <c r="Y312" s="1760"/>
      <c r="Z312" s="2507"/>
      <c r="AA312" s="76"/>
      <c r="AB312" s="75"/>
      <c r="AE312" s="2461"/>
      <c r="AF312" s="68"/>
    </row>
    <row r="313" spans="1:32" x14ac:dyDescent="0.35">
      <c r="A313" s="2111"/>
      <c r="B313" s="515" t="s">
        <v>2919</v>
      </c>
      <c r="C313" s="515"/>
      <c r="D313" s="515"/>
      <c r="E313" s="625" t="s">
        <v>10516</v>
      </c>
      <c r="F313" s="165">
        <v>5</v>
      </c>
      <c r="G313" s="165">
        <v>5</v>
      </c>
      <c r="H313" s="166">
        <v>6</v>
      </c>
      <c r="I313" s="626"/>
      <c r="J313" s="627"/>
      <c r="K313" s="1570"/>
      <c r="L313" s="1570"/>
      <c r="M313" s="626"/>
      <c r="N313" s="626">
        <f>6.501-6.447</f>
        <v>5.400000000000027E-2</v>
      </c>
      <c r="O313" s="937"/>
      <c r="P313" s="986"/>
      <c r="Q313" s="941"/>
      <c r="R313" s="945"/>
      <c r="S313" s="1760"/>
      <c r="T313" s="1761"/>
      <c r="U313" s="1760"/>
      <c r="V313" s="1760"/>
      <c r="W313" s="1760"/>
      <c r="X313" s="1761"/>
      <c r="Y313" s="1760"/>
      <c r="Z313" s="2507"/>
      <c r="AA313" s="76"/>
      <c r="AB313" s="76"/>
      <c r="AE313" s="2461"/>
      <c r="AF313" s="68"/>
    </row>
    <row r="314" spans="1:32" ht="31" x14ac:dyDescent="0.35">
      <c r="A314" s="2111"/>
      <c r="B314" s="515" t="s">
        <v>2919</v>
      </c>
      <c r="C314" s="515"/>
      <c r="D314" s="515"/>
      <c r="E314" s="951" t="s">
        <v>10512</v>
      </c>
      <c r="F314" s="165">
        <v>5</v>
      </c>
      <c r="G314" s="165">
        <v>5</v>
      </c>
      <c r="H314" s="166" t="s">
        <v>191</v>
      </c>
      <c r="I314" s="626"/>
      <c r="J314" s="627"/>
      <c r="K314" s="1570"/>
      <c r="L314" s="1570">
        <f>6.519-6.501</f>
        <v>1.7999999999999794E-2</v>
      </c>
      <c r="M314" s="626"/>
      <c r="N314" s="626"/>
      <c r="O314" s="937"/>
      <c r="P314" s="986"/>
      <c r="Q314" s="941"/>
      <c r="R314" s="945"/>
      <c r="S314" s="1760"/>
      <c r="T314" s="1761"/>
      <c r="U314" s="1760"/>
      <c r="V314" s="1760"/>
      <c r="W314" s="1760"/>
      <c r="X314" s="1761"/>
      <c r="Y314" s="1760"/>
      <c r="Z314" s="2507"/>
      <c r="AA314" s="76"/>
      <c r="AB314" s="76"/>
      <c r="AE314" s="2461"/>
      <c r="AF314" s="68"/>
    </row>
    <row r="315" spans="1:32" ht="60" x14ac:dyDescent="0.35">
      <c r="A315" s="2111">
        <v>127</v>
      </c>
      <c r="B315" s="515" t="s">
        <v>2919</v>
      </c>
      <c r="C315" s="515" t="s">
        <v>1656</v>
      </c>
      <c r="D315" s="2467" t="s">
        <v>4894</v>
      </c>
      <c r="E315" s="516" t="s">
        <v>9258</v>
      </c>
      <c r="F315" s="165" t="s">
        <v>1490</v>
      </c>
      <c r="G315" s="165">
        <v>5</v>
      </c>
      <c r="H315" s="166">
        <v>6</v>
      </c>
      <c r="I315" s="517">
        <f>J315+K315+L315</f>
        <v>0.1</v>
      </c>
      <c r="J315" s="518">
        <f>SUM(M315:R315)</f>
        <v>0.1</v>
      </c>
      <c r="K315" s="2275"/>
      <c r="L315" s="2275"/>
      <c r="M315" s="522"/>
      <c r="N315" s="522"/>
      <c r="O315" s="2276"/>
      <c r="P315" s="2277"/>
      <c r="Q315" s="2000">
        <v>0.1</v>
      </c>
      <c r="R315" s="2279"/>
      <c r="S315" s="1760"/>
      <c r="T315" s="1761"/>
      <c r="U315" s="1760"/>
      <c r="V315" s="1760"/>
      <c r="W315" s="1760"/>
      <c r="X315" s="1761"/>
      <c r="Y315" s="1760"/>
      <c r="Z315" s="2507"/>
      <c r="AA315" s="76"/>
      <c r="AB315" s="75">
        <v>1</v>
      </c>
      <c r="AE315" s="2461"/>
      <c r="AF315" s="68"/>
    </row>
    <row r="316" spans="1:32" ht="60" x14ac:dyDescent="0.35">
      <c r="A316" s="693">
        <v>128</v>
      </c>
      <c r="B316" s="693" t="s">
        <v>2919</v>
      </c>
      <c r="C316" s="693" t="s">
        <v>1656</v>
      </c>
      <c r="D316" s="2467" t="s">
        <v>4895</v>
      </c>
      <c r="E316" s="322" t="s">
        <v>11009</v>
      </c>
      <c r="F316" s="92" t="s">
        <v>664</v>
      </c>
      <c r="G316" s="92">
        <v>5</v>
      </c>
      <c r="H316" s="165">
        <v>6</v>
      </c>
      <c r="I316" s="1924">
        <f>J316+K316+L316</f>
        <v>0.12</v>
      </c>
      <c r="J316" s="1924">
        <f>SUM(M316:R316)</f>
        <v>0.12</v>
      </c>
      <c r="K316" s="622"/>
      <c r="L316" s="622"/>
      <c r="M316" s="622"/>
      <c r="N316" s="622"/>
      <c r="O316" s="622"/>
      <c r="P316" s="622"/>
      <c r="Q316" s="913"/>
      <c r="R316" s="906">
        <v>0.12</v>
      </c>
      <c r="S316" s="1571"/>
      <c r="T316" s="1571"/>
      <c r="U316" s="1571"/>
      <c r="V316" s="1571"/>
      <c r="W316" s="1760"/>
      <c r="X316" s="1761"/>
      <c r="Y316" s="1760"/>
      <c r="Z316" s="2507"/>
      <c r="AB316" s="3">
        <v>1</v>
      </c>
      <c r="AE316" s="2461"/>
      <c r="AF316" s="68"/>
    </row>
    <row r="317" spans="1:32" ht="45" x14ac:dyDescent="0.35">
      <c r="A317" s="2111">
        <v>129</v>
      </c>
      <c r="B317" s="515" t="s">
        <v>2919</v>
      </c>
      <c r="C317" s="515"/>
      <c r="D317" s="2467" t="s">
        <v>4896</v>
      </c>
      <c r="E317" s="516" t="s">
        <v>9151</v>
      </c>
      <c r="F317" s="165"/>
      <c r="G317" s="165" t="s">
        <v>191</v>
      </c>
      <c r="H317" s="166" t="s">
        <v>191</v>
      </c>
      <c r="I317" s="517">
        <f>J317+K317+L317</f>
        <v>7.5499999999999989</v>
      </c>
      <c r="J317" s="518">
        <f>SUM(M317:R317)</f>
        <v>7.5499999999999989</v>
      </c>
      <c r="K317" s="1569"/>
      <c r="L317" s="1569"/>
      <c r="M317" s="517"/>
      <c r="N317" s="517">
        <f>SUM(N318:N319)</f>
        <v>3.35</v>
      </c>
      <c r="O317" s="938"/>
      <c r="P317" s="987"/>
      <c r="Q317" s="942"/>
      <c r="R317" s="946">
        <f>SUM(R318:R319)</f>
        <v>4.1999999999999993</v>
      </c>
      <c r="S317" s="962">
        <v>1</v>
      </c>
      <c r="T317" s="962">
        <v>50.8</v>
      </c>
      <c r="U317" s="962">
        <v>1</v>
      </c>
      <c r="V317" s="962">
        <v>50.8</v>
      </c>
      <c r="W317" s="1760">
        <v>8</v>
      </c>
      <c r="X317" s="1761">
        <v>122.6</v>
      </c>
      <c r="Y317" s="1760">
        <v>2</v>
      </c>
      <c r="Z317" s="2507">
        <v>26</v>
      </c>
      <c r="AA317" s="76"/>
      <c r="AB317" s="75">
        <v>1</v>
      </c>
      <c r="AE317" s="2461"/>
      <c r="AF317" s="68"/>
    </row>
    <row r="318" spans="1:32" x14ac:dyDescent="0.35">
      <c r="A318" s="2111"/>
      <c r="B318" s="515" t="s">
        <v>2919</v>
      </c>
      <c r="C318" s="515"/>
      <c r="D318" s="515"/>
      <c r="E318" s="625" t="s">
        <v>1540</v>
      </c>
      <c r="F318" s="165">
        <v>4</v>
      </c>
      <c r="G318" s="165">
        <v>5</v>
      </c>
      <c r="H318" s="166">
        <v>6</v>
      </c>
      <c r="I318" s="522"/>
      <c r="J318" s="524"/>
      <c r="K318" s="2275"/>
      <c r="L318" s="2275"/>
      <c r="M318" s="522"/>
      <c r="N318" s="522">
        <v>3.35</v>
      </c>
      <c r="O318" s="2276"/>
      <c r="P318" s="2277"/>
      <c r="Q318" s="2278"/>
      <c r="R318" s="2279"/>
      <c r="S318" s="1760"/>
      <c r="T318" s="1761"/>
      <c r="U318" s="1760"/>
      <c r="V318" s="1760"/>
      <c r="W318" s="1760"/>
      <c r="X318" s="1761"/>
      <c r="Y318" s="1760"/>
      <c r="Z318" s="2507"/>
      <c r="AA318" s="76"/>
      <c r="AB318" s="75"/>
      <c r="AE318" s="2461"/>
      <c r="AF318" s="68"/>
    </row>
    <row r="319" spans="1:32" x14ac:dyDescent="0.35">
      <c r="A319" s="693"/>
      <c r="B319" s="693" t="s">
        <v>2919</v>
      </c>
      <c r="C319" s="693"/>
      <c r="D319" s="693"/>
      <c r="E319" s="948" t="s">
        <v>1541</v>
      </c>
      <c r="F319" s="93" t="s">
        <v>1490</v>
      </c>
      <c r="G319" s="93">
        <v>5</v>
      </c>
      <c r="H319" s="165">
        <v>6</v>
      </c>
      <c r="I319" s="2142"/>
      <c r="J319" s="2142"/>
      <c r="K319" s="1783"/>
      <c r="L319" s="1783"/>
      <c r="M319" s="1783"/>
      <c r="N319" s="1783"/>
      <c r="O319" s="1783"/>
      <c r="P319" s="1783"/>
      <c r="Q319" s="1783"/>
      <c r="R319" s="2343">
        <f>7.55-3.35</f>
        <v>4.1999999999999993</v>
      </c>
      <c r="S319" s="1571"/>
      <c r="T319" s="1571"/>
      <c r="U319" s="1571"/>
      <c r="V319" s="1571"/>
      <c r="W319" s="1760"/>
      <c r="X319" s="1761"/>
      <c r="Y319" s="1760"/>
      <c r="Z319" s="2507"/>
      <c r="AE319" s="2461"/>
      <c r="AF319" s="68"/>
    </row>
    <row r="320" spans="1:32" ht="75" x14ac:dyDescent="0.35">
      <c r="A320" s="2111">
        <v>130</v>
      </c>
      <c r="B320" s="693" t="s">
        <v>2919</v>
      </c>
      <c r="C320" s="693" t="s">
        <v>1656</v>
      </c>
      <c r="D320" s="2467" t="s">
        <v>4897</v>
      </c>
      <c r="E320" s="322" t="s">
        <v>9152</v>
      </c>
      <c r="F320" s="92" t="s">
        <v>664</v>
      </c>
      <c r="G320" s="92">
        <v>5</v>
      </c>
      <c r="H320" s="165">
        <v>6</v>
      </c>
      <c r="I320" s="1924">
        <f>J320+K320+L320</f>
        <v>0.1</v>
      </c>
      <c r="J320" s="1924">
        <f>SUM(M320:R320)</f>
        <v>0.1</v>
      </c>
      <c r="K320" s="622"/>
      <c r="L320" s="622"/>
      <c r="M320" s="622"/>
      <c r="N320" s="622"/>
      <c r="O320" s="622"/>
      <c r="P320" s="622"/>
      <c r="Q320" s="913"/>
      <c r="R320" s="906">
        <v>0.1</v>
      </c>
      <c r="S320" s="1571"/>
      <c r="T320" s="1571"/>
      <c r="U320" s="1571"/>
      <c r="V320" s="1571"/>
      <c r="W320" s="1760"/>
      <c r="X320" s="1761"/>
      <c r="Y320" s="1760"/>
      <c r="Z320" s="2507"/>
      <c r="AB320" s="3">
        <v>1</v>
      </c>
      <c r="AE320" s="2461"/>
      <c r="AF320" s="68"/>
    </row>
    <row r="321" spans="1:32" ht="75" x14ac:dyDescent="0.35">
      <c r="A321" s="2111">
        <v>131</v>
      </c>
      <c r="B321" s="693" t="s">
        <v>1735</v>
      </c>
      <c r="C321" s="693" t="s">
        <v>1656</v>
      </c>
      <c r="D321" s="2467" t="s">
        <v>4898</v>
      </c>
      <c r="E321" s="322" t="s">
        <v>9153</v>
      </c>
      <c r="F321" s="92" t="s">
        <v>1490</v>
      </c>
      <c r="G321" s="92">
        <v>5</v>
      </c>
      <c r="H321" s="165">
        <v>6</v>
      </c>
      <c r="I321" s="1924">
        <f>J321+K321+L321</f>
        <v>0.26</v>
      </c>
      <c r="J321" s="1924">
        <f>SUM(M321:R321)</f>
        <v>0.26</v>
      </c>
      <c r="K321" s="622"/>
      <c r="L321" s="622"/>
      <c r="M321" s="622"/>
      <c r="N321" s="622"/>
      <c r="O321" s="622"/>
      <c r="P321" s="622"/>
      <c r="Q321" s="913"/>
      <c r="R321" s="906">
        <v>0.26</v>
      </c>
      <c r="S321" s="1571"/>
      <c r="T321" s="1571"/>
      <c r="U321" s="1571"/>
      <c r="V321" s="1571"/>
      <c r="W321" s="1760"/>
      <c r="X321" s="1761"/>
      <c r="Y321" s="1760"/>
      <c r="Z321" s="2507"/>
      <c r="AB321" s="3">
        <v>1</v>
      </c>
      <c r="AE321" s="2461"/>
      <c r="AF321" s="68"/>
    </row>
    <row r="322" spans="1:32" ht="45" x14ac:dyDescent="0.35">
      <c r="A322" s="693">
        <v>132</v>
      </c>
      <c r="B322" s="515" t="s">
        <v>2919</v>
      </c>
      <c r="C322" s="515"/>
      <c r="D322" s="2467" t="s">
        <v>4899</v>
      </c>
      <c r="E322" s="516" t="s">
        <v>7726</v>
      </c>
      <c r="F322" s="2289"/>
      <c r="G322" s="2289" t="s">
        <v>191</v>
      </c>
      <c r="H322" s="166" t="s">
        <v>191</v>
      </c>
      <c r="I322" s="517">
        <f>J322+K322+L322</f>
        <v>3.8899999999999997</v>
      </c>
      <c r="J322" s="518">
        <f>SUM(M322:R322)</f>
        <v>3.8899999999999997</v>
      </c>
      <c r="K322" s="1569"/>
      <c r="L322" s="1569"/>
      <c r="M322" s="518"/>
      <c r="N322" s="518">
        <f>SUM(N323:N325)</f>
        <v>0.247</v>
      </c>
      <c r="O322" s="611"/>
      <c r="P322" s="967"/>
      <c r="Q322" s="888">
        <f>SUM(Q323:Q325)</f>
        <v>0.32</v>
      </c>
      <c r="R322" s="886">
        <f>SUM(R323:R325)</f>
        <v>3.323</v>
      </c>
      <c r="S322" s="1760"/>
      <c r="T322" s="1761"/>
      <c r="U322" s="1760"/>
      <c r="V322" s="1760"/>
      <c r="W322" s="1760">
        <v>5</v>
      </c>
      <c r="X322" s="1761">
        <v>45</v>
      </c>
      <c r="Y322" s="1760">
        <v>1</v>
      </c>
      <c r="Z322" s="2507">
        <v>5</v>
      </c>
      <c r="AA322" s="76"/>
      <c r="AB322" s="75">
        <v>1</v>
      </c>
      <c r="AE322" s="2461"/>
      <c r="AF322" s="68"/>
    </row>
    <row r="323" spans="1:32" x14ac:dyDescent="0.35">
      <c r="A323" s="2112"/>
      <c r="B323" s="515" t="s">
        <v>2919</v>
      </c>
      <c r="C323" s="515"/>
      <c r="D323" s="521"/>
      <c r="E323" s="519" t="s">
        <v>2280</v>
      </c>
      <c r="F323" s="165">
        <v>5</v>
      </c>
      <c r="G323" s="165">
        <v>5</v>
      </c>
      <c r="H323" s="166">
        <v>6</v>
      </c>
      <c r="I323" s="522"/>
      <c r="J323" s="522"/>
      <c r="K323" s="1570"/>
      <c r="L323" s="1570"/>
      <c r="M323" s="522"/>
      <c r="N323" s="522">
        <v>0.247</v>
      </c>
      <c r="O323" s="937"/>
      <c r="P323" s="986"/>
      <c r="Q323" s="941"/>
      <c r="R323" s="945"/>
      <c r="S323" s="1762"/>
      <c r="T323" s="1763"/>
      <c r="U323" s="1762"/>
      <c r="V323" s="1762"/>
      <c r="W323" s="1760"/>
      <c r="X323" s="1761"/>
      <c r="Y323" s="1760"/>
      <c r="Z323" s="2507"/>
      <c r="AE323" s="2461"/>
      <c r="AF323" s="68"/>
    </row>
    <row r="324" spans="1:32" x14ac:dyDescent="0.35">
      <c r="A324" s="2112"/>
      <c r="B324" s="515" t="s">
        <v>2919</v>
      </c>
      <c r="C324" s="515"/>
      <c r="D324" s="521"/>
      <c r="E324" s="949" t="s">
        <v>1275</v>
      </c>
      <c r="F324" s="165">
        <v>5</v>
      </c>
      <c r="G324" s="165">
        <v>5</v>
      </c>
      <c r="H324" s="166">
        <v>6</v>
      </c>
      <c r="I324" s="522"/>
      <c r="J324" s="522"/>
      <c r="K324" s="1570"/>
      <c r="L324" s="1570"/>
      <c r="M324" s="522"/>
      <c r="N324" s="522"/>
      <c r="O324" s="937"/>
      <c r="P324" s="986"/>
      <c r="Q324" s="941">
        <v>0.32</v>
      </c>
      <c r="R324" s="945"/>
      <c r="S324" s="1762"/>
      <c r="T324" s="1763"/>
      <c r="U324" s="1762"/>
      <c r="V324" s="1762"/>
      <c r="W324" s="1760"/>
      <c r="X324" s="1761"/>
      <c r="Y324" s="1760"/>
      <c r="Z324" s="2507"/>
      <c r="AE324" s="2461"/>
      <c r="AF324" s="68"/>
    </row>
    <row r="325" spans="1:32" x14ac:dyDescent="0.35">
      <c r="A325" s="2112"/>
      <c r="B325" s="515" t="s">
        <v>2919</v>
      </c>
      <c r="C325" s="515"/>
      <c r="D325" s="521"/>
      <c r="E325" s="948" t="s">
        <v>1276</v>
      </c>
      <c r="F325" s="165" t="s">
        <v>664</v>
      </c>
      <c r="G325" s="165">
        <v>5</v>
      </c>
      <c r="H325" s="165">
        <v>6</v>
      </c>
      <c r="I325" s="522"/>
      <c r="J325" s="522"/>
      <c r="K325" s="1570"/>
      <c r="L325" s="1570"/>
      <c r="M325" s="522"/>
      <c r="N325" s="522"/>
      <c r="O325" s="937"/>
      <c r="P325" s="986"/>
      <c r="Q325" s="941"/>
      <c r="R325" s="945">
        <v>3.323</v>
      </c>
      <c r="S325" s="1762"/>
      <c r="T325" s="1763"/>
      <c r="U325" s="1762"/>
      <c r="V325" s="1762"/>
      <c r="W325" s="1760"/>
      <c r="X325" s="1761"/>
      <c r="Y325" s="1760"/>
      <c r="Z325" s="2507"/>
      <c r="AE325" s="2461"/>
      <c r="AF325" s="68"/>
    </row>
    <row r="326" spans="1:32" ht="45" x14ac:dyDescent="0.35">
      <c r="A326" s="2111">
        <v>133</v>
      </c>
      <c r="B326" s="515" t="s">
        <v>2919</v>
      </c>
      <c r="C326" s="515"/>
      <c r="D326" s="2467" t="s">
        <v>4900</v>
      </c>
      <c r="E326" s="516" t="s">
        <v>7727</v>
      </c>
      <c r="F326" s="165" t="s">
        <v>664</v>
      </c>
      <c r="G326" s="165">
        <v>5</v>
      </c>
      <c r="H326" s="165">
        <v>6</v>
      </c>
      <c r="I326" s="517">
        <f>J326+K326+L326</f>
        <v>1</v>
      </c>
      <c r="J326" s="518">
        <f>SUM(M326:R326)</f>
        <v>1</v>
      </c>
      <c r="K326" s="1569"/>
      <c r="L326" s="1569"/>
      <c r="M326" s="517"/>
      <c r="N326" s="517"/>
      <c r="O326" s="938"/>
      <c r="P326" s="987"/>
      <c r="Q326" s="942"/>
      <c r="R326" s="946">
        <v>1</v>
      </c>
      <c r="S326" s="1760"/>
      <c r="T326" s="1761"/>
      <c r="U326" s="1760"/>
      <c r="V326" s="1760"/>
      <c r="W326" s="1760"/>
      <c r="X326" s="1761"/>
      <c r="Y326" s="1760"/>
      <c r="Z326" s="2507"/>
      <c r="AB326" s="75">
        <v>1</v>
      </c>
      <c r="AE326" s="2461"/>
      <c r="AF326" s="68"/>
    </row>
    <row r="327" spans="1:32" ht="45" x14ac:dyDescent="0.35">
      <c r="A327" s="2111">
        <v>134</v>
      </c>
      <c r="B327" s="693" t="s">
        <v>1735</v>
      </c>
      <c r="C327" s="693" t="s">
        <v>1656</v>
      </c>
      <c r="D327" s="2467" t="s">
        <v>4901</v>
      </c>
      <c r="E327" s="322" t="s">
        <v>8511</v>
      </c>
      <c r="F327" s="92" t="s">
        <v>1490</v>
      </c>
      <c r="G327" s="92">
        <v>5</v>
      </c>
      <c r="H327" s="165">
        <v>6</v>
      </c>
      <c r="I327" s="1924">
        <f>J327+K327+L327</f>
        <v>0.1</v>
      </c>
      <c r="J327" s="1924">
        <f>SUM(M327:R327)</f>
        <v>0.1</v>
      </c>
      <c r="K327" s="622"/>
      <c r="L327" s="622"/>
      <c r="M327" s="622"/>
      <c r="N327" s="622"/>
      <c r="O327" s="622"/>
      <c r="P327" s="622"/>
      <c r="Q327" s="913"/>
      <c r="R327" s="906">
        <v>0.1</v>
      </c>
      <c r="S327" s="1571"/>
      <c r="T327" s="1571"/>
      <c r="U327" s="1571"/>
      <c r="V327" s="1571"/>
      <c r="W327" s="1760"/>
      <c r="X327" s="1761"/>
      <c r="Y327" s="1760"/>
      <c r="Z327" s="2507"/>
      <c r="AB327" s="3">
        <v>1</v>
      </c>
      <c r="AE327" s="2461"/>
      <c r="AF327" s="68"/>
    </row>
    <row r="328" spans="1:32" ht="45" x14ac:dyDescent="0.35">
      <c r="A328" s="2111">
        <v>135</v>
      </c>
      <c r="B328" s="693" t="s">
        <v>1735</v>
      </c>
      <c r="C328" s="693" t="s">
        <v>1656</v>
      </c>
      <c r="D328" s="2467" t="s">
        <v>4902</v>
      </c>
      <c r="E328" s="322" t="s">
        <v>8512</v>
      </c>
      <c r="F328" s="92" t="s">
        <v>1490</v>
      </c>
      <c r="G328" s="92">
        <v>5</v>
      </c>
      <c r="H328" s="165">
        <v>6</v>
      </c>
      <c r="I328" s="1924">
        <f>J328+K328+L328</f>
        <v>0.2</v>
      </c>
      <c r="J328" s="1924">
        <f>SUM(M328:R328)</f>
        <v>0.2</v>
      </c>
      <c r="K328" s="622"/>
      <c r="L328" s="622"/>
      <c r="M328" s="622"/>
      <c r="N328" s="622"/>
      <c r="O328" s="622"/>
      <c r="P328" s="622"/>
      <c r="Q328" s="913"/>
      <c r="R328" s="906">
        <v>0.2</v>
      </c>
      <c r="S328" s="1571"/>
      <c r="T328" s="1571"/>
      <c r="U328" s="1571"/>
      <c r="V328" s="1571"/>
      <c r="W328" s="1760"/>
      <c r="X328" s="1761"/>
      <c r="Y328" s="1760"/>
      <c r="Z328" s="2507"/>
      <c r="AB328" s="3">
        <v>1</v>
      </c>
      <c r="AE328" s="2461"/>
      <c r="AF328" s="68"/>
    </row>
    <row r="329" spans="1:32" ht="30.5" x14ac:dyDescent="0.35">
      <c r="A329" s="2111">
        <v>136</v>
      </c>
      <c r="B329" s="693" t="s">
        <v>2919</v>
      </c>
      <c r="C329" s="693"/>
      <c r="D329" s="2467" t="s">
        <v>4903</v>
      </c>
      <c r="E329" s="526" t="s">
        <v>9355</v>
      </c>
      <c r="F329" s="165">
        <v>5</v>
      </c>
      <c r="G329" s="165">
        <v>5</v>
      </c>
      <c r="H329" s="166">
        <v>6</v>
      </c>
      <c r="I329" s="517">
        <f>J329+K329+L329</f>
        <v>1.5</v>
      </c>
      <c r="J329" s="518">
        <f>SUM(M329:R329)</f>
        <v>1.5</v>
      </c>
      <c r="K329" s="1571"/>
      <c r="L329" s="1571"/>
      <c r="M329" s="527"/>
      <c r="N329" s="580">
        <v>1.5</v>
      </c>
      <c r="O329" s="939"/>
      <c r="P329" s="988"/>
      <c r="Q329" s="943"/>
      <c r="R329" s="947"/>
      <c r="S329" s="1571"/>
      <c r="T329" s="1571"/>
      <c r="U329" s="1571"/>
      <c r="V329" s="1571"/>
      <c r="W329" s="1760">
        <v>1</v>
      </c>
      <c r="X329" s="1761">
        <v>15.23</v>
      </c>
      <c r="Y329" s="1760"/>
      <c r="Z329" s="2507"/>
      <c r="AB329" s="75">
        <v>1</v>
      </c>
      <c r="AE329" s="2461"/>
      <c r="AF329" s="68"/>
    </row>
    <row r="330" spans="1:32" ht="45" x14ac:dyDescent="0.35">
      <c r="A330" s="2111">
        <v>137</v>
      </c>
      <c r="B330" s="693" t="s">
        <v>2919</v>
      </c>
      <c r="C330" s="693" t="s">
        <v>1656</v>
      </c>
      <c r="D330" s="2467" t="s">
        <v>4904</v>
      </c>
      <c r="E330" s="322" t="s">
        <v>9259</v>
      </c>
      <c r="F330" s="92">
        <v>5</v>
      </c>
      <c r="G330" s="92">
        <v>5</v>
      </c>
      <c r="H330" s="166">
        <v>6</v>
      </c>
      <c r="I330" s="1924">
        <f>J330+K330+L330</f>
        <v>0.4</v>
      </c>
      <c r="J330" s="1924">
        <f>SUM(M330:R330)</f>
        <v>0.4</v>
      </c>
      <c r="K330" s="622"/>
      <c r="L330" s="622"/>
      <c r="M330" s="622"/>
      <c r="N330" s="622">
        <v>0.4</v>
      </c>
      <c r="O330" s="622"/>
      <c r="P330" s="622"/>
      <c r="Q330" s="913"/>
      <c r="R330" s="906"/>
      <c r="S330" s="1571"/>
      <c r="T330" s="1571"/>
      <c r="U330" s="1571"/>
      <c r="V330" s="1571"/>
      <c r="W330" s="1760"/>
      <c r="X330" s="1761"/>
      <c r="Y330" s="1760"/>
      <c r="Z330" s="2507"/>
      <c r="AB330" s="3">
        <v>1</v>
      </c>
      <c r="AE330" s="2461"/>
      <c r="AF330" s="68"/>
    </row>
    <row r="331" spans="1:32" ht="30.5" x14ac:dyDescent="0.35">
      <c r="A331" s="693"/>
      <c r="B331" s="515" t="s">
        <v>2920</v>
      </c>
      <c r="C331" s="515"/>
      <c r="D331" s="515"/>
      <c r="E331" s="1582" t="s">
        <v>3009</v>
      </c>
      <c r="F331" s="165"/>
      <c r="G331" s="165"/>
      <c r="H331" s="165"/>
      <c r="I331" s="517"/>
      <c r="J331" s="518"/>
      <c r="K331" s="1571"/>
      <c r="L331" s="1571"/>
      <c r="M331" s="527"/>
      <c r="N331" s="527"/>
      <c r="O331" s="939"/>
      <c r="P331" s="988"/>
      <c r="Q331" s="943"/>
      <c r="R331" s="947"/>
      <c r="S331" s="1571"/>
      <c r="T331" s="1571"/>
      <c r="U331" s="1571"/>
      <c r="V331" s="1571"/>
      <c r="W331" s="1760"/>
      <c r="X331" s="1761"/>
      <c r="Y331" s="1760"/>
      <c r="Z331" s="2507"/>
      <c r="AE331" s="2461"/>
      <c r="AF331" s="68"/>
    </row>
    <row r="332" spans="1:32" ht="30" x14ac:dyDescent="0.35">
      <c r="A332" s="2111">
        <v>138</v>
      </c>
      <c r="B332" s="515" t="s">
        <v>2920</v>
      </c>
      <c r="C332" s="515"/>
      <c r="D332" s="2467" t="s">
        <v>4905</v>
      </c>
      <c r="E332" s="516" t="s">
        <v>7728</v>
      </c>
      <c r="F332" s="2289"/>
      <c r="G332" s="2289" t="s">
        <v>191</v>
      </c>
      <c r="H332" s="166" t="s">
        <v>191</v>
      </c>
      <c r="I332" s="517">
        <f>J332+K332+L332</f>
        <v>3.5920000000000001</v>
      </c>
      <c r="J332" s="518">
        <f>SUM(M332:R332)</f>
        <v>3.5920000000000001</v>
      </c>
      <c r="K332" s="1569"/>
      <c r="L332" s="1569"/>
      <c r="M332" s="518"/>
      <c r="N332" s="518">
        <f>SUM(N333:N335)</f>
        <v>0.68900000000000006</v>
      </c>
      <c r="O332" s="611"/>
      <c r="P332" s="967"/>
      <c r="Q332" s="888">
        <f>SUM(Q333:Q335)</f>
        <v>2.903</v>
      </c>
      <c r="R332" s="886"/>
      <c r="S332" s="1760">
        <v>2</v>
      </c>
      <c r="T332" s="1761">
        <v>36</v>
      </c>
      <c r="U332" s="1760"/>
      <c r="V332" s="1760"/>
      <c r="W332" s="1760">
        <v>6</v>
      </c>
      <c r="X332" s="1761">
        <v>90</v>
      </c>
      <c r="Y332" s="1760">
        <v>1</v>
      </c>
      <c r="Z332" s="2507">
        <v>10</v>
      </c>
      <c r="AB332" s="75">
        <v>1</v>
      </c>
      <c r="AE332" s="2461"/>
      <c r="AF332" s="68"/>
    </row>
    <row r="333" spans="1:32" x14ac:dyDescent="0.35">
      <c r="A333" s="2112"/>
      <c r="B333" s="515" t="s">
        <v>2920</v>
      </c>
      <c r="C333" s="515"/>
      <c r="D333" s="521"/>
      <c r="E333" s="519" t="s">
        <v>2641</v>
      </c>
      <c r="F333" s="2289">
        <v>4</v>
      </c>
      <c r="G333" s="2289">
        <v>5</v>
      </c>
      <c r="H333" s="166">
        <v>6</v>
      </c>
      <c r="I333" s="522"/>
      <c r="J333" s="522"/>
      <c r="K333" s="1570"/>
      <c r="L333" s="1570"/>
      <c r="M333" s="522"/>
      <c r="N333" s="522">
        <v>5.8999999999999997E-2</v>
      </c>
      <c r="O333" s="937"/>
      <c r="P333" s="986"/>
      <c r="Q333" s="941"/>
      <c r="R333" s="945"/>
      <c r="S333" s="1762"/>
      <c r="T333" s="1763"/>
      <c r="U333" s="1762"/>
      <c r="V333" s="1762"/>
      <c r="W333" s="1760"/>
      <c r="X333" s="1761"/>
      <c r="Y333" s="1760"/>
      <c r="Z333" s="2507"/>
      <c r="AE333" s="2461"/>
      <c r="AF333" s="68"/>
    </row>
    <row r="334" spans="1:32" x14ac:dyDescent="0.35">
      <c r="A334" s="2112"/>
      <c r="B334" s="515" t="s">
        <v>2920</v>
      </c>
      <c r="C334" s="515"/>
      <c r="D334" s="521"/>
      <c r="E334" s="949" t="s">
        <v>2642</v>
      </c>
      <c r="F334" s="2289">
        <v>4</v>
      </c>
      <c r="G334" s="2289">
        <v>5</v>
      </c>
      <c r="H334" s="166">
        <v>6</v>
      </c>
      <c r="I334" s="522"/>
      <c r="J334" s="522"/>
      <c r="K334" s="1570"/>
      <c r="L334" s="1570"/>
      <c r="M334" s="522"/>
      <c r="N334" s="522"/>
      <c r="O334" s="937"/>
      <c r="P334" s="986"/>
      <c r="Q334" s="941">
        <v>2.903</v>
      </c>
      <c r="R334" s="945"/>
      <c r="S334" s="1762"/>
      <c r="T334" s="1763"/>
      <c r="U334" s="1762"/>
      <c r="V334" s="1762"/>
      <c r="W334" s="1760"/>
      <c r="X334" s="1761"/>
      <c r="Y334" s="1760"/>
      <c r="Z334" s="2507"/>
      <c r="AE334" s="2461"/>
      <c r="AF334" s="68"/>
    </row>
    <row r="335" spans="1:32" x14ac:dyDescent="0.35">
      <c r="A335" s="2112"/>
      <c r="B335" s="515" t="s">
        <v>2920</v>
      </c>
      <c r="C335" s="515"/>
      <c r="D335" s="521"/>
      <c r="E335" s="519" t="s">
        <v>2213</v>
      </c>
      <c r="F335" s="2289">
        <v>4</v>
      </c>
      <c r="G335" s="2289">
        <v>5</v>
      </c>
      <c r="H335" s="166">
        <v>6</v>
      </c>
      <c r="I335" s="522"/>
      <c r="J335" s="522"/>
      <c r="K335" s="1570"/>
      <c r="L335" s="1570"/>
      <c r="M335" s="522"/>
      <c r="N335" s="522">
        <v>0.63</v>
      </c>
      <c r="O335" s="937"/>
      <c r="P335" s="986"/>
      <c r="Q335" s="941"/>
      <c r="R335" s="945"/>
      <c r="S335" s="1762"/>
      <c r="T335" s="1763"/>
      <c r="U335" s="1762"/>
      <c r="V335" s="1762"/>
      <c r="W335" s="1760"/>
      <c r="X335" s="1761"/>
      <c r="Y335" s="1760"/>
      <c r="Z335" s="2507"/>
      <c r="AE335" s="2461"/>
      <c r="AF335" s="68"/>
    </row>
    <row r="336" spans="1:32" ht="45" x14ac:dyDescent="0.35">
      <c r="A336" s="805">
        <v>139</v>
      </c>
      <c r="B336" s="805" t="s">
        <v>2920</v>
      </c>
      <c r="C336" s="693" t="s">
        <v>1656</v>
      </c>
      <c r="D336" s="2467" t="s">
        <v>4906</v>
      </c>
      <c r="E336" s="2344" t="s">
        <v>8513</v>
      </c>
      <c r="F336" s="2176" t="s">
        <v>664</v>
      </c>
      <c r="G336" s="2176">
        <v>5</v>
      </c>
      <c r="H336" s="165">
        <v>6</v>
      </c>
      <c r="I336" s="2108">
        <f>J336+K336+L336</f>
        <v>0.3</v>
      </c>
      <c r="J336" s="2108">
        <f>SUM(M336:R336)</f>
        <v>0.3</v>
      </c>
      <c r="K336" s="797"/>
      <c r="L336" s="797"/>
      <c r="M336" s="797"/>
      <c r="N336" s="797"/>
      <c r="O336" s="797"/>
      <c r="P336" s="797"/>
      <c r="Q336" s="2109"/>
      <c r="R336" s="2110">
        <v>0.3</v>
      </c>
      <c r="S336" s="2508"/>
      <c r="T336" s="2508"/>
      <c r="U336" s="2508"/>
      <c r="V336" s="2508"/>
      <c r="W336" s="1760"/>
      <c r="X336" s="1761"/>
      <c r="Y336" s="1760"/>
      <c r="Z336" s="2507"/>
      <c r="AB336" s="3">
        <v>1</v>
      </c>
      <c r="AE336" s="2461"/>
      <c r="AF336" s="68"/>
    </row>
    <row r="337" spans="1:32" ht="30" x14ac:dyDescent="0.35">
      <c r="A337" s="2111">
        <v>140</v>
      </c>
      <c r="B337" s="515" t="s">
        <v>2920</v>
      </c>
      <c r="C337" s="515"/>
      <c r="D337" s="2467" t="s">
        <v>4907</v>
      </c>
      <c r="E337" s="516" t="s">
        <v>7729</v>
      </c>
      <c r="F337" s="165"/>
      <c r="G337" s="165" t="s">
        <v>191</v>
      </c>
      <c r="H337" s="166" t="s">
        <v>191</v>
      </c>
      <c r="I337" s="517">
        <f>J337+K337+L337</f>
        <v>4.0200000000000005</v>
      </c>
      <c r="J337" s="518">
        <f>SUM(M337:R337)</f>
        <v>4.0200000000000005</v>
      </c>
      <c r="K337" s="1569"/>
      <c r="L337" s="1569"/>
      <c r="M337" s="517"/>
      <c r="N337" s="517">
        <f>SUM(N338:N339)</f>
        <v>7.0000000000000007E-2</v>
      </c>
      <c r="O337" s="938"/>
      <c r="P337" s="987"/>
      <c r="Q337" s="942">
        <f>SUM(Q338:Q339)</f>
        <v>3.95</v>
      </c>
      <c r="R337" s="946"/>
      <c r="S337" s="1760"/>
      <c r="T337" s="1761"/>
      <c r="U337" s="1760"/>
      <c r="V337" s="1760"/>
      <c r="W337" s="1760">
        <v>8</v>
      </c>
      <c r="X337" s="1761">
        <v>101.3</v>
      </c>
      <c r="Y337" s="1760">
        <v>4</v>
      </c>
      <c r="Z337" s="2507">
        <v>40.4</v>
      </c>
      <c r="AB337" s="75">
        <v>1</v>
      </c>
      <c r="AE337" s="2461"/>
      <c r="AF337" s="68"/>
    </row>
    <row r="338" spans="1:32" x14ac:dyDescent="0.35">
      <c r="A338" s="2111"/>
      <c r="B338" s="515" t="s">
        <v>2920</v>
      </c>
      <c r="C338" s="515"/>
      <c r="D338" s="515"/>
      <c r="E338" s="519" t="s">
        <v>2214</v>
      </c>
      <c r="F338" s="165">
        <v>4</v>
      </c>
      <c r="G338" s="165">
        <v>5</v>
      </c>
      <c r="H338" s="166">
        <v>6</v>
      </c>
      <c r="I338" s="522"/>
      <c r="J338" s="524"/>
      <c r="K338" s="1570"/>
      <c r="L338" s="1570"/>
      <c r="M338" s="522"/>
      <c r="N338" s="522">
        <v>7.0000000000000007E-2</v>
      </c>
      <c r="O338" s="937"/>
      <c r="P338" s="986"/>
      <c r="Q338" s="941"/>
      <c r="R338" s="946"/>
      <c r="S338" s="1760"/>
      <c r="T338" s="1761"/>
      <c r="U338" s="1760"/>
      <c r="V338" s="1760"/>
      <c r="W338" s="1760"/>
      <c r="X338" s="1761"/>
      <c r="Y338" s="1760"/>
      <c r="Z338" s="2507"/>
      <c r="AE338" s="2461"/>
      <c r="AF338" s="68"/>
    </row>
    <row r="339" spans="1:32" x14ac:dyDescent="0.35">
      <c r="A339" s="2111"/>
      <c r="B339" s="515" t="s">
        <v>2920</v>
      </c>
      <c r="C339" s="515"/>
      <c r="D339" s="515"/>
      <c r="E339" s="949" t="s">
        <v>989</v>
      </c>
      <c r="F339" s="165">
        <v>4</v>
      </c>
      <c r="G339" s="165">
        <v>5</v>
      </c>
      <c r="H339" s="166">
        <v>6</v>
      </c>
      <c r="I339" s="522"/>
      <c r="J339" s="524"/>
      <c r="K339" s="1570"/>
      <c r="L339" s="1570"/>
      <c r="M339" s="522"/>
      <c r="N339" s="522"/>
      <c r="O339" s="937"/>
      <c r="P339" s="986"/>
      <c r="Q339" s="941">
        <v>3.95</v>
      </c>
      <c r="R339" s="946"/>
      <c r="S339" s="1760"/>
      <c r="T339" s="1761"/>
      <c r="U339" s="1760"/>
      <c r="V339" s="1760"/>
      <c r="W339" s="1760"/>
      <c r="X339" s="1761"/>
      <c r="Y339" s="1760"/>
      <c r="Z339" s="2507"/>
      <c r="AE339" s="2461"/>
      <c r="AF339" s="68"/>
    </row>
    <row r="340" spans="1:32" s="76" customFormat="1" ht="30" x14ac:dyDescent="0.35">
      <c r="A340" s="2001">
        <v>141</v>
      </c>
      <c r="B340" s="515" t="s">
        <v>2920</v>
      </c>
      <c r="C340" s="515"/>
      <c r="D340" s="2467" t="s">
        <v>4908</v>
      </c>
      <c r="E340" s="1999" t="s">
        <v>7730</v>
      </c>
      <c r="F340" s="165" t="s">
        <v>664</v>
      </c>
      <c r="G340" s="166">
        <v>5</v>
      </c>
      <c r="H340" s="165">
        <v>6</v>
      </c>
      <c r="I340" s="297">
        <f>J340+K340+L340</f>
        <v>0.57499999999999996</v>
      </c>
      <c r="J340" s="297">
        <f>SUM(M340:R340)</f>
        <v>0.57499999999999996</v>
      </c>
      <c r="K340" s="1570"/>
      <c r="L340" s="1570"/>
      <c r="M340" s="517"/>
      <c r="N340" s="517"/>
      <c r="O340" s="2371"/>
      <c r="P340" s="2372"/>
      <c r="Q340" s="2000"/>
      <c r="R340" s="2373">
        <v>0.57499999999999996</v>
      </c>
      <c r="S340" s="1762"/>
      <c r="T340" s="1763"/>
      <c r="U340" s="1762"/>
      <c r="V340" s="1762"/>
      <c r="W340" s="1760"/>
      <c r="X340" s="1761"/>
      <c r="Y340" s="1760"/>
      <c r="Z340" s="2507"/>
      <c r="AB340" s="76">
        <v>1</v>
      </c>
      <c r="AE340" s="2461"/>
      <c r="AF340" s="68"/>
    </row>
    <row r="341" spans="1:32" ht="45" x14ac:dyDescent="0.35">
      <c r="A341" s="693">
        <v>142</v>
      </c>
      <c r="B341" s="693" t="s">
        <v>2920</v>
      </c>
      <c r="C341" s="693" t="s">
        <v>1656</v>
      </c>
      <c r="D341" s="2467" t="s">
        <v>4909</v>
      </c>
      <c r="E341" s="322" t="s">
        <v>8514</v>
      </c>
      <c r="F341" s="92" t="s">
        <v>664</v>
      </c>
      <c r="G341" s="92">
        <v>5</v>
      </c>
      <c r="H341" s="165">
        <v>6</v>
      </c>
      <c r="I341" s="1924">
        <f t="shared" ref="I341:I350" si="18">J341+K341+L341</f>
        <v>0.8</v>
      </c>
      <c r="J341" s="1924">
        <f t="shared" ref="J341:J350" si="19">SUM(M341:R341)</f>
        <v>0.8</v>
      </c>
      <c r="K341" s="622"/>
      <c r="L341" s="622"/>
      <c r="M341" s="622"/>
      <c r="N341" s="622"/>
      <c r="O341" s="622"/>
      <c r="P341" s="622"/>
      <c r="Q341" s="913"/>
      <c r="R341" s="906">
        <v>0.8</v>
      </c>
      <c r="S341" s="1571"/>
      <c r="T341" s="1571"/>
      <c r="U341" s="1571"/>
      <c r="V341" s="1571"/>
      <c r="W341" s="1760"/>
      <c r="X341" s="1761"/>
      <c r="Y341" s="1760"/>
      <c r="Z341" s="2507"/>
      <c r="AB341" s="3">
        <v>1</v>
      </c>
      <c r="AE341" s="2461"/>
      <c r="AF341" s="68"/>
    </row>
    <row r="342" spans="1:32" ht="30" x14ac:dyDescent="0.35">
      <c r="A342" s="2001">
        <v>143</v>
      </c>
      <c r="B342" s="515" t="s">
        <v>2920</v>
      </c>
      <c r="C342" s="515"/>
      <c r="D342" s="2467" t="s">
        <v>4910</v>
      </c>
      <c r="E342" s="1999" t="s">
        <v>7731</v>
      </c>
      <c r="F342" s="165"/>
      <c r="G342" s="165" t="s">
        <v>191</v>
      </c>
      <c r="H342" s="165" t="s">
        <v>191</v>
      </c>
      <c r="I342" s="517">
        <f>J342+K342+L342</f>
        <v>1.46</v>
      </c>
      <c r="J342" s="518">
        <f>SUM(M342:R342)</f>
        <v>1.46</v>
      </c>
      <c r="K342" s="1569"/>
      <c r="L342" s="1569"/>
      <c r="M342" s="517"/>
      <c r="N342" s="517"/>
      <c r="O342" s="938"/>
      <c r="P342" s="987"/>
      <c r="Q342" s="942"/>
      <c r="R342" s="946">
        <f>SUM(R343:R344)</f>
        <v>1.46</v>
      </c>
      <c r="S342" s="1760"/>
      <c r="T342" s="1761"/>
      <c r="U342" s="1760"/>
      <c r="V342" s="1760"/>
      <c r="W342" s="1760">
        <v>1</v>
      </c>
      <c r="X342" s="1761">
        <v>10</v>
      </c>
      <c r="Y342" s="1760"/>
      <c r="Z342" s="2507"/>
      <c r="AB342" s="75">
        <v>1</v>
      </c>
      <c r="AC342" s="3" t="s">
        <v>2570</v>
      </c>
      <c r="AE342" s="2461"/>
      <c r="AF342" s="68"/>
    </row>
    <row r="343" spans="1:32" x14ac:dyDescent="0.35">
      <c r="A343" s="1040"/>
      <c r="B343" s="515" t="s">
        <v>2920</v>
      </c>
      <c r="C343" s="693"/>
      <c r="D343" s="358"/>
      <c r="E343" s="948" t="s">
        <v>1074</v>
      </c>
      <c r="F343" s="92" t="s">
        <v>827</v>
      </c>
      <c r="G343" s="165">
        <v>5</v>
      </c>
      <c r="H343" s="165">
        <v>6</v>
      </c>
      <c r="I343" s="1918"/>
      <c r="J343" s="1918"/>
      <c r="K343" s="395"/>
      <c r="L343" s="395"/>
      <c r="M343" s="395"/>
      <c r="N343" s="395"/>
      <c r="O343" s="395"/>
      <c r="P343" s="395"/>
      <c r="Q343" s="914"/>
      <c r="R343" s="907">
        <v>0.4</v>
      </c>
      <c r="S343" s="1571"/>
      <c r="T343" s="1571"/>
      <c r="U343" s="1571"/>
      <c r="V343" s="1571"/>
      <c r="W343" s="1760"/>
      <c r="X343" s="1761"/>
      <c r="Y343" s="1760"/>
      <c r="Z343" s="2507"/>
      <c r="AE343" s="2461"/>
      <c r="AF343" s="68"/>
    </row>
    <row r="344" spans="1:32" x14ac:dyDescent="0.35">
      <c r="A344" s="2001"/>
      <c r="B344" s="515" t="s">
        <v>2920</v>
      </c>
      <c r="C344" s="515"/>
      <c r="D344" s="515"/>
      <c r="E344" s="948" t="s">
        <v>2425</v>
      </c>
      <c r="F344" s="165" t="s">
        <v>1490</v>
      </c>
      <c r="G344" s="165">
        <v>5</v>
      </c>
      <c r="H344" s="165">
        <v>6</v>
      </c>
      <c r="I344" s="522"/>
      <c r="J344" s="524"/>
      <c r="K344" s="2275"/>
      <c r="L344" s="2275"/>
      <c r="M344" s="522"/>
      <c r="N344" s="522"/>
      <c r="O344" s="2276"/>
      <c r="P344" s="2277"/>
      <c r="Q344" s="2278"/>
      <c r="R344" s="2279">
        <f>1.46-0.4</f>
        <v>1.06</v>
      </c>
      <c r="S344" s="1760"/>
      <c r="T344" s="1761"/>
      <c r="U344" s="1760"/>
      <c r="V344" s="1760"/>
      <c r="W344" s="1760"/>
      <c r="X344" s="1761"/>
      <c r="Y344" s="1760"/>
      <c r="Z344" s="2507"/>
      <c r="AB344" s="75"/>
      <c r="AE344" s="2461"/>
      <c r="AF344" s="68"/>
    </row>
    <row r="345" spans="1:32" ht="30" x14ac:dyDescent="0.35">
      <c r="A345" s="693">
        <v>144</v>
      </c>
      <c r="B345" s="693" t="s">
        <v>2920</v>
      </c>
      <c r="C345" s="693" t="s">
        <v>1656</v>
      </c>
      <c r="D345" s="2467" t="s">
        <v>4911</v>
      </c>
      <c r="E345" s="322" t="s">
        <v>8515</v>
      </c>
      <c r="F345" s="92" t="s">
        <v>664</v>
      </c>
      <c r="G345" s="92">
        <v>5</v>
      </c>
      <c r="H345" s="165">
        <v>6</v>
      </c>
      <c r="I345" s="1924">
        <f t="shared" si="18"/>
        <v>0.6</v>
      </c>
      <c r="J345" s="1924">
        <f t="shared" si="19"/>
        <v>0.6</v>
      </c>
      <c r="K345" s="622"/>
      <c r="L345" s="622"/>
      <c r="M345" s="622"/>
      <c r="N345" s="622"/>
      <c r="O345" s="622"/>
      <c r="P345" s="622"/>
      <c r="Q345" s="913"/>
      <c r="R345" s="906">
        <v>0.6</v>
      </c>
      <c r="S345" s="1571"/>
      <c r="T345" s="1571"/>
      <c r="U345" s="1571"/>
      <c r="V345" s="1571"/>
      <c r="W345" s="1760"/>
      <c r="X345" s="1761"/>
      <c r="Y345" s="1760"/>
      <c r="Z345" s="2507"/>
      <c r="AB345" s="3">
        <v>1</v>
      </c>
      <c r="AE345" s="2461"/>
      <c r="AF345" s="68"/>
    </row>
    <row r="346" spans="1:32" ht="30" x14ac:dyDescent="0.35">
      <c r="A346" s="693">
        <v>145</v>
      </c>
      <c r="B346" s="515" t="s">
        <v>2920</v>
      </c>
      <c r="C346" s="515"/>
      <c r="D346" s="2467" t="s">
        <v>4912</v>
      </c>
      <c r="E346" s="1999" t="s">
        <v>7732</v>
      </c>
      <c r="F346" s="165" t="s">
        <v>1490</v>
      </c>
      <c r="G346" s="165">
        <v>5</v>
      </c>
      <c r="H346" s="165">
        <v>6</v>
      </c>
      <c r="I346" s="517">
        <f t="shared" si="18"/>
        <v>0.6</v>
      </c>
      <c r="J346" s="518">
        <f t="shared" si="19"/>
        <v>0.6</v>
      </c>
      <c r="K346" s="1569"/>
      <c r="L346" s="1569"/>
      <c r="M346" s="517"/>
      <c r="N346" s="517"/>
      <c r="O346" s="938"/>
      <c r="P346" s="987"/>
      <c r="Q346" s="942"/>
      <c r="R346" s="946">
        <v>0.6</v>
      </c>
      <c r="S346" s="1760"/>
      <c r="T346" s="1761"/>
      <c r="U346" s="1760"/>
      <c r="V346" s="1760"/>
      <c r="W346" s="1760"/>
      <c r="X346" s="1761"/>
      <c r="Y346" s="1760"/>
      <c r="Z346" s="2507"/>
      <c r="AB346" s="75">
        <v>1</v>
      </c>
      <c r="AE346" s="2461"/>
      <c r="AF346" s="68"/>
    </row>
    <row r="347" spans="1:32" ht="30" x14ac:dyDescent="0.35">
      <c r="A347" s="693">
        <v>146</v>
      </c>
      <c r="B347" s="693" t="s">
        <v>2920</v>
      </c>
      <c r="C347" s="693" t="s">
        <v>1656</v>
      </c>
      <c r="D347" s="2467" t="s">
        <v>4913</v>
      </c>
      <c r="E347" s="322" t="s">
        <v>8516</v>
      </c>
      <c r="F347" s="92" t="s">
        <v>664</v>
      </c>
      <c r="G347" s="92">
        <v>5</v>
      </c>
      <c r="H347" s="165">
        <v>6</v>
      </c>
      <c r="I347" s="1924">
        <f t="shared" si="18"/>
        <v>0.7</v>
      </c>
      <c r="J347" s="1924">
        <f t="shared" si="19"/>
        <v>0.7</v>
      </c>
      <c r="K347" s="622"/>
      <c r="L347" s="622"/>
      <c r="M347" s="622"/>
      <c r="N347" s="622"/>
      <c r="O347" s="622"/>
      <c r="P347" s="622"/>
      <c r="Q347" s="913"/>
      <c r="R347" s="906">
        <v>0.7</v>
      </c>
      <c r="S347" s="1571"/>
      <c r="T347" s="1571"/>
      <c r="U347" s="1571"/>
      <c r="V347" s="1571"/>
      <c r="W347" s="1760"/>
      <c r="X347" s="1761"/>
      <c r="Y347" s="1760"/>
      <c r="Z347" s="2507"/>
      <c r="AB347" s="3">
        <v>1</v>
      </c>
      <c r="AE347" s="2461"/>
      <c r="AF347" s="68"/>
    </row>
    <row r="348" spans="1:32" ht="30" x14ac:dyDescent="0.35">
      <c r="A348" s="693">
        <v>147</v>
      </c>
      <c r="B348" s="693" t="s">
        <v>2920</v>
      </c>
      <c r="C348" s="693" t="s">
        <v>1656</v>
      </c>
      <c r="D348" s="2467" t="s">
        <v>4914</v>
      </c>
      <c r="E348" s="322" t="s">
        <v>8517</v>
      </c>
      <c r="F348" s="92" t="s">
        <v>664</v>
      </c>
      <c r="G348" s="92">
        <v>5</v>
      </c>
      <c r="H348" s="165">
        <v>6</v>
      </c>
      <c r="I348" s="1924">
        <f t="shared" si="18"/>
        <v>0.1</v>
      </c>
      <c r="J348" s="1924">
        <f t="shared" si="19"/>
        <v>0.1</v>
      </c>
      <c r="K348" s="622"/>
      <c r="L348" s="622"/>
      <c r="M348" s="622"/>
      <c r="N348" s="622"/>
      <c r="O348" s="622"/>
      <c r="P348" s="622"/>
      <c r="Q348" s="913"/>
      <c r="R348" s="906">
        <v>0.1</v>
      </c>
      <c r="S348" s="1571"/>
      <c r="T348" s="1571"/>
      <c r="U348" s="1571"/>
      <c r="V348" s="1571"/>
      <c r="W348" s="1760"/>
      <c r="X348" s="1761"/>
      <c r="Y348" s="1760"/>
      <c r="Z348" s="2507"/>
      <c r="AB348" s="3">
        <v>1</v>
      </c>
      <c r="AE348" s="2461"/>
      <c r="AF348" s="68"/>
    </row>
    <row r="349" spans="1:32" ht="30" x14ac:dyDescent="0.35">
      <c r="A349" s="693">
        <v>148</v>
      </c>
      <c r="B349" s="693" t="s">
        <v>2920</v>
      </c>
      <c r="C349" s="693" t="s">
        <v>1656</v>
      </c>
      <c r="D349" s="2467" t="s">
        <v>4915</v>
      </c>
      <c r="E349" s="322" t="s">
        <v>8518</v>
      </c>
      <c r="F349" s="92" t="s">
        <v>664</v>
      </c>
      <c r="G349" s="92">
        <v>5</v>
      </c>
      <c r="H349" s="165">
        <v>6</v>
      </c>
      <c r="I349" s="1924">
        <f t="shared" si="18"/>
        <v>0.25</v>
      </c>
      <c r="J349" s="1924">
        <f t="shared" si="19"/>
        <v>0.25</v>
      </c>
      <c r="K349" s="622"/>
      <c r="L349" s="622"/>
      <c r="M349" s="622"/>
      <c r="N349" s="622"/>
      <c r="O349" s="622"/>
      <c r="P349" s="622"/>
      <c r="Q349" s="913"/>
      <c r="R349" s="906">
        <v>0.25</v>
      </c>
      <c r="S349" s="1571"/>
      <c r="T349" s="1571"/>
      <c r="U349" s="1571"/>
      <c r="V349" s="1571"/>
      <c r="W349" s="1760"/>
      <c r="X349" s="1761"/>
      <c r="Y349" s="1760"/>
      <c r="Z349" s="2507"/>
      <c r="AB349" s="3">
        <v>1</v>
      </c>
      <c r="AE349" s="2461"/>
      <c r="AF349" s="68"/>
    </row>
    <row r="350" spans="1:32" ht="45" x14ac:dyDescent="0.35">
      <c r="A350" s="693">
        <v>149</v>
      </c>
      <c r="B350" s="693" t="s">
        <v>2920</v>
      </c>
      <c r="C350" s="693" t="s">
        <v>1656</v>
      </c>
      <c r="D350" s="2467" t="s">
        <v>4916</v>
      </c>
      <c r="E350" s="322" t="s">
        <v>8519</v>
      </c>
      <c r="F350" s="92" t="s">
        <v>664</v>
      </c>
      <c r="G350" s="92">
        <v>5</v>
      </c>
      <c r="H350" s="165">
        <v>6</v>
      </c>
      <c r="I350" s="1924">
        <f t="shared" si="18"/>
        <v>1.5</v>
      </c>
      <c r="J350" s="1924">
        <f t="shared" si="19"/>
        <v>1.5</v>
      </c>
      <c r="K350" s="622"/>
      <c r="L350" s="622"/>
      <c r="M350" s="622"/>
      <c r="N350" s="622"/>
      <c r="O350" s="622"/>
      <c r="P350" s="622"/>
      <c r="Q350" s="913"/>
      <c r="R350" s="906">
        <v>1.5</v>
      </c>
      <c r="S350" s="1571"/>
      <c r="T350" s="1571"/>
      <c r="U350" s="1571"/>
      <c r="V350" s="1571"/>
      <c r="W350" s="1760"/>
      <c r="X350" s="1761"/>
      <c r="Y350" s="1760"/>
      <c r="Z350" s="2507"/>
      <c r="AB350" s="3">
        <v>1</v>
      </c>
      <c r="AE350" s="2461"/>
      <c r="AF350" s="68"/>
    </row>
    <row r="351" spans="1:32" ht="30.5" x14ac:dyDescent="0.35">
      <c r="A351" s="693"/>
      <c r="B351" s="515" t="s">
        <v>2920</v>
      </c>
      <c r="C351" s="515"/>
      <c r="D351" s="515"/>
      <c r="E351" s="1582" t="s">
        <v>9827</v>
      </c>
      <c r="F351" s="165"/>
      <c r="G351" s="165"/>
      <c r="H351" s="165"/>
      <c r="I351" s="517"/>
      <c r="J351" s="518"/>
      <c r="K351" s="1571"/>
      <c r="L351" s="1571"/>
      <c r="M351" s="527"/>
      <c r="N351" s="527"/>
      <c r="O351" s="939"/>
      <c r="P351" s="988"/>
      <c r="Q351" s="943"/>
      <c r="R351" s="947"/>
      <c r="S351" s="1571"/>
      <c r="T351" s="1571"/>
      <c r="U351" s="1571"/>
      <c r="V351" s="1571"/>
      <c r="W351" s="1760"/>
      <c r="X351" s="1761"/>
      <c r="Y351" s="1760"/>
      <c r="Z351" s="2507"/>
      <c r="AE351" s="2461"/>
      <c r="AF351" s="68"/>
    </row>
    <row r="352" spans="1:32" ht="30" x14ac:dyDescent="0.35">
      <c r="A352" s="2001">
        <v>150</v>
      </c>
      <c r="B352" s="693" t="s">
        <v>2920</v>
      </c>
      <c r="C352" s="693" t="s">
        <v>1656</v>
      </c>
      <c r="D352" s="2467" t="s">
        <v>4917</v>
      </c>
      <c r="E352" s="322" t="s">
        <v>9826</v>
      </c>
      <c r="F352" s="92" t="s">
        <v>1490</v>
      </c>
      <c r="G352" s="92">
        <v>5</v>
      </c>
      <c r="H352" s="165">
        <v>6</v>
      </c>
      <c r="I352" s="1924">
        <f>J352+K352+L352</f>
        <v>0.5</v>
      </c>
      <c r="J352" s="1924">
        <f>SUM(M352:R352)</f>
        <v>0.5</v>
      </c>
      <c r="K352" s="622"/>
      <c r="L352" s="622"/>
      <c r="M352" s="622"/>
      <c r="N352" s="622"/>
      <c r="O352" s="622"/>
      <c r="P352" s="622"/>
      <c r="Q352" s="913"/>
      <c r="R352" s="906">
        <v>0.5</v>
      </c>
      <c r="S352" s="1571"/>
      <c r="T352" s="1571"/>
      <c r="U352" s="1571"/>
      <c r="V352" s="1571"/>
      <c r="W352" s="1760"/>
      <c r="X352" s="1761"/>
      <c r="Y352" s="1760"/>
      <c r="Z352" s="2507"/>
      <c r="AB352" s="3">
        <v>1</v>
      </c>
      <c r="AE352" s="2461"/>
      <c r="AF352" s="68"/>
    </row>
    <row r="353" spans="1:32" x14ac:dyDescent="0.35">
      <c r="A353" s="693"/>
      <c r="B353" s="515" t="s">
        <v>2920</v>
      </c>
      <c r="C353" s="515"/>
      <c r="D353" s="515"/>
      <c r="E353" s="1582" t="s">
        <v>8520</v>
      </c>
      <c r="F353" s="165"/>
      <c r="G353" s="165"/>
      <c r="H353" s="165"/>
      <c r="I353" s="517"/>
      <c r="J353" s="518"/>
      <c r="K353" s="1571"/>
      <c r="L353" s="1571"/>
      <c r="M353" s="527"/>
      <c r="N353" s="527"/>
      <c r="O353" s="939"/>
      <c r="P353" s="988"/>
      <c r="Q353" s="943"/>
      <c r="R353" s="947"/>
      <c r="S353" s="1571"/>
      <c r="T353" s="1571"/>
      <c r="U353" s="1571"/>
      <c r="V353" s="1571"/>
      <c r="W353" s="1760"/>
      <c r="X353" s="1761"/>
      <c r="Y353" s="1760"/>
      <c r="Z353" s="2507"/>
      <c r="AE353" s="2461"/>
      <c r="AF353" s="68"/>
    </row>
    <row r="354" spans="1:32" ht="30" x14ac:dyDescent="0.35">
      <c r="A354" s="2001">
        <v>151</v>
      </c>
      <c r="B354" s="693" t="s">
        <v>2920</v>
      </c>
      <c r="C354" s="693" t="s">
        <v>1656</v>
      </c>
      <c r="D354" s="2467" t="s">
        <v>4918</v>
      </c>
      <c r="E354" s="322" t="s">
        <v>9260</v>
      </c>
      <c r="F354" s="92" t="s">
        <v>1490</v>
      </c>
      <c r="G354" s="92">
        <v>5</v>
      </c>
      <c r="H354" s="165">
        <v>6</v>
      </c>
      <c r="I354" s="1924">
        <f>J354+K354+L354</f>
        <v>0.15</v>
      </c>
      <c r="J354" s="1924">
        <f>SUM(M354:R354)</f>
        <v>0.15</v>
      </c>
      <c r="K354" s="622"/>
      <c r="L354" s="622"/>
      <c r="M354" s="622"/>
      <c r="N354" s="622"/>
      <c r="O354" s="622"/>
      <c r="P354" s="622"/>
      <c r="Q354" s="913"/>
      <c r="R354" s="906">
        <v>0.15</v>
      </c>
      <c r="S354" s="1571"/>
      <c r="T354" s="1571"/>
      <c r="U354" s="1571"/>
      <c r="V354" s="1571"/>
      <c r="W354" s="1760"/>
      <c r="X354" s="1761"/>
      <c r="Y354" s="1760"/>
      <c r="Z354" s="2507"/>
      <c r="AB354" s="3">
        <v>1</v>
      </c>
      <c r="AE354" s="2461"/>
      <c r="AF354" s="68"/>
    </row>
    <row r="355" spans="1:32" x14ac:dyDescent="0.35">
      <c r="E355" s="628"/>
    </row>
    <row r="356" spans="1:32" x14ac:dyDescent="0.35">
      <c r="E356" s="628"/>
    </row>
    <row r="357" spans="1:32" x14ac:dyDescent="0.35">
      <c r="E357" s="628"/>
    </row>
    <row r="358" spans="1:32" x14ac:dyDescent="0.35">
      <c r="E358" s="628"/>
    </row>
    <row r="359" spans="1:32" x14ac:dyDescent="0.35">
      <c r="E359" s="628"/>
    </row>
    <row r="360" spans="1:32" x14ac:dyDescent="0.35">
      <c r="E360" s="628"/>
    </row>
    <row r="361" spans="1:32" x14ac:dyDescent="0.35">
      <c r="E361" s="628"/>
    </row>
    <row r="362" spans="1:32" x14ac:dyDescent="0.35">
      <c r="E362" s="628"/>
    </row>
    <row r="363" spans="1:32" x14ac:dyDescent="0.35">
      <c r="E363" s="628"/>
    </row>
    <row r="364" spans="1:32" x14ac:dyDescent="0.35">
      <c r="E364" s="628"/>
    </row>
    <row r="365" spans="1:32" x14ac:dyDescent="0.35">
      <c r="E365" s="628"/>
    </row>
    <row r="366" spans="1:32" x14ac:dyDescent="0.35">
      <c r="E366" s="628"/>
    </row>
    <row r="367" spans="1:32" x14ac:dyDescent="0.35">
      <c r="E367" s="628"/>
    </row>
    <row r="368" spans="1:32" x14ac:dyDescent="0.35">
      <c r="E368" s="628"/>
    </row>
    <row r="369" spans="5:5" x14ac:dyDescent="0.35">
      <c r="E369" s="628"/>
    </row>
    <row r="370" spans="5:5" x14ac:dyDescent="0.35">
      <c r="E370" s="628"/>
    </row>
    <row r="371" spans="5:5" x14ac:dyDescent="0.35">
      <c r="E371" s="628"/>
    </row>
    <row r="372" spans="5:5" x14ac:dyDescent="0.35">
      <c r="E372" s="628"/>
    </row>
    <row r="373" spans="5:5" x14ac:dyDescent="0.35">
      <c r="E373" s="628"/>
    </row>
    <row r="374" spans="5:5" x14ac:dyDescent="0.35">
      <c r="E374" s="628"/>
    </row>
    <row r="375" spans="5:5" x14ac:dyDescent="0.35">
      <c r="E375" s="628"/>
    </row>
    <row r="376" spans="5:5" x14ac:dyDescent="0.35">
      <c r="E376" s="628"/>
    </row>
    <row r="377" spans="5:5" x14ac:dyDescent="0.35">
      <c r="E377" s="628"/>
    </row>
    <row r="378" spans="5:5" x14ac:dyDescent="0.35">
      <c r="E378" s="628"/>
    </row>
    <row r="379" spans="5:5" x14ac:dyDescent="0.35">
      <c r="E379" s="628"/>
    </row>
    <row r="380" spans="5:5" x14ac:dyDescent="0.35">
      <c r="E380" s="628"/>
    </row>
    <row r="381" spans="5:5" x14ac:dyDescent="0.35">
      <c r="E381" s="628"/>
    </row>
    <row r="382" spans="5:5" x14ac:dyDescent="0.35">
      <c r="E382" s="628"/>
    </row>
    <row r="383" spans="5:5" x14ac:dyDescent="0.35">
      <c r="E383" s="628"/>
    </row>
    <row r="384" spans="5:5" x14ac:dyDescent="0.35">
      <c r="E384" s="628"/>
    </row>
    <row r="385" spans="5:5" x14ac:dyDescent="0.35">
      <c r="E385" s="628"/>
    </row>
    <row r="386" spans="5:5" x14ac:dyDescent="0.35">
      <c r="E386" s="628"/>
    </row>
    <row r="387" spans="5:5" x14ac:dyDescent="0.35">
      <c r="E387" s="628"/>
    </row>
    <row r="388" spans="5:5" x14ac:dyDescent="0.35">
      <c r="E388" s="628"/>
    </row>
    <row r="389" spans="5:5" x14ac:dyDescent="0.35">
      <c r="E389" s="628"/>
    </row>
    <row r="390" spans="5:5" x14ac:dyDescent="0.35">
      <c r="E390" s="628"/>
    </row>
    <row r="391" spans="5:5" x14ac:dyDescent="0.35">
      <c r="E391" s="628"/>
    </row>
    <row r="392" spans="5:5" x14ac:dyDescent="0.35">
      <c r="E392" s="628"/>
    </row>
    <row r="393" spans="5:5" x14ac:dyDescent="0.35">
      <c r="E393" s="628"/>
    </row>
    <row r="394" spans="5:5" x14ac:dyDescent="0.35">
      <c r="E394" s="628"/>
    </row>
    <row r="395" spans="5:5" x14ac:dyDescent="0.35">
      <c r="E395" s="628"/>
    </row>
    <row r="396" spans="5:5" x14ac:dyDescent="0.35">
      <c r="E396" s="628"/>
    </row>
    <row r="397" spans="5:5" x14ac:dyDescent="0.35">
      <c r="E397" s="628"/>
    </row>
    <row r="398" spans="5:5" x14ac:dyDescent="0.35">
      <c r="E398" s="628"/>
    </row>
    <row r="399" spans="5:5" x14ac:dyDescent="0.35">
      <c r="E399" s="628"/>
    </row>
    <row r="400" spans="5:5" x14ac:dyDescent="0.35">
      <c r="E400" s="628"/>
    </row>
    <row r="401" spans="5:5" x14ac:dyDescent="0.35">
      <c r="E401" s="628"/>
    </row>
    <row r="402" spans="5:5" x14ac:dyDescent="0.35">
      <c r="E402" s="628"/>
    </row>
    <row r="403" spans="5:5" x14ac:dyDescent="0.35">
      <c r="E403" s="628"/>
    </row>
    <row r="404" spans="5:5" x14ac:dyDescent="0.35">
      <c r="E404" s="628"/>
    </row>
    <row r="405" spans="5:5" x14ac:dyDescent="0.35">
      <c r="E405" s="628"/>
    </row>
    <row r="406" spans="5:5" x14ac:dyDescent="0.35">
      <c r="E406" s="628"/>
    </row>
    <row r="407" spans="5:5" x14ac:dyDescent="0.35">
      <c r="E407" s="628"/>
    </row>
    <row r="408" spans="5:5" x14ac:dyDescent="0.35">
      <c r="E408" s="628"/>
    </row>
    <row r="409" spans="5:5" x14ac:dyDescent="0.35">
      <c r="E409" s="628"/>
    </row>
    <row r="410" spans="5:5" x14ac:dyDescent="0.35">
      <c r="E410" s="628"/>
    </row>
    <row r="411" spans="5:5" x14ac:dyDescent="0.35">
      <c r="E411" s="628"/>
    </row>
    <row r="412" spans="5:5" x14ac:dyDescent="0.35">
      <c r="E412" s="628"/>
    </row>
    <row r="413" spans="5:5" x14ac:dyDescent="0.35">
      <c r="E413" s="628"/>
    </row>
    <row r="414" spans="5:5" x14ac:dyDescent="0.35">
      <c r="E414" s="628"/>
    </row>
    <row r="415" spans="5:5" x14ac:dyDescent="0.35">
      <c r="E415" s="628"/>
    </row>
    <row r="416" spans="5:5" x14ac:dyDescent="0.35">
      <c r="E416" s="628"/>
    </row>
    <row r="417" spans="5:5" x14ac:dyDescent="0.35">
      <c r="E417" s="628"/>
    </row>
    <row r="418" spans="5:5" x14ac:dyDescent="0.35">
      <c r="E418" s="628"/>
    </row>
    <row r="419" spans="5:5" x14ac:dyDescent="0.35">
      <c r="E419" s="628"/>
    </row>
    <row r="420" spans="5:5" x14ac:dyDescent="0.35">
      <c r="E420" s="628"/>
    </row>
    <row r="421" spans="5:5" x14ac:dyDescent="0.35">
      <c r="E421" s="628"/>
    </row>
    <row r="422" spans="5:5" x14ac:dyDescent="0.35">
      <c r="E422" s="628"/>
    </row>
    <row r="423" spans="5:5" x14ac:dyDescent="0.35">
      <c r="E423" s="628"/>
    </row>
    <row r="424" spans="5:5" x14ac:dyDescent="0.35">
      <c r="E424" s="628"/>
    </row>
    <row r="425" spans="5:5" x14ac:dyDescent="0.35">
      <c r="E425" s="628"/>
    </row>
    <row r="426" spans="5:5" x14ac:dyDescent="0.35">
      <c r="E426" s="628"/>
    </row>
    <row r="427" spans="5:5" x14ac:dyDescent="0.35">
      <c r="E427" s="628"/>
    </row>
    <row r="428" spans="5:5" x14ac:dyDescent="0.35">
      <c r="E428" s="628"/>
    </row>
    <row r="429" spans="5:5" x14ac:dyDescent="0.35">
      <c r="E429" s="628"/>
    </row>
    <row r="430" spans="5:5" x14ac:dyDescent="0.35">
      <c r="E430" s="628"/>
    </row>
    <row r="431" spans="5:5" x14ac:dyDescent="0.35">
      <c r="E431" s="628"/>
    </row>
    <row r="432" spans="5:5" x14ac:dyDescent="0.35">
      <c r="E432" s="628"/>
    </row>
    <row r="433" spans="5:5" x14ac:dyDescent="0.35">
      <c r="E433" s="628"/>
    </row>
    <row r="434" spans="5:5" x14ac:dyDescent="0.35">
      <c r="E434" s="628"/>
    </row>
    <row r="435" spans="5:5" x14ac:dyDescent="0.35">
      <c r="E435" s="628"/>
    </row>
    <row r="436" spans="5:5" x14ac:dyDescent="0.35">
      <c r="E436" s="628"/>
    </row>
    <row r="437" spans="5:5" x14ac:dyDescent="0.35">
      <c r="E437" s="628"/>
    </row>
    <row r="438" spans="5:5" x14ac:dyDescent="0.35">
      <c r="E438" s="628"/>
    </row>
    <row r="439" spans="5:5" x14ac:dyDescent="0.35">
      <c r="E439" s="628"/>
    </row>
    <row r="440" spans="5:5" x14ac:dyDescent="0.35">
      <c r="E440" s="628"/>
    </row>
    <row r="441" spans="5:5" x14ac:dyDescent="0.35">
      <c r="E441" s="628"/>
    </row>
    <row r="442" spans="5:5" x14ac:dyDescent="0.35">
      <c r="E442" s="628"/>
    </row>
    <row r="443" spans="5:5" x14ac:dyDescent="0.35">
      <c r="E443" s="628"/>
    </row>
    <row r="444" spans="5:5" x14ac:dyDescent="0.35">
      <c r="E444" s="628"/>
    </row>
    <row r="445" spans="5:5" x14ac:dyDescent="0.35">
      <c r="E445" s="628"/>
    </row>
    <row r="446" spans="5:5" x14ac:dyDescent="0.35">
      <c r="E446" s="628"/>
    </row>
    <row r="447" spans="5:5" x14ac:dyDescent="0.35">
      <c r="E447" s="628"/>
    </row>
    <row r="448" spans="5:5" x14ac:dyDescent="0.35">
      <c r="E448" s="628"/>
    </row>
    <row r="449" spans="5:5" x14ac:dyDescent="0.35">
      <c r="E449" s="628"/>
    </row>
    <row r="450" spans="5:5" x14ac:dyDescent="0.35">
      <c r="E450" s="628"/>
    </row>
    <row r="451" spans="5:5" x14ac:dyDescent="0.35">
      <c r="E451" s="628"/>
    </row>
    <row r="452" spans="5:5" x14ac:dyDescent="0.35">
      <c r="E452" s="628"/>
    </row>
    <row r="453" spans="5:5" x14ac:dyDescent="0.35">
      <c r="E453" s="628"/>
    </row>
    <row r="454" spans="5:5" x14ac:dyDescent="0.35">
      <c r="E454" s="628"/>
    </row>
    <row r="455" spans="5:5" x14ac:dyDescent="0.35">
      <c r="E455" s="628"/>
    </row>
    <row r="456" spans="5:5" x14ac:dyDescent="0.35">
      <c r="E456" s="628"/>
    </row>
    <row r="457" spans="5:5" x14ac:dyDescent="0.35">
      <c r="E457" s="628"/>
    </row>
  </sheetData>
  <autoFilter ref="A29:AB354"/>
  <mergeCells count="36">
    <mergeCell ref="A1:Z1"/>
    <mergeCell ref="A2:Z2"/>
    <mergeCell ref="A3:Z3"/>
    <mergeCell ref="W6:X6"/>
    <mergeCell ref="Y6:Z6"/>
    <mergeCell ref="P6:P8"/>
    <mergeCell ref="G5:G8"/>
    <mergeCell ref="Z7:Z8"/>
    <mergeCell ref="I5:L5"/>
    <mergeCell ref="M5:R5"/>
    <mergeCell ref="W7:W8"/>
    <mergeCell ref="X7:X8"/>
    <mergeCell ref="W5:Z5"/>
    <mergeCell ref="I6:I8"/>
    <mergeCell ref="J6:J8"/>
    <mergeCell ref="H5:H8"/>
    <mergeCell ref="Y7:Y8"/>
    <mergeCell ref="U7:U8"/>
    <mergeCell ref="A5:A8"/>
    <mergeCell ref="D5:D8"/>
    <mergeCell ref="E5:E8"/>
    <mergeCell ref="F5:F8"/>
    <mergeCell ref="B5:B8"/>
    <mergeCell ref="K6:K8"/>
    <mergeCell ref="R6:R8"/>
    <mergeCell ref="S7:S8"/>
    <mergeCell ref="L6:L8"/>
    <mergeCell ref="M6:M8"/>
    <mergeCell ref="N6:N8"/>
    <mergeCell ref="O6:O8"/>
    <mergeCell ref="S5:V5"/>
    <mergeCell ref="V7:V8"/>
    <mergeCell ref="T7:T8"/>
    <mergeCell ref="S6:T6"/>
    <mergeCell ref="Q6:Q8"/>
    <mergeCell ref="U6:V6"/>
  </mergeCells>
  <phoneticPr fontId="0" type="noConversion"/>
  <printOptions horizontalCentered="1"/>
  <pageMargins left="0.19685039370078741" right="0.19685039370078741" top="0.62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Roman,обычный"&amp;10Кличевское ДРСУ-126&amp;R&amp;"Times New Roman,обычный"&amp;10&amp;P</oddFooter>
  </headerFooter>
  <rowBreaks count="2" manualBreakCount="2">
    <brk id="53" max="24" man="1"/>
    <brk id="258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AM362"/>
  <sheetViews>
    <sheetView zoomScale="90" zoomScaleNormal="90" workbookViewId="0">
      <pane xSplit="5" ySplit="10" topLeftCell="F11" activePane="bottomRight" state="frozen"/>
      <selection activeCell="A30" sqref="A30"/>
      <selection pane="topRight" activeCell="A30" sqref="A30"/>
      <selection pane="bottomLeft" activeCell="A30" sqref="A30"/>
      <selection pane="bottomRight" activeCell="H5" sqref="H5:H8"/>
    </sheetView>
  </sheetViews>
  <sheetFormatPr defaultColWidth="9.75" defaultRowHeight="15.5" x14ac:dyDescent="0.35"/>
  <cols>
    <col min="1" max="1" width="5.08203125" style="5" customWidth="1"/>
    <col min="2" max="3" width="7.25" style="5" hidden="1" customWidth="1"/>
    <col min="4" max="4" width="7.25" style="5" customWidth="1"/>
    <col min="5" max="5" width="43.4140625" style="3" customWidth="1"/>
    <col min="6" max="6" width="6.75" style="5" customWidth="1"/>
    <col min="7" max="8" width="7.08203125" style="5" customWidth="1"/>
    <col min="9" max="10" width="7.25" style="5" customWidth="1"/>
    <col min="11" max="12" width="6.9140625" style="5" customWidth="1"/>
    <col min="13" max="13" width="6.75" style="5" customWidth="1"/>
    <col min="14" max="14" width="7.33203125" style="5" customWidth="1"/>
    <col min="15" max="15" width="6.9140625" style="5" customWidth="1"/>
    <col min="16" max="16" width="6.75" style="5" customWidth="1"/>
    <col min="17" max="17" width="7.33203125" style="5" customWidth="1"/>
    <col min="18" max="18" width="7.08203125" style="5" customWidth="1"/>
    <col min="19" max="19" width="4.4140625" style="5" customWidth="1"/>
    <col min="20" max="20" width="7.25" style="5" customWidth="1"/>
    <col min="21" max="21" width="4.58203125" style="5" customWidth="1"/>
    <col min="22" max="22" width="5.6640625" style="5" customWidth="1"/>
    <col min="23" max="23" width="4.4140625" style="5" customWidth="1"/>
    <col min="24" max="24" width="7.75" style="5" customWidth="1"/>
    <col min="25" max="25" width="4.58203125" style="5" customWidth="1"/>
    <col min="26" max="26" width="7.9140625" style="5" customWidth="1"/>
    <col min="27" max="36" width="9.75" style="3"/>
    <col min="37" max="37" width="22.4140625" style="3" customWidth="1"/>
    <col min="38" max="16384" width="9.75" style="3"/>
  </cols>
  <sheetData>
    <row r="1" spans="1:39" x14ac:dyDescent="0.35">
      <c r="Y1" s="2055"/>
      <c r="Z1" s="2056"/>
    </row>
    <row r="2" spans="1:39" ht="20" x14ac:dyDescent="0.4">
      <c r="A2" s="3120" t="s">
        <v>10625</v>
      </c>
      <c r="B2" s="3120"/>
      <c r="C2" s="3120"/>
      <c r="D2" s="3120"/>
      <c r="E2" s="3120"/>
      <c r="F2" s="3120"/>
      <c r="G2" s="3120"/>
      <c r="H2" s="3120"/>
      <c r="I2" s="3120"/>
      <c r="J2" s="3120"/>
      <c r="K2" s="3120"/>
      <c r="L2" s="3120"/>
      <c r="M2" s="3120"/>
      <c r="N2" s="3120"/>
      <c r="O2" s="3120"/>
      <c r="P2" s="3120"/>
      <c r="Q2" s="3120"/>
      <c r="R2" s="3120"/>
      <c r="S2" s="3120"/>
      <c r="T2" s="3120"/>
      <c r="U2" s="3120"/>
      <c r="V2" s="3120"/>
      <c r="W2" s="3120"/>
      <c r="X2" s="3120"/>
      <c r="Y2" s="3120"/>
      <c r="Z2" s="3120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E4" s="33"/>
      <c r="J4" s="2312"/>
    </row>
    <row r="5" spans="1:39" ht="15.7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0.75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s="5" customFormat="1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" thickBot="1" x14ac:dyDescent="0.4">
      <c r="A10" s="1562"/>
      <c r="B10" s="1563"/>
      <c r="C10" s="1563"/>
      <c r="D10" s="1564"/>
      <c r="E10" s="1207" t="s">
        <v>2392</v>
      </c>
      <c r="F10" s="1207"/>
      <c r="G10" s="1207"/>
      <c r="H10" s="1207"/>
      <c r="I10" s="845">
        <f>J10+K10+L10</f>
        <v>495.01100000000008</v>
      </c>
      <c r="J10" s="845">
        <f>M10+N10+O10+P10+Q10+R10</f>
        <v>495.01100000000008</v>
      </c>
      <c r="K10" s="845">
        <f t="shared" ref="K10:R10" si="0">K11+K12+K13+K14</f>
        <v>0</v>
      </c>
      <c r="L10" s="845">
        <f t="shared" si="0"/>
        <v>0</v>
      </c>
      <c r="M10" s="845">
        <f t="shared" si="0"/>
        <v>0</v>
      </c>
      <c r="N10" s="845">
        <f t="shared" si="0"/>
        <v>178.44</v>
      </c>
      <c r="O10" s="845">
        <f t="shared" si="0"/>
        <v>0</v>
      </c>
      <c r="P10" s="845">
        <f t="shared" si="0"/>
        <v>0</v>
      </c>
      <c r="Q10" s="858">
        <f t="shared" si="0"/>
        <v>160.39000000000001</v>
      </c>
      <c r="R10" s="868">
        <f t="shared" si="0"/>
        <v>156.18100000000004</v>
      </c>
      <c r="S10" s="846">
        <f>SUM(S30:S995)</f>
        <v>29</v>
      </c>
      <c r="T10" s="847">
        <f t="shared" ref="T10:Z10" si="1">SUM(T30:T995)</f>
        <v>1038.6999999999998</v>
      </c>
      <c r="U10" s="846">
        <f t="shared" si="1"/>
        <v>0</v>
      </c>
      <c r="V10" s="847">
        <f t="shared" si="1"/>
        <v>0</v>
      </c>
      <c r="W10" s="846">
        <f t="shared" si="1"/>
        <v>683</v>
      </c>
      <c r="X10" s="847">
        <f t="shared" si="1"/>
        <v>9193.1900000000023</v>
      </c>
      <c r="Y10" s="846">
        <f t="shared" si="1"/>
        <v>192</v>
      </c>
      <c r="Z10" s="1669">
        <f t="shared" si="1"/>
        <v>2047.82</v>
      </c>
      <c r="AB10" s="846">
        <f>SUM(AB30:AB356)</f>
        <v>168</v>
      </c>
      <c r="AK10" s="2150" t="s">
        <v>11226</v>
      </c>
      <c r="AL10" s="43"/>
      <c r="AM10" s="2812" t="s">
        <v>11227</v>
      </c>
    </row>
    <row r="11" spans="1:39" x14ac:dyDescent="0.35">
      <c r="A11" s="633"/>
      <c r="B11" s="1041"/>
      <c r="C11" s="1041"/>
      <c r="D11" s="634"/>
      <c r="E11" s="1264" t="s">
        <v>909</v>
      </c>
      <c r="F11" s="1245">
        <v>3</v>
      </c>
      <c r="G11" s="1245"/>
      <c r="H11" s="1245"/>
      <c r="I11" s="1313"/>
      <c r="J11" s="1313"/>
      <c r="K11" s="1313"/>
      <c r="L11" s="1313"/>
      <c r="M11" s="1313"/>
      <c r="N11" s="1313"/>
      <c r="O11" s="1313"/>
      <c r="P11" s="1313"/>
      <c r="Q11" s="1278"/>
      <c r="R11" s="1279"/>
      <c r="S11" s="635"/>
      <c r="T11" s="636"/>
      <c r="U11" s="637"/>
      <c r="V11" s="637"/>
      <c r="W11" s="635"/>
      <c r="X11" s="636"/>
      <c r="Y11" s="635"/>
      <c r="Z11" s="1690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6.87</v>
      </c>
      <c r="AM11" s="2814">
        <f>AL11-J18</f>
        <v>0</v>
      </c>
    </row>
    <row r="12" spans="1:39" x14ac:dyDescent="0.35">
      <c r="A12" s="638"/>
      <c r="B12" s="1042"/>
      <c r="C12" s="1042"/>
      <c r="D12" s="639"/>
      <c r="E12" s="640"/>
      <c r="F12" s="1249">
        <v>4</v>
      </c>
      <c r="G12" s="1249"/>
      <c r="H12" s="1249"/>
      <c r="I12" s="1832">
        <f t="shared" ref="I12:I20" si="2">J12+K12+L12</f>
        <v>232.99100000000001</v>
      </c>
      <c r="J12" s="1281">
        <f t="shared" ref="J12:J20" si="3">R12+Q12+P12+O12+N12+M12</f>
        <v>232.99100000000001</v>
      </c>
      <c r="K12" s="1314">
        <f>SUMIF(F30:F909,4,K30:K909)</f>
        <v>0</v>
      </c>
      <c r="L12" s="1314">
        <f>SUMIF(F30:F909,4,L30:L909)</f>
        <v>0</v>
      </c>
      <c r="M12" s="1314">
        <f>SUMIF(F30:F909,4,M30:M909)</f>
        <v>0</v>
      </c>
      <c r="N12" s="1314">
        <f>SUMIF(F30:F909,4,N30:N909)</f>
        <v>148.76300000000001</v>
      </c>
      <c r="O12" s="1314">
        <f>SUMIF(F30:F909,4,O30:O909)</f>
        <v>0</v>
      </c>
      <c r="P12" s="1314">
        <f>SUMIF(F30:F909,4,P30:P909)</f>
        <v>0</v>
      </c>
      <c r="Q12" s="1283">
        <f>SUMIF(F30:F909,4,Q30:Q909)</f>
        <v>84.228000000000009</v>
      </c>
      <c r="R12" s="1284">
        <f>SUMIF(F30:F909,4,R30:R909)</f>
        <v>0</v>
      </c>
      <c r="S12" s="641"/>
      <c r="T12" s="642"/>
      <c r="U12" s="643"/>
      <c r="V12" s="643"/>
      <c r="W12" s="641"/>
      <c r="X12" s="642"/>
      <c r="Y12" s="641"/>
      <c r="Z12" s="1691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638"/>
      <c r="B13" s="1042"/>
      <c r="C13" s="1042"/>
      <c r="D13" s="639"/>
      <c r="E13" s="640"/>
      <c r="F13" s="1249">
        <v>5</v>
      </c>
      <c r="G13" s="1249"/>
      <c r="H13" s="1249"/>
      <c r="I13" s="1280">
        <f t="shared" si="2"/>
        <v>80.991000000000014</v>
      </c>
      <c r="J13" s="1281">
        <f t="shared" si="3"/>
        <v>80.991000000000014</v>
      </c>
      <c r="K13" s="1314">
        <f>SUMIF(F30:F909,5,K30:K909)</f>
        <v>0</v>
      </c>
      <c r="L13" s="1314">
        <f>SUMIF(F30:F909,5,L30:L909)</f>
        <v>0</v>
      </c>
      <c r="M13" s="1314">
        <f>SUMIF(F30:F909,5,M30:M909)</f>
        <v>0</v>
      </c>
      <c r="N13" s="1314">
        <f>SUMIF(F30:F909,5,N30:N909)</f>
        <v>27.749000000000006</v>
      </c>
      <c r="O13" s="1314">
        <f>SUMIF(F30:F909,5,O30:O909)</f>
        <v>0</v>
      </c>
      <c r="P13" s="1314">
        <f>SUMIF(F30:F909,5,P30:P909)</f>
        <v>0</v>
      </c>
      <c r="Q13" s="1283">
        <f>SUMIF(F30:F909,5,Q30:Q909)</f>
        <v>49.882000000000005</v>
      </c>
      <c r="R13" s="1284">
        <f>SUMIF(F30:F909,5,R30:R909)</f>
        <v>3.3600000000000003</v>
      </c>
      <c r="S13" s="641"/>
      <c r="T13" s="642"/>
      <c r="U13" s="643"/>
      <c r="V13" s="643"/>
      <c r="W13" s="641"/>
      <c r="X13" s="642"/>
      <c r="Y13" s="641"/>
      <c r="Z13" s="1691"/>
      <c r="AD13" s="2777" t="s">
        <v>11126</v>
      </c>
      <c r="AE13" s="2776"/>
      <c r="AF13" s="2778">
        <v>79</v>
      </c>
      <c r="AG13" s="2783">
        <f>M12+N12+O12</f>
        <v>148.76300000000001</v>
      </c>
      <c r="AH13" s="2783">
        <f>M13+N13+O13</f>
        <v>27.749000000000006</v>
      </c>
      <c r="AI13" s="2784">
        <f>M14+N14+O14</f>
        <v>1.9280000000000002</v>
      </c>
      <c r="AK13" s="2818" t="s">
        <v>7184</v>
      </c>
      <c r="AL13" s="2819">
        <f>AL14+AL15+AL16+AL17+AL18</f>
        <v>6.87</v>
      </c>
      <c r="AM13" s="2820">
        <f>AL13-AF29</f>
        <v>0</v>
      </c>
    </row>
    <row r="14" spans="1:39" x14ac:dyDescent="0.35">
      <c r="A14" s="638"/>
      <c r="B14" s="1042"/>
      <c r="C14" s="1042"/>
      <c r="D14" s="639"/>
      <c r="E14" s="640"/>
      <c r="F14" s="1249" t="s">
        <v>448</v>
      </c>
      <c r="G14" s="1249"/>
      <c r="H14" s="1249"/>
      <c r="I14" s="1250">
        <f t="shared" si="2"/>
        <v>181.02900000000002</v>
      </c>
      <c r="J14" s="1250">
        <f t="shared" si="3"/>
        <v>181.02900000000002</v>
      </c>
      <c r="K14" s="1250">
        <f>K15+K16+K17</f>
        <v>0</v>
      </c>
      <c r="L14" s="1250">
        <f>L15+L16+L17</f>
        <v>0</v>
      </c>
      <c r="M14" s="1250">
        <f t="shared" ref="M14:R14" si="4">M15+M16+M17</f>
        <v>0</v>
      </c>
      <c r="N14" s="1250">
        <f t="shared" si="4"/>
        <v>1.9280000000000002</v>
      </c>
      <c r="O14" s="1251">
        <f t="shared" si="4"/>
        <v>0</v>
      </c>
      <c r="P14" s="1317">
        <f t="shared" si="4"/>
        <v>0</v>
      </c>
      <c r="Q14" s="1252">
        <f t="shared" si="4"/>
        <v>26.28</v>
      </c>
      <c r="R14" s="1256">
        <f t="shared" si="4"/>
        <v>152.82100000000003</v>
      </c>
      <c r="S14" s="641"/>
      <c r="T14" s="642"/>
      <c r="U14" s="643"/>
      <c r="V14" s="643"/>
      <c r="W14" s="641"/>
      <c r="X14" s="642"/>
      <c r="Y14" s="641"/>
      <c r="Z14" s="1691"/>
      <c r="AD14" s="2777" t="s">
        <v>11127</v>
      </c>
      <c r="AE14" s="2776"/>
      <c r="AF14" s="2778">
        <v>80</v>
      </c>
      <c r="AG14" s="2785">
        <f>P12+Q12</f>
        <v>84.228000000000009</v>
      </c>
      <c r="AH14" s="2785">
        <f>P13+Q13</f>
        <v>49.882000000000005</v>
      </c>
      <c r="AI14" s="2786">
        <f>P14+Q14</f>
        <v>26.28</v>
      </c>
      <c r="AK14" s="2815" t="s">
        <v>11230</v>
      </c>
      <c r="AL14" s="2579">
        <f>SUMIFS(M30:M953,F30:F953,4,G30:G953,3)</f>
        <v>0</v>
      </c>
      <c r="AM14" s="2817"/>
    </row>
    <row r="15" spans="1:39" x14ac:dyDescent="0.35">
      <c r="A15" s="638"/>
      <c r="B15" s="1042"/>
      <c r="C15" s="1042"/>
      <c r="D15" s="639"/>
      <c r="E15" s="640"/>
      <c r="F15" s="1253" t="s">
        <v>827</v>
      </c>
      <c r="G15" s="1249"/>
      <c r="H15" s="1249"/>
      <c r="I15" s="1318">
        <f t="shared" si="2"/>
        <v>49.948999999999998</v>
      </c>
      <c r="J15" s="1318">
        <f t="shared" si="3"/>
        <v>49.948999999999998</v>
      </c>
      <c r="K15" s="1318">
        <f>SUMIF(F30:F993,"=6а",K30:K993)</f>
        <v>0</v>
      </c>
      <c r="L15" s="1318">
        <f>SUMIF(F30:F993,"=6а",L30:L993)</f>
        <v>0</v>
      </c>
      <c r="M15" s="1318">
        <f>SUMIF(F30:F993,"=6а",M30:M993)</f>
        <v>0</v>
      </c>
      <c r="N15" s="1318">
        <f>SUMIF(F30:F993,"=6а",N30:N993)</f>
        <v>1.9280000000000002</v>
      </c>
      <c r="O15" s="1319">
        <f>SUMIF(F30:F993,"=6а",O30:O993)</f>
        <v>0</v>
      </c>
      <c r="P15" s="1320">
        <f>SUMIF(F30:F993,"=6а",P30:P993)</f>
        <v>0</v>
      </c>
      <c r="Q15" s="1321">
        <f>SUMIF(F30:F993,"=6а",Q30:Q993)</f>
        <v>24.78</v>
      </c>
      <c r="R15" s="1322">
        <f>SUMIF(F30:F993,"=6а",R30:R993)</f>
        <v>23.241</v>
      </c>
      <c r="S15" s="641"/>
      <c r="T15" s="642"/>
      <c r="U15" s="643"/>
      <c r="V15" s="643"/>
      <c r="W15" s="641"/>
      <c r="X15" s="642"/>
      <c r="Y15" s="641"/>
      <c r="Z15" s="1691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3.3600000000000003</v>
      </c>
      <c r="AI15" s="2788">
        <f>R14</f>
        <v>152.82100000000003</v>
      </c>
      <c r="AK15" s="2815" t="s">
        <v>11231</v>
      </c>
      <c r="AL15" s="2579">
        <f>SUMIFS(N30:N953,F30:F953,4,G30:G953,3)</f>
        <v>6.87</v>
      </c>
      <c r="AM15" s="2817"/>
    </row>
    <row r="16" spans="1:39" x14ac:dyDescent="0.35">
      <c r="A16" s="638"/>
      <c r="B16" s="1042"/>
      <c r="C16" s="1042"/>
      <c r="D16" s="639"/>
      <c r="E16" s="1265"/>
      <c r="F16" s="1254" t="s">
        <v>1490</v>
      </c>
      <c r="G16" s="1249"/>
      <c r="H16" s="1249"/>
      <c r="I16" s="1318">
        <f t="shared" si="2"/>
        <v>17.869999999999997</v>
      </c>
      <c r="J16" s="1318">
        <f t="shared" si="3"/>
        <v>17.869999999999997</v>
      </c>
      <c r="K16" s="1318">
        <f>SUMIF(F30:F994,"=6б",K30:K994)</f>
        <v>0</v>
      </c>
      <c r="L16" s="1318">
        <f>SUMIF(F30:F994,"=6б",L30:L994)</f>
        <v>0</v>
      </c>
      <c r="M16" s="1318">
        <f>SUMIF(F30:F994,"=6б",M30:M994)</f>
        <v>0</v>
      </c>
      <c r="N16" s="1318">
        <f>SUMIF(F30:F994,"=6б",N30:N994)</f>
        <v>0</v>
      </c>
      <c r="O16" s="1319">
        <f>SUMIF(F30:F994,"=6б",O30:O994)</f>
        <v>0</v>
      </c>
      <c r="P16" s="1320">
        <f>SUMIF(F30:F994,"=6б",P30:P994)</f>
        <v>0</v>
      </c>
      <c r="Q16" s="1321">
        <f>SUMIF(F30:F994,"=6б",Q30:Q994)</f>
        <v>1.5</v>
      </c>
      <c r="R16" s="1322">
        <f>SUMIF(F30:F994,"=6б",R30:R994)</f>
        <v>16.369999999999997</v>
      </c>
      <c r="S16" s="641"/>
      <c r="T16" s="642"/>
      <c r="U16" s="643"/>
      <c r="V16" s="643"/>
      <c r="W16" s="641"/>
      <c r="X16" s="642"/>
      <c r="Y16" s="641"/>
      <c r="Z16" s="1691"/>
      <c r="AK16" s="2815" t="s">
        <v>11232</v>
      </c>
      <c r="AL16" s="2579">
        <f>SUMIFS(O30:O953,F30:F953,4,G30:G953,3)</f>
        <v>0</v>
      </c>
      <c r="AM16" s="2817"/>
    </row>
    <row r="17" spans="1:39" x14ac:dyDescent="0.35">
      <c r="A17" s="638"/>
      <c r="B17" s="1042"/>
      <c r="C17" s="1042"/>
      <c r="D17" s="639"/>
      <c r="E17" s="1265"/>
      <c r="F17" s="2271" t="s">
        <v>449</v>
      </c>
      <c r="G17" s="1249"/>
      <c r="H17" s="1249"/>
      <c r="I17" s="2272">
        <f t="shared" si="2"/>
        <v>113.21000000000002</v>
      </c>
      <c r="J17" s="2272">
        <f t="shared" si="3"/>
        <v>113.21000000000002</v>
      </c>
      <c r="K17" s="2272">
        <f>SUMIF(F30:F995,"=б/к",K30:K995)</f>
        <v>0</v>
      </c>
      <c r="L17" s="2272">
        <f>SUMIF(F30:F995,"=б/к",L30:L995)</f>
        <v>0</v>
      </c>
      <c r="M17" s="2272">
        <f>SUMIF(F30:F995,"=б/к",M30:M995)</f>
        <v>0</v>
      </c>
      <c r="N17" s="2272">
        <f>SUMIF(F30:F995,"=б/к",N30:N995)</f>
        <v>0</v>
      </c>
      <c r="O17" s="2272">
        <f>SUMIF(F30:F995,"=б/к",O30:O995)</f>
        <v>0</v>
      </c>
      <c r="P17" s="2272">
        <f>SUMIF(F30:F995,"=б/к",P30:P995)</f>
        <v>0</v>
      </c>
      <c r="Q17" s="2273">
        <f>SUMIF(F30:F995,"=б/к",Q30:Q995)</f>
        <v>0</v>
      </c>
      <c r="R17" s="2274">
        <f>SUMIF(F30:F995,"=б/к",R30:R995)</f>
        <v>113.21000000000002</v>
      </c>
      <c r="S17" s="641"/>
      <c r="T17" s="642"/>
      <c r="U17" s="643"/>
      <c r="V17" s="643"/>
      <c r="W17" s="641"/>
      <c r="X17" s="642"/>
      <c r="Y17" s="641"/>
      <c r="Z17" s="1691"/>
      <c r="AK17" s="2815" t="s">
        <v>11233</v>
      </c>
      <c r="AL17" s="2579">
        <f>SUMIFS(P30:P953,F30:F953,4,G30:G953,3)+SUMIFS(Q30:Q953,F30:F953,4,G30:G953,3)</f>
        <v>0</v>
      </c>
      <c r="AM17" s="2817"/>
    </row>
    <row r="18" spans="1:39" x14ac:dyDescent="0.35">
      <c r="A18" s="638"/>
      <c r="B18" s="1042"/>
      <c r="C18" s="1042"/>
      <c r="D18" s="639"/>
      <c r="E18" s="1266"/>
      <c r="F18" s="1266" t="s">
        <v>3303</v>
      </c>
      <c r="G18" s="1241">
        <v>3</v>
      </c>
      <c r="H18" s="1241"/>
      <c r="I18" s="1315">
        <f t="shared" si="2"/>
        <v>6.87</v>
      </c>
      <c r="J18" s="1315">
        <f t="shared" si="3"/>
        <v>6.87</v>
      </c>
      <c r="K18" s="1315">
        <f>SUMIF(G30:G909,3,K30:K909)</f>
        <v>0</v>
      </c>
      <c r="L18" s="1315">
        <f>SUMIF(G30:G909,3,L30:L909)</f>
        <v>0</v>
      </c>
      <c r="M18" s="1315">
        <f>SUMIF(G30:G909,3,M30:M909)</f>
        <v>0</v>
      </c>
      <c r="N18" s="1315">
        <f>SUMIF(G30:G909,3,N30:N909)</f>
        <v>6.87</v>
      </c>
      <c r="O18" s="1315">
        <f>SUMIF(G30:G909,3,O30:O909)</f>
        <v>0</v>
      </c>
      <c r="P18" s="1315">
        <f>SUMIF(G30:G909,3,P30:P909)</f>
        <v>0</v>
      </c>
      <c r="Q18" s="1288">
        <f>SUMIF(G30:G909,3,Q30:Q909)</f>
        <v>0</v>
      </c>
      <c r="R18" s="1289">
        <f>SUMIF(G30:G909,3,R30:R909)</f>
        <v>0</v>
      </c>
      <c r="S18" s="641"/>
      <c r="T18" s="642"/>
      <c r="U18" s="643"/>
      <c r="V18" s="643"/>
      <c r="W18" s="641"/>
      <c r="X18" s="642"/>
      <c r="Y18" s="641"/>
      <c r="Z18" s="1691"/>
      <c r="AK18" s="2815" t="s">
        <v>910</v>
      </c>
      <c r="AL18" s="2579">
        <f>SUMIFS(R30:R953,F30:F953,4,G30:G953,3)</f>
        <v>0</v>
      </c>
      <c r="AM18" s="2817"/>
    </row>
    <row r="19" spans="1:39" x14ac:dyDescent="0.35">
      <c r="A19" s="638"/>
      <c r="B19" s="1042"/>
      <c r="C19" s="1042"/>
      <c r="D19" s="639"/>
      <c r="E19" s="98"/>
      <c r="F19" s="1240"/>
      <c r="G19" s="1241">
        <v>4</v>
      </c>
      <c r="H19" s="1241"/>
      <c r="I19" s="1315">
        <f t="shared" si="2"/>
        <v>221.75400000000002</v>
      </c>
      <c r="J19" s="1315">
        <f t="shared" si="3"/>
        <v>221.75400000000002</v>
      </c>
      <c r="K19" s="1315">
        <f>SUMIF(G30:G909,4,K30:K909)</f>
        <v>0</v>
      </c>
      <c r="L19" s="1315">
        <f>SUMIF(G30:G909,4,L30:L909)</f>
        <v>0</v>
      </c>
      <c r="M19" s="1315">
        <f>SUMIF(G30:G909,4,M30:M909)</f>
        <v>0</v>
      </c>
      <c r="N19" s="1315">
        <f>SUMIF(G30:G909,4,N30:N909)</f>
        <v>138.74</v>
      </c>
      <c r="O19" s="1315">
        <f>SUMIF(G30:G909,4,O30:O909)</f>
        <v>0</v>
      </c>
      <c r="P19" s="1315">
        <f>SUMIF(G30:G909,4,P30:P909)</f>
        <v>0</v>
      </c>
      <c r="Q19" s="1288">
        <f>SUMIF(G30:G909,4,Q30:Q909)</f>
        <v>82.315000000000012</v>
      </c>
      <c r="R19" s="1289">
        <f>SUMIF(G30:G909,4,R30:R909)</f>
        <v>0.69899999999999973</v>
      </c>
      <c r="S19" s="641"/>
      <c r="T19" s="642"/>
      <c r="U19" s="643"/>
      <c r="V19" s="643"/>
      <c r="W19" s="641"/>
      <c r="X19" s="642"/>
      <c r="Y19" s="641"/>
      <c r="Z19" s="1691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638"/>
      <c r="B20" s="1042"/>
      <c r="C20" s="1042"/>
      <c r="D20" s="639"/>
      <c r="E20" s="98"/>
      <c r="F20" s="1240"/>
      <c r="G20" s="1241">
        <v>5</v>
      </c>
      <c r="H20" s="1241"/>
      <c r="I20" s="1315">
        <f t="shared" si="2"/>
        <v>266.38699999999994</v>
      </c>
      <c r="J20" s="1315">
        <f t="shared" si="3"/>
        <v>266.38699999999994</v>
      </c>
      <c r="K20" s="1315">
        <f>SUMIF(G30:G909,5,K30:K909)</f>
        <v>0</v>
      </c>
      <c r="L20" s="1315">
        <f>SUMIF(G30:G909,5,L30:L909)</f>
        <v>0</v>
      </c>
      <c r="M20" s="1315">
        <f>SUMIF(G30:G909,5,M30:M909)</f>
        <v>0</v>
      </c>
      <c r="N20" s="1315">
        <f>SUMIF(G30:G909,5,N30:N909)</f>
        <v>32.83</v>
      </c>
      <c r="O20" s="1315">
        <f>SUMIF(G30:G909,5,O30:O909)</f>
        <v>0</v>
      </c>
      <c r="P20" s="1315">
        <f>SUMIF(G30:G909,5,P30:P909)</f>
        <v>0</v>
      </c>
      <c r="Q20" s="1288">
        <f>SUMIF(G30:G909,5,Q30:Q909)</f>
        <v>78.074999999999974</v>
      </c>
      <c r="R20" s="1289">
        <f>SUMIF(G30:G909,5,R30:R909)</f>
        <v>155.482</v>
      </c>
      <c r="S20" s="641"/>
      <c r="T20" s="642"/>
      <c r="U20" s="643"/>
      <c r="V20" s="643"/>
      <c r="W20" s="641"/>
      <c r="X20" s="642"/>
      <c r="Y20" s="641"/>
      <c r="Z20" s="1691"/>
      <c r="AK20" s="2815" t="s">
        <v>11230</v>
      </c>
      <c r="AL20" s="2579">
        <f>SUMIFS(M30:M953,F30:F953,5,G30:G953,3)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SUMIFS(N30:N953,F30:F953,5,G30:G953,3)</f>
        <v>0</v>
      </c>
      <c r="AM21" s="2817"/>
    </row>
    <row r="22" spans="1:39" customFormat="1" x14ac:dyDescent="0.35">
      <c r="A22" s="285"/>
      <c r="B22" s="993"/>
      <c r="C22" s="993"/>
      <c r="D22" s="538">
        <f>SUMIF(C30:C925,"=сад",AB30:AB925)</f>
        <v>3</v>
      </c>
      <c r="E22" s="2241" t="s">
        <v>2763</v>
      </c>
      <c r="F22" s="98"/>
      <c r="G22" s="226"/>
      <c r="H22" s="226"/>
      <c r="I22" s="2247">
        <f>J22+K22+L22</f>
        <v>2.7600000000000002</v>
      </c>
      <c r="J22" s="2247">
        <f>R22+Q22+P22+O22+N22+M22</f>
        <v>2.7600000000000002</v>
      </c>
      <c r="K22" s="2247">
        <f>SUMIF(C30:C925,"=сад",K30:K925)</f>
        <v>0</v>
      </c>
      <c r="L22" s="2247">
        <f>SUMIF(C30:C925,"=сад",L30:L925)</f>
        <v>0</v>
      </c>
      <c r="M22" s="2247">
        <f>SUMIF(C30:C925,"=сад",M30:M925)</f>
        <v>0</v>
      </c>
      <c r="N22" s="2247">
        <f>SUMIF(C30:C925,"=сад",N30:N925)</f>
        <v>0.56499999999999995</v>
      </c>
      <c r="O22" s="2248">
        <f>SUMIF(C30:C925,"=сад",O30:O925)</f>
        <v>0</v>
      </c>
      <c r="P22" s="2247">
        <f>SUMIF(C30:C925,"=сад",P30:P925)</f>
        <v>0</v>
      </c>
      <c r="Q22" s="2249">
        <f>SUMIF(C30:C925,"=сад",Q30:Q925)</f>
        <v>0</v>
      </c>
      <c r="R22" s="2250">
        <f>SUMIF(C30:C925,"=сад",R30:R925)</f>
        <v>2.1950000000000003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SUMIFS(O30:O953,F30:F953,5,G30:G953,3)</f>
        <v>0</v>
      </c>
      <c r="AM22" s="2817"/>
    </row>
    <row r="23" spans="1:39" customFormat="1" x14ac:dyDescent="0.35">
      <c r="A23" s="285"/>
      <c r="B23" s="993"/>
      <c r="C23" s="993"/>
      <c r="D23" s="538">
        <f>SUMIF(C30:C926,"=индив",AB30:AB926)</f>
        <v>2</v>
      </c>
      <c r="E23" s="2241" t="s">
        <v>2762</v>
      </c>
      <c r="F23" s="98"/>
      <c r="G23" s="226"/>
      <c r="H23" s="226"/>
      <c r="I23" s="2247">
        <f>J23+K23+L23</f>
        <v>1.6500000000000001</v>
      </c>
      <c r="J23" s="2247">
        <f>R23+Q23+P23+O23+N23+M23</f>
        <v>1.6500000000000001</v>
      </c>
      <c r="K23" s="2247">
        <f>SUMIF(C30:C926,"=индив",K30:K926)</f>
        <v>0</v>
      </c>
      <c r="L23" s="2247">
        <f>SUMIF(C30:C926,"=индив",L30:L926)</f>
        <v>0</v>
      </c>
      <c r="M23" s="2247">
        <f>SUMIF(C30:C926,"=индив",M30:M926)</f>
        <v>0</v>
      </c>
      <c r="N23" s="2247">
        <f>SUMIF(C30:C926,"=индив",N30:N926)</f>
        <v>0.8</v>
      </c>
      <c r="O23" s="2248">
        <f>SUMIF(C30:C926,"=индив",O30:O926)</f>
        <v>0</v>
      </c>
      <c r="P23" s="2247">
        <f>SUMIF(C30:C926,"=индив",P30:P926)</f>
        <v>0</v>
      </c>
      <c r="Q23" s="2249">
        <f>SUMIF(C30:C926,"=индив",Q30:Q926)</f>
        <v>0.85000000000000009</v>
      </c>
      <c r="R23" s="2250">
        <f>SUMIF(C30:C926,"=индив",R30:R926)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SUMIFS(P30:P953,F30:F953,5,G30:G953,3)+SUMIFS(Q30:Q953,F30:F953,5,G30:G953,3)</f>
        <v>0</v>
      </c>
      <c r="AM23" s="2817"/>
    </row>
    <row r="24" spans="1:39" customFormat="1" x14ac:dyDescent="0.35">
      <c r="A24" s="285"/>
      <c r="B24" s="993"/>
      <c r="C24" s="993"/>
      <c r="D24" s="538">
        <f>SUMIF(C30:C927,"=кладб",AB30:AB927)</f>
        <v>80</v>
      </c>
      <c r="E24" s="2241" t="s">
        <v>2761</v>
      </c>
      <c r="F24" s="98"/>
      <c r="G24" s="226"/>
      <c r="H24" s="226"/>
      <c r="I24" s="2247">
        <f>J24+K24+L24</f>
        <v>80.86</v>
      </c>
      <c r="J24" s="2247">
        <f>R24+Q24+P24+O24+N24+M24</f>
        <v>80.86</v>
      </c>
      <c r="K24" s="2247">
        <f>SUMIF(C30:C927,"=кладб",K30:K927)</f>
        <v>0</v>
      </c>
      <c r="L24" s="2247">
        <f>SUMIF(C30:C927,"=кладб",L30:L927)</f>
        <v>0</v>
      </c>
      <c r="M24" s="2247">
        <f>SUMIF(C30:C927,"=кладб",M30:M927)</f>
        <v>0</v>
      </c>
      <c r="N24" s="2247">
        <f>SUMIF(C30:C927,"=кладб",N30:N927)</f>
        <v>0</v>
      </c>
      <c r="O24" s="2248">
        <f>SUMIF(C30:C927,"=кладб",O30:O927)</f>
        <v>0</v>
      </c>
      <c r="P24" s="2247">
        <f>SUMIF(C30:C927,"=кладб",P30:P927)</f>
        <v>0</v>
      </c>
      <c r="Q24" s="2249">
        <f>SUMIF(C30:C927,"=кладб",Q30:Q927)</f>
        <v>0</v>
      </c>
      <c r="R24" s="2250">
        <f>SUMIF(C30:C927,"=кладб",R30:R927)</f>
        <v>80.86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SUMIFS(R30:R953,F30:F953,5,G30:G953,3)</f>
        <v>0</v>
      </c>
      <c r="AM24" s="2817"/>
    </row>
    <row r="25" spans="1:39" customFormat="1" x14ac:dyDescent="0.35">
      <c r="A25" s="387"/>
      <c r="B25" s="994"/>
      <c r="C25" s="994"/>
      <c r="D25" s="538">
        <f>SUMIF(C30:C928,"=прир",AB30:AB928)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SUMIF(C30:C928,"=прир",K30:K928)</f>
        <v>0</v>
      </c>
      <c r="L25" s="2259">
        <f>SUMIF(C30:C928,"=прир",L30:L928)</f>
        <v>0</v>
      </c>
      <c r="M25" s="2259">
        <f>SUMIF(C30:C928,"=прир",M30:M928)</f>
        <v>0</v>
      </c>
      <c r="N25" s="2259">
        <f>SUMIF(C30:C928,"=прир",N30:N928)</f>
        <v>0</v>
      </c>
      <c r="O25" s="2260">
        <f>SUMIF(C30:C928,"=прир",O30:O928)</f>
        <v>0</v>
      </c>
      <c r="P25" s="2259">
        <f>SUMIF(C30:C928,"=прир",P30:P928)</f>
        <v>0</v>
      </c>
      <c r="Q25" s="2261">
        <f>SUMIF(C30:C928,"=прир",Q30:Q928)</f>
        <v>0</v>
      </c>
      <c r="R25" s="2262">
        <f>SUMIF(C30:C928,"=прир",R30:R928)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SUMIF(C30:C929,"=ист",AB30:AB929)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SUMIF(C30:C929,"=ист",K30:K929)</f>
        <v>0</v>
      </c>
      <c r="L26" s="2259">
        <f>SUMIF(C30:C929,"=ист",L30:L929)</f>
        <v>0</v>
      </c>
      <c r="M26" s="2259">
        <f>SUMIF(C30:C929,"=ист",M30:M929)</f>
        <v>0</v>
      </c>
      <c r="N26" s="2259">
        <f>SUMIF(C30:C929,"=ист",N30:N929)</f>
        <v>0</v>
      </c>
      <c r="O26" s="2260">
        <f>SUMIF(C30:C929,"=ист",O30:O929)</f>
        <v>0</v>
      </c>
      <c r="P26" s="2259">
        <f>SUMIF(C30:C929,"=ист",P30:P929)</f>
        <v>0</v>
      </c>
      <c r="Q26" s="2261">
        <f>SUMIF(C30:C929,"=ист",Q30:Q929)</f>
        <v>0</v>
      </c>
      <c r="R26" s="2262">
        <f>SUMIF(C30:C929,"=ист",R30:R929)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SUMIFS(M30:M953,F30:F953,"6а",G30:G953,3)+SUMIFS(M30:M953,F30:F953,"6б",G30:G953,3)+SUMIFS(M30:M953,F30:F953,"б/к",G30:G953,3)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SUMIFS(N30:N953,F30:F953,"6а",G30:G953,3)+SUMIFS(N30:N953,F30:F953,"6б",G30:G953,3)+SUMIFS(N30:N953,F30:F953,"б/к",G30:G953,3)</f>
        <v>0</v>
      </c>
      <c r="AM27" s="2817"/>
    </row>
    <row r="28" spans="1:39" ht="16" thickBot="1" x14ac:dyDescent="0.4">
      <c r="A28" s="1562"/>
      <c r="B28" s="1563"/>
      <c r="C28" s="1563"/>
      <c r="D28" s="1564"/>
      <c r="E28" s="1565"/>
      <c r="F28" s="1565"/>
      <c r="G28" s="1565"/>
      <c r="H28" s="1565"/>
      <c r="I28" s="2324">
        <f t="shared" ref="I28:R28" si="5">SUBTOTAL(9,I30:I421)</f>
        <v>495.01100000000002</v>
      </c>
      <c r="J28" s="2324">
        <f t="shared" si="5"/>
        <v>495.01100000000002</v>
      </c>
      <c r="K28" s="2324">
        <f t="shared" si="5"/>
        <v>0</v>
      </c>
      <c r="L28" s="2324">
        <f t="shared" si="5"/>
        <v>0</v>
      </c>
      <c r="M28" s="2324">
        <f t="shared" si="5"/>
        <v>0</v>
      </c>
      <c r="N28" s="2324">
        <f t="shared" si="5"/>
        <v>306.57100000000025</v>
      </c>
      <c r="O28" s="2324">
        <f t="shared" si="5"/>
        <v>0</v>
      </c>
      <c r="P28" s="2324">
        <f t="shared" si="5"/>
        <v>0</v>
      </c>
      <c r="Q28" s="2324">
        <f t="shared" si="5"/>
        <v>299.38600000000014</v>
      </c>
      <c r="R28" s="2324">
        <f t="shared" si="5"/>
        <v>196.75199999999995</v>
      </c>
      <c r="S28" s="1566"/>
      <c r="T28" s="1567"/>
      <c r="U28" s="1568"/>
      <c r="V28" s="1568"/>
      <c r="W28" s="1566"/>
      <c r="X28" s="1567"/>
      <c r="Y28" s="1566"/>
      <c r="Z28" s="1692"/>
      <c r="AB28" s="2334">
        <f>SUBTOTAL(9,AB30:AB421)</f>
        <v>169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SUMIFS(O30:O953,F30:F953,"6а",G30:G953,3)+SUMIFS(O30:O953,F30:F953,"6б",G30:G953,3)+SUMIFS(O30:O953,F30:F953,"б/к",G30:G953,3)</f>
        <v>0</v>
      </c>
      <c r="AM28" s="2817"/>
    </row>
    <row r="29" spans="1:39" x14ac:dyDescent="0.35">
      <c r="A29" s="644"/>
      <c r="B29" s="1043"/>
      <c r="C29" s="1043"/>
      <c r="D29" s="645"/>
      <c r="E29" s="476" t="s">
        <v>2871</v>
      </c>
      <c r="F29" s="646"/>
      <c r="G29" s="646"/>
      <c r="H29" s="646"/>
      <c r="I29" s="672"/>
      <c r="J29" s="672"/>
      <c r="K29" s="672"/>
      <c r="L29" s="672"/>
      <c r="M29" s="672"/>
      <c r="N29" s="672"/>
      <c r="O29" s="673"/>
      <c r="P29" s="672"/>
      <c r="Q29" s="955"/>
      <c r="R29" s="952"/>
      <c r="S29" s="646"/>
      <c r="T29" s="647"/>
      <c r="U29" s="648"/>
      <c r="V29" s="648"/>
      <c r="W29" s="646"/>
      <c r="X29" s="646"/>
      <c r="Y29" s="646"/>
      <c r="Z29" s="649"/>
      <c r="AD29" s="2578" t="s">
        <v>7180</v>
      </c>
      <c r="AE29" s="2579">
        <f>SUMIFS(M30:M891,F30:F891,3,G30:G891,3)+SUMIFS(N30:N891,F30:F891,3,G30:G891,3)+SUMIFS(O30:O891,F30:F891,3,G30:G891,3)+SUMIFS(P30:P891,F30:F891,3,G30:G891,3)+SUMIFS(Q30:Q891,F30:F891,3,G30:G891,3)+SUMIFS(R30:R891,F30:F891,3,G30:G891,3)</f>
        <v>0</v>
      </c>
      <c r="AF29" s="2579">
        <f>SUMIFS(M30:M891,F30:F891,4,G30:G891,3)+SUMIFS(N30:N891,F30:F891,4,G30:G891,3)+SUMIFS(O30:O891,F30:F891,4,G30:G891,3)+SUMIFS(P30:P891,F30:F891,4,G30:G891,3)+SUMIFS(Q30:Q891,F30:F891,4,G30:G891,3)+SUMIFS(R30:R891,F30:F891,4,G30:G891,3)</f>
        <v>6.87</v>
      </c>
      <c r="AG29" s="2579">
        <f>SUMIFS(M30:M891,F30:F891,5,G30:G891,3)+SUMIFS(N30:N891,F30:F891,5,G30:G891,3)+SUMIFS(O30:O891,F30:F891,5,G30:G891,3)+SUMIFS(P30:P891,F30:F891,5,G30:G891,3)+SUMIFS(Q30:Q891,F30:F891,5,G30:G891,3)+SUMIFS(R30:R891,F30:F891,5,G30:G891,3)</f>
        <v>0</v>
      </c>
      <c r="AH29" s="2579">
        <f>SUMIFS(M30:M891,F30:F891,"6а",G30:G891,3)+SUMIFS(N30:N891,F30:F891,"6а",G30:G891,3)+SUMIFS(O30:O891,F30:F891,"6а",G30:G891,3)+SUMIFS(P30:P891,F30:F891,"6а",G30:G891,3)+SUMIFS(Q30:Q891,F30:F891,"6а",G30:G891,3)+SUMIFS(R30:R891,F30:F891,"6а",G30:G891,3)</f>
        <v>0</v>
      </c>
      <c r="AI29" s="2579">
        <f>SUMIFS(M30:M891,F30:F891,"6б",G30:G891,3)+SUMIFS(N30:N891,F30:F891,"6б",G30:G891,3)+SUMIFS(O30:O891,F30:F891,"6б",G30:G891,3)+SUMIFS(P30:P891,F30:F891,"6б",G30:G891,3)+SUMIFS(Q30:Q891,F30:F891,"6б",G30:G891,3)+SUMIFS(R30:R891,F30:F891,"6б",G30:G891,3)</f>
        <v>0</v>
      </c>
      <c r="AJ29" s="2580">
        <f>SUMIFS(M30:M891,F30:F891,"б/к",G30:G891,3)+SUMIFS(N30:N891,F30:F891,"б/к",G30:G891,3)+SUMIFS(O30:O891,F30:F891,"б/к",G30:G891,3)+SUMIFS(P30:P891,F30:F891,"б/к",G30:G891,3)+SUMIFS(Q30:Q891,F30:F891,"б/к",G30:G891,3)+SUMIFS(R30:R891,F30:F891,"б/к",G30:G891,3)</f>
        <v>0</v>
      </c>
      <c r="AK29" s="2815" t="s">
        <v>11233</v>
      </c>
      <c r="AL29" s="2579">
        <f>SUMIFS(P30:P953,F30:F953,"6а",G30:G953,3)+SUMIFS(Q30:Q953,F30:F953,"6а",G30:G953,3)+SUMIFS(P30:P953,F30:F953,"6б",G30:G953,3)+SUMIFS(Q30:Q953,F30:F953,"6б",G30:G953,3)+SUMIFS(P30:P953,F30:F953,"б/к",G30:G953,3)+SUMIFS(Q30:Q953,F30:F953,"б/к",G30:G953,3)</f>
        <v>0</v>
      </c>
      <c r="AM29" s="2817"/>
    </row>
    <row r="30" spans="1:39" ht="30" x14ac:dyDescent="0.35">
      <c r="A30" s="650">
        <v>1</v>
      </c>
      <c r="B30" s="651">
        <v>10676</v>
      </c>
      <c r="C30" s="651"/>
      <c r="D30" s="651" t="s">
        <v>1238</v>
      </c>
      <c r="E30" s="652" t="s">
        <v>9831</v>
      </c>
      <c r="F30" s="340"/>
      <c r="G30" s="340" t="s">
        <v>191</v>
      </c>
      <c r="H30" s="340" t="s">
        <v>191</v>
      </c>
      <c r="I30" s="674">
        <f>L30+K30+J30</f>
        <v>32.090000000000003</v>
      </c>
      <c r="J30" s="674">
        <f>SUM(M30:R30)</f>
        <v>32.090000000000003</v>
      </c>
      <c r="K30" s="675"/>
      <c r="L30" s="675"/>
      <c r="M30" s="674"/>
      <c r="N30" s="2911">
        <f>SUM(N31:N43)</f>
        <v>19.697000000000003</v>
      </c>
      <c r="O30" s="674"/>
      <c r="P30" s="674"/>
      <c r="Q30" s="956">
        <f>SUM(Q31:Q43)</f>
        <v>12.393000000000001</v>
      </c>
      <c r="R30" s="953"/>
      <c r="S30" s="653">
        <v>4</v>
      </c>
      <c r="T30" s="654">
        <v>179.8</v>
      </c>
      <c r="U30" s="655"/>
      <c r="V30" s="655"/>
      <c r="W30" s="653">
        <v>47</v>
      </c>
      <c r="X30" s="653">
        <v>607.79999999999995</v>
      </c>
      <c r="Y30" s="653">
        <v>10</v>
      </c>
      <c r="Z30" s="656">
        <v>104.4</v>
      </c>
      <c r="AB30" s="3">
        <v>1</v>
      </c>
      <c r="AD30" s="2578" t="s">
        <v>7181</v>
      </c>
      <c r="AE30" s="2579">
        <f>SUMIFS(M30:M891,F30:F891,3,G30:G891,4)+SUMIFS(N30:N891,F30:F891,3,G30:G891,4)+SUMIFS(O30:O891,F30:F891,3,G30:G891,4)+SUMIFS(P30:P891,F30:F891,3,G30:G891,4)+SUMIFS(Q30:Q891,F30:F891,3,G30:G891,4)+SUMIFS(R30:R891,F30:F891,3,G30:G891,4)</f>
        <v>0</v>
      </c>
      <c r="AF30" s="2579">
        <f>SUMIFS(M30:M891,F30:F891,4,G30:G891,4)+SUMIFS(N30:N891,F30:F891,4,G30:G891,4)+SUMIFS(O30:O891,F30:F891,4,G30:G891,4)+SUMIFS(P30:P891,F30:F891,4,G30:G891,4)+SUMIFS(Q30:Q891,F30:F891,4,G30:G891,4)+SUMIFS(R30:R891,F30:F891,4,G30:G891,4)</f>
        <v>197.15600000000001</v>
      </c>
      <c r="AG30" s="2579">
        <f>SUMIFS(M30:M891,F30:F891,5,G30:G891,4)+SUMIFS(N30:N891,F30:F891,5,G30:G891,4)+SUMIFS(O30:O891,F30:F891,5,G30:G891,4)+SUMIFS(P30:P891,F30:F891,5,G30:G891,4)+SUMIFS(Q30:Q891,F30:F891,5,G30:G891,4)+SUMIFS(R30:R891,F30:F891,5,G30:G891,4)</f>
        <v>23.899000000000001</v>
      </c>
      <c r="AH30" s="2579">
        <f>SUMIFS(M30:M891,F30:F891,"6а",G30:G891,4)+SUMIFS(N30:N891,F30:F891,"6а",G30:G891,4)+SUMIFS(O30:O891,F30:F891,"6а",G30:G891,4)+SUMIFS(P30:P891,F30:F891,"6а",G30:G891,4)+SUMIFS(Q30:Q891,F30:F891,"6а",G30:G891,4)+SUMIFS(R30:R891,F30:F891,"6а",G30:G891,4)</f>
        <v>0.26900000000000002</v>
      </c>
      <c r="AI30" s="2579">
        <f>SUMIFS(M30:M891,F30:F891,"6б",G30:G891,4)+SUMIFS(N30:N891,F30:F891,"6б",G30:G891,4)+SUMIFS(O30:O891,F30:F891,"6б",G30:G891,4)+SUMIFS(P30:P891,F30:F891,"6б",G30:G891,4)+SUMIFS(Q30:Q891,F30:F891,"6б",G30:G891,4)+SUMIFS(R30:R891,F30:F891,"6б",G30:G891,4)</f>
        <v>0</v>
      </c>
      <c r="AJ30" s="2580">
        <f>SUMIFS(M30:M891,F30:F891,"б/к",G30:G891,4)+SUMIFS(N30:N891,F30:F891,"б/к",G30:G891,4)+SUMIFS(O30:O891,F30:F891,"б/к",G30:G891,4)+SUMIFS(P30:P891,F30:F891,"б/к",G30:G891,4)+SUMIFS(Q30:Q891,F30:F891,"б/к",G30:G891,4)+SUMIFS(R30:R891,F30:F891,"б/к",G30:G891,4)</f>
        <v>0.42999999999999972</v>
      </c>
      <c r="AK30" s="2815" t="s">
        <v>910</v>
      </c>
      <c r="AL30" s="2579">
        <f>SUMIFS(R30:R953,F30:F953,"6а",G30:G953,3)+SUMIFS(R30:R953,F30:F953,"6б",G30:G953,3)+SUMIFS(R30:R953,F30:F953,"б/к",G30:G953,3)</f>
        <v>0</v>
      </c>
      <c r="AM30" s="2817"/>
    </row>
    <row r="31" spans="1:39" ht="46.5" x14ac:dyDescent="0.35">
      <c r="A31" s="650"/>
      <c r="B31" s="651">
        <v>10676</v>
      </c>
      <c r="C31" s="651"/>
      <c r="D31" s="651"/>
      <c r="E31" s="657" t="s">
        <v>9992</v>
      </c>
      <c r="F31" s="340"/>
      <c r="G31" s="340" t="s">
        <v>191</v>
      </c>
      <c r="H31" s="340" t="s">
        <v>191</v>
      </c>
      <c r="I31" s="674"/>
      <c r="J31" s="674"/>
      <c r="K31" s="675"/>
      <c r="L31" s="675"/>
      <c r="M31" s="674"/>
      <c r="N31" s="676"/>
      <c r="O31" s="674"/>
      <c r="P31" s="674"/>
      <c r="Q31" s="956"/>
      <c r="R31" s="953"/>
      <c r="S31" s="653"/>
      <c r="T31" s="654"/>
      <c r="U31" s="655"/>
      <c r="V31" s="655"/>
      <c r="W31" s="653"/>
      <c r="X31" s="653"/>
      <c r="Y31" s="653"/>
      <c r="Z31" s="656"/>
      <c r="AD31" s="2581" t="s">
        <v>7182</v>
      </c>
      <c r="AE31" s="2582">
        <f>SUMIFS(M30:M891,F30:F891,3,G30:G891,5)+SUMIFS(N30:N891,F30:F891,3,G30:G891,5)+SUMIFS(O30:O891,F30:F891,3,G30:G891,5)+SUMIFS(P30:P891,F30:F891,3,G30:G891,5)+SUMIFS(Q30:Q891,F30:F891,3,G30:G891,5)+SUMIFS(R30:R891,F30:F891,3,G30:G891,5)</f>
        <v>0</v>
      </c>
      <c r="AF31" s="2582">
        <f>SUMIFS(M30:M891,F30:F891,4,G30:G891,5)+SUMIFS(N30:N891,F30:F891,4,G30:G891,5)+SUMIFS(O30:O891,F30:F891,4,G30:G891,5)+SUMIFS(P30:P891,F30:F891,4,G30:G891,5)+SUMIFS(Q30:Q891,F30:F891,4,G30:G891,5)+SUMIFS(R30:R891,F30:F891,4,G30:G891,5)</f>
        <v>28.965</v>
      </c>
      <c r="AG31" s="2582">
        <f>SUMIFS(M30:M891,F30:F891,5,G30:G891,5)+SUMIFS(N30:N891,F30:F891,5,G30:G891,5)+SUMIFS(O30:O891,F30:F891,5,G30:G891,5)+SUMIFS(P30:P891,F30:F891,5,G30:G891,5)+SUMIFS(Q30:Q891,F30:F891,5,G30:G891,5)+SUMIFS(R30:R891,F30:F891,5,G30:G891,5)</f>
        <v>57.092000000000006</v>
      </c>
      <c r="AH31" s="2582">
        <f>SUMIFS(M30:M891,F30:F891,"6а",G30:G891,5)+SUMIFS(N30:N891,F30:F891,"6а",G30:G891,5)+SUMIFS(O30:O891,F30:F891,"6а",G30:G891,5)+SUMIFS(P30:P891,F30:F891,"6а",G30:G891,5)+SUMIFS(Q30:Q891,F30:F891,"6а",G30:G891,5)+SUMIFS(R30:R891,F30:F891,"6а",G30:G891,5)</f>
        <v>49.680000000000007</v>
      </c>
      <c r="AI31" s="2582">
        <f>SUMIFS(M30:M891,F30:F891,"6б",G30:G891,5)+SUMIFS(N30:N891,F30:F891,"6б",G30:G891,5)+SUMIFS(O30:O891,F30:F891,"6б",G30:G891,5)+SUMIFS(P30:P891,F30:F891,"6б",G30:G891,5)+SUMIFS(Q30:Q891,F30:F891,"6б",G30:G891,5)+SUMIFS(R30:R891,F30:F891,"6б",G30:G891,5)</f>
        <v>17.869999999999997</v>
      </c>
      <c r="AJ31" s="2583">
        <f>SUMIFS(M30:M891,F30:F891,"б/к",G30:G891,5)+SUMIFS(N30:N891,F30:F891,"б/к",G30:G891,5)+SUMIFS(O30:O891,F30:F891,"б/к",G30:G891,5)+SUMIFS(P30:P891,F30:F891,"б/к",G30:G891,5)+SUMIFS(Q30:Q891,F30:F891,"б/к",G30:G891,5)+SUMIFS(R30:R891,F30:F891,"б/к",G30:G891,5)</f>
        <v>112.78000000000002</v>
      </c>
      <c r="AK31" s="2815"/>
      <c r="AL31" s="2579"/>
      <c r="AM31" s="2817"/>
    </row>
    <row r="32" spans="1:39" x14ac:dyDescent="0.35">
      <c r="A32" s="658"/>
      <c r="B32" s="651">
        <v>10676</v>
      </c>
      <c r="C32" s="651"/>
      <c r="D32" s="659"/>
      <c r="E32" s="291" t="s">
        <v>11645</v>
      </c>
      <c r="F32" s="340">
        <v>4</v>
      </c>
      <c r="G32" s="340">
        <v>4</v>
      </c>
      <c r="H32" s="340">
        <v>6</v>
      </c>
      <c r="I32" s="572"/>
      <c r="J32" s="573"/>
      <c r="K32" s="573"/>
      <c r="L32" s="573"/>
      <c r="M32" s="573"/>
      <c r="N32" s="2867">
        <v>13</v>
      </c>
      <c r="O32" s="551"/>
      <c r="P32" s="573"/>
      <c r="Q32" s="865"/>
      <c r="R32" s="875"/>
      <c r="S32" s="72"/>
      <c r="T32" s="334"/>
      <c r="U32" s="72"/>
      <c r="V32" s="72"/>
      <c r="W32" s="72"/>
      <c r="X32" s="72"/>
      <c r="Y32" s="72"/>
      <c r="Z32" s="660"/>
      <c r="AD32"/>
      <c r="AE32" s="1572"/>
      <c r="AF32"/>
      <c r="AG32"/>
      <c r="AH32"/>
      <c r="AI32" s="2584" t="s">
        <v>7183</v>
      </c>
      <c r="AJ32" s="2585">
        <f>SUMIF(AB30:AB891,"=1",J30:J891)</f>
        <v>495.01100000000002</v>
      </c>
      <c r="AK32" s="2818" t="s">
        <v>11235</v>
      </c>
      <c r="AL32" s="2821">
        <f>AL34+AL40+AL46</f>
        <v>221.75400000000002</v>
      </c>
      <c r="AM32" s="2820">
        <f>AL32-J19</f>
        <v>0</v>
      </c>
    </row>
    <row r="33" spans="1:39" x14ac:dyDescent="0.35">
      <c r="A33" s="658"/>
      <c r="B33" s="651">
        <v>10676</v>
      </c>
      <c r="C33" s="651"/>
      <c r="D33" s="659"/>
      <c r="E33" s="837" t="s">
        <v>11641</v>
      </c>
      <c r="F33" s="340">
        <v>4</v>
      </c>
      <c r="G33" s="340">
        <v>4</v>
      </c>
      <c r="H33" s="340">
        <v>6</v>
      </c>
      <c r="I33" s="572"/>
      <c r="J33" s="573"/>
      <c r="K33" s="573"/>
      <c r="L33" s="573"/>
      <c r="M33" s="573"/>
      <c r="N33" s="572"/>
      <c r="O33" s="551"/>
      <c r="P33" s="573"/>
      <c r="Q33" s="865">
        <f>16.4-13</f>
        <v>3.3999999999999986</v>
      </c>
      <c r="R33" s="875"/>
      <c r="S33" s="72"/>
      <c r="T33" s="334"/>
      <c r="U33" s="72"/>
      <c r="V33" s="72"/>
      <c r="W33" s="72"/>
      <c r="X33" s="72"/>
      <c r="Y33" s="72"/>
      <c r="Z33" s="660"/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x14ac:dyDescent="0.35">
      <c r="A34" s="658"/>
      <c r="B34" s="651">
        <v>10676</v>
      </c>
      <c r="C34" s="651"/>
      <c r="D34" s="659"/>
      <c r="E34" s="291" t="s">
        <v>11646</v>
      </c>
      <c r="F34" s="340">
        <v>4</v>
      </c>
      <c r="G34" s="340">
        <v>4</v>
      </c>
      <c r="H34" s="340">
        <v>6</v>
      </c>
      <c r="I34" s="572"/>
      <c r="J34" s="573"/>
      <c r="K34" s="573"/>
      <c r="L34" s="573"/>
      <c r="M34" s="573"/>
      <c r="N34" s="2867">
        <f>18.452-16.4</f>
        <v>2.0520000000000032</v>
      </c>
      <c r="O34" s="551"/>
      <c r="P34" s="573"/>
      <c r="Q34" s="865"/>
      <c r="R34" s="875"/>
      <c r="S34" s="72"/>
      <c r="T34" s="334"/>
      <c r="U34" s="72"/>
      <c r="V34" s="72"/>
      <c r="W34" s="72"/>
      <c r="X34" s="72"/>
      <c r="Y34" s="72"/>
      <c r="Z34" s="660"/>
      <c r="AK34" s="2818" t="s">
        <v>7184</v>
      </c>
      <c r="AL34" s="2821">
        <f>AL35+AL36+AL37+AL38+AL39</f>
        <v>197.15600000000001</v>
      </c>
      <c r="AM34" s="2820">
        <f>AL34-AF30</f>
        <v>0</v>
      </c>
    </row>
    <row r="35" spans="1:39" x14ac:dyDescent="0.35">
      <c r="A35" s="658"/>
      <c r="B35" s="651">
        <v>10676</v>
      </c>
      <c r="C35" s="651"/>
      <c r="D35" s="659"/>
      <c r="E35" s="837" t="s">
        <v>3668</v>
      </c>
      <c r="F35" s="340">
        <v>4</v>
      </c>
      <c r="G35" s="340">
        <v>4</v>
      </c>
      <c r="H35" s="340">
        <v>6</v>
      </c>
      <c r="I35" s="572"/>
      <c r="J35" s="573"/>
      <c r="K35" s="573"/>
      <c r="L35" s="573"/>
      <c r="M35" s="573"/>
      <c r="N35" s="572"/>
      <c r="O35" s="551"/>
      <c r="P35" s="573"/>
      <c r="Q35" s="865">
        <f>18.912-18.452</f>
        <v>0.4599999999999973</v>
      </c>
      <c r="R35" s="875"/>
      <c r="S35" s="72"/>
      <c r="T35" s="334"/>
      <c r="U35" s="72"/>
      <c r="V35" s="72"/>
      <c r="W35" s="72"/>
      <c r="X35" s="72"/>
      <c r="Y35" s="72"/>
      <c r="Z35" s="660"/>
      <c r="AK35" s="2815" t="s">
        <v>11230</v>
      </c>
      <c r="AL35" s="2579">
        <f>SUMIFS(M30:M953,F30:F953,4,G30:G953,4)</f>
        <v>0</v>
      </c>
      <c r="AM35" s="2817"/>
    </row>
    <row r="36" spans="1:39" x14ac:dyDescent="0.35">
      <c r="A36" s="658"/>
      <c r="B36" s="651">
        <v>10676</v>
      </c>
      <c r="C36" s="651"/>
      <c r="D36" s="659"/>
      <c r="E36" s="291" t="s">
        <v>3669</v>
      </c>
      <c r="F36" s="340">
        <v>4</v>
      </c>
      <c r="G36" s="340">
        <v>4</v>
      </c>
      <c r="H36" s="340">
        <v>6</v>
      </c>
      <c r="I36" s="572"/>
      <c r="J36" s="573"/>
      <c r="K36" s="573"/>
      <c r="L36" s="573"/>
      <c r="M36" s="573"/>
      <c r="N36" s="572">
        <f>19.2-18.912</f>
        <v>0.28800000000000026</v>
      </c>
      <c r="O36" s="551"/>
      <c r="P36" s="573"/>
      <c r="Q36" s="865"/>
      <c r="R36" s="875"/>
      <c r="S36" s="72"/>
      <c r="T36" s="334"/>
      <c r="U36" s="72"/>
      <c r="V36" s="72"/>
      <c r="W36" s="72"/>
      <c r="X36" s="72"/>
      <c r="Y36" s="72"/>
      <c r="Z36" s="660"/>
      <c r="AK36" s="2815" t="s">
        <v>11231</v>
      </c>
      <c r="AL36" s="2579">
        <f>SUMIFS(N30:N953,F30:F953,4,G30:G953,4)</f>
        <v>127.02</v>
      </c>
      <c r="AM36" s="2817"/>
    </row>
    <row r="37" spans="1:39" x14ac:dyDescent="0.35">
      <c r="A37" s="658"/>
      <c r="B37" s="651">
        <v>10676</v>
      </c>
      <c r="C37" s="651"/>
      <c r="D37" s="659"/>
      <c r="E37" s="837" t="s">
        <v>3670</v>
      </c>
      <c r="F37" s="340">
        <v>4</v>
      </c>
      <c r="G37" s="340">
        <v>4</v>
      </c>
      <c r="H37" s="340">
        <v>6</v>
      </c>
      <c r="I37" s="572"/>
      <c r="J37" s="573"/>
      <c r="K37" s="573"/>
      <c r="L37" s="573"/>
      <c r="M37" s="573"/>
      <c r="N37" s="573"/>
      <c r="O37" s="551"/>
      <c r="P37" s="573"/>
      <c r="Q37" s="863">
        <f>19.67-19.2</f>
        <v>0.47000000000000242</v>
      </c>
      <c r="R37" s="875"/>
      <c r="S37" s="72"/>
      <c r="T37" s="334"/>
      <c r="U37" s="72"/>
      <c r="V37" s="72"/>
      <c r="W37" s="72"/>
      <c r="X37" s="72"/>
      <c r="Y37" s="72"/>
      <c r="Z37" s="660"/>
      <c r="AK37" s="2815" t="s">
        <v>11232</v>
      </c>
      <c r="AL37" s="2579">
        <f>SUMIFS(O30:O953,F30:F953,4,G30:G953,4)</f>
        <v>0</v>
      </c>
      <c r="AM37" s="2817"/>
    </row>
    <row r="38" spans="1:39" x14ac:dyDescent="0.35">
      <c r="A38" s="661"/>
      <c r="B38" s="662"/>
      <c r="C38" s="662"/>
      <c r="D38" s="2468"/>
      <c r="E38" s="291" t="s">
        <v>11647</v>
      </c>
      <c r="F38" s="340">
        <v>4</v>
      </c>
      <c r="G38" s="340">
        <v>4</v>
      </c>
      <c r="H38" s="340">
        <v>6</v>
      </c>
      <c r="I38" s="572"/>
      <c r="J38" s="573"/>
      <c r="K38" s="573"/>
      <c r="L38" s="573"/>
      <c r="M38" s="573"/>
      <c r="N38" s="2867">
        <f>20.3-19.67</f>
        <v>0.62999999999999901</v>
      </c>
      <c r="O38" s="551"/>
      <c r="P38" s="573"/>
      <c r="Q38" s="865"/>
      <c r="R38" s="1854"/>
      <c r="S38" s="328"/>
      <c r="T38" s="329"/>
      <c r="U38" s="330"/>
      <c r="V38" s="330"/>
      <c r="W38" s="328"/>
      <c r="X38" s="328"/>
      <c r="Y38" s="330"/>
      <c r="Z38" s="663"/>
      <c r="AE38" s="2461"/>
      <c r="AF38" s="2462"/>
      <c r="AK38" s="2815" t="s">
        <v>11233</v>
      </c>
      <c r="AL38" s="2579">
        <f>SUMIFS(P30:P953,F30:F953,4,G30:G953,4)+SUMIFS(Q30:Q953,F30:F953,4,G30:G953,4)</f>
        <v>70.13600000000001</v>
      </c>
      <c r="AM38" s="2817"/>
    </row>
    <row r="39" spans="1:39" x14ac:dyDescent="0.35">
      <c r="A39" s="658"/>
      <c r="B39" s="651">
        <v>10676</v>
      </c>
      <c r="C39" s="651"/>
      <c r="D39" s="659"/>
      <c r="E39" s="837" t="s">
        <v>11642</v>
      </c>
      <c r="F39" s="340">
        <v>4</v>
      </c>
      <c r="G39" s="340">
        <v>4</v>
      </c>
      <c r="H39" s="340">
        <v>6</v>
      </c>
      <c r="I39" s="572"/>
      <c r="J39" s="573"/>
      <c r="K39" s="573"/>
      <c r="L39" s="573"/>
      <c r="M39" s="573"/>
      <c r="N39" s="572"/>
      <c r="O39" s="551"/>
      <c r="P39" s="573"/>
      <c r="Q39" s="865">
        <f>23.673-20.3</f>
        <v>3.3729999999999976</v>
      </c>
      <c r="R39" s="875"/>
      <c r="S39" s="72"/>
      <c r="T39" s="334"/>
      <c r="U39" s="72"/>
      <c r="V39" s="72"/>
      <c r="W39" s="72"/>
      <c r="X39" s="72"/>
      <c r="Y39" s="72"/>
      <c r="Z39" s="660"/>
      <c r="AE39" s="2461"/>
      <c r="AF39" s="68"/>
      <c r="AK39" s="2815" t="s">
        <v>910</v>
      </c>
      <c r="AL39" s="2579">
        <f>SUMIFS(R30:R953,F30:F953,4,G30:G953,4)</f>
        <v>0</v>
      </c>
      <c r="AM39" s="2817"/>
    </row>
    <row r="40" spans="1:39" x14ac:dyDescent="0.35">
      <c r="A40" s="658"/>
      <c r="B40" s="651">
        <v>10676</v>
      </c>
      <c r="C40" s="651"/>
      <c r="D40" s="659"/>
      <c r="E40" s="2864" t="s">
        <v>11643</v>
      </c>
      <c r="F40" s="340">
        <v>4</v>
      </c>
      <c r="G40" s="340">
        <v>4</v>
      </c>
      <c r="H40" s="340">
        <v>6</v>
      </c>
      <c r="I40" s="572"/>
      <c r="J40" s="573"/>
      <c r="K40" s="573"/>
      <c r="L40" s="573"/>
      <c r="M40" s="573"/>
      <c r="N40" s="2867">
        <f>23.708-23.673</f>
        <v>3.5000000000000142E-2</v>
      </c>
      <c r="O40" s="551"/>
      <c r="P40" s="573"/>
      <c r="Q40" s="865"/>
      <c r="R40" s="875"/>
      <c r="S40" s="72"/>
      <c r="T40" s="334"/>
      <c r="U40" s="72"/>
      <c r="V40" s="72"/>
      <c r="W40" s="72"/>
      <c r="X40" s="72"/>
      <c r="Y40" s="72"/>
      <c r="Z40" s="660"/>
      <c r="AE40" s="2461"/>
      <c r="AF40" s="68"/>
      <c r="AK40" s="2818" t="s">
        <v>7185</v>
      </c>
      <c r="AL40" s="2821">
        <f>AL41+AL42+AL43+AL44+AL45</f>
        <v>23.899000000000001</v>
      </c>
      <c r="AM40" s="2820">
        <f>AL40-AG30</f>
        <v>0</v>
      </c>
    </row>
    <row r="41" spans="1:39" x14ac:dyDescent="0.35">
      <c r="A41" s="658"/>
      <c r="B41" s="651">
        <v>10676</v>
      </c>
      <c r="C41" s="651"/>
      <c r="D41" s="659"/>
      <c r="E41" s="837" t="s">
        <v>11644</v>
      </c>
      <c r="F41" s="340">
        <v>4</v>
      </c>
      <c r="G41" s="340">
        <v>4</v>
      </c>
      <c r="H41" s="340">
        <v>6</v>
      </c>
      <c r="I41" s="572"/>
      <c r="J41" s="573"/>
      <c r="K41" s="573"/>
      <c r="L41" s="573"/>
      <c r="M41" s="573"/>
      <c r="N41" s="572"/>
      <c r="O41" s="551"/>
      <c r="P41" s="573"/>
      <c r="Q41" s="865">
        <f>27.408-23.708</f>
        <v>3.7000000000000028</v>
      </c>
      <c r="R41" s="875"/>
      <c r="S41" s="72"/>
      <c r="T41" s="334"/>
      <c r="U41" s="72"/>
      <c r="V41" s="72"/>
      <c r="W41" s="72"/>
      <c r="X41" s="72"/>
      <c r="Y41" s="72"/>
      <c r="Z41" s="660"/>
      <c r="AE41" s="2461"/>
      <c r="AF41" s="68"/>
      <c r="AK41" s="2815" t="s">
        <v>11230</v>
      </c>
      <c r="AL41" s="2579">
        <f>SUMIFS(M30:M953,F30:F953,5,G30:G953,4)</f>
        <v>0</v>
      </c>
      <c r="AM41" s="2817"/>
    </row>
    <row r="42" spans="1:39" x14ac:dyDescent="0.35">
      <c r="A42" s="658"/>
      <c r="B42" s="651">
        <v>10676</v>
      </c>
      <c r="C42" s="651"/>
      <c r="D42" s="659"/>
      <c r="E42" s="289" t="s">
        <v>11648</v>
      </c>
      <c r="F42" s="340">
        <v>4</v>
      </c>
      <c r="G42" s="340">
        <v>4</v>
      </c>
      <c r="H42" s="340">
        <v>6</v>
      </c>
      <c r="I42" s="572"/>
      <c r="J42" s="573"/>
      <c r="K42" s="573"/>
      <c r="L42" s="573"/>
      <c r="M42" s="573"/>
      <c r="N42" s="2867">
        <f>31.1-27.408</f>
        <v>3.6920000000000002</v>
      </c>
      <c r="O42" s="551"/>
      <c r="P42" s="573"/>
      <c r="Q42" s="865"/>
      <c r="R42" s="875"/>
      <c r="S42" s="72"/>
      <c r="T42" s="334"/>
      <c r="U42" s="72"/>
      <c r="V42" s="72"/>
      <c r="W42" s="72"/>
      <c r="X42" s="72"/>
      <c r="Y42" s="72"/>
      <c r="Z42" s="660"/>
      <c r="AE42" s="2461"/>
      <c r="AF42" s="68"/>
      <c r="AK42" s="2815" t="s">
        <v>11231</v>
      </c>
      <c r="AL42" s="2579">
        <f>SUMIFS(N30:N953,F30:F953,5,G30:G953,4)</f>
        <v>11.72</v>
      </c>
      <c r="AM42" s="2817"/>
    </row>
    <row r="43" spans="1:39" x14ac:dyDescent="0.35">
      <c r="A43" s="658"/>
      <c r="B43" s="651">
        <v>10676</v>
      </c>
      <c r="C43" s="651"/>
      <c r="D43" s="659"/>
      <c r="E43" s="837" t="s">
        <v>1351</v>
      </c>
      <c r="F43" s="340">
        <v>4</v>
      </c>
      <c r="G43" s="340">
        <v>4</v>
      </c>
      <c r="H43" s="340">
        <v>6</v>
      </c>
      <c r="I43" s="572"/>
      <c r="J43" s="573"/>
      <c r="K43" s="573"/>
      <c r="L43" s="573"/>
      <c r="M43" s="573"/>
      <c r="N43" s="573"/>
      <c r="O43" s="551"/>
      <c r="P43" s="573"/>
      <c r="Q43" s="863">
        <f>32.09-31.1</f>
        <v>0.99000000000000199</v>
      </c>
      <c r="R43" s="875"/>
      <c r="S43" s="72"/>
      <c r="T43" s="334"/>
      <c r="U43" s="72"/>
      <c r="V43" s="72"/>
      <c r="W43" s="72"/>
      <c r="X43" s="72"/>
      <c r="Y43" s="72"/>
      <c r="Z43" s="660"/>
      <c r="AE43" s="2461"/>
      <c r="AF43" s="68"/>
      <c r="AK43" s="2815" t="s">
        <v>11232</v>
      </c>
      <c r="AL43" s="2579">
        <f>SUMIFS(O30:O953,F30:F953,5,G30:G953,4)</f>
        <v>0</v>
      </c>
      <c r="AM43" s="2817"/>
    </row>
    <row r="44" spans="1:39" ht="30.5" x14ac:dyDescent="0.35">
      <c r="A44" s="661">
        <v>2</v>
      </c>
      <c r="B44" s="662">
        <v>10676</v>
      </c>
      <c r="C44" s="662"/>
      <c r="D44" s="2468" t="s">
        <v>4919</v>
      </c>
      <c r="E44" s="290" t="s">
        <v>9832</v>
      </c>
      <c r="F44" s="13"/>
      <c r="G44" s="13" t="s">
        <v>191</v>
      </c>
      <c r="H44" s="340" t="s">
        <v>191</v>
      </c>
      <c r="I44" s="674">
        <f>L44+K44+J44</f>
        <v>2.9550000000000001</v>
      </c>
      <c r="J44" s="674">
        <f>SUM(M44:R44)</f>
        <v>2.9550000000000001</v>
      </c>
      <c r="K44" s="553"/>
      <c r="L44" s="553"/>
      <c r="M44" s="552"/>
      <c r="N44" s="552"/>
      <c r="O44" s="555"/>
      <c r="P44" s="552"/>
      <c r="Q44" s="860">
        <f>SUM(Q45:Q46)</f>
        <v>2.5</v>
      </c>
      <c r="R44" s="1854">
        <f>SUM(R45:R46)</f>
        <v>0.45500000000000002</v>
      </c>
      <c r="S44" s="328">
        <v>1</v>
      </c>
      <c r="T44" s="329">
        <v>12.2</v>
      </c>
      <c r="U44" s="330"/>
      <c r="V44" s="330"/>
      <c r="W44" s="328">
        <v>3</v>
      </c>
      <c r="X44" s="328">
        <v>40.299999999999997</v>
      </c>
      <c r="Y44" s="330"/>
      <c r="Z44" s="663"/>
      <c r="AB44" s="3">
        <v>1</v>
      </c>
      <c r="AE44" s="2461"/>
      <c r="AF44" s="68"/>
      <c r="AK44" s="2815" t="s">
        <v>11233</v>
      </c>
      <c r="AL44" s="2579">
        <f>SUMIFS(P30:P953,F30:F953,5,G30:G953,4)+SUMIFS(Q30:Q953,F30:F953,5,G30:G953,4)</f>
        <v>12.179</v>
      </c>
      <c r="AM44" s="2817"/>
    </row>
    <row r="45" spans="1:39" x14ac:dyDescent="0.35">
      <c r="A45" s="661"/>
      <c r="B45" s="662">
        <v>10676</v>
      </c>
      <c r="C45" s="662"/>
      <c r="D45" s="662"/>
      <c r="E45" s="837" t="s">
        <v>3284</v>
      </c>
      <c r="F45" s="13" t="s">
        <v>827</v>
      </c>
      <c r="G45" s="13">
        <v>5</v>
      </c>
      <c r="H45" s="340">
        <v>6</v>
      </c>
      <c r="I45" s="552"/>
      <c r="J45" s="552"/>
      <c r="K45" s="553"/>
      <c r="L45" s="553"/>
      <c r="M45" s="552"/>
      <c r="N45" s="552"/>
      <c r="O45" s="555"/>
      <c r="P45" s="552"/>
      <c r="Q45" s="863">
        <v>2.5</v>
      </c>
      <c r="R45" s="870"/>
      <c r="S45" s="328"/>
      <c r="T45" s="329"/>
      <c r="U45" s="330"/>
      <c r="V45" s="330"/>
      <c r="W45" s="328"/>
      <c r="X45" s="328"/>
      <c r="Y45" s="330"/>
      <c r="Z45" s="663"/>
      <c r="AE45" s="2461"/>
      <c r="AF45" s="68"/>
      <c r="AK45" s="2815" t="s">
        <v>910</v>
      </c>
      <c r="AL45" s="2579">
        <f>SUMIFS(R30:R953,F30:F953,5,G30:G953,4)</f>
        <v>0</v>
      </c>
      <c r="AM45" s="2817"/>
    </row>
    <row r="46" spans="1:39" x14ac:dyDescent="0.35">
      <c r="A46" s="661"/>
      <c r="B46" s="662">
        <v>10676</v>
      </c>
      <c r="C46" s="662"/>
      <c r="D46" s="662"/>
      <c r="E46" s="838" t="s">
        <v>1352</v>
      </c>
      <c r="F46" s="13" t="s">
        <v>1490</v>
      </c>
      <c r="G46" s="13">
        <v>5</v>
      </c>
      <c r="H46" s="13">
        <v>6</v>
      </c>
      <c r="I46" s="552"/>
      <c r="J46" s="552"/>
      <c r="K46" s="553"/>
      <c r="L46" s="553"/>
      <c r="M46" s="552"/>
      <c r="N46" s="552"/>
      <c r="O46" s="555"/>
      <c r="P46" s="552"/>
      <c r="Q46" s="860"/>
      <c r="R46" s="873">
        <v>0.45500000000000002</v>
      </c>
      <c r="S46" s="328"/>
      <c r="T46" s="329"/>
      <c r="U46" s="330"/>
      <c r="V46" s="330"/>
      <c r="W46" s="328"/>
      <c r="X46" s="328"/>
      <c r="Y46" s="330"/>
      <c r="Z46" s="663"/>
      <c r="AE46" s="2461"/>
      <c r="AF46" s="68"/>
      <c r="AK46" s="2818" t="s">
        <v>11234</v>
      </c>
      <c r="AL46" s="2821">
        <f>AL47+AL48+AL49+AL50+AL51</f>
        <v>0.69899999999999973</v>
      </c>
      <c r="AM46" s="2820">
        <f>AL46-AH30-AI30-AJ30</f>
        <v>0</v>
      </c>
    </row>
    <row r="47" spans="1:39" ht="60.5" x14ac:dyDescent="0.35">
      <c r="A47" s="1823">
        <v>3</v>
      </c>
      <c r="B47" s="826">
        <v>10676</v>
      </c>
      <c r="C47" s="826" t="s">
        <v>1656</v>
      </c>
      <c r="D47" s="2468" t="s">
        <v>4920</v>
      </c>
      <c r="E47" s="2374" t="s">
        <v>9833</v>
      </c>
      <c r="F47" s="1944" t="s">
        <v>664</v>
      </c>
      <c r="G47" s="13">
        <v>5</v>
      </c>
      <c r="H47" s="13">
        <v>6</v>
      </c>
      <c r="I47" s="297">
        <f>J47+K47+L47</f>
        <v>0.5</v>
      </c>
      <c r="J47" s="297">
        <f>SUM(M47:R47)</f>
        <v>0.5</v>
      </c>
      <c r="K47" s="573"/>
      <c r="L47" s="573"/>
      <c r="M47" s="503"/>
      <c r="N47" s="503"/>
      <c r="O47" s="570"/>
      <c r="P47" s="503"/>
      <c r="Q47" s="1856"/>
      <c r="R47" s="2098">
        <v>0.5</v>
      </c>
      <c r="S47" s="72"/>
      <c r="T47" s="334"/>
      <c r="U47" s="72"/>
      <c r="V47" s="72"/>
      <c r="W47" s="72"/>
      <c r="X47" s="72"/>
      <c r="Y47" s="72"/>
      <c r="Z47" s="2375"/>
      <c r="AB47" s="3">
        <v>1</v>
      </c>
      <c r="AE47" s="2461"/>
      <c r="AF47" s="68"/>
      <c r="AK47" s="2815" t="s">
        <v>11230</v>
      </c>
      <c r="AL47" s="2579">
        <f>SUMIFS(M30:M953,F30:F953,"6а",G30:G953,4)+SUMIFS(M30:M953,F30:F953,"6б",G30:G953,4)+SUMIFS(M30:M953,F30:F953,"б/к",G30:G953,4)</f>
        <v>0</v>
      </c>
      <c r="AM47" s="2817"/>
    </row>
    <row r="48" spans="1:39" ht="30.5" x14ac:dyDescent="0.35">
      <c r="A48" s="661">
        <v>4</v>
      </c>
      <c r="B48" s="662">
        <v>10676</v>
      </c>
      <c r="C48" s="662"/>
      <c r="D48" s="2468" t="s">
        <v>4921</v>
      </c>
      <c r="E48" s="290" t="s">
        <v>9834</v>
      </c>
      <c r="F48" s="13" t="s">
        <v>664</v>
      </c>
      <c r="G48" s="13">
        <v>5</v>
      </c>
      <c r="H48" s="13">
        <v>6</v>
      </c>
      <c r="I48" s="552">
        <f>L48+K48+J48</f>
        <v>0.4</v>
      </c>
      <c r="J48" s="552">
        <f>SUM(M48:R48)</f>
        <v>0.4</v>
      </c>
      <c r="K48" s="553"/>
      <c r="L48" s="553"/>
      <c r="M48" s="552"/>
      <c r="N48" s="552"/>
      <c r="O48" s="555"/>
      <c r="P48" s="552"/>
      <c r="Q48" s="860"/>
      <c r="R48" s="870">
        <v>0.4</v>
      </c>
      <c r="S48" s="330"/>
      <c r="T48" s="331"/>
      <c r="U48" s="330"/>
      <c r="V48" s="330"/>
      <c r="W48" s="330"/>
      <c r="X48" s="330"/>
      <c r="Y48" s="330"/>
      <c r="Z48" s="663"/>
      <c r="AB48" s="3">
        <v>1</v>
      </c>
      <c r="AE48" s="2461"/>
      <c r="AF48" s="68"/>
      <c r="AK48" s="2815" t="s">
        <v>11231</v>
      </c>
      <c r="AL48" s="2579">
        <f>SUMIFS(N30:N953,F30:F953,"6а",G30:G953,4)+SUMIFS(N30:N953,F30:F953,"6б",G30:G953,4)+SUMIFS(N30:N953,F30:F953,"б/к",G30:G953,4)</f>
        <v>0</v>
      </c>
      <c r="AM48" s="2817"/>
    </row>
    <row r="49" spans="1:39" ht="45.5" x14ac:dyDescent="0.35">
      <c r="A49" s="1823">
        <v>5</v>
      </c>
      <c r="B49" s="662">
        <v>10676</v>
      </c>
      <c r="C49" s="662" t="s">
        <v>1655</v>
      </c>
      <c r="D49" s="2468" t="s">
        <v>4922</v>
      </c>
      <c r="E49" s="290" t="s">
        <v>9835</v>
      </c>
      <c r="F49" s="13" t="s">
        <v>664</v>
      </c>
      <c r="G49" s="13">
        <v>5</v>
      </c>
      <c r="H49" s="13">
        <v>6</v>
      </c>
      <c r="I49" s="552">
        <f>L49+K49+J49</f>
        <v>0.6</v>
      </c>
      <c r="J49" s="552">
        <f>SUM(M49:R49)</f>
        <v>0.6</v>
      </c>
      <c r="K49" s="553"/>
      <c r="L49" s="553"/>
      <c r="M49" s="552"/>
      <c r="N49" s="552"/>
      <c r="O49" s="555"/>
      <c r="P49" s="552"/>
      <c r="Q49" s="860"/>
      <c r="R49" s="870">
        <v>0.6</v>
      </c>
      <c r="S49" s="330"/>
      <c r="T49" s="331"/>
      <c r="U49" s="330"/>
      <c r="V49" s="330"/>
      <c r="W49" s="330"/>
      <c r="X49" s="330"/>
      <c r="Y49" s="330"/>
      <c r="Z49" s="663"/>
      <c r="AB49" s="3">
        <v>1</v>
      </c>
      <c r="AE49" s="2461"/>
      <c r="AF49" s="68"/>
      <c r="AK49" s="2815" t="s">
        <v>11232</v>
      </c>
      <c r="AL49" s="2579">
        <f>SUMIFS(O30:O953,F30:F953,"6а",G30:G953,4)+SUMIFS(O30:O953,F30:F953,"6б",G30:G953,4)+SUMIFS(O30:O953,F30:F953,"б/к",G30:G953,4)</f>
        <v>0</v>
      </c>
      <c r="AM49" s="2817"/>
    </row>
    <row r="50" spans="1:39" ht="30.5" x14ac:dyDescent="0.35">
      <c r="A50" s="661">
        <v>6</v>
      </c>
      <c r="B50" s="662">
        <v>10676</v>
      </c>
      <c r="C50" s="662" t="s">
        <v>1656</v>
      </c>
      <c r="D50" s="2468" t="s">
        <v>4923</v>
      </c>
      <c r="E50" s="290" t="s">
        <v>9836</v>
      </c>
      <c r="F50" s="13" t="s">
        <v>664</v>
      </c>
      <c r="G50" s="13">
        <v>5</v>
      </c>
      <c r="H50" s="13">
        <v>6</v>
      </c>
      <c r="I50" s="552">
        <v>0.2</v>
      </c>
      <c r="J50" s="552">
        <v>0.2</v>
      </c>
      <c r="K50" s="553"/>
      <c r="L50" s="553"/>
      <c r="M50" s="552"/>
      <c r="N50" s="552"/>
      <c r="O50" s="555"/>
      <c r="P50" s="552"/>
      <c r="Q50" s="860"/>
      <c r="R50" s="870">
        <v>0.2</v>
      </c>
      <c r="S50" s="330"/>
      <c r="T50" s="331"/>
      <c r="U50" s="330"/>
      <c r="V50" s="330"/>
      <c r="W50" s="330"/>
      <c r="X50" s="330"/>
      <c r="Y50" s="330"/>
      <c r="Z50" s="663"/>
      <c r="AB50" s="3">
        <v>1</v>
      </c>
      <c r="AE50" s="2461"/>
      <c r="AF50" s="68"/>
      <c r="AK50" s="2815" t="s">
        <v>11233</v>
      </c>
      <c r="AL50" s="2579">
        <f>SUMIFS(P30:P953,F30:F953,"6а",G30:G953,4)+SUMIFS(Q30:Q953,F30:F953,"6а",G30:G953,4)+SUMIFS(P30:P953,F30:F953,"6б",G30:G953,4)+SUMIFS(Q30:Q953,F30:F953,"6б",G30:G953,4)+SUMIFS(O30:O953,F30:F953,"б/к",G30:G953,4)+SUMIFS(P30:P953,F30:F953,"б/к",G30:G953,4)+SUMIFS(Q30:Q953,F30:F953,"б/к",G30:G953,4)</f>
        <v>0</v>
      </c>
      <c r="AM50" s="2817"/>
    </row>
    <row r="51" spans="1:39" ht="45.5" x14ac:dyDescent="0.35">
      <c r="A51" s="1823">
        <v>7</v>
      </c>
      <c r="B51" s="662">
        <v>10676</v>
      </c>
      <c r="C51" s="662" t="s">
        <v>1656</v>
      </c>
      <c r="D51" s="2468" t="s">
        <v>4924</v>
      </c>
      <c r="E51" s="290" t="s">
        <v>9837</v>
      </c>
      <c r="F51" s="13" t="s">
        <v>664</v>
      </c>
      <c r="G51" s="13">
        <v>5</v>
      </c>
      <c r="H51" s="13">
        <v>6</v>
      </c>
      <c r="I51" s="552">
        <v>0.1</v>
      </c>
      <c r="J51" s="552">
        <v>0.1</v>
      </c>
      <c r="K51" s="553"/>
      <c r="L51" s="553"/>
      <c r="M51" s="552"/>
      <c r="N51" s="552"/>
      <c r="O51" s="555"/>
      <c r="P51" s="552"/>
      <c r="Q51" s="860"/>
      <c r="R51" s="870">
        <v>0.1</v>
      </c>
      <c r="S51" s="330"/>
      <c r="T51" s="331"/>
      <c r="U51" s="330"/>
      <c r="V51" s="330"/>
      <c r="W51" s="330"/>
      <c r="X51" s="330"/>
      <c r="Y51" s="330"/>
      <c r="Z51" s="663"/>
      <c r="AB51" s="3">
        <v>1</v>
      </c>
      <c r="AE51" s="2461"/>
      <c r="AF51" s="68"/>
      <c r="AK51" s="2815" t="s">
        <v>910</v>
      </c>
      <c r="AL51" s="2579">
        <f>SUMIFS(R30:R953,F30:F953,"6а",G30:G953,4)+SUMIFS(R30:R953,F30:F953,"6б",G30:G953,4)+SUMIFS(R30:R953,F30:F953,"б/к",G30:G953,4)</f>
        <v>0.69899999999999973</v>
      </c>
      <c r="AM51" s="2817"/>
    </row>
    <row r="52" spans="1:39" ht="45.5" x14ac:dyDescent="0.35">
      <c r="A52" s="661">
        <v>8</v>
      </c>
      <c r="B52" s="662">
        <v>10676</v>
      </c>
      <c r="C52" s="662" t="s">
        <v>1656</v>
      </c>
      <c r="D52" s="2468" t="s">
        <v>4925</v>
      </c>
      <c r="E52" s="290" t="s">
        <v>9838</v>
      </c>
      <c r="F52" s="13" t="s">
        <v>664</v>
      </c>
      <c r="G52" s="13">
        <v>5</v>
      </c>
      <c r="H52" s="13">
        <v>6</v>
      </c>
      <c r="I52" s="552">
        <v>5</v>
      </c>
      <c r="J52" s="552">
        <v>5</v>
      </c>
      <c r="K52" s="553"/>
      <c r="L52" s="553"/>
      <c r="M52" s="552"/>
      <c r="N52" s="552"/>
      <c r="O52" s="555"/>
      <c r="P52" s="552"/>
      <c r="Q52" s="860"/>
      <c r="R52" s="870">
        <v>5</v>
      </c>
      <c r="S52" s="330"/>
      <c r="T52" s="331"/>
      <c r="U52" s="330"/>
      <c r="V52" s="330"/>
      <c r="W52" s="330"/>
      <c r="X52" s="330"/>
      <c r="Y52" s="330"/>
      <c r="Z52" s="663"/>
      <c r="AB52" s="3">
        <v>1</v>
      </c>
      <c r="AE52" s="2461"/>
      <c r="AF52" s="68"/>
      <c r="AK52" s="2815"/>
      <c r="AL52" s="2579"/>
      <c r="AM52" s="2817"/>
    </row>
    <row r="53" spans="1:39" ht="75.5" x14ac:dyDescent="0.35">
      <c r="A53" s="1823">
        <v>9</v>
      </c>
      <c r="B53" s="662">
        <v>10676</v>
      </c>
      <c r="C53" s="662" t="s">
        <v>1656</v>
      </c>
      <c r="D53" s="2468" t="s">
        <v>4926</v>
      </c>
      <c r="E53" s="290" t="s">
        <v>9839</v>
      </c>
      <c r="F53" s="13" t="s">
        <v>664</v>
      </c>
      <c r="G53" s="13">
        <v>5</v>
      </c>
      <c r="H53" s="13">
        <v>6</v>
      </c>
      <c r="I53" s="552">
        <v>1.5</v>
      </c>
      <c r="J53" s="552">
        <v>1.5</v>
      </c>
      <c r="K53" s="553"/>
      <c r="L53" s="553"/>
      <c r="M53" s="552"/>
      <c r="N53" s="552"/>
      <c r="O53" s="555"/>
      <c r="P53" s="552"/>
      <c r="Q53" s="860"/>
      <c r="R53" s="870">
        <v>1.5</v>
      </c>
      <c r="S53" s="330"/>
      <c r="T53" s="331"/>
      <c r="U53" s="330"/>
      <c r="V53" s="330"/>
      <c r="W53" s="330"/>
      <c r="X53" s="330"/>
      <c r="Y53" s="330"/>
      <c r="Z53" s="663"/>
      <c r="AB53" s="3">
        <v>1</v>
      </c>
      <c r="AE53" s="2461"/>
      <c r="AF53" s="68"/>
      <c r="AK53" s="2818" t="s">
        <v>11236</v>
      </c>
      <c r="AL53" s="2821">
        <f>AL55+AL61+AL67</f>
        <v>266.387</v>
      </c>
      <c r="AM53" s="2820">
        <f>AL53-J20</f>
        <v>0</v>
      </c>
    </row>
    <row r="54" spans="1:39" ht="60.5" x14ac:dyDescent="0.35">
      <c r="A54" s="661">
        <v>10</v>
      </c>
      <c r="B54" s="662">
        <v>10676</v>
      </c>
      <c r="C54" s="662" t="s">
        <v>1656</v>
      </c>
      <c r="D54" s="2468" t="s">
        <v>4927</v>
      </c>
      <c r="E54" s="290" t="s">
        <v>9840</v>
      </c>
      <c r="F54" s="13" t="s">
        <v>664</v>
      </c>
      <c r="G54" s="13">
        <v>5</v>
      </c>
      <c r="H54" s="13">
        <v>6</v>
      </c>
      <c r="I54" s="552">
        <v>0.5</v>
      </c>
      <c r="J54" s="552">
        <v>0.5</v>
      </c>
      <c r="K54" s="553"/>
      <c r="L54" s="553"/>
      <c r="M54" s="552"/>
      <c r="N54" s="552"/>
      <c r="O54" s="555"/>
      <c r="P54" s="552"/>
      <c r="Q54" s="860"/>
      <c r="R54" s="870">
        <v>0.5</v>
      </c>
      <c r="S54" s="330"/>
      <c r="T54" s="331"/>
      <c r="U54" s="330"/>
      <c r="V54" s="330"/>
      <c r="W54" s="330"/>
      <c r="X54" s="330"/>
      <c r="Y54" s="330"/>
      <c r="Z54" s="663"/>
      <c r="AB54" s="3">
        <v>1</v>
      </c>
      <c r="AE54" s="2461"/>
      <c r="AF54" s="68"/>
      <c r="AK54" s="2815" t="s">
        <v>11229</v>
      </c>
      <c r="AL54" s="2579"/>
      <c r="AM54" s="2817"/>
    </row>
    <row r="55" spans="1:39" ht="45.5" x14ac:dyDescent="0.35">
      <c r="A55" s="1823">
        <v>11</v>
      </c>
      <c r="B55" s="662">
        <v>10676</v>
      </c>
      <c r="C55" s="662" t="s">
        <v>1656</v>
      </c>
      <c r="D55" s="2468" t="s">
        <v>4928</v>
      </c>
      <c r="E55" s="290" t="s">
        <v>9841</v>
      </c>
      <c r="F55" s="13" t="s">
        <v>664</v>
      </c>
      <c r="G55" s="13">
        <v>5</v>
      </c>
      <c r="H55" s="13">
        <v>6</v>
      </c>
      <c r="I55" s="552">
        <v>0.1</v>
      </c>
      <c r="J55" s="552">
        <v>0.1</v>
      </c>
      <c r="K55" s="553"/>
      <c r="L55" s="553"/>
      <c r="M55" s="552"/>
      <c r="N55" s="552"/>
      <c r="O55" s="555"/>
      <c r="P55" s="552"/>
      <c r="Q55" s="860"/>
      <c r="R55" s="870">
        <v>0.1</v>
      </c>
      <c r="S55" s="330"/>
      <c r="T55" s="331"/>
      <c r="U55" s="330"/>
      <c r="V55" s="330"/>
      <c r="W55" s="330"/>
      <c r="X55" s="330"/>
      <c r="Y55" s="330"/>
      <c r="Z55" s="663"/>
      <c r="AB55" s="3">
        <v>1</v>
      </c>
      <c r="AE55" s="2461"/>
      <c r="AF55" s="68"/>
      <c r="AK55" s="2818" t="s">
        <v>7184</v>
      </c>
      <c r="AL55" s="2821">
        <f>AL56+AL57+AL58+AL59+AL60</f>
        <v>28.965</v>
      </c>
      <c r="AM55" s="2820">
        <f>AL55-AF31</f>
        <v>0</v>
      </c>
    </row>
    <row r="56" spans="1:39" ht="30" x14ac:dyDescent="0.35">
      <c r="A56" s="661">
        <v>12</v>
      </c>
      <c r="B56" s="662">
        <v>10677</v>
      </c>
      <c r="C56" s="662"/>
      <c r="D56" s="662" t="s">
        <v>1239</v>
      </c>
      <c r="E56" s="290" t="s">
        <v>6903</v>
      </c>
      <c r="F56" s="13"/>
      <c r="G56" s="13" t="s">
        <v>191</v>
      </c>
      <c r="H56" s="340" t="s">
        <v>191</v>
      </c>
      <c r="I56" s="552">
        <f>L56+K56+J56</f>
        <v>19.443999999999999</v>
      </c>
      <c r="J56" s="552">
        <f>SUM(M56:R56)</f>
        <v>19.443999999999999</v>
      </c>
      <c r="K56" s="553"/>
      <c r="L56" s="553"/>
      <c r="M56" s="552"/>
      <c r="N56" s="552">
        <f>SUM(N57:N60)</f>
        <v>10.876999999999999</v>
      </c>
      <c r="O56" s="555"/>
      <c r="P56" s="552"/>
      <c r="Q56" s="860">
        <f>SUM(Q57:Q60)</f>
        <v>8.5670000000000002</v>
      </c>
      <c r="R56" s="870"/>
      <c r="S56" s="328"/>
      <c r="T56" s="329"/>
      <c r="U56" s="330"/>
      <c r="V56" s="330"/>
      <c r="W56" s="328">
        <f>20+14</f>
        <v>34</v>
      </c>
      <c r="X56" s="335">
        <v>462.3</v>
      </c>
      <c r="Y56" s="328">
        <v>14</v>
      </c>
      <c r="Z56" s="663">
        <v>152.5</v>
      </c>
      <c r="AB56" s="3">
        <v>1</v>
      </c>
      <c r="AE56" s="2461"/>
      <c r="AF56" s="68"/>
      <c r="AK56" s="2815" t="s">
        <v>11230</v>
      </c>
      <c r="AL56" s="2579">
        <f>SUMIFS(M30:M953,F30:F953,4,G30:G953,5)</f>
        <v>0</v>
      </c>
      <c r="AM56" s="2817"/>
    </row>
    <row r="57" spans="1:39" x14ac:dyDescent="0.35">
      <c r="A57" s="658"/>
      <c r="B57" s="662">
        <v>10677</v>
      </c>
      <c r="C57" s="662"/>
      <c r="D57" s="659"/>
      <c r="E57" s="291" t="s">
        <v>453</v>
      </c>
      <c r="F57" s="13">
        <v>4</v>
      </c>
      <c r="G57" s="13">
        <v>4</v>
      </c>
      <c r="H57" s="340">
        <v>6</v>
      </c>
      <c r="I57" s="676"/>
      <c r="J57" s="1124"/>
      <c r="K57" s="573"/>
      <c r="L57" s="573"/>
      <c r="M57" s="573"/>
      <c r="N57" s="572">
        <v>3.5089999999999999</v>
      </c>
      <c r="O57" s="551"/>
      <c r="P57" s="573"/>
      <c r="Q57" s="865"/>
      <c r="R57" s="875"/>
      <c r="S57" s="72"/>
      <c r="T57" s="334"/>
      <c r="U57" s="72"/>
      <c r="V57" s="72"/>
      <c r="W57" s="72"/>
      <c r="X57" s="72"/>
      <c r="Y57" s="72"/>
      <c r="Z57" s="660"/>
      <c r="AE57" s="2461"/>
      <c r="AF57" s="68"/>
      <c r="AK57" s="2815" t="s">
        <v>11231</v>
      </c>
      <c r="AL57" s="2579">
        <f>SUMIFS(N30:N953,F30:F953,4,G30:G953,5)</f>
        <v>14.872999999999999</v>
      </c>
      <c r="AM57" s="2817"/>
    </row>
    <row r="58" spans="1:39" x14ac:dyDescent="0.35">
      <c r="A58" s="658"/>
      <c r="B58" s="662">
        <v>10677</v>
      </c>
      <c r="C58" s="662"/>
      <c r="D58" s="659"/>
      <c r="E58" s="837" t="s">
        <v>454</v>
      </c>
      <c r="F58" s="13">
        <v>4</v>
      </c>
      <c r="G58" s="13">
        <v>4</v>
      </c>
      <c r="H58" s="340">
        <v>6</v>
      </c>
      <c r="I58" s="572"/>
      <c r="J58" s="573"/>
      <c r="K58" s="573"/>
      <c r="L58" s="573"/>
      <c r="M58" s="573"/>
      <c r="N58" s="573"/>
      <c r="O58" s="551"/>
      <c r="P58" s="573"/>
      <c r="Q58" s="863">
        <f>4.861-3.509</f>
        <v>1.3519999999999999</v>
      </c>
      <c r="R58" s="875"/>
      <c r="S58" s="72"/>
      <c r="T58" s="334"/>
      <c r="U58" s="72"/>
      <c r="V58" s="72"/>
      <c r="W58" s="72"/>
      <c r="X58" s="72"/>
      <c r="Y58" s="72"/>
      <c r="Z58" s="660"/>
      <c r="AE58" s="2461"/>
      <c r="AF58" s="68"/>
      <c r="AK58" s="2815" t="s">
        <v>11232</v>
      </c>
      <c r="AL58" s="2579">
        <f>SUMIFS(O30:O953,F30:F953,4,G30:G953,5)</f>
        <v>0</v>
      </c>
      <c r="AM58" s="2817"/>
    </row>
    <row r="59" spans="1:39" x14ac:dyDescent="0.35">
      <c r="A59" s="658"/>
      <c r="B59" s="662">
        <v>10677</v>
      </c>
      <c r="C59" s="662"/>
      <c r="D59" s="659"/>
      <c r="E59" s="291" t="s">
        <v>455</v>
      </c>
      <c r="F59" s="13">
        <v>4</v>
      </c>
      <c r="G59" s="13">
        <v>4</v>
      </c>
      <c r="H59" s="340">
        <v>6</v>
      </c>
      <c r="I59" s="572"/>
      <c r="J59" s="573"/>
      <c r="K59" s="573"/>
      <c r="L59" s="573"/>
      <c r="M59" s="573"/>
      <c r="N59" s="572">
        <f>12.229-4.861</f>
        <v>7.3679999999999994</v>
      </c>
      <c r="O59" s="551"/>
      <c r="P59" s="573"/>
      <c r="Q59" s="865"/>
      <c r="R59" s="875"/>
      <c r="S59" s="72"/>
      <c r="T59" s="334"/>
      <c r="U59" s="72"/>
      <c r="V59" s="72"/>
      <c r="W59" s="72"/>
      <c r="X59" s="72"/>
      <c r="Y59" s="72"/>
      <c r="Z59" s="660"/>
      <c r="AE59" s="2461"/>
      <c r="AF59" s="68"/>
      <c r="AK59" s="2815" t="s">
        <v>11233</v>
      </c>
      <c r="AL59" s="2579">
        <f>SUMIFS(P30:P953,F30:F953,4,G30:G953,5)+SUMIFS(Q30:Q953,F30:F953,4,G30:G953,5)</f>
        <v>14.092000000000001</v>
      </c>
      <c r="AM59" s="2817"/>
    </row>
    <row r="60" spans="1:39" x14ac:dyDescent="0.35">
      <c r="A60" s="658"/>
      <c r="B60" s="662">
        <v>10677</v>
      </c>
      <c r="C60" s="662"/>
      <c r="D60" s="659"/>
      <c r="E60" s="837" t="s">
        <v>456</v>
      </c>
      <c r="F60" s="13">
        <v>4</v>
      </c>
      <c r="G60" s="13">
        <v>4</v>
      </c>
      <c r="H60" s="340">
        <v>6</v>
      </c>
      <c r="I60" s="572"/>
      <c r="J60" s="572"/>
      <c r="K60" s="573"/>
      <c r="L60" s="573"/>
      <c r="M60" s="573"/>
      <c r="N60" s="573"/>
      <c r="O60" s="551"/>
      <c r="P60" s="573"/>
      <c r="Q60" s="863">
        <f>19.444-12.229</f>
        <v>7.2149999999999999</v>
      </c>
      <c r="R60" s="875"/>
      <c r="S60" s="72"/>
      <c r="T60" s="334"/>
      <c r="U60" s="72"/>
      <c r="V60" s="72"/>
      <c r="W60" s="72"/>
      <c r="X60" s="72"/>
      <c r="Y60" s="72"/>
      <c r="Z60" s="660"/>
      <c r="AE60" s="2461"/>
      <c r="AF60" s="68"/>
      <c r="AK60" s="2815" t="s">
        <v>910</v>
      </c>
      <c r="AL60" s="2579">
        <f>SUMIFS(R30:R953,F30:F953,4,G30:G953,5)</f>
        <v>0</v>
      </c>
      <c r="AM60" s="2817"/>
    </row>
    <row r="61" spans="1:39" ht="30.5" x14ac:dyDescent="0.35">
      <c r="A61" s="661">
        <v>13</v>
      </c>
      <c r="B61" s="662">
        <v>10677</v>
      </c>
      <c r="C61" s="662"/>
      <c r="D61" s="2468" t="s">
        <v>4929</v>
      </c>
      <c r="E61" s="290" t="s">
        <v>7733</v>
      </c>
      <c r="F61" s="13"/>
      <c r="G61" s="13" t="s">
        <v>191</v>
      </c>
      <c r="H61" s="340" t="s">
        <v>191</v>
      </c>
      <c r="I61" s="552">
        <f>L61+K61+J61</f>
        <v>2.7</v>
      </c>
      <c r="J61" s="552">
        <f>SUM(M61:R61)</f>
        <v>2.7</v>
      </c>
      <c r="K61" s="553"/>
      <c r="L61" s="553"/>
      <c r="M61" s="552"/>
      <c r="N61" s="552">
        <f>SUM(N62:N63)</f>
        <v>0.5</v>
      </c>
      <c r="O61" s="555"/>
      <c r="P61" s="552"/>
      <c r="Q61" s="860">
        <f>SUM(Q62:Q63)</f>
        <v>2.2000000000000002</v>
      </c>
      <c r="R61" s="870"/>
      <c r="S61" s="330"/>
      <c r="T61" s="331"/>
      <c r="U61" s="330"/>
      <c r="V61" s="330"/>
      <c r="W61" s="328">
        <v>4</v>
      </c>
      <c r="X61" s="328">
        <v>40</v>
      </c>
      <c r="Y61" s="330"/>
      <c r="Z61" s="663"/>
      <c r="AB61" s="3">
        <v>1</v>
      </c>
      <c r="AE61" s="2461"/>
      <c r="AF61" s="68"/>
      <c r="AK61" s="2818" t="s">
        <v>7185</v>
      </c>
      <c r="AL61" s="2821">
        <f>AL62+AL63+AL64+AL65+AL66</f>
        <v>57.092000000000006</v>
      </c>
      <c r="AM61" s="2820">
        <f>AL61-AG31</f>
        <v>0</v>
      </c>
    </row>
    <row r="62" spans="1:39" x14ac:dyDescent="0.35">
      <c r="A62" s="658"/>
      <c r="B62" s="662">
        <v>10677</v>
      </c>
      <c r="C62" s="662"/>
      <c r="D62" s="659"/>
      <c r="E62" s="291" t="s">
        <v>2490</v>
      </c>
      <c r="F62" s="14">
        <v>5</v>
      </c>
      <c r="G62" s="14">
        <v>5</v>
      </c>
      <c r="H62" s="340">
        <v>6</v>
      </c>
      <c r="I62" s="572"/>
      <c r="J62" s="573"/>
      <c r="K62" s="573"/>
      <c r="L62" s="573"/>
      <c r="M62" s="573"/>
      <c r="N62" s="572">
        <v>0.5</v>
      </c>
      <c r="O62" s="551"/>
      <c r="P62" s="573"/>
      <c r="Q62" s="865"/>
      <c r="R62" s="875"/>
      <c r="S62" s="72"/>
      <c r="T62" s="334"/>
      <c r="U62" s="72"/>
      <c r="V62" s="72"/>
      <c r="W62" s="72"/>
      <c r="X62" s="72"/>
      <c r="Y62" s="72"/>
      <c r="Z62" s="660"/>
      <c r="AE62" s="2461"/>
      <c r="AF62" s="68"/>
      <c r="AK62" s="2815" t="s">
        <v>11230</v>
      </c>
      <c r="AL62" s="2579">
        <f>SUMIFS(M30:M953,F30:F953,5,G30:G953,5)</f>
        <v>0</v>
      </c>
      <c r="AM62" s="2817"/>
    </row>
    <row r="63" spans="1:39" x14ac:dyDescent="0.35">
      <c r="A63" s="658"/>
      <c r="B63" s="662">
        <v>10677</v>
      </c>
      <c r="C63" s="662"/>
      <c r="D63" s="659"/>
      <c r="E63" s="837" t="s">
        <v>475</v>
      </c>
      <c r="F63" s="14" t="s">
        <v>827</v>
      </c>
      <c r="G63" s="14">
        <v>5</v>
      </c>
      <c r="H63" s="340">
        <v>6</v>
      </c>
      <c r="I63" s="572"/>
      <c r="J63" s="573"/>
      <c r="K63" s="573"/>
      <c r="L63" s="573"/>
      <c r="M63" s="573"/>
      <c r="N63" s="573"/>
      <c r="O63" s="551"/>
      <c r="P63" s="573"/>
      <c r="Q63" s="865">
        <v>2.2000000000000002</v>
      </c>
      <c r="R63" s="873"/>
      <c r="S63" s="72"/>
      <c r="T63" s="334"/>
      <c r="U63" s="72"/>
      <c r="V63" s="72"/>
      <c r="W63" s="72"/>
      <c r="X63" s="72"/>
      <c r="Y63" s="72"/>
      <c r="Z63" s="660"/>
      <c r="AE63" s="2461"/>
      <c r="AF63" s="68"/>
      <c r="AK63" s="2815" t="s">
        <v>11231</v>
      </c>
      <c r="AL63" s="2579">
        <f>SUMIFS(N30:N953,F30:F953,5,G30:G953,5)</f>
        <v>16.029000000000003</v>
      </c>
      <c r="AM63" s="2817"/>
    </row>
    <row r="64" spans="1:39" ht="45.5" x14ac:dyDescent="0.35">
      <c r="A64" s="1823">
        <v>14</v>
      </c>
      <c r="B64" s="826">
        <v>10677</v>
      </c>
      <c r="C64" s="826" t="s">
        <v>1656</v>
      </c>
      <c r="D64" s="2468" t="s">
        <v>4930</v>
      </c>
      <c r="E64" s="511" t="s">
        <v>8521</v>
      </c>
      <c r="F64" s="1944" t="s">
        <v>664</v>
      </c>
      <c r="G64" s="13">
        <v>5</v>
      </c>
      <c r="H64" s="13">
        <v>6</v>
      </c>
      <c r="I64" s="297">
        <f>J64+K64+L64</f>
        <v>0.1</v>
      </c>
      <c r="J64" s="297">
        <f>SUM(M64:R64)</f>
        <v>0.1</v>
      </c>
      <c r="K64" s="573"/>
      <c r="L64" s="573"/>
      <c r="M64" s="503"/>
      <c r="N64" s="503"/>
      <c r="O64" s="570"/>
      <c r="P64" s="503"/>
      <c r="Q64" s="1856"/>
      <c r="R64" s="2098">
        <v>0.1</v>
      </c>
      <c r="S64" s="72"/>
      <c r="T64" s="334"/>
      <c r="U64" s="72"/>
      <c r="V64" s="72"/>
      <c r="W64" s="72"/>
      <c r="X64" s="72"/>
      <c r="Y64" s="72"/>
      <c r="Z64" s="2375"/>
      <c r="AA64" s="3" t="s">
        <v>2110</v>
      </c>
      <c r="AB64" s="3">
        <v>1</v>
      </c>
      <c r="AE64" s="2461"/>
      <c r="AF64" s="68"/>
      <c r="AK64" s="2815" t="s">
        <v>11232</v>
      </c>
      <c r="AL64" s="2579">
        <f>SUMIFS(O30:O953,F30:F953,5,G30:G953,5)</f>
        <v>0</v>
      </c>
      <c r="AM64" s="2817"/>
    </row>
    <row r="65" spans="1:39" ht="30" x14ac:dyDescent="0.35">
      <c r="A65" s="661">
        <v>15</v>
      </c>
      <c r="B65" s="662">
        <v>10678</v>
      </c>
      <c r="C65" s="662"/>
      <c r="D65" s="662" t="s">
        <v>1240</v>
      </c>
      <c r="E65" s="290" t="s">
        <v>2033</v>
      </c>
      <c r="F65" s="13">
        <v>4</v>
      </c>
      <c r="G65" s="13">
        <v>4</v>
      </c>
      <c r="H65" s="340">
        <v>6</v>
      </c>
      <c r="I65" s="674">
        <f>L65+K65+J65</f>
        <v>15.035</v>
      </c>
      <c r="J65" s="674">
        <f>SUM(M65:R65)</f>
        <v>15.035</v>
      </c>
      <c r="K65" s="553"/>
      <c r="L65" s="553"/>
      <c r="M65" s="552"/>
      <c r="N65" s="552">
        <v>15.035</v>
      </c>
      <c r="O65" s="555"/>
      <c r="P65" s="552"/>
      <c r="Q65" s="860"/>
      <c r="R65" s="870"/>
      <c r="S65" s="328">
        <v>2</v>
      </c>
      <c r="T65" s="329">
        <v>78.7</v>
      </c>
      <c r="U65" s="330"/>
      <c r="V65" s="330"/>
      <c r="W65" s="328">
        <v>28</v>
      </c>
      <c r="X65" s="328">
        <v>378.3</v>
      </c>
      <c r="Y65" s="328">
        <v>8</v>
      </c>
      <c r="Z65" s="663">
        <v>85.2</v>
      </c>
      <c r="AB65" s="3">
        <v>1</v>
      </c>
      <c r="AE65" s="2461"/>
      <c r="AF65" s="68"/>
      <c r="AK65" s="2815" t="s">
        <v>11233</v>
      </c>
      <c r="AL65" s="2579">
        <f>SUMIFS(P30:P953,F30:F953,5,G30:G953,5)+SUMIFS(Q30:Q953,F30:F953,5,G30:G953,5)</f>
        <v>37.703000000000003</v>
      </c>
      <c r="AM65" s="2817"/>
    </row>
    <row r="66" spans="1:39" ht="30.5" x14ac:dyDescent="0.35">
      <c r="A66" s="661">
        <v>16</v>
      </c>
      <c r="B66" s="662">
        <v>10678</v>
      </c>
      <c r="C66" s="662"/>
      <c r="D66" s="2468" t="s">
        <v>4931</v>
      </c>
      <c r="E66" s="290" t="s">
        <v>7734</v>
      </c>
      <c r="F66" s="13"/>
      <c r="G66" s="13" t="s">
        <v>191</v>
      </c>
      <c r="H66" s="340" t="s">
        <v>191</v>
      </c>
      <c r="I66" s="552">
        <f>L66+K66+J66</f>
        <v>1</v>
      </c>
      <c r="J66" s="552">
        <f>SUM(M66:R66)</f>
        <v>1</v>
      </c>
      <c r="K66" s="553"/>
      <c r="L66" s="553"/>
      <c r="M66" s="552"/>
      <c r="N66" s="552"/>
      <c r="O66" s="555"/>
      <c r="P66" s="552"/>
      <c r="Q66" s="860">
        <f>SUM(Q67:Q68)</f>
        <v>0.6</v>
      </c>
      <c r="R66" s="870">
        <f>SUM(R67:R68)</f>
        <v>0.4</v>
      </c>
      <c r="S66" s="328">
        <v>1</v>
      </c>
      <c r="T66" s="329">
        <v>30.6</v>
      </c>
      <c r="U66" s="330"/>
      <c r="V66" s="330"/>
      <c r="W66" s="328">
        <v>2</v>
      </c>
      <c r="X66" s="328">
        <v>25.4</v>
      </c>
      <c r="Y66" s="330"/>
      <c r="Z66" s="663"/>
      <c r="AB66" s="3">
        <v>1</v>
      </c>
      <c r="AE66" s="2461"/>
      <c r="AF66" s="68"/>
      <c r="AK66" s="2815" t="s">
        <v>910</v>
      </c>
      <c r="AL66" s="2579">
        <f>SUMIFS(R30:R953,F30:F953,5,G30:G953,5)</f>
        <v>3.3600000000000003</v>
      </c>
      <c r="AM66" s="2817"/>
    </row>
    <row r="67" spans="1:39" x14ac:dyDescent="0.35">
      <c r="A67" s="665"/>
      <c r="B67" s="662">
        <v>10678</v>
      </c>
      <c r="C67" s="662"/>
      <c r="D67" s="659"/>
      <c r="E67" s="837" t="s">
        <v>365</v>
      </c>
      <c r="F67" s="14">
        <v>4</v>
      </c>
      <c r="G67" s="14">
        <v>5</v>
      </c>
      <c r="H67" s="340">
        <v>6</v>
      </c>
      <c r="I67" s="572"/>
      <c r="J67" s="573"/>
      <c r="K67" s="573"/>
      <c r="L67" s="573"/>
      <c r="M67" s="573"/>
      <c r="N67" s="573"/>
      <c r="O67" s="551"/>
      <c r="P67" s="573"/>
      <c r="Q67" s="863">
        <v>0.6</v>
      </c>
      <c r="R67" s="875"/>
      <c r="S67" s="72"/>
      <c r="T67" s="334"/>
      <c r="U67" s="72"/>
      <c r="V67" s="72"/>
      <c r="W67" s="72"/>
      <c r="X67" s="72"/>
      <c r="Y67" s="72"/>
      <c r="Z67" s="660"/>
      <c r="AE67" s="2461"/>
      <c r="AF67" s="68"/>
      <c r="AK67" s="2818" t="s">
        <v>11234</v>
      </c>
      <c r="AL67" s="2821">
        <f>AL68+AL69+AL70+AL71+AL72</f>
        <v>180.33</v>
      </c>
      <c r="AM67" s="2820">
        <f>AL67-AH31-AI31-AJ31</f>
        <v>0</v>
      </c>
    </row>
    <row r="68" spans="1:39" x14ac:dyDescent="0.35">
      <c r="A68" s="665"/>
      <c r="B68" s="662">
        <v>10678</v>
      </c>
      <c r="C68" s="662"/>
      <c r="D68" s="659"/>
      <c r="E68" s="838" t="s">
        <v>1669</v>
      </c>
      <c r="F68" s="14" t="s">
        <v>827</v>
      </c>
      <c r="G68" s="14">
        <v>5</v>
      </c>
      <c r="H68" s="13">
        <v>6</v>
      </c>
      <c r="I68" s="572"/>
      <c r="J68" s="573"/>
      <c r="K68" s="573"/>
      <c r="L68" s="573"/>
      <c r="M68" s="573"/>
      <c r="N68" s="573"/>
      <c r="O68" s="551"/>
      <c r="P68" s="573"/>
      <c r="Q68" s="865"/>
      <c r="R68" s="873">
        <v>0.4</v>
      </c>
      <c r="S68" s="72"/>
      <c r="T68" s="334"/>
      <c r="U68" s="72"/>
      <c r="V68" s="72"/>
      <c r="W68" s="72"/>
      <c r="X68" s="72"/>
      <c r="Y68" s="72"/>
      <c r="Z68" s="660"/>
      <c r="AE68" s="2461"/>
      <c r="AF68" s="68"/>
      <c r="AK68" s="2815" t="s">
        <v>11230</v>
      </c>
      <c r="AL68" s="2579">
        <f>SUMIFS(M30:M953,F30:F953,"6а",G30:G953,5)+SUMIFS(M30:M953,F30:F953,"6б",G30:G953,5)+SUMIFS(M30:M953,F30:F953,"б/к",G30:G953,5)</f>
        <v>0</v>
      </c>
      <c r="AM68" s="2817"/>
    </row>
    <row r="69" spans="1:39" ht="45.5" x14ac:dyDescent="0.35">
      <c r="A69" s="1823">
        <v>17</v>
      </c>
      <c r="B69" s="826">
        <v>10678</v>
      </c>
      <c r="C69" s="826" t="s">
        <v>1656</v>
      </c>
      <c r="D69" s="2468" t="s">
        <v>4932</v>
      </c>
      <c r="E69" s="511" t="s">
        <v>8522</v>
      </c>
      <c r="F69" s="1138" t="s">
        <v>664</v>
      </c>
      <c r="G69" s="13">
        <v>5</v>
      </c>
      <c r="H69" s="13">
        <v>6</v>
      </c>
      <c r="I69" s="297">
        <f>J69+K69+L69</f>
        <v>0.8</v>
      </c>
      <c r="J69" s="297">
        <f>SUM(M69:R69)</f>
        <v>0.8</v>
      </c>
      <c r="K69" s="553"/>
      <c r="L69" s="553"/>
      <c r="M69" s="501"/>
      <c r="N69" s="501"/>
      <c r="O69" s="568"/>
      <c r="P69" s="501"/>
      <c r="Q69" s="1856"/>
      <c r="R69" s="1865">
        <v>0.8</v>
      </c>
      <c r="S69" s="330"/>
      <c r="T69" s="331"/>
      <c r="U69" s="330"/>
      <c r="V69" s="330"/>
      <c r="W69" s="330"/>
      <c r="X69" s="330"/>
      <c r="Y69" s="330"/>
      <c r="Z69" s="2376"/>
      <c r="AA69" s="3" t="s">
        <v>2836</v>
      </c>
      <c r="AB69" s="3">
        <v>1</v>
      </c>
      <c r="AE69" s="2461"/>
      <c r="AF69" s="68"/>
      <c r="AK69" s="2815" t="s">
        <v>11231</v>
      </c>
      <c r="AL69" s="2579">
        <f>SUMIFS(N30:N953,F30:F953,"6а",G30:G953,5)+SUMIFS(N30:N953,F30:F953,"6б",G30:G953,5)+SUMIFS(N30:N953,F30:F953,"б/к",G30:G953,5)</f>
        <v>1.9280000000000002</v>
      </c>
      <c r="AM69" s="2817"/>
    </row>
    <row r="70" spans="1:39" ht="45.5" x14ac:dyDescent="0.35">
      <c r="A70" s="1823">
        <v>18</v>
      </c>
      <c r="B70" s="826">
        <v>10679</v>
      </c>
      <c r="C70" s="826" t="s">
        <v>1656</v>
      </c>
      <c r="D70" s="2468" t="s">
        <v>4943</v>
      </c>
      <c r="E70" s="2374" t="s">
        <v>8523</v>
      </c>
      <c r="F70" s="1138" t="s">
        <v>664</v>
      </c>
      <c r="G70" s="13">
        <v>5</v>
      </c>
      <c r="H70" s="13">
        <v>6</v>
      </c>
      <c r="I70" s="297">
        <f>J70+K70+L70</f>
        <v>1.7</v>
      </c>
      <c r="J70" s="297">
        <f>SUM(M70:R70)</f>
        <v>1.7</v>
      </c>
      <c r="K70" s="553"/>
      <c r="L70" s="553"/>
      <c r="M70" s="501"/>
      <c r="N70" s="501"/>
      <c r="O70" s="568"/>
      <c r="P70" s="501"/>
      <c r="Q70" s="1856"/>
      <c r="R70" s="1865">
        <v>1.7</v>
      </c>
      <c r="S70" s="328"/>
      <c r="T70" s="329"/>
      <c r="U70" s="330"/>
      <c r="V70" s="330"/>
      <c r="W70" s="328"/>
      <c r="X70" s="328"/>
      <c r="Y70" s="330"/>
      <c r="Z70" s="2376"/>
      <c r="AA70" s="3" t="s">
        <v>1532</v>
      </c>
      <c r="AB70" s="3">
        <v>1</v>
      </c>
      <c r="AE70" s="2461"/>
      <c r="AF70" s="68"/>
      <c r="AK70" s="2815" t="s">
        <v>11232</v>
      </c>
      <c r="AL70" s="2579">
        <f>SUMIFS(O30:O953,F30:F953,"6а",G30:G953,5)+SUMIFS(O30:O953,F30:F953,"6б",G30:G953,5)+SUMIFS(O30:O953,F30:F953,"б/к",G30:G953,5)</f>
        <v>0</v>
      </c>
      <c r="AM70" s="2817"/>
    </row>
    <row r="71" spans="1:39" ht="30.5" x14ac:dyDescent="0.35">
      <c r="A71" s="661">
        <v>19</v>
      </c>
      <c r="B71" s="662">
        <v>10679</v>
      </c>
      <c r="C71" s="662"/>
      <c r="D71" s="662" t="s">
        <v>1241</v>
      </c>
      <c r="E71" s="290" t="s">
        <v>9537</v>
      </c>
      <c r="F71" s="13"/>
      <c r="G71" s="13" t="s">
        <v>191</v>
      </c>
      <c r="H71" s="340" t="s">
        <v>191</v>
      </c>
      <c r="I71" s="552">
        <f>L71+K71+J71</f>
        <v>25.770000000000003</v>
      </c>
      <c r="J71" s="552">
        <f>SUM(M71:R71)</f>
        <v>25.770000000000003</v>
      </c>
      <c r="K71" s="553"/>
      <c r="L71" s="553"/>
      <c r="M71" s="552"/>
      <c r="N71" s="552">
        <f>SUM(N72:N85)</f>
        <v>11.516000000000002</v>
      </c>
      <c r="O71" s="555"/>
      <c r="P71" s="552"/>
      <c r="Q71" s="860">
        <f>SUM(Q72:Q85)</f>
        <v>14.254</v>
      </c>
      <c r="R71" s="870"/>
      <c r="S71" s="328">
        <v>3</v>
      </c>
      <c r="T71" s="329">
        <f>226.2+3.65</f>
        <v>229.85</v>
      </c>
      <c r="U71" s="330"/>
      <c r="V71" s="330"/>
      <c r="W71" s="328">
        <v>30</v>
      </c>
      <c r="X71" s="328">
        <v>424.6</v>
      </c>
      <c r="Y71" s="328">
        <v>9</v>
      </c>
      <c r="Z71" s="663">
        <v>95</v>
      </c>
      <c r="AB71" s="3">
        <v>1</v>
      </c>
      <c r="AE71" s="2461"/>
      <c r="AF71" s="68"/>
      <c r="AK71" s="2815" t="s">
        <v>11233</v>
      </c>
      <c r="AL71" s="2579">
        <f>SUMIFS(P30:P953,F30:F953,"6а",G30:G953,5)+SUMIFS(Q30:Q953,F30:F953,"6а",G30:G953,5)+SUMIFS(P30:P953,F30:F953,"6б",G30:G953,5)+SUMIFS(Q30:Q953,F30:F953,"6б",G30:G953,5)+SUMIFS(P30:P953,F30:F953,"б/к",G30:G953,5)+SUMIFS(Q30:Q953,F30:F953,"б/к",G30:G953,5)</f>
        <v>26.28</v>
      </c>
      <c r="AM71" s="2817"/>
    </row>
    <row r="72" spans="1:39" x14ac:dyDescent="0.35">
      <c r="A72" s="658"/>
      <c r="B72" s="662">
        <v>10679</v>
      </c>
      <c r="C72" s="662"/>
      <c r="D72" s="659"/>
      <c r="E72" s="291" t="s">
        <v>211</v>
      </c>
      <c r="F72" s="13">
        <v>4</v>
      </c>
      <c r="G72" s="13">
        <v>4</v>
      </c>
      <c r="H72" s="340">
        <v>6</v>
      </c>
      <c r="I72" s="572"/>
      <c r="J72" s="573"/>
      <c r="K72" s="573"/>
      <c r="L72" s="573"/>
      <c r="M72" s="573"/>
      <c r="N72" s="572">
        <v>7.7750000000000004</v>
      </c>
      <c r="O72" s="551"/>
      <c r="P72" s="573"/>
      <c r="Q72" s="865"/>
      <c r="R72" s="875"/>
      <c r="S72" s="72"/>
      <c r="T72" s="334"/>
      <c r="U72" s="72"/>
      <c r="V72" s="72"/>
      <c r="W72" s="72"/>
      <c r="X72" s="72"/>
      <c r="Y72" s="72"/>
      <c r="Z72" s="660"/>
      <c r="AE72" s="2461"/>
      <c r="AF72" s="68"/>
      <c r="AK72" s="2815" t="s">
        <v>910</v>
      </c>
      <c r="AL72" s="2579">
        <f>SUMIFS(R30:R953,F30:F953,"6а",G30:G953,5)+SUMIFS(R30:R953,F30:F953,"6б",G30:G953,5)+SUMIFS(R30:R953,F30:F953,"б/к",G30:G953,5)</f>
        <v>152.12200000000001</v>
      </c>
      <c r="AM72" s="2817"/>
    </row>
    <row r="73" spans="1:39" x14ac:dyDescent="0.35">
      <c r="A73" s="658"/>
      <c r="B73" s="662">
        <v>10679</v>
      </c>
      <c r="C73" s="662"/>
      <c r="D73" s="659"/>
      <c r="E73" s="837" t="s">
        <v>212</v>
      </c>
      <c r="F73" s="13">
        <v>4</v>
      </c>
      <c r="G73" s="13">
        <v>4</v>
      </c>
      <c r="H73" s="340">
        <v>6</v>
      </c>
      <c r="I73" s="572"/>
      <c r="J73" s="573"/>
      <c r="K73" s="573"/>
      <c r="L73" s="573"/>
      <c r="M73" s="573"/>
      <c r="N73" s="573"/>
      <c r="O73" s="551"/>
      <c r="P73" s="573"/>
      <c r="Q73" s="863">
        <f>13.632-7.775</f>
        <v>5.8569999999999993</v>
      </c>
      <c r="R73" s="875"/>
      <c r="S73" s="72"/>
      <c r="T73" s="334"/>
      <c r="U73" s="72"/>
      <c r="V73" s="72"/>
      <c r="W73" s="72"/>
      <c r="X73" s="72"/>
      <c r="Y73" s="72"/>
      <c r="Z73" s="660"/>
      <c r="AE73" s="2461"/>
      <c r="AF73" s="68"/>
      <c r="AK73" s="2815"/>
      <c r="AL73" s="2579"/>
      <c r="AM73" s="2817"/>
    </row>
    <row r="74" spans="1:39" x14ac:dyDescent="0.35">
      <c r="A74" s="658"/>
      <c r="B74" s="662">
        <v>10679</v>
      </c>
      <c r="C74" s="662"/>
      <c r="D74" s="659"/>
      <c r="E74" s="291" t="s">
        <v>1639</v>
      </c>
      <c r="F74" s="13">
        <v>4</v>
      </c>
      <c r="G74" s="13">
        <v>4</v>
      </c>
      <c r="H74" s="340">
        <v>6</v>
      </c>
      <c r="I74" s="676"/>
      <c r="J74" s="1124"/>
      <c r="K74" s="573"/>
      <c r="L74" s="573"/>
      <c r="M74" s="573"/>
      <c r="N74" s="572">
        <v>1.3859999999999999</v>
      </c>
      <c r="O74" s="551"/>
      <c r="P74" s="573"/>
      <c r="Q74" s="865"/>
      <c r="R74" s="875"/>
      <c r="S74" s="72"/>
      <c r="T74" s="334"/>
      <c r="U74" s="72"/>
      <c r="V74" s="72"/>
      <c r="W74" s="72"/>
      <c r="X74" s="72"/>
      <c r="Y74" s="72"/>
      <c r="Z74" s="660"/>
      <c r="AE74" s="2461"/>
      <c r="AF74" s="68"/>
      <c r="AK74" s="2822" t="s">
        <v>11237</v>
      </c>
      <c r="AL74" s="2823">
        <f>AL11+AL32+AL53</f>
        <v>495.01100000000002</v>
      </c>
      <c r="AM74" s="2824">
        <f>AL74-J10</f>
        <v>0</v>
      </c>
    </row>
    <row r="75" spans="1:39" x14ac:dyDescent="0.35">
      <c r="A75" s="658"/>
      <c r="B75" s="662">
        <v>10679</v>
      </c>
      <c r="C75" s="662"/>
      <c r="D75" s="659"/>
      <c r="E75" s="837" t="s">
        <v>824</v>
      </c>
      <c r="F75" s="13">
        <v>4</v>
      </c>
      <c r="G75" s="13">
        <v>4</v>
      </c>
      <c r="H75" s="340">
        <v>6</v>
      </c>
      <c r="I75" s="572"/>
      <c r="J75" s="573"/>
      <c r="K75" s="573"/>
      <c r="L75" s="573"/>
      <c r="M75" s="573"/>
      <c r="N75" s="573"/>
      <c r="O75" s="551"/>
      <c r="P75" s="573"/>
      <c r="Q75" s="863">
        <v>2.6619999999999999</v>
      </c>
      <c r="R75" s="875"/>
      <c r="S75" s="72"/>
      <c r="T75" s="334"/>
      <c r="U75" s="72"/>
      <c r="V75" s="72"/>
      <c r="W75" s="72"/>
      <c r="X75" s="72"/>
      <c r="Y75" s="72"/>
      <c r="Z75" s="660"/>
      <c r="AA75" s="1778"/>
      <c r="AE75" s="2461"/>
      <c r="AF75" s="68"/>
      <c r="AK75" s="2825" t="s">
        <v>11238</v>
      </c>
      <c r="AL75" s="2826">
        <f>AL34+AL55+AL13</f>
        <v>232.99100000000001</v>
      </c>
      <c r="AM75" s="2827">
        <f>AL75-J12</f>
        <v>0</v>
      </c>
    </row>
    <row r="76" spans="1:39" x14ac:dyDescent="0.35">
      <c r="A76" s="658"/>
      <c r="B76" s="662">
        <v>10679</v>
      </c>
      <c r="C76" s="662"/>
      <c r="D76" s="659"/>
      <c r="E76" s="291" t="s">
        <v>825</v>
      </c>
      <c r="F76" s="13">
        <v>4</v>
      </c>
      <c r="G76" s="13">
        <v>4</v>
      </c>
      <c r="H76" s="340">
        <v>6</v>
      </c>
      <c r="I76" s="572"/>
      <c r="J76" s="573"/>
      <c r="K76" s="573"/>
      <c r="L76" s="573"/>
      <c r="M76" s="573"/>
      <c r="N76" s="572">
        <v>0.3</v>
      </c>
      <c r="O76" s="551"/>
      <c r="P76" s="573"/>
      <c r="Q76" s="865"/>
      <c r="R76" s="875"/>
      <c r="S76" s="72"/>
      <c r="T76" s="334"/>
      <c r="U76" s="72"/>
      <c r="V76" s="72"/>
      <c r="W76" s="72"/>
      <c r="X76" s="72"/>
      <c r="Y76" s="72"/>
      <c r="Z76" s="660"/>
      <c r="AA76" s="1778"/>
      <c r="AE76" s="2461"/>
      <c r="AF76" s="68"/>
      <c r="AK76" s="2828" t="s">
        <v>11239</v>
      </c>
      <c r="AL76" s="2826">
        <f>AL19+AL40+AL61</f>
        <v>80.991000000000014</v>
      </c>
      <c r="AM76" s="2827">
        <f>AL76-J13</f>
        <v>0</v>
      </c>
    </row>
    <row r="77" spans="1:39" x14ac:dyDescent="0.35">
      <c r="A77" s="658"/>
      <c r="B77" s="662">
        <v>10679</v>
      </c>
      <c r="C77" s="662"/>
      <c r="D77" s="659"/>
      <c r="E77" s="837" t="s">
        <v>2800</v>
      </c>
      <c r="F77" s="13">
        <v>4</v>
      </c>
      <c r="G77" s="13">
        <v>4</v>
      </c>
      <c r="H77" s="340">
        <v>6</v>
      </c>
      <c r="I77" s="676"/>
      <c r="J77" s="1124"/>
      <c r="K77" s="573"/>
      <c r="L77" s="573"/>
      <c r="M77" s="573"/>
      <c r="N77" s="573"/>
      <c r="O77" s="551"/>
      <c r="P77" s="573"/>
      <c r="Q77" s="863">
        <v>0.68200000000000005</v>
      </c>
      <c r="R77" s="875"/>
      <c r="S77" s="72"/>
      <c r="T77" s="334"/>
      <c r="U77" s="72"/>
      <c r="V77" s="72"/>
      <c r="W77" s="72"/>
      <c r="X77" s="72"/>
      <c r="Y77" s="72"/>
      <c r="Z77" s="660"/>
      <c r="AA77" s="1778"/>
      <c r="AE77" s="2461"/>
      <c r="AF77" s="68"/>
      <c r="AK77" s="2828" t="s">
        <v>11240</v>
      </c>
      <c r="AL77" s="2826">
        <f>AL25+AL46+AL67</f>
        <v>181.02900000000002</v>
      </c>
      <c r="AM77" s="2827">
        <f>AL77-J14</f>
        <v>0</v>
      </c>
    </row>
    <row r="78" spans="1:39" x14ac:dyDescent="0.35">
      <c r="A78" s="658"/>
      <c r="B78" s="662">
        <v>10679</v>
      </c>
      <c r="C78" s="662"/>
      <c r="D78" s="659"/>
      <c r="E78" s="291" t="s">
        <v>3417</v>
      </c>
      <c r="F78" s="13">
        <v>4</v>
      </c>
      <c r="G78" s="13">
        <v>4</v>
      </c>
      <c r="H78" s="340">
        <v>6</v>
      </c>
      <c r="I78" s="676"/>
      <c r="J78" s="1124"/>
      <c r="K78" s="573"/>
      <c r="L78" s="573"/>
      <c r="M78" s="573"/>
      <c r="N78" s="573">
        <v>1.288</v>
      </c>
      <c r="O78" s="551"/>
      <c r="P78" s="573"/>
      <c r="Q78" s="863"/>
      <c r="R78" s="875"/>
      <c r="S78" s="72"/>
      <c r="T78" s="334"/>
      <c r="U78" s="72"/>
      <c r="V78" s="72"/>
      <c r="W78" s="72"/>
      <c r="X78" s="72"/>
      <c r="Y78" s="72"/>
      <c r="Z78" s="660"/>
      <c r="AA78" s="1778"/>
      <c r="AE78" s="2461"/>
      <c r="AF78" s="68"/>
    </row>
    <row r="79" spans="1:39" x14ac:dyDescent="0.35">
      <c r="A79" s="658"/>
      <c r="B79" s="662">
        <v>10679</v>
      </c>
      <c r="C79" s="662"/>
      <c r="D79" s="659"/>
      <c r="E79" s="837" t="s">
        <v>3418</v>
      </c>
      <c r="F79" s="13">
        <v>4</v>
      </c>
      <c r="G79" s="13">
        <v>4</v>
      </c>
      <c r="H79" s="340">
        <v>6</v>
      </c>
      <c r="I79" s="676"/>
      <c r="J79" s="1124"/>
      <c r="K79" s="573"/>
      <c r="L79" s="573"/>
      <c r="M79" s="573"/>
      <c r="N79" s="573"/>
      <c r="O79" s="551"/>
      <c r="P79" s="573"/>
      <c r="Q79" s="863">
        <v>1.6719999999999999</v>
      </c>
      <c r="R79" s="875"/>
      <c r="S79" s="72"/>
      <c r="T79" s="334"/>
      <c r="U79" s="72"/>
      <c r="V79" s="72"/>
      <c r="W79" s="72"/>
      <c r="X79" s="72"/>
      <c r="Y79" s="72"/>
      <c r="Z79" s="660"/>
      <c r="AA79" s="1778"/>
      <c r="AE79" s="2461"/>
      <c r="AF79" s="68"/>
    </row>
    <row r="80" spans="1:39" x14ac:dyDescent="0.35">
      <c r="A80" s="658"/>
      <c r="B80" s="662">
        <v>10679</v>
      </c>
      <c r="C80" s="662"/>
      <c r="D80" s="659"/>
      <c r="E80" s="291" t="s">
        <v>3419</v>
      </c>
      <c r="F80" s="13">
        <v>4</v>
      </c>
      <c r="G80" s="13">
        <v>4</v>
      </c>
      <c r="H80" s="340">
        <v>6</v>
      </c>
      <c r="I80" s="676"/>
      <c r="J80" s="1124"/>
      <c r="K80" s="573"/>
      <c r="L80" s="573"/>
      <c r="M80" s="573"/>
      <c r="N80" s="573">
        <v>0.23899999999999999</v>
      </c>
      <c r="O80" s="551"/>
      <c r="P80" s="573"/>
      <c r="Q80" s="863"/>
      <c r="R80" s="875"/>
      <c r="S80" s="72"/>
      <c r="T80" s="334"/>
      <c r="U80" s="72"/>
      <c r="V80" s="72"/>
      <c r="W80" s="72"/>
      <c r="X80" s="72"/>
      <c r="Y80" s="72"/>
      <c r="Z80" s="660"/>
      <c r="AA80" s="1778"/>
      <c r="AE80" s="2461"/>
      <c r="AF80" s="68"/>
    </row>
    <row r="81" spans="1:32" x14ac:dyDescent="0.35">
      <c r="A81" s="658"/>
      <c r="B81" s="662">
        <v>10679</v>
      </c>
      <c r="C81" s="662"/>
      <c r="D81" s="659"/>
      <c r="E81" s="837" t="s">
        <v>2404</v>
      </c>
      <c r="F81" s="13">
        <v>4</v>
      </c>
      <c r="G81" s="13">
        <v>4</v>
      </c>
      <c r="H81" s="340">
        <v>6</v>
      </c>
      <c r="I81" s="676"/>
      <c r="J81" s="1124"/>
      <c r="K81" s="573"/>
      <c r="L81" s="573"/>
      <c r="M81" s="573"/>
      <c r="N81" s="573"/>
      <c r="O81" s="551"/>
      <c r="P81" s="573"/>
      <c r="Q81" s="863">
        <v>0.28699999999999998</v>
      </c>
      <c r="R81" s="875"/>
      <c r="S81" s="72"/>
      <c r="T81" s="334"/>
      <c r="U81" s="72"/>
      <c r="V81" s="72"/>
      <c r="W81" s="72"/>
      <c r="X81" s="72"/>
      <c r="Y81" s="72"/>
      <c r="Z81" s="660"/>
      <c r="AA81" s="1778"/>
      <c r="AE81" s="2461"/>
      <c r="AF81" s="68"/>
    </row>
    <row r="82" spans="1:32" x14ac:dyDescent="0.35">
      <c r="A82" s="658"/>
      <c r="B82" s="662">
        <v>10679</v>
      </c>
      <c r="C82" s="662"/>
      <c r="D82" s="659"/>
      <c r="E82" s="291" t="s">
        <v>2405</v>
      </c>
      <c r="F82" s="13">
        <v>4</v>
      </c>
      <c r="G82" s="13">
        <v>4</v>
      </c>
      <c r="H82" s="340">
        <v>6</v>
      </c>
      <c r="I82" s="676"/>
      <c r="J82" s="1124"/>
      <c r="K82" s="573"/>
      <c r="L82" s="573"/>
      <c r="M82" s="573"/>
      <c r="N82" s="573">
        <v>0.33200000000000002</v>
      </c>
      <c r="O82" s="551"/>
      <c r="P82" s="573"/>
      <c r="Q82" s="863"/>
      <c r="R82" s="875"/>
      <c r="S82" s="72"/>
      <c r="T82" s="334"/>
      <c r="U82" s="72"/>
      <c r="V82" s="72"/>
      <c r="W82" s="72"/>
      <c r="X82" s="72"/>
      <c r="Y82" s="72"/>
      <c r="Z82" s="660"/>
      <c r="AA82" s="1778"/>
      <c r="AE82" s="2461"/>
      <c r="AF82" s="68"/>
    </row>
    <row r="83" spans="1:32" x14ac:dyDescent="0.35">
      <c r="A83" s="658"/>
      <c r="B83" s="662">
        <v>10679</v>
      </c>
      <c r="C83" s="662"/>
      <c r="D83" s="659"/>
      <c r="E83" s="837" t="s">
        <v>2444</v>
      </c>
      <c r="F83" s="13">
        <v>4</v>
      </c>
      <c r="G83" s="13">
        <v>4</v>
      </c>
      <c r="H83" s="340">
        <v>6</v>
      </c>
      <c r="I83" s="676"/>
      <c r="J83" s="1124"/>
      <c r="K83" s="573"/>
      <c r="L83" s="573"/>
      <c r="M83" s="573"/>
      <c r="N83" s="573"/>
      <c r="O83" s="551"/>
      <c r="P83" s="573"/>
      <c r="Q83" s="863">
        <v>0.11</v>
      </c>
      <c r="R83" s="875"/>
      <c r="S83" s="72"/>
      <c r="T83" s="334"/>
      <c r="U83" s="72"/>
      <c r="V83" s="72"/>
      <c r="W83" s="72"/>
      <c r="X83" s="72"/>
      <c r="Y83" s="72"/>
      <c r="Z83" s="660"/>
      <c r="AA83" s="1778" t="s">
        <v>2496</v>
      </c>
      <c r="AE83" s="2461"/>
      <c r="AF83" s="68"/>
    </row>
    <row r="84" spans="1:32" x14ac:dyDescent="0.35">
      <c r="A84" s="658"/>
      <c r="B84" s="662">
        <v>10679</v>
      </c>
      <c r="C84" s="662"/>
      <c r="D84" s="659"/>
      <c r="E84" s="291" t="s">
        <v>1220</v>
      </c>
      <c r="F84" s="13">
        <v>4</v>
      </c>
      <c r="G84" s="13">
        <v>4</v>
      </c>
      <c r="H84" s="340">
        <v>6</v>
      </c>
      <c r="I84" s="676"/>
      <c r="J84" s="1124"/>
      <c r="K84" s="573"/>
      <c r="L84" s="573"/>
      <c r="M84" s="573"/>
      <c r="N84" s="573">
        <v>0.19600000000000001</v>
      </c>
      <c r="O84" s="551"/>
      <c r="P84" s="573"/>
      <c r="Q84" s="863"/>
      <c r="R84" s="875"/>
      <c r="S84" s="72"/>
      <c r="T84" s="334"/>
      <c r="U84" s="72"/>
      <c r="V84" s="72"/>
      <c r="W84" s="72"/>
      <c r="X84" s="72"/>
      <c r="Y84" s="72"/>
      <c r="Z84" s="660"/>
      <c r="AA84" s="1778" t="s">
        <v>2496</v>
      </c>
      <c r="AE84" s="2461"/>
      <c r="AF84" s="68"/>
    </row>
    <row r="85" spans="1:32" x14ac:dyDescent="0.35">
      <c r="A85" s="658"/>
      <c r="B85" s="662">
        <v>10679</v>
      </c>
      <c r="C85" s="662"/>
      <c r="D85" s="659"/>
      <c r="E85" s="837" t="s">
        <v>1221</v>
      </c>
      <c r="F85" s="13">
        <v>4</v>
      </c>
      <c r="G85" s="13">
        <v>4</v>
      </c>
      <c r="H85" s="340">
        <v>6</v>
      </c>
      <c r="I85" s="676"/>
      <c r="J85" s="1124"/>
      <c r="K85" s="573"/>
      <c r="L85" s="573"/>
      <c r="M85" s="573"/>
      <c r="N85" s="573"/>
      <c r="O85" s="551"/>
      <c r="P85" s="573"/>
      <c r="Q85" s="863">
        <v>2.984</v>
      </c>
      <c r="R85" s="875"/>
      <c r="S85" s="72"/>
      <c r="T85" s="334"/>
      <c r="U85" s="72"/>
      <c r="V85" s="72"/>
      <c r="W85" s="72"/>
      <c r="X85" s="72"/>
      <c r="Y85" s="72"/>
      <c r="Z85" s="660"/>
      <c r="AA85" s="1778" t="s">
        <v>2496</v>
      </c>
      <c r="AE85" s="2461"/>
      <c r="AF85" s="68"/>
    </row>
    <row r="86" spans="1:32" ht="45.5" x14ac:dyDescent="0.35">
      <c r="A86" s="661">
        <v>20</v>
      </c>
      <c r="B86" s="662">
        <v>10679</v>
      </c>
      <c r="C86" s="662"/>
      <c r="D86" s="2468" t="s">
        <v>4934</v>
      </c>
      <c r="E86" s="290" t="s">
        <v>9538</v>
      </c>
      <c r="F86" s="13" t="s">
        <v>664</v>
      </c>
      <c r="G86" s="13">
        <v>5</v>
      </c>
      <c r="H86" s="13">
        <v>6</v>
      </c>
      <c r="I86" s="552">
        <f>L86+K86+J86</f>
        <v>1.2</v>
      </c>
      <c r="J86" s="552">
        <f>SUM(M86:R86)</f>
        <v>1.2</v>
      </c>
      <c r="K86" s="553"/>
      <c r="L86" s="553"/>
      <c r="M86" s="552"/>
      <c r="N86" s="552"/>
      <c r="O86" s="555"/>
      <c r="P86" s="552"/>
      <c r="Q86" s="860"/>
      <c r="R86" s="870">
        <v>1.2</v>
      </c>
      <c r="S86" s="330"/>
      <c r="T86" s="331"/>
      <c r="U86" s="330"/>
      <c r="V86" s="330"/>
      <c r="W86" s="330"/>
      <c r="X86" s="330"/>
      <c r="Y86" s="330"/>
      <c r="Z86" s="663"/>
      <c r="AB86" s="3">
        <v>1</v>
      </c>
      <c r="AE86" s="2461"/>
      <c r="AF86" s="68"/>
    </row>
    <row r="87" spans="1:32" ht="75.5" x14ac:dyDescent="0.35">
      <c r="A87" s="1823">
        <v>21</v>
      </c>
      <c r="B87" s="826">
        <v>10679</v>
      </c>
      <c r="C87" s="826" t="s">
        <v>1656</v>
      </c>
      <c r="D87" s="2468" t="s">
        <v>4935</v>
      </c>
      <c r="E87" s="511" t="s">
        <v>9539</v>
      </c>
      <c r="F87" s="1944" t="s">
        <v>664</v>
      </c>
      <c r="G87" s="13">
        <v>5</v>
      </c>
      <c r="H87" s="13">
        <v>6</v>
      </c>
      <c r="I87" s="297">
        <f>J87+K87+L87</f>
        <v>0.5</v>
      </c>
      <c r="J87" s="297">
        <f>SUM(M87:R87)</f>
        <v>0.5</v>
      </c>
      <c r="K87" s="573"/>
      <c r="L87" s="573"/>
      <c r="M87" s="503"/>
      <c r="N87" s="501"/>
      <c r="O87" s="570"/>
      <c r="P87" s="503"/>
      <c r="Q87" s="2099"/>
      <c r="R87" s="2098">
        <v>0.5</v>
      </c>
      <c r="S87" s="72"/>
      <c r="T87" s="334"/>
      <c r="U87" s="72"/>
      <c r="V87" s="72"/>
      <c r="W87" s="72"/>
      <c r="X87" s="72"/>
      <c r="Y87" s="72"/>
      <c r="Z87" s="2375"/>
      <c r="AA87" s="3" t="s">
        <v>213</v>
      </c>
      <c r="AB87" s="3">
        <v>1</v>
      </c>
      <c r="AE87" s="2461"/>
      <c r="AF87" s="68"/>
    </row>
    <row r="88" spans="1:32" ht="45.5" x14ac:dyDescent="0.35">
      <c r="A88" s="661">
        <v>22</v>
      </c>
      <c r="B88" s="662">
        <v>10679</v>
      </c>
      <c r="C88" s="662"/>
      <c r="D88" s="2468" t="s">
        <v>4936</v>
      </c>
      <c r="E88" s="290" t="s">
        <v>9540</v>
      </c>
      <c r="F88" s="13" t="s">
        <v>827</v>
      </c>
      <c r="G88" s="13">
        <v>5</v>
      </c>
      <c r="H88" s="13">
        <v>6</v>
      </c>
      <c r="I88" s="552">
        <f>L88+K88+J88</f>
        <v>0.6</v>
      </c>
      <c r="J88" s="552">
        <f>SUM(M88:R88)</f>
        <v>0.6</v>
      </c>
      <c r="K88" s="553"/>
      <c r="L88" s="553"/>
      <c r="M88" s="552"/>
      <c r="N88" s="552"/>
      <c r="O88" s="555"/>
      <c r="P88" s="552"/>
      <c r="Q88" s="860"/>
      <c r="R88" s="870">
        <v>0.6</v>
      </c>
      <c r="S88" s="330"/>
      <c r="T88" s="331"/>
      <c r="U88" s="330"/>
      <c r="V88" s="330"/>
      <c r="W88" s="330"/>
      <c r="X88" s="330"/>
      <c r="Y88" s="330"/>
      <c r="Z88" s="663"/>
      <c r="AB88" s="3">
        <v>1</v>
      </c>
      <c r="AE88" s="2461"/>
      <c r="AF88" s="68"/>
    </row>
    <row r="89" spans="1:32" ht="60.5" x14ac:dyDescent="0.35">
      <c r="A89" s="1823">
        <v>23</v>
      </c>
      <c r="B89" s="826">
        <v>10679</v>
      </c>
      <c r="C89" s="826" t="s">
        <v>1656</v>
      </c>
      <c r="D89" s="2468" t="s">
        <v>4937</v>
      </c>
      <c r="E89" s="511" t="s">
        <v>9541</v>
      </c>
      <c r="F89" s="1944" t="s">
        <v>664</v>
      </c>
      <c r="G89" s="13">
        <v>5</v>
      </c>
      <c r="H89" s="13">
        <v>6</v>
      </c>
      <c r="I89" s="297">
        <f t="shared" ref="I89:I94" si="6">J89+K89+L89</f>
        <v>0.47</v>
      </c>
      <c r="J89" s="297">
        <f t="shared" ref="J89:J94" si="7">SUM(M89:R89)</f>
        <v>0.47</v>
      </c>
      <c r="K89" s="573"/>
      <c r="L89" s="573"/>
      <c r="M89" s="503"/>
      <c r="N89" s="503"/>
      <c r="O89" s="570"/>
      <c r="P89" s="503"/>
      <c r="Q89" s="1856"/>
      <c r="R89" s="2098">
        <v>0.47</v>
      </c>
      <c r="S89" s="72"/>
      <c r="T89" s="334"/>
      <c r="U89" s="72"/>
      <c r="V89" s="72"/>
      <c r="W89" s="72"/>
      <c r="X89" s="72"/>
      <c r="Y89" s="72"/>
      <c r="Z89" s="2375"/>
      <c r="AA89" s="3" t="s">
        <v>1713</v>
      </c>
      <c r="AB89" s="3">
        <v>1</v>
      </c>
      <c r="AE89" s="2461"/>
      <c r="AF89" s="68"/>
    </row>
    <row r="90" spans="1:32" ht="45.5" x14ac:dyDescent="0.35">
      <c r="A90" s="661">
        <v>24</v>
      </c>
      <c r="B90" s="826">
        <v>10679</v>
      </c>
      <c r="C90" s="826" t="s">
        <v>1656</v>
      </c>
      <c r="D90" s="2468" t="s">
        <v>4939</v>
      </c>
      <c r="E90" s="511" t="s">
        <v>9542</v>
      </c>
      <c r="F90" s="1944" t="s">
        <v>664</v>
      </c>
      <c r="G90" s="13">
        <v>5</v>
      </c>
      <c r="H90" s="13">
        <v>6</v>
      </c>
      <c r="I90" s="297">
        <f t="shared" si="6"/>
        <v>0.43</v>
      </c>
      <c r="J90" s="297">
        <f t="shared" si="7"/>
        <v>0.43</v>
      </c>
      <c r="K90" s="573"/>
      <c r="L90" s="573"/>
      <c r="M90" s="503"/>
      <c r="N90" s="503"/>
      <c r="O90" s="570"/>
      <c r="P90" s="503"/>
      <c r="Q90" s="1856"/>
      <c r="R90" s="2098">
        <v>0.43</v>
      </c>
      <c r="S90" s="72"/>
      <c r="T90" s="334"/>
      <c r="U90" s="72"/>
      <c r="V90" s="72"/>
      <c r="W90" s="72"/>
      <c r="X90" s="72"/>
      <c r="Y90" s="72"/>
      <c r="Z90" s="2375"/>
      <c r="AA90" s="1778" t="s">
        <v>1733</v>
      </c>
      <c r="AB90" s="3">
        <v>1</v>
      </c>
      <c r="AE90" s="2461"/>
      <c r="AF90" s="68"/>
    </row>
    <row r="91" spans="1:32" ht="45.5" x14ac:dyDescent="0.35">
      <c r="A91" s="1823">
        <v>25</v>
      </c>
      <c r="B91" s="826">
        <v>10679</v>
      </c>
      <c r="C91" s="826" t="s">
        <v>1656</v>
      </c>
      <c r="D91" s="2468" t="s">
        <v>4940</v>
      </c>
      <c r="E91" s="511" t="s">
        <v>9543</v>
      </c>
      <c r="F91" s="1944" t="s">
        <v>664</v>
      </c>
      <c r="G91" s="13">
        <v>5</v>
      </c>
      <c r="H91" s="13">
        <v>6</v>
      </c>
      <c r="I91" s="297">
        <f t="shared" si="6"/>
        <v>0.4</v>
      </c>
      <c r="J91" s="297">
        <f t="shared" si="7"/>
        <v>0.4</v>
      </c>
      <c r="K91" s="573"/>
      <c r="L91" s="573"/>
      <c r="M91" s="503"/>
      <c r="N91" s="503"/>
      <c r="O91" s="570"/>
      <c r="P91" s="503"/>
      <c r="Q91" s="1856"/>
      <c r="R91" s="2098">
        <v>0.4</v>
      </c>
      <c r="S91" s="72"/>
      <c r="T91" s="334"/>
      <c r="U91" s="72"/>
      <c r="V91" s="72"/>
      <c r="W91" s="72"/>
      <c r="X91" s="72"/>
      <c r="Y91" s="72"/>
      <c r="Z91" s="2375"/>
      <c r="AA91" s="3" t="s">
        <v>1091</v>
      </c>
      <c r="AB91" s="3">
        <v>1</v>
      </c>
      <c r="AE91" s="2461"/>
      <c r="AF91" s="68"/>
    </row>
    <row r="92" spans="1:32" ht="60.5" x14ac:dyDescent="0.35">
      <c r="A92" s="661">
        <v>26</v>
      </c>
      <c r="B92" s="826">
        <v>10679</v>
      </c>
      <c r="C92" s="826" t="s">
        <v>1656</v>
      </c>
      <c r="D92" s="2468" t="s">
        <v>4941</v>
      </c>
      <c r="E92" s="2374" t="s">
        <v>9544</v>
      </c>
      <c r="F92" s="1138" t="s">
        <v>664</v>
      </c>
      <c r="G92" s="13">
        <v>5</v>
      </c>
      <c r="H92" s="13">
        <v>6</v>
      </c>
      <c r="I92" s="297">
        <f t="shared" si="6"/>
        <v>1</v>
      </c>
      <c r="J92" s="297">
        <f t="shared" si="7"/>
        <v>1</v>
      </c>
      <c r="K92" s="553"/>
      <c r="L92" s="553"/>
      <c r="M92" s="501"/>
      <c r="N92" s="501"/>
      <c r="O92" s="501"/>
      <c r="P92" s="501"/>
      <c r="Q92" s="1856"/>
      <c r="R92" s="1865">
        <v>1</v>
      </c>
      <c r="S92" s="328"/>
      <c r="T92" s="329"/>
      <c r="U92" s="330"/>
      <c r="V92" s="330"/>
      <c r="W92" s="328"/>
      <c r="X92" s="328"/>
      <c r="Y92" s="328"/>
      <c r="Z92" s="2376"/>
      <c r="AA92" s="3" t="s">
        <v>1532</v>
      </c>
      <c r="AB92" s="3">
        <v>1</v>
      </c>
      <c r="AE92" s="2461"/>
      <c r="AF92" s="68"/>
    </row>
    <row r="93" spans="1:32" ht="60.5" x14ac:dyDescent="0.35">
      <c r="A93" s="661">
        <v>27</v>
      </c>
      <c r="B93" s="826">
        <v>10679</v>
      </c>
      <c r="C93" s="826" t="s">
        <v>1656</v>
      </c>
      <c r="D93" s="2468" t="s">
        <v>4942</v>
      </c>
      <c r="E93" s="2374" t="s">
        <v>9545</v>
      </c>
      <c r="F93" s="1138" t="s">
        <v>664</v>
      </c>
      <c r="G93" s="13">
        <v>5</v>
      </c>
      <c r="H93" s="13">
        <v>6</v>
      </c>
      <c r="I93" s="297">
        <f t="shared" si="6"/>
        <v>2.2999999999999998</v>
      </c>
      <c r="J93" s="297">
        <f t="shared" si="7"/>
        <v>2.2999999999999998</v>
      </c>
      <c r="K93" s="553"/>
      <c r="L93" s="553"/>
      <c r="M93" s="501"/>
      <c r="N93" s="501"/>
      <c r="O93" s="568"/>
      <c r="P93" s="501"/>
      <c r="Q93" s="1856"/>
      <c r="R93" s="1865">
        <v>2.2999999999999998</v>
      </c>
      <c r="S93" s="328"/>
      <c r="T93" s="329"/>
      <c r="U93" s="330"/>
      <c r="V93" s="330"/>
      <c r="W93" s="328"/>
      <c r="X93" s="328"/>
      <c r="Y93" s="330"/>
      <c r="Z93" s="2376"/>
      <c r="AA93" s="3" t="s">
        <v>1532</v>
      </c>
      <c r="AB93" s="3">
        <v>1</v>
      </c>
      <c r="AE93" s="2461"/>
      <c r="AF93" s="68"/>
    </row>
    <row r="94" spans="1:32" ht="45.5" x14ac:dyDescent="0.35">
      <c r="A94" s="1823">
        <v>28</v>
      </c>
      <c r="B94" s="826">
        <v>10679</v>
      </c>
      <c r="C94" s="826" t="s">
        <v>1656</v>
      </c>
      <c r="D94" s="2468" t="s">
        <v>4944</v>
      </c>
      <c r="E94" s="2374" t="s">
        <v>9546</v>
      </c>
      <c r="F94" s="1138" t="s">
        <v>664</v>
      </c>
      <c r="G94" s="13">
        <v>5</v>
      </c>
      <c r="H94" s="13">
        <v>6</v>
      </c>
      <c r="I94" s="297">
        <f t="shared" si="6"/>
        <v>5.8</v>
      </c>
      <c r="J94" s="297">
        <f t="shared" si="7"/>
        <v>5.8</v>
      </c>
      <c r="K94" s="553"/>
      <c r="L94" s="553"/>
      <c r="M94" s="501"/>
      <c r="N94" s="501"/>
      <c r="O94" s="568"/>
      <c r="P94" s="501"/>
      <c r="Q94" s="1856"/>
      <c r="R94" s="1865">
        <v>5.8</v>
      </c>
      <c r="S94" s="330"/>
      <c r="T94" s="331"/>
      <c r="U94" s="330"/>
      <c r="V94" s="330"/>
      <c r="W94" s="330"/>
      <c r="X94" s="330"/>
      <c r="Y94" s="330"/>
      <c r="Z94" s="2376"/>
      <c r="AA94" s="3" t="s">
        <v>1532</v>
      </c>
      <c r="AB94" s="3">
        <v>1</v>
      </c>
      <c r="AE94" s="2461"/>
      <c r="AF94" s="68"/>
    </row>
    <row r="95" spans="1:32" ht="30" x14ac:dyDescent="0.35">
      <c r="A95" s="661">
        <v>29</v>
      </c>
      <c r="B95" s="662">
        <v>10680</v>
      </c>
      <c r="C95" s="662"/>
      <c r="D95" s="662" t="s">
        <v>1263</v>
      </c>
      <c r="E95" s="290" t="s">
        <v>6904</v>
      </c>
      <c r="F95" s="13"/>
      <c r="G95" s="13" t="s">
        <v>191</v>
      </c>
      <c r="H95" s="340" t="s">
        <v>191</v>
      </c>
      <c r="I95" s="552">
        <f>L95+K95+J95</f>
        <v>15.346</v>
      </c>
      <c r="J95" s="552">
        <f>SUM(M95:R95)</f>
        <v>15.346</v>
      </c>
      <c r="K95" s="553"/>
      <c r="L95" s="553"/>
      <c r="M95" s="552"/>
      <c r="N95" s="552">
        <f>SUM(N96:N103)</f>
        <v>4.1350000000000016</v>
      </c>
      <c r="O95" s="555"/>
      <c r="P95" s="552"/>
      <c r="Q95" s="860">
        <f>SUM(Q96:Q103)</f>
        <v>11.210999999999999</v>
      </c>
      <c r="R95" s="870"/>
      <c r="S95" s="328">
        <v>1</v>
      </c>
      <c r="T95" s="329">
        <v>18.5</v>
      </c>
      <c r="U95" s="330"/>
      <c r="V95" s="330"/>
      <c r="W95" s="328">
        <v>31</v>
      </c>
      <c r="X95" s="328">
        <v>468.5</v>
      </c>
      <c r="Y95" s="328">
        <v>10</v>
      </c>
      <c r="Z95" s="663">
        <v>110</v>
      </c>
      <c r="AB95" s="3">
        <v>1</v>
      </c>
      <c r="AE95" s="2461"/>
      <c r="AF95" s="68"/>
    </row>
    <row r="96" spans="1:32" x14ac:dyDescent="0.35">
      <c r="A96" s="658"/>
      <c r="B96" s="662">
        <v>10680</v>
      </c>
      <c r="C96" s="662"/>
      <c r="D96" s="659"/>
      <c r="E96" s="534" t="s">
        <v>10976</v>
      </c>
      <c r="F96" s="13">
        <v>4</v>
      </c>
      <c r="G96" s="13">
        <v>4</v>
      </c>
      <c r="H96" s="340">
        <v>6</v>
      </c>
      <c r="I96" s="572"/>
      <c r="J96" s="573"/>
      <c r="K96" s="573"/>
      <c r="L96" s="573"/>
      <c r="M96" s="573"/>
      <c r="N96" s="2740">
        <v>2.589</v>
      </c>
      <c r="O96" s="551"/>
      <c r="P96" s="573"/>
      <c r="Q96" s="863"/>
      <c r="R96" s="875"/>
      <c r="S96" s="72"/>
      <c r="T96" s="334"/>
      <c r="U96" s="72"/>
      <c r="V96" s="72"/>
      <c r="W96" s="72"/>
      <c r="X96" s="72"/>
      <c r="Y96" s="72"/>
      <c r="Z96" s="660"/>
      <c r="AE96" s="2461"/>
      <c r="AF96" s="68"/>
    </row>
    <row r="97" spans="1:32" x14ac:dyDescent="0.35">
      <c r="A97" s="658"/>
      <c r="B97" s="662"/>
      <c r="C97" s="662"/>
      <c r="D97" s="659"/>
      <c r="E97" s="837" t="s">
        <v>10766</v>
      </c>
      <c r="F97" s="13">
        <v>4</v>
      </c>
      <c r="G97" s="13">
        <v>4</v>
      </c>
      <c r="H97" s="340">
        <v>6</v>
      </c>
      <c r="I97" s="676"/>
      <c r="J97" s="1124"/>
      <c r="K97" s="573"/>
      <c r="L97" s="573"/>
      <c r="M97" s="573"/>
      <c r="N97" s="2740"/>
      <c r="O97" s="551"/>
      <c r="P97" s="573"/>
      <c r="Q97" s="863">
        <f>4.94-2.589</f>
        <v>2.3510000000000004</v>
      </c>
      <c r="R97" s="875"/>
      <c r="S97" s="72"/>
      <c r="T97" s="334"/>
      <c r="U97" s="72"/>
      <c r="V97" s="72"/>
      <c r="W97" s="72"/>
      <c r="X97" s="72"/>
      <c r="Y97" s="72"/>
      <c r="Z97" s="660"/>
      <c r="AE97" s="2461"/>
      <c r="AF97" s="68"/>
    </row>
    <row r="98" spans="1:32" x14ac:dyDescent="0.35">
      <c r="A98" s="658"/>
      <c r="B98" s="662"/>
      <c r="C98" s="662"/>
      <c r="D98" s="659"/>
      <c r="E98" s="534" t="s">
        <v>10977</v>
      </c>
      <c r="F98" s="13">
        <v>4</v>
      </c>
      <c r="G98" s="13">
        <v>4</v>
      </c>
      <c r="H98" s="340">
        <v>6</v>
      </c>
      <c r="I98" s="572"/>
      <c r="J98" s="573"/>
      <c r="K98" s="573"/>
      <c r="L98" s="573"/>
      <c r="M98" s="573"/>
      <c r="N98" s="2740">
        <f>5.341-4.94</f>
        <v>0.4009999999999998</v>
      </c>
      <c r="O98" s="551"/>
      <c r="P98" s="573"/>
      <c r="Q98" s="863"/>
      <c r="R98" s="875"/>
      <c r="S98" s="72"/>
      <c r="T98" s="334"/>
      <c r="U98" s="72"/>
      <c r="V98" s="72"/>
      <c r="W98" s="72"/>
      <c r="X98" s="72"/>
      <c r="Y98" s="72"/>
      <c r="Z98" s="660"/>
      <c r="AE98" s="2461"/>
      <c r="AF98" s="68"/>
    </row>
    <row r="99" spans="1:32" x14ac:dyDescent="0.35">
      <c r="A99" s="658"/>
      <c r="B99" s="662">
        <v>10680</v>
      </c>
      <c r="C99" s="662"/>
      <c r="D99" s="659"/>
      <c r="E99" s="837" t="s">
        <v>10767</v>
      </c>
      <c r="F99" s="13">
        <v>4</v>
      </c>
      <c r="G99" s="13">
        <v>4</v>
      </c>
      <c r="H99" s="340">
        <v>6</v>
      </c>
      <c r="I99" s="676"/>
      <c r="J99" s="1124"/>
      <c r="K99" s="573"/>
      <c r="L99" s="573"/>
      <c r="M99" s="573"/>
      <c r="N99" s="780"/>
      <c r="O99" s="551"/>
      <c r="P99" s="573"/>
      <c r="Q99" s="865">
        <f>9.917-5.341</f>
        <v>4.5759999999999996</v>
      </c>
      <c r="R99" s="875"/>
      <c r="S99" s="72"/>
      <c r="T99" s="334"/>
      <c r="U99" s="72"/>
      <c r="V99" s="72"/>
      <c r="W99" s="72"/>
      <c r="X99" s="72"/>
      <c r="Y99" s="72"/>
      <c r="Z99" s="660"/>
      <c r="AE99" s="2461"/>
      <c r="AF99" s="68"/>
    </row>
    <row r="100" spans="1:32" x14ac:dyDescent="0.35">
      <c r="A100" s="658"/>
      <c r="B100" s="662">
        <v>10680</v>
      </c>
      <c r="C100" s="662"/>
      <c r="D100" s="659"/>
      <c r="E100" s="534" t="s">
        <v>10978</v>
      </c>
      <c r="F100" s="13">
        <v>4</v>
      </c>
      <c r="G100" s="13">
        <v>4</v>
      </c>
      <c r="H100" s="340">
        <v>6</v>
      </c>
      <c r="I100" s="572"/>
      <c r="J100" s="573"/>
      <c r="K100" s="573"/>
      <c r="L100" s="573"/>
      <c r="M100" s="573"/>
      <c r="N100" s="2740">
        <f>9.935-9.917</f>
        <v>1.8000000000000682E-2</v>
      </c>
      <c r="O100" s="551"/>
      <c r="P100" s="573"/>
      <c r="Q100" s="863"/>
      <c r="R100" s="875"/>
      <c r="S100" s="72"/>
      <c r="T100" s="334"/>
      <c r="U100" s="72"/>
      <c r="V100" s="72"/>
      <c r="W100" s="72"/>
      <c r="X100" s="72"/>
      <c r="Y100" s="72"/>
      <c r="Z100" s="660"/>
      <c r="AE100" s="2461"/>
      <c r="AF100" s="68"/>
    </row>
    <row r="101" spans="1:32" x14ac:dyDescent="0.35">
      <c r="A101" s="658"/>
      <c r="B101" s="662"/>
      <c r="C101" s="662"/>
      <c r="D101" s="659"/>
      <c r="E101" s="837" t="s">
        <v>10768</v>
      </c>
      <c r="F101" s="13">
        <v>4</v>
      </c>
      <c r="G101" s="13">
        <v>4</v>
      </c>
      <c r="H101" s="340">
        <v>6</v>
      </c>
      <c r="I101" s="572"/>
      <c r="J101" s="573"/>
      <c r="K101" s="573"/>
      <c r="L101" s="573"/>
      <c r="M101" s="573"/>
      <c r="N101" s="2740"/>
      <c r="O101" s="551"/>
      <c r="P101" s="573"/>
      <c r="Q101" s="863">
        <f>10.084-9.935</f>
        <v>0.14899999999999913</v>
      </c>
      <c r="R101" s="875"/>
      <c r="S101" s="72"/>
      <c r="T101" s="334"/>
      <c r="U101" s="72"/>
      <c r="V101" s="72"/>
      <c r="W101" s="72"/>
      <c r="X101" s="72"/>
      <c r="Y101" s="72"/>
      <c r="Z101" s="660"/>
      <c r="AE101" s="2461"/>
      <c r="AF101" s="68"/>
    </row>
    <row r="102" spans="1:32" x14ac:dyDescent="0.35">
      <c r="A102" s="658"/>
      <c r="B102" s="662"/>
      <c r="C102" s="662"/>
      <c r="D102" s="659"/>
      <c r="E102" s="534" t="s">
        <v>10979</v>
      </c>
      <c r="F102" s="13">
        <v>4</v>
      </c>
      <c r="G102" s="13">
        <v>4</v>
      </c>
      <c r="H102" s="340">
        <v>6</v>
      </c>
      <c r="I102" s="572"/>
      <c r="J102" s="573"/>
      <c r="K102" s="573"/>
      <c r="L102" s="573"/>
      <c r="M102" s="573"/>
      <c r="N102" s="2740">
        <f>11.211-10.084</f>
        <v>1.1270000000000007</v>
      </c>
      <c r="O102" s="551"/>
      <c r="P102" s="573"/>
      <c r="Q102" s="863"/>
      <c r="R102" s="875"/>
      <c r="S102" s="72"/>
      <c r="T102" s="334"/>
      <c r="U102" s="72"/>
      <c r="V102" s="72"/>
      <c r="W102" s="72"/>
      <c r="X102" s="72"/>
      <c r="Y102" s="72"/>
      <c r="Z102" s="660"/>
      <c r="AE102" s="2461"/>
      <c r="AF102" s="68"/>
    </row>
    <row r="103" spans="1:32" x14ac:dyDescent="0.35">
      <c r="A103" s="658"/>
      <c r="B103" s="662">
        <v>10680</v>
      </c>
      <c r="C103" s="662"/>
      <c r="D103" s="659"/>
      <c r="E103" s="837" t="s">
        <v>10980</v>
      </c>
      <c r="F103" s="13">
        <v>4</v>
      </c>
      <c r="G103" s="13">
        <v>4</v>
      </c>
      <c r="H103" s="340">
        <v>6</v>
      </c>
      <c r="I103" s="572"/>
      <c r="J103" s="573"/>
      <c r="K103" s="573"/>
      <c r="L103" s="573"/>
      <c r="M103" s="573"/>
      <c r="N103" s="572"/>
      <c r="O103" s="551"/>
      <c r="P103" s="573"/>
      <c r="Q103" s="865">
        <f>15.346-11.211</f>
        <v>4.1349999999999998</v>
      </c>
      <c r="R103" s="875"/>
      <c r="S103" s="72"/>
      <c r="T103" s="334"/>
      <c r="U103" s="72"/>
      <c r="V103" s="72"/>
      <c r="W103" s="72"/>
      <c r="X103" s="72"/>
      <c r="Y103" s="72"/>
      <c r="Z103" s="660"/>
      <c r="AE103" s="2461"/>
      <c r="AF103" s="68"/>
    </row>
    <row r="104" spans="1:32" ht="30.5" x14ac:dyDescent="0.35">
      <c r="A104" s="1823">
        <v>30</v>
      </c>
      <c r="B104" s="826">
        <v>10680</v>
      </c>
      <c r="C104" s="826" t="s">
        <v>1656</v>
      </c>
      <c r="D104" s="2468" t="s">
        <v>4945</v>
      </c>
      <c r="E104" s="511" t="s">
        <v>8524</v>
      </c>
      <c r="F104" s="1944" t="s">
        <v>664</v>
      </c>
      <c r="G104" s="13">
        <v>5</v>
      </c>
      <c r="H104" s="13">
        <v>6</v>
      </c>
      <c r="I104" s="297">
        <f>J104+K104+L104</f>
        <v>0.8</v>
      </c>
      <c r="J104" s="297">
        <f>SUM(M104:R104)</f>
        <v>0.8</v>
      </c>
      <c r="K104" s="573"/>
      <c r="L104" s="573"/>
      <c r="M104" s="503"/>
      <c r="N104" s="503"/>
      <c r="O104" s="570"/>
      <c r="P104" s="503"/>
      <c r="Q104" s="1856"/>
      <c r="R104" s="2098">
        <v>0.8</v>
      </c>
      <c r="S104" s="72"/>
      <c r="T104" s="334"/>
      <c r="U104" s="72"/>
      <c r="V104" s="72"/>
      <c r="W104" s="72"/>
      <c r="X104" s="72"/>
      <c r="Y104" s="72"/>
      <c r="Z104" s="2375"/>
      <c r="AA104" s="1778" t="s">
        <v>1455</v>
      </c>
      <c r="AB104" s="3">
        <v>1</v>
      </c>
      <c r="AE104" s="2461"/>
      <c r="AF104" s="68"/>
    </row>
    <row r="105" spans="1:32" ht="30" x14ac:dyDescent="0.35">
      <c r="A105" s="661">
        <v>31</v>
      </c>
      <c r="B105" s="662">
        <v>10681</v>
      </c>
      <c r="C105" s="662"/>
      <c r="D105" s="662" t="s">
        <v>1262</v>
      </c>
      <c r="E105" s="290" t="s">
        <v>9842</v>
      </c>
      <c r="F105" s="13"/>
      <c r="G105" s="1138" t="s">
        <v>191</v>
      </c>
      <c r="H105" s="340" t="s">
        <v>191</v>
      </c>
      <c r="I105" s="552">
        <f>L105+K105+J105</f>
        <v>10.667</v>
      </c>
      <c r="J105" s="552">
        <f>SUM(M105:R105)</f>
        <v>10.667</v>
      </c>
      <c r="K105" s="553"/>
      <c r="L105" s="553"/>
      <c r="M105" s="552"/>
      <c r="N105" s="552">
        <f>SUM(N106:N109)</f>
        <v>5.3349999999999991</v>
      </c>
      <c r="O105" s="555"/>
      <c r="P105" s="552"/>
      <c r="Q105" s="860">
        <f>SUM(Q106:Q109)</f>
        <v>5.3320000000000007</v>
      </c>
      <c r="R105" s="870"/>
      <c r="S105" s="330"/>
      <c r="T105" s="331"/>
      <c r="U105" s="330"/>
      <c r="V105" s="330"/>
      <c r="W105" s="328">
        <v>20</v>
      </c>
      <c r="X105" s="328">
        <v>315.08999999999997</v>
      </c>
      <c r="Y105" s="328">
        <v>3</v>
      </c>
      <c r="Z105" s="663">
        <v>30</v>
      </c>
      <c r="AB105" s="3">
        <v>1</v>
      </c>
      <c r="AE105" s="2461"/>
      <c r="AF105" s="68"/>
    </row>
    <row r="106" spans="1:32" x14ac:dyDescent="0.35">
      <c r="A106" s="658"/>
      <c r="B106" s="662"/>
      <c r="C106" s="662"/>
      <c r="D106" s="659"/>
      <c r="E106" s="837" t="s">
        <v>282</v>
      </c>
      <c r="F106" s="13">
        <v>4</v>
      </c>
      <c r="G106" s="1138">
        <v>5</v>
      </c>
      <c r="H106" s="340">
        <v>6</v>
      </c>
      <c r="I106" s="572"/>
      <c r="J106" s="573"/>
      <c r="K106" s="573"/>
      <c r="L106" s="573"/>
      <c r="M106" s="573"/>
      <c r="N106" s="572"/>
      <c r="O106" s="551"/>
      <c r="P106" s="573"/>
      <c r="Q106" s="863">
        <f>0.9-0</f>
        <v>0.9</v>
      </c>
      <c r="R106" s="875"/>
      <c r="S106" s="72"/>
      <c r="T106" s="334"/>
      <c r="U106" s="72"/>
      <c r="V106" s="72"/>
      <c r="W106" s="72"/>
      <c r="X106" s="72"/>
      <c r="Y106" s="72"/>
      <c r="Z106" s="660"/>
      <c r="AE106" s="2461"/>
      <c r="AF106" s="68"/>
    </row>
    <row r="107" spans="1:32" x14ac:dyDescent="0.35">
      <c r="A107" s="658"/>
      <c r="B107" s="662"/>
      <c r="C107" s="662"/>
      <c r="D107" s="659"/>
      <c r="E107" s="534" t="s">
        <v>10760</v>
      </c>
      <c r="F107" s="13">
        <v>4</v>
      </c>
      <c r="G107" s="1138">
        <v>5</v>
      </c>
      <c r="H107" s="340">
        <v>6</v>
      </c>
      <c r="I107" s="572"/>
      <c r="J107" s="573"/>
      <c r="K107" s="573"/>
      <c r="L107" s="573"/>
      <c r="M107" s="573"/>
      <c r="N107" s="780">
        <f>6.192-0.9</f>
        <v>5.2919999999999998</v>
      </c>
      <c r="O107" s="551"/>
      <c r="P107" s="573"/>
      <c r="Q107" s="865"/>
      <c r="R107" s="875"/>
      <c r="S107" s="72"/>
      <c r="T107" s="334"/>
      <c r="U107" s="72"/>
      <c r="V107" s="72"/>
      <c r="W107" s="72"/>
      <c r="X107" s="72"/>
      <c r="Y107" s="72"/>
      <c r="Z107" s="660"/>
      <c r="AE107" s="2461"/>
      <c r="AF107" s="68"/>
    </row>
    <row r="108" spans="1:32" x14ac:dyDescent="0.35">
      <c r="A108" s="658"/>
      <c r="B108" s="662">
        <v>10681</v>
      </c>
      <c r="C108" s="662"/>
      <c r="D108" s="659"/>
      <c r="E108" s="837" t="s">
        <v>1047</v>
      </c>
      <c r="F108" s="13">
        <v>4</v>
      </c>
      <c r="G108" s="1138">
        <v>5</v>
      </c>
      <c r="H108" s="340">
        <v>6</v>
      </c>
      <c r="I108" s="572"/>
      <c r="J108" s="573"/>
      <c r="K108" s="573"/>
      <c r="L108" s="573"/>
      <c r="M108" s="573"/>
      <c r="N108" s="573"/>
      <c r="O108" s="551"/>
      <c r="P108" s="573"/>
      <c r="Q108" s="863">
        <f>10.624-6.192</f>
        <v>4.4320000000000004</v>
      </c>
      <c r="R108" s="875"/>
      <c r="S108" s="72"/>
      <c r="T108" s="334"/>
      <c r="U108" s="72"/>
      <c r="V108" s="72"/>
      <c r="W108" s="72"/>
      <c r="X108" s="72"/>
      <c r="Y108" s="72"/>
      <c r="Z108" s="660"/>
      <c r="AE108" s="2461"/>
      <c r="AF108" s="68"/>
    </row>
    <row r="109" spans="1:32" x14ac:dyDescent="0.35">
      <c r="A109" s="658"/>
      <c r="B109" s="662">
        <v>10681</v>
      </c>
      <c r="C109" s="662"/>
      <c r="D109" s="659"/>
      <c r="E109" s="291" t="s">
        <v>1046</v>
      </c>
      <c r="F109" s="13">
        <v>4</v>
      </c>
      <c r="G109" s="1138">
        <v>5</v>
      </c>
      <c r="H109" s="340">
        <v>6</v>
      </c>
      <c r="I109" s="572"/>
      <c r="J109" s="573"/>
      <c r="K109" s="573"/>
      <c r="L109" s="573"/>
      <c r="M109" s="573"/>
      <c r="N109" s="573">
        <f>10.667-10.624</f>
        <v>4.2999999999999261E-2</v>
      </c>
      <c r="O109" s="551"/>
      <c r="P109" s="573"/>
      <c r="Q109" s="863"/>
      <c r="R109" s="875"/>
      <c r="S109" s="72"/>
      <c r="T109" s="334"/>
      <c r="U109" s="72"/>
      <c r="V109" s="72"/>
      <c r="W109" s="72"/>
      <c r="X109" s="72"/>
      <c r="Y109" s="72"/>
      <c r="Z109" s="2411"/>
      <c r="AE109" s="2461"/>
      <c r="AF109" s="68"/>
    </row>
    <row r="110" spans="1:32" ht="45.5" x14ac:dyDescent="0.35">
      <c r="A110" s="1823">
        <v>32</v>
      </c>
      <c r="B110" s="826">
        <v>10681</v>
      </c>
      <c r="C110" s="826" t="s">
        <v>1656</v>
      </c>
      <c r="D110" s="2468" t="s">
        <v>4946</v>
      </c>
      <c r="E110" s="2374" t="s">
        <v>9843</v>
      </c>
      <c r="F110" s="1138" t="s">
        <v>664</v>
      </c>
      <c r="G110" s="13">
        <v>5</v>
      </c>
      <c r="H110" s="13">
        <v>6</v>
      </c>
      <c r="I110" s="297">
        <f>J110+K110+L110</f>
        <v>2</v>
      </c>
      <c r="J110" s="297">
        <f>SUM(M110:R110)</f>
        <v>2</v>
      </c>
      <c r="K110" s="573"/>
      <c r="L110" s="573"/>
      <c r="M110" s="503"/>
      <c r="N110" s="503"/>
      <c r="O110" s="570"/>
      <c r="P110" s="503"/>
      <c r="Q110" s="1856"/>
      <c r="R110" s="2098">
        <v>2</v>
      </c>
      <c r="S110" s="72"/>
      <c r="T110" s="334"/>
      <c r="U110" s="72"/>
      <c r="V110" s="72"/>
      <c r="W110" s="72"/>
      <c r="X110" s="72"/>
      <c r="Y110" s="72"/>
      <c r="Z110" s="2375"/>
      <c r="AA110" s="3" t="s">
        <v>1532</v>
      </c>
      <c r="AB110" s="3">
        <v>1</v>
      </c>
      <c r="AE110" s="2461"/>
      <c r="AF110" s="68"/>
    </row>
    <row r="111" spans="1:32" ht="30.5" x14ac:dyDescent="0.35">
      <c r="A111" s="661">
        <v>33</v>
      </c>
      <c r="B111" s="662">
        <v>10682</v>
      </c>
      <c r="C111" s="662"/>
      <c r="D111" s="662" t="s">
        <v>1317</v>
      </c>
      <c r="E111" s="290" t="s">
        <v>6905</v>
      </c>
      <c r="F111" s="13"/>
      <c r="G111" s="13" t="s">
        <v>191</v>
      </c>
      <c r="H111" s="340" t="s">
        <v>191</v>
      </c>
      <c r="I111" s="674">
        <f>L111+K111+J111</f>
        <v>20.9</v>
      </c>
      <c r="J111" s="674">
        <f>SUM(M111:R111)</f>
        <v>20.9</v>
      </c>
      <c r="K111" s="553"/>
      <c r="L111" s="553"/>
      <c r="M111" s="552"/>
      <c r="N111" s="552">
        <f>SUM(N112:N114)</f>
        <v>16.152999999999999</v>
      </c>
      <c r="O111" s="555"/>
      <c r="P111" s="552"/>
      <c r="Q111" s="860">
        <f>SUM(Q112:Q114)</f>
        <v>4.7469999999999999</v>
      </c>
      <c r="R111" s="870"/>
      <c r="S111" s="328">
        <v>2</v>
      </c>
      <c r="T111" s="329">
        <v>88.4</v>
      </c>
      <c r="U111" s="330"/>
      <c r="V111" s="330"/>
      <c r="W111" s="328">
        <v>38</v>
      </c>
      <c r="X111" s="328">
        <v>527.1</v>
      </c>
      <c r="Y111" s="328">
        <v>15</v>
      </c>
      <c r="Z111" s="663">
        <v>165</v>
      </c>
      <c r="AB111" s="3">
        <v>1</v>
      </c>
      <c r="AE111" s="2461"/>
      <c r="AF111" s="68"/>
    </row>
    <row r="112" spans="1:32" x14ac:dyDescent="0.35">
      <c r="A112" s="658"/>
      <c r="B112" s="662">
        <v>10682</v>
      </c>
      <c r="C112" s="662"/>
      <c r="D112" s="659"/>
      <c r="E112" s="291" t="s">
        <v>3663</v>
      </c>
      <c r="F112" s="13">
        <v>4</v>
      </c>
      <c r="G112" s="13">
        <v>4</v>
      </c>
      <c r="H112" s="340">
        <v>6</v>
      </c>
      <c r="I112" s="572"/>
      <c r="J112" s="573"/>
      <c r="K112" s="573"/>
      <c r="L112" s="573"/>
      <c r="M112" s="573"/>
      <c r="N112" s="572">
        <v>8.4870000000000001</v>
      </c>
      <c r="O112" s="551"/>
      <c r="P112" s="573"/>
      <c r="Q112" s="865"/>
      <c r="R112" s="875"/>
      <c r="S112" s="72"/>
      <c r="T112" s="334"/>
      <c r="U112" s="72"/>
      <c r="V112" s="72"/>
      <c r="W112" s="72"/>
      <c r="X112" s="72"/>
      <c r="Y112" s="72"/>
      <c r="Z112" s="660"/>
      <c r="AE112" s="2461"/>
      <c r="AF112" s="68"/>
    </row>
    <row r="113" spans="1:32" x14ac:dyDescent="0.35">
      <c r="A113" s="658"/>
      <c r="B113" s="662">
        <v>10682</v>
      </c>
      <c r="C113" s="662"/>
      <c r="D113" s="659"/>
      <c r="E113" s="837" t="s">
        <v>3664</v>
      </c>
      <c r="F113" s="13">
        <v>4</v>
      </c>
      <c r="G113" s="13">
        <v>4</v>
      </c>
      <c r="H113" s="340">
        <v>6</v>
      </c>
      <c r="I113" s="572"/>
      <c r="J113" s="573"/>
      <c r="K113" s="573"/>
      <c r="L113" s="573"/>
      <c r="M113" s="573"/>
      <c r="N113" s="573"/>
      <c r="O113" s="551"/>
      <c r="P113" s="573"/>
      <c r="Q113" s="863">
        <f>13.234-8.487</f>
        <v>4.7469999999999999</v>
      </c>
      <c r="R113" s="875"/>
      <c r="S113" s="72"/>
      <c r="T113" s="334"/>
      <c r="U113" s="72"/>
      <c r="V113" s="72"/>
      <c r="W113" s="72"/>
      <c r="X113" s="72"/>
      <c r="Y113" s="72"/>
      <c r="Z113" s="660"/>
      <c r="AE113" s="2461"/>
      <c r="AF113" s="68"/>
    </row>
    <row r="114" spans="1:32" x14ac:dyDescent="0.35">
      <c r="A114" s="658"/>
      <c r="B114" s="662">
        <v>10682</v>
      </c>
      <c r="C114" s="662"/>
      <c r="D114" s="659"/>
      <c r="E114" s="291" t="s">
        <v>866</v>
      </c>
      <c r="F114" s="13">
        <v>4</v>
      </c>
      <c r="G114" s="13">
        <v>4</v>
      </c>
      <c r="H114" s="340">
        <v>6</v>
      </c>
      <c r="I114" s="676"/>
      <c r="J114" s="1124"/>
      <c r="K114" s="573"/>
      <c r="L114" s="573"/>
      <c r="M114" s="573"/>
      <c r="N114" s="573">
        <f>20.9-13.234</f>
        <v>7.6659999999999986</v>
      </c>
      <c r="O114" s="551"/>
      <c r="P114" s="573"/>
      <c r="Q114" s="865"/>
      <c r="R114" s="873"/>
      <c r="S114" s="72"/>
      <c r="T114" s="334"/>
      <c r="U114" s="72"/>
      <c r="V114" s="72"/>
      <c r="W114" s="72"/>
      <c r="X114" s="72"/>
      <c r="Y114" s="72"/>
      <c r="Z114" s="660"/>
      <c r="AE114" s="2461"/>
      <c r="AF114" s="68"/>
    </row>
    <row r="115" spans="1:32" ht="45.5" x14ac:dyDescent="0.35">
      <c r="A115" s="661">
        <v>34</v>
      </c>
      <c r="B115" s="662">
        <v>10682</v>
      </c>
      <c r="C115" s="662"/>
      <c r="D115" s="2468" t="s">
        <v>4947</v>
      </c>
      <c r="E115" s="290" t="s">
        <v>7735</v>
      </c>
      <c r="F115" s="13" t="s">
        <v>1490</v>
      </c>
      <c r="G115" s="13">
        <v>5</v>
      </c>
      <c r="H115" s="13">
        <v>6</v>
      </c>
      <c r="I115" s="552">
        <f>L115+K115+J115</f>
        <v>1.3</v>
      </c>
      <c r="J115" s="552">
        <f>SUM(M115:R115)</f>
        <v>1.3</v>
      </c>
      <c r="K115" s="553"/>
      <c r="L115" s="553"/>
      <c r="M115" s="552"/>
      <c r="N115" s="552"/>
      <c r="O115" s="555"/>
      <c r="P115" s="552"/>
      <c r="Q115" s="860"/>
      <c r="R115" s="870">
        <v>1.3</v>
      </c>
      <c r="S115" s="330"/>
      <c r="T115" s="331"/>
      <c r="U115" s="330"/>
      <c r="V115" s="330"/>
      <c r="W115" s="330"/>
      <c r="X115" s="330"/>
      <c r="Y115" s="330"/>
      <c r="Z115" s="663"/>
      <c r="AB115" s="3">
        <v>1</v>
      </c>
      <c r="AC115" s="3" t="s">
        <v>2570</v>
      </c>
      <c r="AE115" s="2461"/>
      <c r="AF115" s="68"/>
    </row>
    <row r="116" spans="1:32" ht="60.5" x14ac:dyDescent="0.35">
      <c r="A116" s="1823">
        <v>35</v>
      </c>
      <c r="B116" s="826">
        <v>10682</v>
      </c>
      <c r="C116" s="826" t="s">
        <v>1656</v>
      </c>
      <c r="D116" s="2468" t="s">
        <v>4948</v>
      </c>
      <c r="E116" s="511" t="s">
        <v>8525</v>
      </c>
      <c r="F116" s="1944" t="s">
        <v>664</v>
      </c>
      <c r="G116" s="13">
        <v>5</v>
      </c>
      <c r="H116" s="13">
        <v>6</v>
      </c>
      <c r="I116" s="297">
        <f>J116+K116+L116</f>
        <v>0.1</v>
      </c>
      <c r="J116" s="297">
        <f>SUM(M116:R116)</f>
        <v>0.1</v>
      </c>
      <c r="K116" s="573"/>
      <c r="L116" s="573"/>
      <c r="M116" s="503"/>
      <c r="N116" s="503"/>
      <c r="O116" s="570"/>
      <c r="P116" s="503"/>
      <c r="Q116" s="1856"/>
      <c r="R116" s="2098">
        <v>0.1</v>
      </c>
      <c r="S116" s="72"/>
      <c r="T116" s="334"/>
      <c r="U116" s="72"/>
      <c r="V116" s="72"/>
      <c r="W116" s="72"/>
      <c r="X116" s="72"/>
      <c r="Y116" s="72"/>
      <c r="Z116" s="2375"/>
      <c r="AA116" s="3" t="s">
        <v>2399</v>
      </c>
      <c r="AB116" s="3">
        <v>1</v>
      </c>
      <c r="AE116" s="2461"/>
      <c r="AF116" s="68"/>
    </row>
    <row r="117" spans="1:32" ht="45.5" x14ac:dyDescent="0.35">
      <c r="A117" s="661">
        <v>36</v>
      </c>
      <c r="B117" s="662">
        <v>10682</v>
      </c>
      <c r="C117" s="662"/>
      <c r="D117" s="2468" t="s">
        <v>4949</v>
      </c>
      <c r="E117" s="290" t="s">
        <v>7736</v>
      </c>
      <c r="F117" s="13" t="s">
        <v>664</v>
      </c>
      <c r="G117" s="13">
        <v>5</v>
      </c>
      <c r="H117" s="13">
        <v>6</v>
      </c>
      <c r="I117" s="552">
        <f>L117+K117+J117</f>
        <v>1.5</v>
      </c>
      <c r="J117" s="552">
        <f>SUM(M117:R117)</f>
        <v>1.5</v>
      </c>
      <c r="K117" s="553"/>
      <c r="L117" s="553"/>
      <c r="M117" s="552"/>
      <c r="N117" s="552"/>
      <c r="O117" s="555"/>
      <c r="P117" s="552"/>
      <c r="Q117" s="860"/>
      <c r="R117" s="870">
        <v>1.5</v>
      </c>
      <c r="S117" s="330"/>
      <c r="T117" s="331"/>
      <c r="U117" s="330"/>
      <c r="V117" s="330"/>
      <c r="W117" s="330"/>
      <c r="X117" s="330"/>
      <c r="Y117" s="330"/>
      <c r="Z117" s="663"/>
      <c r="AB117" s="3">
        <v>1</v>
      </c>
      <c r="AE117" s="2461"/>
      <c r="AF117" s="68"/>
    </row>
    <row r="118" spans="1:32" ht="45.5" x14ac:dyDescent="0.35">
      <c r="A118" s="1823">
        <v>37</v>
      </c>
      <c r="B118" s="662">
        <v>10682</v>
      </c>
      <c r="C118" s="662"/>
      <c r="D118" s="2468" t="s">
        <v>4950</v>
      </c>
      <c r="E118" s="290" t="s">
        <v>7737</v>
      </c>
      <c r="F118" s="13"/>
      <c r="G118" s="13" t="s">
        <v>191</v>
      </c>
      <c r="H118" s="340" t="s">
        <v>191</v>
      </c>
      <c r="I118" s="674">
        <f>L118+K118+J118</f>
        <v>2</v>
      </c>
      <c r="J118" s="674">
        <f>SUM(M118:R118)</f>
        <v>2</v>
      </c>
      <c r="K118" s="553"/>
      <c r="L118" s="553"/>
      <c r="M118" s="552"/>
      <c r="N118" s="552">
        <f>SUM(N119:N120)</f>
        <v>0.7</v>
      </c>
      <c r="O118" s="555"/>
      <c r="P118" s="552"/>
      <c r="Q118" s="860"/>
      <c r="R118" s="870">
        <f>SUM(R119:R120)</f>
        <v>1.3</v>
      </c>
      <c r="S118" s="330"/>
      <c r="T118" s="331"/>
      <c r="U118" s="330"/>
      <c r="V118" s="330"/>
      <c r="W118" s="330"/>
      <c r="X118" s="330"/>
      <c r="Y118" s="330"/>
      <c r="Z118" s="663"/>
      <c r="AB118" s="3">
        <v>1</v>
      </c>
      <c r="AD118" s="2100">
        <v>33416</v>
      </c>
      <c r="AE118" s="2461"/>
      <c r="AF118" s="68"/>
    </row>
    <row r="119" spans="1:32" x14ac:dyDescent="0.35">
      <c r="A119" s="661"/>
      <c r="B119" s="662">
        <v>10682</v>
      </c>
      <c r="C119" s="662"/>
      <c r="D119" s="662"/>
      <c r="E119" s="291" t="s">
        <v>2585</v>
      </c>
      <c r="F119" s="13">
        <v>5</v>
      </c>
      <c r="G119" s="13">
        <v>5</v>
      </c>
      <c r="H119" s="340">
        <v>6</v>
      </c>
      <c r="I119" s="674"/>
      <c r="J119" s="674"/>
      <c r="K119" s="553"/>
      <c r="L119" s="553"/>
      <c r="M119" s="552"/>
      <c r="N119" s="572">
        <v>0.7</v>
      </c>
      <c r="O119" s="555"/>
      <c r="P119" s="552"/>
      <c r="Q119" s="860"/>
      <c r="R119" s="870"/>
      <c r="S119" s="330"/>
      <c r="T119" s="331"/>
      <c r="U119" s="330"/>
      <c r="V119" s="330"/>
      <c r="W119" s="330"/>
      <c r="X119" s="330"/>
      <c r="Y119" s="330"/>
      <c r="Z119" s="663"/>
      <c r="AE119" s="2461"/>
      <c r="AF119" s="68"/>
    </row>
    <row r="120" spans="1:32" x14ac:dyDescent="0.35">
      <c r="A120" s="661"/>
      <c r="B120" s="662">
        <v>10682</v>
      </c>
      <c r="C120" s="662"/>
      <c r="D120" s="662"/>
      <c r="E120" s="838" t="s">
        <v>1065</v>
      </c>
      <c r="F120" s="13" t="s">
        <v>827</v>
      </c>
      <c r="G120" s="13">
        <v>5</v>
      </c>
      <c r="H120" s="13">
        <v>6</v>
      </c>
      <c r="I120" s="674"/>
      <c r="J120" s="674"/>
      <c r="K120" s="553"/>
      <c r="L120" s="553"/>
      <c r="M120" s="552"/>
      <c r="N120" s="552"/>
      <c r="O120" s="555"/>
      <c r="P120" s="552"/>
      <c r="Q120" s="860"/>
      <c r="R120" s="873">
        <v>1.3</v>
      </c>
      <c r="S120" s="330"/>
      <c r="T120" s="331"/>
      <c r="U120" s="330"/>
      <c r="V120" s="330"/>
      <c r="W120" s="330"/>
      <c r="X120" s="330"/>
      <c r="Y120" s="330"/>
      <c r="Z120" s="663"/>
      <c r="AE120" s="2461"/>
      <c r="AF120" s="68"/>
    </row>
    <row r="121" spans="1:32" ht="60.5" x14ac:dyDescent="0.35">
      <c r="A121" s="1823">
        <v>38</v>
      </c>
      <c r="B121" s="826">
        <v>10682</v>
      </c>
      <c r="C121" s="826" t="s">
        <v>1656</v>
      </c>
      <c r="D121" s="2468" t="s">
        <v>4951</v>
      </c>
      <c r="E121" s="511" t="s">
        <v>8526</v>
      </c>
      <c r="F121" s="1944" t="s">
        <v>664</v>
      </c>
      <c r="G121" s="13">
        <v>5</v>
      </c>
      <c r="H121" s="13">
        <v>6</v>
      </c>
      <c r="I121" s="297">
        <f>J121+K121+L121</f>
        <v>0.1</v>
      </c>
      <c r="J121" s="297">
        <f>SUM(M121:R121)</f>
        <v>0.1</v>
      </c>
      <c r="K121" s="573"/>
      <c r="L121" s="573"/>
      <c r="M121" s="503"/>
      <c r="N121" s="501"/>
      <c r="O121" s="570"/>
      <c r="P121" s="503"/>
      <c r="Q121" s="2099"/>
      <c r="R121" s="2098">
        <v>0.1</v>
      </c>
      <c r="S121" s="72"/>
      <c r="T121" s="334"/>
      <c r="U121" s="72"/>
      <c r="V121" s="72"/>
      <c r="W121" s="72"/>
      <c r="X121" s="72"/>
      <c r="Y121" s="72"/>
      <c r="Z121" s="2375"/>
      <c r="AA121" s="3" t="s">
        <v>967</v>
      </c>
      <c r="AB121" s="3">
        <v>1</v>
      </c>
      <c r="AE121" s="2461"/>
      <c r="AF121" s="68"/>
    </row>
    <row r="122" spans="1:32" ht="45.5" x14ac:dyDescent="0.35">
      <c r="A122" s="1823">
        <v>39</v>
      </c>
      <c r="B122" s="826">
        <v>10682</v>
      </c>
      <c r="C122" s="826" t="s">
        <v>1656</v>
      </c>
      <c r="D122" s="2468" t="s">
        <v>4952</v>
      </c>
      <c r="E122" s="511" t="s">
        <v>8527</v>
      </c>
      <c r="F122" s="1138" t="s">
        <v>664</v>
      </c>
      <c r="G122" s="13">
        <v>5</v>
      </c>
      <c r="H122" s="13">
        <v>6</v>
      </c>
      <c r="I122" s="297">
        <f>J122+K122+L122</f>
        <v>0.1</v>
      </c>
      <c r="J122" s="297">
        <f>SUM(M122:R122)</f>
        <v>0.1</v>
      </c>
      <c r="K122" s="553"/>
      <c r="L122" s="553"/>
      <c r="M122" s="501"/>
      <c r="N122" s="501"/>
      <c r="O122" s="568"/>
      <c r="P122" s="501"/>
      <c r="Q122" s="1856"/>
      <c r="R122" s="1865">
        <v>0.1</v>
      </c>
      <c r="S122" s="330"/>
      <c r="T122" s="331"/>
      <c r="U122" s="330"/>
      <c r="V122" s="330"/>
      <c r="W122" s="330"/>
      <c r="X122" s="330"/>
      <c r="Y122" s="330"/>
      <c r="Z122" s="2376"/>
      <c r="AA122" s="3" t="s">
        <v>1564</v>
      </c>
      <c r="AB122" s="3">
        <v>1</v>
      </c>
      <c r="AE122" s="2461"/>
      <c r="AF122" s="68"/>
    </row>
    <row r="123" spans="1:32" ht="30.5" x14ac:dyDescent="0.35">
      <c r="A123" s="661">
        <v>40</v>
      </c>
      <c r="B123" s="662">
        <v>10683</v>
      </c>
      <c r="C123" s="662"/>
      <c r="D123" s="662" t="s">
        <v>1318</v>
      </c>
      <c r="E123" s="290" t="s">
        <v>1422</v>
      </c>
      <c r="F123" s="13"/>
      <c r="G123" s="13" t="s">
        <v>191</v>
      </c>
      <c r="H123" s="340" t="s">
        <v>191</v>
      </c>
      <c r="I123" s="552">
        <f>L123+K123+J123</f>
        <v>18.160000000000004</v>
      </c>
      <c r="J123" s="552">
        <f>SUM(M123:R123)</f>
        <v>18.160000000000004</v>
      </c>
      <c r="K123" s="553"/>
      <c r="L123" s="553"/>
      <c r="M123" s="552"/>
      <c r="N123" s="552">
        <f>SUM(N124:N130)</f>
        <v>10.040000000000001</v>
      </c>
      <c r="O123" s="555"/>
      <c r="P123" s="552"/>
      <c r="Q123" s="860">
        <f>SUM(Q124:Q130)</f>
        <v>8.120000000000001</v>
      </c>
      <c r="R123" s="870"/>
      <c r="S123" s="328">
        <v>2</v>
      </c>
      <c r="T123" s="329">
        <v>28.4</v>
      </c>
      <c r="U123" s="330"/>
      <c r="V123" s="330"/>
      <c r="W123" s="328">
        <v>34</v>
      </c>
      <c r="X123" s="328">
        <v>588.15</v>
      </c>
      <c r="Y123" s="328">
        <v>3</v>
      </c>
      <c r="Z123" s="663">
        <v>35</v>
      </c>
      <c r="AB123" s="3">
        <v>1</v>
      </c>
      <c r="AE123" s="2461"/>
      <c r="AF123" s="68"/>
    </row>
    <row r="124" spans="1:32" x14ac:dyDescent="0.35">
      <c r="A124" s="658"/>
      <c r="B124" s="662">
        <v>10683</v>
      </c>
      <c r="C124" s="662"/>
      <c r="D124" s="659"/>
      <c r="E124" s="291" t="s">
        <v>1423</v>
      </c>
      <c r="F124" s="13">
        <v>4</v>
      </c>
      <c r="G124" s="13">
        <v>4</v>
      </c>
      <c r="H124" s="340">
        <v>6</v>
      </c>
      <c r="I124" s="572"/>
      <c r="J124" s="573"/>
      <c r="K124" s="573"/>
      <c r="L124" s="573"/>
      <c r="M124" s="573"/>
      <c r="N124" s="572">
        <v>7.8</v>
      </c>
      <c r="O124" s="551"/>
      <c r="P124" s="573"/>
      <c r="Q124" s="865"/>
      <c r="R124" s="875"/>
      <c r="S124" s="72"/>
      <c r="T124" s="334"/>
      <c r="U124" s="72"/>
      <c r="V124" s="72"/>
      <c r="W124" s="72"/>
      <c r="X124" s="72"/>
      <c r="Y124" s="72"/>
      <c r="Z124" s="660"/>
      <c r="AC124" s="3" t="s">
        <v>1638</v>
      </c>
      <c r="AE124" s="2461"/>
      <c r="AF124" s="68"/>
    </row>
    <row r="125" spans="1:32" x14ac:dyDescent="0.35">
      <c r="A125" s="658"/>
      <c r="B125" s="662">
        <v>10683</v>
      </c>
      <c r="C125" s="662"/>
      <c r="D125" s="659"/>
      <c r="E125" s="837" t="s">
        <v>11145</v>
      </c>
      <c r="F125" s="13">
        <v>4</v>
      </c>
      <c r="G125" s="13">
        <v>4</v>
      </c>
      <c r="H125" s="340">
        <v>6</v>
      </c>
      <c r="I125" s="572"/>
      <c r="J125" s="573"/>
      <c r="K125" s="573"/>
      <c r="L125" s="573"/>
      <c r="M125" s="573"/>
      <c r="N125" s="573"/>
      <c r="O125" s="551"/>
      <c r="P125" s="573"/>
      <c r="Q125" s="863">
        <f>11-7.8</f>
        <v>3.2</v>
      </c>
      <c r="R125" s="875"/>
      <c r="S125" s="72"/>
      <c r="T125" s="334"/>
      <c r="U125" s="72"/>
      <c r="V125" s="72"/>
      <c r="W125" s="72"/>
      <c r="X125" s="72"/>
      <c r="Y125" s="72"/>
      <c r="Z125" s="660"/>
      <c r="AE125" s="2461"/>
      <c r="AF125" s="68"/>
    </row>
    <row r="126" spans="1:32" x14ac:dyDescent="0.35">
      <c r="A126" s="658"/>
      <c r="B126" s="662">
        <v>10683</v>
      </c>
      <c r="C126" s="662"/>
      <c r="D126" s="659"/>
      <c r="E126" s="534" t="s">
        <v>11184</v>
      </c>
      <c r="F126" s="337">
        <v>4</v>
      </c>
      <c r="G126" s="337">
        <v>4</v>
      </c>
      <c r="H126" s="2520">
        <v>6</v>
      </c>
      <c r="I126" s="2802"/>
      <c r="J126" s="2803"/>
      <c r="K126" s="2740"/>
      <c r="L126" s="2740"/>
      <c r="M126" s="2740"/>
      <c r="N126" s="780">
        <f>11.3-11</f>
        <v>0.30000000000000071</v>
      </c>
      <c r="O126" s="551"/>
      <c r="P126" s="573"/>
      <c r="Q126" s="865"/>
      <c r="R126" s="875"/>
      <c r="S126" s="72"/>
      <c r="T126" s="334"/>
      <c r="U126" s="72"/>
      <c r="V126" s="72"/>
      <c r="W126" s="72"/>
      <c r="X126" s="72"/>
      <c r="Y126" s="72"/>
      <c r="Z126" s="660"/>
      <c r="AE126" s="2461"/>
      <c r="AF126" s="68"/>
    </row>
    <row r="127" spans="1:32" x14ac:dyDescent="0.35">
      <c r="A127" s="658"/>
      <c r="B127" s="662">
        <v>10683</v>
      </c>
      <c r="C127" s="662"/>
      <c r="D127" s="659"/>
      <c r="E127" s="837" t="s">
        <v>2507</v>
      </c>
      <c r="F127" s="13">
        <v>4</v>
      </c>
      <c r="G127" s="13">
        <v>4</v>
      </c>
      <c r="H127" s="340">
        <v>6</v>
      </c>
      <c r="I127" s="572"/>
      <c r="J127" s="573"/>
      <c r="K127" s="573"/>
      <c r="L127" s="573"/>
      <c r="M127" s="573"/>
      <c r="N127" s="573"/>
      <c r="O127" s="551"/>
      <c r="P127" s="573"/>
      <c r="Q127" s="863">
        <v>0.68</v>
      </c>
      <c r="R127" s="875"/>
      <c r="S127" s="72"/>
      <c r="T127" s="334"/>
      <c r="U127" s="72"/>
      <c r="V127" s="72"/>
      <c r="W127" s="72"/>
      <c r="X127" s="72"/>
      <c r="Y127" s="72"/>
      <c r="Z127" s="660"/>
      <c r="AE127" s="2461"/>
      <c r="AF127" s="68"/>
    </row>
    <row r="128" spans="1:32" x14ac:dyDescent="0.35">
      <c r="A128" s="658"/>
      <c r="B128" s="662">
        <v>10683</v>
      </c>
      <c r="C128" s="662"/>
      <c r="D128" s="659"/>
      <c r="E128" s="291" t="s">
        <v>2508</v>
      </c>
      <c r="F128" s="13">
        <v>4</v>
      </c>
      <c r="G128" s="13">
        <v>4</v>
      </c>
      <c r="H128" s="340">
        <v>6</v>
      </c>
      <c r="I128" s="572"/>
      <c r="J128" s="573"/>
      <c r="K128" s="573"/>
      <c r="L128" s="573"/>
      <c r="M128" s="573"/>
      <c r="N128" s="572">
        <v>1.02</v>
      </c>
      <c r="O128" s="551"/>
      <c r="P128" s="573"/>
      <c r="Q128" s="865"/>
      <c r="R128" s="875"/>
      <c r="S128" s="72"/>
      <c r="T128" s="334"/>
      <c r="U128" s="72"/>
      <c r="V128" s="72"/>
      <c r="W128" s="72"/>
      <c r="X128" s="72"/>
      <c r="Y128" s="72"/>
      <c r="Z128" s="660"/>
      <c r="AE128" s="2461"/>
      <c r="AF128" s="68"/>
    </row>
    <row r="129" spans="1:32" x14ac:dyDescent="0.35">
      <c r="A129" s="658"/>
      <c r="B129" s="662">
        <v>10683</v>
      </c>
      <c r="C129" s="662"/>
      <c r="D129" s="659"/>
      <c r="E129" s="837" t="s">
        <v>2509</v>
      </c>
      <c r="F129" s="13">
        <v>4</v>
      </c>
      <c r="G129" s="13">
        <v>4</v>
      </c>
      <c r="H129" s="340">
        <v>6</v>
      </c>
      <c r="I129" s="572"/>
      <c r="J129" s="573"/>
      <c r="K129" s="573"/>
      <c r="L129" s="573"/>
      <c r="M129" s="573"/>
      <c r="N129" s="573"/>
      <c r="O129" s="551"/>
      <c r="P129" s="573"/>
      <c r="Q129" s="863">
        <v>4.24</v>
      </c>
      <c r="R129" s="875"/>
      <c r="S129" s="72"/>
      <c r="T129" s="334"/>
      <c r="U129" s="72"/>
      <c r="V129" s="72"/>
      <c r="W129" s="72"/>
      <c r="X129" s="72"/>
      <c r="Y129" s="72"/>
      <c r="Z129" s="660"/>
      <c r="AE129" s="2461"/>
      <c r="AF129" s="68"/>
    </row>
    <row r="130" spans="1:32" x14ac:dyDescent="0.35">
      <c r="A130" s="658"/>
      <c r="B130" s="662">
        <v>10683</v>
      </c>
      <c r="C130" s="662"/>
      <c r="D130" s="659"/>
      <c r="E130" s="291" t="s">
        <v>2510</v>
      </c>
      <c r="F130" s="13">
        <v>4</v>
      </c>
      <c r="G130" s="13">
        <v>4</v>
      </c>
      <c r="H130" s="340">
        <v>6</v>
      </c>
      <c r="I130" s="676"/>
      <c r="J130" s="1124"/>
      <c r="K130" s="573"/>
      <c r="L130" s="573"/>
      <c r="M130" s="573"/>
      <c r="N130" s="572">
        <v>0.92</v>
      </c>
      <c r="O130" s="551"/>
      <c r="P130" s="573"/>
      <c r="Q130" s="865"/>
      <c r="R130" s="875"/>
      <c r="S130" s="72"/>
      <c r="T130" s="334"/>
      <c r="U130" s="72"/>
      <c r="V130" s="72"/>
      <c r="W130" s="72"/>
      <c r="X130" s="72"/>
      <c r="Y130" s="72"/>
      <c r="Z130" s="660"/>
      <c r="AD130" s="2100">
        <v>33416</v>
      </c>
      <c r="AE130" s="2461"/>
      <c r="AF130" s="68"/>
    </row>
    <row r="131" spans="1:32" ht="45.5" x14ac:dyDescent="0.35">
      <c r="A131" s="661">
        <v>41</v>
      </c>
      <c r="B131" s="662">
        <v>10683</v>
      </c>
      <c r="C131" s="662"/>
      <c r="D131" s="2468" t="s">
        <v>4953</v>
      </c>
      <c r="E131" s="290" t="s">
        <v>7738</v>
      </c>
      <c r="F131" s="13"/>
      <c r="G131" s="13" t="s">
        <v>191</v>
      </c>
      <c r="H131" s="340" t="s">
        <v>191</v>
      </c>
      <c r="I131" s="552">
        <f>L131+K131+J131</f>
        <v>4.16</v>
      </c>
      <c r="J131" s="552">
        <f>SUM(M131:R131)</f>
        <v>4.16</v>
      </c>
      <c r="K131" s="553"/>
      <c r="L131" s="553"/>
      <c r="M131" s="552"/>
      <c r="N131" s="552">
        <f>SUM(N132:N133)</f>
        <v>1</v>
      </c>
      <c r="O131" s="555"/>
      <c r="P131" s="552"/>
      <c r="Q131" s="860">
        <f>SUM(Q132:Q133)</f>
        <v>3.16</v>
      </c>
      <c r="R131" s="870"/>
      <c r="S131" s="330"/>
      <c r="T131" s="331"/>
      <c r="U131" s="330"/>
      <c r="V131" s="330"/>
      <c r="W131" s="328">
        <v>11</v>
      </c>
      <c r="X131" s="328">
        <v>119.1</v>
      </c>
      <c r="Y131" s="328">
        <v>5</v>
      </c>
      <c r="Z131" s="663">
        <v>51.5</v>
      </c>
      <c r="AB131" s="3">
        <v>1</v>
      </c>
      <c r="AD131" s="2100"/>
      <c r="AE131" s="2461"/>
      <c r="AF131" s="68"/>
    </row>
    <row r="132" spans="1:32" x14ac:dyDescent="0.35">
      <c r="A132" s="658"/>
      <c r="B132" s="662">
        <v>10683</v>
      </c>
      <c r="C132" s="662"/>
      <c r="D132" s="659"/>
      <c r="E132" s="291" t="s">
        <v>2628</v>
      </c>
      <c r="F132" s="13">
        <v>4</v>
      </c>
      <c r="G132" s="13">
        <v>5</v>
      </c>
      <c r="H132" s="340">
        <v>6</v>
      </c>
      <c r="I132" s="572"/>
      <c r="J132" s="573"/>
      <c r="K132" s="573"/>
      <c r="L132" s="573"/>
      <c r="M132" s="573"/>
      <c r="N132" s="572">
        <v>1</v>
      </c>
      <c r="O132" s="551"/>
      <c r="P132" s="573"/>
      <c r="Q132" s="865"/>
      <c r="R132" s="875"/>
      <c r="S132" s="72"/>
      <c r="T132" s="334"/>
      <c r="U132" s="72"/>
      <c r="V132" s="72"/>
      <c r="W132" s="72"/>
      <c r="X132" s="72"/>
      <c r="Y132" s="72"/>
      <c r="Z132" s="660"/>
      <c r="AD132" s="2100"/>
      <c r="AE132" s="2461"/>
      <c r="AF132" s="68"/>
    </row>
    <row r="133" spans="1:32" x14ac:dyDescent="0.35">
      <c r="A133" s="658"/>
      <c r="B133" s="662">
        <v>10683</v>
      </c>
      <c r="C133" s="662"/>
      <c r="D133" s="659"/>
      <c r="E133" s="837" t="s">
        <v>2767</v>
      </c>
      <c r="F133" s="13">
        <v>4</v>
      </c>
      <c r="G133" s="13">
        <v>5</v>
      </c>
      <c r="H133" s="340">
        <v>6</v>
      </c>
      <c r="I133" s="676"/>
      <c r="J133" s="1124"/>
      <c r="K133" s="573"/>
      <c r="L133" s="573"/>
      <c r="M133" s="573"/>
      <c r="N133" s="573"/>
      <c r="O133" s="551"/>
      <c r="P133" s="573"/>
      <c r="Q133" s="863">
        <f>4.16-1</f>
        <v>3.16</v>
      </c>
      <c r="R133" s="875"/>
      <c r="S133" s="72"/>
      <c r="T133" s="334"/>
      <c r="U133" s="72"/>
      <c r="V133" s="72"/>
      <c r="W133" s="72"/>
      <c r="X133" s="72"/>
      <c r="Y133" s="72"/>
      <c r="Z133" s="660"/>
      <c r="AE133" s="2461"/>
      <c r="AF133" s="68"/>
    </row>
    <row r="134" spans="1:32" ht="75.5" x14ac:dyDescent="0.35">
      <c r="A134" s="1823">
        <v>42</v>
      </c>
      <c r="B134" s="826">
        <v>10683</v>
      </c>
      <c r="C134" s="826" t="s">
        <v>1656</v>
      </c>
      <c r="D134" s="2468" t="s">
        <v>4954</v>
      </c>
      <c r="E134" s="511" t="s">
        <v>8528</v>
      </c>
      <c r="F134" s="1944" t="s">
        <v>664</v>
      </c>
      <c r="G134" s="13">
        <v>5</v>
      </c>
      <c r="H134" s="13">
        <v>6</v>
      </c>
      <c r="I134" s="297">
        <f>J134+K134+L134</f>
        <v>1.06</v>
      </c>
      <c r="J134" s="297">
        <f>SUM(M134:R134)</f>
        <v>1.06</v>
      </c>
      <c r="K134" s="573"/>
      <c r="L134" s="573"/>
      <c r="M134" s="503"/>
      <c r="N134" s="501"/>
      <c r="O134" s="570"/>
      <c r="P134" s="503"/>
      <c r="Q134" s="2099"/>
      <c r="R134" s="2098">
        <v>1.06</v>
      </c>
      <c r="S134" s="72"/>
      <c r="T134" s="334"/>
      <c r="U134" s="72"/>
      <c r="V134" s="72"/>
      <c r="W134" s="72"/>
      <c r="X134" s="72"/>
      <c r="Y134" s="72"/>
      <c r="Z134" s="2375"/>
      <c r="AA134" s="3" t="s">
        <v>2400</v>
      </c>
      <c r="AB134" s="3">
        <v>1</v>
      </c>
      <c r="AE134" s="2461"/>
      <c r="AF134" s="68"/>
    </row>
    <row r="135" spans="1:32" ht="45" x14ac:dyDescent="0.35">
      <c r="A135" s="1823">
        <v>43</v>
      </c>
      <c r="B135" s="693">
        <v>10683</v>
      </c>
      <c r="C135" s="826" t="s">
        <v>1656</v>
      </c>
      <c r="D135" s="2468" t="s">
        <v>4955</v>
      </c>
      <c r="E135" s="2187" t="s">
        <v>9261</v>
      </c>
      <c r="F135" s="92" t="s">
        <v>664</v>
      </c>
      <c r="G135" s="13">
        <v>5</v>
      </c>
      <c r="H135" s="13">
        <v>6</v>
      </c>
      <c r="I135" s="297">
        <f>J135+K135+L135</f>
        <v>0.2</v>
      </c>
      <c r="J135" s="297">
        <f>SUM(M135:R135)</f>
        <v>0.2</v>
      </c>
      <c r="K135" s="2088"/>
      <c r="L135" s="2088"/>
      <c r="M135" s="2088"/>
      <c r="N135" s="2088"/>
      <c r="O135" s="2088"/>
      <c r="P135" s="2088"/>
      <c r="Q135" s="2088"/>
      <c r="R135" s="906">
        <v>0.2</v>
      </c>
      <c r="S135" s="106"/>
      <c r="T135" s="106"/>
      <c r="U135" s="106"/>
      <c r="V135" s="106"/>
      <c r="W135" s="105"/>
      <c r="X135" s="105"/>
      <c r="Y135" s="105"/>
      <c r="Z135" s="105"/>
      <c r="AA135" s="3" t="s">
        <v>2251</v>
      </c>
      <c r="AB135" s="3">
        <v>1</v>
      </c>
      <c r="AE135" s="2461"/>
      <c r="AF135" s="68"/>
    </row>
    <row r="136" spans="1:32" ht="60" x14ac:dyDescent="0.35">
      <c r="A136" s="1823">
        <v>44</v>
      </c>
      <c r="B136" s="662">
        <v>10683</v>
      </c>
      <c r="C136" s="693"/>
      <c r="D136" s="2468" t="s">
        <v>4956</v>
      </c>
      <c r="E136" s="2187" t="s">
        <v>9844</v>
      </c>
      <c r="F136" s="92"/>
      <c r="G136" s="92" t="s">
        <v>191</v>
      </c>
      <c r="H136" s="13" t="s">
        <v>191</v>
      </c>
      <c r="I136" s="702">
        <f>J136+K136+L136</f>
        <v>2.2000000000000002</v>
      </c>
      <c r="J136" s="702">
        <f>SUM(M136:R136)</f>
        <v>2.2000000000000002</v>
      </c>
      <c r="K136" s="2208"/>
      <c r="L136" s="2208"/>
      <c r="M136" s="2208"/>
      <c r="N136" s="2208"/>
      <c r="O136" s="2208"/>
      <c r="P136" s="2208"/>
      <c r="Q136" s="2208"/>
      <c r="R136" s="906">
        <f>SUM(R137:R138)</f>
        <v>2.2000000000000002</v>
      </c>
      <c r="S136" s="106"/>
      <c r="T136" s="106"/>
      <c r="U136" s="106"/>
      <c r="V136" s="106"/>
      <c r="W136" s="105">
        <v>1</v>
      </c>
      <c r="X136" s="105">
        <v>7.5</v>
      </c>
      <c r="Y136" s="105"/>
      <c r="Z136" s="181"/>
      <c r="AB136" s="3">
        <v>1</v>
      </c>
      <c r="AC136" s="3" t="s">
        <v>1638</v>
      </c>
      <c r="AE136" s="2461"/>
      <c r="AF136" s="68"/>
    </row>
    <row r="137" spans="1:32" x14ac:dyDescent="0.35">
      <c r="A137" s="1823"/>
      <c r="B137" s="662">
        <v>10683</v>
      </c>
      <c r="C137" s="693"/>
      <c r="D137" s="693"/>
      <c r="E137" s="838" t="s">
        <v>3138</v>
      </c>
      <c r="F137" s="92" t="s">
        <v>1490</v>
      </c>
      <c r="G137" s="92">
        <v>5</v>
      </c>
      <c r="H137" s="13">
        <v>6</v>
      </c>
      <c r="I137" s="1150"/>
      <c r="J137" s="1150"/>
      <c r="K137" s="2208"/>
      <c r="L137" s="2208"/>
      <c r="M137" s="2208"/>
      <c r="N137" s="2208"/>
      <c r="O137" s="2208"/>
      <c r="P137" s="2208"/>
      <c r="Q137" s="2208"/>
      <c r="R137" s="907">
        <v>2</v>
      </c>
      <c r="S137" s="106"/>
      <c r="T137" s="106"/>
      <c r="U137" s="106"/>
      <c r="V137" s="106"/>
      <c r="W137" s="105"/>
      <c r="X137" s="105"/>
      <c r="Y137" s="105"/>
      <c r="Z137" s="2400"/>
      <c r="AC137" s="3" t="s">
        <v>2570</v>
      </c>
      <c r="AE137" s="2461"/>
      <c r="AF137" s="68"/>
    </row>
    <row r="138" spans="1:32" x14ac:dyDescent="0.35">
      <c r="A138" s="1823"/>
      <c r="B138" s="662">
        <v>10683</v>
      </c>
      <c r="C138" s="693"/>
      <c r="D138" s="693"/>
      <c r="E138" s="838" t="s">
        <v>1698</v>
      </c>
      <c r="F138" s="92" t="s">
        <v>1490</v>
      </c>
      <c r="G138" s="92">
        <v>5</v>
      </c>
      <c r="H138" s="13">
        <v>6</v>
      </c>
      <c r="I138" s="1150"/>
      <c r="J138" s="1150"/>
      <c r="K138" s="2208"/>
      <c r="L138" s="2208"/>
      <c r="M138" s="2208"/>
      <c r="N138" s="2208"/>
      <c r="O138" s="2208"/>
      <c r="P138" s="2208"/>
      <c r="Q138" s="2208"/>
      <c r="R138" s="907">
        <v>0.2</v>
      </c>
      <c r="S138" s="106"/>
      <c r="T138" s="106"/>
      <c r="U138" s="106"/>
      <c r="V138" s="106"/>
      <c r="W138" s="105"/>
      <c r="X138" s="105"/>
      <c r="Y138" s="105"/>
      <c r="Z138" s="2400"/>
      <c r="AE138" s="2461"/>
      <c r="AF138" s="68"/>
    </row>
    <row r="139" spans="1:32" ht="30" x14ac:dyDescent="0.35">
      <c r="A139" s="1823">
        <v>45</v>
      </c>
      <c r="B139" s="662">
        <v>10684</v>
      </c>
      <c r="C139" s="662"/>
      <c r="D139" s="662" t="s">
        <v>1319</v>
      </c>
      <c r="E139" s="290" t="s">
        <v>2768</v>
      </c>
      <c r="F139" s="13"/>
      <c r="G139" s="13" t="s">
        <v>191</v>
      </c>
      <c r="H139" s="340" t="s">
        <v>191</v>
      </c>
      <c r="I139" s="674">
        <f>L139+K139+J139</f>
        <v>8.86</v>
      </c>
      <c r="J139" s="674">
        <f>SUM(M139:R139)</f>
        <v>8.86</v>
      </c>
      <c r="K139" s="553"/>
      <c r="L139" s="553"/>
      <c r="M139" s="552"/>
      <c r="N139" s="552">
        <f>SUM(N140:N142)</f>
        <v>8.86</v>
      </c>
      <c r="O139" s="555"/>
      <c r="P139" s="552"/>
      <c r="Q139" s="860"/>
      <c r="R139" s="870"/>
      <c r="S139" s="328">
        <v>2</v>
      </c>
      <c r="T139" s="329">
        <v>30.9</v>
      </c>
      <c r="U139" s="330"/>
      <c r="V139" s="330"/>
      <c r="W139" s="328">
        <v>24</v>
      </c>
      <c r="X139" s="328">
        <v>359.5</v>
      </c>
      <c r="Y139" s="328">
        <v>13</v>
      </c>
      <c r="Z139" s="663">
        <v>156.6</v>
      </c>
      <c r="AB139" s="3">
        <v>1</v>
      </c>
      <c r="AE139" s="2461"/>
      <c r="AF139" s="68"/>
    </row>
    <row r="140" spans="1:32" x14ac:dyDescent="0.35">
      <c r="A140" s="2420"/>
      <c r="B140" s="662"/>
      <c r="C140" s="662"/>
      <c r="D140" s="662"/>
      <c r="E140" s="291" t="s">
        <v>1118</v>
      </c>
      <c r="F140" s="13">
        <v>4</v>
      </c>
      <c r="G140" s="13">
        <v>4</v>
      </c>
      <c r="H140" s="340">
        <v>6</v>
      </c>
      <c r="I140" s="566"/>
      <c r="J140" s="566"/>
      <c r="K140" s="504"/>
      <c r="L140" s="504"/>
      <c r="M140" s="502"/>
      <c r="N140" s="502">
        <v>0.22</v>
      </c>
      <c r="O140" s="555"/>
      <c r="P140" s="552"/>
      <c r="Q140" s="860"/>
      <c r="R140" s="870"/>
      <c r="S140" s="328"/>
      <c r="T140" s="329"/>
      <c r="U140" s="330"/>
      <c r="V140" s="330"/>
      <c r="W140" s="328"/>
      <c r="X140" s="328"/>
      <c r="Y140" s="328"/>
      <c r="Z140" s="2421"/>
      <c r="AE140" s="2461"/>
      <c r="AF140" s="68"/>
    </row>
    <row r="141" spans="1:32" x14ac:dyDescent="0.35">
      <c r="A141" s="2420"/>
      <c r="B141" s="662"/>
      <c r="C141" s="662"/>
      <c r="D141" s="662"/>
      <c r="E141" s="291" t="s">
        <v>133</v>
      </c>
      <c r="F141" s="13">
        <v>4</v>
      </c>
      <c r="G141" s="13">
        <v>4</v>
      </c>
      <c r="H141" s="340">
        <v>10</v>
      </c>
      <c r="I141" s="566"/>
      <c r="J141" s="566"/>
      <c r="K141" s="504"/>
      <c r="L141" s="504"/>
      <c r="M141" s="502"/>
      <c r="N141" s="502">
        <f>4.32-0.22</f>
        <v>4.1000000000000005</v>
      </c>
      <c r="O141" s="555"/>
      <c r="P141" s="552"/>
      <c r="Q141" s="860"/>
      <c r="R141" s="870"/>
      <c r="S141" s="328"/>
      <c r="T141" s="329"/>
      <c r="U141" s="330"/>
      <c r="V141" s="330"/>
      <c r="W141" s="328"/>
      <c r="X141" s="328"/>
      <c r="Y141" s="328"/>
      <c r="Z141" s="2421"/>
      <c r="AE141" s="2461"/>
      <c r="AF141" s="68"/>
    </row>
    <row r="142" spans="1:32" x14ac:dyDescent="0.35">
      <c r="A142" s="2420"/>
      <c r="B142" s="662"/>
      <c r="C142" s="662"/>
      <c r="D142" s="662"/>
      <c r="E142" s="291" t="s">
        <v>132</v>
      </c>
      <c r="F142" s="13">
        <v>4</v>
      </c>
      <c r="G142" s="13">
        <v>4</v>
      </c>
      <c r="H142" s="340">
        <v>6</v>
      </c>
      <c r="I142" s="566"/>
      <c r="J142" s="566"/>
      <c r="K142" s="504"/>
      <c r="L142" s="504"/>
      <c r="M142" s="502"/>
      <c r="N142" s="502">
        <f>8.86-4.32</f>
        <v>4.5399999999999991</v>
      </c>
      <c r="O142" s="555"/>
      <c r="P142" s="552"/>
      <c r="Q142" s="860"/>
      <c r="R142" s="870"/>
      <c r="S142" s="328"/>
      <c r="T142" s="329"/>
      <c r="U142" s="330"/>
      <c r="V142" s="330"/>
      <c r="W142" s="328"/>
      <c r="X142" s="328"/>
      <c r="Y142" s="328"/>
      <c r="Z142" s="2421"/>
      <c r="AE142" s="2461"/>
      <c r="AF142" s="68"/>
    </row>
    <row r="143" spans="1:32" ht="45" x14ac:dyDescent="0.35">
      <c r="A143" s="693">
        <v>46</v>
      </c>
      <c r="B143" s="693">
        <v>10684</v>
      </c>
      <c r="C143" s="693"/>
      <c r="D143" s="2468" t="s">
        <v>4957</v>
      </c>
      <c r="E143" s="2187" t="s">
        <v>9845</v>
      </c>
      <c r="F143" s="92" t="s">
        <v>827</v>
      </c>
      <c r="G143" s="92">
        <v>5</v>
      </c>
      <c r="H143" s="13">
        <v>6</v>
      </c>
      <c r="I143" s="702">
        <f>J143+K143+L143</f>
        <v>1.1000000000000001</v>
      </c>
      <c r="J143" s="702">
        <f>SUM(M143:R143)</f>
        <v>1.1000000000000001</v>
      </c>
      <c r="K143" s="106"/>
      <c r="L143" s="106"/>
      <c r="M143" s="106"/>
      <c r="N143" s="106"/>
      <c r="O143" s="106"/>
      <c r="P143" s="106"/>
      <c r="Q143" s="106"/>
      <c r="R143" s="870">
        <v>1.1000000000000001</v>
      </c>
      <c r="S143" s="106"/>
      <c r="T143" s="106"/>
      <c r="U143" s="106"/>
      <c r="V143" s="106"/>
      <c r="W143" s="105"/>
      <c r="X143" s="105"/>
      <c r="Y143" s="105"/>
      <c r="Z143" s="105"/>
      <c r="AB143" s="3">
        <v>1</v>
      </c>
      <c r="AE143" s="2461"/>
      <c r="AF143" s="68"/>
    </row>
    <row r="144" spans="1:32" ht="30" x14ac:dyDescent="0.35">
      <c r="A144" s="661">
        <v>47</v>
      </c>
      <c r="B144" s="662">
        <v>10685</v>
      </c>
      <c r="C144" s="662"/>
      <c r="D144" s="662" t="s">
        <v>1176</v>
      </c>
      <c r="E144" s="290" t="s">
        <v>2097</v>
      </c>
      <c r="F144" s="13">
        <v>4</v>
      </c>
      <c r="G144" s="13">
        <v>4</v>
      </c>
      <c r="H144" s="340">
        <v>6</v>
      </c>
      <c r="I144" s="552">
        <f>L144+K144+J144</f>
        <v>7.9</v>
      </c>
      <c r="J144" s="552">
        <f>SUM(M144:R144)</f>
        <v>7.9</v>
      </c>
      <c r="K144" s="553"/>
      <c r="L144" s="553"/>
      <c r="M144" s="552"/>
      <c r="N144" s="552">
        <v>7.9</v>
      </c>
      <c r="O144" s="555"/>
      <c r="P144" s="552"/>
      <c r="Q144" s="860"/>
      <c r="R144" s="870"/>
      <c r="S144" s="328">
        <v>2</v>
      </c>
      <c r="T144" s="329">
        <v>72.5</v>
      </c>
      <c r="U144" s="330"/>
      <c r="V144" s="330"/>
      <c r="W144" s="328">
        <v>12</v>
      </c>
      <c r="X144" s="328">
        <v>159.30000000000001</v>
      </c>
      <c r="Y144" s="328">
        <v>5</v>
      </c>
      <c r="Z144" s="663">
        <v>50</v>
      </c>
      <c r="AB144" s="3">
        <v>1</v>
      </c>
      <c r="AE144" s="2461"/>
      <c r="AF144" s="68"/>
    </row>
    <row r="145" spans="1:32" ht="30.5" x14ac:dyDescent="0.35">
      <c r="A145" s="693">
        <v>48</v>
      </c>
      <c r="B145" s="662">
        <v>10685</v>
      </c>
      <c r="C145" s="662"/>
      <c r="D145" s="2468" t="s">
        <v>4958</v>
      </c>
      <c r="E145" s="290" t="s">
        <v>7739</v>
      </c>
      <c r="F145" s="13" t="s">
        <v>827</v>
      </c>
      <c r="G145" s="13">
        <v>5</v>
      </c>
      <c r="H145" s="340">
        <v>6</v>
      </c>
      <c r="I145" s="674">
        <f>L145+K145+J145</f>
        <v>0.7</v>
      </c>
      <c r="J145" s="674">
        <f t="shared" ref="J145:J148" si="8">SUM(M145:R145)</f>
        <v>0.7</v>
      </c>
      <c r="K145" s="553"/>
      <c r="L145" s="553"/>
      <c r="M145" s="552"/>
      <c r="N145" s="552"/>
      <c r="O145" s="555"/>
      <c r="P145" s="552"/>
      <c r="Q145" s="860">
        <v>0.7</v>
      </c>
      <c r="R145" s="870"/>
      <c r="S145" s="330"/>
      <c r="T145" s="331"/>
      <c r="U145" s="330"/>
      <c r="V145" s="330"/>
      <c r="W145" s="330">
        <v>1</v>
      </c>
      <c r="X145" s="330">
        <v>15.2</v>
      </c>
      <c r="Y145" s="330"/>
      <c r="Z145" s="663"/>
      <c r="AB145" s="3">
        <v>1</v>
      </c>
      <c r="AE145" s="2461"/>
      <c r="AF145" s="68"/>
    </row>
    <row r="146" spans="1:32" ht="30.5" x14ac:dyDescent="0.35">
      <c r="A146" s="661">
        <v>49</v>
      </c>
      <c r="B146" s="662">
        <v>10685</v>
      </c>
      <c r="C146" s="662"/>
      <c r="D146" s="2468" t="s">
        <v>4959</v>
      </c>
      <c r="E146" s="290" t="s">
        <v>7740</v>
      </c>
      <c r="F146" s="13" t="s">
        <v>664</v>
      </c>
      <c r="G146" s="13">
        <v>5</v>
      </c>
      <c r="H146" s="13">
        <v>6</v>
      </c>
      <c r="I146" s="552">
        <f>L146+K146+J146</f>
        <v>1.43</v>
      </c>
      <c r="J146" s="552">
        <f t="shared" si="8"/>
        <v>1.43</v>
      </c>
      <c r="K146" s="553"/>
      <c r="L146" s="553"/>
      <c r="M146" s="552"/>
      <c r="N146" s="552"/>
      <c r="O146" s="555"/>
      <c r="P146" s="552"/>
      <c r="Q146" s="860"/>
      <c r="R146" s="870">
        <v>1.43</v>
      </c>
      <c r="S146" s="330"/>
      <c r="T146" s="331"/>
      <c r="U146" s="330"/>
      <c r="V146" s="330"/>
      <c r="W146" s="330">
        <v>2</v>
      </c>
      <c r="X146" s="330">
        <v>25.6</v>
      </c>
      <c r="Y146" s="330"/>
      <c r="Z146" s="663"/>
      <c r="AB146" s="3">
        <v>1</v>
      </c>
      <c r="AE146" s="2461"/>
      <c r="AF146" s="68"/>
    </row>
    <row r="147" spans="1:32" ht="30" x14ac:dyDescent="0.35">
      <c r="A147" s="693">
        <v>50</v>
      </c>
      <c r="B147" s="693">
        <v>10685</v>
      </c>
      <c r="C147" s="693" t="s">
        <v>1656</v>
      </c>
      <c r="D147" s="2468" t="s">
        <v>4960</v>
      </c>
      <c r="E147" s="2187" t="s">
        <v>8529</v>
      </c>
      <c r="F147" s="92" t="s">
        <v>664</v>
      </c>
      <c r="G147" s="92">
        <v>5</v>
      </c>
      <c r="H147" s="13">
        <v>6</v>
      </c>
      <c r="I147" s="702">
        <f>J147+K147+L147</f>
        <v>0.35</v>
      </c>
      <c r="J147" s="702">
        <f t="shared" si="8"/>
        <v>0.35</v>
      </c>
      <c r="K147" s="2088"/>
      <c r="L147" s="2088"/>
      <c r="M147" s="2088"/>
      <c r="N147" s="2088"/>
      <c r="O147" s="2088"/>
      <c r="P147" s="2088"/>
      <c r="Q147" s="2088"/>
      <c r="R147" s="906">
        <v>0.35</v>
      </c>
      <c r="S147" s="106"/>
      <c r="T147" s="106"/>
      <c r="U147" s="106"/>
      <c r="V147" s="106"/>
      <c r="W147" s="105"/>
      <c r="X147" s="105"/>
      <c r="Y147" s="105"/>
      <c r="Z147" s="181"/>
      <c r="AB147" s="3">
        <v>1</v>
      </c>
      <c r="AE147" s="2461"/>
      <c r="AF147" s="68"/>
    </row>
    <row r="148" spans="1:32" ht="30.5" x14ac:dyDescent="0.35">
      <c r="A148" s="661">
        <v>51</v>
      </c>
      <c r="B148" s="662">
        <v>10686</v>
      </c>
      <c r="C148" s="662"/>
      <c r="D148" s="662" t="s">
        <v>1320</v>
      </c>
      <c r="E148" s="511" t="s">
        <v>9547</v>
      </c>
      <c r="F148" s="13">
        <v>5</v>
      </c>
      <c r="G148" s="13">
        <v>5</v>
      </c>
      <c r="H148" s="340">
        <v>6</v>
      </c>
      <c r="I148" s="552">
        <f>L148+K148+J148</f>
        <v>2.2000000000000002</v>
      </c>
      <c r="J148" s="552">
        <f t="shared" si="8"/>
        <v>2.2000000000000002</v>
      </c>
      <c r="K148" s="553"/>
      <c r="L148" s="553"/>
      <c r="M148" s="552"/>
      <c r="N148" s="552"/>
      <c r="O148" s="555"/>
      <c r="P148" s="552"/>
      <c r="Q148" s="860">
        <v>2.2000000000000002</v>
      </c>
      <c r="R148" s="870"/>
      <c r="S148" s="330"/>
      <c r="T148" s="331"/>
      <c r="U148" s="330"/>
      <c r="V148" s="330"/>
      <c r="W148" s="328">
        <v>4</v>
      </c>
      <c r="X148" s="328">
        <v>55.09</v>
      </c>
      <c r="Y148" s="328">
        <v>1</v>
      </c>
      <c r="Z148" s="663">
        <v>10</v>
      </c>
      <c r="AB148" s="3">
        <v>1</v>
      </c>
      <c r="AE148" s="2461"/>
      <c r="AF148" s="68"/>
    </row>
    <row r="149" spans="1:32" ht="45.5" x14ac:dyDescent="0.35">
      <c r="A149" s="693">
        <v>52</v>
      </c>
      <c r="B149" s="826">
        <v>10686</v>
      </c>
      <c r="C149" s="826" t="s">
        <v>1656</v>
      </c>
      <c r="D149" s="2468" t="s">
        <v>4961</v>
      </c>
      <c r="E149" s="511" t="s">
        <v>9548</v>
      </c>
      <c r="F149" s="1944" t="s">
        <v>664</v>
      </c>
      <c r="G149" s="13">
        <v>5</v>
      </c>
      <c r="H149" s="13">
        <v>6</v>
      </c>
      <c r="I149" s="297">
        <f>J149+K149+L149</f>
        <v>0.48</v>
      </c>
      <c r="J149" s="297">
        <f>SUM(M149:R149)</f>
        <v>0.48</v>
      </c>
      <c r="K149" s="573"/>
      <c r="L149" s="573"/>
      <c r="M149" s="503"/>
      <c r="N149" s="501"/>
      <c r="O149" s="570"/>
      <c r="P149" s="503"/>
      <c r="Q149" s="2099"/>
      <c r="R149" s="2098">
        <v>0.48</v>
      </c>
      <c r="S149" s="72"/>
      <c r="T149" s="334"/>
      <c r="U149" s="72"/>
      <c r="V149" s="72"/>
      <c r="W149" s="72"/>
      <c r="X149" s="72"/>
      <c r="Y149" s="72"/>
      <c r="Z149" s="2375"/>
      <c r="AA149" s="3" t="s">
        <v>232</v>
      </c>
      <c r="AB149" s="3">
        <v>1</v>
      </c>
      <c r="AE149" s="2461"/>
      <c r="AF149" s="68"/>
    </row>
    <row r="150" spans="1:32" ht="60.5" x14ac:dyDescent="0.35">
      <c r="A150" s="661">
        <v>53</v>
      </c>
      <c r="B150" s="826">
        <v>10686</v>
      </c>
      <c r="C150" s="826" t="s">
        <v>1656</v>
      </c>
      <c r="D150" s="2468" t="s">
        <v>4962</v>
      </c>
      <c r="E150" s="2374" t="s">
        <v>9549</v>
      </c>
      <c r="F150" s="1138" t="s">
        <v>664</v>
      </c>
      <c r="G150" s="13">
        <v>5</v>
      </c>
      <c r="H150" s="13">
        <v>6</v>
      </c>
      <c r="I150" s="297">
        <f>J150+K150+L150</f>
        <v>3.9</v>
      </c>
      <c r="J150" s="297">
        <f>SUM(M150:R150)</f>
        <v>3.9</v>
      </c>
      <c r="K150" s="553"/>
      <c r="L150" s="553"/>
      <c r="M150" s="501"/>
      <c r="N150" s="501"/>
      <c r="O150" s="568"/>
      <c r="P150" s="501"/>
      <c r="Q150" s="1856"/>
      <c r="R150" s="1865">
        <v>3.9</v>
      </c>
      <c r="S150" s="330"/>
      <c r="T150" s="331"/>
      <c r="U150" s="330"/>
      <c r="V150" s="330"/>
      <c r="W150" s="330"/>
      <c r="X150" s="330"/>
      <c r="Y150" s="330"/>
      <c r="Z150" s="2376"/>
      <c r="AA150" s="3" t="s">
        <v>1532</v>
      </c>
      <c r="AB150" s="3">
        <v>1</v>
      </c>
      <c r="AE150" s="2461"/>
      <c r="AF150" s="68"/>
    </row>
    <row r="151" spans="1:32" ht="30" x14ac:dyDescent="0.35">
      <c r="A151" s="693">
        <v>54</v>
      </c>
      <c r="B151" s="662">
        <v>10687</v>
      </c>
      <c r="C151" s="662"/>
      <c r="D151" s="662" t="s">
        <v>1142</v>
      </c>
      <c r="E151" s="511" t="s">
        <v>457</v>
      </c>
      <c r="F151" s="13">
        <v>4</v>
      </c>
      <c r="G151" s="13">
        <v>4</v>
      </c>
      <c r="H151" s="340">
        <v>6</v>
      </c>
      <c r="I151" s="674">
        <f>L151+K151+J151</f>
        <v>6.6470000000000002</v>
      </c>
      <c r="J151" s="674">
        <f t="shared" ref="J151:J153" si="9">SUM(M151:R151)</f>
        <v>6.6470000000000002</v>
      </c>
      <c r="K151" s="553"/>
      <c r="L151" s="553"/>
      <c r="M151" s="552"/>
      <c r="N151" s="552">
        <v>6.6470000000000002</v>
      </c>
      <c r="O151" s="555"/>
      <c r="P151" s="552"/>
      <c r="Q151" s="860"/>
      <c r="R151" s="870"/>
      <c r="S151" s="330"/>
      <c r="T151" s="331"/>
      <c r="U151" s="330"/>
      <c r="V151" s="330"/>
      <c r="W151" s="328">
        <v>14</v>
      </c>
      <c r="X151" s="328">
        <v>187.7</v>
      </c>
      <c r="Y151" s="328">
        <v>3</v>
      </c>
      <c r="Z151" s="663">
        <v>27.5</v>
      </c>
      <c r="AB151" s="3">
        <v>1</v>
      </c>
      <c r="AE151" s="2461"/>
      <c r="AF151" s="68"/>
    </row>
    <row r="152" spans="1:32" ht="30" x14ac:dyDescent="0.35">
      <c r="A152" s="661">
        <v>55</v>
      </c>
      <c r="B152" s="693">
        <v>10687</v>
      </c>
      <c r="C152" s="693" t="s">
        <v>1656</v>
      </c>
      <c r="D152" s="2468" t="s">
        <v>4963</v>
      </c>
      <c r="E152" s="2187" t="s">
        <v>8530</v>
      </c>
      <c r="F152" s="92" t="s">
        <v>827</v>
      </c>
      <c r="G152" s="92">
        <v>5</v>
      </c>
      <c r="H152" s="13">
        <v>6</v>
      </c>
      <c r="I152" s="702">
        <f>J152+K152+L152</f>
        <v>1.5</v>
      </c>
      <c r="J152" s="702">
        <f t="shared" si="9"/>
        <v>1.5</v>
      </c>
      <c r="K152" s="2088"/>
      <c r="L152" s="2088"/>
      <c r="M152" s="2088"/>
      <c r="N152" s="2088"/>
      <c r="O152" s="2088"/>
      <c r="P152" s="2088"/>
      <c r="Q152" s="2088"/>
      <c r="R152" s="906">
        <v>1.5</v>
      </c>
      <c r="S152" s="106"/>
      <c r="T152" s="106"/>
      <c r="U152" s="106"/>
      <c r="V152" s="106"/>
      <c r="W152" s="105">
        <v>1</v>
      </c>
      <c r="X152" s="105">
        <v>15</v>
      </c>
      <c r="Y152" s="105"/>
      <c r="Z152" s="105"/>
      <c r="AB152" s="3">
        <v>1</v>
      </c>
      <c r="AE152" s="2461"/>
      <c r="AF152" s="68"/>
    </row>
    <row r="153" spans="1:32" ht="30.5" x14ac:dyDescent="0.35">
      <c r="A153" s="693">
        <v>56</v>
      </c>
      <c r="B153" s="662">
        <v>10688</v>
      </c>
      <c r="C153" s="662"/>
      <c r="D153" s="662" t="s">
        <v>1177</v>
      </c>
      <c r="E153" s="652" t="s">
        <v>458</v>
      </c>
      <c r="F153" s="13"/>
      <c r="G153" s="13" t="s">
        <v>191</v>
      </c>
      <c r="H153" s="340" t="s">
        <v>191</v>
      </c>
      <c r="I153" s="552">
        <f>L153+K153+J153</f>
        <v>9.84</v>
      </c>
      <c r="J153" s="552">
        <f t="shared" si="9"/>
        <v>9.84</v>
      </c>
      <c r="K153" s="553"/>
      <c r="L153" s="553"/>
      <c r="M153" s="552"/>
      <c r="N153" s="552">
        <f>SUM(N154:N156)</f>
        <v>8.8810000000000002</v>
      </c>
      <c r="O153" s="555"/>
      <c r="P153" s="552"/>
      <c r="Q153" s="860">
        <f>SUM(Q154:Q156)</f>
        <v>0.95899999999999963</v>
      </c>
      <c r="R153" s="870"/>
      <c r="S153" s="328"/>
      <c r="T153" s="329"/>
      <c r="U153" s="330"/>
      <c r="V153" s="330"/>
      <c r="W153" s="328">
        <v>29</v>
      </c>
      <c r="X153" s="328">
        <v>394.1</v>
      </c>
      <c r="Y153" s="328">
        <v>12</v>
      </c>
      <c r="Z153" s="663">
        <v>135</v>
      </c>
      <c r="AB153" s="3">
        <v>1</v>
      </c>
      <c r="AE153" s="2461"/>
      <c r="AF153" s="68"/>
    </row>
    <row r="154" spans="1:32" x14ac:dyDescent="0.35">
      <c r="A154" s="661"/>
      <c r="B154" s="662">
        <v>10688</v>
      </c>
      <c r="C154" s="662"/>
      <c r="D154" s="662"/>
      <c r="E154" s="291" t="s">
        <v>459</v>
      </c>
      <c r="F154" s="13">
        <v>4</v>
      </c>
      <c r="G154" s="13">
        <v>4</v>
      </c>
      <c r="H154" s="340">
        <v>6</v>
      </c>
      <c r="I154" s="674"/>
      <c r="J154" s="674"/>
      <c r="K154" s="553"/>
      <c r="L154" s="553"/>
      <c r="M154" s="552"/>
      <c r="N154" s="572">
        <v>8.4139999999999997</v>
      </c>
      <c r="O154" s="556"/>
      <c r="P154" s="572"/>
      <c r="Q154" s="863"/>
      <c r="R154" s="870"/>
      <c r="S154" s="328"/>
      <c r="T154" s="329"/>
      <c r="U154" s="330"/>
      <c r="V154" s="330"/>
      <c r="W154" s="328"/>
      <c r="X154" s="328"/>
      <c r="Y154" s="328"/>
      <c r="Z154" s="663"/>
      <c r="AE154" s="2461"/>
      <c r="AF154" s="68"/>
    </row>
    <row r="155" spans="1:32" x14ac:dyDescent="0.35">
      <c r="A155" s="661"/>
      <c r="B155" s="662">
        <v>10688</v>
      </c>
      <c r="C155" s="662"/>
      <c r="D155" s="662"/>
      <c r="E155" s="837" t="s">
        <v>460</v>
      </c>
      <c r="F155" s="13">
        <v>4</v>
      </c>
      <c r="G155" s="13">
        <v>4</v>
      </c>
      <c r="H155" s="340">
        <v>6</v>
      </c>
      <c r="I155" s="552"/>
      <c r="J155" s="552"/>
      <c r="K155" s="553"/>
      <c r="L155" s="553"/>
      <c r="M155" s="552"/>
      <c r="N155" s="572"/>
      <c r="O155" s="556"/>
      <c r="P155" s="572"/>
      <c r="Q155" s="863">
        <f>9.373-8.414</f>
        <v>0.95899999999999963</v>
      </c>
      <c r="R155" s="870"/>
      <c r="S155" s="328"/>
      <c r="T155" s="329"/>
      <c r="U155" s="330"/>
      <c r="V155" s="330"/>
      <c r="W155" s="328"/>
      <c r="X155" s="328"/>
      <c r="Y155" s="328"/>
      <c r="Z155" s="663"/>
      <c r="AA155" s="1778" t="s">
        <v>3225</v>
      </c>
      <c r="AE155" s="2461"/>
      <c r="AF155" s="68"/>
    </row>
    <row r="156" spans="1:32" x14ac:dyDescent="0.35">
      <c r="A156" s="661"/>
      <c r="B156" s="662">
        <v>10688</v>
      </c>
      <c r="C156" s="662"/>
      <c r="D156" s="662"/>
      <c r="E156" s="291" t="s">
        <v>461</v>
      </c>
      <c r="F156" s="13">
        <v>4</v>
      </c>
      <c r="G156" s="13">
        <v>4</v>
      </c>
      <c r="H156" s="340">
        <v>6</v>
      </c>
      <c r="I156" s="552"/>
      <c r="J156" s="552"/>
      <c r="K156" s="553"/>
      <c r="L156" s="553"/>
      <c r="M156" s="552"/>
      <c r="N156" s="572">
        <f>9.84-9.373</f>
        <v>0.46700000000000053</v>
      </c>
      <c r="O156" s="556"/>
      <c r="P156" s="572"/>
      <c r="Q156" s="863"/>
      <c r="R156" s="870"/>
      <c r="S156" s="328"/>
      <c r="T156" s="329"/>
      <c r="U156" s="330"/>
      <c r="V156" s="330"/>
      <c r="W156" s="328"/>
      <c r="X156" s="328"/>
      <c r="Y156" s="328"/>
      <c r="Z156" s="663"/>
      <c r="AE156" s="2461"/>
      <c r="AF156" s="68"/>
    </row>
    <row r="157" spans="1:32" ht="45.5" x14ac:dyDescent="0.35">
      <c r="A157" s="661">
        <v>57</v>
      </c>
      <c r="B157" s="662">
        <v>10688</v>
      </c>
      <c r="C157" s="662"/>
      <c r="D157" s="2468" t="s">
        <v>4964</v>
      </c>
      <c r="E157" s="290" t="s">
        <v>7741</v>
      </c>
      <c r="F157" s="13">
        <v>4</v>
      </c>
      <c r="G157" s="13">
        <v>5</v>
      </c>
      <c r="H157" s="340">
        <v>6</v>
      </c>
      <c r="I157" s="552">
        <f>L157+K157+J157</f>
        <v>3.5579999999999998</v>
      </c>
      <c r="J157" s="552">
        <f t="shared" ref="J157:J162" si="10">SUM(M157:R157)</f>
        <v>3.5579999999999998</v>
      </c>
      <c r="K157" s="553"/>
      <c r="L157" s="553"/>
      <c r="M157" s="552"/>
      <c r="N157" s="552">
        <v>3.5579999999999998</v>
      </c>
      <c r="O157" s="555"/>
      <c r="P157" s="552"/>
      <c r="Q157" s="860"/>
      <c r="R157" s="870"/>
      <c r="S157" s="330"/>
      <c r="T157" s="331"/>
      <c r="U157" s="330"/>
      <c r="V157" s="330"/>
      <c r="W157" s="328">
        <v>4</v>
      </c>
      <c r="X157" s="328">
        <v>51.2</v>
      </c>
      <c r="Y157" s="330">
        <v>2</v>
      </c>
      <c r="Z157" s="663">
        <v>20</v>
      </c>
      <c r="AB157" s="3">
        <v>1</v>
      </c>
      <c r="AE157" s="2461"/>
      <c r="AF157" s="68"/>
    </row>
    <row r="158" spans="1:32" ht="45.5" x14ac:dyDescent="0.35">
      <c r="A158" s="661">
        <v>58</v>
      </c>
      <c r="B158" s="662">
        <v>10688</v>
      </c>
      <c r="C158" s="662" t="s">
        <v>1655</v>
      </c>
      <c r="D158" s="2468" t="s">
        <v>4966</v>
      </c>
      <c r="E158" s="290" t="s">
        <v>7379</v>
      </c>
      <c r="F158" s="13" t="s">
        <v>664</v>
      </c>
      <c r="G158" s="13">
        <v>5</v>
      </c>
      <c r="H158" s="13">
        <v>6</v>
      </c>
      <c r="I158" s="552">
        <f>L158+K158+J158</f>
        <v>0.3</v>
      </c>
      <c r="J158" s="552">
        <f t="shared" si="10"/>
        <v>0.3</v>
      </c>
      <c r="K158" s="553"/>
      <c r="L158" s="553"/>
      <c r="M158" s="552"/>
      <c r="N158" s="552"/>
      <c r="O158" s="555"/>
      <c r="P158" s="552"/>
      <c r="Q158" s="860"/>
      <c r="R158" s="870">
        <v>0.3</v>
      </c>
      <c r="S158" s="330"/>
      <c r="T158" s="331"/>
      <c r="U158" s="330"/>
      <c r="V158" s="330"/>
      <c r="W158" s="330"/>
      <c r="X158" s="330"/>
      <c r="Y158" s="330"/>
      <c r="Z158" s="663"/>
      <c r="AB158" s="3">
        <v>1</v>
      </c>
      <c r="AE158" s="2461"/>
      <c r="AF158" s="68"/>
    </row>
    <row r="159" spans="1:32" ht="45.5" x14ac:dyDescent="0.35">
      <c r="A159" s="661">
        <v>59</v>
      </c>
      <c r="B159" s="826">
        <v>10688</v>
      </c>
      <c r="C159" s="826" t="s">
        <v>1656</v>
      </c>
      <c r="D159" s="2468" t="s">
        <v>4967</v>
      </c>
      <c r="E159" s="511" t="s">
        <v>8531</v>
      </c>
      <c r="F159" s="1138" t="s">
        <v>664</v>
      </c>
      <c r="G159" s="13">
        <v>5</v>
      </c>
      <c r="H159" s="13">
        <v>6</v>
      </c>
      <c r="I159" s="297">
        <f>J159+K159+L159</f>
        <v>0.1</v>
      </c>
      <c r="J159" s="297">
        <f t="shared" si="10"/>
        <v>0.1</v>
      </c>
      <c r="K159" s="553"/>
      <c r="L159" s="553"/>
      <c r="M159" s="501"/>
      <c r="N159" s="501"/>
      <c r="O159" s="568"/>
      <c r="P159" s="501"/>
      <c r="Q159" s="1856"/>
      <c r="R159" s="1865">
        <v>0.1</v>
      </c>
      <c r="S159" s="328"/>
      <c r="T159" s="329"/>
      <c r="U159" s="330"/>
      <c r="V159" s="330"/>
      <c r="W159" s="328"/>
      <c r="X159" s="328"/>
      <c r="Y159" s="328"/>
      <c r="Z159" s="2376"/>
      <c r="AA159" s="3" t="s">
        <v>707</v>
      </c>
      <c r="AB159" s="3">
        <v>1</v>
      </c>
      <c r="AE159" s="2461"/>
      <c r="AF159" s="68"/>
    </row>
    <row r="160" spans="1:32" ht="45.5" x14ac:dyDescent="0.35">
      <c r="A160" s="661">
        <v>60</v>
      </c>
      <c r="B160" s="826">
        <v>10688</v>
      </c>
      <c r="C160" s="826" t="s">
        <v>1656</v>
      </c>
      <c r="D160" s="2468" t="s">
        <v>4968</v>
      </c>
      <c r="E160" s="511" t="s">
        <v>8532</v>
      </c>
      <c r="F160" s="1138" t="s">
        <v>664</v>
      </c>
      <c r="G160" s="13">
        <v>5</v>
      </c>
      <c r="H160" s="13">
        <v>6</v>
      </c>
      <c r="I160" s="297">
        <f>J160+K160+L160</f>
        <v>0.56999999999999995</v>
      </c>
      <c r="J160" s="297">
        <f t="shared" si="10"/>
        <v>0.56999999999999995</v>
      </c>
      <c r="K160" s="553"/>
      <c r="L160" s="553"/>
      <c r="M160" s="501"/>
      <c r="N160" s="501"/>
      <c r="O160" s="568"/>
      <c r="P160" s="501"/>
      <c r="Q160" s="1856"/>
      <c r="R160" s="1865">
        <v>0.56999999999999995</v>
      </c>
      <c r="S160" s="330"/>
      <c r="T160" s="331"/>
      <c r="U160" s="330"/>
      <c r="V160" s="330"/>
      <c r="W160" s="330"/>
      <c r="X160" s="330"/>
      <c r="Y160" s="330"/>
      <c r="Z160" s="2376"/>
      <c r="AA160" s="3" t="s">
        <v>1171</v>
      </c>
      <c r="AB160" s="3">
        <v>1</v>
      </c>
      <c r="AE160" s="2461"/>
      <c r="AF160" s="68"/>
    </row>
    <row r="161" spans="1:32" ht="45" x14ac:dyDescent="0.35">
      <c r="A161" s="661">
        <v>61</v>
      </c>
      <c r="B161" s="693">
        <v>10688</v>
      </c>
      <c r="C161" s="826" t="s">
        <v>1656</v>
      </c>
      <c r="D161" s="2468" t="s">
        <v>4969</v>
      </c>
      <c r="E161" s="2187" t="s">
        <v>9262</v>
      </c>
      <c r="F161" s="92" t="s">
        <v>664</v>
      </c>
      <c r="G161" s="13">
        <v>5</v>
      </c>
      <c r="H161" s="13">
        <v>6</v>
      </c>
      <c r="I161" s="297">
        <f>J161+K161+L161</f>
        <v>0.1</v>
      </c>
      <c r="J161" s="297">
        <f t="shared" si="10"/>
        <v>0.1</v>
      </c>
      <c r="K161" s="106"/>
      <c r="L161" s="106"/>
      <c r="M161" s="106"/>
      <c r="N161" s="106"/>
      <c r="O161" s="106"/>
      <c r="P161" s="106"/>
      <c r="Q161" s="106"/>
      <c r="R161" s="1865">
        <v>0.1</v>
      </c>
      <c r="S161" s="106"/>
      <c r="T161" s="106"/>
      <c r="U161" s="106"/>
      <c r="V161" s="106"/>
      <c r="W161" s="105"/>
      <c r="X161" s="105"/>
      <c r="Y161" s="105"/>
      <c r="Z161" s="105"/>
      <c r="AA161" s="3" t="s">
        <v>463</v>
      </c>
      <c r="AB161" s="3">
        <v>1</v>
      </c>
      <c r="AE161" s="2461"/>
      <c r="AF161" s="68"/>
    </row>
    <row r="162" spans="1:32" ht="30" x14ac:dyDescent="0.35">
      <c r="A162" s="661">
        <v>62</v>
      </c>
      <c r="B162" s="662">
        <v>10689</v>
      </c>
      <c r="C162" s="662"/>
      <c r="D162" s="662" t="s">
        <v>2356</v>
      </c>
      <c r="E162" s="290" t="s">
        <v>861</v>
      </c>
      <c r="F162" s="13"/>
      <c r="G162" s="13" t="s">
        <v>191</v>
      </c>
      <c r="H162" s="340" t="s">
        <v>191</v>
      </c>
      <c r="I162" s="674">
        <f>L162+K162+J162</f>
        <v>8.2170000000000005</v>
      </c>
      <c r="J162" s="674">
        <f t="shared" si="10"/>
        <v>8.2170000000000005</v>
      </c>
      <c r="K162" s="553"/>
      <c r="L162" s="553"/>
      <c r="M162" s="552"/>
      <c r="N162" s="552">
        <f>SUM(N163:N165)</f>
        <v>4.4820000000000011</v>
      </c>
      <c r="O162" s="555"/>
      <c r="P162" s="552"/>
      <c r="Q162" s="860">
        <f>SUM(Q163:Q165)</f>
        <v>3.7349999999999994</v>
      </c>
      <c r="R162" s="870"/>
      <c r="S162" s="330"/>
      <c r="T162" s="331"/>
      <c r="U162" s="330"/>
      <c r="V162" s="330"/>
      <c r="W162" s="328">
        <v>18</v>
      </c>
      <c r="X162" s="328">
        <v>247.75</v>
      </c>
      <c r="Y162" s="328">
        <v>4</v>
      </c>
      <c r="Z162" s="663">
        <v>40</v>
      </c>
      <c r="AA162" s="3" t="s">
        <v>2497</v>
      </c>
      <c r="AB162" s="3">
        <v>1</v>
      </c>
      <c r="AE162" s="2461"/>
      <c r="AF162" s="68"/>
    </row>
    <row r="163" spans="1:32" x14ac:dyDescent="0.35">
      <c r="A163" s="658"/>
      <c r="B163" s="662">
        <v>10689</v>
      </c>
      <c r="C163" s="662"/>
      <c r="D163" s="659"/>
      <c r="E163" s="291" t="s">
        <v>3694</v>
      </c>
      <c r="F163" s="13">
        <v>4</v>
      </c>
      <c r="G163" s="13">
        <v>4</v>
      </c>
      <c r="H163" s="340">
        <v>6</v>
      </c>
      <c r="I163" s="572"/>
      <c r="J163" s="573"/>
      <c r="K163" s="573"/>
      <c r="L163" s="573"/>
      <c r="M163" s="573"/>
      <c r="N163" s="572">
        <v>2.41</v>
      </c>
      <c r="O163" s="551"/>
      <c r="P163" s="573"/>
      <c r="Q163" s="865"/>
      <c r="R163" s="875"/>
      <c r="S163" s="72"/>
      <c r="T163" s="334"/>
      <c r="U163" s="72"/>
      <c r="V163" s="72"/>
      <c r="W163" s="72"/>
      <c r="X163" s="72"/>
      <c r="Y163" s="72"/>
      <c r="Z163" s="660"/>
      <c r="AA163" s="3" t="s">
        <v>2497</v>
      </c>
      <c r="AE163" s="2461"/>
      <c r="AF163" s="68"/>
    </row>
    <row r="164" spans="1:32" x14ac:dyDescent="0.35">
      <c r="A164" s="658"/>
      <c r="B164" s="662">
        <v>10689</v>
      </c>
      <c r="C164" s="662"/>
      <c r="D164" s="659"/>
      <c r="E164" s="837" t="s">
        <v>3695</v>
      </c>
      <c r="F164" s="13">
        <v>4</v>
      </c>
      <c r="G164" s="13">
        <v>4</v>
      </c>
      <c r="H164" s="340">
        <v>6</v>
      </c>
      <c r="I164" s="572"/>
      <c r="J164" s="573"/>
      <c r="K164" s="573"/>
      <c r="L164" s="573"/>
      <c r="M164" s="573"/>
      <c r="N164" s="573"/>
      <c r="O164" s="551"/>
      <c r="P164" s="573"/>
      <c r="Q164" s="863">
        <f>6.145-2.41</f>
        <v>3.7349999999999994</v>
      </c>
      <c r="R164" s="875"/>
      <c r="S164" s="72"/>
      <c r="T164" s="334"/>
      <c r="U164" s="72"/>
      <c r="V164" s="72"/>
      <c r="W164" s="72"/>
      <c r="X164" s="72"/>
      <c r="Y164" s="72"/>
      <c r="Z164" s="660"/>
      <c r="AA164" s="3" t="s">
        <v>2497</v>
      </c>
      <c r="AE164" s="2461"/>
      <c r="AF164" s="68"/>
    </row>
    <row r="165" spans="1:32" x14ac:dyDescent="0.35">
      <c r="A165" s="658"/>
      <c r="B165" s="662">
        <v>10689</v>
      </c>
      <c r="C165" s="662"/>
      <c r="D165" s="659"/>
      <c r="E165" s="291" t="s">
        <v>862</v>
      </c>
      <c r="F165" s="13">
        <v>4</v>
      </c>
      <c r="G165" s="13">
        <v>4</v>
      </c>
      <c r="H165" s="340">
        <v>6</v>
      </c>
      <c r="I165" s="676"/>
      <c r="J165" s="1124"/>
      <c r="K165" s="573"/>
      <c r="L165" s="573"/>
      <c r="M165" s="573"/>
      <c r="N165" s="572">
        <f>8.217-6.145</f>
        <v>2.072000000000001</v>
      </c>
      <c r="O165" s="551"/>
      <c r="P165" s="573"/>
      <c r="Q165" s="865"/>
      <c r="R165" s="875"/>
      <c r="S165" s="72"/>
      <c r="T165" s="334"/>
      <c r="U165" s="72"/>
      <c r="V165" s="72"/>
      <c r="W165" s="72"/>
      <c r="X165" s="72"/>
      <c r="Y165" s="72"/>
      <c r="Z165" s="660"/>
      <c r="AE165" s="2461"/>
      <c r="AF165" s="68"/>
    </row>
    <row r="166" spans="1:32" ht="30.5" x14ac:dyDescent="0.35">
      <c r="A166" s="661">
        <v>63</v>
      </c>
      <c r="B166" s="662">
        <v>10688</v>
      </c>
      <c r="C166" s="662"/>
      <c r="D166" s="2468" t="s">
        <v>4965</v>
      </c>
      <c r="E166" s="290" t="s">
        <v>7742</v>
      </c>
      <c r="F166" s="13" t="s">
        <v>664</v>
      </c>
      <c r="G166" s="13">
        <v>5</v>
      </c>
      <c r="H166" s="13">
        <v>6</v>
      </c>
      <c r="I166" s="674">
        <f>L166+K166+J166</f>
        <v>2.5</v>
      </c>
      <c r="J166" s="674">
        <f>SUM(M166:R166)</f>
        <v>2.5</v>
      </c>
      <c r="K166" s="553"/>
      <c r="L166" s="553"/>
      <c r="M166" s="552"/>
      <c r="N166" s="552"/>
      <c r="O166" s="555"/>
      <c r="P166" s="552"/>
      <c r="Q166" s="860"/>
      <c r="R166" s="870">
        <v>2.5</v>
      </c>
      <c r="S166" s="330"/>
      <c r="T166" s="331"/>
      <c r="U166" s="330"/>
      <c r="V166" s="330"/>
      <c r="W166" s="330"/>
      <c r="X166" s="330"/>
      <c r="Y166" s="330"/>
      <c r="Z166" s="663"/>
      <c r="AB166" s="3">
        <v>1</v>
      </c>
      <c r="AE166" s="2461"/>
      <c r="AF166" s="68"/>
    </row>
    <row r="167" spans="1:32" ht="45.5" x14ac:dyDescent="0.35">
      <c r="A167" s="661">
        <v>64</v>
      </c>
      <c r="B167" s="662">
        <v>10689</v>
      </c>
      <c r="C167" s="662"/>
      <c r="D167" s="2468" t="s">
        <v>4970</v>
      </c>
      <c r="E167" s="290" t="s">
        <v>9846</v>
      </c>
      <c r="F167" s="13" t="s">
        <v>827</v>
      </c>
      <c r="G167" s="13">
        <v>5</v>
      </c>
      <c r="H167" s="13">
        <v>6</v>
      </c>
      <c r="I167" s="674">
        <f>L167+K167+J167</f>
        <v>1.8</v>
      </c>
      <c r="J167" s="674">
        <f>SUM(M167:R167)</f>
        <v>1.8</v>
      </c>
      <c r="K167" s="553"/>
      <c r="L167" s="553"/>
      <c r="M167" s="552"/>
      <c r="N167" s="552"/>
      <c r="O167" s="555"/>
      <c r="P167" s="552"/>
      <c r="Q167" s="860"/>
      <c r="R167" s="870">
        <v>1.8</v>
      </c>
      <c r="S167" s="330"/>
      <c r="T167" s="331"/>
      <c r="U167" s="330"/>
      <c r="V167" s="330"/>
      <c r="W167" s="328">
        <v>2</v>
      </c>
      <c r="X167" s="328">
        <v>30</v>
      </c>
      <c r="Y167" s="330"/>
      <c r="Z167" s="663"/>
      <c r="AB167" s="3">
        <v>1</v>
      </c>
      <c r="AE167" s="2461"/>
      <c r="AF167" s="68"/>
    </row>
    <row r="168" spans="1:32" ht="30.5" x14ac:dyDescent="0.35">
      <c r="A168" s="1823">
        <v>65</v>
      </c>
      <c r="B168" s="826">
        <v>10689</v>
      </c>
      <c r="C168" s="826" t="s">
        <v>1656</v>
      </c>
      <c r="D168" s="2468" t="s">
        <v>4971</v>
      </c>
      <c r="E168" s="511" t="s">
        <v>8533</v>
      </c>
      <c r="F168" s="1138" t="s">
        <v>664</v>
      </c>
      <c r="G168" s="13">
        <v>5</v>
      </c>
      <c r="H168" s="13">
        <v>6</v>
      </c>
      <c r="I168" s="297">
        <f>J168+K168+L168</f>
        <v>0.48</v>
      </c>
      <c r="J168" s="297">
        <f>SUM(M168:R168)</f>
        <v>0.48</v>
      </c>
      <c r="K168" s="553"/>
      <c r="L168" s="553"/>
      <c r="M168" s="501"/>
      <c r="N168" s="501"/>
      <c r="O168" s="568"/>
      <c r="P168" s="501"/>
      <c r="Q168" s="1856"/>
      <c r="R168" s="1865">
        <v>0.48</v>
      </c>
      <c r="S168" s="328"/>
      <c r="T168" s="329"/>
      <c r="U168" s="330"/>
      <c r="V168" s="330"/>
      <c r="W168" s="328"/>
      <c r="X168" s="328"/>
      <c r="Y168" s="328"/>
      <c r="Z168" s="2376"/>
      <c r="AA168" s="3" t="s">
        <v>2309</v>
      </c>
      <c r="AB168" s="3">
        <v>1</v>
      </c>
      <c r="AE168" s="2461"/>
      <c r="AF168" s="68"/>
    </row>
    <row r="169" spans="1:32" ht="30.5" x14ac:dyDescent="0.35">
      <c r="A169" s="661">
        <v>66</v>
      </c>
      <c r="B169" s="826">
        <v>10689</v>
      </c>
      <c r="C169" s="826" t="s">
        <v>1656</v>
      </c>
      <c r="D169" s="2468" t="s">
        <v>4972</v>
      </c>
      <c r="E169" s="511" t="s">
        <v>8534</v>
      </c>
      <c r="F169" s="1944" t="s">
        <v>664</v>
      </c>
      <c r="G169" s="13">
        <v>5</v>
      </c>
      <c r="H169" s="13">
        <v>6</v>
      </c>
      <c r="I169" s="297">
        <f>J169+K169+L169</f>
        <v>0.1</v>
      </c>
      <c r="J169" s="297">
        <f>SUM(M169:R169)</f>
        <v>0.1</v>
      </c>
      <c r="K169" s="573"/>
      <c r="L169" s="573"/>
      <c r="M169" s="503"/>
      <c r="N169" s="501"/>
      <c r="O169" s="570"/>
      <c r="P169" s="503"/>
      <c r="Q169" s="2099"/>
      <c r="R169" s="2098">
        <v>0.1</v>
      </c>
      <c r="S169" s="72"/>
      <c r="T169" s="334"/>
      <c r="U169" s="72"/>
      <c r="V169" s="72"/>
      <c r="W169" s="72"/>
      <c r="X169" s="72"/>
      <c r="Y169" s="72"/>
      <c r="Z169" s="2375"/>
      <c r="AA169" s="3" t="s">
        <v>2310</v>
      </c>
      <c r="AB169" s="3">
        <v>1</v>
      </c>
      <c r="AE169" s="2461"/>
      <c r="AF169" s="68"/>
    </row>
    <row r="170" spans="1:32" ht="30" x14ac:dyDescent="0.35">
      <c r="A170" s="1823">
        <v>67</v>
      </c>
      <c r="B170" s="662">
        <v>10690</v>
      </c>
      <c r="C170" s="662"/>
      <c r="D170" s="662" t="s">
        <v>3257</v>
      </c>
      <c r="E170" s="290" t="s">
        <v>2010</v>
      </c>
      <c r="F170" s="13"/>
      <c r="G170" s="13" t="s">
        <v>191</v>
      </c>
      <c r="H170" s="340" t="s">
        <v>191</v>
      </c>
      <c r="I170" s="674">
        <f>L170+K170+J170</f>
        <v>3.2440000000000002</v>
      </c>
      <c r="J170" s="674">
        <f>SUM(M170:R170)</f>
        <v>3.2440000000000002</v>
      </c>
      <c r="K170" s="553"/>
      <c r="L170" s="553"/>
      <c r="M170" s="552"/>
      <c r="N170" s="552">
        <f>SUM(N171:N174)</f>
        <v>1.2000000000000002</v>
      </c>
      <c r="O170" s="555"/>
      <c r="P170" s="552"/>
      <c r="Q170" s="860">
        <f>SUM(Q171:Q174)</f>
        <v>2.044</v>
      </c>
      <c r="R170" s="870"/>
      <c r="S170" s="328">
        <v>2</v>
      </c>
      <c r="T170" s="329">
        <v>45.1</v>
      </c>
      <c r="U170" s="330"/>
      <c r="V170" s="330"/>
      <c r="W170" s="328">
        <v>12</v>
      </c>
      <c r="X170" s="328">
        <v>112.3</v>
      </c>
      <c r="Y170" s="328">
        <v>7</v>
      </c>
      <c r="Z170" s="663">
        <v>41.1</v>
      </c>
      <c r="AB170" s="3">
        <v>1</v>
      </c>
      <c r="AE170" s="2461"/>
      <c r="AF170" s="68"/>
    </row>
    <row r="171" spans="1:32" x14ac:dyDescent="0.35">
      <c r="A171" s="658"/>
      <c r="B171" s="662">
        <v>10690</v>
      </c>
      <c r="C171" s="662"/>
      <c r="D171" s="659"/>
      <c r="E171" s="291" t="s">
        <v>1079</v>
      </c>
      <c r="F171" s="13">
        <v>5</v>
      </c>
      <c r="G171" s="13">
        <v>5</v>
      </c>
      <c r="H171" s="340">
        <v>6</v>
      </c>
      <c r="I171" s="572"/>
      <c r="J171" s="573"/>
      <c r="K171" s="573"/>
      <c r="L171" s="573"/>
      <c r="M171" s="573"/>
      <c r="N171" s="572">
        <v>1.08</v>
      </c>
      <c r="O171" s="551"/>
      <c r="P171" s="573"/>
      <c r="Q171" s="865"/>
      <c r="R171" s="875"/>
      <c r="S171" s="72"/>
      <c r="T171" s="334"/>
      <c r="U171" s="72"/>
      <c r="V171" s="72"/>
      <c r="W171" s="72"/>
      <c r="X171" s="72"/>
      <c r="Y171" s="72"/>
      <c r="Z171" s="660"/>
      <c r="AE171" s="2461"/>
      <c r="AF171" s="68"/>
    </row>
    <row r="172" spans="1:32" x14ac:dyDescent="0.35">
      <c r="A172" s="658"/>
      <c r="B172" s="662">
        <v>10690</v>
      </c>
      <c r="C172" s="662"/>
      <c r="D172" s="659"/>
      <c r="E172" s="837" t="s">
        <v>1748</v>
      </c>
      <c r="F172" s="13">
        <v>5</v>
      </c>
      <c r="G172" s="13">
        <v>5</v>
      </c>
      <c r="H172" s="340">
        <v>6</v>
      </c>
      <c r="I172" s="572"/>
      <c r="J172" s="573"/>
      <c r="K172" s="573"/>
      <c r="L172" s="573"/>
      <c r="M172" s="573"/>
      <c r="N172" s="573"/>
      <c r="O172" s="551"/>
      <c r="P172" s="573"/>
      <c r="Q172" s="863">
        <v>0.82</v>
      </c>
      <c r="R172" s="875"/>
      <c r="S172" s="72"/>
      <c r="T172" s="334"/>
      <c r="U172" s="72"/>
      <c r="V172" s="72"/>
      <c r="W172" s="72"/>
      <c r="X172" s="72"/>
      <c r="Y172" s="72"/>
      <c r="Z172" s="660"/>
      <c r="AE172" s="2461"/>
      <c r="AF172" s="68"/>
    </row>
    <row r="173" spans="1:32" x14ac:dyDescent="0.35">
      <c r="A173" s="658"/>
      <c r="B173" s="662">
        <v>10690</v>
      </c>
      <c r="C173" s="662"/>
      <c r="D173" s="659"/>
      <c r="E173" s="291" t="s">
        <v>1749</v>
      </c>
      <c r="F173" s="13">
        <v>5</v>
      </c>
      <c r="G173" s="13">
        <v>5</v>
      </c>
      <c r="H173" s="340">
        <v>6</v>
      </c>
      <c r="I173" s="572"/>
      <c r="J173" s="573"/>
      <c r="K173" s="573"/>
      <c r="L173" s="573"/>
      <c r="M173" s="573"/>
      <c r="N173" s="572">
        <v>0.12</v>
      </c>
      <c r="O173" s="551"/>
      <c r="P173" s="573"/>
      <c r="Q173" s="865"/>
      <c r="R173" s="875"/>
      <c r="S173" s="72"/>
      <c r="T173" s="334"/>
      <c r="U173" s="72"/>
      <c r="V173" s="72"/>
      <c r="W173" s="72"/>
      <c r="X173" s="72"/>
      <c r="Y173" s="72"/>
      <c r="Z173" s="660"/>
      <c r="AE173" s="2461"/>
      <c r="AF173" s="68"/>
    </row>
    <row r="174" spans="1:32" x14ac:dyDescent="0.35">
      <c r="A174" s="658"/>
      <c r="B174" s="662">
        <v>10690</v>
      </c>
      <c r="C174" s="662"/>
      <c r="D174" s="659"/>
      <c r="E174" s="837" t="s">
        <v>1750</v>
      </c>
      <c r="F174" s="13">
        <v>5</v>
      </c>
      <c r="G174" s="13">
        <v>5</v>
      </c>
      <c r="H174" s="340">
        <v>6</v>
      </c>
      <c r="I174" s="572"/>
      <c r="J174" s="573"/>
      <c r="K174" s="573"/>
      <c r="L174" s="573"/>
      <c r="M174" s="573"/>
      <c r="N174" s="573"/>
      <c r="O174" s="551"/>
      <c r="P174" s="573"/>
      <c r="Q174" s="863">
        <v>1.224</v>
      </c>
      <c r="R174" s="875"/>
      <c r="S174" s="72"/>
      <c r="T174" s="334"/>
      <c r="U174" s="72"/>
      <c r="V174" s="72"/>
      <c r="W174" s="72"/>
      <c r="X174" s="72"/>
      <c r="Y174" s="72"/>
      <c r="Z174" s="660"/>
      <c r="AE174" s="2461"/>
      <c r="AF174" s="68"/>
    </row>
    <row r="175" spans="1:32" ht="30.5" x14ac:dyDescent="0.35">
      <c r="A175" s="661">
        <v>68</v>
      </c>
      <c r="B175" s="662">
        <v>10690</v>
      </c>
      <c r="C175" s="662"/>
      <c r="D175" s="2468" t="s">
        <v>4973</v>
      </c>
      <c r="E175" s="290" t="s">
        <v>9356</v>
      </c>
      <c r="F175" s="13"/>
      <c r="G175" s="13" t="s">
        <v>191</v>
      </c>
      <c r="H175" s="340" t="s">
        <v>191</v>
      </c>
      <c r="I175" s="552">
        <f>L175+K175+J175</f>
        <v>1.4</v>
      </c>
      <c r="J175" s="552">
        <f>SUM(M175:R175)</f>
        <v>1.4</v>
      </c>
      <c r="K175" s="553"/>
      <c r="L175" s="553"/>
      <c r="M175" s="552"/>
      <c r="N175" s="552">
        <f>SUM(N176:N177)</f>
        <v>0.5</v>
      </c>
      <c r="O175" s="555"/>
      <c r="P175" s="552"/>
      <c r="Q175" s="860">
        <f>SUM(Q176:Q177)</f>
        <v>0.9</v>
      </c>
      <c r="R175" s="870"/>
      <c r="S175" s="330"/>
      <c r="T175" s="331"/>
      <c r="U175" s="330"/>
      <c r="V175" s="330"/>
      <c r="W175" s="328">
        <v>2</v>
      </c>
      <c r="X175" s="328">
        <v>30.44</v>
      </c>
      <c r="Y175" s="330"/>
      <c r="Z175" s="663"/>
      <c r="AB175" s="3">
        <v>1</v>
      </c>
      <c r="AE175" s="2461"/>
      <c r="AF175" s="68"/>
    </row>
    <row r="176" spans="1:32" x14ac:dyDescent="0.35">
      <c r="A176" s="658"/>
      <c r="B176" s="662">
        <v>10690</v>
      </c>
      <c r="C176" s="662"/>
      <c r="D176" s="659"/>
      <c r="E176" s="291" t="s">
        <v>2490</v>
      </c>
      <c r="F176" s="13">
        <v>4</v>
      </c>
      <c r="G176" s="13">
        <v>5</v>
      </c>
      <c r="H176" s="340">
        <v>6</v>
      </c>
      <c r="I176" s="676"/>
      <c r="J176" s="1124"/>
      <c r="K176" s="573"/>
      <c r="L176" s="573"/>
      <c r="M176" s="573"/>
      <c r="N176" s="572">
        <v>0.5</v>
      </c>
      <c r="O176" s="551"/>
      <c r="P176" s="573"/>
      <c r="Q176" s="865"/>
      <c r="R176" s="875"/>
      <c r="S176" s="72"/>
      <c r="T176" s="334"/>
      <c r="U176" s="72"/>
      <c r="V176" s="72"/>
      <c r="W176" s="72"/>
      <c r="X176" s="72"/>
      <c r="Y176" s="72"/>
      <c r="Z176" s="660"/>
      <c r="AE176" s="2461"/>
      <c r="AF176" s="68"/>
    </row>
    <row r="177" spans="1:32" x14ac:dyDescent="0.35">
      <c r="A177" s="658"/>
      <c r="B177" s="662">
        <v>10690</v>
      </c>
      <c r="C177" s="662"/>
      <c r="D177" s="659"/>
      <c r="E177" s="837" t="s">
        <v>2860</v>
      </c>
      <c r="F177" s="13">
        <v>4</v>
      </c>
      <c r="G177" s="13">
        <v>5</v>
      </c>
      <c r="H177" s="340">
        <v>6</v>
      </c>
      <c r="I177" s="572"/>
      <c r="J177" s="573"/>
      <c r="K177" s="573"/>
      <c r="L177" s="573"/>
      <c r="M177" s="573"/>
      <c r="N177" s="573"/>
      <c r="O177" s="551"/>
      <c r="P177" s="573"/>
      <c r="Q177" s="863">
        <v>0.9</v>
      </c>
      <c r="R177" s="875"/>
      <c r="S177" s="72"/>
      <c r="T177" s="334"/>
      <c r="U177" s="72"/>
      <c r="V177" s="72"/>
      <c r="W177" s="72"/>
      <c r="X177" s="72"/>
      <c r="Y177" s="72"/>
      <c r="Z177" s="660"/>
      <c r="AE177" s="2461"/>
      <c r="AF177" s="68"/>
    </row>
    <row r="178" spans="1:32" ht="30.5" x14ac:dyDescent="0.35">
      <c r="A178" s="1823">
        <v>69</v>
      </c>
      <c r="B178" s="826">
        <v>10690</v>
      </c>
      <c r="C178" s="826" t="s">
        <v>1656</v>
      </c>
      <c r="D178" s="2468" t="s">
        <v>4974</v>
      </c>
      <c r="E178" s="511" t="s">
        <v>8535</v>
      </c>
      <c r="F178" s="1944" t="s">
        <v>664</v>
      </c>
      <c r="G178" s="13">
        <v>5</v>
      </c>
      <c r="H178" s="13">
        <v>6</v>
      </c>
      <c r="I178" s="297">
        <f>J178+K178+L178</f>
        <v>0.36</v>
      </c>
      <c r="J178" s="297">
        <f>SUM(M178:R178)</f>
        <v>0.36</v>
      </c>
      <c r="K178" s="573"/>
      <c r="L178" s="573"/>
      <c r="M178" s="503"/>
      <c r="N178" s="503"/>
      <c r="O178" s="570"/>
      <c r="P178" s="503"/>
      <c r="Q178" s="1856"/>
      <c r="R178" s="2098">
        <v>0.36</v>
      </c>
      <c r="S178" s="72"/>
      <c r="T178" s="334"/>
      <c r="U178" s="72"/>
      <c r="V178" s="72"/>
      <c r="W178" s="72"/>
      <c r="X178" s="72"/>
      <c r="Y178" s="72"/>
      <c r="Z178" s="2375"/>
      <c r="AA178" s="3" t="s">
        <v>462</v>
      </c>
      <c r="AB178" s="3">
        <v>1</v>
      </c>
      <c r="AE178" s="2461"/>
      <c r="AF178" s="68"/>
    </row>
    <row r="179" spans="1:32" ht="30.5" x14ac:dyDescent="0.35">
      <c r="A179" s="661">
        <v>70</v>
      </c>
      <c r="B179" s="662">
        <v>10691</v>
      </c>
      <c r="C179" s="662"/>
      <c r="D179" s="662" t="s">
        <v>2358</v>
      </c>
      <c r="E179" s="290" t="s">
        <v>1747</v>
      </c>
      <c r="F179" s="13">
        <v>5</v>
      </c>
      <c r="G179" s="13">
        <v>5</v>
      </c>
      <c r="H179" s="340">
        <v>6</v>
      </c>
      <c r="I179" s="552">
        <f>L179+K179+J179</f>
        <v>2.7719999999999998</v>
      </c>
      <c r="J179" s="552">
        <f>SUM(M179:R179)</f>
        <v>2.7719999999999998</v>
      </c>
      <c r="K179" s="553"/>
      <c r="L179" s="553"/>
      <c r="M179" s="552"/>
      <c r="N179" s="552"/>
      <c r="O179" s="555"/>
      <c r="P179" s="552"/>
      <c r="Q179" s="860">
        <v>2.7719999999999998</v>
      </c>
      <c r="R179" s="870"/>
      <c r="S179" s="330"/>
      <c r="T179" s="331"/>
      <c r="U179" s="330"/>
      <c r="V179" s="330"/>
      <c r="W179" s="328">
        <v>9</v>
      </c>
      <c r="X179" s="328">
        <v>116.76</v>
      </c>
      <c r="Y179" s="330">
        <v>2</v>
      </c>
      <c r="Z179" s="663">
        <v>20.399999999999999</v>
      </c>
      <c r="AB179" s="3">
        <v>1</v>
      </c>
      <c r="AE179" s="2461"/>
      <c r="AF179" s="68"/>
    </row>
    <row r="180" spans="1:32" ht="30.5" x14ac:dyDescent="0.35">
      <c r="A180" s="1823">
        <v>71</v>
      </c>
      <c r="B180" s="662">
        <v>10692</v>
      </c>
      <c r="C180" s="662"/>
      <c r="D180" s="662" t="s">
        <v>3019</v>
      </c>
      <c r="E180" s="290" t="s">
        <v>6906</v>
      </c>
      <c r="F180" s="13">
        <v>5</v>
      </c>
      <c r="G180" s="13">
        <v>5</v>
      </c>
      <c r="H180" s="340">
        <v>6</v>
      </c>
      <c r="I180" s="674">
        <f>L180+K180+J180</f>
        <v>2.1</v>
      </c>
      <c r="J180" s="674">
        <f>SUM(M180:R180)</f>
        <v>2.1</v>
      </c>
      <c r="K180" s="553"/>
      <c r="L180" s="553"/>
      <c r="M180" s="552"/>
      <c r="N180" s="552"/>
      <c r="O180" s="555"/>
      <c r="P180" s="552"/>
      <c r="Q180" s="860">
        <v>2.1</v>
      </c>
      <c r="R180" s="870"/>
      <c r="S180" s="330"/>
      <c r="T180" s="331"/>
      <c r="U180" s="330"/>
      <c r="V180" s="330"/>
      <c r="W180" s="328">
        <v>4</v>
      </c>
      <c r="X180" s="328">
        <v>65.2</v>
      </c>
      <c r="Y180" s="328">
        <v>1</v>
      </c>
      <c r="Z180" s="663">
        <v>10.199999999999999</v>
      </c>
      <c r="AB180" s="3">
        <v>1</v>
      </c>
      <c r="AE180" s="2461"/>
      <c r="AF180" s="68"/>
    </row>
    <row r="181" spans="1:32" ht="45" x14ac:dyDescent="0.35">
      <c r="A181" s="661">
        <v>72</v>
      </c>
      <c r="B181" s="826">
        <v>10692</v>
      </c>
      <c r="C181" s="826" t="s">
        <v>1656</v>
      </c>
      <c r="D181" s="2468" t="s">
        <v>4975</v>
      </c>
      <c r="E181" s="2187" t="s">
        <v>8536</v>
      </c>
      <c r="F181" s="92" t="s">
        <v>664</v>
      </c>
      <c r="G181" s="13">
        <v>5</v>
      </c>
      <c r="H181" s="13">
        <v>6</v>
      </c>
      <c r="I181" s="297">
        <f>J181+K181+L181</f>
        <v>0.6</v>
      </c>
      <c r="J181" s="297">
        <f>SUM(M181:R181)</f>
        <v>0.6</v>
      </c>
      <c r="K181" s="2208"/>
      <c r="L181" s="2208"/>
      <c r="M181" s="2208"/>
      <c r="N181" s="2208"/>
      <c r="O181" s="2208"/>
      <c r="P181" s="2208"/>
      <c r="Q181" s="2208"/>
      <c r="R181" s="906">
        <v>0.6</v>
      </c>
      <c r="S181" s="106"/>
      <c r="T181" s="106"/>
      <c r="U181" s="106"/>
      <c r="V181" s="106"/>
      <c r="W181" s="105"/>
      <c r="X181" s="105"/>
      <c r="Y181" s="105"/>
      <c r="Z181" s="105"/>
      <c r="AA181" s="3" t="s">
        <v>2589</v>
      </c>
      <c r="AB181" s="3">
        <v>1</v>
      </c>
      <c r="AE181" s="2461"/>
      <c r="AF181" s="68"/>
    </row>
    <row r="182" spans="1:32" ht="30" x14ac:dyDescent="0.35">
      <c r="A182" s="1823">
        <v>73</v>
      </c>
      <c r="B182" s="662">
        <v>10693</v>
      </c>
      <c r="C182" s="662"/>
      <c r="D182" s="662" t="s">
        <v>3253</v>
      </c>
      <c r="E182" s="290" t="s">
        <v>2135</v>
      </c>
      <c r="F182" s="13"/>
      <c r="G182" s="13" t="s">
        <v>191</v>
      </c>
      <c r="H182" s="340" t="s">
        <v>191</v>
      </c>
      <c r="I182" s="552">
        <f>L182+K182+J182</f>
        <v>8.4710000000000001</v>
      </c>
      <c r="J182" s="552">
        <f>SUM(M182:R182)</f>
        <v>8.4710000000000001</v>
      </c>
      <c r="K182" s="553"/>
      <c r="L182" s="553"/>
      <c r="M182" s="552"/>
      <c r="N182" s="552">
        <f>SUM(N183:N184)</f>
        <v>2.4</v>
      </c>
      <c r="O182" s="555"/>
      <c r="P182" s="552"/>
      <c r="Q182" s="860">
        <f>SUM(Q183:Q184)</f>
        <v>6.0709999999999997</v>
      </c>
      <c r="R182" s="870"/>
      <c r="S182" s="328">
        <v>1</v>
      </c>
      <c r="T182" s="329">
        <v>45.7</v>
      </c>
      <c r="U182" s="330"/>
      <c r="V182" s="330"/>
      <c r="W182" s="328">
        <v>28</v>
      </c>
      <c r="X182" s="328">
        <v>323.58</v>
      </c>
      <c r="Y182" s="328">
        <v>18</v>
      </c>
      <c r="Z182" s="663">
        <v>186.5</v>
      </c>
      <c r="AB182" s="3">
        <v>1</v>
      </c>
      <c r="AE182" s="2461"/>
      <c r="AF182" s="68"/>
    </row>
    <row r="183" spans="1:32" x14ac:dyDescent="0.35">
      <c r="A183" s="658"/>
      <c r="B183" s="662">
        <v>10693</v>
      </c>
      <c r="C183" s="662"/>
      <c r="D183" s="659"/>
      <c r="E183" s="534" t="s">
        <v>2916</v>
      </c>
      <c r="F183" s="13">
        <v>5</v>
      </c>
      <c r="G183" s="13">
        <v>4</v>
      </c>
      <c r="H183" s="340">
        <v>6</v>
      </c>
      <c r="I183" s="676"/>
      <c r="J183" s="1124"/>
      <c r="K183" s="573"/>
      <c r="L183" s="573"/>
      <c r="M183" s="573"/>
      <c r="N183" s="572">
        <v>2.4</v>
      </c>
      <c r="O183" s="551"/>
      <c r="P183" s="573"/>
      <c r="Q183" s="865"/>
      <c r="R183" s="875"/>
      <c r="S183" s="72"/>
      <c r="T183" s="334"/>
      <c r="U183" s="72"/>
      <c r="V183" s="72"/>
      <c r="W183" s="72"/>
      <c r="X183" s="72"/>
      <c r="Y183" s="72"/>
      <c r="Z183" s="660"/>
      <c r="AE183" s="2461"/>
      <c r="AF183" s="68"/>
    </row>
    <row r="184" spans="1:32" x14ac:dyDescent="0.35">
      <c r="A184" s="658"/>
      <c r="B184" s="662">
        <v>10693</v>
      </c>
      <c r="C184" s="662"/>
      <c r="D184" s="659"/>
      <c r="E184" s="837" t="s">
        <v>6815</v>
      </c>
      <c r="F184" s="13">
        <v>5</v>
      </c>
      <c r="G184" s="13">
        <v>4</v>
      </c>
      <c r="H184" s="340">
        <v>6</v>
      </c>
      <c r="I184" s="572"/>
      <c r="J184" s="573"/>
      <c r="K184" s="573"/>
      <c r="L184" s="573"/>
      <c r="M184" s="573"/>
      <c r="N184" s="573"/>
      <c r="O184" s="551"/>
      <c r="P184" s="573"/>
      <c r="Q184" s="863">
        <f>8.471-2.4</f>
        <v>6.0709999999999997</v>
      </c>
      <c r="R184" s="875"/>
      <c r="S184" s="72"/>
      <c r="T184" s="334"/>
      <c r="U184" s="72"/>
      <c r="V184" s="72"/>
      <c r="W184" s="72"/>
      <c r="X184" s="72"/>
      <c r="Y184" s="72"/>
      <c r="Z184" s="660"/>
      <c r="AE184" s="2461"/>
      <c r="AF184" s="68"/>
    </row>
    <row r="185" spans="1:32" ht="45.5" x14ac:dyDescent="0.35">
      <c r="A185" s="661">
        <v>74</v>
      </c>
      <c r="B185" s="662">
        <v>10693</v>
      </c>
      <c r="C185" s="662" t="s">
        <v>1655</v>
      </c>
      <c r="D185" s="2468" t="s">
        <v>4976</v>
      </c>
      <c r="E185" s="290" t="s">
        <v>11460</v>
      </c>
      <c r="F185" s="13"/>
      <c r="G185" s="13" t="s">
        <v>191</v>
      </c>
      <c r="H185" s="340" t="s">
        <v>191</v>
      </c>
      <c r="I185" s="2609">
        <f>L185+K185+J185</f>
        <v>1.86</v>
      </c>
      <c r="J185" s="2609">
        <f>SUM(M185:R185)</f>
        <v>1.86</v>
      </c>
      <c r="K185" s="553"/>
      <c r="L185" s="553"/>
      <c r="M185" s="552"/>
      <c r="N185" s="2609">
        <f>SUM(N186:N188)</f>
        <v>0.56499999999999995</v>
      </c>
      <c r="O185" s="555"/>
      <c r="P185" s="552"/>
      <c r="Q185" s="860"/>
      <c r="R185" s="870">
        <f>SUM(R186:R188)</f>
        <v>1.2950000000000002</v>
      </c>
      <c r="S185" s="330"/>
      <c r="T185" s="331"/>
      <c r="U185" s="330"/>
      <c r="V185" s="330"/>
      <c r="W185" s="330">
        <v>4</v>
      </c>
      <c r="X185" s="330">
        <v>32.5</v>
      </c>
      <c r="Y185" s="330"/>
      <c r="Z185" s="663"/>
      <c r="AB185" s="3">
        <v>1</v>
      </c>
      <c r="AE185" s="2461"/>
      <c r="AF185" s="68"/>
    </row>
    <row r="186" spans="1:32" x14ac:dyDescent="0.35">
      <c r="A186" s="665"/>
      <c r="B186" s="662">
        <v>10693</v>
      </c>
      <c r="C186" s="662"/>
      <c r="D186" s="666"/>
      <c r="E186" s="291" t="s">
        <v>11461</v>
      </c>
      <c r="F186" s="13">
        <v>5</v>
      </c>
      <c r="G186" s="13">
        <v>5</v>
      </c>
      <c r="H186" s="340">
        <v>6</v>
      </c>
      <c r="I186" s="572"/>
      <c r="J186" s="572"/>
      <c r="K186" s="573"/>
      <c r="L186" s="573"/>
      <c r="M186" s="572"/>
      <c r="N186" s="2867">
        <v>0.56499999999999995</v>
      </c>
      <c r="O186" s="556"/>
      <c r="P186" s="572"/>
      <c r="Q186" s="863"/>
      <c r="R186" s="873"/>
      <c r="S186" s="72"/>
      <c r="T186" s="334"/>
      <c r="U186" s="72"/>
      <c r="V186" s="72"/>
      <c r="W186" s="72"/>
      <c r="X186" s="72"/>
      <c r="Y186" s="72"/>
      <c r="Z186" s="660"/>
      <c r="AE186" s="2461"/>
      <c r="AF186" s="68"/>
    </row>
    <row r="187" spans="1:32" x14ac:dyDescent="0.35">
      <c r="A187" s="665"/>
      <c r="B187" s="662">
        <v>10693</v>
      </c>
      <c r="C187" s="662"/>
      <c r="D187" s="666"/>
      <c r="E187" s="838" t="s">
        <v>11462</v>
      </c>
      <c r="F187" s="13" t="s">
        <v>1490</v>
      </c>
      <c r="G187" s="13">
        <v>5</v>
      </c>
      <c r="H187" s="13">
        <v>6</v>
      </c>
      <c r="I187" s="676"/>
      <c r="J187" s="676"/>
      <c r="K187" s="573"/>
      <c r="L187" s="573"/>
      <c r="M187" s="572"/>
      <c r="N187" s="572"/>
      <c r="O187" s="556"/>
      <c r="P187" s="572"/>
      <c r="Q187" s="863"/>
      <c r="R187" s="873">
        <f>1.63-0.565</f>
        <v>1.0649999999999999</v>
      </c>
      <c r="S187" s="72"/>
      <c r="T187" s="334"/>
      <c r="U187" s="72"/>
      <c r="V187" s="72"/>
      <c r="W187" s="72"/>
      <c r="X187" s="72"/>
      <c r="Y187" s="72"/>
      <c r="Z187" s="660"/>
      <c r="AC187" s="3" t="s">
        <v>2570</v>
      </c>
      <c r="AE187" s="2461"/>
      <c r="AF187" s="68"/>
    </row>
    <row r="188" spans="1:32" x14ac:dyDescent="0.35">
      <c r="A188" s="665"/>
      <c r="B188" s="662">
        <v>10693</v>
      </c>
      <c r="C188" s="662"/>
      <c r="D188" s="666"/>
      <c r="E188" s="838" t="s">
        <v>11463</v>
      </c>
      <c r="F188" s="13" t="s">
        <v>664</v>
      </c>
      <c r="G188" s="13">
        <v>5</v>
      </c>
      <c r="H188" s="13">
        <v>6</v>
      </c>
      <c r="I188" s="676"/>
      <c r="J188" s="676"/>
      <c r="K188" s="573"/>
      <c r="L188" s="573"/>
      <c r="M188" s="572"/>
      <c r="N188" s="572"/>
      <c r="O188" s="556"/>
      <c r="P188" s="572"/>
      <c r="Q188" s="863"/>
      <c r="R188" s="873">
        <f>1.86-1.63</f>
        <v>0.2300000000000002</v>
      </c>
      <c r="S188" s="72"/>
      <c r="T188" s="334"/>
      <c r="U188" s="72"/>
      <c r="V188" s="72"/>
      <c r="W188" s="72"/>
      <c r="X188" s="72"/>
      <c r="Y188" s="72"/>
      <c r="Z188" s="660"/>
      <c r="AE188" s="2461"/>
      <c r="AF188" s="68"/>
    </row>
    <row r="189" spans="1:32" ht="30" x14ac:dyDescent="0.35">
      <c r="A189" s="693">
        <v>75</v>
      </c>
      <c r="B189" s="693">
        <v>10693</v>
      </c>
      <c r="C189" s="693" t="s">
        <v>1656</v>
      </c>
      <c r="D189" s="2468" t="s">
        <v>4977</v>
      </c>
      <c r="E189" s="2187" t="s">
        <v>8537</v>
      </c>
      <c r="F189" s="92" t="s">
        <v>1490</v>
      </c>
      <c r="G189" s="92">
        <v>5</v>
      </c>
      <c r="H189" s="13">
        <v>6</v>
      </c>
      <c r="I189" s="702">
        <f>J189+K189+L189</f>
        <v>0.85</v>
      </c>
      <c r="J189" s="702">
        <f>SUM(M189:R189)</f>
        <v>0.85</v>
      </c>
      <c r="K189" s="2088"/>
      <c r="L189" s="2088"/>
      <c r="M189" s="2088"/>
      <c r="N189" s="2088"/>
      <c r="O189" s="2088"/>
      <c r="P189" s="2088"/>
      <c r="Q189" s="2088"/>
      <c r="R189" s="906">
        <v>0.85</v>
      </c>
      <c r="S189" s="106"/>
      <c r="T189" s="106"/>
      <c r="U189" s="106"/>
      <c r="V189" s="106"/>
      <c r="W189" s="105"/>
      <c r="X189" s="105"/>
      <c r="Y189" s="105"/>
      <c r="Z189" s="105"/>
      <c r="AB189" s="3">
        <v>1</v>
      </c>
      <c r="AE189" s="2461"/>
      <c r="AF189" s="68"/>
    </row>
    <row r="190" spans="1:32" ht="30" x14ac:dyDescent="0.35">
      <c r="A190" s="661">
        <v>76</v>
      </c>
      <c r="B190" s="662">
        <v>10694</v>
      </c>
      <c r="C190" s="662"/>
      <c r="D190" s="662" t="s">
        <v>3254</v>
      </c>
      <c r="E190" s="290" t="s">
        <v>6907</v>
      </c>
      <c r="F190" s="13"/>
      <c r="G190" s="13" t="s">
        <v>191</v>
      </c>
      <c r="H190" s="340" t="s">
        <v>191</v>
      </c>
      <c r="I190" s="552">
        <f>L190+K190+J190</f>
        <v>2.8340000000000001</v>
      </c>
      <c r="J190" s="552">
        <f>SUM(M190:R190)</f>
        <v>2.8340000000000001</v>
      </c>
      <c r="K190" s="553"/>
      <c r="L190" s="553"/>
      <c r="M190" s="552"/>
      <c r="N190" s="552">
        <f>SUM(N191:N192)</f>
        <v>1.387</v>
      </c>
      <c r="O190" s="555"/>
      <c r="P190" s="552"/>
      <c r="Q190" s="860">
        <f>SUM(Q191:Q192)</f>
        <v>1.4470000000000001</v>
      </c>
      <c r="R190" s="870"/>
      <c r="S190" s="330"/>
      <c r="T190" s="331"/>
      <c r="U190" s="330"/>
      <c r="V190" s="330"/>
      <c r="W190" s="328">
        <v>15</v>
      </c>
      <c r="X190" s="328">
        <v>196.17</v>
      </c>
      <c r="Y190" s="328">
        <v>2</v>
      </c>
      <c r="Z190" s="663">
        <v>30</v>
      </c>
      <c r="AB190" s="3">
        <v>1</v>
      </c>
      <c r="AE190" s="2461"/>
      <c r="AF190" s="68"/>
    </row>
    <row r="191" spans="1:32" x14ac:dyDescent="0.35">
      <c r="A191" s="658"/>
      <c r="B191" s="662">
        <v>10694</v>
      </c>
      <c r="C191" s="662"/>
      <c r="D191" s="659"/>
      <c r="E191" s="837" t="s">
        <v>2136</v>
      </c>
      <c r="F191" s="14">
        <v>5</v>
      </c>
      <c r="G191" s="13">
        <v>4</v>
      </c>
      <c r="H191" s="340">
        <v>6</v>
      </c>
      <c r="I191" s="572"/>
      <c r="J191" s="573"/>
      <c r="K191" s="573"/>
      <c r="L191" s="573"/>
      <c r="M191" s="573"/>
      <c r="N191" s="573"/>
      <c r="O191" s="551"/>
      <c r="P191" s="573"/>
      <c r="Q191" s="863">
        <v>1.4470000000000001</v>
      </c>
      <c r="R191" s="875"/>
      <c r="S191" s="72"/>
      <c r="T191" s="334"/>
      <c r="U191" s="72"/>
      <c r="V191" s="72"/>
      <c r="W191" s="72"/>
      <c r="X191" s="72"/>
      <c r="Y191" s="72"/>
      <c r="Z191" s="660"/>
      <c r="AE191" s="2461"/>
      <c r="AF191" s="68"/>
    </row>
    <row r="192" spans="1:32" x14ac:dyDescent="0.35">
      <c r="A192" s="658"/>
      <c r="B192" s="662">
        <v>10694</v>
      </c>
      <c r="C192" s="662"/>
      <c r="D192" s="659"/>
      <c r="E192" s="291" t="s">
        <v>35</v>
      </c>
      <c r="F192" s="14">
        <v>4</v>
      </c>
      <c r="G192" s="13">
        <v>4</v>
      </c>
      <c r="H192" s="340">
        <v>6</v>
      </c>
      <c r="I192" s="676"/>
      <c r="J192" s="1124"/>
      <c r="K192" s="573"/>
      <c r="L192" s="573"/>
      <c r="M192" s="573"/>
      <c r="N192" s="572">
        <v>1.387</v>
      </c>
      <c r="O192" s="551"/>
      <c r="P192" s="573"/>
      <c r="Q192" s="865"/>
      <c r="R192" s="875"/>
      <c r="S192" s="72"/>
      <c r="T192" s="334"/>
      <c r="U192" s="72"/>
      <c r="V192" s="72"/>
      <c r="W192" s="72"/>
      <c r="X192" s="72"/>
      <c r="Y192" s="72"/>
      <c r="Z192" s="660"/>
      <c r="AE192" s="2461"/>
      <c r="AF192" s="68"/>
    </row>
    <row r="193" spans="1:32" ht="30.5" x14ac:dyDescent="0.35">
      <c r="A193" s="661">
        <v>77</v>
      </c>
      <c r="B193" s="662">
        <v>10694</v>
      </c>
      <c r="C193" s="662"/>
      <c r="D193" s="2468" t="s">
        <v>4978</v>
      </c>
      <c r="E193" s="290" t="s">
        <v>9847</v>
      </c>
      <c r="F193" s="13" t="s">
        <v>664</v>
      </c>
      <c r="G193" s="13">
        <v>5</v>
      </c>
      <c r="H193" s="13">
        <v>6</v>
      </c>
      <c r="I193" s="674">
        <f>L193+K193+J193</f>
        <v>0.5</v>
      </c>
      <c r="J193" s="674">
        <f>SUM(M193:R193)</f>
        <v>0.5</v>
      </c>
      <c r="K193" s="553"/>
      <c r="L193" s="553"/>
      <c r="M193" s="552"/>
      <c r="N193" s="552"/>
      <c r="O193" s="555"/>
      <c r="P193" s="552"/>
      <c r="Q193" s="860"/>
      <c r="R193" s="870">
        <v>0.5</v>
      </c>
      <c r="S193" s="330"/>
      <c r="T193" s="331"/>
      <c r="U193" s="330"/>
      <c r="V193" s="330"/>
      <c r="W193" s="330"/>
      <c r="X193" s="330"/>
      <c r="Y193" s="330"/>
      <c r="Z193" s="663"/>
      <c r="AB193" s="3">
        <v>1</v>
      </c>
      <c r="AE193" s="2461"/>
      <c r="AF193" s="68"/>
    </row>
    <row r="194" spans="1:32" ht="45.5" x14ac:dyDescent="0.35">
      <c r="A194" s="1823">
        <v>78</v>
      </c>
      <c r="B194" s="826">
        <v>10694</v>
      </c>
      <c r="C194" s="826" t="s">
        <v>1656</v>
      </c>
      <c r="D194" s="2468" t="s">
        <v>4979</v>
      </c>
      <c r="E194" s="511" t="s">
        <v>8538</v>
      </c>
      <c r="F194" s="1138" t="s">
        <v>664</v>
      </c>
      <c r="G194" s="13">
        <v>5</v>
      </c>
      <c r="H194" s="13">
        <v>6</v>
      </c>
      <c r="I194" s="297">
        <f>J194+K194+L194</f>
        <v>0.3</v>
      </c>
      <c r="J194" s="297">
        <f>SUM(M194:R194)</f>
        <v>0.3</v>
      </c>
      <c r="K194" s="553"/>
      <c r="L194" s="553"/>
      <c r="M194" s="501"/>
      <c r="N194" s="501"/>
      <c r="O194" s="568"/>
      <c r="P194" s="501"/>
      <c r="Q194" s="1856"/>
      <c r="R194" s="1865">
        <v>0.3</v>
      </c>
      <c r="S194" s="328"/>
      <c r="T194" s="329"/>
      <c r="U194" s="330"/>
      <c r="V194" s="330"/>
      <c r="W194" s="328"/>
      <c r="X194" s="328"/>
      <c r="Y194" s="328"/>
      <c r="Z194" s="2376"/>
      <c r="AA194" s="3" t="s">
        <v>2467</v>
      </c>
      <c r="AB194" s="3">
        <v>1</v>
      </c>
      <c r="AE194" s="2461"/>
      <c r="AF194" s="68"/>
    </row>
    <row r="195" spans="1:32" ht="30" x14ac:dyDescent="0.35">
      <c r="A195" s="661">
        <v>79</v>
      </c>
      <c r="B195" s="662">
        <v>10695</v>
      </c>
      <c r="C195" s="662"/>
      <c r="D195" s="662" t="s">
        <v>2534</v>
      </c>
      <c r="E195" s="550" t="s">
        <v>10761</v>
      </c>
      <c r="F195" s="13"/>
      <c r="G195" s="13" t="s">
        <v>191</v>
      </c>
      <c r="H195" s="340" t="s">
        <v>191</v>
      </c>
      <c r="I195" s="674">
        <f>L195+K195+J195</f>
        <v>9.8000000000000007</v>
      </c>
      <c r="J195" s="674">
        <f>SUM(M195:R195)</f>
        <v>9.8000000000000007</v>
      </c>
      <c r="K195" s="553"/>
      <c r="L195" s="553"/>
      <c r="M195" s="552"/>
      <c r="N195" s="552"/>
      <c r="O195" s="555"/>
      <c r="P195" s="552"/>
      <c r="Q195" s="860">
        <f>SUM(Q196:Q200)</f>
        <v>4.45</v>
      </c>
      <c r="R195" s="870">
        <f>SUM(R196:R200)</f>
        <v>5.3500000000000005</v>
      </c>
      <c r="S195" s="328"/>
      <c r="T195" s="329"/>
      <c r="U195" s="330"/>
      <c r="V195" s="330"/>
      <c r="W195" s="328">
        <v>9</v>
      </c>
      <c r="X195" s="328">
        <v>100</v>
      </c>
      <c r="Y195" s="328">
        <v>2</v>
      </c>
      <c r="Z195" s="663">
        <v>20</v>
      </c>
      <c r="AB195" s="3">
        <v>1</v>
      </c>
      <c r="AE195" s="2461"/>
      <c r="AF195" s="68"/>
    </row>
    <row r="196" spans="1:32" ht="46.5" x14ac:dyDescent="0.35">
      <c r="A196" s="661"/>
      <c r="B196" s="662">
        <v>10695</v>
      </c>
      <c r="C196" s="662"/>
      <c r="D196" s="662"/>
      <c r="E196" s="291" t="s">
        <v>9993</v>
      </c>
      <c r="F196" s="13"/>
      <c r="G196" s="13" t="s">
        <v>191</v>
      </c>
      <c r="H196" s="13" t="s">
        <v>191</v>
      </c>
      <c r="I196" s="552"/>
      <c r="J196" s="552"/>
      <c r="K196" s="553"/>
      <c r="L196" s="553"/>
      <c r="M196" s="552"/>
      <c r="N196" s="552"/>
      <c r="O196" s="555"/>
      <c r="P196" s="552"/>
      <c r="Q196" s="860"/>
      <c r="R196" s="870"/>
      <c r="S196" s="328"/>
      <c r="T196" s="329"/>
      <c r="U196" s="330"/>
      <c r="V196" s="330"/>
      <c r="W196" s="328"/>
      <c r="X196" s="328"/>
      <c r="Y196" s="328"/>
      <c r="Z196" s="663"/>
      <c r="AE196" s="2461"/>
      <c r="AF196" s="68"/>
    </row>
    <row r="197" spans="1:32" x14ac:dyDescent="0.35">
      <c r="A197" s="661"/>
      <c r="B197" s="662"/>
      <c r="C197" s="662"/>
      <c r="D197" s="662"/>
      <c r="E197" s="837" t="s">
        <v>966</v>
      </c>
      <c r="F197" s="1138" t="s">
        <v>1490</v>
      </c>
      <c r="G197" s="1138">
        <v>5</v>
      </c>
      <c r="H197" s="1138">
        <v>6</v>
      </c>
      <c r="I197" s="552"/>
      <c r="J197" s="552"/>
      <c r="K197" s="553"/>
      <c r="L197" s="553"/>
      <c r="M197" s="552"/>
      <c r="N197" s="552"/>
      <c r="O197" s="555"/>
      <c r="P197" s="552"/>
      <c r="Q197" s="860">
        <v>0.95</v>
      </c>
      <c r="R197" s="870"/>
      <c r="S197" s="328"/>
      <c r="T197" s="329"/>
      <c r="U197" s="330"/>
      <c r="V197" s="330"/>
      <c r="W197" s="328"/>
      <c r="X197" s="328"/>
      <c r="Y197" s="328"/>
      <c r="Z197" s="663"/>
      <c r="AE197" s="2461"/>
      <c r="AF197" s="68"/>
    </row>
    <row r="198" spans="1:32" x14ac:dyDescent="0.35">
      <c r="A198" s="661"/>
      <c r="B198" s="662">
        <v>10695</v>
      </c>
      <c r="C198" s="662"/>
      <c r="D198" s="662"/>
      <c r="E198" s="838" t="s">
        <v>11115</v>
      </c>
      <c r="F198" s="13" t="s">
        <v>1490</v>
      </c>
      <c r="G198" s="13">
        <v>5</v>
      </c>
      <c r="H198" s="13">
        <v>6</v>
      </c>
      <c r="I198" s="552"/>
      <c r="J198" s="552"/>
      <c r="K198" s="553"/>
      <c r="L198" s="553"/>
      <c r="M198" s="552"/>
      <c r="N198" s="552"/>
      <c r="O198" s="555"/>
      <c r="P198" s="552"/>
      <c r="Q198" s="860"/>
      <c r="R198" s="1868">
        <f>1.5-0.95</f>
        <v>0.55000000000000004</v>
      </c>
      <c r="S198" s="328"/>
      <c r="T198" s="329"/>
      <c r="U198" s="330"/>
      <c r="V198" s="330"/>
      <c r="W198" s="328"/>
      <c r="X198" s="328"/>
      <c r="Y198" s="328"/>
      <c r="Z198" s="663"/>
      <c r="AE198" s="2461"/>
      <c r="AF198" s="68"/>
    </row>
    <row r="199" spans="1:32" x14ac:dyDescent="0.35">
      <c r="A199" s="661"/>
      <c r="B199" s="662">
        <v>10695</v>
      </c>
      <c r="C199" s="662"/>
      <c r="D199" s="662"/>
      <c r="E199" s="837" t="s">
        <v>3006</v>
      </c>
      <c r="F199" s="13" t="s">
        <v>827</v>
      </c>
      <c r="G199" s="13">
        <v>5</v>
      </c>
      <c r="H199" s="340">
        <v>6</v>
      </c>
      <c r="I199" s="552"/>
      <c r="J199" s="552"/>
      <c r="K199" s="553"/>
      <c r="L199" s="553"/>
      <c r="M199" s="552"/>
      <c r="N199" s="552"/>
      <c r="O199" s="555"/>
      <c r="P199" s="552"/>
      <c r="Q199" s="860">
        <v>3.5</v>
      </c>
      <c r="R199" s="1868"/>
      <c r="S199" s="328"/>
      <c r="T199" s="329"/>
      <c r="U199" s="330"/>
      <c r="V199" s="330"/>
      <c r="W199" s="328"/>
      <c r="X199" s="328"/>
      <c r="Y199" s="328"/>
      <c r="Z199" s="663"/>
      <c r="AE199" s="2461"/>
      <c r="AF199" s="68"/>
    </row>
    <row r="200" spans="1:32" x14ac:dyDescent="0.35">
      <c r="A200" s="661"/>
      <c r="B200" s="662">
        <v>10695</v>
      </c>
      <c r="C200" s="662"/>
      <c r="D200" s="662"/>
      <c r="E200" s="838" t="s">
        <v>6908</v>
      </c>
      <c r="F200" s="13" t="s">
        <v>1490</v>
      </c>
      <c r="G200" s="13">
        <v>5</v>
      </c>
      <c r="H200" s="13">
        <v>6</v>
      </c>
      <c r="I200" s="552"/>
      <c r="J200" s="552"/>
      <c r="K200" s="553"/>
      <c r="L200" s="553"/>
      <c r="M200" s="552"/>
      <c r="N200" s="552"/>
      <c r="O200" s="555"/>
      <c r="P200" s="552"/>
      <c r="Q200" s="860"/>
      <c r="R200" s="1868">
        <f>9.8-5</f>
        <v>4.8000000000000007</v>
      </c>
      <c r="S200" s="328"/>
      <c r="T200" s="329"/>
      <c r="U200" s="330"/>
      <c r="V200" s="330"/>
      <c r="W200" s="328"/>
      <c r="X200" s="328"/>
      <c r="Y200" s="328"/>
      <c r="Z200" s="663"/>
      <c r="AE200" s="2461"/>
      <c r="AF200" s="68"/>
    </row>
    <row r="201" spans="1:32" ht="30" x14ac:dyDescent="0.35">
      <c r="A201" s="661">
        <v>80</v>
      </c>
      <c r="B201" s="662">
        <v>10696</v>
      </c>
      <c r="C201" s="662"/>
      <c r="D201" s="662" t="s">
        <v>2357</v>
      </c>
      <c r="E201" s="290" t="s">
        <v>578</v>
      </c>
      <c r="F201" s="13"/>
      <c r="G201" s="13" t="s">
        <v>191</v>
      </c>
      <c r="H201" s="340" t="s">
        <v>191</v>
      </c>
      <c r="I201" s="552">
        <f>L201+K201+J201</f>
        <v>4.62</v>
      </c>
      <c r="J201" s="552">
        <f>SUM(M201:R201)</f>
        <v>4.62</v>
      </c>
      <c r="K201" s="553"/>
      <c r="L201" s="553"/>
      <c r="M201" s="552"/>
      <c r="N201" s="552">
        <f>SUM(N202:N203)</f>
        <v>0.41699999999999998</v>
      </c>
      <c r="O201" s="555"/>
      <c r="P201" s="552"/>
      <c r="Q201" s="860">
        <f>SUM(Q202:Q203)</f>
        <v>4.2030000000000003</v>
      </c>
      <c r="R201" s="870"/>
      <c r="S201" s="330"/>
      <c r="T201" s="331"/>
      <c r="U201" s="330"/>
      <c r="V201" s="330"/>
      <c r="W201" s="328">
        <v>21</v>
      </c>
      <c r="X201" s="328">
        <v>246.1</v>
      </c>
      <c r="Y201" s="330">
        <v>5</v>
      </c>
      <c r="Z201" s="663">
        <v>44</v>
      </c>
      <c r="AB201" s="3">
        <v>1</v>
      </c>
      <c r="AE201" s="2461"/>
      <c r="AF201" s="68"/>
    </row>
    <row r="202" spans="1:32" x14ac:dyDescent="0.35">
      <c r="A202" s="661"/>
      <c r="B202" s="662">
        <v>10696</v>
      </c>
      <c r="C202" s="662"/>
      <c r="D202" s="662"/>
      <c r="E202" s="291" t="s">
        <v>2034</v>
      </c>
      <c r="F202" s="13">
        <v>5</v>
      </c>
      <c r="G202" s="13">
        <v>5</v>
      </c>
      <c r="H202" s="340">
        <v>6</v>
      </c>
      <c r="I202" s="552"/>
      <c r="J202" s="552"/>
      <c r="K202" s="553"/>
      <c r="L202" s="553"/>
      <c r="M202" s="552"/>
      <c r="N202" s="572">
        <v>0.41699999999999998</v>
      </c>
      <c r="O202" s="556"/>
      <c r="P202" s="572"/>
      <c r="Q202" s="863"/>
      <c r="R202" s="870"/>
      <c r="S202" s="330"/>
      <c r="T202" s="331"/>
      <c r="U202" s="330"/>
      <c r="V202" s="330"/>
      <c r="W202" s="328"/>
      <c r="X202" s="328"/>
      <c r="Y202" s="330"/>
      <c r="Z202" s="663"/>
      <c r="AE202" s="2461"/>
      <c r="AF202" s="68"/>
    </row>
    <row r="203" spans="1:32" x14ac:dyDescent="0.35">
      <c r="A203" s="661"/>
      <c r="B203" s="662">
        <v>10696</v>
      </c>
      <c r="C203" s="662"/>
      <c r="D203" s="662"/>
      <c r="E203" s="837" t="s">
        <v>579</v>
      </c>
      <c r="F203" s="13">
        <v>5</v>
      </c>
      <c r="G203" s="13">
        <v>5</v>
      </c>
      <c r="H203" s="340">
        <v>6</v>
      </c>
      <c r="I203" s="674"/>
      <c r="J203" s="674"/>
      <c r="K203" s="553"/>
      <c r="L203" s="553"/>
      <c r="M203" s="552"/>
      <c r="N203" s="572"/>
      <c r="O203" s="556"/>
      <c r="P203" s="572"/>
      <c r="Q203" s="863">
        <v>4.2030000000000003</v>
      </c>
      <c r="R203" s="870"/>
      <c r="S203" s="330"/>
      <c r="T203" s="331"/>
      <c r="U203" s="330"/>
      <c r="V203" s="330"/>
      <c r="W203" s="328"/>
      <c r="X203" s="328"/>
      <c r="Y203" s="330"/>
      <c r="Z203" s="663"/>
      <c r="AE203" s="2461"/>
      <c r="AF203" s="68"/>
    </row>
    <row r="204" spans="1:32" ht="30.5" x14ac:dyDescent="0.35">
      <c r="A204" s="1823">
        <v>81</v>
      </c>
      <c r="B204" s="826">
        <v>10712</v>
      </c>
      <c r="C204" s="826" t="s">
        <v>1656</v>
      </c>
      <c r="D204" s="2468" t="s">
        <v>4994</v>
      </c>
      <c r="E204" s="511" t="s">
        <v>8539</v>
      </c>
      <c r="F204" s="1138" t="s">
        <v>664</v>
      </c>
      <c r="G204" s="13">
        <v>5</v>
      </c>
      <c r="H204" s="13">
        <v>6</v>
      </c>
      <c r="I204" s="297">
        <f>J204+K204+L204</f>
        <v>0.4</v>
      </c>
      <c r="J204" s="297">
        <f>SUM(M204:R204)</f>
        <v>0.4</v>
      </c>
      <c r="K204" s="553"/>
      <c r="L204" s="553"/>
      <c r="M204" s="501"/>
      <c r="N204" s="501"/>
      <c r="O204" s="568"/>
      <c r="P204" s="501"/>
      <c r="Q204" s="1856"/>
      <c r="R204" s="1865">
        <v>0.4</v>
      </c>
      <c r="S204" s="328"/>
      <c r="T204" s="329"/>
      <c r="U204" s="330"/>
      <c r="V204" s="330"/>
      <c r="W204" s="328"/>
      <c r="X204" s="328"/>
      <c r="Y204" s="328"/>
      <c r="Z204" s="2376"/>
      <c r="AA204" s="3" t="s">
        <v>409</v>
      </c>
      <c r="AB204" s="3">
        <v>1</v>
      </c>
      <c r="AE204" s="2461"/>
      <c r="AF204" s="68"/>
    </row>
    <row r="205" spans="1:32" ht="30" x14ac:dyDescent="0.35">
      <c r="A205" s="661">
        <v>82</v>
      </c>
      <c r="B205" s="662">
        <v>10697</v>
      </c>
      <c r="C205" s="662"/>
      <c r="D205" s="662" t="s">
        <v>3255</v>
      </c>
      <c r="E205" s="290" t="s">
        <v>580</v>
      </c>
      <c r="F205" s="13"/>
      <c r="G205" s="13" t="s">
        <v>191</v>
      </c>
      <c r="H205" s="340" t="s">
        <v>191</v>
      </c>
      <c r="I205" s="552">
        <f>L205+K205+J205</f>
        <v>4.42</v>
      </c>
      <c r="J205" s="552">
        <f>SUM(M205:R205)</f>
        <v>4.42</v>
      </c>
      <c r="K205" s="553"/>
      <c r="L205" s="553"/>
      <c r="M205" s="552"/>
      <c r="N205" s="552"/>
      <c r="O205" s="555"/>
      <c r="P205" s="552"/>
      <c r="Q205" s="860">
        <f>SUM(Q206:Q207)</f>
        <v>3</v>
      </c>
      <c r="R205" s="870">
        <f>SUM(R206:R207)</f>
        <v>1.42</v>
      </c>
      <c r="S205" s="330"/>
      <c r="T205" s="331"/>
      <c r="U205" s="330"/>
      <c r="V205" s="330"/>
      <c r="W205" s="328">
        <v>6</v>
      </c>
      <c r="X205" s="328">
        <v>72.2</v>
      </c>
      <c r="Y205" s="330">
        <v>2</v>
      </c>
      <c r="Z205" s="663">
        <v>30</v>
      </c>
      <c r="AB205" s="3">
        <v>1</v>
      </c>
      <c r="AE205" s="2461"/>
      <c r="AF205" s="68"/>
    </row>
    <row r="206" spans="1:32" x14ac:dyDescent="0.35">
      <c r="A206" s="661"/>
      <c r="B206" s="662">
        <v>10697</v>
      </c>
      <c r="C206" s="662"/>
      <c r="D206" s="662"/>
      <c r="E206" s="837" t="s">
        <v>948</v>
      </c>
      <c r="F206" s="13">
        <v>5</v>
      </c>
      <c r="G206" s="13">
        <v>5</v>
      </c>
      <c r="H206" s="340">
        <v>6</v>
      </c>
      <c r="I206" s="552"/>
      <c r="J206" s="552"/>
      <c r="K206" s="553"/>
      <c r="L206" s="553"/>
      <c r="M206" s="552"/>
      <c r="N206" s="552"/>
      <c r="O206" s="555"/>
      <c r="P206" s="552"/>
      <c r="Q206" s="863">
        <v>3</v>
      </c>
      <c r="R206" s="873"/>
      <c r="S206" s="330"/>
      <c r="T206" s="331"/>
      <c r="U206" s="330"/>
      <c r="V206" s="330"/>
      <c r="W206" s="328"/>
      <c r="X206" s="328"/>
      <c r="Y206" s="330"/>
      <c r="Z206" s="663"/>
      <c r="AE206" s="2461"/>
      <c r="AF206" s="68"/>
    </row>
    <row r="207" spans="1:32" x14ac:dyDescent="0.35">
      <c r="A207" s="661"/>
      <c r="B207" s="662">
        <v>10697</v>
      </c>
      <c r="C207" s="662"/>
      <c r="D207" s="662"/>
      <c r="E207" s="838" t="s">
        <v>3050</v>
      </c>
      <c r="F207" s="13" t="s">
        <v>827</v>
      </c>
      <c r="G207" s="13">
        <v>5</v>
      </c>
      <c r="H207" s="13">
        <v>6</v>
      </c>
      <c r="I207" s="674"/>
      <c r="J207" s="674"/>
      <c r="K207" s="553"/>
      <c r="L207" s="553"/>
      <c r="M207" s="552"/>
      <c r="N207" s="552"/>
      <c r="O207" s="555"/>
      <c r="P207" s="552"/>
      <c r="Q207" s="863"/>
      <c r="R207" s="873">
        <v>1.42</v>
      </c>
      <c r="S207" s="330"/>
      <c r="T207" s="331"/>
      <c r="U207" s="330"/>
      <c r="V207" s="330"/>
      <c r="W207" s="328"/>
      <c r="X207" s="328"/>
      <c r="Y207" s="330"/>
      <c r="Z207" s="663"/>
      <c r="AE207" s="2461"/>
      <c r="AF207" s="68"/>
    </row>
    <row r="208" spans="1:32" ht="30.5" x14ac:dyDescent="0.35">
      <c r="A208" s="1823">
        <v>83</v>
      </c>
      <c r="B208" s="826">
        <v>10697</v>
      </c>
      <c r="C208" s="826" t="s">
        <v>1656</v>
      </c>
      <c r="D208" s="2468" t="s">
        <v>4980</v>
      </c>
      <c r="E208" s="511" t="s">
        <v>8540</v>
      </c>
      <c r="F208" s="1944" t="s">
        <v>664</v>
      </c>
      <c r="G208" s="13">
        <v>5</v>
      </c>
      <c r="H208" s="13">
        <v>6</v>
      </c>
      <c r="I208" s="297">
        <f>J208+K208+L208</f>
        <v>0.4</v>
      </c>
      <c r="J208" s="297">
        <f>SUM(M208:R208)</f>
        <v>0.4</v>
      </c>
      <c r="K208" s="573"/>
      <c r="L208" s="573"/>
      <c r="M208" s="503"/>
      <c r="N208" s="503"/>
      <c r="O208" s="570"/>
      <c r="P208" s="503"/>
      <c r="Q208" s="1856"/>
      <c r="R208" s="2098">
        <v>0.4</v>
      </c>
      <c r="S208" s="72"/>
      <c r="T208" s="334"/>
      <c r="U208" s="72"/>
      <c r="V208" s="72"/>
      <c r="W208" s="72"/>
      <c r="X208" s="72"/>
      <c r="Y208" s="72"/>
      <c r="Z208" s="2375"/>
      <c r="AA208" s="3" t="s">
        <v>2468</v>
      </c>
      <c r="AB208" s="3">
        <v>1</v>
      </c>
      <c r="AE208" s="2461"/>
      <c r="AF208" s="68"/>
    </row>
    <row r="209" spans="1:32" ht="30" x14ac:dyDescent="0.35">
      <c r="A209" s="661">
        <v>84</v>
      </c>
      <c r="B209" s="662">
        <v>10698</v>
      </c>
      <c r="C209" s="662"/>
      <c r="D209" s="662" t="s">
        <v>3256</v>
      </c>
      <c r="E209" s="550" t="s">
        <v>10762</v>
      </c>
      <c r="F209" s="13"/>
      <c r="G209" s="13" t="s">
        <v>191</v>
      </c>
      <c r="H209" s="340" t="s">
        <v>191</v>
      </c>
      <c r="I209" s="674">
        <f>L209+K209+J209</f>
        <v>3.59</v>
      </c>
      <c r="J209" s="674">
        <f>SUM(M209:R209)</f>
        <v>3.59</v>
      </c>
      <c r="K209" s="553"/>
      <c r="L209" s="553"/>
      <c r="M209" s="552"/>
      <c r="N209" s="552">
        <f>SUM(N210:N211)</f>
        <v>3.16</v>
      </c>
      <c r="O209" s="555"/>
      <c r="P209" s="552"/>
      <c r="Q209" s="860"/>
      <c r="R209" s="870">
        <f>SUM(R210:R211)</f>
        <v>0.42999999999999972</v>
      </c>
      <c r="S209" s="330"/>
      <c r="T209" s="331"/>
      <c r="U209" s="330"/>
      <c r="V209" s="330"/>
      <c r="W209" s="328">
        <v>7</v>
      </c>
      <c r="X209" s="328">
        <v>74</v>
      </c>
      <c r="Y209" s="330">
        <v>2</v>
      </c>
      <c r="Z209" s="663">
        <v>15</v>
      </c>
      <c r="AB209" s="3">
        <v>1</v>
      </c>
      <c r="AE209" s="2461"/>
      <c r="AF209" s="68"/>
    </row>
    <row r="210" spans="1:32" x14ac:dyDescent="0.35">
      <c r="A210" s="658"/>
      <c r="B210" s="662">
        <v>10698</v>
      </c>
      <c r="C210" s="662"/>
      <c r="D210" s="659"/>
      <c r="E210" s="291" t="s">
        <v>3051</v>
      </c>
      <c r="F210" s="14">
        <v>5</v>
      </c>
      <c r="G210" s="14">
        <v>4</v>
      </c>
      <c r="H210" s="340">
        <v>6</v>
      </c>
      <c r="I210" s="572"/>
      <c r="J210" s="573"/>
      <c r="K210" s="573"/>
      <c r="L210" s="573"/>
      <c r="M210" s="573"/>
      <c r="N210" s="572">
        <v>3.16</v>
      </c>
      <c r="O210" s="551"/>
      <c r="P210" s="573"/>
      <c r="Q210" s="865"/>
      <c r="R210" s="875"/>
      <c r="S210" s="72"/>
      <c r="T210" s="334"/>
      <c r="U210" s="72"/>
      <c r="V210" s="72"/>
      <c r="W210" s="72"/>
      <c r="X210" s="72"/>
      <c r="Y210" s="72"/>
      <c r="Z210" s="660"/>
      <c r="AE210" s="2461"/>
      <c r="AF210" s="68"/>
    </row>
    <row r="211" spans="1:32" x14ac:dyDescent="0.35">
      <c r="A211" s="658"/>
      <c r="B211" s="662">
        <v>10698</v>
      </c>
      <c r="C211" s="662"/>
      <c r="D211" s="659"/>
      <c r="E211" s="838" t="s">
        <v>6909</v>
      </c>
      <c r="F211" s="14" t="s">
        <v>664</v>
      </c>
      <c r="G211" s="14">
        <v>4</v>
      </c>
      <c r="H211" s="13">
        <v>6</v>
      </c>
      <c r="I211" s="572"/>
      <c r="J211" s="573"/>
      <c r="K211" s="573"/>
      <c r="L211" s="573"/>
      <c r="M211" s="573"/>
      <c r="N211" s="573"/>
      <c r="O211" s="551"/>
      <c r="P211" s="573"/>
      <c r="Q211" s="865"/>
      <c r="R211" s="873">
        <f>3.59-3.16</f>
        <v>0.42999999999999972</v>
      </c>
      <c r="S211" s="72"/>
      <c r="T211" s="334"/>
      <c r="U211" s="72"/>
      <c r="V211" s="72"/>
      <c r="W211" s="72"/>
      <c r="X211" s="72"/>
      <c r="Y211" s="72"/>
      <c r="Z211" s="660"/>
      <c r="AE211" s="2461"/>
      <c r="AF211" s="68"/>
    </row>
    <row r="212" spans="1:32" ht="30.5" x14ac:dyDescent="0.35">
      <c r="A212" s="1823">
        <v>85</v>
      </c>
      <c r="B212" s="826">
        <v>10698</v>
      </c>
      <c r="C212" s="826" t="s">
        <v>1656</v>
      </c>
      <c r="D212" s="2468" t="s">
        <v>4981</v>
      </c>
      <c r="E212" s="511" t="s">
        <v>8541</v>
      </c>
      <c r="F212" s="1944" t="s">
        <v>664</v>
      </c>
      <c r="G212" s="13">
        <v>5</v>
      </c>
      <c r="H212" s="13">
        <v>6</v>
      </c>
      <c r="I212" s="297">
        <f>J212+K212+L212</f>
        <v>0.52</v>
      </c>
      <c r="J212" s="297">
        <f t="shared" ref="J212:J217" si="11">SUM(M212:R212)</f>
        <v>0.52</v>
      </c>
      <c r="K212" s="573"/>
      <c r="L212" s="573"/>
      <c r="M212" s="503"/>
      <c r="N212" s="503"/>
      <c r="O212" s="570"/>
      <c r="P212" s="503"/>
      <c r="Q212" s="1856"/>
      <c r="R212" s="2098">
        <v>0.52</v>
      </c>
      <c r="S212" s="72"/>
      <c r="T212" s="334"/>
      <c r="U212" s="72"/>
      <c r="V212" s="72"/>
      <c r="W212" s="72"/>
      <c r="X212" s="72"/>
      <c r="Y212" s="72"/>
      <c r="Z212" s="2375"/>
      <c r="AA212" s="3" t="s">
        <v>2411</v>
      </c>
      <c r="AB212" s="3">
        <v>1</v>
      </c>
      <c r="AE212" s="2461"/>
      <c r="AF212" s="68"/>
    </row>
    <row r="213" spans="1:32" ht="30" x14ac:dyDescent="0.35">
      <c r="A213" s="661">
        <v>86</v>
      </c>
      <c r="B213" s="662">
        <v>10699</v>
      </c>
      <c r="C213" s="662"/>
      <c r="D213" s="662" t="s">
        <v>3251</v>
      </c>
      <c r="E213" s="290" t="s">
        <v>3052</v>
      </c>
      <c r="F213" s="13">
        <v>5</v>
      </c>
      <c r="G213" s="13">
        <v>5</v>
      </c>
      <c r="H213" s="340">
        <v>6</v>
      </c>
      <c r="I213" s="674">
        <f>L213+K213+J213</f>
        <v>4</v>
      </c>
      <c r="J213" s="674">
        <f t="shared" si="11"/>
        <v>4</v>
      </c>
      <c r="K213" s="553"/>
      <c r="L213" s="553"/>
      <c r="M213" s="552"/>
      <c r="N213" s="552"/>
      <c r="O213" s="555"/>
      <c r="P213" s="552"/>
      <c r="Q213" s="860">
        <v>4</v>
      </c>
      <c r="R213" s="870"/>
      <c r="S213" s="330"/>
      <c r="T213" s="331"/>
      <c r="U213" s="330"/>
      <c r="V213" s="330"/>
      <c r="W213" s="328">
        <v>3</v>
      </c>
      <c r="X213" s="328">
        <v>40.700000000000003</v>
      </c>
      <c r="Y213" s="330"/>
      <c r="Z213" s="663"/>
      <c r="AB213" s="3">
        <v>1</v>
      </c>
      <c r="AE213" s="2461"/>
      <c r="AF213" s="68"/>
    </row>
    <row r="214" spans="1:32" ht="30.5" x14ac:dyDescent="0.35">
      <c r="A214" s="1823">
        <v>87</v>
      </c>
      <c r="B214" s="826">
        <v>10699</v>
      </c>
      <c r="C214" s="826" t="s">
        <v>1656</v>
      </c>
      <c r="D214" s="2468" t="s">
        <v>4982</v>
      </c>
      <c r="E214" s="511" t="s">
        <v>8542</v>
      </c>
      <c r="F214" s="1944" t="s">
        <v>664</v>
      </c>
      <c r="G214" s="13">
        <v>5</v>
      </c>
      <c r="H214" s="13">
        <v>6</v>
      </c>
      <c r="I214" s="297">
        <f>J214+K214+L214</f>
        <v>0.24</v>
      </c>
      <c r="J214" s="297">
        <f t="shared" si="11"/>
        <v>0.24</v>
      </c>
      <c r="K214" s="573"/>
      <c r="L214" s="573"/>
      <c r="M214" s="503"/>
      <c r="N214" s="501"/>
      <c r="O214" s="570"/>
      <c r="P214" s="503"/>
      <c r="Q214" s="2099"/>
      <c r="R214" s="2098">
        <v>0.24</v>
      </c>
      <c r="S214" s="72"/>
      <c r="T214" s="334"/>
      <c r="U214" s="72"/>
      <c r="V214" s="72"/>
      <c r="W214" s="72"/>
      <c r="X214" s="72"/>
      <c r="Y214" s="72"/>
      <c r="Z214" s="2375"/>
      <c r="AA214" s="3" t="s">
        <v>1846</v>
      </c>
      <c r="AB214" s="3">
        <v>1</v>
      </c>
      <c r="AE214" s="2461"/>
      <c r="AF214" s="68"/>
    </row>
    <row r="215" spans="1:32" ht="30" x14ac:dyDescent="0.35">
      <c r="A215" s="661">
        <v>88</v>
      </c>
      <c r="B215" s="662">
        <v>10700</v>
      </c>
      <c r="C215" s="662"/>
      <c r="D215" s="662" t="s">
        <v>3258</v>
      </c>
      <c r="E215" s="290" t="s">
        <v>6910</v>
      </c>
      <c r="F215" s="13">
        <v>4</v>
      </c>
      <c r="G215" s="13">
        <v>5</v>
      </c>
      <c r="H215" s="340">
        <v>6</v>
      </c>
      <c r="I215" s="674">
        <f>L215+K215+J215</f>
        <v>3.84</v>
      </c>
      <c r="J215" s="674">
        <f t="shared" si="11"/>
        <v>3.84</v>
      </c>
      <c r="K215" s="553"/>
      <c r="L215" s="553"/>
      <c r="M215" s="552"/>
      <c r="N215" s="552">
        <v>3.84</v>
      </c>
      <c r="O215" s="555"/>
      <c r="P215" s="552"/>
      <c r="Q215" s="860"/>
      <c r="R215" s="870"/>
      <c r="S215" s="330"/>
      <c r="T215" s="331"/>
      <c r="U215" s="330"/>
      <c r="V215" s="330"/>
      <c r="W215" s="330">
        <v>3</v>
      </c>
      <c r="X215" s="330">
        <v>37.200000000000003</v>
      </c>
      <c r="Y215" s="330">
        <v>1</v>
      </c>
      <c r="Z215" s="663">
        <v>10</v>
      </c>
      <c r="AB215" s="3">
        <v>1</v>
      </c>
      <c r="AE215" s="2461"/>
      <c r="AF215" s="68"/>
    </row>
    <row r="216" spans="1:32" ht="30.5" x14ac:dyDescent="0.35">
      <c r="A216" s="1823">
        <v>89</v>
      </c>
      <c r="B216" s="826">
        <v>10700</v>
      </c>
      <c r="C216" s="826" t="s">
        <v>1656</v>
      </c>
      <c r="D216" s="2468" t="s">
        <v>4983</v>
      </c>
      <c r="E216" s="511" t="s">
        <v>8543</v>
      </c>
      <c r="F216" s="1944" t="s">
        <v>664</v>
      </c>
      <c r="G216" s="13">
        <v>5</v>
      </c>
      <c r="H216" s="13">
        <v>6</v>
      </c>
      <c r="I216" s="297">
        <f>J216+K216+L216</f>
        <v>1.7</v>
      </c>
      <c r="J216" s="297">
        <f t="shared" si="11"/>
        <v>1.7</v>
      </c>
      <c r="K216" s="573"/>
      <c r="L216" s="573"/>
      <c r="M216" s="503"/>
      <c r="N216" s="503"/>
      <c r="O216" s="570"/>
      <c r="P216" s="503"/>
      <c r="Q216" s="1856"/>
      <c r="R216" s="2098">
        <v>1.7</v>
      </c>
      <c r="S216" s="72"/>
      <c r="T216" s="334"/>
      <c r="U216" s="72"/>
      <c r="V216" s="72"/>
      <c r="W216" s="72"/>
      <c r="X216" s="72"/>
      <c r="Y216" s="72"/>
      <c r="Z216" s="2375"/>
      <c r="AA216" s="1778" t="s">
        <v>2274</v>
      </c>
      <c r="AB216" s="3">
        <v>1</v>
      </c>
      <c r="AE216" s="2461"/>
      <c r="AF216" s="68"/>
    </row>
    <row r="217" spans="1:32" ht="30" x14ac:dyDescent="0.35">
      <c r="A217" s="661">
        <v>90</v>
      </c>
      <c r="B217" s="662">
        <v>10701</v>
      </c>
      <c r="C217" s="662"/>
      <c r="D217" s="662" t="s">
        <v>1675</v>
      </c>
      <c r="E217" s="290" t="s">
        <v>3053</v>
      </c>
      <c r="F217" s="13"/>
      <c r="G217" s="13" t="s">
        <v>191</v>
      </c>
      <c r="H217" s="340" t="s">
        <v>191</v>
      </c>
      <c r="I217" s="674">
        <f>L217+K217+J217</f>
        <v>7.5600000000000005</v>
      </c>
      <c r="J217" s="674">
        <f t="shared" si="11"/>
        <v>7.5600000000000005</v>
      </c>
      <c r="K217" s="553"/>
      <c r="L217" s="553"/>
      <c r="M217" s="552"/>
      <c r="N217" s="552">
        <f>SUM(N218:N221)</f>
        <v>1.4100000000000001</v>
      </c>
      <c r="O217" s="555"/>
      <c r="P217" s="552"/>
      <c r="Q217" s="860">
        <f>SUM(Q218:Q221)</f>
        <v>6.15</v>
      </c>
      <c r="R217" s="870"/>
      <c r="S217" s="328">
        <v>1</v>
      </c>
      <c r="T217" s="329">
        <v>30.9</v>
      </c>
      <c r="U217" s="330"/>
      <c r="V217" s="330"/>
      <c r="W217" s="328">
        <v>17</v>
      </c>
      <c r="X217" s="328">
        <v>204.22</v>
      </c>
      <c r="Y217" s="328">
        <v>6</v>
      </c>
      <c r="Z217" s="663">
        <v>70.819999999999993</v>
      </c>
      <c r="AB217" s="3">
        <v>1</v>
      </c>
      <c r="AE217" s="2461"/>
      <c r="AF217" s="68"/>
    </row>
    <row r="218" spans="1:32" x14ac:dyDescent="0.35">
      <c r="A218" s="661"/>
      <c r="B218" s="662">
        <v>10701</v>
      </c>
      <c r="C218" s="662"/>
      <c r="D218" s="662"/>
      <c r="E218" s="534" t="s">
        <v>1966</v>
      </c>
      <c r="F218" s="13">
        <v>4</v>
      </c>
      <c r="G218" s="13">
        <v>4</v>
      </c>
      <c r="H218" s="340">
        <v>6</v>
      </c>
      <c r="I218" s="552"/>
      <c r="J218" s="552"/>
      <c r="K218" s="553"/>
      <c r="L218" s="553"/>
      <c r="M218" s="552"/>
      <c r="N218" s="831">
        <v>0.8</v>
      </c>
      <c r="O218" s="555"/>
      <c r="P218" s="552"/>
      <c r="Q218" s="863"/>
      <c r="R218" s="870"/>
      <c r="S218" s="328"/>
      <c r="T218" s="329"/>
      <c r="U218" s="330"/>
      <c r="V218" s="330"/>
      <c r="W218" s="328"/>
      <c r="X218" s="328"/>
      <c r="Y218" s="328"/>
      <c r="Z218" s="663"/>
      <c r="AE218" s="2461"/>
      <c r="AF218" s="68"/>
    </row>
    <row r="219" spans="1:32" x14ac:dyDescent="0.35">
      <c r="A219" s="661"/>
      <c r="B219" s="662">
        <v>10701</v>
      </c>
      <c r="C219" s="662"/>
      <c r="D219" s="662"/>
      <c r="E219" s="837" t="s">
        <v>11566</v>
      </c>
      <c r="F219" s="13">
        <v>4</v>
      </c>
      <c r="G219" s="13">
        <v>4</v>
      </c>
      <c r="H219" s="340">
        <v>6</v>
      </c>
      <c r="I219" s="552"/>
      <c r="J219" s="552"/>
      <c r="K219" s="553"/>
      <c r="L219" s="553"/>
      <c r="M219" s="552"/>
      <c r="N219" s="552"/>
      <c r="O219" s="555"/>
      <c r="P219" s="552"/>
      <c r="Q219" s="863">
        <f>5.75-0.8</f>
        <v>4.95</v>
      </c>
      <c r="R219" s="870"/>
      <c r="S219" s="328"/>
      <c r="T219" s="329"/>
      <c r="U219" s="330"/>
      <c r="V219" s="330"/>
      <c r="W219" s="328"/>
      <c r="X219" s="328"/>
      <c r="Y219" s="328"/>
      <c r="Z219" s="663"/>
      <c r="AE219" s="2461"/>
      <c r="AF219" s="68"/>
    </row>
    <row r="220" spans="1:32" x14ac:dyDescent="0.35">
      <c r="A220" s="661"/>
      <c r="B220" s="662">
        <v>10701</v>
      </c>
      <c r="C220" s="662"/>
      <c r="D220" s="662"/>
      <c r="E220" s="291" t="s">
        <v>3054</v>
      </c>
      <c r="F220" s="13">
        <v>4</v>
      </c>
      <c r="G220" s="13">
        <v>4</v>
      </c>
      <c r="H220" s="340">
        <v>6</v>
      </c>
      <c r="I220" s="552"/>
      <c r="J220" s="552"/>
      <c r="K220" s="553"/>
      <c r="L220" s="553"/>
      <c r="M220" s="552"/>
      <c r="N220" s="572">
        <v>0.61</v>
      </c>
      <c r="O220" s="555"/>
      <c r="P220" s="552"/>
      <c r="Q220" s="860"/>
      <c r="R220" s="870"/>
      <c r="S220" s="328"/>
      <c r="T220" s="329"/>
      <c r="U220" s="330"/>
      <c r="V220" s="330"/>
      <c r="W220" s="328"/>
      <c r="X220" s="328"/>
      <c r="Y220" s="328"/>
      <c r="Z220" s="663"/>
      <c r="AE220" s="2461"/>
      <c r="AF220" s="68"/>
    </row>
    <row r="221" spans="1:32" x14ac:dyDescent="0.35">
      <c r="A221" s="661"/>
      <c r="B221" s="662">
        <v>10701</v>
      </c>
      <c r="C221" s="662"/>
      <c r="D221" s="662"/>
      <c r="E221" s="837" t="s">
        <v>3055</v>
      </c>
      <c r="F221" s="13">
        <v>4</v>
      </c>
      <c r="G221" s="13">
        <v>4</v>
      </c>
      <c r="H221" s="340">
        <v>6</v>
      </c>
      <c r="I221" s="552"/>
      <c r="J221" s="552"/>
      <c r="K221" s="553"/>
      <c r="L221" s="553"/>
      <c r="M221" s="552"/>
      <c r="N221" s="552"/>
      <c r="O221" s="555"/>
      <c r="P221" s="552"/>
      <c r="Q221" s="863">
        <v>1.2</v>
      </c>
      <c r="R221" s="870"/>
      <c r="S221" s="328"/>
      <c r="T221" s="329"/>
      <c r="U221" s="330"/>
      <c r="V221" s="330"/>
      <c r="W221" s="328"/>
      <c r="X221" s="328"/>
      <c r="Y221" s="328"/>
      <c r="Z221" s="663"/>
      <c r="AE221" s="2461"/>
      <c r="AF221" s="68"/>
    </row>
    <row r="222" spans="1:32" ht="30.5" x14ac:dyDescent="0.35">
      <c r="A222" s="661">
        <v>91</v>
      </c>
      <c r="B222" s="662">
        <v>10701</v>
      </c>
      <c r="C222" s="662"/>
      <c r="D222" s="2468" t="s">
        <v>4984</v>
      </c>
      <c r="E222" s="290" t="s">
        <v>7743</v>
      </c>
      <c r="F222" s="13"/>
      <c r="G222" s="13" t="s">
        <v>191</v>
      </c>
      <c r="H222" s="340" t="s">
        <v>191</v>
      </c>
      <c r="I222" s="552">
        <f>L222+K222+J222</f>
        <v>2.89</v>
      </c>
      <c r="J222" s="552">
        <f>SUM(M222:R222)</f>
        <v>2.89</v>
      </c>
      <c r="K222" s="553"/>
      <c r="L222" s="553"/>
      <c r="M222" s="552"/>
      <c r="N222" s="552">
        <f>SUM(N223:N224)</f>
        <v>0.64</v>
      </c>
      <c r="O222" s="555"/>
      <c r="P222" s="552"/>
      <c r="Q222" s="860">
        <f>SUM(Q223:Q224)</f>
        <v>2.25</v>
      </c>
      <c r="R222" s="870"/>
      <c r="S222" s="328">
        <v>1</v>
      </c>
      <c r="T222" s="329">
        <v>45.8</v>
      </c>
      <c r="U222" s="330"/>
      <c r="V222" s="330"/>
      <c r="W222" s="328">
        <v>6</v>
      </c>
      <c r="X222" s="328">
        <v>95.7</v>
      </c>
      <c r="Y222" s="330">
        <v>2</v>
      </c>
      <c r="Z222" s="663">
        <v>30</v>
      </c>
      <c r="AB222" s="3">
        <v>1</v>
      </c>
      <c r="AE222" s="2461"/>
      <c r="AF222" s="68"/>
    </row>
    <row r="223" spans="1:32" x14ac:dyDescent="0.35">
      <c r="A223" s="658"/>
      <c r="B223" s="662">
        <v>10701</v>
      </c>
      <c r="C223" s="662"/>
      <c r="D223" s="659"/>
      <c r="E223" s="837" t="s">
        <v>424</v>
      </c>
      <c r="F223" s="13">
        <v>4</v>
      </c>
      <c r="G223" s="13">
        <v>5</v>
      </c>
      <c r="H223" s="340">
        <v>6</v>
      </c>
      <c r="I223" s="676"/>
      <c r="J223" s="1124"/>
      <c r="K223" s="573"/>
      <c r="L223" s="573"/>
      <c r="M223" s="573"/>
      <c r="N223" s="573"/>
      <c r="O223" s="551"/>
      <c r="P223" s="573"/>
      <c r="Q223" s="863">
        <v>2.25</v>
      </c>
      <c r="R223" s="875"/>
      <c r="S223" s="72"/>
      <c r="T223" s="334"/>
      <c r="U223" s="72"/>
      <c r="V223" s="72"/>
      <c r="W223" s="72"/>
      <c r="X223" s="72"/>
      <c r="Y223" s="72"/>
      <c r="Z223" s="660"/>
      <c r="AE223" s="2461"/>
      <c r="AF223" s="68"/>
    </row>
    <row r="224" spans="1:32" x14ac:dyDescent="0.35">
      <c r="A224" s="658"/>
      <c r="B224" s="662">
        <v>10701</v>
      </c>
      <c r="C224" s="662"/>
      <c r="D224" s="659"/>
      <c r="E224" s="291" t="s">
        <v>2957</v>
      </c>
      <c r="F224" s="13">
        <v>4</v>
      </c>
      <c r="G224" s="13">
        <v>5</v>
      </c>
      <c r="H224" s="340">
        <v>6</v>
      </c>
      <c r="I224" s="572"/>
      <c r="J224" s="573"/>
      <c r="K224" s="573"/>
      <c r="L224" s="573"/>
      <c r="M224" s="573"/>
      <c r="N224" s="572">
        <v>0.64</v>
      </c>
      <c r="O224" s="551"/>
      <c r="P224" s="573"/>
      <c r="Q224" s="865"/>
      <c r="R224" s="875"/>
      <c r="S224" s="72"/>
      <c r="T224" s="334"/>
      <c r="U224" s="72"/>
      <c r="V224" s="72"/>
      <c r="W224" s="72"/>
      <c r="X224" s="72"/>
      <c r="Y224" s="72"/>
      <c r="Z224" s="660"/>
      <c r="AE224" s="2461"/>
      <c r="AF224" s="68"/>
    </row>
    <row r="225" spans="1:32" ht="30.5" x14ac:dyDescent="0.35">
      <c r="A225" s="661">
        <v>92</v>
      </c>
      <c r="B225" s="662">
        <v>10701</v>
      </c>
      <c r="C225" s="662"/>
      <c r="D225" s="2468" t="s">
        <v>4985</v>
      </c>
      <c r="E225" s="290" t="s">
        <v>9848</v>
      </c>
      <c r="F225" s="13" t="s">
        <v>827</v>
      </c>
      <c r="G225" s="13">
        <v>5</v>
      </c>
      <c r="H225" s="13">
        <v>6</v>
      </c>
      <c r="I225" s="552">
        <f>L225+K225+J225</f>
        <v>0.6</v>
      </c>
      <c r="J225" s="552">
        <f>SUM(M225:R225)</f>
        <v>0.6</v>
      </c>
      <c r="K225" s="553"/>
      <c r="L225" s="553"/>
      <c r="M225" s="552"/>
      <c r="N225" s="552"/>
      <c r="O225" s="555"/>
      <c r="P225" s="552"/>
      <c r="Q225" s="860"/>
      <c r="R225" s="870">
        <v>0.6</v>
      </c>
      <c r="S225" s="330"/>
      <c r="T225" s="331"/>
      <c r="U225" s="330"/>
      <c r="V225" s="330"/>
      <c r="W225" s="330"/>
      <c r="X225" s="330"/>
      <c r="Y225" s="330"/>
      <c r="Z225" s="663"/>
      <c r="AB225" s="3">
        <v>1</v>
      </c>
      <c r="AE225" s="2461"/>
      <c r="AF225" s="68"/>
    </row>
    <row r="226" spans="1:32" ht="45.5" x14ac:dyDescent="0.35">
      <c r="A226" s="1823">
        <v>93</v>
      </c>
      <c r="B226" s="826">
        <v>10701</v>
      </c>
      <c r="C226" s="826" t="s">
        <v>1656</v>
      </c>
      <c r="D226" s="2468" t="s">
        <v>4986</v>
      </c>
      <c r="E226" s="2374" t="s">
        <v>9849</v>
      </c>
      <c r="F226" s="1944" t="s">
        <v>664</v>
      </c>
      <c r="G226" s="13">
        <v>5</v>
      </c>
      <c r="H226" s="13">
        <v>6</v>
      </c>
      <c r="I226" s="297">
        <f>J226+K226+L226</f>
        <v>0.5</v>
      </c>
      <c r="J226" s="297">
        <f>SUM(M226:R226)</f>
        <v>0.5</v>
      </c>
      <c r="K226" s="573"/>
      <c r="L226" s="573"/>
      <c r="M226" s="503"/>
      <c r="N226" s="503"/>
      <c r="O226" s="570"/>
      <c r="P226" s="503"/>
      <c r="Q226" s="1856"/>
      <c r="R226" s="2098">
        <v>0.5</v>
      </c>
      <c r="S226" s="72"/>
      <c r="T226" s="334"/>
      <c r="U226" s="72"/>
      <c r="V226" s="72"/>
      <c r="W226" s="72"/>
      <c r="X226" s="72"/>
      <c r="Y226" s="72"/>
      <c r="Z226" s="2375"/>
      <c r="AA226" s="3" t="s">
        <v>1532</v>
      </c>
      <c r="AB226" s="3">
        <v>1</v>
      </c>
      <c r="AE226" s="2461"/>
      <c r="AF226" s="68"/>
    </row>
    <row r="227" spans="1:32" ht="30" x14ac:dyDescent="0.35">
      <c r="A227" s="661">
        <v>94</v>
      </c>
      <c r="B227" s="662">
        <v>10702</v>
      </c>
      <c r="C227" s="662"/>
      <c r="D227" s="662" t="s">
        <v>2618</v>
      </c>
      <c r="E227" s="290" t="s">
        <v>2958</v>
      </c>
      <c r="F227" s="13"/>
      <c r="G227" s="13" t="s">
        <v>191</v>
      </c>
      <c r="H227" s="340" t="s">
        <v>191</v>
      </c>
      <c r="I227" s="552">
        <f>L227+K227+J227</f>
        <v>3.4499999999999997</v>
      </c>
      <c r="J227" s="552">
        <f>SUM(M227:R227)</f>
        <v>3.4499999999999997</v>
      </c>
      <c r="K227" s="553"/>
      <c r="L227" s="553"/>
      <c r="M227" s="552"/>
      <c r="N227" s="552">
        <f>SUM(N228:N229)</f>
        <v>0.38</v>
      </c>
      <c r="O227" s="555"/>
      <c r="P227" s="552"/>
      <c r="Q227" s="860"/>
      <c r="R227" s="870">
        <f>SUM(R228:R229)</f>
        <v>3.07</v>
      </c>
      <c r="S227" s="330"/>
      <c r="T227" s="331"/>
      <c r="U227" s="330"/>
      <c r="V227" s="330"/>
      <c r="W227" s="330">
        <v>3</v>
      </c>
      <c r="X227" s="330">
        <v>40.299999999999997</v>
      </c>
      <c r="Y227" s="330"/>
      <c r="Z227" s="663"/>
      <c r="AB227" s="3">
        <v>1</v>
      </c>
      <c r="AE227" s="2461"/>
      <c r="AF227" s="68"/>
    </row>
    <row r="228" spans="1:32" x14ac:dyDescent="0.35">
      <c r="A228" s="661"/>
      <c r="B228" s="662">
        <v>10702</v>
      </c>
      <c r="C228" s="662"/>
      <c r="D228" s="662"/>
      <c r="E228" s="291" t="s">
        <v>1897</v>
      </c>
      <c r="F228" s="13">
        <v>5</v>
      </c>
      <c r="G228" s="13">
        <v>5</v>
      </c>
      <c r="H228" s="340">
        <v>6</v>
      </c>
      <c r="I228" s="674"/>
      <c r="J228" s="674"/>
      <c r="K228" s="553"/>
      <c r="L228" s="553"/>
      <c r="M228" s="552"/>
      <c r="N228" s="572">
        <v>0.38</v>
      </c>
      <c r="O228" s="555"/>
      <c r="P228" s="552"/>
      <c r="Q228" s="860"/>
      <c r="R228" s="870"/>
      <c r="S228" s="330"/>
      <c r="T228" s="331"/>
      <c r="U228" s="330"/>
      <c r="V228" s="330"/>
      <c r="W228" s="330"/>
      <c r="X228" s="330"/>
      <c r="Y228" s="330"/>
      <c r="Z228" s="663"/>
      <c r="AE228" s="2461"/>
      <c r="AF228" s="68"/>
    </row>
    <row r="229" spans="1:32" x14ac:dyDescent="0.35">
      <c r="A229" s="661"/>
      <c r="B229" s="662">
        <v>10702</v>
      </c>
      <c r="C229" s="662"/>
      <c r="D229" s="662"/>
      <c r="E229" s="838" t="s">
        <v>2959</v>
      </c>
      <c r="F229" s="13" t="s">
        <v>664</v>
      </c>
      <c r="G229" s="13">
        <v>5</v>
      </c>
      <c r="H229" s="13">
        <v>6</v>
      </c>
      <c r="I229" s="552"/>
      <c r="J229" s="552"/>
      <c r="K229" s="553"/>
      <c r="L229" s="553"/>
      <c r="M229" s="552"/>
      <c r="N229" s="552"/>
      <c r="O229" s="555"/>
      <c r="P229" s="552"/>
      <c r="Q229" s="860"/>
      <c r="R229" s="873">
        <v>3.07</v>
      </c>
      <c r="S229" s="330"/>
      <c r="T229" s="331"/>
      <c r="U229" s="330"/>
      <c r="V229" s="330"/>
      <c r="W229" s="330"/>
      <c r="X229" s="330"/>
      <c r="Y229" s="330"/>
      <c r="Z229" s="663"/>
      <c r="AE229" s="2461"/>
      <c r="AF229" s="68"/>
    </row>
    <row r="230" spans="1:32" ht="30.5" x14ac:dyDescent="0.35">
      <c r="A230" s="1823">
        <v>95</v>
      </c>
      <c r="B230" s="826">
        <v>10678</v>
      </c>
      <c r="C230" s="826" t="s">
        <v>1656</v>
      </c>
      <c r="D230" s="2468" t="s">
        <v>4933</v>
      </c>
      <c r="E230" s="511" t="s">
        <v>8544</v>
      </c>
      <c r="F230" s="1944" t="s">
        <v>664</v>
      </c>
      <c r="G230" s="13">
        <v>5</v>
      </c>
      <c r="H230" s="13">
        <v>6</v>
      </c>
      <c r="I230" s="297">
        <f>J230+K230+L230</f>
        <v>0.25</v>
      </c>
      <c r="J230" s="297">
        <f>SUM(M230:R230)</f>
        <v>0.25</v>
      </c>
      <c r="K230" s="573"/>
      <c r="L230" s="573"/>
      <c r="M230" s="503"/>
      <c r="N230" s="503"/>
      <c r="O230" s="570"/>
      <c r="P230" s="503"/>
      <c r="Q230" s="1856"/>
      <c r="R230" s="2098">
        <v>0.25</v>
      </c>
      <c r="S230" s="72"/>
      <c r="T230" s="334"/>
      <c r="U230" s="72"/>
      <c r="V230" s="72"/>
      <c r="W230" s="72"/>
      <c r="X230" s="72"/>
      <c r="Y230" s="72"/>
      <c r="Z230" s="2375"/>
      <c r="AA230" s="3" t="s">
        <v>3405</v>
      </c>
      <c r="AB230" s="3">
        <v>1</v>
      </c>
      <c r="AE230" s="2461"/>
      <c r="AF230" s="68"/>
    </row>
    <row r="231" spans="1:32" ht="30" x14ac:dyDescent="0.35">
      <c r="A231" s="661">
        <v>96</v>
      </c>
      <c r="B231" s="662">
        <v>10703</v>
      </c>
      <c r="C231" s="662"/>
      <c r="D231" s="662" t="s">
        <v>2619</v>
      </c>
      <c r="E231" s="290" t="s">
        <v>6911</v>
      </c>
      <c r="F231" s="13"/>
      <c r="G231" s="13" t="s">
        <v>191</v>
      </c>
      <c r="H231" s="340" t="s">
        <v>191</v>
      </c>
      <c r="I231" s="552">
        <f>L231+K231+J231</f>
        <v>1.2</v>
      </c>
      <c r="J231" s="552">
        <f>SUM(M231:R231)</f>
        <v>1.2</v>
      </c>
      <c r="K231" s="553"/>
      <c r="L231" s="553"/>
      <c r="M231" s="552"/>
      <c r="N231" s="552"/>
      <c r="O231" s="555"/>
      <c r="P231" s="552"/>
      <c r="Q231" s="860">
        <f>SUM(Q232:Q233)</f>
        <v>0.9</v>
      </c>
      <c r="R231" s="870">
        <f>SUM(R232:R233)</f>
        <v>0.3</v>
      </c>
      <c r="S231" s="330"/>
      <c r="T231" s="331"/>
      <c r="U231" s="330"/>
      <c r="V231" s="330"/>
      <c r="W231" s="330"/>
      <c r="X231" s="330"/>
      <c r="Y231" s="330"/>
      <c r="Z231" s="663"/>
      <c r="AB231" s="3">
        <v>1</v>
      </c>
      <c r="AE231" s="2461"/>
      <c r="AF231" s="68"/>
    </row>
    <row r="232" spans="1:32" x14ac:dyDescent="0.35">
      <c r="A232" s="658"/>
      <c r="B232" s="662">
        <v>10703</v>
      </c>
      <c r="C232" s="662"/>
      <c r="D232" s="659"/>
      <c r="E232" s="838" t="s">
        <v>880</v>
      </c>
      <c r="F232" s="14" t="s">
        <v>664</v>
      </c>
      <c r="G232" s="14">
        <v>5</v>
      </c>
      <c r="H232" s="13">
        <v>6</v>
      </c>
      <c r="I232" s="676"/>
      <c r="J232" s="1124"/>
      <c r="K232" s="573"/>
      <c r="L232" s="573"/>
      <c r="M232" s="573"/>
      <c r="N232" s="573"/>
      <c r="O232" s="551"/>
      <c r="P232" s="573"/>
      <c r="Q232" s="865"/>
      <c r="R232" s="873">
        <v>0.3</v>
      </c>
      <c r="S232" s="72"/>
      <c r="T232" s="334"/>
      <c r="U232" s="72"/>
      <c r="V232" s="72"/>
      <c r="W232" s="72"/>
      <c r="X232" s="72"/>
      <c r="Y232" s="72"/>
      <c r="Z232" s="660"/>
      <c r="AE232" s="2461"/>
      <c r="AF232" s="68"/>
    </row>
    <row r="233" spans="1:32" x14ac:dyDescent="0.35">
      <c r="A233" s="658"/>
      <c r="B233" s="662">
        <v>10703</v>
      </c>
      <c r="C233" s="662"/>
      <c r="D233" s="659"/>
      <c r="E233" s="837" t="s">
        <v>2960</v>
      </c>
      <c r="F233" s="14" t="s">
        <v>827</v>
      </c>
      <c r="G233" s="14">
        <v>5</v>
      </c>
      <c r="H233" s="340">
        <v>6</v>
      </c>
      <c r="I233" s="572"/>
      <c r="J233" s="573"/>
      <c r="K233" s="573"/>
      <c r="L233" s="573"/>
      <c r="M233" s="573"/>
      <c r="N233" s="573"/>
      <c r="O233" s="551"/>
      <c r="P233" s="573"/>
      <c r="Q233" s="863">
        <v>0.9</v>
      </c>
      <c r="R233" s="875"/>
      <c r="S233" s="72"/>
      <c r="T233" s="334"/>
      <c r="U233" s="72"/>
      <c r="V233" s="72"/>
      <c r="W233" s="72"/>
      <c r="X233" s="72"/>
      <c r="Y233" s="72"/>
      <c r="Z233" s="660"/>
      <c r="AE233" s="2461"/>
      <c r="AF233" s="68"/>
    </row>
    <row r="234" spans="1:32" ht="30" x14ac:dyDescent="0.35">
      <c r="A234" s="661">
        <v>97</v>
      </c>
      <c r="B234" s="662">
        <v>10704</v>
      </c>
      <c r="C234" s="662"/>
      <c r="D234" s="662" t="s">
        <v>2620</v>
      </c>
      <c r="E234" s="290" t="s">
        <v>6912</v>
      </c>
      <c r="F234" s="13"/>
      <c r="G234" s="13" t="s">
        <v>191</v>
      </c>
      <c r="H234" s="340" t="s">
        <v>191</v>
      </c>
      <c r="I234" s="552">
        <f>L234+K234+J234</f>
        <v>3.44</v>
      </c>
      <c r="J234" s="552">
        <f>SUM(M234:R234)</f>
        <v>3.44</v>
      </c>
      <c r="K234" s="553"/>
      <c r="L234" s="553"/>
      <c r="M234" s="552"/>
      <c r="N234" s="552"/>
      <c r="O234" s="555"/>
      <c r="P234" s="552"/>
      <c r="Q234" s="860">
        <f>SUM(Q235:Q236)</f>
        <v>3</v>
      </c>
      <c r="R234" s="870">
        <f>SUM(R235:R236)</f>
        <v>0.43999999999999995</v>
      </c>
      <c r="S234" s="328">
        <v>1</v>
      </c>
      <c r="T234" s="329">
        <v>27.4</v>
      </c>
      <c r="U234" s="330"/>
      <c r="V234" s="330"/>
      <c r="W234" s="328">
        <v>4</v>
      </c>
      <c r="X234" s="328">
        <v>74.599999999999994</v>
      </c>
      <c r="Y234" s="330"/>
      <c r="Z234" s="663"/>
      <c r="AB234" s="3">
        <v>1</v>
      </c>
      <c r="AE234" s="2461"/>
      <c r="AF234" s="68"/>
    </row>
    <row r="235" spans="1:32" x14ac:dyDescent="0.35">
      <c r="A235" s="658"/>
      <c r="B235" s="662">
        <v>10704</v>
      </c>
      <c r="C235" s="662"/>
      <c r="D235" s="659"/>
      <c r="E235" s="837" t="s">
        <v>948</v>
      </c>
      <c r="F235" s="1620">
        <v>5</v>
      </c>
      <c r="G235" s="14">
        <v>5</v>
      </c>
      <c r="H235" s="340">
        <v>6</v>
      </c>
      <c r="I235" s="572"/>
      <c r="J235" s="573"/>
      <c r="K235" s="573"/>
      <c r="L235" s="573"/>
      <c r="M235" s="573"/>
      <c r="N235" s="573"/>
      <c r="O235" s="551"/>
      <c r="P235" s="573"/>
      <c r="Q235" s="865">
        <v>3</v>
      </c>
      <c r="R235" s="873"/>
      <c r="S235" s="72"/>
      <c r="T235" s="334"/>
      <c r="U235" s="72"/>
      <c r="V235" s="72"/>
      <c r="W235" s="72"/>
      <c r="X235" s="72"/>
      <c r="Y235" s="72"/>
      <c r="Z235" s="660"/>
      <c r="AE235" s="2461"/>
      <c r="AF235" s="68"/>
    </row>
    <row r="236" spans="1:32" x14ac:dyDescent="0.35">
      <c r="A236" s="658"/>
      <c r="B236" s="662">
        <v>10704</v>
      </c>
      <c r="C236" s="662"/>
      <c r="D236" s="659"/>
      <c r="E236" s="838" t="s">
        <v>863</v>
      </c>
      <c r="F236" s="492" t="s">
        <v>664</v>
      </c>
      <c r="G236" s="14">
        <v>5</v>
      </c>
      <c r="H236" s="13">
        <v>6</v>
      </c>
      <c r="I236" s="676"/>
      <c r="J236" s="1124"/>
      <c r="K236" s="573"/>
      <c r="L236" s="573"/>
      <c r="M236" s="573"/>
      <c r="N236" s="573"/>
      <c r="O236" s="551"/>
      <c r="P236" s="573"/>
      <c r="Q236" s="863"/>
      <c r="R236" s="875">
        <f>3.44-3</f>
        <v>0.43999999999999995</v>
      </c>
      <c r="S236" s="72"/>
      <c r="T236" s="334"/>
      <c r="U236" s="72"/>
      <c r="V236" s="72"/>
      <c r="W236" s="72"/>
      <c r="X236" s="72"/>
      <c r="Y236" s="72"/>
      <c r="Z236" s="660"/>
      <c r="AE236" s="2461"/>
      <c r="AF236" s="68"/>
    </row>
    <row r="237" spans="1:32" ht="45.5" x14ac:dyDescent="0.35">
      <c r="A237" s="1823">
        <v>98</v>
      </c>
      <c r="B237" s="826">
        <v>10704</v>
      </c>
      <c r="C237" s="826" t="s">
        <v>1656</v>
      </c>
      <c r="D237" s="2468" t="s">
        <v>4987</v>
      </c>
      <c r="E237" s="511" t="s">
        <v>8545</v>
      </c>
      <c r="F237" s="1944" t="s">
        <v>664</v>
      </c>
      <c r="G237" s="13">
        <v>5</v>
      </c>
      <c r="H237" s="13">
        <v>6</v>
      </c>
      <c r="I237" s="297">
        <f>J237+K237+L237</f>
        <v>0.96</v>
      </c>
      <c r="J237" s="297">
        <f>SUM(M237:R237)</f>
        <v>0.96</v>
      </c>
      <c r="K237" s="573"/>
      <c r="L237" s="573"/>
      <c r="M237" s="503"/>
      <c r="N237" s="503"/>
      <c r="O237" s="570"/>
      <c r="P237" s="503"/>
      <c r="Q237" s="1856"/>
      <c r="R237" s="2098">
        <v>0.96</v>
      </c>
      <c r="S237" s="72"/>
      <c r="T237" s="334"/>
      <c r="U237" s="72"/>
      <c r="V237" s="72"/>
      <c r="W237" s="72"/>
      <c r="X237" s="72"/>
      <c r="Y237" s="72"/>
      <c r="Z237" s="2375"/>
      <c r="AA237" s="1778" t="s">
        <v>1576</v>
      </c>
      <c r="AB237" s="3">
        <v>1</v>
      </c>
      <c r="AE237" s="2461"/>
      <c r="AF237" s="68"/>
    </row>
    <row r="238" spans="1:32" ht="30" x14ac:dyDescent="0.35">
      <c r="A238" s="661">
        <v>99</v>
      </c>
      <c r="B238" s="662">
        <v>10705</v>
      </c>
      <c r="C238" s="662"/>
      <c r="D238" s="662" t="s">
        <v>1181</v>
      </c>
      <c r="E238" s="290" t="s">
        <v>6913</v>
      </c>
      <c r="F238" s="13"/>
      <c r="G238" s="13" t="s">
        <v>191</v>
      </c>
      <c r="H238" s="340" t="s">
        <v>191</v>
      </c>
      <c r="I238" s="674">
        <f>L238+K238+J238</f>
        <v>3.64</v>
      </c>
      <c r="J238" s="674">
        <f>SUM(M238:R238)</f>
        <v>3.64</v>
      </c>
      <c r="K238" s="553"/>
      <c r="L238" s="553"/>
      <c r="M238" s="552"/>
      <c r="N238" s="552"/>
      <c r="O238" s="555"/>
      <c r="P238" s="552"/>
      <c r="Q238" s="860">
        <f>SUM(Q239:Q240)</f>
        <v>1</v>
      </c>
      <c r="R238" s="870">
        <f>SUM(R239:R240)</f>
        <v>2.64</v>
      </c>
      <c r="S238" s="330"/>
      <c r="T238" s="331"/>
      <c r="U238" s="330"/>
      <c r="V238" s="330"/>
      <c r="W238" s="328">
        <v>6</v>
      </c>
      <c r="X238" s="328">
        <v>91.05</v>
      </c>
      <c r="Y238" s="330"/>
      <c r="Z238" s="663"/>
      <c r="AB238" s="3">
        <v>1</v>
      </c>
      <c r="AE238" s="2461"/>
      <c r="AF238" s="68"/>
    </row>
    <row r="239" spans="1:32" x14ac:dyDescent="0.35">
      <c r="A239" s="658"/>
      <c r="B239" s="662">
        <v>10705</v>
      </c>
      <c r="C239" s="662"/>
      <c r="D239" s="659"/>
      <c r="E239" s="837" t="s">
        <v>2628</v>
      </c>
      <c r="F239" s="13">
        <v>5</v>
      </c>
      <c r="G239" s="13">
        <v>5</v>
      </c>
      <c r="H239" s="340">
        <v>6</v>
      </c>
      <c r="I239" s="572"/>
      <c r="J239" s="573"/>
      <c r="K239" s="573"/>
      <c r="L239" s="573"/>
      <c r="M239" s="573"/>
      <c r="N239" s="573"/>
      <c r="O239" s="551"/>
      <c r="P239" s="573"/>
      <c r="Q239" s="863">
        <v>1</v>
      </c>
      <c r="R239" s="875"/>
      <c r="S239" s="72"/>
      <c r="T239" s="334"/>
      <c r="U239" s="72"/>
      <c r="V239" s="72"/>
      <c r="W239" s="72"/>
      <c r="X239" s="72"/>
      <c r="Y239" s="72"/>
      <c r="Z239" s="660"/>
      <c r="AE239" s="2461"/>
      <c r="AF239" s="68"/>
    </row>
    <row r="240" spans="1:32" x14ac:dyDescent="0.35">
      <c r="A240" s="658"/>
      <c r="B240" s="662">
        <v>10705</v>
      </c>
      <c r="C240" s="662"/>
      <c r="D240" s="659"/>
      <c r="E240" s="838" t="s">
        <v>864</v>
      </c>
      <c r="F240" s="13">
        <v>5</v>
      </c>
      <c r="G240" s="13">
        <v>5</v>
      </c>
      <c r="H240" s="13">
        <v>6</v>
      </c>
      <c r="I240" s="572"/>
      <c r="J240" s="573"/>
      <c r="K240" s="573"/>
      <c r="L240" s="573"/>
      <c r="M240" s="573"/>
      <c r="N240" s="573"/>
      <c r="O240" s="551"/>
      <c r="P240" s="573"/>
      <c r="Q240" s="863"/>
      <c r="R240" s="875">
        <f>3.64-1</f>
        <v>2.64</v>
      </c>
      <c r="S240" s="72"/>
      <c r="T240" s="334"/>
      <c r="U240" s="72"/>
      <c r="V240" s="72"/>
      <c r="W240" s="72"/>
      <c r="X240" s="72"/>
      <c r="Y240" s="72"/>
      <c r="Z240" s="660"/>
      <c r="AE240" s="2461"/>
      <c r="AF240" s="68"/>
    </row>
    <row r="241" spans="1:32" ht="30.5" x14ac:dyDescent="0.35">
      <c r="A241" s="1823">
        <v>100</v>
      </c>
      <c r="B241" s="826">
        <v>10705</v>
      </c>
      <c r="C241" s="826" t="s">
        <v>1656</v>
      </c>
      <c r="D241" s="2468" t="s">
        <v>4988</v>
      </c>
      <c r="E241" s="511" t="s">
        <v>8546</v>
      </c>
      <c r="F241" s="1138" t="s">
        <v>664</v>
      </c>
      <c r="G241" s="13">
        <v>5</v>
      </c>
      <c r="H241" s="13">
        <v>6</v>
      </c>
      <c r="I241" s="297">
        <f>J241+K241+L241</f>
        <v>0.56000000000000005</v>
      </c>
      <c r="J241" s="297">
        <f>SUM(M241:R241)</f>
        <v>0.56000000000000005</v>
      </c>
      <c r="K241" s="553"/>
      <c r="L241" s="553"/>
      <c r="M241" s="501"/>
      <c r="N241" s="501"/>
      <c r="O241" s="568"/>
      <c r="P241" s="501"/>
      <c r="Q241" s="1856"/>
      <c r="R241" s="1865">
        <v>0.56000000000000005</v>
      </c>
      <c r="S241" s="330"/>
      <c r="T241" s="331"/>
      <c r="U241" s="330"/>
      <c r="V241" s="330"/>
      <c r="W241" s="330"/>
      <c r="X241" s="330"/>
      <c r="Y241" s="330"/>
      <c r="Z241" s="2376"/>
      <c r="AA241" s="3" t="s">
        <v>2275</v>
      </c>
      <c r="AB241" s="3">
        <v>1</v>
      </c>
      <c r="AE241" s="2461"/>
      <c r="AF241" s="68"/>
    </row>
    <row r="242" spans="1:32" ht="30" x14ac:dyDescent="0.35">
      <c r="A242" s="661">
        <v>101</v>
      </c>
      <c r="B242" s="662">
        <v>10706</v>
      </c>
      <c r="C242" s="662"/>
      <c r="D242" s="662" t="s">
        <v>1182</v>
      </c>
      <c r="E242" s="290" t="s">
        <v>2500</v>
      </c>
      <c r="F242" s="13"/>
      <c r="G242" s="13" t="s">
        <v>191</v>
      </c>
      <c r="H242" s="340" t="s">
        <v>191</v>
      </c>
      <c r="I242" s="552">
        <f>L242+K242+J242</f>
        <v>2.2999999999999998</v>
      </c>
      <c r="J242" s="552">
        <f>SUM(M242:R242)</f>
        <v>2.2999999999999998</v>
      </c>
      <c r="K242" s="553"/>
      <c r="L242" s="553"/>
      <c r="M242" s="552"/>
      <c r="N242" s="552">
        <f>SUM(N243:N244)</f>
        <v>0.6</v>
      </c>
      <c r="O242" s="555"/>
      <c r="P242" s="552"/>
      <c r="Q242" s="860"/>
      <c r="R242" s="870">
        <f>SUM(R243:R244)</f>
        <v>1.7</v>
      </c>
      <c r="S242" s="330"/>
      <c r="T242" s="331"/>
      <c r="U242" s="330"/>
      <c r="V242" s="330"/>
      <c r="W242" s="330"/>
      <c r="X242" s="330"/>
      <c r="Y242" s="330"/>
      <c r="Z242" s="663"/>
      <c r="AB242" s="3">
        <v>1</v>
      </c>
      <c r="AE242" s="2461"/>
      <c r="AF242" s="68"/>
    </row>
    <row r="243" spans="1:32" x14ac:dyDescent="0.35">
      <c r="A243" s="658"/>
      <c r="B243" s="662">
        <v>10706</v>
      </c>
      <c r="C243" s="662"/>
      <c r="D243" s="659"/>
      <c r="E243" s="291" t="s">
        <v>365</v>
      </c>
      <c r="F243" s="14" t="s">
        <v>827</v>
      </c>
      <c r="G243" s="14">
        <v>5</v>
      </c>
      <c r="H243" s="340">
        <v>6</v>
      </c>
      <c r="I243" s="1124"/>
      <c r="J243" s="1124"/>
      <c r="K243" s="573"/>
      <c r="L243" s="573"/>
      <c r="M243" s="573"/>
      <c r="N243" s="572">
        <v>0.6</v>
      </c>
      <c r="O243" s="551"/>
      <c r="P243" s="573"/>
      <c r="Q243" s="865"/>
      <c r="R243" s="875"/>
      <c r="S243" s="72"/>
      <c r="T243" s="334"/>
      <c r="U243" s="72"/>
      <c r="V243" s="72"/>
      <c r="W243" s="72"/>
      <c r="X243" s="72"/>
      <c r="Y243" s="72"/>
      <c r="Z243" s="660"/>
      <c r="AE243" s="2461"/>
      <c r="AF243" s="68"/>
    </row>
    <row r="244" spans="1:32" x14ac:dyDescent="0.35">
      <c r="A244" s="658"/>
      <c r="B244" s="662">
        <v>10706</v>
      </c>
      <c r="C244" s="662"/>
      <c r="D244" s="659"/>
      <c r="E244" s="838" t="s">
        <v>2501</v>
      </c>
      <c r="F244" s="14" t="s">
        <v>664</v>
      </c>
      <c r="G244" s="14">
        <v>5</v>
      </c>
      <c r="H244" s="13">
        <v>6</v>
      </c>
      <c r="I244" s="573"/>
      <c r="J244" s="573"/>
      <c r="K244" s="573"/>
      <c r="L244" s="573"/>
      <c r="M244" s="573"/>
      <c r="N244" s="573"/>
      <c r="O244" s="551"/>
      <c r="P244" s="573"/>
      <c r="Q244" s="865"/>
      <c r="R244" s="873">
        <v>1.7</v>
      </c>
      <c r="S244" s="72"/>
      <c r="T244" s="334"/>
      <c r="U244" s="72"/>
      <c r="V244" s="72"/>
      <c r="W244" s="72"/>
      <c r="X244" s="72"/>
      <c r="Y244" s="72"/>
      <c r="Z244" s="660"/>
      <c r="AE244" s="2461"/>
      <c r="AF244" s="68"/>
    </row>
    <row r="245" spans="1:32" ht="30.5" x14ac:dyDescent="0.35">
      <c r="A245" s="661">
        <v>102</v>
      </c>
      <c r="B245" s="662">
        <v>10707</v>
      </c>
      <c r="C245" s="662"/>
      <c r="D245" s="662" t="s">
        <v>2936</v>
      </c>
      <c r="E245" s="290" t="s">
        <v>9550</v>
      </c>
      <c r="F245" s="13">
        <v>5</v>
      </c>
      <c r="G245" s="13">
        <v>5</v>
      </c>
      <c r="H245" s="340">
        <v>6</v>
      </c>
      <c r="I245" s="552">
        <f>L245+K245+J245</f>
        <v>6.6</v>
      </c>
      <c r="J245" s="552">
        <f>SUM(M245:R245)</f>
        <v>6.6</v>
      </c>
      <c r="K245" s="553"/>
      <c r="L245" s="553"/>
      <c r="M245" s="552"/>
      <c r="N245" s="552"/>
      <c r="O245" s="555"/>
      <c r="P245" s="552"/>
      <c r="Q245" s="860">
        <v>6.6</v>
      </c>
      <c r="R245" s="870"/>
      <c r="S245" s="330"/>
      <c r="T245" s="331"/>
      <c r="U245" s="330"/>
      <c r="V245" s="330"/>
      <c r="W245" s="328">
        <v>6</v>
      </c>
      <c r="X245" s="328">
        <v>75</v>
      </c>
      <c r="Y245" s="330"/>
      <c r="Z245" s="663"/>
      <c r="AA245" s="1778" t="s">
        <v>2627</v>
      </c>
      <c r="AB245" s="3">
        <v>1</v>
      </c>
      <c r="AE245" s="2461"/>
      <c r="AF245" s="68"/>
    </row>
    <row r="246" spans="1:32" ht="60.5" x14ac:dyDescent="0.35">
      <c r="A246" s="1823">
        <v>103</v>
      </c>
      <c r="B246" s="826">
        <v>10707</v>
      </c>
      <c r="C246" s="826" t="s">
        <v>1656</v>
      </c>
      <c r="D246" s="2468" t="s">
        <v>4989</v>
      </c>
      <c r="E246" s="511" t="s">
        <v>9551</v>
      </c>
      <c r="F246" s="1944" t="s">
        <v>664</v>
      </c>
      <c r="G246" s="13">
        <v>5</v>
      </c>
      <c r="H246" s="13">
        <v>6</v>
      </c>
      <c r="I246" s="297">
        <f>J246+K246+L246</f>
        <v>1.5</v>
      </c>
      <c r="J246" s="297">
        <f>SUM(M246:R246)</f>
        <v>1.5</v>
      </c>
      <c r="K246" s="573"/>
      <c r="L246" s="573"/>
      <c r="M246" s="503"/>
      <c r="N246" s="503"/>
      <c r="O246" s="570"/>
      <c r="P246" s="503"/>
      <c r="Q246" s="1856"/>
      <c r="R246" s="2098">
        <v>1.5</v>
      </c>
      <c r="S246" s="72"/>
      <c r="T246" s="334"/>
      <c r="U246" s="72"/>
      <c r="V246" s="72"/>
      <c r="W246" s="72"/>
      <c r="X246" s="72"/>
      <c r="Y246" s="72"/>
      <c r="Z246" s="2375"/>
      <c r="AA246" s="1778" t="s">
        <v>1243</v>
      </c>
      <c r="AB246" s="3">
        <v>1</v>
      </c>
      <c r="AE246" s="2461"/>
      <c r="AF246" s="68"/>
    </row>
    <row r="247" spans="1:32" ht="60.5" x14ac:dyDescent="0.35">
      <c r="A247" s="661">
        <v>104</v>
      </c>
      <c r="B247" s="826">
        <v>10707</v>
      </c>
      <c r="C247" s="826" t="s">
        <v>1656</v>
      </c>
      <c r="D247" s="2468" t="s">
        <v>4990</v>
      </c>
      <c r="E247" s="2374" t="s">
        <v>9552</v>
      </c>
      <c r="F247" s="1944" t="s">
        <v>664</v>
      </c>
      <c r="G247" s="13">
        <v>5</v>
      </c>
      <c r="H247" s="13">
        <v>6</v>
      </c>
      <c r="I247" s="297">
        <f>J247+K247+L247</f>
        <v>2.8</v>
      </c>
      <c r="J247" s="297">
        <f>SUM(M247:R247)</f>
        <v>2.8</v>
      </c>
      <c r="K247" s="573"/>
      <c r="L247" s="573"/>
      <c r="M247" s="503"/>
      <c r="N247" s="503"/>
      <c r="O247" s="570"/>
      <c r="P247" s="503"/>
      <c r="Q247" s="1856"/>
      <c r="R247" s="2098">
        <v>2.8</v>
      </c>
      <c r="S247" s="72"/>
      <c r="T247" s="334"/>
      <c r="U247" s="72"/>
      <c r="V247" s="72"/>
      <c r="W247" s="72"/>
      <c r="X247" s="72"/>
      <c r="Y247" s="72"/>
      <c r="Z247" s="2375"/>
      <c r="AA247" s="3" t="s">
        <v>1532</v>
      </c>
      <c r="AB247" s="3">
        <v>1</v>
      </c>
      <c r="AE247" s="2461"/>
      <c r="AF247" s="68"/>
    </row>
    <row r="248" spans="1:32" ht="30.5" x14ac:dyDescent="0.35">
      <c r="A248" s="1823">
        <v>105</v>
      </c>
      <c r="B248" s="1044">
        <v>10708</v>
      </c>
      <c r="C248" s="1044"/>
      <c r="D248" s="662" t="s">
        <v>3170</v>
      </c>
      <c r="E248" s="290" t="s">
        <v>9553</v>
      </c>
      <c r="F248" s="13" t="s">
        <v>827</v>
      </c>
      <c r="G248" s="13">
        <v>5</v>
      </c>
      <c r="H248" s="13">
        <v>6</v>
      </c>
      <c r="I248" s="674">
        <f>L248+K248+J248</f>
        <v>3</v>
      </c>
      <c r="J248" s="674">
        <f>SUM(M248:R248)</f>
        <v>3</v>
      </c>
      <c r="K248" s="553"/>
      <c r="L248" s="553"/>
      <c r="M248" s="552"/>
      <c r="N248" s="552"/>
      <c r="O248" s="555"/>
      <c r="P248" s="552"/>
      <c r="Q248" s="860"/>
      <c r="R248" s="870">
        <v>3</v>
      </c>
      <c r="S248" s="330"/>
      <c r="T248" s="331"/>
      <c r="U248" s="330"/>
      <c r="V248" s="330"/>
      <c r="W248" s="330"/>
      <c r="X248" s="330"/>
      <c r="Y248" s="330"/>
      <c r="Z248" s="663"/>
      <c r="AB248" s="3">
        <v>1</v>
      </c>
      <c r="AE248" s="2461"/>
      <c r="AF248" s="68"/>
    </row>
    <row r="249" spans="1:32" ht="30" x14ac:dyDescent="0.35">
      <c r="A249" s="661">
        <v>106</v>
      </c>
      <c r="B249" s="1044">
        <v>10709</v>
      </c>
      <c r="C249" s="1044"/>
      <c r="D249" s="662" t="s">
        <v>3171</v>
      </c>
      <c r="E249" s="290" t="s">
        <v>1114</v>
      </c>
      <c r="F249" s="13"/>
      <c r="G249" s="13" t="s">
        <v>191</v>
      </c>
      <c r="H249" s="340" t="s">
        <v>191</v>
      </c>
      <c r="I249" s="674">
        <f>L249+K249+J249</f>
        <v>2.2999999999999998</v>
      </c>
      <c r="J249" s="674">
        <f>SUM(M249:R249)</f>
        <v>2.2999999999999998</v>
      </c>
      <c r="K249" s="553"/>
      <c r="L249" s="553"/>
      <c r="M249" s="552"/>
      <c r="N249" s="552">
        <f>SUM(N250:N251)</f>
        <v>1.738</v>
      </c>
      <c r="O249" s="555"/>
      <c r="P249" s="552"/>
      <c r="Q249" s="860">
        <f>SUM(Q250:Q251)</f>
        <v>0.56200000000000006</v>
      </c>
      <c r="R249" s="870"/>
      <c r="S249" s="330"/>
      <c r="T249" s="331"/>
      <c r="U249" s="330"/>
      <c r="V249" s="330"/>
      <c r="W249" s="328">
        <v>2</v>
      </c>
      <c r="X249" s="328">
        <v>45.4</v>
      </c>
      <c r="Y249" s="330"/>
      <c r="Z249" s="663"/>
      <c r="AB249" s="3">
        <v>1</v>
      </c>
      <c r="AE249" s="2461"/>
      <c r="AF249" s="68"/>
    </row>
    <row r="250" spans="1:32" x14ac:dyDescent="0.35">
      <c r="A250" s="658"/>
      <c r="B250" s="1044">
        <v>10709</v>
      </c>
      <c r="C250" s="1044"/>
      <c r="D250" s="659"/>
      <c r="E250" s="534" t="s">
        <v>1113</v>
      </c>
      <c r="F250" s="13">
        <v>5</v>
      </c>
      <c r="G250" s="13">
        <v>5</v>
      </c>
      <c r="H250" s="340">
        <v>6</v>
      </c>
      <c r="I250" s="572"/>
      <c r="J250" s="573"/>
      <c r="K250" s="573"/>
      <c r="L250" s="573"/>
      <c r="M250" s="573"/>
      <c r="N250" s="573">
        <v>1.738</v>
      </c>
      <c r="O250" s="551"/>
      <c r="P250" s="573"/>
      <c r="Q250" s="863"/>
      <c r="R250" s="875"/>
      <c r="S250" s="72"/>
      <c r="T250" s="334"/>
      <c r="U250" s="72"/>
      <c r="V250" s="72"/>
      <c r="W250" s="72"/>
      <c r="X250" s="72"/>
      <c r="Y250" s="72"/>
      <c r="Z250" s="660"/>
      <c r="AE250" s="2461"/>
      <c r="AF250" s="68"/>
    </row>
    <row r="251" spans="1:32" x14ac:dyDescent="0.35">
      <c r="A251" s="658"/>
      <c r="B251" s="1044">
        <v>10709</v>
      </c>
      <c r="C251" s="1044"/>
      <c r="D251" s="659"/>
      <c r="E251" s="837" t="s">
        <v>3292</v>
      </c>
      <c r="F251" s="13">
        <v>5</v>
      </c>
      <c r="G251" s="13">
        <v>5</v>
      </c>
      <c r="H251" s="340">
        <v>6</v>
      </c>
      <c r="I251" s="572"/>
      <c r="J251" s="573"/>
      <c r="K251" s="573"/>
      <c r="L251" s="573"/>
      <c r="M251" s="573"/>
      <c r="N251" s="573"/>
      <c r="O251" s="551"/>
      <c r="P251" s="573"/>
      <c r="Q251" s="863">
        <v>0.56200000000000006</v>
      </c>
      <c r="R251" s="875"/>
      <c r="S251" s="72"/>
      <c r="T251" s="334"/>
      <c r="U251" s="72"/>
      <c r="V251" s="72"/>
      <c r="W251" s="72"/>
      <c r="X251" s="72"/>
      <c r="Y251" s="72"/>
      <c r="Z251" s="660"/>
      <c r="AE251" s="2461"/>
      <c r="AF251" s="68"/>
    </row>
    <row r="252" spans="1:32" ht="30.5" x14ac:dyDescent="0.35">
      <c r="A252" s="1823">
        <v>107</v>
      </c>
      <c r="B252" s="826">
        <v>10709</v>
      </c>
      <c r="C252" s="826" t="s">
        <v>1656</v>
      </c>
      <c r="D252" s="2468" t="s">
        <v>4991</v>
      </c>
      <c r="E252" s="511" t="s">
        <v>8547</v>
      </c>
      <c r="F252" s="1944" t="s">
        <v>664</v>
      </c>
      <c r="G252" s="13">
        <v>5</v>
      </c>
      <c r="H252" s="13">
        <v>6</v>
      </c>
      <c r="I252" s="297">
        <f>J252+K252+L252</f>
        <v>0.1</v>
      </c>
      <c r="J252" s="297">
        <f>SUM(M252:R252)</f>
        <v>0.1</v>
      </c>
      <c r="K252" s="573"/>
      <c r="L252" s="573"/>
      <c r="M252" s="503"/>
      <c r="N252" s="501"/>
      <c r="O252" s="570"/>
      <c r="P252" s="503"/>
      <c r="Q252" s="2099"/>
      <c r="R252" s="2098">
        <v>0.1</v>
      </c>
      <c r="S252" s="72"/>
      <c r="T252" s="334"/>
      <c r="U252" s="72"/>
      <c r="V252" s="72"/>
      <c r="W252" s="72"/>
      <c r="X252" s="72"/>
      <c r="Y252" s="72"/>
      <c r="Z252" s="2375"/>
      <c r="AA252" s="3" t="s">
        <v>1091</v>
      </c>
      <c r="AB252" s="3">
        <v>1</v>
      </c>
      <c r="AE252" s="2461"/>
      <c r="AF252" s="68"/>
    </row>
    <row r="253" spans="1:32" ht="30" x14ac:dyDescent="0.35">
      <c r="A253" s="661">
        <v>108</v>
      </c>
      <c r="B253" s="1044">
        <v>10710</v>
      </c>
      <c r="C253" s="1044"/>
      <c r="D253" s="662" t="s">
        <v>3172</v>
      </c>
      <c r="E253" s="550" t="s">
        <v>10763</v>
      </c>
      <c r="F253" s="13"/>
      <c r="G253" s="13" t="s">
        <v>191</v>
      </c>
      <c r="H253" s="340" t="s">
        <v>191</v>
      </c>
      <c r="I253" s="674">
        <f>L253+K253+J253</f>
        <v>6.3</v>
      </c>
      <c r="J253" s="674">
        <f>SUM(M253:R253)</f>
        <v>6.3</v>
      </c>
      <c r="K253" s="553"/>
      <c r="L253" s="553"/>
      <c r="M253" s="552"/>
      <c r="N253" s="552"/>
      <c r="O253" s="555"/>
      <c r="P253" s="552"/>
      <c r="Q253" s="860">
        <f>SUM(Q254:Q255)</f>
        <v>3</v>
      </c>
      <c r="R253" s="870">
        <f>SUM(R254:R255)</f>
        <v>3.3</v>
      </c>
      <c r="S253" s="330"/>
      <c r="T253" s="331"/>
      <c r="U253" s="330"/>
      <c r="V253" s="330"/>
      <c r="W253" s="328">
        <v>3</v>
      </c>
      <c r="X253" s="328">
        <v>30</v>
      </c>
      <c r="Y253" s="330"/>
      <c r="Z253" s="663"/>
      <c r="AB253" s="3">
        <v>1</v>
      </c>
      <c r="AE253" s="2461"/>
      <c r="AF253" s="68"/>
    </row>
    <row r="254" spans="1:32" x14ac:dyDescent="0.35">
      <c r="A254" s="658"/>
      <c r="B254" s="1044">
        <v>10710</v>
      </c>
      <c r="C254" s="1044"/>
      <c r="D254" s="659"/>
      <c r="E254" s="838" t="s">
        <v>6915</v>
      </c>
      <c r="F254" s="14" t="s">
        <v>664</v>
      </c>
      <c r="G254" s="14">
        <v>5</v>
      </c>
      <c r="H254" s="13">
        <v>6</v>
      </c>
      <c r="I254" s="676"/>
      <c r="J254" s="1124"/>
      <c r="K254" s="573"/>
      <c r="L254" s="573"/>
      <c r="M254" s="573"/>
      <c r="N254" s="573"/>
      <c r="O254" s="551"/>
      <c r="P254" s="573"/>
      <c r="Q254" s="865"/>
      <c r="R254" s="873">
        <v>3.3</v>
      </c>
      <c r="S254" s="72"/>
      <c r="T254" s="334"/>
      <c r="U254" s="72"/>
      <c r="V254" s="72"/>
      <c r="W254" s="72"/>
      <c r="X254" s="72"/>
      <c r="Y254" s="72"/>
      <c r="Z254" s="660"/>
      <c r="AE254" s="2461"/>
      <c r="AF254" s="68"/>
    </row>
    <row r="255" spans="1:32" x14ac:dyDescent="0.35">
      <c r="A255" s="658"/>
      <c r="B255" s="1044">
        <v>10710</v>
      </c>
      <c r="C255" s="1044"/>
      <c r="D255" s="659"/>
      <c r="E255" s="837" t="s">
        <v>6914</v>
      </c>
      <c r="F255" s="14" t="s">
        <v>827</v>
      </c>
      <c r="G255" s="14">
        <v>5</v>
      </c>
      <c r="H255" s="340">
        <v>6</v>
      </c>
      <c r="I255" s="676"/>
      <c r="J255" s="1124"/>
      <c r="K255" s="573"/>
      <c r="L255" s="573"/>
      <c r="M255" s="573"/>
      <c r="N255" s="572"/>
      <c r="O255" s="551"/>
      <c r="P255" s="573"/>
      <c r="Q255" s="865">
        <v>3</v>
      </c>
      <c r="R255" s="875"/>
      <c r="S255" s="72"/>
      <c r="T255" s="334"/>
      <c r="U255" s="72"/>
      <c r="V255" s="72"/>
      <c r="W255" s="72"/>
      <c r="X255" s="72"/>
      <c r="Y255" s="72"/>
      <c r="Z255" s="660"/>
      <c r="AA255" s="1778" t="s">
        <v>3225</v>
      </c>
      <c r="AE255" s="2461"/>
      <c r="AF255" s="68"/>
    </row>
    <row r="256" spans="1:32" ht="45.5" x14ac:dyDescent="0.35">
      <c r="A256" s="661">
        <v>109</v>
      </c>
      <c r="B256" s="826">
        <v>10679</v>
      </c>
      <c r="C256" s="826" t="s">
        <v>1656</v>
      </c>
      <c r="D256" s="2468" t="s">
        <v>4938</v>
      </c>
      <c r="E256" s="511" t="s">
        <v>8548</v>
      </c>
      <c r="F256" s="1138" t="s">
        <v>664</v>
      </c>
      <c r="G256" s="13">
        <v>5</v>
      </c>
      <c r="H256" s="13">
        <v>6</v>
      </c>
      <c r="I256" s="297">
        <f>J256+K256+L256</f>
        <v>0.9</v>
      </c>
      <c r="J256" s="297">
        <f>SUM(M256:R256)</f>
        <v>0.9</v>
      </c>
      <c r="K256" s="553"/>
      <c r="L256" s="553"/>
      <c r="M256" s="501"/>
      <c r="N256" s="501"/>
      <c r="O256" s="568"/>
      <c r="P256" s="501"/>
      <c r="Q256" s="1856"/>
      <c r="R256" s="2377">
        <v>0.9</v>
      </c>
      <c r="S256" s="328"/>
      <c r="T256" s="329"/>
      <c r="U256" s="330"/>
      <c r="V256" s="330"/>
      <c r="W256" s="328"/>
      <c r="X256" s="328"/>
      <c r="Y256" s="330"/>
      <c r="Z256" s="2376"/>
      <c r="AA256" s="3" t="s">
        <v>1483</v>
      </c>
      <c r="AB256" s="3">
        <v>1</v>
      </c>
      <c r="AE256" s="2461"/>
      <c r="AF256" s="68"/>
    </row>
    <row r="257" spans="1:32" ht="30.5" x14ac:dyDescent="0.35">
      <c r="A257" s="1823">
        <v>110</v>
      </c>
      <c r="B257" s="826">
        <v>10710</v>
      </c>
      <c r="C257" s="826" t="s">
        <v>1656</v>
      </c>
      <c r="D257" s="2468" t="s">
        <v>4992</v>
      </c>
      <c r="E257" s="511" t="s">
        <v>8549</v>
      </c>
      <c r="F257" s="1944" t="s">
        <v>664</v>
      </c>
      <c r="G257" s="13">
        <v>5</v>
      </c>
      <c r="H257" s="13">
        <v>6</v>
      </c>
      <c r="I257" s="297">
        <f>J257+K257+L257</f>
        <v>0.2</v>
      </c>
      <c r="J257" s="297">
        <f>SUM(M257:R257)</f>
        <v>0.2</v>
      </c>
      <c r="K257" s="573"/>
      <c r="L257" s="573"/>
      <c r="M257" s="503"/>
      <c r="N257" s="501"/>
      <c r="O257" s="570"/>
      <c r="P257" s="503"/>
      <c r="Q257" s="2099"/>
      <c r="R257" s="2098">
        <v>0.2</v>
      </c>
      <c r="S257" s="72"/>
      <c r="T257" s="334"/>
      <c r="U257" s="72"/>
      <c r="V257" s="72"/>
      <c r="W257" s="72"/>
      <c r="X257" s="72"/>
      <c r="Y257" s="72"/>
      <c r="Z257" s="2375"/>
      <c r="AA257" s="3" t="s">
        <v>882</v>
      </c>
      <c r="AB257" s="3">
        <v>1</v>
      </c>
      <c r="AE257" s="2461"/>
      <c r="AF257" s="68"/>
    </row>
    <row r="258" spans="1:32" ht="30.5" x14ac:dyDescent="0.35">
      <c r="A258" s="661">
        <v>111</v>
      </c>
      <c r="B258" s="1044">
        <v>10711</v>
      </c>
      <c r="C258" s="1044"/>
      <c r="D258" s="662" t="s">
        <v>3173</v>
      </c>
      <c r="E258" s="550" t="s">
        <v>10764</v>
      </c>
      <c r="F258" s="13" t="s">
        <v>664</v>
      </c>
      <c r="G258" s="13">
        <v>5</v>
      </c>
      <c r="H258" s="13">
        <v>6</v>
      </c>
      <c r="I258" s="552">
        <f>L258+K258+J258</f>
        <v>3.5</v>
      </c>
      <c r="J258" s="552">
        <f>SUM(M258:R258)</f>
        <v>3.5</v>
      </c>
      <c r="K258" s="553"/>
      <c r="L258" s="553"/>
      <c r="M258" s="552"/>
      <c r="N258" s="552"/>
      <c r="O258" s="555"/>
      <c r="P258" s="552"/>
      <c r="Q258" s="860"/>
      <c r="R258" s="870">
        <v>3.5</v>
      </c>
      <c r="S258" s="330"/>
      <c r="T258" s="331"/>
      <c r="U258" s="330"/>
      <c r="V258" s="330"/>
      <c r="W258" s="330"/>
      <c r="X258" s="330"/>
      <c r="Y258" s="330"/>
      <c r="Z258" s="663"/>
      <c r="AB258" s="3">
        <v>1</v>
      </c>
      <c r="AE258" s="2461"/>
      <c r="AF258" s="68"/>
    </row>
    <row r="259" spans="1:32" ht="30" x14ac:dyDescent="0.35">
      <c r="A259" s="1823">
        <v>112</v>
      </c>
      <c r="B259" s="1044">
        <v>10712</v>
      </c>
      <c r="C259" s="1044"/>
      <c r="D259" s="662" t="s">
        <v>3174</v>
      </c>
      <c r="E259" s="550" t="s">
        <v>10765</v>
      </c>
      <c r="F259" s="13"/>
      <c r="G259" s="13" t="s">
        <v>191</v>
      </c>
      <c r="H259" s="340" t="s">
        <v>191</v>
      </c>
      <c r="I259" s="552">
        <f>L259+K259+J259</f>
        <v>2.93</v>
      </c>
      <c r="J259" s="552">
        <f>SUM(M259:R259)</f>
        <v>2.93</v>
      </c>
      <c r="K259" s="553"/>
      <c r="L259" s="553"/>
      <c r="M259" s="552"/>
      <c r="N259" s="552"/>
      <c r="O259" s="555"/>
      <c r="P259" s="552"/>
      <c r="Q259" s="860">
        <f>SUM(Q260:Q261)</f>
        <v>1.28</v>
      </c>
      <c r="R259" s="870">
        <f>SUM(R260:R261)</f>
        <v>1.6500000000000001</v>
      </c>
      <c r="S259" s="330"/>
      <c r="T259" s="331"/>
      <c r="U259" s="330"/>
      <c r="V259" s="330"/>
      <c r="W259" s="328">
        <v>3</v>
      </c>
      <c r="X259" s="328">
        <v>30.1</v>
      </c>
      <c r="Y259" s="330"/>
      <c r="Z259" s="663"/>
      <c r="AB259" s="3">
        <v>1</v>
      </c>
      <c r="AE259" s="2461"/>
      <c r="AF259" s="68"/>
    </row>
    <row r="260" spans="1:32" x14ac:dyDescent="0.35">
      <c r="A260" s="658"/>
      <c r="B260" s="1044">
        <v>10712</v>
      </c>
      <c r="C260" s="1044"/>
      <c r="D260" s="659"/>
      <c r="E260" s="837" t="s">
        <v>674</v>
      </c>
      <c r="F260" s="13" t="s">
        <v>827</v>
      </c>
      <c r="G260" s="14">
        <v>5</v>
      </c>
      <c r="H260" s="340">
        <v>6</v>
      </c>
      <c r="I260" s="676"/>
      <c r="J260" s="1124"/>
      <c r="K260" s="573"/>
      <c r="L260" s="573"/>
      <c r="M260" s="573"/>
      <c r="N260" s="573"/>
      <c r="O260" s="551"/>
      <c r="P260" s="573"/>
      <c r="Q260" s="863">
        <v>1.28</v>
      </c>
      <c r="R260" s="875"/>
      <c r="S260" s="72"/>
      <c r="T260" s="334"/>
      <c r="U260" s="72"/>
      <c r="V260" s="72"/>
      <c r="W260" s="72"/>
      <c r="X260" s="72"/>
      <c r="Y260" s="72"/>
      <c r="Z260" s="660"/>
      <c r="AE260" s="2461"/>
      <c r="AF260" s="68"/>
    </row>
    <row r="261" spans="1:32" x14ac:dyDescent="0.35">
      <c r="A261" s="658"/>
      <c r="B261" s="1044">
        <v>10712</v>
      </c>
      <c r="C261" s="1044"/>
      <c r="D261" s="659"/>
      <c r="E261" s="838" t="s">
        <v>6916</v>
      </c>
      <c r="F261" s="13" t="s">
        <v>827</v>
      </c>
      <c r="G261" s="14">
        <v>5</v>
      </c>
      <c r="H261" s="13">
        <v>6</v>
      </c>
      <c r="I261" s="572"/>
      <c r="J261" s="573"/>
      <c r="K261" s="573"/>
      <c r="L261" s="573"/>
      <c r="M261" s="573"/>
      <c r="N261" s="573"/>
      <c r="O261" s="551"/>
      <c r="P261" s="573"/>
      <c r="Q261" s="865"/>
      <c r="R261" s="873">
        <f>2.93-1.28</f>
        <v>1.6500000000000001</v>
      </c>
      <c r="S261" s="72"/>
      <c r="T261" s="334"/>
      <c r="U261" s="72"/>
      <c r="V261" s="72"/>
      <c r="W261" s="72"/>
      <c r="X261" s="72"/>
      <c r="Y261" s="72"/>
      <c r="Z261" s="660"/>
      <c r="AE261" s="2461"/>
      <c r="AF261" s="68"/>
    </row>
    <row r="262" spans="1:32" ht="30.5" x14ac:dyDescent="0.35">
      <c r="A262" s="1823">
        <v>113</v>
      </c>
      <c r="B262" s="826">
        <v>10712</v>
      </c>
      <c r="C262" s="826" t="s">
        <v>1656</v>
      </c>
      <c r="D262" s="2468" t="s">
        <v>4993</v>
      </c>
      <c r="E262" s="511" t="s">
        <v>8550</v>
      </c>
      <c r="F262" s="1944" t="s">
        <v>664</v>
      </c>
      <c r="G262" s="13">
        <v>5</v>
      </c>
      <c r="H262" s="13">
        <v>6</v>
      </c>
      <c r="I262" s="297">
        <f>J262+K262+L262</f>
        <v>0.1</v>
      </c>
      <c r="J262" s="297">
        <f t="shared" ref="J262:J268" si="12">SUM(M262:R262)</f>
        <v>0.1</v>
      </c>
      <c r="K262" s="573"/>
      <c r="L262" s="573"/>
      <c r="M262" s="503"/>
      <c r="N262" s="503"/>
      <c r="O262" s="570"/>
      <c r="P262" s="503"/>
      <c r="Q262" s="2099"/>
      <c r="R262" s="1865">
        <v>0.1</v>
      </c>
      <c r="S262" s="72"/>
      <c r="T262" s="334"/>
      <c r="U262" s="72"/>
      <c r="V262" s="72"/>
      <c r="W262" s="72"/>
      <c r="X262" s="72"/>
      <c r="Y262" s="72"/>
      <c r="Z262" s="2375"/>
      <c r="AA262" s="3" t="s">
        <v>2418</v>
      </c>
      <c r="AB262" s="3">
        <v>1</v>
      </c>
      <c r="AE262" s="2461"/>
      <c r="AF262" s="68"/>
    </row>
    <row r="263" spans="1:32" ht="30.5" x14ac:dyDescent="0.35">
      <c r="A263" s="1823">
        <v>114</v>
      </c>
      <c r="B263" s="1044">
        <v>10713</v>
      </c>
      <c r="C263" s="1044"/>
      <c r="D263" s="662" t="s">
        <v>1082</v>
      </c>
      <c r="E263" s="290" t="s">
        <v>9850</v>
      </c>
      <c r="F263" s="13" t="s">
        <v>664</v>
      </c>
      <c r="G263" s="13">
        <v>5</v>
      </c>
      <c r="H263" s="13">
        <v>6</v>
      </c>
      <c r="I263" s="552">
        <f>L263+K263+J263</f>
        <v>4</v>
      </c>
      <c r="J263" s="552">
        <f t="shared" si="12"/>
        <v>4</v>
      </c>
      <c r="K263" s="553"/>
      <c r="L263" s="553"/>
      <c r="M263" s="552"/>
      <c r="N263" s="552"/>
      <c r="O263" s="555"/>
      <c r="P263" s="552"/>
      <c r="Q263" s="860"/>
      <c r="R263" s="870">
        <v>4</v>
      </c>
      <c r="S263" s="328"/>
      <c r="T263" s="329"/>
      <c r="U263" s="330"/>
      <c r="V263" s="330"/>
      <c r="W263" s="328">
        <v>1</v>
      </c>
      <c r="X263" s="328">
        <v>6</v>
      </c>
      <c r="Y263" s="330"/>
      <c r="Z263" s="663"/>
      <c r="AB263" s="3">
        <v>1</v>
      </c>
      <c r="AE263" s="2461"/>
      <c r="AF263" s="68"/>
    </row>
    <row r="264" spans="1:32" ht="60.5" x14ac:dyDescent="0.35">
      <c r="A264" s="1823">
        <v>115</v>
      </c>
      <c r="B264" s="826">
        <v>10713</v>
      </c>
      <c r="C264" s="826" t="s">
        <v>1656</v>
      </c>
      <c r="D264" s="2468" t="s">
        <v>4995</v>
      </c>
      <c r="E264" s="511" t="s">
        <v>9851</v>
      </c>
      <c r="F264" s="1944" t="s">
        <v>664</v>
      </c>
      <c r="G264" s="13">
        <v>5</v>
      </c>
      <c r="H264" s="13">
        <v>6</v>
      </c>
      <c r="I264" s="297">
        <f>J264+K264+L264</f>
        <v>0.4</v>
      </c>
      <c r="J264" s="297">
        <f t="shared" si="12"/>
        <v>0.4</v>
      </c>
      <c r="K264" s="573"/>
      <c r="L264" s="573"/>
      <c r="M264" s="503"/>
      <c r="N264" s="503"/>
      <c r="O264" s="570"/>
      <c r="P264" s="503"/>
      <c r="Q264" s="1856"/>
      <c r="R264" s="2098">
        <v>0.4</v>
      </c>
      <c r="S264" s="72"/>
      <c r="T264" s="334"/>
      <c r="U264" s="72"/>
      <c r="V264" s="72"/>
      <c r="W264" s="72"/>
      <c r="X264" s="72"/>
      <c r="Y264" s="72"/>
      <c r="Z264" s="2375"/>
      <c r="AA264" s="1778" t="s">
        <v>2476</v>
      </c>
      <c r="AB264" s="3">
        <v>1</v>
      </c>
      <c r="AE264" s="2461"/>
      <c r="AF264" s="68"/>
    </row>
    <row r="265" spans="1:32" ht="60.5" x14ac:dyDescent="0.35">
      <c r="A265" s="1823">
        <v>116</v>
      </c>
      <c r="B265" s="826">
        <v>10713</v>
      </c>
      <c r="C265" s="826" t="s">
        <v>1656</v>
      </c>
      <c r="D265" s="2468" t="s">
        <v>4996</v>
      </c>
      <c r="E265" s="2374" t="s">
        <v>9852</v>
      </c>
      <c r="F265" s="1138" t="s">
        <v>664</v>
      </c>
      <c r="G265" s="13">
        <v>5</v>
      </c>
      <c r="H265" s="13">
        <v>6</v>
      </c>
      <c r="I265" s="297">
        <f>J265+K265+L265</f>
        <v>0.39</v>
      </c>
      <c r="J265" s="297">
        <f t="shared" si="12"/>
        <v>0.39</v>
      </c>
      <c r="K265" s="553"/>
      <c r="L265" s="553"/>
      <c r="M265" s="501"/>
      <c r="N265" s="501"/>
      <c r="O265" s="568"/>
      <c r="P265" s="501"/>
      <c r="Q265" s="1856"/>
      <c r="R265" s="1865">
        <v>0.39</v>
      </c>
      <c r="S265" s="328"/>
      <c r="T265" s="329"/>
      <c r="U265" s="330"/>
      <c r="V265" s="330"/>
      <c r="W265" s="328"/>
      <c r="X265" s="328"/>
      <c r="Y265" s="328"/>
      <c r="Z265" s="2376"/>
      <c r="AA265" s="3" t="s">
        <v>1532</v>
      </c>
      <c r="AB265" s="3">
        <v>1</v>
      </c>
      <c r="AE265" s="2461"/>
      <c r="AF265" s="68"/>
    </row>
    <row r="266" spans="1:32" ht="30" x14ac:dyDescent="0.35">
      <c r="A266" s="1823">
        <v>117</v>
      </c>
      <c r="B266" s="1044">
        <v>10714</v>
      </c>
      <c r="C266" s="1044"/>
      <c r="D266" s="662" t="s">
        <v>1083</v>
      </c>
      <c r="E266" s="290" t="s">
        <v>675</v>
      </c>
      <c r="F266" s="13" t="s">
        <v>827</v>
      </c>
      <c r="G266" s="13">
        <v>5</v>
      </c>
      <c r="H266" s="13">
        <v>6</v>
      </c>
      <c r="I266" s="674">
        <f>L266+K266+J266</f>
        <v>3.72</v>
      </c>
      <c r="J266" s="674">
        <f t="shared" si="12"/>
        <v>3.72</v>
      </c>
      <c r="K266" s="553"/>
      <c r="L266" s="553"/>
      <c r="M266" s="552"/>
      <c r="N266" s="552"/>
      <c r="O266" s="555"/>
      <c r="P266" s="552"/>
      <c r="Q266" s="860"/>
      <c r="R266" s="870">
        <v>3.72</v>
      </c>
      <c r="S266" s="330"/>
      <c r="T266" s="331"/>
      <c r="U266" s="330"/>
      <c r="V266" s="330"/>
      <c r="W266" s="328">
        <v>16</v>
      </c>
      <c r="X266" s="328">
        <v>142.94</v>
      </c>
      <c r="Y266" s="330"/>
      <c r="Z266" s="663"/>
      <c r="AB266" s="3">
        <v>1</v>
      </c>
      <c r="AE266" s="2461"/>
      <c r="AF266" s="68"/>
    </row>
    <row r="267" spans="1:32" ht="30.5" x14ac:dyDescent="0.35">
      <c r="A267" s="1823">
        <v>118</v>
      </c>
      <c r="B267" s="826">
        <v>10714</v>
      </c>
      <c r="C267" s="826" t="s">
        <v>1656</v>
      </c>
      <c r="D267" s="2468" t="s">
        <v>4997</v>
      </c>
      <c r="E267" s="511" t="s">
        <v>8551</v>
      </c>
      <c r="F267" s="1944" t="s">
        <v>664</v>
      </c>
      <c r="G267" s="13">
        <v>5</v>
      </c>
      <c r="H267" s="13">
        <v>6</v>
      </c>
      <c r="I267" s="297">
        <f>J267+K267+L267</f>
        <v>0.15</v>
      </c>
      <c r="J267" s="297">
        <f t="shared" si="12"/>
        <v>0.15</v>
      </c>
      <c r="K267" s="573"/>
      <c r="L267" s="573"/>
      <c r="M267" s="503"/>
      <c r="N267" s="501"/>
      <c r="O267" s="570"/>
      <c r="P267" s="503"/>
      <c r="Q267" s="2099"/>
      <c r="R267" s="2098">
        <v>0.15</v>
      </c>
      <c r="S267" s="72"/>
      <c r="T267" s="334"/>
      <c r="U267" s="72"/>
      <c r="V267" s="72"/>
      <c r="W267" s="72"/>
      <c r="X267" s="72"/>
      <c r="Y267" s="72"/>
      <c r="Z267" s="2375"/>
      <c r="AA267" s="3" t="s">
        <v>214</v>
      </c>
      <c r="AB267" s="3">
        <v>1</v>
      </c>
      <c r="AE267" s="2461"/>
      <c r="AF267" s="68"/>
    </row>
    <row r="268" spans="1:32" ht="30" x14ac:dyDescent="0.35">
      <c r="A268" s="1823">
        <v>119</v>
      </c>
      <c r="B268" s="1044">
        <v>10715</v>
      </c>
      <c r="C268" s="1044"/>
      <c r="D268" s="662" t="s">
        <v>2653</v>
      </c>
      <c r="E268" s="290" t="s">
        <v>2584</v>
      </c>
      <c r="F268" s="13"/>
      <c r="G268" s="13" t="s">
        <v>191</v>
      </c>
      <c r="H268" s="340" t="s">
        <v>191</v>
      </c>
      <c r="I268" s="552">
        <f>L268+K268+J268</f>
        <v>9.65</v>
      </c>
      <c r="J268" s="552">
        <f t="shared" si="12"/>
        <v>9.65</v>
      </c>
      <c r="K268" s="553"/>
      <c r="L268" s="553"/>
      <c r="M268" s="552"/>
      <c r="N268" s="552">
        <f>SUM(N269:N273)</f>
        <v>4.7200000000000006</v>
      </c>
      <c r="O268" s="555"/>
      <c r="P268" s="552"/>
      <c r="Q268" s="860">
        <f>SUM(Q269:Q273)</f>
        <v>4.6610000000000005</v>
      </c>
      <c r="R268" s="870">
        <f>SUM(R269:R273)</f>
        <v>0.26900000000000002</v>
      </c>
      <c r="S268" s="328"/>
      <c r="T268" s="329"/>
      <c r="U268" s="330"/>
      <c r="V268" s="330"/>
      <c r="W268" s="328">
        <v>24</v>
      </c>
      <c r="X268" s="328">
        <v>310</v>
      </c>
      <c r="Y268" s="328">
        <v>9</v>
      </c>
      <c r="Z268" s="663">
        <v>95</v>
      </c>
      <c r="AB268" s="3">
        <v>1</v>
      </c>
      <c r="AE268" s="2461"/>
      <c r="AF268" s="68"/>
    </row>
    <row r="269" spans="1:32" x14ac:dyDescent="0.35">
      <c r="A269" s="658"/>
      <c r="B269" s="1044">
        <v>10715</v>
      </c>
      <c r="C269" s="1044"/>
      <c r="D269" s="659"/>
      <c r="E269" s="291" t="s">
        <v>2252</v>
      </c>
      <c r="F269" s="14">
        <v>5</v>
      </c>
      <c r="G269" s="14">
        <v>4</v>
      </c>
      <c r="H269" s="340">
        <v>6</v>
      </c>
      <c r="I269" s="572"/>
      <c r="J269" s="573"/>
      <c r="K269" s="573"/>
      <c r="L269" s="573"/>
      <c r="M269" s="573"/>
      <c r="N269" s="572">
        <v>4.16</v>
      </c>
      <c r="O269" s="551"/>
      <c r="P269" s="573"/>
      <c r="Q269" s="865"/>
      <c r="R269" s="875"/>
      <c r="S269" s="72"/>
      <c r="T269" s="334"/>
      <c r="U269" s="72"/>
      <c r="V269" s="72"/>
      <c r="W269" s="72"/>
      <c r="X269" s="72"/>
      <c r="Y269" s="72"/>
      <c r="Z269" s="660"/>
      <c r="AE269" s="2461"/>
      <c r="AF269" s="68"/>
    </row>
    <row r="270" spans="1:32" x14ac:dyDescent="0.35">
      <c r="A270" s="658"/>
      <c r="B270" s="1044">
        <v>10715</v>
      </c>
      <c r="C270" s="1044"/>
      <c r="D270" s="659"/>
      <c r="E270" s="837" t="s">
        <v>1161</v>
      </c>
      <c r="F270" s="14">
        <v>5</v>
      </c>
      <c r="G270" s="14">
        <v>4</v>
      </c>
      <c r="H270" s="340">
        <v>6</v>
      </c>
      <c r="I270" s="676"/>
      <c r="J270" s="1124"/>
      <c r="K270" s="573"/>
      <c r="L270" s="573"/>
      <c r="M270" s="573"/>
      <c r="N270" s="573"/>
      <c r="O270" s="551"/>
      <c r="P270" s="573"/>
      <c r="Q270" s="863">
        <v>2.68</v>
      </c>
      <c r="R270" s="875"/>
      <c r="S270" s="72"/>
      <c r="T270" s="334"/>
      <c r="U270" s="72"/>
      <c r="V270" s="72"/>
      <c r="W270" s="72"/>
      <c r="X270" s="72"/>
      <c r="Y270" s="72"/>
      <c r="Z270" s="660"/>
      <c r="AE270" s="2461"/>
      <c r="AF270" s="68"/>
    </row>
    <row r="271" spans="1:32" ht="53.25" customHeight="1" x14ac:dyDescent="0.35">
      <c r="A271" s="658"/>
      <c r="B271" s="1044">
        <v>10715</v>
      </c>
      <c r="C271" s="1044"/>
      <c r="D271" s="659"/>
      <c r="E271" s="534" t="s">
        <v>883</v>
      </c>
      <c r="F271" s="14">
        <v>5</v>
      </c>
      <c r="G271" s="14">
        <v>4</v>
      </c>
      <c r="H271" s="340">
        <v>6</v>
      </c>
      <c r="I271" s="676"/>
      <c r="J271" s="1124"/>
      <c r="K271" s="573"/>
      <c r="L271" s="573"/>
      <c r="M271" s="573"/>
      <c r="N271" s="573">
        <v>0.56000000000000005</v>
      </c>
      <c r="O271" s="551"/>
      <c r="P271" s="573"/>
      <c r="Q271" s="863"/>
      <c r="R271" s="875"/>
      <c r="S271" s="72"/>
      <c r="T271" s="334"/>
      <c r="U271" s="72"/>
      <c r="V271" s="72"/>
      <c r="W271" s="72"/>
      <c r="X271" s="72"/>
      <c r="Y271" s="72"/>
      <c r="Z271" s="660"/>
      <c r="AE271" s="2461"/>
      <c r="AF271" s="68"/>
    </row>
    <row r="272" spans="1:32" x14ac:dyDescent="0.35">
      <c r="A272" s="658"/>
      <c r="B272" s="1044">
        <v>10715</v>
      </c>
      <c r="C272" s="1044"/>
      <c r="D272" s="659"/>
      <c r="E272" s="291" t="s">
        <v>2591</v>
      </c>
      <c r="F272" s="14">
        <v>5</v>
      </c>
      <c r="G272" s="14">
        <v>4</v>
      </c>
      <c r="H272" s="340">
        <v>6</v>
      </c>
      <c r="I272" s="676"/>
      <c r="J272" s="1124"/>
      <c r="K272" s="573"/>
      <c r="L272" s="573"/>
      <c r="M272" s="573"/>
      <c r="N272" s="573"/>
      <c r="O272" s="551"/>
      <c r="P272" s="573"/>
      <c r="Q272" s="863">
        <v>1.9810000000000001</v>
      </c>
      <c r="R272" s="875"/>
      <c r="S272" s="72"/>
      <c r="T272" s="334"/>
      <c r="U272" s="72"/>
      <c r="V272" s="72"/>
      <c r="W272" s="72"/>
      <c r="X272" s="72"/>
      <c r="Y272" s="72"/>
      <c r="Z272" s="660"/>
      <c r="AE272" s="2461"/>
      <c r="AF272" s="68"/>
    </row>
    <row r="273" spans="1:32" x14ac:dyDescent="0.35">
      <c r="A273" s="658"/>
      <c r="B273" s="1044">
        <v>10715</v>
      </c>
      <c r="C273" s="1044"/>
      <c r="D273" s="659"/>
      <c r="E273" s="838" t="s">
        <v>2583</v>
      </c>
      <c r="F273" s="14" t="s">
        <v>827</v>
      </c>
      <c r="G273" s="14">
        <v>4</v>
      </c>
      <c r="H273" s="13">
        <v>6</v>
      </c>
      <c r="I273" s="676"/>
      <c r="J273" s="1124"/>
      <c r="K273" s="573"/>
      <c r="L273" s="573"/>
      <c r="M273" s="573"/>
      <c r="N273" s="573"/>
      <c r="O273" s="551"/>
      <c r="P273" s="573"/>
      <c r="Q273" s="863"/>
      <c r="R273" s="875">
        <v>0.26900000000000002</v>
      </c>
      <c r="S273" s="72"/>
      <c r="T273" s="334"/>
      <c r="U273" s="72"/>
      <c r="V273" s="72"/>
      <c r="W273" s="72"/>
      <c r="X273" s="72"/>
      <c r="Y273" s="72"/>
      <c r="Z273" s="660"/>
      <c r="AE273" s="2461"/>
      <c r="AF273" s="68"/>
    </row>
    <row r="274" spans="1:32" ht="30.5" x14ac:dyDescent="0.35">
      <c r="A274" s="661">
        <v>120</v>
      </c>
      <c r="B274" s="1044">
        <v>10715</v>
      </c>
      <c r="C274" s="1044"/>
      <c r="D274" s="2468" t="s">
        <v>4998</v>
      </c>
      <c r="E274" s="290" t="s">
        <v>7744</v>
      </c>
      <c r="F274" s="13" t="s">
        <v>664</v>
      </c>
      <c r="G274" s="13">
        <v>5</v>
      </c>
      <c r="H274" s="13">
        <v>6</v>
      </c>
      <c r="I274" s="552">
        <f>L274+K274+J274</f>
        <v>3.7</v>
      </c>
      <c r="J274" s="552">
        <f>SUM(M274:R274)</f>
        <v>3.7</v>
      </c>
      <c r="K274" s="553"/>
      <c r="L274" s="553"/>
      <c r="M274" s="552"/>
      <c r="N274" s="552"/>
      <c r="O274" s="555"/>
      <c r="P274" s="552"/>
      <c r="Q274" s="860"/>
      <c r="R274" s="870">
        <v>3.7</v>
      </c>
      <c r="S274" s="330"/>
      <c r="T274" s="331"/>
      <c r="U274" s="330"/>
      <c r="V274" s="330"/>
      <c r="W274" s="330">
        <v>1</v>
      </c>
      <c r="X274" s="330">
        <v>12.5</v>
      </c>
      <c r="Y274" s="330"/>
      <c r="Z274" s="663"/>
      <c r="AB274" s="3">
        <v>1</v>
      </c>
      <c r="AE274" s="2461"/>
      <c r="AF274" s="68"/>
    </row>
    <row r="275" spans="1:32" ht="30.5" x14ac:dyDescent="0.35">
      <c r="A275" s="1823">
        <v>121</v>
      </c>
      <c r="B275" s="826">
        <v>10715</v>
      </c>
      <c r="C275" s="826" t="s">
        <v>1656</v>
      </c>
      <c r="D275" s="2468" t="s">
        <v>4999</v>
      </c>
      <c r="E275" s="511" t="s">
        <v>8552</v>
      </c>
      <c r="F275" s="1138" t="s">
        <v>664</v>
      </c>
      <c r="G275" s="13">
        <v>5</v>
      </c>
      <c r="H275" s="13">
        <v>6</v>
      </c>
      <c r="I275" s="297">
        <f>J275+K275+L275</f>
        <v>0.45</v>
      </c>
      <c r="J275" s="297">
        <f>SUM(M275:R275)</f>
        <v>0.45</v>
      </c>
      <c r="K275" s="553"/>
      <c r="L275" s="553"/>
      <c r="M275" s="501"/>
      <c r="N275" s="501"/>
      <c r="O275" s="568"/>
      <c r="P275" s="501"/>
      <c r="Q275" s="1856"/>
      <c r="R275" s="1865">
        <v>0.45</v>
      </c>
      <c r="S275" s="330"/>
      <c r="T275" s="331"/>
      <c r="U275" s="330"/>
      <c r="V275" s="330"/>
      <c r="W275" s="330"/>
      <c r="X275" s="330"/>
      <c r="Y275" s="330"/>
      <c r="Z275" s="2376"/>
      <c r="AA275" s="3" t="s">
        <v>3448</v>
      </c>
      <c r="AB275" s="3">
        <v>1</v>
      </c>
      <c r="AE275" s="2461"/>
      <c r="AF275" s="68"/>
    </row>
    <row r="276" spans="1:32" ht="30.5" x14ac:dyDescent="0.35">
      <c r="A276" s="661">
        <v>122</v>
      </c>
      <c r="B276" s="826">
        <v>10715</v>
      </c>
      <c r="C276" s="826" t="s">
        <v>1656</v>
      </c>
      <c r="D276" s="2468" t="s">
        <v>5000</v>
      </c>
      <c r="E276" s="511" t="s">
        <v>8553</v>
      </c>
      <c r="F276" s="1944" t="s">
        <v>664</v>
      </c>
      <c r="G276" s="13">
        <v>5</v>
      </c>
      <c r="H276" s="13">
        <v>6</v>
      </c>
      <c r="I276" s="297">
        <f>J276+K276+L276</f>
        <v>0.3</v>
      </c>
      <c r="J276" s="297">
        <f>SUM(M276:R276)</f>
        <v>0.3</v>
      </c>
      <c r="K276" s="573"/>
      <c r="L276" s="573"/>
      <c r="M276" s="503"/>
      <c r="N276" s="501"/>
      <c r="O276" s="570"/>
      <c r="P276" s="503"/>
      <c r="Q276" s="2099"/>
      <c r="R276" s="2098">
        <v>0.3</v>
      </c>
      <c r="S276" s="72"/>
      <c r="T276" s="334"/>
      <c r="U276" s="72"/>
      <c r="V276" s="72"/>
      <c r="W276" s="72"/>
      <c r="X276" s="72"/>
      <c r="Y276" s="72"/>
      <c r="Z276" s="2375"/>
      <c r="AA276" s="3" t="s">
        <v>2778</v>
      </c>
      <c r="AB276" s="3">
        <v>1</v>
      </c>
      <c r="AE276" s="2461"/>
      <c r="AF276" s="68"/>
    </row>
    <row r="277" spans="1:32" ht="30.5" x14ac:dyDescent="0.35">
      <c r="A277" s="1823">
        <v>123</v>
      </c>
      <c r="B277" s="826">
        <v>10715</v>
      </c>
      <c r="C277" s="826" t="s">
        <v>1656</v>
      </c>
      <c r="D277" s="2468" t="s">
        <v>5001</v>
      </c>
      <c r="E277" s="511" t="s">
        <v>8554</v>
      </c>
      <c r="F277" s="1138" t="s">
        <v>664</v>
      </c>
      <c r="G277" s="13">
        <v>5</v>
      </c>
      <c r="H277" s="13">
        <v>6</v>
      </c>
      <c r="I277" s="297">
        <f>J277+K277+L277</f>
        <v>1.1000000000000001</v>
      </c>
      <c r="J277" s="297">
        <f>SUM(M277:R277)</f>
        <v>1.1000000000000001</v>
      </c>
      <c r="K277" s="553"/>
      <c r="L277" s="553"/>
      <c r="M277" s="501"/>
      <c r="N277" s="501"/>
      <c r="O277" s="568"/>
      <c r="P277" s="501"/>
      <c r="Q277" s="1856"/>
      <c r="R277" s="1865">
        <v>1.1000000000000001</v>
      </c>
      <c r="S277" s="328"/>
      <c r="T277" s="329"/>
      <c r="U277" s="330"/>
      <c r="V277" s="330"/>
      <c r="W277" s="328"/>
      <c r="X277" s="328"/>
      <c r="Y277" s="328"/>
      <c r="Z277" s="2376"/>
      <c r="AA277" s="3" t="s">
        <v>1213</v>
      </c>
      <c r="AB277" s="3">
        <v>1</v>
      </c>
      <c r="AE277" s="2461"/>
      <c r="AF277" s="68"/>
    </row>
    <row r="278" spans="1:32" ht="30" x14ac:dyDescent="0.35">
      <c r="A278" s="661">
        <v>124</v>
      </c>
      <c r="B278" s="1044">
        <v>10716</v>
      </c>
      <c r="C278" s="1044"/>
      <c r="D278" s="662" t="s">
        <v>2654</v>
      </c>
      <c r="E278" s="290" t="s">
        <v>36</v>
      </c>
      <c r="F278" s="13"/>
      <c r="G278" s="13" t="s">
        <v>191</v>
      </c>
      <c r="H278" s="340" t="s">
        <v>191</v>
      </c>
      <c r="I278" s="552">
        <f>L278+K278+J278</f>
        <v>2.8</v>
      </c>
      <c r="J278" s="552">
        <f>SUM(M278:R278)</f>
        <v>2.8</v>
      </c>
      <c r="K278" s="553"/>
      <c r="L278" s="553"/>
      <c r="M278" s="552"/>
      <c r="N278" s="552">
        <f>SUM(N279:N281)</f>
        <v>1.1000000000000001</v>
      </c>
      <c r="O278" s="555"/>
      <c r="P278" s="552"/>
      <c r="Q278" s="860">
        <f>SUM(Q279:Q281)</f>
        <v>0.44</v>
      </c>
      <c r="R278" s="870">
        <f>SUM(R279:R281)</f>
        <v>1.26</v>
      </c>
      <c r="S278" s="328">
        <v>1</v>
      </c>
      <c r="T278" s="329">
        <v>45.5</v>
      </c>
      <c r="U278" s="330"/>
      <c r="V278" s="330"/>
      <c r="W278" s="330">
        <v>1</v>
      </c>
      <c r="X278" s="330">
        <v>15.1</v>
      </c>
      <c r="Y278" s="330"/>
      <c r="Z278" s="663"/>
      <c r="AB278" s="3">
        <v>1</v>
      </c>
      <c r="AE278" s="2461"/>
      <c r="AF278" s="68"/>
    </row>
    <row r="279" spans="1:32" x14ac:dyDescent="0.35">
      <c r="A279" s="658"/>
      <c r="B279" s="1044">
        <v>10716</v>
      </c>
      <c r="C279" s="1044"/>
      <c r="D279" s="659"/>
      <c r="E279" s="291" t="s">
        <v>3164</v>
      </c>
      <c r="F279" s="14">
        <v>5</v>
      </c>
      <c r="G279" s="14">
        <v>5</v>
      </c>
      <c r="H279" s="340">
        <v>6</v>
      </c>
      <c r="I279" s="676"/>
      <c r="J279" s="1124"/>
      <c r="K279" s="573"/>
      <c r="L279" s="573"/>
      <c r="M279" s="573"/>
      <c r="N279" s="572">
        <v>1.1000000000000001</v>
      </c>
      <c r="O279" s="551"/>
      <c r="P279" s="573"/>
      <c r="Q279" s="865"/>
      <c r="R279" s="875"/>
      <c r="S279" s="72"/>
      <c r="T279" s="334"/>
      <c r="U279" s="72"/>
      <c r="V279" s="72"/>
      <c r="W279" s="72"/>
      <c r="X279" s="72"/>
      <c r="Y279" s="72"/>
      <c r="Z279" s="660"/>
      <c r="AE279" s="2461"/>
      <c r="AF279" s="68"/>
    </row>
    <row r="280" spans="1:32" x14ac:dyDescent="0.35">
      <c r="A280" s="658"/>
      <c r="B280" s="1044">
        <v>10716</v>
      </c>
      <c r="C280" s="1044"/>
      <c r="D280" s="659"/>
      <c r="E280" s="837" t="s">
        <v>788</v>
      </c>
      <c r="F280" s="14" t="s">
        <v>827</v>
      </c>
      <c r="G280" s="14">
        <v>5</v>
      </c>
      <c r="H280" s="340">
        <v>6</v>
      </c>
      <c r="I280" s="676"/>
      <c r="J280" s="1124"/>
      <c r="K280" s="573"/>
      <c r="L280" s="573"/>
      <c r="M280" s="573"/>
      <c r="N280" s="572"/>
      <c r="O280" s="551"/>
      <c r="P280" s="573"/>
      <c r="Q280" s="865">
        <v>0.44</v>
      </c>
      <c r="R280" s="875"/>
      <c r="S280" s="72"/>
      <c r="T280" s="334"/>
      <c r="U280" s="72"/>
      <c r="V280" s="72"/>
      <c r="W280" s="72"/>
      <c r="X280" s="72"/>
      <c r="Y280" s="72"/>
      <c r="Z280" s="660"/>
      <c r="AD280" s="2100"/>
      <c r="AE280" s="2461"/>
      <c r="AF280" s="68"/>
    </row>
    <row r="281" spans="1:32" x14ac:dyDescent="0.35">
      <c r="A281" s="658"/>
      <c r="B281" s="1044">
        <v>10716</v>
      </c>
      <c r="C281" s="1044"/>
      <c r="D281" s="659"/>
      <c r="E281" s="838" t="s">
        <v>1404</v>
      </c>
      <c r="F281" s="14" t="s">
        <v>827</v>
      </c>
      <c r="G281" s="14">
        <v>5</v>
      </c>
      <c r="H281" s="13">
        <v>6</v>
      </c>
      <c r="I281" s="572"/>
      <c r="J281" s="573"/>
      <c r="K281" s="573"/>
      <c r="L281" s="573"/>
      <c r="M281" s="573"/>
      <c r="N281" s="573"/>
      <c r="O281" s="551"/>
      <c r="P281" s="573"/>
      <c r="Q281" s="865"/>
      <c r="R281" s="873">
        <v>1.26</v>
      </c>
      <c r="S281" s="72"/>
      <c r="T281" s="334"/>
      <c r="U281" s="72"/>
      <c r="V281" s="72"/>
      <c r="W281" s="72"/>
      <c r="X281" s="72"/>
      <c r="Y281" s="72"/>
      <c r="Z281" s="660"/>
      <c r="AE281" s="2461"/>
      <c r="AF281" s="68"/>
    </row>
    <row r="282" spans="1:32" ht="45.5" x14ac:dyDescent="0.35">
      <c r="A282" s="1823">
        <v>125</v>
      </c>
      <c r="B282" s="826">
        <v>10716</v>
      </c>
      <c r="C282" s="826" t="s">
        <v>1656</v>
      </c>
      <c r="D282" s="2468" t="s">
        <v>5002</v>
      </c>
      <c r="E282" s="511" t="s">
        <v>8555</v>
      </c>
      <c r="F282" s="1944" t="s">
        <v>664</v>
      </c>
      <c r="G282" s="13">
        <v>5</v>
      </c>
      <c r="H282" s="13">
        <v>6</v>
      </c>
      <c r="I282" s="297">
        <f>J282+K282+L282</f>
        <v>0.6</v>
      </c>
      <c r="J282" s="297">
        <f>SUM(M282:R282)</f>
        <v>0.6</v>
      </c>
      <c r="K282" s="573"/>
      <c r="L282" s="573"/>
      <c r="M282" s="503"/>
      <c r="N282" s="503"/>
      <c r="O282" s="570"/>
      <c r="P282" s="503"/>
      <c r="Q282" s="1856"/>
      <c r="R282" s="2098">
        <v>0.6</v>
      </c>
      <c r="S282" s="72"/>
      <c r="T282" s="334"/>
      <c r="U282" s="72"/>
      <c r="V282" s="72"/>
      <c r="W282" s="72"/>
      <c r="X282" s="72"/>
      <c r="Y282" s="72"/>
      <c r="Z282" s="2375"/>
      <c r="AA282" s="3" t="s">
        <v>2277</v>
      </c>
      <c r="AB282" s="3">
        <v>1</v>
      </c>
      <c r="AE282" s="2461"/>
      <c r="AF282" s="68"/>
    </row>
    <row r="283" spans="1:32" ht="30.5" x14ac:dyDescent="0.35">
      <c r="A283" s="661">
        <v>126</v>
      </c>
      <c r="B283" s="1044">
        <v>10717</v>
      </c>
      <c r="C283" s="1044"/>
      <c r="D283" s="662" t="s">
        <v>2963</v>
      </c>
      <c r="E283" s="290" t="s">
        <v>1405</v>
      </c>
      <c r="F283" s="13"/>
      <c r="G283" s="13" t="s">
        <v>191</v>
      </c>
      <c r="H283" s="340" t="s">
        <v>191</v>
      </c>
      <c r="I283" s="552">
        <f>L283+K283+J283</f>
        <v>5.4499999999999993</v>
      </c>
      <c r="J283" s="552">
        <f>SUM(M283:R283)</f>
        <v>5.4499999999999993</v>
      </c>
      <c r="K283" s="553"/>
      <c r="L283" s="553"/>
      <c r="M283" s="552"/>
      <c r="N283" s="552"/>
      <c r="O283" s="555"/>
      <c r="P283" s="552"/>
      <c r="Q283" s="860">
        <f>SUM(Q284:Q285)</f>
        <v>2.2999999999999998</v>
      </c>
      <c r="R283" s="870">
        <f>SUM(R284:R285)</f>
        <v>3.15</v>
      </c>
      <c r="S283" s="330"/>
      <c r="T283" s="331"/>
      <c r="U283" s="330"/>
      <c r="V283" s="330"/>
      <c r="W283" s="328">
        <v>5</v>
      </c>
      <c r="X283" s="328">
        <v>37.299999999999997</v>
      </c>
      <c r="Y283" s="330"/>
      <c r="Z283" s="663"/>
      <c r="AB283" s="3">
        <v>1</v>
      </c>
      <c r="AE283" s="2461"/>
      <c r="AF283" s="68"/>
    </row>
    <row r="284" spans="1:32" x14ac:dyDescent="0.35">
      <c r="A284" s="658"/>
      <c r="B284" s="1044">
        <v>10717</v>
      </c>
      <c r="C284" s="1044"/>
      <c r="D284" s="659"/>
      <c r="E284" s="837" t="s">
        <v>2030</v>
      </c>
      <c r="F284" s="14" t="s">
        <v>827</v>
      </c>
      <c r="G284" s="14">
        <v>5</v>
      </c>
      <c r="H284" s="340">
        <v>6</v>
      </c>
      <c r="I284" s="676"/>
      <c r="J284" s="1124"/>
      <c r="K284" s="573"/>
      <c r="L284" s="573"/>
      <c r="M284" s="573"/>
      <c r="N284" s="573"/>
      <c r="O284" s="551"/>
      <c r="P284" s="573"/>
      <c r="Q284" s="863">
        <v>2.2999999999999998</v>
      </c>
      <c r="R284" s="875"/>
      <c r="S284" s="72"/>
      <c r="T284" s="334"/>
      <c r="U284" s="72"/>
      <c r="V284" s="72"/>
      <c r="W284" s="72"/>
      <c r="X284" s="72"/>
      <c r="Y284" s="72"/>
      <c r="Z284" s="660"/>
      <c r="AE284" s="2461"/>
      <c r="AF284" s="68"/>
    </row>
    <row r="285" spans="1:32" x14ac:dyDescent="0.35">
      <c r="A285" s="658"/>
      <c r="B285" s="1044">
        <v>10717</v>
      </c>
      <c r="C285" s="1044"/>
      <c r="D285" s="659"/>
      <c r="E285" s="838" t="s">
        <v>1406</v>
      </c>
      <c r="F285" s="14" t="s">
        <v>1490</v>
      </c>
      <c r="G285" s="14">
        <v>5</v>
      </c>
      <c r="H285" s="13">
        <v>6</v>
      </c>
      <c r="I285" s="676"/>
      <c r="J285" s="1124"/>
      <c r="K285" s="573"/>
      <c r="L285" s="573"/>
      <c r="M285" s="573"/>
      <c r="N285" s="573"/>
      <c r="O285" s="551"/>
      <c r="P285" s="573"/>
      <c r="Q285" s="865"/>
      <c r="R285" s="873">
        <v>3.15</v>
      </c>
      <c r="S285" s="72"/>
      <c r="T285" s="334"/>
      <c r="U285" s="72"/>
      <c r="V285" s="72"/>
      <c r="W285" s="72"/>
      <c r="X285" s="72"/>
      <c r="Y285" s="72"/>
      <c r="Z285" s="660"/>
      <c r="AE285" s="2461"/>
      <c r="AF285" s="68"/>
    </row>
    <row r="286" spans="1:32" ht="45.5" x14ac:dyDescent="0.35">
      <c r="A286" s="1823">
        <v>127</v>
      </c>
      <c r="B286" s="826">
        <v>10717</v>
      </c>
      <c r="C286" s="826" t="s">
        <v>1656</v>
      </c>
      <c r="D286" s="2468" t="s">
        <v>5003</v>
      </c>
      <c r="E286" s="511" t="s">
        <v>8556</v>
      </c>
      <c r="F286" s="1944" t="s">
        <v>664</v>
      </c>
      <c r="G286" s="13">
        <v>5</v>
      </c>
      <c r="H286" s="13">
        <v>6</v>
      </c>
      <c r="I286" s="297">
        <f>J286+K286+L286</f>
        <v>0.15</v>
      </c>
      <c r="J286" s="297">
        <f>SUM(M286:R286)</f>
        <v>0.15</v>
      </c>
      <c r="K286" s="573"/>
      <c r="L286" s="573"/>
      <c r="M286" s="503"/>
      <c r="N286" s="503"/>
      <c r="O286" s="570"/>
      <c r="P286" s="503"/>
      <c r="Q286" s="1856"/>
      <c r="R286" s="2098">
        <v>0.15</v>
      </c>
      <c r="S286" s="72"/>
      <c r="T286" s="334"/>
      <c r="U286" s="72"/>
      <c r="V286" s="72"/>
      <c r="W286" s="72"/>
      <c r="X286" s="72"/>
      <c r="Y286" s="72"/>
      <c r="Z286" s="2375"/>
      <c r="AA286" s="3" t="s">
        <v>1272</v>
      </c>
      <c r="AB286" s="3">
        <v>1</v>
      </c>
      <c r="AE286" s="2461"/>
      <c r="AF286" s="68"/>
    </row>
    <row r="287" spans="1:32" ht="30" x14ac:dyDescent="0.35">
      <c r="A287" s="661">
        <v>128</v>
      </c>
      <c r="B287" s="1044">
        <v>10718</v>
      </c>
      <c r="C287" s="1044"/>
      <c r="D287" s="662" t="s">
        <v>2964</v>
      </c>
      <c r="E287" s="290" t="s">
        <v>422</v>
      </c>
      <c r="F287" s="13"/>
      <c r="G287" s="13" t="s">
        <v>191</v>
      </c>
      <c r="H287" s="340" t="s">
        <v>191</v>
      </c>
      <c r="I287" s="552">
        <f>L287+K287+J287</f>
        <v>5.13</v>
      </c>
      <c r="J287" s="552">
        <f>SUM(M287:R287)</f>
        <v>5.13</v>
      </c>
      <c r="K287" s="553"/>
      <c r="L287" s="553"/>
      <c r="M287" s="552"/>
      <c r="N287" s="552">
        <f>SUM(N288:N290)</f>
        <v>4.41</v>
      </c>
      <c r="O287" s="555"/>
      <c r="P287" s="552"/>
      <c r="Q287" s="860"/>
      <c r="R287" s="870">
        <f>SUM(R288:R290)</f>
        <v>0.72</v>
      </c>
      <c r="S287" s="330"/>
      <c r="T287" s="331"/>
      <c r="U287" s="330"/>
      <c r="V287" s="330"/>
      <c r="W287" s="328">
        <v>8</v>
      </c>
      <c r="X287" s="328">
        <v>97.1</v>
      </c>
      <c r="Y287" s="330">
        <v>2</v>
      </c>
      <c r="Z287" s="663">
        <v>15</v>
      </c>
      <c r="AB287" s="3">
        <v>1</v>
      </c>
      <c r="AE287" s="2461"/>
      <c r="AF287" s="68"/>
    </row>
    <row r="288" spans="1:32" x14ac:dyDescent="0.35">
      <c r="A288" s="661"/>
      <c r="B288" s="1044">
        <v>10718</v>
      </c>
      <c r="C288" s="1044"/>
      <c r="D288" s="662"/>
      <c r="E288" s="291" t="s">
        <v>2239</v>
      </c>
      <c r="F288" s="13">
        <v>5</v>
      </c>
      <c r="G288" s="13">
        <v>5</v>
      </c>
      <c r="H288" s="340">
        <v>6</v>
      </c>
      <c r="I288" s="552"/>
      <c r="J288" s="552"/>
      <c r="K288" s="553"/>
      <c r="L288" s="553"/>
      <c r="M288" s="552"/>
      <c r="N288" s="572">
        <v>2.54</v>
      </c>
      <c r="O288" s="555"/>
      <c r="P288" s="552"/>
      <c r="Q288" s="860"/>
      <c r="R288" s="870"/>
      <c r="S288" s="330"/>
      <c r="T288" s="331"/>
      <c r="U288" s="330"/>
      <c r="V288" s="330"/>
      <c r="W288" s="328"/>
      <c r="X288" s="328"/>
      <c r="Y288" s="330"/>
      <c r="Z288" s="663"/>
      <c r="AE288" s="2461"/>
      <c r="AF288" s="68"/>
    </row>
    <row r="289" spans="1:32" x14ac:dyDescent="0.35">
      <c r="A289" s="658"/>
      <c r="B289" s="1044">
        <v>10718</v>
      </c>
      <c r="C289" s="1044"/>
      <c r="D289" s="659"/>
      <c r="E289" s="838" t="s">
        <v>2240</v>
      </c>
      <c r="F289" s="14">
        <v>5</v>
      </c>
      <c r="G289" s="14">
        <v>5</v>
      </c>
      <c r="H289" s="13">
        <v>6</v>
      </c>
      <c r="I289" s="676"/>
      <c r="J289" s="1124"/>
      <c r="K289" s="573"/>
      <c r="L289" s="573"/>
      <c r="M289" s="573"/>
      <c r="N289" s="573"/>
      <c r="O289" s="551"/>
      <c r="P289" s="573"/>
      <c r="Q289" s="863"/>
      <c r="R289" s="875">
        <v>0.72</v>
      </c>
      <c r="S289" s="72"/>
      <c r="T289" s="334"/>
      <c r="U289" s="72"/>
      <c r="V289" s="72"/>
      <c r="W289" s="72"/>
      <c r="X289" s="72"/>
      <c r="Y289" s="72"/>
      <c r="Z289" s="660"/>
      <c r="AE289" s="2461"/>
      <c r="AF289" s="68"/>
    </row>
    <row r="290" spans="1:32" x14ac:dyDescent="0.35">
      <c r="A290" s="658"/>
      <c r="B290" s="1044">
        <v>10718</v>
      </c>
      <c r="C290" s="1044"/>
      <c r="D290" s="659"/>
      <c r="E290" s="291" t="s">
        <v>1355</v>
      </c>
      <c r="F290" s="14">
        <v>5</v>
      </c>
      <c r="G290" s="14">
        <v>5</v>
      </c>
      <c r="H290" s="340">
        <v>6</v>
      </c>
      <c r="I290" s="676"/>
      <c r="J290" s="1124"/>
      <c r="K290" s="573"/>
      <c r="L290" s="573"/>
      <c r="M290" s="573"/>
      <c r="N290" s="572">
        <v>1.87</v>
      </c>
      <c r="O290" s="551"/>
      <c r="P290" s="573"/>
      <c r="Q290" s="865"/>
      <c r="R290" s="875"/>
      <c r="S290" s="72"/>
      <c r="T290" s="334"/>
      <c r="U290" s="72"/>
      <c r="V290" s="72"/>
      <c r="W290" s="72"/>
      <c r="X290" s="72"/>
      <c r="Y290" s="72"/>
      <c r="Z290" s="660"/>
      <c r="AE290" s="2461"/>
      <c r="AF290" s="68"/>
    </row>
    <row r="291" spans="1:32" ht="30" x14ac:dyDescent="0.35">
      <c r="A291" s="661">
        <v>129</v>
      </c>
      <c r="B291" s="1044">
        <v>10719</v>
      </c>
      <c r="C291" s="1044"/>
      <c r="D291" s="662" t="s">
        <v>2965</v>
      </c>
      <c r="E291" s="290" t="s">
        <v>1125</v>
      </c>
      <c r="F291" s="13" t="s">
        <v>827</v>
      </c>
      <c r="G291" s="13">
        <v>5</v>
      </c>
      <c r="H291" s="340">
        <v>6</v>
      </c>
      <c r="I291" s="552">
        <f>L291+K291+J291</f>
        <v>0.5</v>
      </c>
      <c r="J291" s="552">
        <f>SUM(M291:R291)</f>
        <v>0.5</v>
      </c>
      <c r="K291" s="553"/>
      <c r="L291" s="553"/>
      <c r="M291" s="552"/>
      <c r="N291" s="552">
        <v>0.5</v>
      </c>
      <c r="O291" s="555"/>
      <c r="P291" s="552"/>
      <c r="Q291" s="860"/>
      <c r="R291" s="870"/>
      <c r="S291" s="330"/>
      <c r="T291" s="331"/>
      <c r="U291" s="330"/>
      <c r="V291" s="330"/>
      <c r="W291" s="328">
        <v>1</v>
      </c>
      <c r="X291" s="328">
        <v>10</v>
      </c>
      <c r="Y291" s="330"/>
      <c r="Z291" s="663"/>
      <c r="AB291" s="3">
        <v>1</v>
      </c>
      <c r="AE291" s="2461"/>
      <c r="AF291" s="68"/>
    </row>
    <row r="292" spans="1:32" ht="30.5" x14ac:dyDescent="0.35">
      <c r="A292" s="1823">
        <v>130</v>
      </c>
      <c r="B292" s="826">
        <v>10719</v>
      </c>
      <c r="C292" s="826" t="s">
        <v>1656</v>
      </c>
      <c r="D292" s="2468" t="s">
        <v>5004</v>
      </c>
      <c r="E292" s="511" t="s">
        <v>8557</v>
      </c>
      <c r="F292" s="1944" t="s">
        <v>664</v>
      </c>
      <c r="G292" s="13">
        <v>5</v>
      </c>
      <c r="H292" s="13">
        <v>6</v>
      </c>
      <c r="I292" s="297">
        <f>J292+K292+L292</f>
        <v>0.62</v>
      </c>
      <c r="J292" s="297">
        <f>SUM(M292:R292)</f>
        <v>0.62</v>
      </c>
      <c r="K292" s="573"/>
      <c r="L292" s="573"/>
      <c r="M292" s="503"/>
      <c r="N292" s="503"/>
      <c r="O292" s="570"/>
      <c r="P292" s="503"/>
      <c r="Q292" s="1856"/>
      <c r="R292" s="2098">
        <v>0.62</v>
      </c>
      <c r="S292" s="72"/>
      <c r="T292" s="334"/>
      <c r="U292" s="72"/>
      <c r="V292" s="72"/>
      <c r="W292" s="72"/>
      <c r="X292" s="72"/>
      <c r="Y292" s="72"/>
      <c r="Z292" s="2375"/>
      <c r="AA292" s="1778" t="s">
        <v>2364</v>
      </c>
      <c r="AB292" s="3">
        <v>1</v>
      </c>
      <c r="AE292" s="2461"/>
      <c r="AF292" s="68"/>
    </row>
    <row r="293" spans="1:32" ht="30" x14ac:dyDescent="0.35">
      <c r="A293" s="661">
        <v>131</v>
      </c>
      <c r="B293" s="1044">
        <v>10720</v>
      </c>
      <c r="C293" s="1044"/>
      <c r="D293" s="662" t="s">
        <v>2159</v>
      </c>
      <c r="E293" s="550" t="s">
        <v>884</v>
      </c>
      <c r="F293" s="13"/>
      <c r="G293" s="13" t="s">
        <v>191</v>
      </c>
      <c r="H293" s="340" t="s">
        <v>191</v>
      </c>
      <c r="I293" s="552">
        <f>L293+K293+J293</f>
        <v>3.51</v>
      </c>
      <c r="J293" s="552">
        <f>SUM(M293:R293)</f>
        <v>3.51</v>
      </c>
      <c r="K293" s="553"/>
      <c r="L293" s="553"/>
      <c r="M293" s="552"/>
      <c r="N293" s="2609">
        <f>SUM(N294:N296)</f>
        <v>2.8000000000000025E-2</v>
      </c>
      <c r="O293" s="555"/>
      <c r="P293" s="552"/>
      <c r="Q293" s="860"/>
      <c r="R293" s="870">
        <f>SUM(R294:R296)</f>
        <v>3.4819999999999998</v>
      </c>
      <c r="S293" s="328">
        <v>1</v>
      </c>
      <c r="T293" s="2437">
        <v>18.649999999999999</v>
      </c>
      <c r="U293" s="330"/>
      <c r="V293" s="330"/>
      <c r="W293" s="328">
        <v>4</v>
      </c>
      <c r="X293" s="328">
        <v>48.2</v>
      </c>
      <c r="Y293" s="330"/>
      <c r="Z293" s="663"/>
      <c r="AB293" s="3">
        <v>1</v>
      </c>
      <c r="AE293" s="2461"/>
      <c r="AF293" s="68"/>
    </row>
    <row r="294" spans="1:32" x14ac:dyDescent="0.35">
      <c r="A294" s="661"/>
      <c r="B294" s="1044"/>
      <c r="C294" s="1044"/>
      <c r="D294" s="662"/>
      <c r="E294" s="838" t="s">
        <v>11620</v>
      </c>
      <c r="F294" s="13" t="s">
        <v>827</v>
      </c>
      <c r="G294" s="13">
        <v>5</v>
      </c>
      <c r="H294" s="13">
        <v>6</v>
      </c>
      <c r="I294" s="674"/>
      <c r="J294" s="674"/>
      <c r="K294" s="553"/>
      <c r="L294" s="553"/>
      <c r="M294" s="552"/>
      <c r="N294" s="2609"/>
      <c r="O294" s="555"/>
      <c r="P294" s="552"/>
      <c r="Q294" s="860"/>
      <c r="R294" s="1868">
        <v>2.355</v>
      </c>
      <c r="S294" s="328"/>
      <c r="T294" s="329"/>
      <c r="U294" s="330"/>
      <c r="V294" s="330"/>
      <c r="W294" s="328"/>
      <c r="X294" s="328"/>
      <c r="Y294" s="330"/>
      <c r="Z294" s="663"/>
      <c r="AE294" s="2461"/>
      <c r="AF294" s="68"/>
    </row>
    <row r="295" spans="1:32" x14ac:dyDescent="0.35">
      <c r="A295" s="661"/>
      <c r="B295" s="1044"/>
      <c r="C295" s="1044"/>
      <c r="D295" s="662"/>
      <c r="E295" s="2864" t="s">
        <v>11619</v>
      </c>
      <c r="F295" s="2687" t="s">
        <v>827</v>
      </c>
      <c r="G295" s="2687">
        <v>5</v>
      </c>
      <c r="H295" s="2687">
        <v>6</v>
      </c>
      <c r="I295" s="674"/>
      <c r="J295" s="674"/>
      <c r="K295" s="553"/>
      <c r="L295" s="553"/>
      <c r="M295" s="552"/>
      <c r="N295" s="2867">
        <f>2.383-2.355</f>
        <v>2.8000000000000025E-2</v>
      </c>
      <c r="O295" s="555"/>
      <c r="P295" s="552"/>
      <c r="Q295" s="860"/>
      <c r="R295" s="1868"/>
      <c r="S295" s="328"/>
      <c r="T295" s="329"/>
      <c r="U295" s="330"/>
      <c r="V295" s="330"/>
      <c r="W295" s="328"/>
      <c r="X295" s="328"/>
      <c r="Y295" s="330"/>
      <c r="Z295" s="663"/>
      <c r="AE295" s="2461"/>
      <c r="AF295" s="68"/>
    </row>
    <row r="296" spans="1:32" x14ac:dyDescent="0.35">
      <c r="A296" s="661"/>
      <c r="B296" s="1044"/>
      <c r="C296" s="1044"/>
      <c r="D296" s="662"/>
      <c r="E296" s="838" t="s">
        <v>11621</v>
      </c>
      <c r="F296" s="13" t="s">
        <v>827</v>
      </c>
      <c r="G296" s="13">
        <v>5</v>
      </c>
      <c r="H296" s="13">
        <v>6</v>
      </c>
      <c r="I296" s="674"/>
      <c r="J296" s="674"/>
      <c r="K296" s="553"/>
      <c r="L296" s="553"/>
      <c r="M296" s="552"/>
      <c r="N296" s="552"/>
      <c r="O296" s="555"/>
      <c r="P296" s="552"/>
      <c r="Q296" s="860"/>
      <c r="R296" s="1868">
        <f>3.51-2.383</f>
        <v>1.1269999999999998</v>
      </c>
      <c r="S296" s="328"/>
      <c r="T296" s="329"/>
      <c r="U296" s="330"/>
      <c r="V296" s="330"/>
      <c r="W296" s="328"/>
      <c r="X296" s="328"/>
      <c r="Y296" s="330"/>
      <c r="Z296" s="663"/>
      <c r="AE296" s="2461"/>
      <c r="AF296" s="68"/>
    </row>
    <row r="297" spans="1:32" ht="30" x14ac:dyDescent="0.35">
      <c r="A297" s="1823">
        <v>132</v>
      </c>
      <c r="B297" s="1044">
        <v>10721</v>
      </c>
      <c r="C297" s="1044"/>
      <c r="D297" s="662" t="s">
        <v>2035</v>
      </c>
      <c r="E297" s="290" t="s">
        <v>1448</v>
      </c>
      <c r="F297" s="13" t="s">
        <v>1490</v>
      </c>
      <c r="G297" s="13">
        <v>5</v>
      </c>
      <c r="H297" s="13">
        <v>6</v>
      </c>
      <c r="I297" s="674">
        <f>L297+K297+J297</f>
        <v>2</v>
      </c>
      <c r="J297" s="674">
        <f>SUM(M297:R297)</f>
        <v>2</v>
      </c>
      <c r="K297" s="553"/>
      <c r="L297" s="553"/>
      <c r="M297" s="552"/>
      <c r="N297" s="552"/>
      <c r="O297" s="555"/>
      <c r="P297" s="552"/>
      <c r="Q297" s="860"/>
      <c r="R297" s="870">
        <v>2</v>
      </c>
      <c r="S297" s="330"/>
      <c r="T297" s="331"/>
      <c r="U297" s="330"/>
      <c r="V297" s="330"/>
      <c r="W297" s="328">
        <v>2</v>
      </c>
      <c r="X297" s="328">
        <v>40</v>
      </c>
      <c r="Y297" s="330"/>
      <c r="Z297" s="663"/>
      <c r="AB297" s="3">
        <v>1</v>
      </c>
      <c r="AE297" s="2461"/>
      <c r="AF297" s="68"/>
    </row>
    <row r="298" spans="1:32" ht="30.5" x14ac:dyDescent="0.35">
      <c r="A298" s="661">
        <v>133</v>
      </c>
      <c r="B298" s="1044">
        <v>10722</v>
      </c>
      <c r="C298" s="1044"/>
      <c r="D298" s="662" t="s">
        <v>2036</v>
      </c>
      <c r="E298" s="290" t="s">
        <v>11496</v>
      </c>
      <c r="F298" s="13"/>
      <c r="G298" s="13" t="s">
        <v>191</v>
      </c>
      <c r="H298" s="340" t="s">
        <v>191</v>
      </c>
      <c r="I298" s="2911">
        <f>L298+K298+J298</f>
        <v>2</v>
      </c>
      <c r="J298" s="2911">
        <f>SUM(M298:R298)</f>
        <v>2</v>
      </c>
      <c r="K298" s="553"/>
      <c r="L298" s="553"/>
      <c r="M298" s="552"/>
      <c r="N298" s="552"/>
      <c r="O298" s="555"/>
      <c r="P298" s="552"/>
      <c r="Q298" s="860">
        <f>SUM(Q299:Q300)</f>
        <v>2</v>
      </c>
      <c r="R298" s="870">
        <f>SUM(R299:R300)</f>
        <v>0</v>
      </c>
      <c r="S298" s="328">
        <v>1</v>
      </c>
      <c r="T298" s="329">
        <v>9.8000000000000007</v>
      </c>
      <c r="U298" s="330"/>
      <c r="V298" s="330"/>
      <c r="W298" s="328">
        <v>1</v>
      </c>
      <c r="X298" s="328">
        <v>12.41</v>
      </c>
      <c r="Y298" s="330"/>
      <c r="Z298" s="663"/>
      <c r="AB298" s="3">
        <v>1</v>
      </c>
      <c r="AE298" s="2461"/>
      <c r="AF298" s="68"/>
    </row>
    <row r="299" spans="1:32" x14ac:dyDescent="0.35">
      <c r="A299" s="658"/>
      <c r="B299" s="1044">
        <v>10722</v>
      </c>
      <c r="C299" s="1044"/>
      <c r="D299" s="659"/>
      <c r="E299" s="837" t="s">
        <v>1191</v>
      </c>
      <c r="F299" s="14">
        <v>5</v>
      </c>
      <c r="G299" s="14">
        <v>5</v>
      </c>
      <c r="H299" s="340">
        <v>6</v>
      </c>
      <c r="I299" s="572"/>
      <c r="J299" s="573"/>
      <c r="K299" s="573"/>
      <c r="L299" s="573"/>
      <c r="M299" s="573"/>
      <c r="N299" s="572"/>
      <c r="O299" s="551"/>
      <c r="P299" s="573"/>
      <c r="Q299" s="863">
        <v>2</v>
      </c>
      <c r="R299" s="875"/>
      <c r="S299" s="72"/>
      <c r="T299" s="334"/>
      <c r="U299" s="72"/>
      <c r="V299" s="72"/>
      <c r="W299" s="72"/>
      <c r="X299" s="72"/>
      <c r="Y299" s="72"/>
      <c r="Z299" s="660"/>
      <c r="AE299" s="2461"/>
      <c r="AF299" s="68"/>
    </row>
    <row r="300" spans="1:32" x14ac:dyDescent="0.35">
      <c r="A300" s="658"/>
      <c r="B300" s="1044">
        <v>10722</v>
      </c>
      <c r="C300" s="1044"/>
      <c r="D300" s="659"/>
      <c r="E300" s="2864" t="s">
        <v>11495</v>
      </c>
      <c r="F300" s="14"/>
      <c r="G300" s="14"/>
      <c r="H300" s="13"/>
      <c r="I300" s="572"/>
      <c r="J300" s="573"/>
      <c r="K300" s="573"/>
      <c r="L300" s="573"/>
      <c r="M300" s="573"/>
      <c r="N300" s="573"/>
      <c r="O300" s="551"/>
      <c r="P300" s="573"/>
      <c r="Q300" s="865"/>
      <c r="R300" s="2867">
        <v>0</v>
      </c>
      <c r="S300" s="72"/>
      <c r="T300" s="334"/>
      <c r="U300" s="72"/>
      <c r="V300" s="72"/>
      <c r="W300" s="72"/>
      <c r="X300" s="72"/>
      <c r="Y300" s="72"/>
      <c r="Z300" s="660"/>
      <c r="AE300" s="2461"/>
      <c r="AF300" s="68"/>
    </row>
    <row r="301" spans="1:32" ht="45.5" x14ac:dyDescent="0.35">
      <c r="A301" s="1823">
        <v>134</v>
      </c>
      <c r="B301" s="826">
        <v>10722</v>
      </c>
      <c r="C301" s="826" t="s">
        <v>1656</v>
      </c>
      <c r="D301" s="2468" t="s">
        <v>5005</v>
      </c>
      <c r="E301" s="511" t="s">
        <v>9554</v>
      </c>
      <c r="F301" s="1138" t="s">
        <v>664</v>
      </c>
      <c r="G301" s="13">
        <v>5</v>
      </c>
      <c r="H301" s="13">
        <v>6</v>
      </c>
      <c r="I301" s="297">
        <f>J301+K301+L301</f>
        <v>0.89</v>
      </c>
      <c r="J301" s="297">
        <f>SUM(M301:R301)</f>
        <v>0.89</v>
      </c>
      <c r="K301" s="553"/>
      <c r="L301" s="553"/>
      <c r="M301" s="501"/>
      <c r="N301" s="501"/>
      <c r="O301" s="568"/>
      <c r="P301" s="501"/>
      <c r="Q301" s="1856"/>
      <c r="R301" s="1865">
        <v>0.89</v>
      </c>
      <c r="S301" s="330"/>
      <c r="T301" s="331"/>
      <c r="U301" s="330"/>
      <c r="V301" s="330"/>
      <c r="W301" s="328"/>
      <c r="X301" s="328"/>
      <c r="Y301" s="330"/>
      <c r="Z301" s="2376"/>
      <c r="AA301" s="3" t="s">
        <v>126</v>
      </c>
      <c r="AB301" s="3">
        <v>1</v>
      </c>
      <c r="AE301" s="2461"/>
      <c r="AF301" s="68"/>
    </row>
    <row r="302" spans="1:32" ht="45.5" x14ac:dyDescent="0.35">
      <c r="A302" s="1823">
        <v>135</v>
      </c>
      <c r="B302" s="826">
        <v>10722</v>
      </c>
      <c r="C302" s="826" t="s">
        <v>1656</v>
      </c>
      <c r="D302" s="2468" t="s">
        <v>5006</v>
      </c>
      <c r="E302" s="2374" t="s">
        <v>9555</v>
      </c>
      <c r="F302" s="1944" t="s">
        <v>664</v>
      </c>
      <c r="G302" s="13">
        <v>5</v>
      </c>
      <c r="H302" s="13">
        <v>6</v>
      </c>
      <c r="I302" s="297">
        <f>J302+K302+L302</f>
        <v>4.1500000000000004</v>
      </c>
      <c r="J302" s="297">
        <f>SUM(M302:R302)</f>
        <v>4.1500000000000004</v>
      </c>
      <c r="K302" s="573"/>
      <c r="L302" s="573"/>
      <c r="M302" s="503"/>
      <c r="N302" s="503"/>
      <c r="O302" s="570"/>
      <c r="P302" s="503"/>
      <c r="Q302" s="2099"/>
      <c r="R302" s="1865">
        <v>4.1500000000000004</v>
      </c>
      <c r="S302" s="72"/>
      <c r="T302" s="334"/>
      <c r="U302" s="72"/>
      <c r="V302" s="72"/>
      <c r="W302" s="72"/>
      <c r="X302" s="72"/>
      <c r="Y302" s="72"/>
      <c r="Z302" s="2375"/>
      <c r="AA302" s="3" t="s">
        <v>1532</v>
      </c>
      <c r="AB302" s="3">
        <v>1</v>
      </c>
      <c r="AE302" s="2461"/>
      <c r="AF302" s="68"/>
    </row>
    <row r="303" spans="1:32" ht="75.5" x14ac:dyDescent="0.35">
      <c r="A303" s="1823">
        <v>136</v>
      </c>
      <c r="B303" s="826">
        <v>10722</v>
      </c>
      <c r="C303" s="826" t="s">
        <v>1656</v>
      </c>
      <c r="D303" s="2468" t="s">
        <v>5007</v>
      </c>
      <c r="E303" s="2374" t="s">
        <v>9556</v>
      </c>
      <c r="F303" s="1138" t="s">
        <v>664</v>
      </c>
      <c r="G303" s="13">
        <v>5</v>
      </c>
      <c r="H303" s="13">
        <v>6</v>
      </c>
      <c r="I303" s="297">
        <f>J303+K303+L303</f>
        <v>5</v>
      </c>
      <c r="J303" s="297">
        <f>SUM(M303:R303)</f>
        <v>5</v>
      </c>
      <c r="K303" s="553"/>
      <c r="L303" s="553"/>
      <c r="M303" s="501"/>
      <c r="N303" s="501"/>
      <c r="O303" s="568"/>
      <c r="P303" s="501"/>
      <c r="Q303" s="1856"/>
      <c r="R303" s="1865">
        <v>5</v>
      </c>
      <c r="S303" s="330"/>
      <c r="T303" s="331"/>
      <c r="U303" s="330"/>
      <c r="V303" s="330"/>
      <c r="W303" s="330"/>
      <c r="X303" s="330"/>
      <c r="Y303" s="330"/>
      <c r="Z303" s="2376"/>
      <c r="AA303" s="3" t="s">
        <v>1532</v>
      </c>
      <c r="AB303" s="3">
        <v>1</v>
      </c>
      <c r="AE303" s="2461"/>
      <c r="AF303" s="68"/>
    </row>
    <row r="304" spans="1:32" ht="30" x14ac:dyDescent="0.35">
      <c r="A304" s="1823">
        <v>137</v>
      </c>
      <c r="B304" s="1045">
        <v>10723</v>
      </c>
      <c r="C304" s="1045"/>
      <c r="D304" s="664" t="s">
        <v>2643</v>
      </c>
      <c r="E304" s="290" t="s">
        <v>2295</v>
      </c>
      <c r="F304" s="14"/>
      <c r="G304" s="14" t="s">
        <v>191</v>
      </c>
      <c r="H304" s="340" t="s">
        <v>191</v>
      </c>
      <c r="I304" s="674">
        <f>L304+K304+J304</f>
        <v>3.8</v>
      </c>
      <c r="J304" s="674">
        <f>SUM(M304:R304)</f>
        <v>3.8</v>
      </c>
      <c r="K304" s="553"/>
      <c r="L304" s="553"/>
      <c r="M304" s="553"/>
      <c r="N304" s="553"/>
      <c r="O304" s="554"/>
      <c r="P304" s="553"/>
      <c r="Q304" s="864">
        <f>SUM(Q305:Q307)</f>
        <v>1</v>
      </c>
      <c r="R304" s="874">
        <f>SUM(R305:R307)</f>
        <v>2.8</v>
      </c>
      <c r="S304" s="330"/>
      <c r="T304" s="331"/>
      <c r="U304" s="330"/>
      <c r="V304" s="330"/>
      <c r="W304" s="330">
        <v>1</v>
      </c>
      <c r="X304" s="330">
        <v>10</v>
      </c>
      <c r="Y304" s="330"/>
      <c r="Z304" s="663"/>
      <c r="AB304" s="3">
        <v>1</v>
      </c>
      <c r="AE304" s="2461"/>
      <c r="AF304" s="68"/>
    </row>
    <row r="305" spans="1:32" x14ac:dyDescent="0.35">
      <c r="A305" s="658"/>
      <c r="B305" s="1045">
        <v>10723</v>
      </c>
      <c r="C305" s="1045"/>
      <c r="D305" s="659"/>
      <c r="E305" s="837" t="s">
        <v>1795</v>
      </c>
      <c r="F305" s="14">
        <v>5</v>
      </c>
      <c r="G305" s="14">
        <v>5</v>
      </c>
      <c r="H305" s="340">
        <v>6</v>
      </c>
      <c r="I305" s="572"/>
      <c r="J305" s="573"/>
      <c r="K305" s="573"/>
      <c r="L305" s="573"/>
      <c r="M305" s="573"/>
      <c r="N305" s="573"/>
      <c r="O305" s="551"/>
      <c r="P305" s="573"/>
      <c r="Q305" s="865">
        <v>0.2</v>
      </c>
      <c r="R305" s="873"/>
      <c r="S305" s="72"/>
      <c r="T305" s="334"/>
      <c r="U305" s="72"/>
      <c r="V305" s="72"/>
      <c r="W305" s="72"/>
      <c r="X305" s="72"/>
      <c r="Y305" s="72"/>
      <c r="Z305" s="660"/>
      <c r="AE305" s="2461"/>
      <c r="AF305" s="68"/>
    </row>
    <row r="306" spans="1:32" x14ac:dyDescent="0.35">
      <c r="A306" s="658"/>
      <c r="B306" s="1045">
        <v>10723</v>
      </c>
      <c r="C306" s="1045"/>
      <c r="D306" s="659"/>
      <c r="E306" s="837" t="s">
        <v>1642</v>
      </c>
      <c r="F306" s="14">
        <v>5</v>
      </c>
      <c r="G306" s="14">
        <v>5</v>
      </c>
      <c r="H306" s="340">
        <v>6</v>
      </c>
      <c r="I306" s="572"/>
      <c r="J306" s="573"/>
      <c r="K306" s="573"/>
      <c r="L306" s="573"/>
      <c r="M306" s="573"/>
      <c r="N306" s="573"/>
      <c r="O306" s="551"/>
      <c r="P306" s="573"/>
      <c r="Q306" s="865">
        <v>0.8</v>
      </c>
      <c r="R306" s="873"/>
      <c r="S306" s="72"/>
      <c r="T306" s="334"/>
      <c r="U306" s="72"/>
      <c r="V306" s="72"/>
      <c r="W306" s="72"/>
      <c r="X306" s="72"/>
      <c r="Y306" s="72"/>
      <c r="Z306" s="660"/>
      <c r="AE306" s="2461"/>
      <c r="AF306" s="68"/>
    </row>
    <row r="307" spans="1:32" x14ac:dyDescent="0.35">
      <c r="A307" s="658"/>
      <c r="B307" s="1045">
        <v>10723</v>
      </c>
      <c r="C307" s="1045"/>
      <c r="D307" s="659"/>
      <c r="E307" s="838" t="s">
        <v>1643</v>
      </c>
      <c r="F307" s="14" t="s">
        <v>664</v>
      </c>
      <c r="G307" s="14">
        <v>5</v>
      </c>
      <c r="H307" s="13">
        <v>6</v>
      </c>
      <c r="I307" s="572"/>
      <c r="J307" s="573"/>
      <c r="K307" s="573"/>
      <c r="L307" s="573"/>
      <c r="M307" s="573"/>
      <c r="N307" s="573"/>
      <c r="O307" s="551"/>
      <c r="P307" s="573"/>
      <c r="Q307" s="865"/>
      <c r="R307" s="873">
        <f>3.8-1</f>
        <v>2.8</v>
      </c>
      <c r="S307" s="72"/>
      <c r="T307" s="334"/>
      <c r="U307" s="72"/>
      <c r="V307" s="72"/>
      <c r="W307" s="72"/>
      <c r="X307" s="72"/>
      <c r="Y307" s="72"/>
      <c r="Z307" s="660"/>
      <c r="AE307" s="2461"/>
      <c r="AF307" s="68"/>
    </row>
    <row r="308" spans="1:32" ht="30.5" x14ac:dyDescent="0.35">
      <c r="A308" s="661">
        <v>138</v>
      </c>
      <c r="B308" s="1045">
        <v>10723</v>
      </c>
      <c r="C308" s="826" t="s">
        <v>1656</v>
      </c>
      <c r="D308" s="2468" t="s">
        <v>5008</v>
      </c>
      <c r="E308" s="511" t="s">
        <v>9263</v>
      </c>
      <c r="F308" s="1138" t="s">
        <v>664</v>
      </c>
      <c r="G308" s="13">
        <v>5</v>
      </c>
      <c r="H308" s="13">
        <v>6</v>
      </c>
      <c r="I308" s="297">
        <f>J308+K308+L308</f>
        <v>0.18</v>
      </c>
      <c r="J308" s="297">
        <f>SUM(M308:R308)</f>
        <v>0.18</v>
      </c>
      <c r="K308" s="553"/>
      <c r="L308" s="553"/>
      <c r="M308" s="501"/>
      <c r="N308" s="501"/>
      <c r="O308" s="501"/>
      <c r="P308" s="501"/>
      <c r="Q308" s="1856"/>
      <c r="R308" s="1865">
        <v>0.18</v>
      </c>
      <c r="S308" s="328"/>
      <c r="T308" s="329"/>
      <c r="U308" s="330"/>
      <c r="V308" s="330"/>
      <c r="W308" s="328"/>
      <c r="X308" s="328"/>
      <c r="Y308" s="328"/>
      <c r="Z308" s="2376"/>
      <c r="AA308" s="3" t="s">
        <v>1849</v>
      </c>
      <c r="AB308" s="3">
        <v>1</v>
      </c>
      <c r="AE308" s="2461"/>
      <c r="AF308" s="68"/>
    </row>
    <row r="309" spans="1:32" ht="30.5" x14ac:dyDescent="0.35">
      <c r="A309" s="658"/>
      <c r="B309" s="1045" t="s">
        <v>982</v>
      </c>
      <c r="C309" s="1045"/>
      <c r="D309" s="659"/>
      <c r="E309" s="1596" t="s">
        <v>1457</v>
      </c>
      <c r="F309" s="14"/>
      <c r="G309" s="14"/>
      <c r="H309" s="478"/>
      <c r="I309" s="676"/>
      <c r="J309" s="1124"/>
      <c r="K309" s="573"/>
      <c r="L309" s="573"/>
      <c r="M309" s="573"/>
      <c r="N309" s="573"/>
      <c r="O309" s="551"/>
      <c r="P309" s="573"/>
      <c r="Q309" s="865"/>
      <c r="R309" s="873"/>
      <c r="S309" s="72"/>
      <c r="T309" s="334"/>
      <c r="U309" s="72"/>
      <c r="V309" s="72"/>
      <c r="W309" s="72"/>
      <c r="X309" s="72"/>
      <c r="Y309" s="72"/>
      <c r="Z309" s="660"/>
      <c r="AE309" s="2461"/>
      <c r="AF309" s="68"/>
    </row>
    <row r="310" spans="1:32" ht="30.5" x14ac:dyDescent="0.35">
      <c r="A310" s="661">
        <v>139</v>
      </c>
      <c r="B310" s="1044" t="s">
        <v>982</v>
      </c>
      <c r="C310" s="1044"/>
      <c r="D310" s="2468" t="s">
        <v>5009</v>
      </c>
      <c r="E310" s="290" t="s">
        <v>9185</v>
      </c>
      <c r="F310" s="13">
        <v>5</v>
      </c>
      <c r="G310" s="13">
        <v>5</v>
      </c>
      <c r="H310" s="340">
        <v>6</v>
      </c>
      <c r="I310" s="674">
        <f>L310+K310+J310</f>
        <v>0.6</v>
      </c>
      <c r="J310" s="674">
        <f>SUM(M310:R310)</f>
        <v>0.6</v>
      </c>
      <c r="K310" s="553"/>
      <c r="L310" s="553"/>
      <c r="M310" s="552"/>
      <c r="N310" s="552"/>
      <c r="O310" s="555"/>
      <c r="P310" s="552"/>
      <c r="Q310" s="860">
        <v>0.6</v>
      </c>
      <c r="R310" s="870"/>
      <c r="S310" s="330"/>
      <c r="T310" s="331"/>
      <c r="U310" s="330"/>
      <c r="V310" s="330"/>
      <c r="W310" s="330"/>
      <c r="X310" s="330"/>
      <c r="Y310" s="330"/>
      <c r="Z310" s="663"/>
      <c r="AB310" s="3">
        <v>1</v>
      </c>
      <c r="AE310" s="2461"/>
      <c r="AF310" s="68"/>
    </row>
    <row r="311" spans="1:32" ht="30.5" x14ac:dyDescent="0.35">
      <c r="A311" s="1823">
        <v>140</v>
      </c>
      <c r="B311" s="826" t="s">
        <v>982</v>
      </c>
      <c r="C311" s="826" t="s">
        <v>1656</v>
      </c>
      <c r="D311" s="2468" t="s">
        <v>5010</v>
      </c>
      <c r="E311" s="511" t="s">
        <v>8558</v>
      </c>
      <c r="F311" s="1944" t="s">
        <v>664</v>
      </c>
      <c r="G311" s="13">
        <v>5</v>
      </c>
      <c r="H311" s="13">
        <v>6</v>
      </c>
      <c r="I311" s="297">
        <f>J311+K311+L311</f>
        <v>0.36</v>
      </c>
      <c r="J311" s="297">
        <f>SUM(M311:R311)</f>
        <v>0.36</v>
      </c>
      <c r="K311" s="573"/>
      <c r="L311" s="573"/>
      <c r="M311" s="503"/>
      <c r="N311" s="503"/>
      <c r="O311" s="570"/>
      <c r="P311" s="503"/>
      <c r="Q311" s="1856"/>
      <c r="R311" s="2098">
        <v>0.36</v>
      </c>
      <c r="S311" s="72"/>
      <c r="T311" s="334"/>
      <c r="U311" s="72"/>
      <c r="V311" s="72"/>
      <c r="W311" s="72"/>
      <c r="X311" s="72"/>
      <c r="Y311" s="72"/>
      <c r="Z311" s="2375"/>
      <c r="AA311" s="1778" t="s">
        <v>3043</v>
      </c>
      <c r="AB311" s="3">
        <v>1</v>
      </c>
      <c r="AE311" s="2461"/>
      <c r="AF311" s="68"/>
    </row>
    <row r="312" spans="1:32" ht="45.5" x14ac:dyDescent="0.35">
      <c r="A312" s="661">
        <v>141</v>
      </c>
      <c r="B312" s="826" t="s">
        <v>982</v>
      </c>
      <c r="C312" s="826" t="s">
        <v>1656</v>
      </c>
      <c r="D312" s="2468" t="s">
        <v>5011</v>
      </c>
      <c r="E312" s="511" t="s">
        <v>8559</v>
      </c>
      <c r="F312" s="1944" t="s">
        <v>664</v>
      </c>
      <c r="G312" s="13">
        <v>5</v>
      </c>
      <c r="H312" s="13">
        <v>6</v>
      </c>
      <c r="I312" s="297">
        <f>J312+K312+L312</f>
        <v>0.5</v>
      </c>
      <c r="J312" s="297">
        <f>SUM(M312:R312)</f>
        <v>0.5</v>
      </c>
      <c r="K312" s="573"/>
      <c r="L312" s="573"/>
      <c r="M312" s="503"/>
      <c r="N312" s="501"/>
      <c r="O312" s="570"/>
      <c r="P312" s="503"/>
      <c r="Q312" s="2099"/>
      <c r="R312" s="2098">
        <v>0.5</v>
      </c>
      <c r="S312" s="72"/>
      <c r="T312" s="334"/>
      <c r="U312" s="72"/>
      <c r="V312" s="72"/>
      <c r="W312" s="72"/>
      <c r="X312" s="72"/>
      <c r="Y312" s="72"/>
      <c r="Z312" s="2375"/>
      <c r="AA312" s="1778" t="s">
        <v>2897</v>
      </c>
      <c r="AB312" s="3">
        <v>1</v>
      </c>
      <c r="AE312" s="2461"/>
      <c r="AF312" s="68"/>
    </row>
    <row r="313" spans="1:32" ht="45.5" x14ac:dyDescent="0.35">
      <c r="A313" s="661"/>
      <c r="B313" s="1044" t="s">
        <v>2921</v>
      </c>
      <c r="C313" s="1044"/>
      <c r="D313" s="662"/>
      <c r="E313" s="1596" t="s">
        <v>3379</v>
      </c>
      <c r="F313" s="13"/>
      <c r="G313" s="13"/>
      <c r="H313" s="340"/>
      <c r="I313" s="674"/>
      <c r="J313" s="674"/>
      <c r="K313" s="553"/>
      <c r="L313" s="553"/>
      <c r="M313" s="552"/>
      <c r="N313" s="552"/>
      <c r="O313" s="555"/>
      <c r="P313" s="552"/>
      <c r="Q313" s="860"/>
      <c r="R313" s="870"/>
      <c r="S313" s="330"/>
      <c r="T313" s="331"/>
      <c r="U313" s="330"/>
      <c r="V313" s="330"/>
      <c r="W313" s="330"/>
      <c r="X313" s="330"/>
      <c r="Y313" s="330"/>
      <c r="Z313" s="663"/>
      <c r="AE313" s="2461"/>
      <c r="AF313" s="68"/>
    </row>
    <row r="314" spans="1:32" ht="45.5" x14ac:dyDescent="0.35">
      <c r="A314" s="661">
        <v>142</v>
      </c>
      <c r="B314" s="1044" t="s">
        <v>2921</v>
      </c>
      <c r="C314" s="1044"/>
      <c r="D314" s="2468" t="s">
        <v>5012</v>
      </c>
      <c r="E314" s="290" t="s">
        <v>7745</v>
      </c>
      <c r="F314" s="13"/>
      <c r="G314" s="13" t="s">
        <v>191</v>
      </c>
      <c r="H314" s="340" t="s">
        <v>191</v>
      </c>
      <c r="I314" s="552">
        <f>L314+K314+J314</f>
        <v>1.7</v>
      </c>
      <c r="J314" s="552">
        <f>SUM(M314:R314)</f>
        <v>1.7</v>
      </c>
      <c r="K314" s="553"/>
      <c r="L314" s="553"/>
      <c r="M314" s="552"/>
      <c r="N314" s="552"/>
      <c r="O314" s="555"/>
      <c r="P314" s="552"/>
      <c r="Q314" s="860">
        <f>SUM(Q315:Q316)</f>
        <v>0.3</v>
      </c>
      <c r="R314" s="870">
        <f>SUM(R315:R316)</f>
        <v>1.4</v>
      </c>
      <c r="S314" s="330"/>
      <c r="T314" s="331"/>
      <c r="U314" s="330"/>
      <c r="V314" s="330"/>
      <c r="W314" s="330"/>
      <c r="X314" s="330"/>
      <c r="Y314" s="330"/>
      <c r="Z314" s="663"/>
      <c r="AB314" s="3">
        <v>1</v>
      </c>
      <c r="AE314" s="2461"/>
      <c r="AF314" s="68"/>
    </row>
    <row r="315" spans="1:32" x14ac:dyDescent="0.35">
      <c r="A315" s="658"/>
      <c r="B315" s="1044" t="s">
        <v>2921</v>
      </c>
      <c r="C315" s="1044"/>
      <c r="D315" s="659"/>
      <c r="E315" s="837" t="s">
        <v>880</v>
      </c>
      <c r="F315" s="14" t="s">
        <v>827</v>
      </c>
      <c r="G315" s="14">
        <v>5</v>
      </c>
      <c r="H315" s="340">
        <v>6</v>
      </c>
      <c r="I315" s="572"/>
      <c r="J315" s="573"/>
      <c r="K315" s="573"/>
      <c r="L315" s="573"/>
      <c r="M315" s="573"/>
      <c r="N315" s="573"/>
      <c r="O315" s="551"/>
      <c r="P315" s="573"/>
      <c r="Q315" s="863">
        <v>0.3</v>
      </c>
      <c r="R315" s="875"/>
      <c r="S315" s="72"/>
      <c r="T315" s="334"/>
      <c r="U315" s="72"/>
      <c r="V315" s="72"/>
      <c r="W315" s="72"/>
      <c r="X315" s="72"/>
      <c r="Y315" s="72"/>
      <c r="Z315" s="660"/>
      <c r="AE315" s="2461"/>
      <c r="AF315" s="68"/>
    </row>
    <row r="316" spans="1:32" x14ac:dyDescent="0.35">
      <c r="A316" s="658"/>
      <c r="B316" s="1044" t="s">
        <v>2921</v>
      </c>
      <c r="C316" s="1044"/>
      <c r="D316" s="659"/>
      <c r="E316" s="838" t="s">
        <v>2935</v>
      </c>
      <c r="F316" s="14" t="s">
        <v>664</v>
      </c>
      <c r="G316" s="14">
        <v>5</v>
      </c>
      <c r="H316" s="13">
        <v>6</v>
      </c>
      <c r="I316" s="572"/>
      <c r="J316" s="573"/>
      <c r="K316" s="573"/>
      <c r="L316" s="573"/>
      <c r="M316" s="573"/>
      <c r="N316" s="573"/>
      <c r="O316" s="551"/>
      <c r="P316" s="573"/>
      <c r="Q316" s="865"/>
      <c r="R316" s="873">
        <v>1.4</v>
      </c>
      <c r="S316" s="72"/>
      <c r="T316" s="334"/>
      <c r="U316" s="72"/>
      <c r="V316" s="72"/>
      <c r="W316" s="72"/>
      <c r="X316" s="72"/>
      <c r="Y316" s="72"/>
      <c r="Z316" s="660"/>
      <c r="AE316" s="2461"/>
      <c r="AF316" s="68"/>
    </row>
    <row r="317" spans="1:32" ht="45.5" x14ac:dyDescent="0.35">
      <c r="A317" s="661">
        <v>143</v>
      </c>
      <c r="B317" s="1044" t="s">
        <v>2921</v>
      </c>
      <c r="C317" s="1044"/>
      <c r="D317" s="2468" t="s">
        <v>5013</v>
      </c>
      <c r="E317" s="290" t="s">
        <v>7746</v>
      </c>
      <c r="F317" s="13">
        <v>5</v>
      </c>
      <c r="G317" s="13">
        <v>5</v>
      </c>
      <c r="H317" s="340">
        <v>6</v>
      </c>
      <c r="I317" s="674">
        <f>L317+K317+J317</f>
        <v>1.222</v>
      </c>
      <c r="J317" s="674">
        <f>SUM(M317:R317)</f>
        <v>1.222</v>
      </c>
      <c r="K317" s="553"/>
      <c r="L317" s="553"/>
      <c r="M317" s="552"/>
      <c r="N317" s="552"/>
      <c r="O317" s="555"/>
      <c r="P317" s="552"/>
      <c r="Q317" s="860">
        <v>1.222</v>
      </c>
      <c r="R317" s="870"/>
      <c r="S317" s="330"/>
      <c r="T317" s="331"/>
      <c r="U317" s="330"/>
      <c r="V317" s="330"/>
      <c r="W317" s="328">
        <v>3</v>
      </c>
      <c r="X317" s="328">
        <v>31.93</v>
      </c>
      <c r="Y317" s="330"/>
      <c r="Z317" s="663"/>
      <c r="AB317" s="3">
        <v>1</v>
      </c>
      <c r="AE317" s="2461"/>
      <c r="AF317" s="68"/>
    </row>
    <row r="318" spans="1:32" ht="60.5" x14ac:dyDescent="0.35">
      <c r="A318" s="661">
        <v>144</v>
      </c>
      <c r="B318" s="1044" t="s">
        <v>2921</v>
      </c>
      <c r="C318" s="1044"/>
      <c r="D318" s="2468" t="s">
        <v>5014</v>
      </c>
      <c r="E318" s="290" t="s">
        <v>7325</v>
      </c>
      <c r="F318" s="13">
        <v>4</v>
      </c>
      <c r="G318" s="13">
        <v>3</v>
      </c>
      <c r="H318" s="340">
        <v>6</v>
      </c>
      <c r="I318" s="674">
        <f>L318+K318+J318</f>
        <v>6.87</v>
      </c>
      <c r="J318" s="674">
        <f>SUM(M318:R318)</f>
        <v>6.87</v>
      </c>
      <c r="K318" s="553"/>
      <c r="L318" s="553"/>
      <c r="M318" s="552"/>
      <c r="N318" s="552">
        <v>6.87</v>
      </c>
      <c r="O318" s="555"/>
      <c r="P318" s="552"/>
      <c r="Q318" s="860"/>
      <c r="R318" s="870"/>
      <c r="S318" s="330"/>
      <c r="T318" s="331"/>
      <c r="U318" s="330"/>
      <c r="V318" s="330"/>
      <c r="W318" s="328">
        <v>15</v>
      </c>
      <c r="X318" s="328">
        <v>279.60000000000002</v>
      </c>
      <c r="Y318" s="328">
        <v>6</v>
      </c>
      <c r="Z318" s="663">
        <v>65.7</v>
      </c>
      <c r="AB318" s="3">
        <v>1</v>
      </c>
      <c r="AE318" s="2461"/>
      <c r="AF318" s="68"/>
    </row>
    <row r="319" spans="1:32" ht="46.5" x14ac:dyDescent="0.35">
      <c r="A319" s="661"/>
      <c r="B319" s="1044" t="s">
        <v>2921</v>
      </c>
      <c r="C319" s="1044"/>
      <c r="D319" s="662"/>
      <c r="E319" s="289" t="s">
        <v>9994</v>
      </c>
      <c r="F319" s="13"/>
      <c r="G319" s="13" t="s">
        <v>191</v>
      </c>
      <c r="H319" s="340" t="s">
        <v>191</v>
      </c>
      <c r="I319" s="674"/>
      <c r="J319" s="674"/>
      <c r="K319" s="553"/>
      <c r="L319" s="553"/>
      <c r="M319" s="552"/>
      <c r="N319" s="552"/>
      <c r="O319" s="555"/>
      <c r="P319" s="552"/>
      <c r="Q319" s="860"/>
      <c r="R319" s="870"/>
      <c r="S319" s="330"/>
      <c r="T319" s="331"/>
      <c r="U319" s="330"/>
      <c r="V319" s="330"/>
      <c r="W319" s="328"/>
      <c r="X319" s="328"/>
      <c r="Y319" s="328"/>
      <c r="Z319" s="663"/>
      <c r="AE319" s="2461"/>
      <c r="AF319" s="68"/>
    </row>
    <row r="320" spans="1:32" ht="45.5" x14ac:dyDescent="0.35">
      <c r="A320" s="661">
        <v>145</v>
      </c>
      <c r="B320" s="1044" t="s">
        <v>2921</v>
      </c>
      <c r="C320" s="1044"/>
      <c r="D320" s="2468" t="s">
        <v>5015</v>
      </c>
      <c r="E320" s="290" t="s">
        <v>7747</v>
      </c>
      <c r="F320" s="13">
        <v>5</v>
      </c>
      <c r="G320" s="13">
        <v>5</v>
      </c>
      <c r="H320" s="340">
        <v>6</v>
      </c>
      <c r="I320" s="674">
        <f>L320+K320+J320</f>
        <v>1.2</v>
      </c>
      <c r="J320" s="674">
        <f>SUM(M320:R320)</f>
        <v>1.2</v>
      </c>
      <c r="K320" s="553"/>
      <c r="L320" s="553"/>
      <c r="M320" s="552"/>
      <c r="N320" s="552"/>
      <c r="O320" s="555"/>
      <c r="P320" s="552"/>
      <c r="Q320" s="860">
        <v>1.2</v>
      </c>
      <c r="R320" s="870"/>
      <c r="S320" s="330"/>
      <c r="T320" s="331"/>
      <c r="U320" s="330"/>
      <c r="V320" s="330"/>
      <c r="W320" s="328">
        <v>4</v>
      </c>
      <c r="X320" s="328">
        <v>52.01</v>
      </c>
      <c r="Y320" s="330"/>
      <c r="Z320" s="663"/>
      <c r="AB320" s="3">
        <v>1</v>
      </c>
      <c r="AE320" s="2461"/>
      <c r="AF320" s="68"/>
    </row>
    <row r="321" spans="1:32" ht="60.5" x14ac:dyDescent="0.35">
      <c r="A321" s="661">
        <v>146</v>
      </c>
      <c r="B321" s="1044" t="s">
        <v>2921</v>
      </c>
      <c r="C321" s="1044" t="s">
        <v>1657</v>
      </c>
      <c r="D321" s="2468" t="s">
        <v>5016</v>
      </c>
      <c r="E321" s="550" t="s">
        <v>11185</v>
      </c>
      <c r="F321" s="13"/>
      <c r="G321" s="13" t="s">
        <v>191</v>
      </c>
      <c r="H321" s="340" t="s">
        <v>191</v>
      </c>
      <c r="I321" s="674">
        <f>L321+K321+J321</f>
        <v>0.85000000000000009</v>
      </c>
      <c r="J321" s="674">
        <f>SUM(M321:R321)</f>
        <v>0.85000000000000009</v>
      </c>
      <c r="K321" s="553"/>
      <c r="L321" s="553"/>
      <c r="M321" s="552"/>
      <c r="N321" s="552"/>
      <c r="O321" s="555"/>
      <c r="P321" s="552"/>
      <c r="Q321" s="860">
        <f>SUM(Q322:Q323)</f>
        <v>0.85000000000000009</v>
      </c>
      <c r="R321" s="2609"/>
      <c r="S321" s="330"/>
      <c r="T321" s="331"/>
      <c r="U321" s="330"/>
      <c r="V321" s="330"/>
      <c r="W321" s="330"/>
      <c r="X321" s="330"/>
      <c r="Y321" s="330"/>
      <c r="Z321" s="663"/>
      <c r="AB321" s="3">
        <v>1</v>
      </c>
      <c r="AE321" s="2461"/>
      <c r="AF321" s="68"/>
    </row>
    <row r="322" spans="1:32" x14ac:dyDescent="0.35">
      <c r="A322" s="661"/>
      <c r="B322" s="1044" t="s">
        <v>2921</v>
      </c>
      <c r="C322" s="1044"/>
      <c r="D322" s="662"/>
      <c r="E322" s="837" t="s">
        <v>880</v>
      </c>
      <c r="F322" s="13" t="s">
        <v>827</v>
      </c>
      <c r="G322" s="13">
        <v>5</v>
      </c>
      <c r="H322" s="340">
        <v>6</v>
      </c>
      <c r="I322" s="674"/>
      <c r="J322" s="674"/>
      <c r="K322" s="553"/>
      <c r="L322" s="553"/>
      <c r="M322" s="552"/>
      <c r="N322" s="552"/>
      <c r="O322" s="555"/>
      <c r="P322" s="552"/>
      <c r="Q322" s="863">
        <v>0.3</v>
      </c>
      <c r="R322" s="870"/>
      <c r="S322" s="330"/>
      <c r="T322" s="331"/>
      <c r="U322" s="330"/>
      <c r="V322" s="330"/>
      <c r="W322" s="330"/>
      <c r="X322" s="330"/>
      <c r="Y322" s="330"/>
      <c r="Z322" s="663"/>
      <c r="AE322" s="2461"/>
      <c r="AF322" s="68"/>
    </row>
    <row r="323" spans="1:32" x14ac:dyDescent="0.35">
      <c r="A323" s="661"/>
      <c r="B323" s="1044" t="s">
        <v>2921</v>
      </c>
      <c r="C323" s="1044"/>
      <c r="D323" s="662"/>
      <c r="E323" s="837" t="s">
        <v>26</v>
      </c>
      <c r="F323" s="13" t="s">
        <v>1490</v>
      </c>
      <c r="G323" s="13">
        <v>5</v>
      </c>
      <c r="H323" s="340">
        <v>6</v>
      </c>
      <c r="I323" s="552"/>
      <c r="J323" s="552"/>
      <c r="K323" s="553"/>
      <c r="L323" s="553"/>
      <c r="M323" s="552"/>
      <c r="N323" s="552"/>
      <c r="O323" s="555"/>
      <c r="P323" s="552"/>
      <c r="Q323" s="1859">
        <f>0.85-0.3</f>
        <v>0.55000000000000004</v>
      </c>
      <c r="R323" s="873"/>
      <c r="S323" s="330"/>
      <c r="T323" s="331"/>
      <c r="U323" s="330"/>
      <c r="V323" s="330"/>
      <c r="W323" s="330"/>
      <c r="X323" s="330"/>
      <c r="Y323" s="330"/>
      <c r="Z323" s="663"/>
      <c r="AE323" s="2461"/>
      <c r="AF323" s="68"/>
    </row>
    <row r="324" spans="1:32" ht="75.5" x14ac:dyDescent="0.35">
      <c r="A324" s="1823">
        <v>147</v>
      </c>
      <c r="B324" s="826" t="s">
        <v>2921</v>
      </c>
      <c r="C324" s="826" t="s">
        <v>1656</v>
      </c>
      <c r="D324" s="2468" t="s">
        <v>5017</v>
      </c>
      <c r="E324" s="2374" t="s">
        <v>8560</v>
      </c>
      <c r="F324" s="1944" t="s">
        <v>664</v>
      </c>
      <c r="G324" s="13">
        <v>5</v>
      </c>
      <c r="H324" s="13">
        <v>6</v>
      </c>
      <c r="I324" s="297">
        <f>J324+K324+L324</f>
        <v>0.2</v>
      </c>
      <c r="J324" s="297">
        <f>SUM(M324:R324)</f>
        <v>0.2</v>
      </c>
      <c r="K324" s="573"/>
      <c r="L324" s="573"/>
      <c r="M324" s="503"/>
      <c r="N324" s="501"/>
      <c r="O324" s="570"/>
      <c r="P324" s="503"/>
      <c r="Q324" s="2099"/>
      <c r="R324" s="2098">
        <v>0.2</v>
      </c>
      <c r="S324" s="72"/>
      <c r="T324" s="334"/>
      <c r="U324" s="72"/>
      <c r="V324" s="72"/>
      <c r="W324" s="72"/>
      <c r="X324" s="72"/>
      <c r="Y324" s="72"/>
      <c r="Z324" s="2375"/>
      <c r="AA324" s="3" t="s">
        <v>1532</v>
      </c>
      <c r="AB324" s="3">
        <v>1</v>
      </c>
      <c r="AE324" s="2461"/>
      <c r="AF324" s="68"/>
    </row>
    <row r="325" spans="1:32" ht="75.5" x14ac:dyDescent="0.35">
      <c r="A325" s="661">
        <v>148</v>
      </c>
      <c r="B325" s="1044" t="s">
        <v>2921</v>
      </c>
      <c r="C325" s="1044" t="s">
        <v>1657</v>
      </c>
      <c r="D325" s="2468" t="s">
        <v>5018</v>
      </c>
      <c r="E325" s="290" t="s">
        <v>9995</v>
      </c>
      <c r="F325" s="13" t="s">
        <v>827</v>
      </c>
      <c r="G325" s="13">
        <v>5</v>
      </c>
      <c r="H325" s="13">
        <v>6</v>
      </c>
      <c r="I325" s="552">
        <f>L325+K325+J325</f>
        <v>0.8</v>
      </c>
      <c r="J325" s="552">
        <f>SUM(M325:R325)</f>
        <v>0.8</v>
      </c>
      <c r="K325" s="553"/>
      <c r="L325" s="553"/>
      <c r="M325" s="552"/>
      <c r="N325" s="1799">
        <v>0.8</v>
      </c>
      <c r="O325" s="555"/>
      <c r="P325" s="552"/>
      <c r="Q325" s="860">
        <v>0</v>
      </c>
      <c r="R325" s="2609"/>
      <c r="S325" s="330"/>
      <c r="T325" s="331"/>
      <c r="U325" s="330"/>
      <c r="V325" s="330"/>
      <c r="W325" s="330"/>
      <c r="X325" s="330"/>
      <c r="Y325" s="330"/>
      <c r="Z325" s="663"/>
      <c r="AB325" s="3">
        <v>1</v>
      </c>
      <c r="AE325" s="2461"/>
      <c r="AF325" s="68"/>
    </row>
    <row r="326" spans="1:32" ht="46.5" x14ac:dyDescent="0.35">
      <c r="A326" s="661"/>
      <c r="B326" s="1044" t="s">
        <v>2921</v>
      </c>
      <c r="C326" s="1044"/>
      <c r="D326" s="662"/>
      <c r="E326" s="291" t="s">
        <v>9996</v>
      </c>
      <c r="F326" s="13"/>
      <c r="G326" s="13" t="s">
        <v>191</v>
      </c>
      <c r="H326" s="340" t="s">
        <v>191</v>
      </c>
      <c r="I326" s="674"/>
      <c r="J326" s="674"/>
      <c r="K326" s="553"/>
      <c r="L326" s="553"/>
      <c r="M326" s="552"/>
      <c r="N326" s="552"/>
      <c r="O326" s="555"/>
      <c r="P326" s="552"/>
      <c r="Q326" s="860"/>
      <c r="R326" s="870"/>
      <c r="S326" s="330"/>
      <c r="T326" s="331"/>
      <c r="U326" s="330"/>
      <c r="V326" s="330"/>
      <c r="W326" s="330"/>
      <c r="X326" s="330"/>
      <c r="Y326" s="330"/>
      <c r="Z326" s="663"/>
      <c r="AE326" s="2461"/>
      <c r="AF326" s="68"/>
    </row>
    <row r="327" spans="1:32" ht="60.5" x14ac:dyDescent="0.35">
      <c r="A327" s="1823">
        <v>149</v>
      </c>
      <c r="B327" s="826" t="s">
        <v>2921</v>
      </c>
      <c r="C327" s="826" t="s">
        <v>1656</v>
      </c>
      <c r="D327" s="2468" t="s">
        <v>5019</v>
      </c>
      <c r="E327" s="511" t="s">
        <v>8561</v>
      </c>
      <c r="F327" s="1138" t="s">
        <v>664</v>
      </c>
      <c r="G327" s="13">
        <v>5</v>
      </c>
      <c r="H327" s="13">
        <v>6</v>
      </c>
      <c r="I327" s="297">
        <f>J327+K327+L327</f>
        <v>0.3</v>
      </c>
      <c r="J327" s="297">
        <f>SUM(M327:R327)</f>
        <v>0.3</v>
      </c>
      <c r="K327" s="553"/>
      <c r="L327" s="553"/>
      <c r="M327" s="501"/>
      <c r="N327" s="501"/>
      <c r="O327" s="568"/>
      <c r="P327" s="501"/>
      <c r="Q327" s="1856"/>
      <c r="R327" s="1865">
        <v>0.3</v>
      </c>
      <c r="S327" s="328"/>
      <c r="T327" s="329"/>
      <c r="U327" s="330"/>
      <c r="V327" s="330"/>
      <c r="W327" s="328"/>
      <c r="X327" s="328"/>
      <c r="Y327" s="330"/>
      <c r="Z327" s="2376"/>
      <c r="AA327" s="3" t="s">
        <v>2569</v>
      </c>
      <c r="AB327" s="3">
        <v>1</v>
      </c>
      <c r="AE327" s="2461"/>
      <c r="AF327" s="68"/>
    </row>
    <row r="328" spans="1:32" ht="60.5" x14ac:dyDescent="0.35">
      <c r="A328" s="1823">
        <v>150</v>
      </c>
      <c r="B328" s="826" t="s">
        <v>2921</v>
      </c>
      <c r="C328" s="826" t="s">
        <v>1656</v>
      </c>
      <c r="D328" s="2468" t="s">
        <v>5020</v>
      </c>
      <c r="E328" s="2374" t="s">
        <v>8562</v>
      </c>
      <c r="F328" s="1944" t="s">
        <v>664</v>
      </c>
      <c r="G328" s="13">
        <v>5</v>
      </c>
      <c r="H328" s="13">
        <v>6</v>
      </c>
      <c r="I328" s="297">
        <f>J328+K328+L328</f>
        <v>1.6</v>
      </c>
      <c r="J328" s="297">
        <f>SUM(M328:R328)</f>
        <v>1.6</v>
      </c>
      <c r="K328" s="573"/>
      <c r="L328" s="573"/>
      <c r="M328" s="503"/>
      <c r="N328" s="501"/>
      <c r="O328" s="570"/>
      <c r="P328" s="503"/>
      <c r="Q328" s="2099"/>
      <c r="R328" s="2098">
        <v>1.6</v>
      </c>
      <c r="S328" s="72"/>
      <c r="T328" s="334"/>
      <c r="U328" s="72"/>
      <c r="V328" s="72"/>
      <c r="W328" s="72"/>
      <c r="X328" s="72"/>
      <c r="Y328" s="72"/>
      <c r="Z328" s="2375"/>
      <c r="AA328" s="3" t="s">
        <v>1532</v>
      </c>
      <c r="AB328" s="3">
        <v>1</v>
      </c>
      <c r="AE328" s="2461"/>
      <c r="AF328" s="68"/>
    </row>
    <row r="329" spans="1:32" ht="60.5" x14ac:dyDescent="0.35">
      <c r="A329" s="1823">
        <v>151</v>
      </c>
      <c r="B329" s="826" t="s">
        <v>2921</v>
      </c>
      <c r="C329" s="826" t="s">
        <v>1656</v>
      </c>
      <c r="D329" s="2468" t="s">
        <v>5021</v>
      </c>
      <c r="E329" s="2374" t="s">
        <v>8563</v>
      </c>
      <c r="F329" s="1138" t="s">
        <v>664</v>
      </c>
      <c r="G329" s="13">
        <v>5</v>
      </c>
      <c r="H329" s="13">
        <v>6</v>
      </c>
      <c r="I329" s="297">
        <f>J329+K329+L329</f>
        <v>10.9</v>
      </c>
      <c r="J329" s="297">
        <f>SUM(M329:R329)</f>
        <v>10.9</v>
      </c>
      <c r="K329" s="573"/>
      <c r="L329" s="573"/>
      <c r="M329" s="503"/>
      <c r="N329" s="501"/>
      <c r="O329" s="570"/>
      <c r="P329" s="503"/>
      <c r="Q329" s="2099"/>
      <c r="R329" s="2098">
        <v>10.9</v>
      </c>
      <c r="S329" s="72"/>
      <c r="T329" s="334"/>
      <c r="U329" s="72"/>
      <c r="V329" s="72"/>
      <c r="W329" s="72"/>
      <c r="X329" s="72"/>
      <c r="Y329" s="72"/>
      <c r="Z329" s="2375"/>
      <c r="AA329" s="3" t="s">
        <v>1532</v>
      </c>
      <c r="AB329" s="3">
        <v>1</v>
      </c>
      <c r="AE329" s="2461"/>
      <c r="AF329" s="68"/>
    </row>
    <row r="330" spans="1:32" ht="75.5" x14ac:dyDescent="0.35">
      <c r="A330" s="1823">
        <v>152</v>
      </c>
      <c r="B330" s="826" t="s">
        <v>2921</v>
      </c>
      <c r="C330" s="826" t="s">
        <v>1656</v>
      </c>
      <c r="D330" s="2468" t="s">
        <v>5022</v>
      </c>
      <c r="E330" s="2374" t="s">
        <v>8564</v>
      </c>
      <c r="F330" s="493" t="s">
        <v>664</v>
      </c>
      <c r="G330" s="13">
        <v>5</v>
      </c>
      <c r="H330" s="13">
        <v>6</v>
      </c>
      <c r="I330" s="297">
        <f>J330+K330+L330</f>
        <v>4</v>
      </c>
      <c r="J330" s="297">
        <f>SUM(M330:R330)</f>
        <v>4</v>
      </c>
      <c r="K330" s="573"/>
      <c r="L330" s="573"/>
      <c r="M330" s="503"/>
      <c r="N330" s="503"/>
      <c r="O330" s="570"/>
      <c r="P330" s="503"/>
      <c r="Q330" s="1856"/>
      <c r="R330" s="2098">
        <v>4</v>
      </c>
      <c r="S330" s="72"/>
      <c r="T330" s="334"/>
      <c r="U330" s="72"/>
      <c r="V330" s="72"/>
      <c r="W330" s="72"/>
      <c r="X330" s="72"/>
      <c r="Y330" s="72"/>
      <c r="Z330" s="2375"/>
      <c r="AA330" s="3" t="s">
        <v>1532</v>
      </c>
      <c r="AB330" s="3">
        <v>1</v>
      </c>
      <c r="AE330" s="2461"/>
      <c r="AF330" s="68"/>
    </row>
    <row r="331" spans="1:32" ht="45.5" x14ac:dyDescent="0.35">
      <c r="A331" s="661"/>
      <c r="B331" s="1044" t="s">
        <v>2918</v>
      </c>
      <c r="C331" s="1044"/>
      <c r="D331" s="662"/>
      <c r="E331" s="1596" t="s">
        <v>2061</v>
      </c>
      <c r="F331" s="13"/>
      <c r="G331" s="13"/>
      <c r="H331" s="340"/>
      <c r="I331" s="674"/>
      <c r="J331" s="674"/>
      <c r="K331" s="553"/>
      <c r="L331" s="553"/>
      <c r="M331" s="552"/>
      <c r="N331" s="552"/>
      <c r="O331" s="555"/>
      <c r="P331" s="552"/>
      <c r="Q331" s="860"/>
      <c r="R331" s="870"/>
      <c r="S331" s="330"/>
      <c r="T331" s="331"/>
      <c r="U331" s="330"/>
      <c r="V331" s="330"/>
      <c r="W331" s="330"/>
      <c r="X331" s="330"/>
      <c r="Y331" s="330"/>
      <c r="Z331" s="663"/>
      <c r="AE331" s="2461"/>
      <c r="AF331" s="68"/>
    </row>
    <row r="332" spans="1:32" ht="60.5" x14ac:dyDescent="0.35">
      <c r="A332" s="661">
        <v>153</v>
      </c>
      <c r="B332" s="1044" t="s">
        <v>2918</v>
      </c>
      <c r="C332" s="1044"/>
      <c r="D332" s="2468" t="s">
        <v>5023</v>
      </c>
      <c r="E332" s="290" t="s">
        <v>9186</v>
      </c>
      <c r="F332" s="13"/>
      <c r="G332" s="13" t="s">
        <v>191</v>
      </c>
      <c r="H332" s="340" t="s">
        <v>191</v>
      </c>
      <c r="I332" s="674">
        <f>L332+K332+J332</f>
        <v>3</v>
      </c>
      <c r="J332" s="674">
        <f>SUM(M332:R332)</f>
        <v>3</v>
      </c>
      <c r="K332" s="553"/>
      <c r="L332" s="553"/>
      <c r="M332" s="552"/>
      <c r="N332" s="552"/>
      <c r="O332" s="555"/>
      <c r="P332" s="552"/>
      <c r="Q332" s="860">
        <f>SUM(Q333:Q334)</f>
        <v>2.8</v>
      </c>
      <c r="R332" s="870">
        <f>SUM(R333:R334)</f>
        <v>0.2</v>
      </c>
      <c r="S332" s="330"/>
      <c r="T332" s="331"/>
      <c r="U332" s="330"/>
      <c r="V332" s="330"/>
      <c r="W332" s="328">
        <v>3</v>
      </c>
      <c r="X332" s="328">
        <v>45</v>
      </c>
      <c r="Y332" s="330"/>
      <c r="Z332" s="663"/>
      <c r="AB332" s="3">
        <v>1</v>
      </c>
      <c r="AE332" s="2461"/>
      <c r="AF332" s="68"/>
    </row>
    <row r="333" spans="1:32" x14ac:dyDescent="0.35">
      <c r="A333" s="658"/>
      <c r="B333" s="1044" t="s">
        <v>2918</v>
      </c>
      <c r="C333" s="1044"/>
      <c r="D333" s="659"/>
      <c r="E333" s="837" t="s">
        <v>815</v>
      </c>
      <c r="F333" s="14" t="s">
        <v>827</v>
      </c>
      <c r="G333" s="14">
        <v>5</v>
      </c>
      <c r="H333" s="340">
        <v>6</v>
      </c>
      <c r="I333" s="676"/>
      <c r="J333" s="1124"/>
      <c r="K333" s="573"/>
      <c r="L333" s="573"/>
      <c r="M333" s="573"/>
      <c r="N333" s="572"/>
      <c r="O333" s="551"/>
      <c r="P333" s="573"/>
      <c r="Q333" s="863">
        <v>2.8</v>
      </c>
      <c r="R333" s="875"/>
      <c r="S333" s="72"/>
      <c r="T333" s="334"/>
      <c r="U333" s="72"/>
      <c r="V333" s="72"/>
      <c r="W333" s="72"/>
      <c r="X333" s="72"/>
      <c r="Y333" s="72"/>
      <c r="Z333" s="660"/>
      <c r="AE333" s="2461"/>
      <c r="AF333" s="68"/>
    </row>
    <row r="334" spans="1:32" x14ac:dyDescent="0.35">
      <c r="A334" s="658"/>
      <c r="B334" s="1044" t="s">
        <v>2918</v>
      </c>
      <c r="C334" s="1044"/>
      <c r="D334" s="659"/>
      <c r="E334" s="838" t="s">
        <v>2623</v>
      </c>
      <c r="F334" s="14" t="s">
        <v>664</v>
      </c>
      <c r="G334" s="14">
        <v>5</v>
      </c>
      <c r="H334" s="13">
        <v>6</v>
      </c>
      <c r="I334" s="676"/>
      <c r="J334" s="1124"/>
      <c r="K334" s="573"/>
      <c r="L334" s="573"/>
      <c r="M334" s="573"/>
      <c r="N334" s="573"/>
      <c r="O334" s="551"/>
      <c r="P334" s="573"/>
      <c r="Q334" s="865"/>
      <c r="R334" s="873">
        <v>0.2</v>
      </c>
      <c r="S334" s="72"/>
      <c r="T334" s="334"/>
      <c r="U334" s="72"/>
      <c r="V334" s="72"/>
      <c r="W334" s="72"/>
      <c r="X334" s="72"/>
      <c r="Y334" s="72"/>
      <c r="Z334" s="660"/>
      <c r="AE334" s="2461"/>
      <c r="AF334" s="68"/>
    </row>
    <row r="335" spans="1:32" ht="60.5" x14ac:dyDescent="0.35">
      <c r="A335" s="661">
        <v>154</v>
      </c>
      <c r="B335" s="1044" t="s">
        <v>2918</v>
      </c>
      <c r="C335" s="1044"/>
      <c r="D335" s="2468" t="s">
        <v>5024</v>
      </c>
      <c r="E335" s="290" t="s">
        <v>7748</v>
      </c>
      <c r="F335" s="13"/>
      <c r="G335" s="13" t="s">
        <v>191</v>
      </c>
      <c r="H335" s="340" t="s">
        <v>191</v>
      </c>
      <c r="I335" s="674">
        <f>L335+K335+J335</f>
        <v>0.7</v>
      </c>
      <c r="J335" s="674">
        <f>SUM(M335:R335)</f>
        <v>0.7</v>
      </c>
      <c r="K335" s="553"/>
      <c r="L335" s="553"/>
      <c r="M335" s="552"/>
      <c r="N335" s="552"/>
      <c r="O335" s="555"/>
      <c r="P335" s="552"/>
      <c r="Q335" s="860">
        <f>SUM(Q336:Q337)</f>
        <v>0.4</v>
      </c>
      <c r="R335" s="870">
        <f>SUM(R336:R337)</f>
        <v>0.3</v>
      </c>
      <c r="S335" s="330"/>
      <c r="T335" s="331"/>
      <c r="U335" s="330"/>
      <c r="V335" s="330"/>
      <c r="W335" s="328">
        <v>1</v>
      </c>
      <c r="X335" s="328">
        <v>10</v>
      </c>
      <c r="Y335" s="330"/>
      <c r="Z335" s="663"/>
      <c r="AB335" s="3">
        <v>1</v>
      </c>
      <c r="AE335" s="2461"/>
      <c r="AF335" s="68"/>
    </row>
    <row r="336" spans="1:32" x14ac:dyDescent="0.35">
      <c r="A336" s="658"/>
      <c r="B336" s="1044" t="s">
        <v>2918</v>
      </c>
      <c r="C336" s="1044"/>
      <c r="D336" s="659"/>
      <c r="E336" s="837" t="s">
        <v>1074</v>
      </c>
      <c r="F336" s="14" t="s">
        <v>827</v>
      </c>
      <c r="G336" s="14">
        <v>5</v>
      </c>
      <c r="H336" s="340">
        <v>6</v>
      </c>
      <c r="I336" s="676"/>
      <c r="J336" s="1124"/>
      <c r="K336" s="573"/>
      <c r="L336" s="573"/>
      <c r="M336" s="573"/>
      <c r="N336" s="573"/>
      <c r="O336" s="551"/>
      <c r="P336" s="573"/>
      <c r="Q336" s="863">
        <v>0.4</v>
      </c>
      <c r="R336" s="875"/>
      <c r="S336" s="72"/>
      <c r="T336" s="334"/>
      <c r="U336" s="72"/>
      <c r="V336" s="72"/>
      <c r="W336" s="72"/>
      <c r="X336" s="72"/>
      <c r="Y336" s="72"/>
      <c r="Z336" s="660"/>
      <c r="AE336" s="2461"/>
      <c r="AF336" s="68"/>
    </row>
    <row r="337" spans="1:32" x14ac:dyDescent="0.35">
      <c r="A337" s="658"/>
      <c r="B337" s="1044" t="s">
        <v>2918</v>
      </c>
      <c r="C337" s="1044"/>
      <c r="D337" s="659"/>
      <c r="E337" s="838" t="s">
        <v>522</v>
      </c>
      <c r="F337" s="14" t="s">
        <v>664</v>
      </c>
      <c r="G337" s="14">
        <v>5</v>
      </c>
      <c r="H337" s="13">
        <v>6</v>
      </c>
      <c r="I337" s="676"/>
      <c r="J337" s="1124"/>
      <c r="K337" s="573"/>
      <c r="L337" s="573"/>
      <c r="M337" s="573"/>
      <c r="N337" s="573"/>
      <c r="O337" s="551"/>
      <c r="P337" s="573"/>
      <c r="Q337" s="865"/>
      <c r="R337" s="873">
        <v>0.3</v>
      </c>
      <c r="S337" s="72"/>
      <c r="T337" s="334"/>
      <c r="U337" s="72"/>
      <c r="V337" s="72"/>
      <c r="W337" s="72"/>
      <c r="X337" s="72"/>
      <c r="Y337" s="72"/>
      <c r="Z337" s="660"/>
      <c r="AE337" s="2461"/>
      <c r="AF337" s="68"/>
    </row>
    <row r="338" spans="1:32" ht="60.5" x14ac:dyDescent="0.35">
      <c r="A338" s="661">
        <v>155</v>
      </c>
      <c r="B338" s="1044" t="s">
        <v>2918</v>
      </c>
      <c r="C338" s="1044"/>
      <c r="D338" s="2468" t="s">
        <v>5025</v>
      </c>
      <c r="E338" s="290" t="s">
        <v>7749</v>
      </c>
      <c r="F338" s="13">
        <v>5</v>
      </c>
      <c r="G338" s="13">
        <v>5</v>
      </c>
      <c r="H338" s="340">
        <v>6</v>
      </c>
      <c r="I338" s="552">
        <f>L338+K338+J338</f>
        <v>1.64</v>
      </c>
      <c r="J338" s="552">
        <f>SUM(M338:R338)</f>
        <v>1.64</v>
      </c>
      <c r="K338" s="553"/>
      <c r="L338" s="553"/>
      <c r="M338" s="552"/>
      <c r="N338" s="552">
        <v>1.64</v>
      </c>
      <c r="O338" s="555"/>
      <c r="P338" s="552"/>
      <c r="Q338" s="860"/>
      <c r="R338" s="870"/>
      <c r="S338" s="330"/>
      <c r="T338" s="331"/>
      <c r="U338" s="330"/>
      <c r="V338" s="330"/>
      <c r="W338" s="330">
        <v>6</v>
      </c>
      <c r="X338" s="330">
        <v>61.2</v>
      </c>
      <c r="Y338" s="330">
        <v>4</v>
      </c>
      <c r="Z338" s="663">
        <v>36</v>
      </c>
      <c r="AB338" s="3">
        <v>1</v>
      </c>
      <c r="AE338" s="2461"/>
      <c r="AF338" s="68"/>
    </row>
    <row r="339" spans="1:32" ht="90.5" x14ac:dyDescent="0.35">
      <c r="A339" s="1823">
        <v>156</v>
      </c>
      <c r="B339" s="826" t="s">
        <v>2918</v>
      </c>
      <c r="C339" s="826" t="s">
        <v>1656</v>
      </c>
      <c r="D339" s="2468" t="s">
        <v>5026</v>
      </c>
      <c r="E339" s="511" t="s">
        <v>8565</v>
      </c>
      <c r="F339" s="1138" t="s">
        <v>664</v>
      </c>
      <c r="G339" s="13">
        <v>5</v>
      </c>
      <c r="H339" s="13">
        <v>6</v>
      </c>
      <c r="I339" s="297">
        <f>J339+K339+L339</f>
        <v>0.2</v>
      </c>
      <c r="J339" s="297">
        <f>SUM(M339:R339)</f>
        <v>0.2</v>
      </c>
      <c r="K339" s="553"/>
      <c r="L339" s="553"/>
      <c r="M339" s="501"/>
      <c r="N339" s="501"/>
      <c r="O339" s="568"/>
      <c r="P339" s="501"/>
      <c r="Q339" s="1856"/>
      <c r="R339" s="1865">
        <v>0.2</v>
      </c>
      <c r="S339" s="330"/>
      <c r="T339" s="331"/>
      <c r="U339" s="330"/>
      <c r="V339" s="330"/>
      <c r="W339" s="328"/>
      <c r="X339" s="328"/>
      <c r="Y339" s="328"/>
      <c r="Z339" s="2376"/>
      <c r="AA339" s="3" t="s">
        <v>2505</v>
      </c>
      <c r="AB339" s="3">
        <v>1</v>
      </c>
      <c r="AE339" s="2461"/>
      <c r="AF339" s="68"/>
    </row>
    <row r="340" spans="1:32" ht="60.5" x14ac:dyDescent="0.35">
      <c r="A340" s="661">
        <v>157</v>
      </c>
      <c r="B340" s="1044" t="s">
        <v>2918</v>
      </c>
      <c r="C340" s="1044"/>
      <c r="D340" s="2468" t="s">
        <v>5027</v>
      </c>
      <c r="E340" s="290" t="s">
        <v>7750</v>
      </c>
      <c r="F340" s="13"/>
      <c r="G340" s="13" t="s">
        <v>191</v>
      </c>
      <c r="H340" s="340" t="s">
        <v>191</v>
      </c>
      <c r="I340" s="552">
        <f>L340+K340+J340</f>
        <v>4.7</v>
      </c>
      <c r="J340" s="552">
        <f>SUM(M340:R340)</f>
        <v>4.7</v>
      </c>
      <c r="K340" s="553"/>
      <c r="L340" s="553"/>
      <c r="M340" s="552"/>
      <c r="N340" s="552"/>
      <c r="O340" s="555"/>
      <c r="P340" s="552"/>
      <c r="Q340" s="860">
        <f>SUM(Q341:Q343)</f>
        <v>4.16</v>
      </c>
      <c r="R340" s="870">
        <f>SUM(R341:R343)</f>
        <v>0.54</v>
      </c>
      <c r="S340" s="330"/>
      <c r="T340" s="331"/>
      <c r="U340" s="330"/>
      <c r="V340" s="330"/>
      <c r="W340" s="328">
        <v>11</v>
      </c>
      <c r="X340" s="328">
        <v>183.3</v>
      </c>
      <c r="Y340" s="330">
        <v>4</v>
      </c>
      <c r="Z340" s="663">
        <v>60.4</v>
      </c>
      <c r="AB340" s="3">
        <v>1</v>
      </c>
      <c r="AE340" s="2461"/>
      <c r="AF340" s="68"/>
    </row>
    <row r="341" spans="1:32" x14ac:dyDescent="0.35">
      <c r="A341" s="658"/>
      <c r="B341" s="1044" t="s">
        <v>2918</v>
      </c>
      <c r="C341" s="1044"/>
      <c r="D341" s="659"/>
      <c r="E341" s="837" t="s">
        <v>2252</v>
      </c>
      <c r="F341" s="14" t="s">
        <v>827</v>
      </c>
      <c r="G341" s="14">
        <v>5</v>
      </c>
      <c r="H341" s="340">
        <v>6</v>
      </c>
      <c r="I341" s="676"/>
      <c r="J341" s="1124"/>
      <c r="K341" s="573"/>
      <c r="L341" s="573"/>
      <c r="M341" s="573"/>
      <c r="N341" s="573"/>
      <c r="O341" s="551"/>
      <c r="P341" s="573"/>
      <c r="Q341" s="863">
        <v>4.16</v>
      </c>
      <c r="R341" s="875"/>
      <c r="S341" s="72"/>
      <c r="T341" s="334"/>
      <c r="U341" s="72"/>
      <c r="V341" s="72"/>
      <c r="W341" s="72"/>
      <c r="X341" s="72"/>
      <c r="Y341" s="72"/>
      <c r="Z341" s="660"/>
      <c r="AE341" s="2461"/>
      <c r="AF341" s="68"/>
    </row>
    <row r="342" spans="1:32" x14ac:dyDescent="0.35">
      <c r="A342" s="1125"/>
      <c r="B342" s="1046" t="s">
        <v>2918</v>
      </c>
      <c r="C342" s="1046"/>
      <c r="D342" s="1126"/>
      <c r="E342" s="1217" t="s">
        <v>3149</v>
      </c>
      <c r="F342" s="81" t="s">
        <v>827</v>
      </c>
      <c r="G342" s="81">
        <v>5</v>
      </c>
      <c r="H342" s="13">
        <v>6</v>
      </c>
      <c r="I342" s="676"/>
      <c r="J342" s="1124"/>
      <c r="K342" s="1128"/>
      <c r="L342" s="1128"/>
      <c r="M342" s="1128"/>
      <c r="N342" s="1128"/>
      <c r="O342" s="1129"/>
      <c r="P342" s="1128"/>
      <c r="Q342" s="1215"/>
      <c r="R342" s="954">
        <f>4.3-4.16</f>
        <v>0.13999999999999968</v>
      </c>
      <c r="S342" s="1127"/>
      <c r="T342" s="1130"/>
      <c r="U342" s="1127"/>
      <c r="V342" s="1127"/>
      <c r="W342" s="1127"/>
      <c r="X342" s="1127"/>
      <c r="Y342" s="1127"/>
      <c r="Z342" s="1131"/>
      <c r="AE342" s="2461"/>
      <c r="AF342" s="68"/>
    </row>
    <row r="343" spans="1:32" x14ac:dyDescent="0.35">
      <c r="A343" s="1125"/>
      <c r="B343" s="1046" t="s">
        <v>2918</v>
      </c>
      <c r="C343" s="1046"/>
      <c r="D343" s="1126"/>
      <c r="E343" s="1217" t="s">
        <v>3150</v>
      </c>
      <c r="F343" s="81" t="s">
        <v>664</v>
      </c>
      <c r="G343" s="81">
        <v>5</v>
      </c>
      <c r="H343" s="13">
        <v>6</v>
      </c>
      <c r="I343" s="676"/>
      <c r="J343" s="1124"/>
      <c r="K343" s="1128"/>
      <c r="L343" s="1128"/>
      <c r="M343" s="1128"/>
      <c r="N343" s="1128"/>
      <c r="O343" s="1129"/>
      <c r="P343" s="1128"/>
      <c r="Q343" s="1215"/>
      <c r="R343" s="954">
        <f>4.7-4.3</f>
        <v>0.40000000000000036</v>
      </c>
      <c r="S343" s="1127"/>
      <c r="T343" s="1130"/>
      <c r="U343" s="1127"/>
      <c r="V343" s="1127"/>
      <c r="W343" s="1127"/>
      <c r="X343" s="1127"/>
      <c r="Y343" s="1127"/>
      <c r="Z343" s="1131"/>
      <c r="AE343" s="2461"/>
      <c r="AF343" s="68"/>
    </row>
    <row r="344" spans="1:32" ht="90.5" x14ac:dyDescent="0.35">
      <c r="A344" s="1823">
        <v>158</v>
      </c>
      <c r="B344" s="826" t="s">
        <v>2918</v>
      </c>
      <c r="C344" s="826" t="s">
        <v>1656</v>
      </c>
      <c r="D344" s="2468" t="s">
        <v>5028</v>
      </c>
      <c r="E344" s="511" t="s">
        <v>8566</v>
      </c>
      <c r="F344" s="1944" t="s">
        <v>664</v>
      </c>
      <c r="G344" s="13">
        <v>5</v>
      </c>
      <c r="H344" s="13">
        <v>6</v>
      </c>
      <c r="I344" s="297">
        <f>J344+K344+L344</f>
        <v>0.3</v>
      </c>
      <c r="J344" s="297">
        <f>SUM(M344:R344)</f>
        <v>0.3</v>
      </c>
      <c r="K344" s="573"/>
      <c r="L344" s="573"/>
      <c r="M344" s="503"/>
      <c r="N344" s="501"/>
      <c r="O344" s="570"/>
      <c r="P344" s="503"/>
      <c r="Q344" s="2099"/>
      <c r="R344" s="2098">
        <v>0.3</v>
      </c>
      <c r="S344" s="72"/>
      <c r="T344" s="334"/>
      <c r="U344" s="72"/>
      <c r="V344" s="72"/>
      <c r="W344" s="72"/>
      <c r="X344" s="72"/>
      <c r="Y344" s="72"/>
      <c r="Z344" s="2375"/>
      <c r="AA344" s="3" t="s">
        <v>785</v>
      </c>
      <c r="AB344" s="3">
        <v>1</v>
      </c>
      <c r="AE344" s="2461"/>
      <c r="AF344" s="68"/>
    </row>
    <row r="345" spans="1:32" ht="60.5" x14ac:dyDescent="0.35">
      <c r="A345" s="667">
        <v>159</v>
      </c>
      <c r="B345" s="1046" t="s">
        <v>2918</v>
      </c>
      <c r="C345" s="1046"/>
      <c r="D345" s="2468" t="s">
        <v>5029</v>
      </c>
      <c r="E345" s="341" t="s">
        <v>7751</v>
      </c>
      <c r="F345" s="80">
        <v>5</v>
      </c>
      <c r="G345" s="80">
        <v>4</v>
      </c>
      <c r="H345" s="340">
        <v>6</v>
      </c>
      <c r="I345" s="674">
        <f>L345+K345+J345</f>
        <v>1.44</v>
      </c>
      <c r="J345" s="674">
        <f>SUM(M345:R345)</f>
        <v>1.44</v>
      </c>
      <c r="K345" s="678"/>
      <c r="L345" s="678"/>
      <c r="M345" s="677"/>
      <c r="N345" s="677">
        <v>1.44</v>
      </c>
      <c r="O345" s="560"/>
      <c r="P345" s="677"/>
      <c r="Q345" s="861"/>
      <c r="R345" s="871"/>
      <c r="S345" s="669"/>
      <c r="T345" s="668"/>
      <c r="U345" s="669"/>
      <c r="V345" s="669"/>
      <c r="W345" s="338">
        <v>5</v>
      </c>
      <c r="X345" s="338">
        <v>60.3</v>
      </c>
      <c r="Y345" s="669"/>
      <c r="Z345" s="670"/>
      <c r="AB345" s="3">
        <v>1</v>
      </c>
      <c r="AE345" s="2461"/>
      <c r="AF345" s="68"/>
    </row>
    <row r="346" spans="1:32" ht="75" x14ac:dyDescent="0.35">
      <c r="A346" s="1823">
        <v>160</v>
      </c>
      <c r="B346" s="693" t="s">
        <v>2918</v>
      </c>
      <c r="C346" s="693" t="s">
        <v>1656</v>
      </c>
      <c r="D346" s="2468" t="s">
        <v>5030</v>
      </c>
      <c r="E346" s="2187" t="s">
        <v>8567</v>
      </c>
      <c r="F346" s="92" t="s">
        <v>664</v>
      </c>
      <c r="G346" s="92">
        <v>5</v>
      </c>
      <c r="H346" s="13">
        <v>6</v>
      </c>
      <c r="I346" s="702">
        <f>J346+K346+L346</f>
        <v>0.6</v>
      </c>
      <c r="J346" s="702">
        <f>SUM(M346:R346)</f>
        <v>0.6</v>
      </c>
      <c r="K346" s="2088"/>
      <c r="L346" s="2088"/>
      <c r="M346" s="2088"/>
      <c r="N346" s="2088"/>
      <c r="O346" s="2088"/>
      <c r="P346" s="2088"/>
      <c r="Q346" s="2088"/>
      <c r="R346" s="906">
        <v>0.6</v>
      </c>
      <c r="S346" s="106"/>
      <c r="T346" s="106"/>
      <c r="U346" s="106"/>
      <c r="V346" s="106"/>
      <c r="W346" s="105"/>
      <c r="X346" s="105"/>
      <c r="Y346" s="105"/>
      <c r="Z346" s="105"/>
      <c r="AB346" s="3">
        <v>1</v>
      </c>
      <c r="AE346" s="2461"/>
      <c r="AF346" s="68"/>
    </row>
    <row r="347" spans="1:32" ht="60.5" x14ac:dyDescent="0.35">
      <c r="A347" s="667">
        <v>161</v>
      </c>
      <c r="B347" s="1046" t="s">
        <v>2918</v>
      </c>
      <c r="C347" s="1046"/>
      <c r="D347" s="2468" t="s">
        <v>5031</v>
      </c>
      <c r="E347" s="341" t="s">
        <v>7752</v>
      </c>
      <c r="F347" s="80"/>
      <c r="G347" s="80" t="s">
        <v>191</v>
      </c>
      <c r="H347" s="340" t="s">
        <v>191</v>
      </c>
      <c r="I347" s="674">
        <f>L347+K347+J347</f>
        <v>2.35</v>
      </c>
      <c r="J347" s="674">
        <f>SUM(M347:R347)</f>
        <v>2.35</v>
      </c>
      <c r="K347" s="678"/>
      <c r="L347" s="678"/>
      <c r="M347" s="677"/>
      <c r="N347" s="677"/>
      <c r="O347" s="560"/>
      <c r="P347" s="677"/>
      <c r="Q347" s="861">
        <f>SUM(Q348:Q349)</f>
        <v>1.85</v>
      </c>
      <c r="R347" s="871">
        <f>SUM(R348:R349)</f>
        <v>0.5</v>
      </c>
      <c r="S347" s="669"/>
      <c r="T347" s="668"/>
      <c r="U347" s="669"/>
      <c r="V347" s="669"/>
      <c r="W347" s="338">
        <v>3</v>
      </c>
      <c r="X347" s="338">
        <v>50.2</v>
      </c>
      <c r="Y347" s="669"/>
      <c r="Z347" s="670"/>
      <c r="AB347" s="3">
        <v>1</v>
      </c>
      <c r="AE347" s="2461"/>
      <c r="AF347" s="68"/>
    </row>
    <row r="348" spans="1:32" x14ac:dyDescent="0.35">
      <c r="A348" s="1125"/>
      <c r="B348" s="1046" t="s">
        <v>2918</v>
      </c>
      <c r="C348" s="1046"/>
      <c r="D348" s="1126"/>
      <c r="E348" s="1216" t="s">
        <v>876</v>
      </c>
      <c r="F348" s="81">
        <v>4</v>
      </c>
      <c r="G348" s="81">
        <v>5</v>
      </c>
      <c r="H348" s="340">
        <v>6</v>
      </c>
      <c r="I348" s="676"/>
      <c r="J348" s="1124"/>
      <c r="K348" s="1128"/>
      <c r="L348" s="1128"/>
      <c r="M348" s="1128"/>
      <c r="N348" s="1128"/>
      <c r="O348" s="1129"/>
      <c r="P348" s="1128"/>
      <c r="Q348" s="957">
        <v>1.85</v>
      </c>
      <c r="R348" s="1214"/>
      <c r="S348" s="1127"/>
      <c r="T348" s="1130"/>
      <c r="U348" s="1127"/>
      <c r="V348" s="1127"/>
      <c r="W348" s="1127"/>
      <c r="X348" s="1127"/>
      <c r="Y348" s="1127"/>
      <c r="Z348" s="1131"/>
      <c r="AE348" s="2461"/>
      <c r="AF348" s="68"/>
    </row>
    <row r="349" spans="1:32" x14ac:dyDescent="0.35">
      <c r="A349" s="1125"/>
      <c r="B349" s="1046" t="s">
        <v>2918</v>
      </c>
      <c r="C349" s="1046"/>
      <c r="D349" s="1126"/>
      <c r="E349" s="838" t="s">
        <v>2283</v>
      </c>
      <c r="F349" s="81" t="s">
        <v>664</v>
      </c>
      <c r="G349" s="81">
        <v>5</v>
      </c>
      <c r="H349" s="13">
        <v>6</v>
      </c>
      <c r="I349" s="679"/>
      <c r="J349" s="1128"/>
      <c r="K349" s="1128"/>
      <c r="L349" s="1128"/>
      <c r="M349" s="1128"/>
      <c r="N349" s="1128"/>
      <c r="O349" s="1129"/>
      <c r="P349" s="1128"/>
      <c r="Q349" s="1215"/>
      <c r="R349" s="954">
        <v>0.5</v>
      </c>
      <c r="S349" s="1127"/>
      <c r="T349" s="1130"/>
      <c r="U349" s="1127"/>
      <c r="V349" s="1127"/>
      <c r="W349" s="1127"/>
      <c r="X349" s="1127"/>
      <c r="Y349" s="1127"/>
      <c r="Z349" s="1131"/>
      <c r="AE349" s="2461"/>
      <c r="AF349" s="68"/>
    </row>
    <row r="350" spans="1:32" ht="75.5" x14ac:dyDescent="0.35">
      <c r="A350" s="1823">
        <v>162</v>
      </c>
      <c r="B350" s="826" t="s">
        <v>2918</v>
      </c>
      <c r="C350" s="826" t="s">
        <v>1656</v>
      </c>
      <c r="D350" s="2468" t="s">
        <v>5032</v>
      </c>
      <c r="E350" s="511" t="s">
        <v>8568</v>
      </c>
      <c r="F350" s="1138" t="s">
        <v>664</v>
      </c>
      <c r="G350" s="13">
        <v>5</v>
      </c>
      <c r="H350" s="13">
        <v>6</v>
      </c>
      <c r="I350" s="297">
        <f>J350+K350+L350</f>
        <v>0.1</v>
      </c>
      <c r="J350" s="297">
        <f t="shared" ref="J350:J356" si="13">SUM(M350:R350)</f>
        <v>0.1</v>
      </c>
      <c r="K350" s="553"/>
      <c r="L350" s="553"/>
      <c r="M350" s="501"/>
      <c r="N350" s="501"/>
      <c r="O350" s="568"/>
      <c r="P350" s="501"/>
      <c r="Q350" s="1856"/>
      <c r="R350" s="1865">
        <v>0.1</v>
      </c>
      <c r="S350" s="330"/>
      <c r="T350" s="331"/>
      <c r="U350" s="330"/>
      <c r="V350" s="330"/>
      <c r="W350" s="328"/>
      <c r="X350" s="328"/>
      <c r="Y350" s="328"/>
      <c r="Z350" s="2376"/>
      <c r="AA350" s="3" t="s">
        <v>786</v>
      </c>
      <c r="AB350" s="3">
        <v>1</v>
      </c>
      <c r="AE350" s="2461"/>
      <c r="AF350" s="68"/>
    </row>
    <row r="351" spans="1:32" ht="60.5" x14ac:dyDescent="0.35">
      <c r="A351" s="1823">
        <v>163</v>
      </c>
      <c r="B351" s="826" t="s">
        <v>2918</v>
      </c>
      <c r="C351" s="826" t="s">
        <v>1656</v>
      </c>
      <c r="D351" s="2468" t="s">
        <v>5033</v>
      </c>
      <c r="E351" s="511" t="s">
        <v>8569</v>
      </c>
      <c r="F351" s="1138" t="s">
        <v>664</v>
      </c>
      <c r="G351" s="13">
        <v>5</v>
      </c>
      <c r="H351" s="13">
        <v>6</v>
      </c>
      <c r="I351" s="297">
        <f>J351+K351+L351</f>
        <v>0.1</v>
      </c>
      <c r="J351" s="297">
        <f t="shared" si="13"/>
        <v>0.1</v>
      </c>
      <c r="K351" s="553"/>
      <c r="L351" s="553"/>
      <c r="M351" s="501"/>
      <c r="N351" s="501"/>
      <c r="O351" s="568"/>
      <c r="P351" s="501"/>
      <c r="Q351" s="1856"/>
      <c r="R351" s="1865">
        <v>0.1</v>
      </c>
      <c r="S351" s="330"/>
      <c r="T351" s="331"/>
      <c r="U351" s="330"/>
      <c r="V351" s="330"/>
      <c r="W351" s="330"/>
      <c r="X351" s="330"/>
      <c r="Y351" s="330"/>
      <c r="Z351" s="2376"/>
      <c r="AA351" s="3" t="s">
        <v>2635</v>
      </c>
      <c r="AB351" s="3">
        <v>1</v>
      </c>
      <c r="AE351" s="2461"/>
      <c r="AF351" s="68"/>
    </row>
    <row r="352" spans="1:32" ht="60.5" x14ac:dyDescent="0.35">
      <c r="A352" s="1823">
        <v>164</v>
      </c>
      <c r="B352" s="826" t="s">
        <v>2918</v>
      </c>
      <c r="C352" s="826" t="s">
        <v>1656</v>
      </c>
      <c r="D352" s="2468" t="s">
        <v>5034</v>
      </c>
      <c r="E352" s="511" t="s">
        <v>8570</v>
      </c>
      <c r="F352" s="1138" t="s">
        <v>664</v>
      </c>
      <c r="G352" s="13">
        <v>5</v>
      </c>
      <c r="H352" s="13">
        <v>6</v>
      </c>
      <c r="I352" s="297">
        <f>J352+K352+L352</f>
        <v>0.2</v>
      </c>
      <c r="J352" s="297">
        <f t="shared" si="13"/>
        <v>0.2</v>
      </c>
      <c r="K352" s="553"/>
      <c r="L352" s="553"/>
      <c r="M352" s="501"/>
      <c r="N352" s="501"/>
      <c r="O352" s="568"/>
      <c r="P352" s="501"/>
      <c r="Q352" s="1856"/>
      <c r="R352" s="1865">
        <v>0.2</v>
      </c>
      <c r="S352" s="330"/>
      <c r="T352" s="331"/>
      <c r="U352" s="330"/>
      <c r="V352" s="330"/>
      <c r="W352" s="328"/>
      <c r="X352" s="328"/>
      <c r="Y352" s="328"/>
      <c r="Z352" s="2376"/>
      <c r="AA352" s="3" t="s">
        <v>2052</v>
      </c>
      <c r="AB352" s="3">
        <v>1</v>
      </c>
      <c r="AE352" s="2461"/>
      <c r="AF352" s="68"/>
    </row>
    <row r="353" spans="1:32" ht="60.5" x14ac:dyDescent="0.35">
      <c r="A353" s="1823">
        <v>165</v>
      </c>
      <c r="B353" s="826" t="s">
        <v>2918</v>
      </c>
      <c r="C353" s="826" t="s">
        <v>1656</v>
      </c>
      <c r="D353" s="2468" t="s">
        <v>5035</v>
      </c>
      <c r="E353" s="511" t="s">
        <v>9853</v>
      </c>
      <c r="F353" s="1138" t="s">
        <v>664</v>
      </c>
      <c r="G353" s="13">
        <v>5</v>
      </c>
      <c r="H353" s="13">
        <v>6</v>
      </c>
      <c r="I353" s="297">
        <f>J353+K353+L353</f>
        <v>0.2</v>
      </c>
      <c r="J353" s="297">
        <f t="shared" si="13"/>
        <v>0.2</v>
      </c>
      <c r="K353" s="553"/>
      <c r="L353" s="553"/>
      <c r="M353" s="501"/>
      <c r="N353" s="501"/>
      <c r="O353" s="568"/>
      <c r="P353" s="501"/>
      <c r="Q353" s="1856"/>
      <c r="R353" s="1865">
        <v>0.2</v>
      </c>
      <c r="S353" s="328"/>
      <c r="T353" s="329"/>
      <c r="U353" s="330"/>
      <c r="V353" s="330"/>
      <c r="W353" s="328"/>
      <c r="X353" s="328"/>
      <c r="Y353" s="328"/>
      <c r="Z353" s="2376"/>
      <c r="AA353" s="3" t="s">
        <v>1972</v>
      </c>
      <c r="AB353" s="3">
        <v>1</v>
      </c>
      <c r="AE353" s="2461"/>
      <c r="AF353" s="68"/>
    </row>
    <row r="354" spans="1:32" ht="60.5" x14ac:dyDescent="0.35">
      <c r="A354" s="1823">
        <v>166</v>
      </c>
      <c r="B354" s="826" t="s">
        <v>2918</v>
      </c>
      <c r="C354" s="826" t="s">
        <v>1656</v>
      </c>
      <c r="D354" s="2468" t="s">
        <v>5036</v>
      </c>
      <c r="E354" s="511" t="s">
        <v>8571</v>
      </c>
      <c r="F354" s="1944" t="s">
        <v>664</v>
      </c>
      <c r="G354" s="13">
        <v>5</v>
      </c>
      <c r="H354" s="13">
        <v>6</v>
      </c>
      <c r="I354" s="297">
        <f>J354+K354+L354</f>
        <v>0.34</v>
      </c>
      <c r="J354" s="297">
        <f t="shared" si="13"/>
        <v>0.34</v>
      </c>
      <c r="K354" s="573"/>
      <c r="L354" s="573"/>
      <c r="M354" s="503"/>
      <c r="N354" s="501"/>
      <c r="O354" s="570"/>
      <c r="P354" s="503"/>
      <c r="Q354" s="2099"/>
      <c r="R354" s="2098">
        <v>0.34</v>
      </c>
      <c r="S354" s="72"/>
      <c r="T354" s="334"/>
      <c r="U354" s="72"/>
      <c r="V354" s="72"/>
      <c r="W354" s="72"/>
      <c r="X354" s="72"/>
      <c r="Y354" s="72"/>
      <c r="Z354" s="2375"/>
      <c r="AA354" s="3" t="s">
        <v>2504</v>
      </c>
      <c r="AB354" s="3">
        <v>1</v>
      </c>
      <c r="AE354" s="2461"/>
      <c r="AF354" s="68"/>
    </row>
    <row r="355" spans="1:32" ht="60.5" x14ac:dyDescent="0.35">
      <c r="A355" s="1823">
        <v>167</v>
      </c>
      <c r="B355" s="1046" t="s">
        <v>2918</v>
      </c>
      <c r="C355" s="1046"/>
      <c r="D355" s="2468" t="s">
        <v>5037</v>
      </c>
      <c r="E355" s="341" t="s">
        <v>7753</v>
      </c>
      <c r="F355" s="80" t="s">
        <v>827</v>
      </c>
      <c r="G355" s="80">
        <v>5</v>
      </c>
      <c r="H355" s="13">
        <v>6</v>
      </c>
      <c r="I355" s="677">
        <f>L355+K355+J355</f>
        <v>1</v>
      </c>
      <c r="J355" s="677">
        <f t="shared" si="13"/>
        <v>1</v>
      </c>
      <c r="K355" s="678"/>
      <c r="L355" s="678"/>
      <c r="M355" s="677"/>
      <c r="N355" s="677"/>
      <c r="O355" s="560"/>
      <c r="P355" s="677"/>
      <c r="Q355" s="861"/>
      <c r="R355" s="871">
        <v>1</v>
      </c>
      <c r="S355" s="669"/>
      <c r="T355" s="668"/>
      <c r="U355" s="669"/>
      <c r="V355" s="669"/>
      <c r="W355" s="669"/>
      <c r="X355" s="669"/>
      <c r="Y355" s="669"/>
      <c r="Z355" s="670"/>
      <c r="AB355" s="3">
        <v>1</v>
      </c>
      <c r="AE355" s="2461"/>
      <c r="AF355" s="68"/>
    </row>
    <row r="356" spans="1:32" ht="60" x14ac:dyDescent="0.35">
      <c r="A356" s="1823">
        <v>168</v>
      </c>
      <c r="B356" s="1044" t="s">
        <v>2918</v>
      </c>
      <c r="C356" s="1044"/>
      <c r="D356" s="2468" t="s">
        <v>5038</v>
      </c>
      <c r="E356" s="2114" t="s">
        <v>9854</v>
      </c>
      <c r="F356" s="13">
        <v>5</v>
      </c>
      <c r="G356" s="13">
        <v>5</v>
      </c>
      <c r="H356" s="340">
        <v>6</v>
      </c>
      <c r="I356" s="552">
        <f>L356+K356+J356</f>
        <v>2.0790000000000002</v>
      </c>
      <c r="J356" s="552">
        <f t="shared" si="13"/>
        <v>2.0790000000000002</v>
      </c>
      <c r="K356" s="553"/>
      <c r="L356" s="553"/>
      <c r="M356" s="552"/>
      <c r="N356" s="552">
        <v>2.0790000000000002</v>
      </c>
      <c r="O356" s="555"/>
      <c r="P356" s="552"/>
      <c r="Q356" s="860"/>
      <c r="R356" s="870"/>
      <c r="S356" s="330"/>
      <c r="T356" s="331"/>
      <c r="U356" s="330"/>
      <c r="V356" s="330"/>
      <c r="W356" s="330"/>
      <c r="X356" s="330"/>
      <c r="Y356" s="330"/>
      <c r="Z356" s="663"/>
      <c r="AB356" s="3">
        <v>1</v>
      </c>
      <c r="AE356" s="2461"/>
      <c r="AF356" s="68"/>
    </row>
    <row r="357" spans="1:32" ht="45.5" x14ac:dyDescent="0.35">
      <c r="A357" s="661"/>
      <c r="B357" s="1044" t="s">
        <v>2918</v>
      </c>
      <c r="C357" s="1044"/>
      <c r="D357" s="662"/>
      <c r="E357" s="1596" t="s">
        <v>7225</v>
      </c>
      <c r="F357" s="13"/>
      <c r="G357" s="13"/>
      <c r="H357" s="340"/>
      <c r="I357" s="674"/>
      <c r="J357" s="674"/>
      <c r="K357" s="553"/>
      <c r="L357" s="553"/>
      <c r="M357" s="552"/>
      <c r="N357" s="552"/>
      <c r="O357" s="555"/>
      <c r="P357" s="552"/>
      <c r="Q357" s="860"/>
      <c r="R357" s="870"/>
      <c r="S357" s="330"/>
      <c r="T357" s="331"/>
      <c r="U357" s="330"/>
      <c r="V357" s="330"/>
      <c r="W357" s="330"/>
      <c r="X357" s="330"/>
      <c r="Y357" s="330"/>
      <c r="Z357" s="663"/>
    </row>
    <row r="358" spans="1:32" ht="45.5" x14ac:dyDescent="0.35">
      <c r="A358" s="1823">
        <v>169</v>
      </c>
      <c r="B358" s="1046" t="s">
        <v>2918</v>
      </c>
      <c r="C358" s="1046"/>
      <c r="D358" s="2468" t="s">
        <v>5039</v>
      </c>
      <c r="E358" s="290" t="s">
        <v>7326</v>
      </c>
      <c r="F358" s="80"/>
      <c r="G358" s="80" t="s">
        <v>191</v>
      </c>
      <c r="H358" s="340" t="s">
        <v>191</v>
      </c>
      <c r="I358" s="677">
        <f>L358+K358+J358</f>
        <v>1.5</v>
      </c>
      <c r="J358" s="677">
        <f>SUM(M358:R358)</f>
        <v>1.5</v>
      </c>
      <c r="K358" s="678"/>
      <c r="L358" s="678"/>
      <c r="M358" s="677"/>
      <c r="N358" s="677">
        <f>SUM(N359:N362)</f>
        <v>1.3</v>
      </c>
      <c r="O358" s="560"/>
      <c r="P358" s="677"/>
      <c r="Q358" s="861">
        <f>SUM(Q359:Q362)</f>
        <v>0.2</v>
      </c>
      <c r="R358" s="871"/>
      <c r="S358" s="669"/>
      <c r="T358" s="668"/>
      <c r="U358" s="669"/>
      <c r="V358" s="669"/>
      <c r="W358" s="669"/>
      <c r="X358" s="669"/>
      <c r="Y358" s="669"/>
      <c r="Z358" s="670"/>
      <c r="AB358" s="3">
        <v>1</v>
      </c>
    </row>
    <row r="359" spans="1:32" x14ac:dyDescent="0.35">
      <c r="A359" s="1125"/>
      <c r="B359" s="1046" t="s">
        <v>2918</v>
      </c>
      <c r="C359" s="1046"/>
      <c r="D359" s="1126"/>
      <c r="E359" s="2346" t="s">
        <v>1966</v>
      </c>
      <c r="F359" s="80">
        <v>5</v>
      </c>
      <c r="G359" s="80">
        <v>5</v>
      </c>
      <c r="H359" s="340">
        <v>6</v>
      </c>
      <c r="I359" s="1124"/>
      <c r="J359" s="1124"/>
      <c r="K359" s="1128"/>
      <c r="L359" s="1128"/>
      <c r="M359" s="1128"/>
      <c r="N359" s="1128">
        <v>0.8</v>
      </c>
      <c r="O359" s="1129"/>
      <c r="P359" s="1128"/>
      <c r="Q359" s="957"/>
      <c r="R359" s="1214"/>
      <c r="S359" s="1127"/>
      <c r="T359" s="1130"/>
      <c r="U359" s="1127"/>
      <c r="V359" s="1127"/>
      <c r="W359" s="1127"/>
      <c r="X359" s="1127"/>
      <c r="Y359" s="1127"/>
      <c r="Z359" s="1131"/>
    </row>
    <row r="360" spans="1:32" ht="46.5" x14ac:dyDescent="0.35">
      <c r="A360" s="1125"/>
      <c r="B360" s="1046" t="s">
        <v>2918</v>
      </c>
      <c r="C360" s="1046"/>
      <c r="D360" s="1126"/>
      <c r="E360" s="1132" t="s">
        <v>9997</v>
      </c>
      <c r="F360" s="81"/>
      <c r="G360" s="81" t="s">
        <v>191</v>
      </c>
      <c r="H360" s="2429" t="s">
        <v>191</v>
      </c>
      <c r="I360" s="1124"/>
      <c r="J360" s="1124"/>
      <c r="K360" s="1128"/>
      <c r="L360" s="1128"/>
      <c r="M360" s="1128"/>
      <c r="N360" s="679"/>
      <c r="O360" s="1129"/>
      <c r="P360" s="1128"/>
      <c r="Q360" s="1215"/>
      <c r="R360" s="1214"/>
      <c r="S360" s="1127"/>
      <c r="T360" s="1130"/>
      <c r="U360" s="1127"/>
      <c r="V360" s="1127"/>
      <c r="W360" s="1127"/>
      <c r="X360" s="1127"/>
      <c r="Y360" s="1127"/>
      <c r="Z360" s="1131"/>
    </row>
    <row r="361" spans="1:32" x14ac:dyDescent="0.35">
      <c r="A361" s="1125"/>
      <c r="B361" s="1046"/>
      <c r="C361" s="1046"/>
      <c r="D361" s="1126"/>
      <c r="E361" s="2346" t="s">
        <v>2282</v>
      </c>
      <c r="F361" s="80">
        <v>5</v>
      </c>
      <c r="G361" s="80">
        <v>5</v>
      </c>
      <c r="H361" s="340">
        <v>6</v>
      </c>
      <c r="I361" s="2345"/>
      <c r="J361" s="2345"/>
      <c r="K361" s="1128"/>
      <c r="L361" s="1128"/>
      <c r="M361" s="1128"/>
      <c r="N361" s="679">
        <v>0.5</v>
      </c>
      <c r="O361" s="1129"/>
      <c r="P361" s="1128"/>
      <c r="Q361" s="1215"/>
      <c r="R361" s="1214"/>
      <c r="S361" s="1127"/>
      <c r="T361" s="1130"/>
      <c r="U361" s="1127"/>
      <c r="V361" s="1127"/>
      <c r="W361" s="1127"/>
      <c r="X361" s="1127"/>
      <c r="Y361" s="1127"/>
      <c r="Z361" s="1131"/>
    </row>
    <row r="362" spans="1:32" ht="16" thickBot="1" x14ac:dyDescent="0.4">
      <c r="A362" s="2537"/>
      <c r="B362" s="2538"/>
      <c r="C362" s="2538"/>
      <c r="D362" s="2539"/>
      <c r="E362" s="2540" t="s">
        <v>2281</v>
      </c>
      <c r="F362" s="2551">
        <v>5</v>
      </c>
      <c r="G362" s="2551">
        <v>5</v>
      </c>
      <c r="H362" s="2541">
        <v>6</v>
      </c>
      <c r="I362" s="2542"/>
      <c r="J362" s="2542"/>
      <c r="K362" s="2543"/>
      <c r="L362" s="2543"/>
      <c r="M362" s="2543"/>
      <c r="N362" s="2544"/>
      <c r="O362" s="2545"/>
      <c r="P362" s="2543"/>
      <c r="Q362" s="2546">
        <v>0.2</v>
      </c>
      <c r="R362" s="2547"/>
      <c r="S362" s="2548"/>
      <c r="T362" s="2549"/>
      <c r="U362" s="2548"/>
      <c r="V362" s="2548"/>
      <c r="W362" s="2548"/>
      <c r="X362" s="2548"/>
      <c r="Y362" s="2548"/>
      <c r="Z362" s="2550"/>
    </row>
  </sheetData>
  <autoFilter ref="A29:AB362"/>
  <mergeCells count="35">
    <mergeCell ref="U6:V6"/>
    <mergeCell ref="U7:U8"/>
    <mergeCell ref="V7:V8"/>
    <mergeCell ref="N6:N8"/>
    <mergeCell ref="O6:O8"/>
    <mergeCell ref="W7:W8"/>
    <mergeCell ref="A5:A8"/>
    <mergeCell ref="D5:D8"/>
    <mergeCell ref="E5:E8"/>
    <mergeCell ref="F5:F8"/>
    <mergeCell ref="B5:B8"/>
    <mergeCell ref="H5:H8"/>
    <mergeCell ref="I5:L5"/>
    <mergeCell ref="I6:I8"/>
    <mergeCell ref="S5:V5"/>
    <mergeCell ref="J6:J8"/>
    <mergeCell ref="K6:K8"/>
    <mergeCell ref="L6:L8"/>
    <mergeCell ref="M5:R5"/>
    <mergeCell ref="X7:X8"/>
    <mergeCell ref="R6:R8"/>
    <mergeCell ref="S6:T6"/>
    <mergeCell ref="A2:Z2"/>
    <mergeCell ref="A3:Z3"/>
    <mergeCell ref="W6:X6"/>
    <mergeCell ref="Y6:Z6"/>
    <mergeCell ref="P6:P8"/>
    <mergeCell ref="Q6:Q8"/>
    <mergeCell ref="G5:G8"/>
    <mergeCell ref="S7:S8"/>
    <mergeCell ref="T7:T8"/>
    <mergeCell ref="Y7:Y8"/>
    <mergeCell ref="Z7:Z8"/>
    <mergeCell ref="W5:Z5"/>
    <mergeCell ref="M6:M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7" fitToHeight="0" orientation="landscape" r:id="rId1"/>
  <headerFooter alignWithMargins="0">
    <oddFooter>&amp;L&amp;"Times New Roman,обычный"&amp;10Костюковичское ДРСУ-130&amp;R&amp;"Times New Roman,обычный"&amp;10&amp;P</oddFooter>
  </headerFooter>
  <rowBreaks count="5" manualBreakCount="5">
    <brk id="47" max="24" man="1"/>
    <brk id="116" max="24" man="1"/>
    <brk id="186" max="24" man="1"/>
    <brk id="230" max="24" man="1"/>
    <brk id="306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M467"/>
  <sheetViews>
    <sheetView zoomScale="90" zoomScaleNormal="90" workbookViewId="0">
      <pane xSplit="5" ySplit="10" topLeftCell="F15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RowHeight="15.5" x14ac:dyDescent="0.25"/>
  <cols>
    <col min="1" max="1" width="4.4140625" customWidth="1"/>
    <col min="2" max="3" width="7.25" hidden="1" customWidth="1"/>
    <col min="4" max="4" width="7.25" customWidth="1"/>
    <col min="5" max="5" width="43.4140625" customWidth="1"/>
    <col min="6" max="6" width="6.75" customWidth="1"/>
    <col min="7" max="8" width="7.08203125" customWidth="1"/>
    <col min="9" max="9" width="7.25" customWidth="1"/>
    <col min="10" max="10" width="7.33203125" customWidth="1"/>
    <col min="11" max="11" width="6.75" customWidth="1"/>
    <col min="12" max="13" width="6.6640625" customWidth="1"/>
    <col min="14" max="14" width="7.33203125" customWidth="1"/>
    <col min="15" max="16" width="6.75" customWidth="1"/>
    <col min="17" max="17" width="7.08203125" customWidth="1"/>
    <col min="18" max="18" width="7.33203125" customWidth="1"/>
    <col min="19" max="19" width="4.4140625" style="64" customWidth="1"/>
    <col min="20" max="20" width="7.25" style="64" customWidth="1"/>
    <col min="21" max="21" width="4.58203125" style="64" customWidth="1"/>
    <col min="22" max="22" width="5.6640625" style="64" customWidth="1"/>
    <col min="23" max="23" width="4.58203125" style="7" customWidth="1"/>
    <col min="24" max="24" width="7.6640625" style="7" customWidth="1"/>
    <col min="25" max="25" width="4.58203125" style="7" customWidth="1"/>
    <col min="26" max="26" width="7.6640625" style="7" customWidth="1"/>
    <col min="37" max="37" width="22.08203125" customWidth="1"/>
  </cols>
  <sheetData>
    <row r="1" spans="1:39" x14ac:dyDescent="0.35">
      <c r="A1" s="1"/>
      <c r="B1" s="1"/>
      <c r="C1" s="1"/>
      <c r="D1" s="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  <c r="Y1" s="6"/>
      <c r="Z1" s="6"/>
    </row>
    <row r="2" spans="1:39" ht="20" x14ac:dyDescent="0.25">
      <c r="A2" s="3121" t="s">
        <v>10981</v>
      </c>
      <c r="B2" s="3121"/>
      <c r="C2" s="3121"/>
      <c r="D2" s="3121"/>
      <c r="E2" s="3121"/>
      <c r="F2" s="3121"/>
      <c r="G2" s="3121"/>
      <c r="H2" s="3121"/>
      <c r="I2" s="3121"/>
      <c r="J2" s="3121"/>
      <c r="K2" s="3121"/>
      <c r="L2" s="3121"/>
      <c r="M2" s="3121"/>
      <c r="N2" s="3121"/>
      <c r="O2" s="3121"/>
      <c r="P2" s="3121"/>
      <c r="Q2" s="3121"/>
      <c r="R2" s="3121"/>
      <c r="S2" s="3121"/>
      <c r="T2" s="3121"/>
      <c r="U2" s="3121"/>
      <c r="V2" s="3121"/>
      <c r="W2" s="3121"/>
      <c r="X2" s="3121"/>
      <c r="Y2" s="3121"/>
      <c r="Z2" s="3121"/>
    </row>
    <row r="3" spans="1:39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27"/>
      <c r="B4" s="27"/>
      <c r="C4" s="27"/>
      <c r="D4" s="29"/>
      <c r="E4" s="28"/>
      <c r="F4" s="27"/>
      <c r="G4" s="27"/>
      <c r="H4" s="27"/>
      <c r="I4" s="27"/>
      <c r="J4" s="2309"/>
      <c r="K4" s="27"/>
      <c r="L4" s="27"/>
      <c r="M4" s="27"/>
      <c r="N4" s="27"/>
      <c r="O4" s="27"/>
      <c r="P4" s="3"/>
      <c r="Q4" s="3"/>
      <c r="R4" s="2307"/>
      <c r="S4" s="7"/>
      <c r="T4" s="7"/>
      <c r="U4" s="7"/>
      <c r="V4" s="7"/>
      <c r="W4" s="2065"/>
      <c r="X4" s="2066"/>
    </row>
    <row r="5" spans="1:39" ht="15.75" customHeight="1" x14ac:dyDescent="0.3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3" customHeight="1" x14ac:dyDescent="0.2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2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thickBot="1" x14ac:dyDescent="0.3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.5" customHeight="1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thickBot="1" x14ac:dyDescent="0.35">
      <c r="A10" s="450"/>
      <c r="B10" s="1267"/>
      <c r="C10" s="1267"/>
      <c r="D10" s="462"/>
      <c r="E10" s="1207" t="s">
        <v>2392</v>
      </c>
      <c r="F10" s="1207"/>
      <c r="G10" s="848"/>
      <c r="H10" s="848"/>
      <c r="I10" s="845">
        <f>J10+K10+L10</f>
        <v>420.57299999999992</v>
      </c>
      <c r="J10" s="845">
        <f>M10+N10+O10+P10+Q10+R10</f>
        <v>420.39299999999992</v>
      </c>
      <c r="K10" s="845">
        <f t="shared" ref="K10:R10" si="0">K11+K12+K13+K14</f>
        <v>0</v>
      </c>
      <c r="L10" s="845">
        <f t="shared" si="0"/>
        <v>0.1800000000000006</v>
      </c>
      <c r="M10" s="845">
        <f t="shared" si="0"/>
        <v>0</v>
      </c>
      <c r="N10" s="845">
        <f t="shared" si="0"/>
        <v>144.024</v>
      </c>
      <c r="O10" s="845">
        <f t="shared" si="0"/>
        <v>0</v>
      </c>
      <c r="P10" s="845">
        <f t="shared" si="0"/>
        <v>0</v>
      </c>
      <c r="Q10" s="858">
        <f t="shared" si="0"/>
        <v>121.679</v>
      </c>
      <c r="R10" s="868">
        <f t="shared" si="0"/>
        <v>154.68999999999997</v>
      </c>
      <c r="S10" s="846">
        <f t="shared" ref="S10:Z10" si="1">SUM(S30:S962)</f>
        <v>9</v>
      </c>
      <c r="T10" s="847">
        <f t="shared" si="1"/>
        <v>240.60000000000002</v>
      </c>
      <c r="U10" s="846">
        <f t="shared" si="1"/>
        <v>0</v>
      </c>
      <c r="V10" s="847">
        <f t="shared" si="1"/>
        <v>0</v>
      </c>
      <c r="W10" s="846">
        <f t="shared" si="1"/>
        <v>440</v>
      </c>
      <c r="X10" s="847">
        <f t="shared" si="1"/>
        <v>6086.3499999999985</v>
      </c>
      <c r="Y10" s="846">
        <f t="shared" si="1"/>
        <v>81</v>
      </c>
      <c r="Z10" s="1669">
        <f t="shared" si="1"/>
        <v>905.95</v>
      </c>
      <c r="AB10" s="846">
        <f>SUM(AB30:AB302)</f>
        <v>181</v>
      </c>
      <c r="AK10" s="2150" t="s">
        <v>11226</v>
      </c>
      <c r="AL10" s="43"/>
      <c r="AM10" s="2812" t="s">
        <v>11227</v>
      </c>
    </row>
    <row r="11" spans="1:39" ht="15" x14ac:dyDescent="0.3">
      <c r="A11" s="182"/>
      <c r="B11" s="992"/>
      <c r="C11" s="992"/>
      <c r="D11" s="183"/>
      <c r="E11" s="1264" t="s">
        <v>909</v>
      </c>
      <c r="F11" s="1245">
        <v>3</v>
      </c>
      <c r="G11" s="1245"/>
      <c r="H11" s="1245"/>
      <c r="I11" s="1276"/>
      <c r="J11" s="1276"/>
      <c r="K11" s="1276"/>
      <c r="L11" s="1276"/>
      <c r="M11" s="1276"/>
      <c r="N11" s="1276"/>
      <c r="O11" s="1276"/>
      <c r="P11" s="1276"/>
      <c r="Q11" s="1278"/>
      <c r="R11" s="1279"/>
      <c r="S11" s="186"/>
      <c r="T11" s="271"/>
      <c r="U11" s="540"/>
      <c r="V11" s="540"/>
      <c r="W11" s="188"/>
      <c r="X11" s="271"/>
      <c r="Y11" s="186"/>
      <c r="Z11" s="272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832">
        <f t="shared" ref="I12:I20" si="2">J12+K12+L12</f>
        <v>103.09800000000001</v>
      </c>
      <c r="J12" s="1281">
        <f t="shared" ref="J12:J20" si="3">R12+Q12+P12+O12+N12+M12</f>
        <v>103.09800000000001</v>
      </c>
      <c r="K12" s="1281">
        <f>SUMIF(F30:F904,4,K30:K904)</f>
        <v>0</v>
      </c>
      <c r="L12" s="1281">
        <f>SUMIF(F30:F904,4,L30:L904)</f>
        <v>0</v>
      </c>
      <c r="M12" s="1281">
        <f>SUMIF(F30:F904,4,M30:M904)</f>
        <v>0</v>
      </c>
      <c r="N12" s="1281">
        <f>SUMIF(F30:F904,4,N30:N904)</f>
        <v>76.40300000000002</v>
      </c>
      <c r="O12" s="1281">
        <f>SUMIF(F30:F904,4,O30:O904)</f>
        <v>0</v>
      </c>
      <c r="P12" s="1281">
        <f>SUMIF(F30:F904,4,P30:P904)</f>
        <v>0</v>
      </c>
      <c r="Q12" s="1283">
        <f>SUMIF(F30:F904,4,Q30:Q904)</f>
        <v>26.695</v>
      </c>
      <c r="R12" s="1284">
        <f>SUMIF(F30:F904,4,R30:R904)</f>
        <v>0</v>
      </c>
      <c r="S12" s="286"/>
      <c r="T12" s="136"/>
      <c r="U12" s="541"/>
      <c r="V12" s="541"/>
      <c r="W12" s="228"/>
      <c r="X12" s="136"/>
      <c r="Y12" s="286"/>
      <c r="Z12" s="276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ht="15" x14ac:dyDescent="0.3">
      <c r="A13" s="285"/>
      <c r="B13" s="993"/>
      <c r="C13" s="993"/>
      <c r="D13" s="274"/>
      <c r="E13" s="640"/>
      <c r="F13" s="1249">
        <v>5</v>
      </c>
      <c r="G13" s="1249"/>
      <c r="H13" s="1249"/>
      <c r="I13" s="1280">
        <f t="shared" si="2"/>
        <v>158.24599999999998</v>
      </c>
      <c r="J13" s="1281">
        <f t="shared" si="3"/>
        <v>158.06599999999997</v>
      </c>
      <c r="K13" s="1281">
        <f>SUMIF(F30:F904,5,K30:K904)</f>
        <v>0</v>
      </c>
      <c r="L13" s="1281">
        <f>SUMIF(F30:F904,5,L30:L904)</f>
        <v>0.1800000000000006</v>
      </c>
      <c r="M13" s="1281">
        <f>SUMIF(F30:F904,5,M30:M904)</f>
        <v>0</v>
      </c>
      <c r="N13" s="1281">
        <f>SUMIF(F30:F904,5,N30:N904)</f>
        <v>49.965999999999994</v>
      </c>
      <c r="O13" s="1281">
        <f>SUMIF(F30:F904,5,O30:O904)</f>
        <v>0</v>
      </c>
      <c r="P13" s="1281">
        <f>SUMIF(F30:F904,5,P30:P904)</f>
        <v>0</v>
      </c>
      <c r="Q13" s="1283">
        <f>SUMIF(F30:F904,5,Q30:Q904)</f>
        <v>85.059999999999988</v>
      </c>
      <c r="R13" s="1284">
        <f>SUMIF(F30:F904,5,R30:R904)</f>
        <v>23.04</v>
      </c>
      <c r="S13" s="286"/>
      <c r="T13" s="136"/>
      <c r="U13" s="541"/>
      <c r="V13" s="541"/>
      <c r="W13" s="228"/>
      <c r="X13" s="136"/>
      <c r="Y13" s="286"/>
      <c r="Z13" s="276"/>
      <c r="AD13" s="2777" t="s">
        <v>11126</v>
      </c>
      <c r="AE13" s="2776"/>
      <c r="AF13" s="2778">
        <v>79</v>
      </c>
      <c r="AG13" s="2783">
        <f>M12+N12+O12</f>
        <v>76.40300000000002</v>
      </c>
      <c r="AH13" s="2783">
        <f>M13+N13+O13</f>
        <v>49.965999999999994</v>
      </c>
      <c r="AI13" s="2784">
        <f>M14+N14+O14</f>
        <v>17.655000000000001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 t="shared" si="2"/>
        <v>159.22899999999998</v>
      </c>
      <c r="J14" s="1250">
        <f t="shared" si="3"/>
        <v>159.22899999999998</v>
      </c>
      <c r="K14" s="1250">
        <f>K15+K16+K17</f>
        <v>0</v>
      </c>
      <c r="L14" s="1250">
        <f>L15+L16+L17</f>
        <v>0</v>
      </c>
      <c r="M14" s="1250">
        <f t="shared" ref="M14:R14" si="4">M15+M16+M17</f>
        <v>0</v>
      </c>
      <c r="N14" s="1250">
        <f t="shared" si="4"/>
        <v>17.655000000000001</v>
      </c>
      <c r="O14" s="1251">
        <f t="shared" si="4"/>
        <v>0</v>
      </c>
      <c r="P14" s="1317">
        <f t="shared" si="4"/>
        <v>0</v>
      </c>
      <c r="Q14" s="1252">
        <f t="shared" si="4"/>
        <v>9.9239999999999995</v>
      </c>
      <c r="R14" s="1256">
        <f t="shared" si="4"/>
        <v>131.64999999999998</v>
      </c>
      <c r="S14" s="286"/>
      <c r="T14" s="136"/>
      <c r="U14" s="541"/>
      <c r="V14" s="541"/>
      <c r="W14" s="228"/>
      <c r="X14" s="136"/>
      <c r="Y14" s="286"/>
      <c r="Z14" s="276"/>
      <c r="AD14" s="2777" t="s">
        <v>11127</v>
      </c>
      <c r="AE14" s="2776"/>
      <c r="AF14" s="2778">
        <v>80</v>
      </c>
      <c r="AG14" s="2785">
        <f>P12+Q12</f>
        <v>26.695</v>
      </c>
      <c r="AH14" s="2785">
        <f>P13+Q13</f>
        <v>85.059999999999988</v>
      </c>
      <c r="AI14" s="2786">
        <f>P14+Q14</f>
        <v>9.9239999999999995</v>
      </c>
      <c r="AK14" s="2815" t="s">
        <v>11230</v>
      </c>
      <c r="AL14" s="2579">
        <f>SUMIFS(M30:M952,F30:F952,4,G30:G952,3)</f>
        <v>0</v>
      </c>
      <c r="AM14" s="2817"/>
    </row>
    <row r="15" spans="1:39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 t="shared" si="2"/>
        <v>68.998999999999995</v>
      </c>
      <c r="J15" s="1318">
        <f t="shared" si="3"/>
        <v>68.998999999999995</v>
      </c>
      <c r="K15" s="1318">
        <f>SUMIF(F30:F954,"=6а",K30:K954)</f>
        <v>0</v>
      </c>
      <c r="L15" s="1318">
        <f>SUMIF(F30:F954,"=6а",L30:L954)</f>
        <v>0</v>
      </c>
      <c r="M15" s="1318">
        <f>SUMIF(F30:F954,"=6а",M30:M954)</f>
        <v>0</v>
      </c>
      <c r="N15" s="1318">
        <f>SUMIF(F30:F954,"=6а",N30:N954)</f>
        <v>16.46</v>
      </c>
      <c r="O15" s="1319">
        <f>SUMIF(F30:F954,"=6а",O30:O954)</f>
        <v>0</v>
      </c>
      <c r="P15" s="1320">
        <f>SUMIF(F30:F954,"=6а",P30:P954)</f>
        <v>0</v>
      </c>
      <c r="Q15" s="1321">
        <f>SUMIF(F30:F954,"=6а",Q30:Q954)</f>
        <v>8.6739999999999995</v>
      </c>
      <c r="R15" s="1322">
        <f>SUMIF(F30:F954,"=6а",R30:R954)</f>
        <v>43.865000000000002</v>
      </c>
      <c r="S15" s="286"/>
      <c r="T15" s="136"/>
      <c r="U15" s="541"/>
      <c r="V15" s="541"/>
      <c r="W15" s="228"/>
      <c r="X15" s="136"/>
      <c r="Y15" s="286"/>
      <c r="Z15" s="276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23.04</v>
      </c>
      <c r="AI15" s="2788">
        <f>R14</f>
        <v>131.64999999999998</v>
      </c>
      <c r="AK15" s="2815" t="s">
        <v>11231</v>
      </c>
      <c r="AL15" s="2579">
        <f>SUMIFS(N30:N952,F30:F952,4,G30:G952,3)</f>
        <v>0</v>
      </c>
      <c r="AM15" s="2817"/>
    </row>
    <row r="16" spans="1:39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 t="shared" si="2"/>
        <v>12.679999999999998</v>
      </c>
      <c r="J16" s="1318">
        <f t="shared" si="3"/>
        <v>12.679999999999998</v>
      </c>
      <c r="K16" s="1318">
        <f>SUMIF(F30:F955,"=6б",K30:K955)</f>
        <v>0</v>
      </c>
      <c r="L16" s="1318">
        <f>SUMIF(F30:F955,"=6б",L30:L955)</f>
        <v>0</v>
      </c>
      <c r="M16" s="1318">
        <f>SUMIF(F30:F955,"=6б",M30:M955)</f>
        <v>0</v>
      </c>
      <c r="N16" s="1318">
        <f>SUMIF(F30:F955,"=6б",N30:N955)</f>
        <v>0.57499999999999996</v>
      </c>
      <c r="O16" s="1319">
        <f>SUMIF(F30:F955,"=6б",O30:O955)</f>
        <v>0</v>
      </c>
      <c r="P16" s="1320">
        <f>SUMIF(F30:F955,"=6б",P30:P955)</f>
        <v>0</v>
      </c>
      <c r="Q16" s="1321">
        <f>SUMIF(F30:F955,"=6б",Q30:Q955)</f>
        <v>0.45</v>
      </c>
      <c r="R16" s="1322">
        <f>SUMIF(F30:F955,"=6б",R30:R955)</f>
        <v>11.654999999999999</v>
      </c>
      <c r="S16" s="286"/>
      <c r="T16" s="136"/>
      <c r="U16" s="541"/>
      <c r="V16" s="541"/>
      <c r="W16" s="228"/>
      <c r="X16" s="136"/>
      <c r="Y16" s="286"/>
      <c r="Z16" s="276"/>
      <c r="AK16" s="2815" t="s">
        <v>11232</v>
      </c>
      <c r="AL16" s="2579">
        <f>SUMIFS(O30:O952,F30:F952,4,G30:G952,3)</f>
        <v>0</v>
      </c>
      <c r="AM16" s="2817"/>
    </row>
    <row r="17" spans="1:39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72">
        <f t="shared" si="2"/>
        <v>77.549999999999983</v>
      </c>
      <c r="J17" s="2272">
        <f t="shared" si="3"/>
        <v>77.549999999999983</v>
      </c>
      <c r="K17" s="2272">
        <f>SUMIF(F30:F956,"=б/к",K30:K956)</f>
        <v>0</v>
      </c>
      <c r="L17" s="2272">
        <f>SUMIF(F30:F956,"=б/к",L30:L956)</f>
        <v>0</v>
      </c>
      <c r="M17" s="2272">
        <f>SUMIF(F30:F956,"=б/к",M30:M956)</f>
        <v>0</v>
      </c>
      <c r="N17" s="2272">
        <f>SUMIF(F30:F956,"=б/к",N30:N956)</f>
        <v>0.62</v>
      </c>
      <c r="O17" s="2272">
        <f>SUMIF(F30:F956,"=б/к",O30:O956)</f>
        <v>0</v>
      </c>
      <c r="P17" s="2272">
        <f>SUMIF(F30:F956,"=б/к",P30:P956)</f>
        <v>0</v>
      </c>
      <c r="Q17" s="2273">
        <f>SUMIF(F30:F956,"=б/к",Q30:Q956)</f>
        <v>0.8</v>
      </c>
      <c r="R17" s="2274">
        <f>SUMIF(F30:F956,"=б/к",R30:R956)</f>
        <v>76.129999999999981</v>
      </c>
      <c r="S17" s="286"/>
      <c r="T17" s="136"/>
      <c r="U17" s="541"/>
      <c r="V17" s="541"/>
      <c r="W17" s="228"/>
      <c r="X17" s="136"/>
      <c r="Y17" s="286"/>
      <c r="Z17" s="276"/>
      <c r="AK17" s="2815" t="s">
        <v>11233</v>
      </c>
      <c r="AL17" s="2579">
        <f>SUMIFS(P30:P952,F30:F952,4,G30:G952,3)+SUMIFS(Q30:Q952,F30:F952,4,G30:G952,3)</f>
        <v>0</v>
      </c>
      <c r="AM17" s="2817"/>
    </row>
    <row r="18" spans="1:39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286">
        <f t="shared" si="2"/>
        <v>0</v>
      </c>
      <c r="J18" s="1286">
        <f t="shared" si="3"/>
        <v>0</v>
      </c>
      <c r="K18" s="1286">
        <f>SUMIF(G30:G904,3,K30:K904)</f>
        <v>0</v>
      </c>
      <c r="L18" s="1286">
        <f>SUMIF(G30:G904,3,L30:L904)</f>
        <v>0</v>
      </c>
      <c r="M18" s="1286">
        <f>SUMIF(G30:G904,3,M30:M904)</f>
        <v>0</v>
      </c>
      <c r="N18" s="1286">
        <f>SUMIF(G30:G904,3,N30:N904)</f>
        <v>0</v>
      </c>
      <c r="O18" s="1286">
        <f>SUMIF(G30:G904,3,O30:O904)</f>
        <v>0</v>
      </c>
      <c r="P18" s="1286">
        <f>SUMIF(G30:G904,3,P30:P904)</f>
        <v>0</v>
      </c>
      <c r="Q18" s="1288">
        <f>SUMIF(G30:G904,3,Q30:Q904)</f>
        <v>0</v>
      </c>
      <c r="R18" s="1289">
        <f>SUMIF(G30:G904,3,R30:R904)</f>
        <v>0</v>
      </c>
      <c r="S18" s="286"/>
      <c r="T18" s="136"/>
      <c r="U18" s="541"/>
      <c r="V18" s="541"/>
      <c r="W18" s="228"/>
      <c r="X18" s="136"/>
      <c r="Y18" s="286"/>
      <c r="Z18" s="276"/>
      <c r="AK18" s="2815" t="s">
        <v>910</v>
      </c>
      <c r="AL18" s="2579">
        <f>SUMIFS(R30:R952,F30:F952,4,G30:G952,3)</f>
        <v>0</v>
      </c>
      <c r="AM18" s="2817"/>
    </row>
    <row r="19" spans="1:39" ht="15" x14ac:dyDescent="0.3">
      <c r="A19" s="285"/>
      <c r="B19" s="993"/>
      <c r="C19" s="993"/>
      <c r="D19" s="274"/>
      <c r="E19" s="98"/>
      <c r="F19" s="1240"/>
      <c r="G19" s="1241">
        <v>4</v>
      </c>
      <c r="H19" s="1241"/>
      <c r="I19" s="1286">
        <f t="shared" si="2"/>
        <v>97.493000000000023</v>
      </c>
      <c r="J19" s="1286">
        <f t="shared" si="3"/>
        <v>97.493000000000023</v>
      </c>
      <c r="K19" s="1286">
        <f>SUMIF(G30:G904,4,K30:K904)</f>
        <v>0</v>
      </c>
      <c r="L19" s="1286">
        <f>SUMIF(G30:G904,4,L30:L904)</f>
        <v>0</v>
      </c>
      <c r="M19" s="1286">
        <f>SUMIF(G30:G904,4,M30:M904)</f>
        <v>0</v>
      </c>
      <c r="N19" s="1286">
        <f>SUMIF(G30:G904,4,N30:N904)</f>
        <v>90.773000000000025</v>
      </c>
      <c r="O19" s="1286">
        <f>SUMIF(G30:G904,4,O30:O904)</f>
        <v>0</v>
      </c>
      <c r="P19" s="1286">
        <f>SUMIF(G30:G904,4,P30:P904)</f>
        <v>0</v>
      </c>
      <c r="Q19" s="1288">
        <f>SUMIF(G30:G904,4,Q30:Q904)</f>
        <v>6.7200000000000015</v>
      </c>
      <c r="R19" s="1289">
        <f>SUMIF(G30:G904,4,R30:R904)</f>
        <v>0</v>
      </c>
      <c r="S19" s="286"/>
      <c r="T19" s="136"/>
      <c r="U19" s="541"/>
      <c r="V19" s="541"/>
      <c r="W19" s="228"/>
      <c r="X19" s="136"/>
      <c r="Y19" s="286"/>
      <c r="Z19" s="276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285"/>
      <c r="B20" s="993"/>
      <c r="C20" s="993"/>
      <c r="D20" s="274"/>
      <c r="E20" s="98"/>
      <c r="F20" s="1240"/>
      <c r="G20" s="1241">
        <v>5</v>
      </c>
      <c r="H20" s="1241"/>
      <c r="I20" s="1286">
        <f t="shared" si="2"/>
        <v>323.08</v>
      </c>
      <c r="J20" s="1286">
        <f t="shared" si="3"/>
        <v>322.89999999999998</v>
      </c>
      <c r="K20" s="1286">
        <f>SUMIF(G30:G904,5,K30:K904)</f>
        <v>0</v>
      </c>
      <c r="L20" s="1286">
        <f>SUMIF(G30:G904,5,L30:L904)</f>
        <v>0.1800000000000006</v>
      </c>
      <c r="M20" s="1286">
        <f>SUMIF(G30:G904,5,M30:M904)</f>
        <v>0</v>
      </c>
      <c r="N20" s="1286">
        <f>SUMIF(G30:G904,5,N30:N904)</f>
        <v>53.250999999999991</v>
      </c>
      <c r="O20" s="1286">
        <f>SUMIF(G30:G904,5,O30:O904)</f>
        <v>0</v>
      </c>
      <c r="P20" s="1286">
        <f>SUMIF(G30:G904,5,P30:P904)</f>
        <v>0</v>
      </c>
      <c r="Q20" s="1288">
        <f>SUMIF(G30:G904,5,Q30:Q904)</f>
        <v>114.959</v>
      </c>
      <c r="R20" s="1289">
        <f>SUMIF(G30:G904,5,R30:R904)</f>
        <v>154.69000000000003</v>
      </c>
      <c r="S20" s="286"/>
      <c r="T20" s="136"/>
      <c r="U20" s="541"/>
      <c r="V20" s="541"/>
      <c r="W20" s="228"/>
      <c r="X20" s="136"/>
      <c r="Y20" s="286"/>
      <c r="Z20" s="276"/>
      <c r="AK20" s="2815" t="s">
        <v>11230</v>
      </c>
      <c r="AL20" s="2579">
        <f>SUMIFS(M30:M952,F30:F952,5,G30:G952,3)</f>
        <v>0</v>
      </c>
      <c r="AM20" s="2817"/>
    </row>
    <row r="21" spans="1:39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SUMIFS(N30:N952,F30:F952,5,G30:G952,3)</f>
        <v>0</v>
      </c>
      <c r="AM21" s="2817"/>
    </row>
    <row r="22" spans="1:39" x14ac:dyDescent="0.35">
      <c r="A22" s="285"/>
      <c r="B22" s="993"/>
      <c r="C22" s="993"/>
      <c r="D22" s="538">
        <f>SUMIF(C30:C886,"=сад",AB30:AB886)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SUMIF(C30:C886,"=сад",K30:K886)</f>
        <v>0</v>
      </c>
      <c r="L22" s="2247">
        <f>SUMIF(C30:C886,"=сад",L30:L886)</f>
        <v>0</v>
      </c>
      <c r="M22" s="2247">
        <f>SUMIF(C30:C886,"=сад",M30:M886)</f>
        <v>0</v>
      </c>
      <c r="N22" s="2247">
        <f>SUMIF(C30:C886,"=сад",N30:N886)</f>
        <v>0</v>
      </c>
      <c r="O22" s="2248">
        <f>SUMIF(C30:C886,"=сад",O30:O886)</f>
        <v>0</v>
      </c>
      <c r="P22" s="2247">
        <f>SUMIF(C30:C886,"=сад",P30:P886)</f>
        <v>0</v>
      </c>
      <c r="Q22" s="2249">
        <f>SUMIF(C30:C886,"=сад",Q30:Q886)</f>
        <v>0</v>
      </c>
      <c r="R22" s="2250">
        <f>SUMIF(C30:C886,"=сад",R30:R886)</f>
        <v>0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SUMIFS(O30:O952,F30:F952,5,G30:G952,3)</f>
        <v>0</v>
      </c>
      <c r="AM22" s="2817"/>
    </row>
    <row r="23" spans="1:39" x14ac:dyDescent="0.35">
      <c r="A23" s="285"/>
      <c r="B23" s="993"/>
      <c r="C23" s="993"/>
      <c r="D23" s="538">
        <f>SUMIF(C30:C887,"=индив",AB30:AB887)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SUMIF(C30:C887,"=индив",K30:K887)</f>
        <v>0</v>
      </c>
      <c r="L23" s="2247">
        <f>SUMIF(C30:C887,"=индив",L30:L887)</f>
        <v>0</v>
      </c>
      <c r="M23" s="2247">
        <f>SUMIF(C30:C887,"=индив",M30:M887)</f>
        <v>0</v>
      </c>
      <c r="N23" s="2247">
        <f>SUMIF(C30:C887,"=индив",N30:N887)</f>
        <v>0</v>
      </c>
      <c r="O23" s="2248">
        <f>SUMIF(C30:C887,"=индив",O30:O887)</f>
        <v>0</v>
      </c>
      <c r="P23" s="2247">
        <f>SUMIF(C30:C887,"=индив",P30:P887)</f>
        <v>0</v>
      </c>
      <c r="Q23" s="2249">
        <f>SUMIF(C30:C887,"=индив",Q30:Q887)</f>
        <v>0</v>
      </c>
      <c r="R23" s="2250">
        <f>SUMIF(C30:C887,"=индив",R30:R887)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SUMIFS(P30:P952,F30:F952,5,G30:G952,3)+SUMIFS(Q30:Q952,F30:F952,5,G30:G952,3)</f>
        <v>0</v>
      </c>
      <c r="AM23" s="2817"/>
    </row>
    <row r="24" spans="1:39" x14ac:dyDescent="0.35">
      <c r="A24" s="285"/>
      <c r="B24" s="993"/>
      <c r="C24" s="993"/>
      <c r="D24" s="538">
        <f>SUMIF(C30:C888,"=кладб",AB30:AB888)</f>
        <v>96</v>
      </c>
      <c r="E24" s="2241" t="s">
        <v>2761</v>
      </c>
      <c r="F24" s="98"/>
      <c r="G24" s="226"/>
      <c r="H24" s="226"/>
      <c r="I24" s="2247">
        <f>J24+K24+L24</f>
        <v>95.593999999999966</v>
      </c>
      <c r="J24" s="2247">
        <f>R24+Q24+P24+O24+N24+M24</f>
        <v>95.593999999999966</v>
      </c>
      <c r="K24" s="2247">
        <f>SUMIF(C30:C888,"=кладб",K30:K888)</f>
        <v>0</v>
      </c>
      <c r="L24" s="2247">
        <f>SUMIF(C30:C888,"=кладб",L30:L888)</f>
        <v>0</v>
      </c>
      <c r="M24" s="2247">
        <f>SUMIF(C30:C888,"=кладб",M30:M888)</f>
        <v>0</v>
      </c>
      <c r="N24" s="2247">
        <f>SUMIF(C30:C888,"=кладб",N30:N888)</f>
        <v>5.8299999999999992</v>
      </c>
      <c r="O24" s="2248">
        <f>SUMIF(C30:C888,"=кладб",O30:O888)</f>
        <v>0</v>
      </c>
      <c r="P24" s="2247">
        <f>SUMIF(C30:C888,"=кладб",P30:P888)</f>
        <v>0</v>
      </c>
      <c r="Q24" s="2249">
        <f>SUMIF(C30:C888,"=кладб",Q30:Q888)</f>
        <v>5.9339999999999993</v>
      </c>
      <c r="R24" s="2250">
        <f>SUMIF(C30:C888,"=кладб",R30:R888)</f>
        <v>83.82999999999997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SUMIFS(R30:R952,F30:F952,5,G30:G952,3)</f>
        <v>0</v>
      </c>
      <c r="AM24" s="2817"/>
    </row>
    <row r="25" spans="1:39" x14ac:dyDescent="0.35">
      <c r="A25" s="387"/>
      <c r="B25" s="994"/>
      <c r="C25" s="994"/>
      <c r="D25" s="538">
        <f>SUMIF(C30:C889,"=прир",AB30:AB889)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SUMIF(C30:C889,"=прир",K30:K889)</f>
        <v>0</v>
      </c>
      <c r="L25" s="2259">
        <f>SUMIF(C30:C889,"=прир",L30:L889)</f>
        <v>0</v>
      </c>
      <c r="M25" s="2259">
        <f>SUMIF(C30:C889,"=прир",M30:M889)</f>
        <v>0</v>
      </c>
      <c r="N25" s="2259">
        <f>SUMIF(C30:C889,"=прир",N30:N889)</f>
        <v>0</v>
      </c>
      <c r="O25" s="2260">
        <f>SUMIF(C30:C889,"=прир",O30:O889)</f>
        <v>0</v>
      </c>
      <c r="P25" s="2259">
        <f>SUMIF(C30:C889,"=прир",P30:P889)</f>
        <v>0</v>
      </c>
      <c r="Q25" s="2261">
        <f>SUMIF(C30:C889,"=прир",Q30:Q889)</f>
        <v>0</v>
      </c>
      <c r="R25" s="2262">
        <f>SUMIF(C30:C889,"=прир",R30:R889)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x14ac:dyDescent="0.35">
      <c r="A26" s="387"/>
      <c r="B26" s="994"/>
      <c r="C26" s="994"/>
      <c r="D26" s="538">
        <f>SUMIF(C30:C890,"=ист",AB30:AB890)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SUMIF(C30:C890,"=ист",K30:K890)</f>
        <v>0</v>
      </c>
      <c r="L26" s="2259">
        <f>SUMIF(C30:C890,"=ист",L30:L890)</f>
        <v>0</v>
      </c>
      <c r="M26" s="2259">
        <f>SUMIF(C30:C890,"=ист",M30:M890)</f>
        <v>0</v>
      </c>
      <c r="N26" s="2259">
        <f>SUMIF(C30:C890,"=ист",N30:N890)</f>
        <v>0</v>
      </c>
      <c r="O26" s="2260">
        <f>SUMIF(C30:C890,"=ист",O30:O890)</f>
        <v>0</v>
      </c>
      <c r="P26" s="2259">
        <f>SUMIF(C30:C890,"=ист",P30:P890)</f>
        <v>0</v>
      </c>
      <c r="Q26" s="2261">
        <f>SUMIF(C30:C890,"=ист",Q30:Q890)</f>
        <v>0</v>
      </c>
      <c r="R26" s="2262">
        <f>SUMIF(C30:C890,"=ист",R30:R890)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SUMIFS(M30:M952,F30:F952,"6а",G30:G952,3)+SUMIFS(M30:M952,F30:F952,"6б",G30:G952,3)+SUMIFS(M30:M952,F30:F952,"б/к",G30:G952,3)</f>
        <v>0</v>
      </c>
      <c r="AM26" s="2817"/>
    </row>
    <row r="27" spans="1:39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SUMIFS(N30:N952,F30:F952,"6а",G30:G952,3)+SUMIFS(N30:N952,F30:F952,"6б",G30:G952,3)+SUMIFS(N30:N952,F30:F952,"б/к",G30:G952,3)</f>
        <v>0</v>
      </c>
      <c r="AM27" s="2817"/>
    </row>
    <row r="28" spans="1:39" ht="16" thickBot="1" x14ac:dyDescent="0.4">
      <c r="A28" s="450"/>
      <c r="B28" s="1267"/>
      <c r="C28" s="1267"/>
      <c r="D28" s="462"/>
      <c r="E28" s="451"/>
      <c r="F28" s="451"/>
      <c r="G28" s="481"/>
      <c r="H28" s="481"/>
      <c r="I28" s="2324">
        <f t="shared" ref="I28:R28" si="5">SUBTOTAL(9,I30:I416)</f>
        <v>420.57299999999998</v>
      </c>
      <c r="J28" s="2324">
        <f t="shared" si="5"/>
        <v>420.39299999999997</v>
      </c>
      <c r="K28" s="2324">
        <f t="shared" si="5"/>
        <v>0</v>
      </c>
      <c r="L28" s="2324">
        <f t="shared" si="5"/>
        <v>0.36000000000000121</v>
      </c>
      <c r="M28" s="2324">
        <f t="shared" si="5"/>
        <v>0</v>
      </c>
      <c r="N28" s="2324">
        <f t="shared" si="5"/>
        <v>213.21899999999997</v>
      </c>
      <c r="O28" s="2324">
        <f t="shared" si="5"/>
        <v>0</v>
      </c>
      <c r="P28" s="2324">
        <f t="shared" si="5"/>
        <v>0</v>
      </c>
      <c r="Q28" s="2324">
        <f t="shared" si="5"/>
        <v>209.82400000000001</v>
      </c>
      <c r="R28" s="2324">
        <f t="shared" si="5"/>
        <v>188.01999999999992</v>
      </c>
      <c r="S28" s="480"/>
      <c r="T28" s="614"/>
      <c r="U28" s="1693"/>
      <c r="V28" s="1693"/>
      <c r="W28" s="453"/>
      <c r="X28" s="614"/>
      <c r="Y28" s="480"/>
      <c r="Z28" s="1673"/>
      <c r="AB28" s="2334">
        <f>SUBTOTAL(9,AB30:AB416)</f>
        <v>181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SUMIFS(O30:O952,F30:F952,"6а",G30:G952,3)+SUMIFS(O30:O952,F30:F952,"6б",G30:G952,3)+SUMIFS(O30:O952,F30:F952,"б/к",G30:G952,3)</f>
        <v>0</v>
      </c>
      <c r="AM28" s="2817"/>
    </row>
    <row r="29" spans="1:39" x14ac:dyDescent="0.35">
      <c r="A29" s="182"/>
      <c r="B29" s="134"/>
      <c r="C29" s="134"/>
      <c r="D29" s="183"/>
      <c r="E29" s="476" t="s">
        <v>2871</v>
      </c>
      <c r="F29" s="184"/>
      <c r="G29" s="185"/>
      <c r="H29" s="185"/>
      <c r="I29" s="565"/>
      <c r="J29" s="565"/>
      <c r="K29" s="565"/>
      <c r="L29" s="565"/>
      <c r="M29" s="565"/>
      <c r="N29" s="565"/>
      <c r="O29" s="565"/>
      <c r="P29" s="565"/>
      <c r="Q29" s="882"/>
      <c r="R29" s="880"/>
      <c r="S29" s="186"/>
      <c r="T29" s="271"/>
      <c r="U29" s="540"/>
      <c r="V29" s="540"/>
      <c r="W29" s="188"/>
      <c r="X29" s="271"/>
      <c r="Y29" s="186"/>
      <c r="Z29" s="272"/>
      <c r="AD29" s="2578" t="s">
        <v>7180</v>
      </c>
      <c r="AE29" s="2579">
        <f>SUMIFS(M30:M882,F30:F882,3,G30:G882,3)+SUMIFS(N30:N882,F30:F882,3,G30:G882,3)+SUMIFS(O30:O882,F30:F882,3,G30:G882,3)+SUMIFS(P30:P882,F30:F882,3,G30:G882,3)+SUMIFS(Q30:Q882,F30:F882,3,G30:G882,3)+SUMIFS(R30:R882,F30:F882,3,G30:G882,3)</f>
        <v>0</v>
      </c>
      <c r="AF29" s="2579">
        <f>SUMIFS(M30:M882,F30:F882,4,G30:G882,3)+SUMIFS(N30:N882,F30:F882,4,G30:G882,3)+SUMIFS(O30:O882,F30:F882,4,G30:G882,3)+SUMIFS(P30:P882,F30:F882,4,G30:G882,3)+SUMIFS(Q30:Q882,F30:F882,4,G30:G882,3)+SUMIFS(R30:R882,F30:F882,4,G30:G882,3)</f>
        <v>0</v>
      </c>
      <c r="AG29" s="2579">
        <f>SUMIFS(M30:M882,F30:F882,5,G30:G882,3)+SUMIFS(N30:N882,F30:F882,5,G30:G882,3)+SUMIFS(O30:O882,F30:F882,5,G30:G882,3)+SUMIFS(P30:P882,F30:F882,5,G30:G882,3)+SUMIFS(Q30:Q882,F30:F882,5,G30:G882,3)+SUMIFS(R30:R882,F30:F882,5,G30:G882,3)</f>
        <v>0</v>
      </c>
      <c r="AH29" s="2579">
        <f>SUMIFS(M30:M882,F30:F882,"6а",G30:G882,3)+SUMIFS(N30:N882,F30:F882,"6а",G30:G882,3)+SUMIFS(O30:O882,F30:F882,"6а",G30:G882,3)+SUMIFS(P30:P882,F30:F882,"6а",G30:G882,3)+SUMIFS(Q30:Q882,F30:F882,"6а",G30:G882,3)+SUMIFS(R30:R882,F30:F882,"6а",G30:G882,3)</f>
        <v>0</v>
      </c>
      <c r="AI29" s="2579">
        <f>SUMIFS(M30:M882,F30:F882,"6б",G30:G882,3)+SUMIFS(N30:N882,F30:F882,"6б",G30:G882,3)+SUMIFS(O30:O882,F30:F882,"6б",G30:G882,3)+SUMIFS(P30:P882,F30:F882,"6б",G30:G882,3)+SUMIFS(Q30:Q882,F30:F882,"6б",G30:G882,3)+SUMIFS(R30:R882,F30:F882,"6б",G30:G882,3)</f>
        <v>0</v>
      </c>
      <c r="AJ29" s="2580">
        <f>SUMIFS(M30:M882,F30:F882,"б/к",G30:G882,3)+SUMIFS(N30:N882,F30:F882,"б/к",G30:G882,3)+SUMIFS(O30:O882,F30:F882,"б/к",G30:G882,3)+SUMIFS(P30:P882,F30:F882,"б/к",G30:G882,3)+SUMIFS(Q30:Q882,F30:F882,"б/к",G30:G882,3)+SUMIFS(R30:R882,F30:F882,"б/к",G30:G882,3)</f>
        <v>0</v>
      </c>
      <c r="AK29" s="2815" t="s">
        <v>11233</v>
      </c>
      <c r="AL29" s="2579">
        <f>SUMIFS(P30:P952,F30:F952,"6а",G30:G952,3)+SUMIFS(Q30:Q952,F30:F952,"6а",G30:G952,3)+SUMIFS(P30:P952,F30:F952,"6б",G30:G952,3)+SUMIFS(Q30:Q952,F30:F952,"6б",G30:G952,3)+SUMIFS(P30:P952,F30:F952,"б/к",G30:G952,3)+SUMIFS(Q30:Q952,F30:F952,"б/к",G30:G952,3)</f>
        <v>0</v>
      </c>
      <c r="AM29" s="2817"/>
    </row>
    <row r="30" spans="1:39" ht="30.5" x14ac:dyDescent="0.35">
      <c r="A30" s="1133">
        <v>1</v>
      </c>
      <c r="B30" s="1134">
        <v>10751</v>
      </c>
      <c r="C30" s="1134"/>
      <c r="D30" s="1135" t="s">
        <v>976</v>
      </c>
      <c r="E30" s="2288" t="s">
        <v>7209</v>
      </c>
      <c r="F30" s="2422"/>
      <c r="G30" s="2422" t="s">
        <v>191</v>
      </c>
      <c r="H30" s="2422" t="s">
        <v>191</v>
      </c>
      <c r="I30" s="1136">
        <f>J30+K30+L30</f>
        <v>26.3</v>
      </c>
      <c r="J30" s="1136">
        <f>SUM(M30:R30)</f>
        <v>26.3</v>
      </c>
      <c r="K30" s="1136"/>
      <c r="L30" s="1136"/>
      <c r="M30" s="1136"/>
      <c r="N30" s="2866">
        <f>SUM(N31:N36)</f>
        <v>13.530000000000001</v>
      </c>
      <c r="O30" s="1137"/>
      <c r="P30" s="1136"/>
      <c r="Q30" s="956">
        <f>SUM(Q31:Q36)</f>
        <v>10.57</v>
      </c>
      <c r="R30" s="953">
        <f>SUM(R31:R36)</f>
        <v>2.1999999999999993</v>
      </c>
      <c r="S30" s="281"/>
      <c r="T30" s="281"/>
      <c r="U30" s="281"/>
      <c r="V30" s="281"/>
      <c r="W30" s="97">
        <v>25</v>
      </c>
      <c r="X30" s="2443">
        <v>389.75</v>
      </c>
      <c r="Y30" s="170">
        <v>5</v>
      </c>
      <c r="Z30" s="2982">
        <v>60.55</v>
      </c>
      <c r="AB30">
        <v>1</v>
      </c>
      <c r="AD30" s="2578" t="s">
        <v>7181</v>
      </c>
      <c r="AE30" s="2579">
        <f>SUMIFS(M30:M882,F30:F882,3,G30:G882,4)+SUMIFS(N30:N882,F30:F882,3,G30:G882,4)+SUMIFS(O30:O882,F30:F882,3,G30:G882,4)+SUMIFS(P30:P882,F30:F882,3,G30:G882,4)+SUMIFS(Q30:Q882,F30:F882,3,G30:G882,4)+SUMIFS(R30:R882,F30:F882,3,G30:G882,4)</f>
        <v>0</v>
      </c>
      <c r="AF30" s="2579">
        <f>SUMIFS(M30:M882,F30:F882,4,G30:G882,4)+SUMIFS(N30:N882,F30:F882,4,G30:G882,4)+SUMIFS(O30:O882,F30:F882,4,G30:G882,4)+SUMIFS(P30:P882,F30:F882,4,G30:G882,4)+SUMIFS(Q30:Q882,F30:F882,4,G30:G882,4)+SUMIFS(R30:R882,F30:F882,4,G30:G882,4)</f>
        <v>64.683000000000007</v>
      </c>
      <c r="AG30" s="2579">
        <f>SUMIFS(M30:M882,F30:F882,5,G30:G882,4)+SUMIFS(N30:N882,F30:F882,5,G30:G882,4)+SUMIFS(O30:O882,F30:F882,5,G30:G882,4)+SUMIFS(P30:P882,F30:F882,5,G30:G882,4)+SUMIFS(Q30:Q882,F30:F882,5,G30:G882,4)+SUMIFS(R30:R882,F30:F882,5,G30:G882,4)</f>
        <v>26.99</v>
      </c>
      <c r="AH30" s="2579">
        <f>SUMIFS(M30:M882,F30:F882,"6а",G30:G882,4)+SUMIFS(N30:N882,F30:F882,"6а",G30:G882,4)+SUMIFS(O30:O882,F30:F882,"6а",G30:G882,4)+SUMIFS(P30:P882,F30:F882,"6а",G30:G882,4)+SUMIFS(Q30:Q882,F30:F882,"6а",G30:G882,4)+SUMIFS(R30:R882,F30:F882,"6а",G30:G882,4)</f>
        <v>5.82</v>
      </c>
      <c r="AI30" s="2579">
        <f>SUMIFS(M30:M882,F30:F882,"6б",G30:G882,4)+SUMIFS(N30:N882,F30:F882,"6б",G30:G882,4)+SUMIFS(O30:O882,F30:F882,"6б",G30:G882,4)+SUMIFS(P30:P882,F30:F882,"6б",G30:G882,4)+SUMIFS(Q30:Q882,F30:F882,"6б",G30:G882,4)+SUMIFS(R30:R882,F30:F882,"6б",G30:G882,4)</f>
        <v>0</v>
      </c>
      <c r="AJ30" s="2580">
        <f>SUMIFS(M30:M882,F30:F882,"б/к",G30:G882,4)+SUMIFS(N30:N882,F30:F882,"б/к",G30:G882,4)+SUMIFS(O30:O882,F30:F882,"б/к",G30:G882,4)+SUMIFS(P30:P882,F30:F882,"б/к",G30:G882,4)+SUMIFS(Q30:Q882,F30:F882,"б/к",G30:G882,4)+SUMIFS(R30:R882,F30:F882,"б/к",G30:G882,4)</f>
        <v>0</v>
      </c>
      <c r="AK30" s="2815" t="s">
        <v>910</v>
      </c>
      <c r="AL30" s="2579">
        <f>SUMIFS(R30:R952,F30:F952,"6а",G30:G952,3)+SUMIFS(R30:R952,F30:F952,"6б",G30:G952,3)+SUMIFS(R30:R952,F30:F952,"б/к",G30:G952,3)</f>
        <v>0</v>
      </c>
      <c r="AM30" s="2817"/>
    </row>
    <row r="31" spans="1:39" x14ac:dyDescent="0.35">
      <c r="A31" s="359"/>
      <c r="B31" s="826">
        <v>10751</v>
      </c>
      <c r="C31" s="826"/>
      <c r="D31" s="360"/>
      <c r="E31" s="289" t="s">
        <v>2581</v>
      </c>
      <c r="F31" s="1138">
        <v>4</v>
      </c>
      <c r="G31" s="1138">
        <v>4</v>
      </c>
      <c r="H31" s="2422">
        <v>6</v>
      </c>
      <c r="I31" s="502"/>
      <c r="J31" s="502"/>
      <c r="K31" s="502"/>
      <c r="L31" s="502"/>
      <c r="M31" s="502"/>
      <c r="N31" s="831">
        <v>9</v>
      </c>
      <c r="O31" s="569"/>
      <c r="P31" s="502"/>
      <c r="Q31" s="863"/>
      <c r="R31" s="873"/>
      <c r="S31" s="281"/>
      <c r="T31" s="281"/>
      <c r="U31" s="281"/>
      <c r="V31" s="281"/>
      <c r="W31" s="97"/>
      <c r="X31" s="95"/>
      <c r="Y31" s="170"/>
      <c r="Z31" s="1694"/>
      <c r="AD31" s="2581" t="s">
        <v>7182</v>
      </c>
      <c r="AE31" s="2582">
        <f>SUMIFS(M30:M882,F30:F882,3,G30:G882,5)+SUMIFS(N30:N882,F30:F882,3,G30:G882,5)+SUMIFS(O30:O882,F30:F882,3,G30:G882,5)+SUMIFS(P30:P882,F30:F882,3,G30:G882,5)+SUMIFS(Q30:Q882,F30:F882,3,G30:G882,5)+SUMIFS(R30:R882,F30:F882,3,G30:G882,5)</f>
        <v>0</v>
      </c>
      <c r="AF31" s="2582">
        <f>SUMIFS(M30:M882,F30:F882,4,G30:G882,5)+SUMIFS(N30:N882,F30:F882,4,G30:G882,5)+SUMIFS(O30:O882,F30:F882,4,G30:G882,5)+SUMIFS(P30:P882,F30:F882,4,G30:G882,5)+SUMIFS(Q30:Q882,F30:F882,4,G30:G882,5)+SUMIFS(R30:R882,F30:F882,4,G30:G882,5)</f>
        <v>38.414999999999999</v>
      </c>
      <c r="AG31" s="2582">
        <f>SUMIFS(M30:M882,F30:F882,5,G30:G882,5)+SUMIFS(N30:N882,F30:F882,5,G30:G882,5)+SUMIFS(O30:O882,F30:F882,5,G30:G882,5)+SUMIFS(P30:P882,F30:F882,5,G30:G882,5)+SUMIFS(Q30:Q882,F30:F882,5,G30:G882,5)+SUMIFS(R30:R882,F30:F882,5,G30:G882,5)</f>
        <v>131.07599999999999</v>
      </c>
      <c r="AH31" s="2582">
        <f>SUMIFS(M30:M882,F30:F882,"6а",G30:G882,5)+SUMIFS(N30:N882,F30:F882,"6а",G30:G882,5)+SUMIFS(O30:O882,F30:F882,"6а",G30:G882,5)+SUMIFS(P30:P882,F30:F882,"6а",G30:G882,5)+SUMIFS(Q30:Q882,F30:F882,"6а",G30:G882,5)+SUMIFS(R30:R882,F30:F882,"6а",G30:G882,5)</f>
        <v>63.179000000000002</v>
      </c>
      <c r="AI31" s="2582">
        <f>SUMIFS(M30:M882,F30:F882,"6б",G30:G882,5)+SUMIFS(N30:N882,F30:F882,"6б",G30:G882,5)+SUMIFS(O30:O882,F30:F882,"6б",G30:G882,5)+SUMIFS(P30:P882,F30:F882,"6б",G30:G882,5)+SUMIFS(Q30:Q882,F30:F882,"6б",G30:G882,5)+SUMIFS(R30:R882,F30:F882,"6б",G30:G882,5)</f>
        <v>12.68</v>
      </c>
      <c r="AJ31" s="2583">
        <f>SUMIFS(M30:M882,F30:F882,"б/к",G30:G882,5)+SUMIFS(N30:N882,F30:F882,"б/к",G30:G882,5)+SUMIFS(O30:O882,F30:F882,"б/к",G30:G882,5)+SUMIFS(P30:P882,F30:F882,"б/к",G30:G882,5)+SUMIFS(Q30:Q882,F30:F882,"б/к",G30:G882,5)+SUMIFS(R30:R882,F30:F882,"б/к",G30:G882,5)</f>
        <v>77.549999999999983</v>
      </c>
      <c r="AK31" s="2815"/>
      <c r="AL31" s="2579"/>
      <c r="AM31" s="2817"/>
    </row>
    <row r="32" spans="1:39" x14ac:dyDescent="0.35">
      <c r="A32" s="359"/>
      <c r="B32" s="826">
        <v>10751</v>
      </c>
      <c r="C32" s="826"/>
      <c r="D32" s="360"/>
      <c r="E32" s="459" t="s">
        <v>11300</v>
      </c>
      <c r="F32" s="1138">
        <v>4</v>
      </c>
      <c r="G32" s="1138">
        <v>5</v>
      </c>
      <c r="H32" s="2422">
        <v>6</v>
      </c>
      <c r="I32" s="502"/>
      <c r="J32" s="502"/>
      <c r="K32" s="502"/>
      <c r="L32" s="502"/>
      <c r="M32" s="502"/>
      <c r="N32" s="831">
        <f>10.4-9</f>
        <v>1.4000000000000004</v>
      </c>
      <c r="O32" s="569"/>
      <c r="P32" s="502"/>
      <c r="Q32" s="863"/>
      <c r="R32" s="873"/>
      <c r="S32" s="281"/>
      <c r="T32" s="281"/>
      <c r="U32" s="281"/>
      <c r="V32" s="281"/>
      <c r="W32" s="97"/>
      <c r="X32" s="95"/>
      <c r="Y32" s="170"/>
      <c r="Z32" s="1694"/>
      <c r="AE32" s="1572"/>
      <c r="AI32" s="2584" t="s">
        <v>7183</v>
      </c>
      <c r="AJ32" s="2585">
        <f>SUMIF(AB30:AB882,"=1",J30:J882)</f>
        <v>420.39299999999997</v>
      </c>
      <c r="AK32" s="2818" t="s">
        <v>11235</v>
      </c>
      <c r="AL32" s="2821">
        <f>AL34+AL40+AL46</f>
        <v>97.492999999999995</v>
      </c>
      <c r="AM32" s="2820">
        <f>AL32-J19</f>
        <v>0</v>
      </c>
    </row>
    <row r="33" spans="1:39" s="2842" customFormat="1" x14ac:dyDescent="0.35">
      <c r="A33" s="359"/>
      <c r="B33" s="826"/>
      <c r="C33" s="826"/>
      <c r="D33" s="360"/>
      <c r="E33" s="837" t="s">
        <v>11446</v>
      </c>
      <c r="F33" s="1138">
        <v>4</v>
      </c>
      <c r="G33" s="1138">
        <v>5</v>
      </c>
      <c r="H33" s="2422">
        <v>6</v>
      </c>
      <c r="I33" s="502"/>
      <c r="J33" s="502"/>
      <c r="K33" s="502"/>
      <c r="L33" s="502"/>
      <c r="M33" s="502"/>
      <c r="N33" s="831"/>
      <c r="O33" s="569"/>
      <c r="P33" s="502"/>
      <c r="Q33" s="863">
        <f>12.5-10.4</f>
        <v>2.0999999999999996</v>
      </c>
      <c r="R33" s="873"/>
      <c r="S33" s="281"/>
      <c r="T33" s="281"/>
      <c r="U33" s="281"/>
      <c r="V33" s="281"/>
      <c r="W33" s="97"/>
      <c r="X33" s="95"/>
      <c r="Y33" s="170"/>
      <c r="Z33" s="1694"/>
      <c r="AE33" s="1572"/>
      <c r="AI33" s="2584"/>
      <c r="AJ33" s="2585"/>
      <c r="AK33" s="2815" t="s">
        <v>11229</v>
      </c>
      <c r="AL33" s="2579"/>
      <c r="AM33" s="2817"/>
    </row>
    <row r="34" spans="1:39" s="2842" customFormat="1" x14ac:dyDescent="0.35">
      <c r="A34" s="359"/>
      <c r="B34" s="826"/>
      <c r="C34" s="826"/>
      <c r="D34" s="360"/>
      <c r="E34" s="459" t="s">
        <v>11447</v>
      </c>
      <c r="F34" s="1138">
        <v>4</v>
      </c>
      <c r="G34" s="1138">
        <v>5</v>
      </c>
      <c r="H34" s="2422">
        <v>6</v>
      </c>
      <c r="I34" s="502"/>
      <c r="J34" s="502"/>
      <c r="K34" s="502"/>
      <c r="L34" s="502"/>
      <c r="M34" s="502"/>
      <c r="N34" s="2608">
        <f>15.63-12.5</f>
        <v>3.1300000000000008</v>
      </c>
      <c r="O34" s="569"/>
      <c r="P34" s="502"/>
      <c r="Q34" s="863"/>
      <c r="R34" s="873"/>
      <c r="S34" s="281"/>
      <c r="T34" s="281"/>
      <c r="U34" s="281"/>
      <c r="V34" s="281"/>
      <c r="W34" s="97"/>
      <c r="X34" s="95"/>
      <c r="Y34" s="170"/>
      <c r="Z34" s="1694"/>
      <c r="AE34" s="1572"/>
      <c r="AI34" s="2584"/>
      <c r="AJ34" s="2585"/>
      <c r="AK34" s="2818" t="s">
        <v>7184</v>
      </c>
      <c r="AL34" s="2821">
        <f>AL35+AL36+AL37+AL38+AL39</f>
        <v>64.683000000000007</v>
      </c>
      <c r="AM34" s="2820">
        <f>AL34-AF30</f>
        <v>0</v>
      </c>
    </row>
    <row r="35" spans="1:39" x14ac:dyDescent="0.35">
      <c r="A35" s="359"/>
      <c r="B35" s="826">
        <v>10751</v>
      </c>
      <c r="C35" s="826"/>
      <c r="D35" s="360"/>
      <c r="E35" s="837" t="s">
        <v>2592</v>
      </c>
      <c r="F35" s="1138">
        <v>4</v>
      </c>
      <c r="G35" s="1138">
        <v>5</v>
      </c>
      <c r="H35" s="2422">
        <v>6</v>
      </c>
      <c r="I35" s="502"/>
      <c r="J35" s="502"/>
      <c r="K35" s="502"/>
      <c r="L35" s="502"/>
      <c r="M35" s="502"/>
      <c r="N35" s="831"/>
      <c r="O35" s="569"/>
      <c r="P35" s="502"/>
      <c r="Q35" s="863">
        <v>8.4700000000000006</v>
      </c>
      <c r="R35" s="873"/>
      <c r="S35" s="281"/>
      <c r="T35" s="281"/>
      <c r="U35" s="281"/>
      <c r="V35" s="281"/>
      <c r="W35" s="97"/>
      <c r="X35" s="95"/>
      <c r="Y35" s="170"/>
      <c r="Z35" s="1694"/>
      <c r="AE35" s="1572"/>
      <c r="AJ35" s="2585">
        <f>SUM(AE29:AJ31)-AJ32</f>
        <v>0</v>
      </c>
      <c r="AK35" s="2815" t="s">
        <v>11230</v>
      </c>
      <c r="AL35" s="2579">
        <f>SUMIFS(M30:M952,F30:F952,4,G30:G952,4)</f>
        <v>0</v>
      </c>
      <c r="AM35" s="2817"/>
    </row>
    <row r="36" spans="1:39" x14ac:dyDescent="0.35">
      <c r="A36" s="359"/>
      <c r="B36" s="826">
        <v>10751</v>
      </c>
      <c r="C36" s="826"/>
      <c r="D36" s="360"/>
      <c r="E36" s="838" t="s">
        <v>2593</v>
      </c>
      <c r="F36" s="2287">
        <v>5</v>
      </c>
      <c r="G36" s="1138">
        <v>5</v>
      </c>
      <c r="H36" s="1138">
        <v>6</v>
      </c>
      <c r="I36" s="502"/>
      <c r="J36" s="502"/>
      <c r="K36" s="502"/>
      <c r="L36" s="502"/>
      <c r="M36" s="502"/>
      <c r="N36" s="831"/>
      <c r="O36" s="569"/>
      <c r="P36" s="502"/>
      <c r="Q36" s="863"/>
      <c r="R36" s="873">
        <f>26.3-24.1</f>
        <v>2.1999999999999993</v>
      </c>
      <c r="S36" s="281"/>
      <c r="T36" s="281"/>
      <c r="U36" s="281"/>
      <c r="V36" s="281"/>
      <c r="W36" s="97"/>
      <c r="X36" s="95"/>
      <c r="Y36" s="170"/>
      <c r="Z36" s="1694"/>
      <c r="AK36" s="2815" t="s">
        <v>11231</v>
      </c>
      <c r="AL36" s="2579">
        <f>SUMIFS(N30:N952,F30:F952,4,G30:G952,4)</f>
        <v>62.093000000000004</v>
      </c>
      <c r="AM36" s="2817"/>
    </row>
    <row r="37" spans="1:39" ht="45.5" x14ac:dyDescent="0.35">
      <c r="A37" s="347">
        <v>2</v>
      </c>
      <c r="B37" s="358">
        <v>10751</v>
      </c>
      <c r="C37" s="358"/>
      <c r="D37" s="2464" t="s">
        <v>5040</v>
      </c>
      <c r="E37" s="288" t="s">
        <v>9187</v>
      </c>
      <c r="F37" s="1138" t="s">
        <v>827</v>
      </c>
      <c r="G37" s="1138">
        <v>5</v>
      </c>
      <c r="H37" s="1138">
        <v>6</v>
      </c>
      <c r="I37" s="501">
        <f t="shared" ref="I37:I44" si="6">J37+K37+L37</f>
        <v>1.8</v>
      </c>
      <c r="J37" s="501">
        <f t="shared" ref="J37:J44" si="7">SUM(M37:R37)</f>
        <v>1.8</v>
      </c>
      <c r="K37" s="503"/>
      <c r="L37" s="503"/>
      <c r="M37" s="503"/>
      <c r="N37" s="501"/>
      <c r="O37" s="570"/>
      <c r="P37" s="503"/>
      <c r="Q37" s="860"/>
      <c r="R37" s="874">
        <v>1.8</v>
      </c>
      <c r="S37" s="281"/>
      <c r="T37" s="281"/>
      <c r="U37" s="281"/>
      <c r="V37" s="281"/>
      <c r="W37" s="536"/>
      <c r="X37" s="281"/>
      <c r="Y37" s="170"/>
      <c r="Z37" s="1694"/>
      <c r="AB37">
        <v>1</v>
      </c>
      <c r="AE37" s="2461"/>
      <c r="AF37" s="2462"/>
      <c r="AK37" s="2815" t="s">
        <v>11232</v>
      </c>
      <c r="AL37" s="2579">
        <f>SUMIFS(O30:O952,F30:F952,4,G30:G952,4)</f>
        <v>0</v>
      </c>
      <c r="AM37" s="2817"/>
    </row>
    <row r="38" spans="1:39" ht="45.5" x14ac:dyDescent="0.35">
      <c r="A38" s="2125">
        <v>3</v>
      </c>
      <c r="B38" s="2118">
        <v>10751</v>
      </c>
      <c r="C38" s="2118" t="s">
        <v>1656</v>
      </c>
      <c r="D38" s="2464" t="s">
        <v>5041</v>
      </c>
      <c r="E38" s="2383" t="s">
        <v>9213</v>
      </c>
      <c r="F38" s="2742" t="s">
        <v>664</v>
      </c>
      <c r="G38" s="2742">
        <v>5</v>
      </c>
      <c r="H38" s="1138">
        <v>6</v>
      </c>
      <c r="I38" s="2102">
        <f t="shared" si="6"/>
        <v>0.3</v>
      </c>
      <c r="J38" s="2102">
        <f t="shared" si="7"/>
        <v>0.3</v>
      </c>
      <c r="K38" s="622"/>
      <c r="L38" s="622"/>
      <c r="M38" s="622"/>
      <c r="N38" s="622"/>
      <c r="O38" s="622"/>
      <c r="P38" s="622"/>
      <c r="Q38" s="2085"/>
      <c r="R38" s="906">
        <v>0.3</v>
      </c>
      <c r="S38" s="2115"/>
      <c r="T38" s="2115"/>
      <c r="U38" s="2115"/>
      <c r="V38" s="2115"/>
      <c r="W38" s="2339"/>
      <c r="X38" s="2339"/>
      <c r="Y38" s="2339"/>
      <c r="Z38" s="2983"/>
      <c r="AB38">
        <v>1</v>
      </c>
      <c r="AE38" s="2461"/>
      <c r="AF38" s="68"/>
      <c r="AK38" s="2815" t="s">
        <v>11233</v>
      </c>
      <c r="AL38" s="2579">
        <f>SUMIFS(P30:P952,F30:F952,4,G30:G952,4)+SUMIFS(Q30:Q952,F30:F952,4,G30:G952,4)</f>
        <v>2.5900000000000016</v>
      </c>
      <c r="AM38" s="2817"/>
    </row>
    <row r="39" spans="1:39" ht="60.5" x14ac:dyDescent="0.35">
      <c r="A39" s="347">
        <v>4</v>
      </c>
      <c r="B39" s="2118">
        <v>10751</v>
      </c>
      <c r="C39" s="2118" t="s">
        <v>1656</v>
      </c>
      <c r="D39" s="2464" t="s">
        <v>5042</v>
      </c>
      <c r="E39" s="2383" t="s">
        <v>8572</v>
      </c>
      <c r="F39" s="2742" t="s">
        <v>664</v>
      </c>
      <c r="G39" s="2742">
        <v>5</v>
      </c>
      <c r="H39" s="1138">
        <v>6</v>
      </c>
      <c r="I39" s="2102">
        <f t="shared" si="6"/>
        <v>0.8</v>
      </c>
      <c r="J39" s="2102">
        <f t="shared" si="7"/>
        <v>0.8</v>
      </c>
      <c r="K39" s="622"/>
      <c r="L39" s="622"/>
      <c r="M39" s="622"/>
      <c r="N39" s="622"/>
      <c r="O39" s="622"/>
      <c r="P39" s="622"/>
      <c r="Q39" s="2085"/>
      <c r="R39" s="906">
        <v>0.8</v>
      </c>
      <c r="S39" s="2115"/>
      <c r="T39" s="2115"/>
      <c r="U39" s="2115"/>
      <c r="V39" s="2115"/>
      <c r="W39" s="2339"/>
      <c r="X39" s="2339"/>
      <c r="Y39" s="2339"/>
      <c r="Z39" s="2983"/>
      <c r="AB39">
        <v>1</v>
      </c>
      <c r="AE39" s="2461"/>
      <c r="AF39" s="68"/>
      <c r="AK39" s="2815" t="s">
        <v>910</v>
      </c>
      <c r="AL39" s="2579">
        <f>SUMIFS(R30:R952,F30:F952,4,G30:G952,4)</f>
        <v>0</v>
      </c>
      <c r="AM39" s="2817"/>
    </row>
    <row r="40" spans="1:39" ht="60.5" x14ac:dyDescent="0.35">
      <c r="A40" s="2125">
        <v>5</v>
      </c>
      <c r="B40" s="1134">
        <v>10751</v>
      </c>
      <c r="C40" s="2378" t="s">
        <v>1656</v>
      </c>
      <c r="D40" s="2464" t="s">
        <v>5044</v>
      </c>
      <c r="E40" s="2288" t="s">
        <v>8573</v>
      </c>
      <c r="F40" s="2422" t="s">
        <v>664</v>
      </c>
      <c r="G40" s="2422">
        <v>5</v>
      </c>
      <c r="H40" s="1138">
        <v>6</v>
      </c>
      <c r="I40" s="297">
        <f t="shared" si="6"/>
        <v>1.5</v>
      </c>
      <c r="J40" s="297">
        <f t="shared" si="7"/>
        <v>1.5</v>
      </c>
      <c r="K40" s="2379"/>
      <c r="L40" s="2379"/>
      <c r="M40" s="2379"/>
      <c r="N40" s="2379"/>
      <c r="O40" s="1137"/>
      <c r="P40" s="2379"/>
      <c r="Q40" s="2380"/>
      <c r="R40" s="2381">
        <v>1.5</v>
      </c>
      <c r="S40" s="163"/>
      <c r="T40" s="537"/>
      <c r="U40" s="163"/>
      <c r="V40" s="163"/>
      <c r="W40" s="538"/>
      <c r="X40" s="539"/>
      <c r="Y40" s="163"/>
      <c r="Z40" s="1694"/>
      <c r="AA40" t="s">
        <v>1842</v>
      </c>
      <c r="AB40">
        <v>1</v>
      </c>
      <c r="AE40" s="2461"/>
      <c r="AF40" s="68"/>
      <c r="AK40" s="2818" t="s">
        <v>7185</v>
      </c>
      <c r="AL40" s="2821">
        <f>AL41+AL42+AL43+AL44+AL45</f>
        <v>26.99</v>
      </c>
      <c r="AM40" s="2820">
        <f>AL40-AG30</f>
        <v>0</v>
      </c>
    </row>
    <row r="41" spans="1:39" ht="60.5" x14ac:dyDescent="0.35">
      <c r="A41" s="347">
        <v>6</v>
      </c>
      <c r="B41" s="1134">
        <v>10751</v>
      </c>
      <c r="C41" s="405" t="s">
        <v>1656</v>
      </c>
      <c r="D41" s="2464" t="s">
        <v>5045</v>
      </c>
      <c r="E41" s="2374" t="s">
        <v>8574</v>
      </c>
      <c r="F41" s="1138" t="s">
        <v>664</v>
      </c>
      <c r="G41" s="1138">
        <v>5</v>
      </c>
      <c r="H41" s="2422">
        <v>6</v>
      </c>
      <c r="I41" s="297">
        <f t="shared" si="6"/>
        <v>0.4</v>
      </c>
      <c r="J41" s="297">
        <f t="shared" si="7"/>
        <v>0.4</v>
      </c>
      <c r="K41" s="501"/>
      <c r="L41" s="501"/>
      <c r="M41" s="501"/>
      <c r="N41" s="501">
        <v>0.4</v>
      </c>
      <c r="O41" s="568"/>
      <c r="P41" s="501"/>
      <c r="Q41" s="1856"/>
      <c r="R41" s="1865"/>
      <c r="S41" s="170"/>
      <c r="T41" s="138"/>
      <c r="U41" s="170"/>
      <c r="V41" s="170"/>
      <c r="W41" s="97"/>
      <c r="X41" s="279"/>
      <c r="Y41" s="170"/>
      <c r="Z41" s="1694"/>
      <c r="AA41" t="s">
        <v>2327</v>
      </c>
      <c r="AB41">
        <v>1</v>
      </c>
      <c r="AE41" s="2461"/>
      <c r="AF41" s="68"/>
      <c r="AK41" s="2815" t="s">
        <v>11230</v>
      </c>
      <c r="AL41" s="2579">
        <f>SUMIFS(M30:M952,F30:F952,5,G30:G952,4)</f>
        <v>0</v>
      </c>
      <c r="AM41" s="2817"/>
    </row>
    <row r="42" spans="1:39" ht="60.5" x14ac:dyDescent="0.35">
      <c r="A42" s="2125">
        <v>7</v>
      </c>
      <c r="B42" s="1134">
        <v>10751</v>
      </c>
      <c r="C42" s="2118" t="s">
        <v>1656</v>
      </c>
      <c r="D42" s="2464" t="s">
        <v>5046</v>
      </c>
      <c r="E42" s="2382" t="s">
        <v>8575</v>
      </c>
      <c r="F42" s="2742" t="s">
        <v>664</v>
      </c>
      <c r="G42" s="1138">
        <v>5</v>
      </c>
      <c r="H42" s="1138">
        <v>6</v>
      </c>
      <c r="I42" s="297">
        <f t="shared" si="6"/>
        <v>2.7</v>
      </c>
      <c r="J42" s="297">
        <f t="shared" si="7"/>
        <v>2.7</v>
      </c>
      <c r="K42" s="622"/>
      <c r="L42" s="622"/>
      <c r="M42" s="622"/>
      <c r="N42" s="622"/>
      <c r="O42" s="622"/>
      <c r="P42" s="622"/>
      <c r="Q42" s="2085"/>
      <c r="R42" s="906">
        <v>2.7</v>
      </c>
      <c r="S42" s="2115"/>
      <c r="T42" s="2115"/>
      <c r="U42" s="2115"/>
      <c r="V42" s="2115"/>
      <c r="W42" s="2339"/>
      <c r="X42" s="2339"/>
      <c r="Y42" s="2339"/>
      <c r="Z42" s="2983"/>
      <c r="AA42" t="s">
        <v>2327</v>
      </c>
      <c r="AB42">
        <v>1</v>
      </c>
      <c r="AE42" s="2461"/>
      <c r="AF42" s="68"/>
      <c r="AK42" s="2815" t="s">
        <v>11231</v>
      </c>
      <c r="AL42" s="2579">
        <f>SUMIFS(N30:N952,F30:F952,5,G30:G952,4)</f>
        <v>22.86</v>
      </c>
      <c r="AM42" s="2817"/>
    </row>
    <row r="43" spans="1:39" ht="60.5" x14ac:dyDescent="0.35">
      <c r="A43" s="347">
        <v>8</v>
      </c>
      <c r="B43" s="1134">
        <v>10751</v>
      </c>
      <c r="C43" s="358" t="s">
        <v>1656</v>
      </c>
      <c r="D43" s="2464" t="s">
        <v>5047</v>
      </c>
      <c r="E43" s="2374" t="s">
        <v>8576</v>
      </c>
      <c r="F43" s="1138" t="s">
        <v>664</v>
      </c>
      <c r="G43" s="1138">
        <v>5</v>
      </c>
      <c r="H43" s="1138">
        <v>6</v>
      </c>
      <c r="I43" s="297">
        <f t="shared" si="6"/>
        <v>3.9</v>
      </c>
      <c r="J43" s="297">
        <f t="shared" si="7"/>
        <v>3.9</v>
      </c>
      <c r="K43" s="501"/>
      <c r="L43" s="501"/>
      <c r="M43" s="501"/>
      <c r="N43" s="501"/>
      <c r="O43" s="568"/>
      <c r="P43" s="501"/>
      <c r="Q43" s="1856"/>
      <c r="R43" s="1865">
        <v>3.9</v>
      </c>
      <c r="S43" s="281"/>
      <c r="T43" s="281"/>
      <c r="U43" s="281"/>
      <c r="V43" s="281"/>
      <c r="W43" s="97"/>
      <c r="X43" s="279"/>
      <c r="Y43" s="170"/>
      <c r="Z43" s="1694"/>
      <c r="AA43" t="s">
        <v>2327</v>
      </c>
      <c r="AB43">
        <v>1</v>
      </c>
      <c r="AE43" s="2461"/>
      <c r="AF43" s="68"/>
      <c r="AK43" s="2815" t="s">
        <v>11232</v>
      </c>
      <c r="AL43" s="2579">
        <f>SUMIFS(O30:O952,F30:F952,5,G30:G952,4)</f>
        <v>0</v>
      </c>
      <c r="AM43" s="2817"/>
    </row>
    <row r="44" spans="1:39" ht="30.5" x14ac:dyDescent="0.35">
      <c r="A44" s="2125">
        <v>9</v>
      </c>
      <c r="B44" s="358">
        <v>10752</v>
      </c>
      <c r="C44" s="358"/>
      <c r="D44" s="358" t="s">
        <v>977</v>
      </c>
      <c r="E44" s="288" t="s">
        <v>3307</v>
      </c>
      <c r="F44" s="1138"/>
      <c r="G44" s="1138" t="s">
        <v>191</v>
      </c>
      <c r="H44" s="2422" t="s">
        <v>191</v>
      </c>
      <c r="I44" s="501">
        <f t="shared" si="6"/>
        <v>16.100000000000001</v>
      </c>
      <c r="J44" s="501">
        <f t="shared" si="7"/>
        <v>16.100000000000001</v>
      </c>
      <c r="K44" s="501"/>
      <c r="L44" s="501"/>
      <c r="M44" s="501"/>
      <c r="N44" s="501">
        <f>SUM(N45:N48)</f>
        <v>13.51</v>
      </c>
      <c r="O44" s="568"/>
      <c r="P44" s="501"/>
      <c r="Q44" s="860">
        <f>SUM(Q45:Q48)</f>
        <v>2.5900000000000016</v>
      </c>
      <c r="R44" s="870"/>
      <c r="S44" s="281"/>
      <c r="T44" s="281"/>
      <c r="U44" s="281"/>
      <c r="V44" s="281"/>
      <c r="W44" s="2981">
        <v>26</v>
      </c>
      <c r="X44" s="279">
        <v>327</v>
      </c>
      <c r="Y44" s="2680">
        <v>14</v>
      </c>
      <c r="Z44" s="2982">
        <v>135.4</v>
      </c>
      <c r="AB44">
        <v>1</v>
      </c>
      <c r="AE44" s="2461"/>
      <c r="AF44" s="68"/>
      <c r="AK44" s="2815" t="s">
        <v>11233</v>
      </c>
      <c r="AL44" s="2579">
        <f>SUMIFS(P30:P952,F30:F952,5,G30:G952,4)+SUMIFS(Q30:Q952,F30:F952,5,G30:G952,4)</f>
        <v>4.13</v>
      </c>
      <c r="AM44" s="2817"/>
    </row>
    <row r="45" spans="1:39" s="63" customFormat="1" ht="16" x14ac:dyDescent="0.4">
      <c r="A45" s="363"/>
      <c r="B45" s="358">
        <v>10752</v>
      </c>
      <c r="C45" s="358"/>
      <c r="D45" s="364"/>
      <c r="E45" s="289" t="s">
        <v>2475</v>
      </c>
      <c r="F45" s="1138">
        <v>4</v>
      </c>
      <c r="G45" s="1138">
        <v>4</v>
      </c>
      <c r="H45" s="2422">
        <v>6</v>
      </c>
      <c r="I45" s="502"/>
      <c r="J45" s="502"/>
      <c r="K45" s="502"/>
      <c r="L45" s="502"/>
      <c r="M45" s="502"/>
      <c r="N45" s="502">
        <v>12.8</v>
      </c>
      <c r="O45" s="569"/>
      <c r="P45" s="502"/>
      <c r="Q45" s="863"/>
      <c r="R45" s="873"/>
      <c r="S45" s="281"/>
      <c r="T45" s="281"/>
      <c r="U45" s="281"/>
      <c r="V45" s="281"/>
      <c r="W45" s="97"/>
      <c r="X45" s="95"/>
      <c r="Y45" s="170"/>
      <c r="Z45" s="1694"/>
      <c r="AA45"/>
      <c r="AB45"/>
      <c r="AE45" s="2461"/>
      <c r="AF45" s="68"/>
      <c r="AK45" s="2815" t="s">
        <v>910</v>
      </c>
      <c r="AL45" s="2579">
        <f>SUMIFS(R30:R952,F30:F952,5,G30:G952,4)</f>
        <v>0</v>
      </c>
      <c r="AM45" s="2817"/>
    </row>
    <row r="46" spans="1:39" s="63" customFormat="1" ht="16" x14ac:dyDescent="0.4">
      <c r="A46" s="363"/>
      <c r="B46" s="358">
        <v>10752</v>
      </c>
      <c r="C46" s="358"/>
      <c r="D46" s="364"/>
      <c r="E46" s="837" t="s">
        <v>484</v>
      </c>
      <c r="F46" s="1138">
        <v>4</v>
      </c>
      <c r="G46" s="1138">
        <v>4</v>
      </c>
      <c r="H46" s="2422">
        <v>6</v>
      </c>
      <c r="I46" s="502"/>
      <c r="J46" s="502"/>
      <c r="K46" s="502"/>
      <c r="L46" s="502"/>
      <c r="M46" s="502"/>
      <c r="N46" s="502"/>
      <c r="O46" s="569"/>
      <c r="P46" s="502"/>
      <c r="Q46" s="863">
        <f>14.58-12.8</f>
        <v>1.7799999999999994</v>
      </c>
      <c r="R46" s="873"/>
      <c r="S46" s="281"/>
      <c r="T46" s="281"/>
      <c r="U46" s="281"/>
      <c r="V46" s="281"/>
      <c r="W46" s="97"/>
      <c r="X46" s="95"/>
      <c r="Y46" s="170"/>
      <c r="Z46" s="1694"/>
      <c r="AA46"/>
      <c r="AB46"/>
      <c r="AE46" s="2461"/>
      <c r="AF46" s="68"/>
      <c r="AK46" s="2818" t="s">
        <v>11234</v>
      </c>
      <c r="AL46" s="2821">
        <f>AL47+AL48+AL49+AL50+AL51</f>
        <v>5.82</v>
      </c>
      <c r="AM46" s="2820">
        <f>AL46-AH30-AI30-AJ30</f>
        <v>0</v>
      </c>
    </row>
    <row r="47" spans="1:39" s="63" customFormat="1" ht="16" x14ac:dyDescent="0.4">
      <c r="A47" s="363"/>
      <c r="B47" s="358">
        <v>10752</v>
      </c>
      <c r="C47" s="358"/>
      <c r="D47" s="364"/>
      <c r="E47" s="289" t="s">
        <v>485</v>
      </c>
      <c r="F47" s="1138">
        <v>4</v>
      </c>
      <c r="G47" s="1138">
        <v>4</v>
      </c>
      <c r="H47" s="2422">
        <v>6</v>
      </c>
      <c r="I47" s="502"/>
      <c r="J47" s="502"/>
      <c r="K47" s="502"/>
      <c r="L47" s="502"/>
      <c r="M47" s="502"/>
      <c r="N47" s="502">
        <f>15.29-14.58</f>
        <v>0.70999999999999908</v>
      </c>
      <c r="O47" s="569"/>
      <c r="P47" s="502"/>
      <c r="Q47" s="863"/>
      <c r="R47" s="873"/>
      <c r="S47" s="281"/>
      <c r="T47" s="281"/>
      <c r="U47" s="281"/>
      <c r="V47" s="281"/>
      <c r="W47" s="97"/>
      <c r="X47" s="95"/>
      <c r="Y47" s="170"/>
      <c r="Z47" s="1694"/>
      <c r="AA47"/>
      <c r="AB47"/>
      <c r="AE47" s="2461"/>
      <c r="AF47" s="68"/>
      <c r="AK47" s="2815" t="s">
        <v>11230</v>
      </c>
      <c r="AL47" s="2579">
        <f>SUMIFS(M30:M952,F30:F952,"6а",G30:G952,4)+SUMIFS(M30:M952,F30:F952,"6б",G30:G952,4)+SUMIFS(M30:M952,F30:F952,"б/к",G30:G952,4)</f>
        <v>0</v>
      </c>
      <c r="AM47" s="2817"/>
    </row>
    <row r="48" spans="1:39" x14ac:dyDescent="0.35">
      <c r="A48" s="363"/>
      <c r="B48" s="358">
        <v>10752</v>
      </c>
      <c r="C48" s="358"/>
      <c r="D48" s="364"/>
      <c r="E48" s="837" t="s">
        <v>486</v>
      </c>
      <c r="F48" s="1138">
        <v>4</v>
      </c>
      <c r="G48" s="1138">
        <v>4</v>
      </c>
      <c r="H48" s="2422">
        <v>6</v>
      </c>
      <c r="I48" s="502"/>
      <c r="J48" s="502"/>
      <c r="K48" s="502"/>
      <c r="L48" s="502"/>
      <c r="M48" s="502"/>
      <c r="N48" s="502"/>
      <c r="O48" s="569"/>
      <c r="P48" s="502"/>
      <c r="Q48" s="863">
        <f>16.1-15.29</f>
        <v>0.81000000000000227</v>
      </c>
      <c r="R48" s="873"/>
      <c r="S48" s="281"/>
      <c r="T48" s="281"/>
      <c r="U48" s="281"/>
      <c r="V48" s="281"/>
      <c r="W48" s="97"/>
      <c r="X48" s="95"/>
      <c r="Y48" s="170"/>
      <c r="Z48" s="1694"/>
      <c r="AE48" s="2461"/>
      <c r="AF48" s="68"/>
      <c r="AK48" s="2815" t="s">
        <v>11231</v>
      </c>
      <c r="AL48" s="2579">
        <f>SUMIFS(N30:N952,F30:F952,"6а",G30:G952,4)+SUMIFS(N30:N952,F30:F952,"6б",G30:G952,4)+SUMIFS(N30:N952,F30:F952,"б/к",G30:G952,4)</f>
        <v>5.82</v>
      </c>
      <c r="AM48" s="2817"/>
    </row>
    <row r="49" spans="1:39" ht="46" x14ac:dyDescent="0.4">
      <c r="A49" s="347">
        <v>10</v>
      </c>
      <c r="B49" s="358">
        <v>10752</v>
      </c>
      <c r="C49" s="358"/>
      <c r="D49" s="2464" t="s">
        <v>5048</v>
      </c>
      <c r="E49" s="288" t="s">
        <v>7754</v>
      </c>
      <c r="F49" s="1138"/>
      <c r="G49" s="1138" t="s">
        <v>191</v>
      </c>
      <c r="H49" s="2422" t="s">
        <v>191</v>
      </c>
      <c r="I49" s="501">
        <f>J49+K49+L49</f>
        <v>3.7549999999999999</v>
      </c>
      <c r="J49" s="501">
        <f>SUM(M49:R49)</f>
        <v>3.7549999999999999</v>
      </c>
      <c r="K49" s="503"/>
      <c r="L49" s="503"/>
      <c r="M49" s="503"/>
      <c r="N49" s="503">
        <f>SUM(N50:N51)</f>
        <v>0.85</v>
      </c>
      <c r="O49" s="570"/>
      <c r="P49" s="503"/>
      <c r="Q49" s="864"/>
      <c r="R49" s="874">
        <v>2.9049999999999998</v>
      </c>
      <c r="S49" s="281"/>
      <c r="T49" s="281"/>
      <c r="U49" s="281"/>
      <c r="V49" s="281"/>
      <c r="W49" s="97">
        <v>3</v>
      </c>
      <c r="X49" s="279">
        <v>35.700000000000003</v>
      </c>
      <c r="Y49" s="170"/>
      <c r="Z49" s="1694"/>
      <c r="AA49" s="63"/>
      <c r="AB49">
        <v>1</v>
      </c>
      <c r="AE49" s="2461"/>
      <c r="AF49" s="68"/>
      <c r="AK49" s="2815" t="s">
        <v>11232</v>
      </c>
      <c r="AL49" s="2579">
        <f>SUMIFS(O30:O952,F30:F952,"6а",G30:G952,4)+SUMIFS(O30:O952,F30:F952,"6б",G30:G952,4)+SUMIFS(O30:O952,F30:F952,"б/к",G30:G952,4)</f>
        <v>0</v>
      </c>
      <c r="AM49" s="2817"/>
    </row>
    <row r="50" spans="1:39" x14ac:dyDescent="0.35">
      <c r="A50" s="363"/>
      <c r="B50" s="358">
        <v>10752</v>
      </c>
      <c r="C50" s="358"/>
      <c r="D50" s="364"/>
      <c r="E50" s="289" t="s">
        <v>3308</v>
      </c>
      <c r="F50" s="1138" t="s">
        <v>827</v>
      </c>
      <c r="G50" s="1138">
        <v>5</v>
      </c>
      <c r="H50" s="2422">
        <v>6</v>
      </c>
      <c r="I50" s="502"/>
      <c r="J50" s="502"/>
      <c r="K50" s="504"/>
      <c r="L50" s="504"/>
      <c r="M50" s="504"/>
      <c r="N50" s="504">
        <v>0.85</v>
      </c>
      <c r="O50" s="571"/>
      <c r="P50" s="504"/>
      <c r="Q50" s="865"/>
      <c r="R50" s="873"/>
      <c r="S50" s="281"/>
      <c r="T50" s="281"/>
      <c r="U50" s="281"/>
      <c r="V50" s="281"/>
      <c r="W50" s="536"/>
      <c r="X50" s="281"/>
      <c r="Y50" s="170"/>
      <c r="Z50" s="1694"/>
      <c r="AE50" s="2461"/>
      <c r="AF50" s="68"/>
      <c r="AK50" s="2815" t="s">
        <v>11233</v>
      </c>
      <c r="AL50" s="2579">
        <f>SUMIFS(P30:P952,F30:F952,"6а",G30:G952,4)+SUMIFS(Q30:Q952,F30:F952,"6а",G30:G952,4)+SUMIFS(P30:P952,F30:F952,"6б",G30:G952,4)+SUMIFS(Q30:Q952,F30:F952,"6б",G30:G952,4)+SUMIFS(O30:O952,F30:F952,"б/к",G30:G952,4)+SUMIFS(P30:P952,F30:F952,"б/к",G30:G952,4)+SUMIFS(Q30:Q952,F30:F952,"б/к",G30:G952,4)</f>
        <v>0</v>
      </c>
      <c r="AM50" s="2817"/>
    </row>
    <row r="51" spans="1:39" x14ac:dyDescent="0.35">
      <c r="A51" s="363"/>
      <c r="B51" s="358">
        <v>10752</v>
      </c>
      <c r="C51" s="358"/>
      <c r="D51" s="364"/>
      <c r="E51" s="838" t="s">
        <v>2991</v>
      </c>
      <c r="F51" s="1138" t="s">
        <v>827</v>
      </c>
      <c r="G51" s="1138">
        <v>5</v>
      </c>
      <c r="H51" s="1138">
        <v>6</v>
      </c>
      <c r="I51" s="502"/>
      <c r="J51" s="502"/>
      <c r="K51" s="504"/>
      <c r="L51" s="504"/>
      <c r="M51" s="504"/>
      <c r="N51" s="504"/>
      <c r="O51" s="571"/>
      <c r="P51" s="504"/>
      <c r="Q51" s="865"/>
      <c r="R51" s="873">
        <v>2.9049999999999998</v>
      </c>
      <c r="S51" s="281"/>
      <c r="T51" s="281"/>
      <c r="U51" s="281"/>
      <c r="V51" s="281"/>
      <c r="W51" s="536"/>
      <c r="X51" s="281"/>
      <c r="Y51" s="170"/>
      <c r="Z51" s="1694"/>
      <c r="AE51" s="2461"/>
      <c r="AF51" s="68"/>
      <c r="AK51" s="2815" t="s">
        <v>910</v>
      </c>
      <c r="AL51" s="2579">
        <f>SUMIFS(R30:R952,F30:F952,"6а",G30:G952,4)+SUMIFS(R30:R952,F30:F952,"6б",G30:G952,4)+SUMIFS(R30:R952,F30:F952,"б/к",G30:G952,4)</f>
        <v>0</v>
      </c>
      <c r="AM51" s="2817"/>
    </row>
    <row r="52" spans="1:39" ht="45.5" x14ac:dyDescent="0.35">
      <c r="A52" s="347">
        <v>11</v>
      </c>
      <c r="B52" s="358">
        <v>10752</v>
      </c>
      <c r="C52" s="358"/>
      <c r="D52" s="2464" t="s">
        <v>5049</v>
      </c>
      <c r="E52" s="288" t="s">
        <v>9188</v>
      </c>
      <c r="F52" s="1138"/>
      <c r="G52" s="1138" t="s">
        <v>191</v>
      </c>
      <c r="H52" s="1138" t="s">
        <v>191</v>
      </c>
      <c r="I52" s="501">
        <f t="shared" ref="I52:I75" si="8">J52+K52+L52</f>
        <v>0.83</v>
      </c>
      <c r="J52" s="501">
        <f t="shared" ref="J52:J75" si="9">SUM(M52:R52)</f>
        <v>0.83</v>
      </c>
      <c r="K52" s="503"/>
      <c r="L52" s="503"/>
      <c r="M52" s="503"/>
      <c r="N52" s="503">
        <f>SUM(N53:N54)</f>
        <v>0.39500000000000002</v>
      </c>
      <c r="O52" s="570"/>
      <c r="P52" s="503"/>
      <c r="Q52" s="864"/>
      <c r="R52" s="870">
        <f>SUM(R53:R54)</f>
        <v>0.43499999999999994</v>
      </c>
      <c r="S52" s="281"/>
      <c r="T52" s="281"/>
      <c r="U52" s="281"/>
      <c r="V52" s="281"/>
      <c r="W52" s="536"/>
      <c r="X52" s="281"/>
      <c r="Y52" s="170"/>
      <c r="Z52" s="1694"/>
      <c r="AB52">
        <v>1</v>
      </c>
      <c r="AE52" s="2461"/>
      <c r="AF52" s="68"/>
      <c r="AK52" s="2815"/>
      <c r="AL52" s="2579"/>
      <c r="AM52" s="2817"/>
    </row>
    <row r="53" spans="1:39" x14ac:dyDescent="0.35">
      <c r="A53" s="347"/>
      <c r="B53" s="358"/>
      <c r="C53" s="358"/>
      <c r="D53" s="2464"/>
      <c r="E53" s="289" t="s">
        <v>6923</v>
      </c>
      <c r="F53" s="1138" t="s">
        <v>827</v>
      </c>
      <c r="G53" s="1138">
        <v>5</v>
      </c>
      <c r="H53" s="1138">
        <v>6</v>
      </c>
      <c r="I53" s="502"/>
      <c r="J53" s="502"/>
      <c r="K53" s="504"/>
      <c r="L53" s="504"/>
      <c r="M53" s="504"/>
      <c r="N53" s="2739">
        <v>0.39500000000000002</v>
      </c>
      <c r="O53" s="571"/>
      <c r="P53" s="504"/>
      <c r="Q53" s="2741"/>
      <c r="R53" s="1868"/>
      <c r="S53" s="281"/>
      <c r="T53" s="281"/>
      <c r="U53" s="281"/>
      <c r="V53" s="281"/>
      <c r="W53" s="536"/>
      <c r="X53" s="281"/>
      <c r="Y53" s="170"/>
      <c r="Z53" s="1694"/>
      <c r="AE53" s="2461"/>
      <c r="AF53" s="68"/>
      <c r="AK53" s="2818" t="s">
        <v>11236</v>
      </c>
      <c r="AL53" s="2821">
        <f>AL55+AL61+AL67</f>
        <v>322.89999999999998</v>
      </c>
      <c r="AM53" s="2820">
        <f>AL53-J20</f>
        <v>0</v>
      </c>
    </row>
    <row r="54" spans="1:39" x14ac:dyDescent="0.35">
      <c r="A54" s="347"/>
      <c r="B54" s="358"/>
      <c r="C54" s="358"/>
      <c r="D54" s="2464"/>
      <c r="E54" s="838" t="s">
        <v>6924</v>
      </c>
      <c r="F54" s="1138" t="s">
        <v>827</v>
      </c>
      <c r="G54" s="1138">
        <v>5</v>
      </c>
      <c r="H54" s="1138">
        <v>6</v>
      </c>
      <c r="I54" s="502"/>
      <c r="J54" s="502"/>
      <c r="K54" s="504"/>
      <c r="L54" s="504"/>
      <c r="M54" s="504"/>
      <c r="N54" s="504"/>
      <c r="O54" s="571"/>
      <c r="P54" s="504"/>
      <c r="Q54" s="2741"/>
      <c r="R54" s="1868">
        <f>0.83-0.395</f>
        <v>0.43499999999999994</v>
      </c>
      <c r="S54" s="281"/>
      <c r="T54" s="281"/>
      <c r="U54" s="281"/>
      <c r="V54" s="281"/>
      <c r="W54" s="536"/>
      <c r="X54" s="281"/>
      <c r="Y54" s="170"/>
      <c r="Z54" s="1694"/>
      <c r="AE54" s="2461"/>
      <c r="AF54" s="68"/>
      <c r="AK54" s="2815" t="s">
        <v>11229</v>
      </c>
      <c r="AL54" s="2579"/>
      <c r="AM54" s="2817"/>
    </row>
    <row r="55" spans="1:39" ht="45.5" x14ac:dyDescent="0.35">
      <c r="A55" s="347">
        <v>12</v>
      </c>
      <c r="B55" s="358">
        <v>10752</v>
      </c>
      <c r="C55" s="358"/>
      <c r="D55" s="2464" t="s">
        <v>5050</v>
      </c>
      <c r="E55" s="511" t="s">
        <v>9357</v>
      </c>
      <c r="F55" s="1138">
        <v>4</v>
      </c>
      <c r="G55" s="1138">
        <v>4</v>
      </c>
      <c r="H55" s="2422">
        <v>6</v>
      </c>
      <c r="I55" s="501">
        <f t="shared" si="8"/>
        <v>2.1309999999999998</v>
      </c>
      <c r="J55" s="501">
        <f t="shared" si="9"/>
        <v>2.1309999999999998</v>
      </c>
      <c r="K55" s="501"/>
      <c r="L55" s="501"/>
      <c r="M55" s="501"/>
      <c r="N55" s="501">
        <v>2.1309999999999998</v>
      </c>
      <c r="O55" s="568"/>
      <c r="P55" s="501"/>
      <c r="Q55" s="860"/>
      <c r="R55" s="870"/>
      <c r="S55" s="61">
        <v>1</v>
      </c>
      <c r="T55" s="2966">
        <v>45.1</v>
      </c>
      <c r="U55" s="170"/>
      <c r="V55" s="170"/>
      <c r="W55" s="97">
        <v>2</v>
      </c>
      <c r="X55" s="279">
        <v>30.8</v>
      </c>
      <c r="Y55" s="170"/>
      <c r="Z55" s="1694"/>
      <c r="AB55">
        <v>1</v>
      </c>
      <c r="AE55" s="2461"/>
      <c r="AF55" s="68"/>
      <c r="AK55" s="2818" t="s">
        <v>7184</v>
      </c>
      <c r="AL55" s="2821">
        <f>AL56+AL57+AL58+AL59+AL60</f>
        <v>38.414999999999999</v>
      </c>
      <c r="AM55" s="2820">
        <f>AL55-AF31</f>
        <v>0</v>
      </c>
    </row>
    <row r="56" spans="1:39" ht="60.5" x14ac:dyDescent="0.35">
      <c r="A56" s="347">
        <v>13</v>
      </c>
      <c r="B56" s="2118">
        <v>10752</v>
      </c>
      <c r="C56" s="2118" t="s">
        <v>1656</v>
      </c>
      <c r="D56" s="2464" t="s">
        <v>5051</v>
      </c>
      <c r="E56" s="2383" t="s">
        <v>9358</v>
      </c>
      <c r="F56" s="2742" t="s">
        <v>827</v>
      </c>
      <c r="G56" s="2742">
        <v>5</v>
      </c>
      <c r="H56" s="2422">
        <v>6</v>
      </c>
      <c r="I56" s="2102">
        <f t="shared" si="8"/>
        <v>0.2</v>
      </c>
      <c r="J56" s="2102">
        <f t="shared" si="9"/>
        <v>0.2</v>
      </c>
      <c r="K56" s="622"/>
      <c r="L56" s="622"/>
      <c r="M56" s="622"/>
      <c r="N56" s="622">
        <v>0.2</v>
      </c>
      <c r="O56" s="622"/>
      <c r="P56" s="622"/>
      <c r="Q56" s="2085"/>
      <c r="R56" s="906"/>
      <c r="S56" s="2115"/>
      <c r="T56" s="2115"/>
      <c r="U56" s="2115"/>
      <c r="V56" s="2115"/>
      <c r="W56" s="2339"/>
      <c r="X56" s="2339"/>
      <c r="Y56" s="2339"/>
      <c r="Z56" s="2983"/>
      <c r="AB56">
        <v>1</v>
      </c>
      <c r="AE56" s="2461"/>
      <c r="AF56" s="68"/>
      <c r="AK56" s="2815" t="s">
        <v>11230</v>
      </c>
      <c r="AL56" s="2579">
        <f>SUMIFS(M30:M952,F30:F952,4,G30:G952,5)</f>
        <v>0</v>
      </c>
      <c r="AM56" s="2817"/>
    </row>
    <row r="57" spans="1:39" ht="45.5" x14ac:dyDescent="0.35">
      <c r="A57" s="347">
        <v>14</v>
      </c>
      <c r="B57" s="828">
        <v>10752</v>
      </c>
      <c r="C57" s="2118" t="s">
        <v>1656</v>
      </c>
      <c r="D57" s="2464" t="s">
        <v>5052</v>
      </c>
      <c r="E57" s="511" t="s">
        <v>8577</v>
      </c>
      <c r="F57" s="1138" t="s">
        <v>664</v>
      </c>
      <c r="G57" s="1138">
        <v>5</v>
      </c>
      <c r="H57" s="1138">
        <v>6</v>
      </c>
      <c r="I57" s="501">
        <f t="shared" si="8"/>
        <v>0.85</v>
      </c>
      <c r="J57" s="501">
        <f t="shared" si="9"/>
        <v>0.85</v>
      </c>
      <c r="K57" s="500"/>
      <c r="L57" s="500"/>
      <c r="M57" s="500"/>
      <c r="N57" s="500"/>
      <c r="O57" s="568"/>
      <c r="P57" s="500"/>
      <c r="Q57" s="860"/>
      <c r="R57" s="870">
        <v>0.85</v>
      </c>
      <c r="S57" s="163"/>
      <c r="T57" s="537"/>
      <c r="U57" s="163"/>
      <c r="V57" s="163"/>
      <c r="W57" s="538"/>
      <c r="X57" s="539"/>
      <c r="Y57" s="163"/>
      <c r="Z57" s="1694"/>
      <c r="AB57">
        <v>1</v>
      </c>
      <c r="AE57" s="2461"/>
      <c r="AF57" s="68"/>
      <c r="AK57" s="2815" t="s">
        <v>11231</v>
      </c>
      <c r="AL57" s="2579">
        <f>SUMIFS(N30:N952,F30:F952,4,G30:G952,5)</f>
        <v>14.31</v>
      </c>
      <c r="AM57" s="2817"/>
    </row>
    <row r="58" spans="1:39" ht="45.5" x14ac:dyDescent="0.35">
      <c r="A58" s="347">
        <v>15</v>
      </c>
      <c r="B58" s="2118">
        <v>10752</v>
      </c>
      <c r="C58" s="2118" t="s">
        <v>1656</v>
      </c>
      <c r="D58" s="2464" t="s">
        <v>5053</v>
      </c>
      <c r="E58" s="2383" t="s">
        <v>8578</v>
      </c>
      <c r="F58" s="2742" t="s">
        <v>664</v>
      </c>
      <c r="G58" s="2742">
        <v>5</v>
      </c>
      <c r="H58" s="1138">
        <v>6</v>
      </c>
      <c r="I58" s="2102">
        <f t="shared" si="8"/>
        <v>0.1</v>
      </c>
      <c r="J58" s="2102">
        <f t="shared" si="9"/>
        <v>0.1</v>
      </c>
      <c r="K58" s="622"/>
      <c r="L58" s="622"/>
      <c r="M58" s="622"/>
      <c r="N58" s="622"/>
      <c r="O58" s="622"/>
      <c r="P58" s="622"/>
      <c r="Q58" s="2085"/>
      <c r="R58" s="906">
        <v>0.1</v>
      </c>
      <c r="S58" s="2115"/>
      <c r="T58" s="2115"/>
      <c r="U58" s="2115"/>
      <c r="V58" s="2115"/>
      <c r="W58" s="2339"/>
      <c r="X58" s="2339"/>
      <c r="Y58" s="2339"/>
      <c r="Z58" s="2983"/>
      <c r="AB58">
        <v>1</v>
      </c>
      <c r="AE58" s="2461"/>
      <c r="AF58" s="68"/>
      <c r="AK58" s="2815" t="s">
        <v>11232</v>
      </c>
      <c r="AL58" s="2579">
        <f>SUMIFS(O30:O952,F30:F952,4,G30:G952,5)</f>
        <v>0</v>
      </c>
      <c r="AM58" s="2817"/>
    </row>
    <row r="59" spans="1:39" ht="60.5" x14ac:dyDescent="0.35">
      <c r="A59" s="347">
        <v>16</v>
      </c>
      <c r="B59" s="1134">
        <v>10752</v>
      </c>
      <c r="C59" s="358" t="s">
        <v>1656</v>
      </c>
      <c r="D59" s="2464" t="s">
        <v>5054</v>
      </c>
      <c r="E59" s="511" t="s">
        <v>8579</v>
      </c>
      <c r="F59" s="1138" t="s">
        <v>664</v>
      </c>
      <c r="G59" s="1138">
        <v>5</v>
      </c>
      <c r="H59" s="1138">
        <v>6</v>
      </c>
      <c r="I59" s="297">
        <f>J59+K59+L59</f>
        <v>1.1000000000000001</v>
      </c>
      <c r="J59" s="297">
        <f>SUM(M59:R59)</f>
        <v>1.1000000000000001</v>
      </c>
      <c r="K59" s="504"/>
      <c r="L59" s="504"/>
      <c r="M59" s="503"/>
      <c r="N59" s="503"/>
      <c r="O59" s="570"/>
      <c r="P59" s="503"/>
      <c r="Q59" s="2099"/>
      <c r="R59" s="1865">
        <v>1.1000000000000001</v>
      </c>
      <c r="S59" s="281"/>
      <c r="T59" s="281"/>
      <c r="U59" s="281"/>
      <c r="V59" s="281"/>
      <c r="W59" s="536"/>
      <c r="X59" s="281"/>
      <c r="Y59" s="170"/>
      <c r="Z59" s="1694"/>
      <c r="AA59" t="s">
        <v>1842</v>
      </c>
      <c r="AB59">
        <v>1</v>
      </c>
      <c r="AE59" s="2461"/>
      <c r="AF59" s="68"/>
      <c r="AK59" s="2815" t="s">
        <v>11233</v>
      </c>
      <c r="AL59" s="2579">
        <f>SUMIFS(P30:P952,F30:F952,4,G30:G952,5)+SUMIFS(Q30:Q952,F30:F952,4,G30:G952,5)</f>
        <v>24.105</v>
      </c>
      <c r="AM59" s="2817"/>
    </row>
    <row r="60" spans="1:39" ht="30.5" x14ac:dyDescent="0.35">
      <c r="A60" s="347">
        <v>17</v>
      </c>
      <c r="B60" s="358">
        <v>10753</v>
      </c>
      <c r="C60" s="358"/>
      <c r="D60" s="358" t="s">
        <v>733</v>
      </c>
      <c r="E60" s="288" t="s">
        <v>9557</v>
      </c>
      <c r="F60" s="1138">
        <v>4</v>
      </c>
      <c r="G60" s="1138">
        <v>4</v>
      </c>
      <c r="H60" s="2422">
        <v>6</v>
      </c>
      <c r="I60" s="501">
        <f t="shared" si="8"/>
        <v>12.56</v>
      </c>
      <c r="J60" s="501">
        <f t="shared" si="9"/>
        <v>12.56</v>
      </c>
      <c r="K60" s="501"/>
      <c r="L60" s="501"/>
      <c r="M60" s="501"/>
      <c r="N60" s="501">
        <v>12.56</v>
      </c>
      <c r="O60" s="568"/>
      <c r="P60" s="501"/>
      <c r="Q60" s="860"/>
      <c r="R60" s="870"/>
      <c r="S60" s="279">
        <v>1</v>
      </c>
      <c r="T60" s="279">
        <v>27.3</v>
      </c>
      <c r="U60" s="281"/>
      <c r="V60" s="281"/>
      <c r="W60" s="97">
        <v>12</v>
      </c>
      <c r="X60" s="279">
        <v>212.9</v>
      </c>
      <c r="Y60" s="170"/>
      <c r="Z60" s="1694"/>
      <c r="AB60">
        <v>1</v>
      </c>
      <c r="AE60" s="2461"/>
      <c r="AF60" s="68"/>
      <c r="AK60" s="2815" t="s">
        <v>910</v>
      </c>
      <c r="AL60" s="2579">
        <f>SUMIFS(R30:R952,F30:F952,4,G30:G952,5)</f>
        <v>0</v>
      </c>
      <c r="AM60" s="2817"/>
    </row>
    <row r="61" spans="1:39" ht="30.5" x14ac:dyDescent="0.35">
      <c r="A61" s="347">
        <v>18</v>
      </c>
      <c r="B61" s="358">
        <v>10753</v>
      </c>
      <c r="C61" s="358"/>
      <c r="D61" s="2464" t="s">
        <v>5055</v>
      </c>
      <c r="E61" s="288" t="s">
        <v>9558</v>
      </c>
      <c r="F61" s="1138" t="s">
        <v>827</v>
      </c>
      <c r="G61" s="1138">
        <v>5</v>
      </c>
      <c r="H61" s="1138">
        <v>6</v>
      </c>
      <c r="I61" s="501">
        <f t="shared" si="8"/>
        <v>1</v>
      </c>
      <c r="J61" s="501">
        <f t="shared" si="9"/>
        <v>1</v>
      </c>
      <c r="K61" s="503"/>
      <c r="L61" s="503"/>
      <c r="M61" s="503"/>
      <c r="N61" s="503"/>
      <c r="O61" s="570"/>
      <c r="P61" s="503"/>
      <c r="Q61" s="864"/>
      <c r="R61" s="870">
        <v>1</v>
      </c>
      <c r="S61" s="281"/>
      <c r="T61" s="281"/>
      <c r="U61" s="281"/>
      <c r="V61" s="281"/>
      <c r="W61" s="97">
        <v>2</v>
      </c>
      <c r="X61" s="279">
        <v>20.9</v>
      </c>
      <c r="Y61" s="170">
        <v>1</v>
      </c>
      <c r="Z61" s="2982">
        <v>10.1</v>
      </c>
      <c r="AB61">
        <v>1</v>
      </c>
      <c r="AE61" s="2461"/>
      <c r="AF61" s="68"/>
      <c r="AK61" s="2818" t="s">
        <v>7185</v>
      </c>
      <c r="AL61" s="2821">
        <f>AL62+AL63+AL64+AL65+AL66</f>
        <v>131.07599999999999</v>
      </c>
      <c r="AM61" s="2820">
        <f>AL61-AG31</f>
        <v>0</v>
      </c>
    </row>
    <row r="62" spans="1:39" ht="60.5" x14ac:dyDescent="0.35">
      <c r="A62" s="347">
        <v>19</v>
      </c>
      <c r="B62" s="2118">
        <v>10753</v>
      </c>
      <c r="C62" s="2118" t="s">
        <v>1656</v>
      </c>
      <c r="D62" s="2464" t="s">
        <v>5056</v>
      </c>
      <c r="E62" s="2383" t="s">
        <v>9559</v>
      </c>
      <c r="F62" s="2742" t="s">
        <v>664</v>
      </c>
      <c r="G62" s="2742">
        <v>5</v>
      </c>
      <c r="H62" s="1138">
        <v>6</v>
      </c>
      <c r="I62" s="2102">
        <f t="shared" si="8"/>
        <v>0.36</v>
      </c>
      <c r="J62" s="2102">
        <f t="shared" si="9"/>
        <v>0.36</v>
      </c>
      <c r="K62" s="622"/>
      <c r="L62" s="622"/>
      <c r="M62" s="622"/>
      <c r="N62" s="622"/>
      <c r="O62" s="622"/>
      <c r="P62" s="622"/>
      <c r="Q62" s="2085"/>
      <c r="R62" s="906">
        <v>0.36</v>
      </c>
      <c r="S62" s="2115"/>
      <c r="T62" s="2115"/>
      <c r="U62" s="2115"/>
      <c r="V62" s="2115"/>
      <c r="W62" s="2339"/>
      <c r="X62" s="2339"/>
      <c r="Y62" s="2339"/>
      <c r="Z62" s="2983"/>
      <c r="AB62">
        <v>1</v>
      </c>
      <c r="AE62" s="2461"/>
      <c r="AF62" s="68"/>
      <c r="AK62" s="2815" t="s">
        <v>11230</v>
      </c>
      <c r="AL62" s="2579">
        <f>SUMIFS(M30:M952,F30:F952,5,G30:G952,5)</f>
        <v>0</v>
      </c>
      <c r="AM62" s="2817"/>
    </row>
    <row r="63" spans="1:39" ht="45.5" x14ac:dyDescent="0.35">
      <c r="A63" s="347">
        <v>20</v>
      </c>
      <c r="B63" s="2118">
        <v>10753</v>
      </c>
      <c r="C63" s="2118" t="s">
        <v>1656</v>
      </c>
      <c r="D63" s="2464" t="s">
        <v>5059</v>
      </c>
      <c r="E63" s="2383" t="s">
        <v>9560</v>
      </c>
      <c r="F63" s="2742" t="s">
        <v>664</v>
      </c>
      <c r="G63" s="2742">
        <v>5</v>
      </c>
      <c r="H63" s="1138">
        <v>6</v>
      </c>
      <c r="I63" s="2102">
        <f t="shared" si="8"/>
        <v>0.1</v>
      </c>
      <c r="J63" s="2102">
        <f t="shared" si="9"/>
        <v>0.1</v>
      </c>
      <c r="K63" s="622"/>
      <c r="L63" s="622"/>
      <c r="M63" s="622"/>
      <c r="N63" s="622"/>
      <c r="O63" s="622"/>
      <c r="P63" s="622"/>
      <c r="Q63" s="2085"/>
      <c r="R63" s="906">
        <v>0.1</v>
      </c>
      <c r="S63" s="2115"/>
      <c r="T63" s="2115"/>
      <c r="U63" s="2115"/>
      <c r="V63" s="2115"/>
      <c r="W63" s="2339"/>
      <c r="X63" s="2339"/>
      <c r="Y63" s="2339"/>
      <c r="Z63" s="2983"/>
      <c r="AB63">
        <v>1</v>
      </c>
      <c r="AE63" s="2461"/>
      <c r="AF63" s="68"/>
      <c r="AK63" s="2815" t="s">
        <v>11231</v>
      </c>
      <c r="AL63" s="2579">
        <f>SUMIFS(N30:N952,F30:F952,5,G30:G952,5)</f>
        <v>27.106000000000002</v>
      </c>
      <c r="AM63" s="2817"/>
    </row>
    <row r="64" spans="1:39" ht="45.5" x14ac:dyDescent="0.35">
      <c r="A64" s="347">
        <v>21</v>
      </c>
      <c r="B64" s="1134">
        <v>10753</v>
      </c>
      <c r="C64" s="358" t="s">
        <v>1656</v>
      </c>
      <c r="D64" s="2464" t="s">
        <v>5061</v>
      </c>
      <c r="E64" s="511" t="s">
        <v>9561</v>
      </c>
      <c r="F64" s="1138" t="s">
        <v>664</v>
      </c>
      <c r="G64" s="1138">
        <v>5</v>
      </c>
      <c r="H64" s="1138">
        <v>6</v>
      </c>
      <c r="I64" s="297">
        <f>J64+K64+L64</f>
        <v>1.6</v>
      </c>
      <c r="J64" s="297">
        <f>SUM(M64:R64)</f>
        <v>1.6</v>
      </c>
      <c r="K64" s="502"/>
      <c r="L64" s="502"/>
      <c r="M64" s="501"/>
      <c r="N64" s="501"/>
      <c r="O64" s="568"/>
      <c r="P64" s="501"/>
      <c r="Q64" s="1856"/>
      <c r="R64" s="1865">
        <v>1.6</v>
      </c>
      <c r="S64" s="281"/>
      <c r="T64" s="281"/>
      <c r="U64" s="281"/>
      <c r="V64" s="281"/>
      <c r="W64" s="97"/>
      <c r="X64" s="95"/>
      <c r="Y64" s="170"/>
      <c r="Z64" s="1694"/>
      <c r="AA64" t="s">
        <v>1842</v>
      </c>
      <c r="AB64">
        <v>1</v>
      </c>
      <c r="AE64" s="2461"/>
      <c r="AF64" s="68"/>
      <c r="AK64" s="2815" t="s">
        <v>11232</v>
      </c>
      <c r="AL64" s="2579">
        <f>SUMIFS(O30:O952,F30:F952,5,G30:G952,5)</f>
        <v>0</v>
      </c>
      <c r="AM64" s="2817"/>
    </row>
    <row r="65" spans="1:39" ht="45.5" x14ac:dyDescent="0.35">
      <c r="A65" s="347">
        <v>22</v>
      </c>
      <c r="B65" s="1134">
        <v>10753</v>
      </c>
      <c r="C65" s="358" t="s">
        <v>1656</v>
      </c>
      <c r="D65" s="2464" t="s">
        <v>5062</v>
      </c>
      <c r="E65" s="511" t="s">
        <v>9562</v>
      </c>
      <c r="F65" s="1138" t="s">
        <v>664</v>
      </c>
      <c r="G65" s="1138">
        <v>5</v>
      </c>
      <c r="H65" s="1138">
        <v>6</v>
      </c>
      <c r="I65" s="297">
        <f>J65+K65+L65</f>
        <v>3.3</v>
      </c>
      <c r="J65" s="297">
        <f>SUM(M65:R65)</f>
        <v>3.3</v>
      </c>
      <c r="K65" s="501"/>
      <c r="L65" s="501"/>
      <c r="M65" s="501"/>
      <c r="N65" s="501"/>
      <c r="O65" s="568"/>
      <c r="P65" s="501"/>
      <c r="Q65" s="1856"/>
      <c r="R65" s="1865">
        <v>3.3</v>
      </c>
      <c r="S65" s="279"/>
      <c r="T65" s="279"/>
      <c r="U65" s="281"/>
      <c r="V65" s="281"/>
      <c r="W65" s="97"/>
      <c r="X65" s="279"/>
      <c r="Y65" s="170"/>
      <c r="Z65" s="1694"/>
      <c r="AA65" t="s">
        <v>1842</v>
      </c>
      <c r="AB65">
        <v>1</v>
      </c>
      <c r="AE65" s="2461"/>
      <c r="AF65" s="68"/>
      <c r="AK65" s="2815" t="s">
        <v>11233</v>
      </c>
      <c r="AL65" s="2579">
        <f>SUMIFS(P30:P952,F30:F952,5,G30:G952,5)+SUMIFS(Q30:Q952,F30:F952,5,G30:G952,5)</f>
        <v>80.929999999999993</v>
      </c>
      <c r="AM65" s="2817"/>
    </row>
    <row r="66" spans="1:39" ht="45.5" x14ac:dyDescent="0.35">
      <c r="A66" s="347">
        <v>23</v>
      </c>
      <c r="B66" s="1134">
        <v>10753</v>
      </c>
      <c r="C66" s="358" t="s">
        <v>1656</v>
      </c>
      <c r="D66" s="2464" t="s">
        <v>5063</v>
      </c>
      <c r="E66" s="2374" t="s">
        <v>9563</v>
      </c>
      <c r="F66" s="1138" t="s">
        <v>827</v>
      </c>
      <c r="G66" s="1138">
        <v>5</v>
      </c>
      <c r="H66" s="2422">
        <v>6</v>
      </c>
      <c r="I66" s="297">
        <f>J66+K66+L66</f>
        <v>4.0339999999999998</v>
      </c>
      <c r="J66" s="297">
        <f>SUM(M66:R66)</f>
        <v>4.0339999999999998</v>
      </c>
      <c r="K66" s="503"/>
      <c r="L66" s="503"/>
      <c r="M66" s="503"/>
      <c r="N66" s="503"/>
      <c r="O66" s="570"/>
      <c r="P66" s="503"/>
      <c r="Q66" s="2099">
        <v>4.0339999999999998</v>
      </c>
      <c r="R66" s="2098"/>
      <c r="S66" s="281"/>
      <c r="T66" s="281"/>
      <c r="U66" s="281"/>
      <c r="V66" s="281"/>
      <c r="W66" s="2450">
        <v>3</v>
      </c>
      <c r="X66" s="2451">
        <f>12.5+12.5+10</f>
        <v>35</v>
      </c>
      <c r="Y66" s="170"/>
      <c r="Z66" s="1694"/>
      <c r="AA66" t="s">
        <v>2327</v>
      </c>
      <c r="AB66">
        <v>1</v>
      </c>
      <c r="AE66" s="2461"/>
      <c r="AF66" s="68"/>
      <c r="AK66" s="2815" t="s">
        <v>910</v>
      </c>
      <c r="AL66" s="2579">
        <f>SUMIFS(R30:R952,F30:F952,5,G30:G952,5)</f>
        <v>23.04</v>
      </c>
      <c r="AM66" s="2817"/>
    </row>
    <row r="67" spans="1:39" s="63" customFormat="1" ht="46" x14ac:dyDescent="0.4">
      <c r="A67" s="347">
        <v>24</v>
      </c>
      <c r="B67" s="1134">
        <v>10753</v>
      </c>
      <c r="C67" s="358" t="s">
        <v>1656</v>
      </c>
      <c r="D67" s="2464" t="s">
        <v>5064</v>
      </c>
      <c r="E67" s="2374" t="s">
        <v>9564</v>
      </c>
      <c r="F67" s="1138" t="s">
        <v>664</v>
      </c>
      <c r="G67" s="1138">
        <v>5</v>
      </c>
      <c r="H67" s="1138">
        <v>6</v>
      </c>
      <c r="I67" s="297">
        <f>J67+K67+L67</f>
        <v>0.1</v>
      </c>
      <c r="J67" s="297">
        <f>SUM(M67:R67)</f>
        <v>0.1</v>
      </c>
      <c r="K67" s="504"/>
      <c r="L67" s="504"/>
      <c r="M67" s="503"/>
      <c r="N67" s="503"/>
      <c r="O67" s="570"/>
      <c r="P67" s="503"/>
      <c r="Q67" s="2099"/>
      <c r="R67" s="1865">
        <v>0.1</v>
      </c>
      <c r="S67" s="170"/>
      <c r="T67" s="138"/>
      <c r="U67" s="170"/>
      <c r="V67" s="170"/>
      <c r="W67" s="170"/>
      <c r="X67" s="138"/>
      <c r="Y67" s="170"/>
      <c r="Z67" s="1694"/>
      <c r="AA67" s="63" t="s">
        <v>2327</v>
      </c>
      <c r="AB67">
        <v>1</v>
      </c>
      <c r="AE67" s="2461"/>
      <c r="AF67" s="68"/>
      <c r="AK67" s="2818" t="s">
        <v>11234</v>
      </c>
      <c r="AL67" s="2821">
        <f>AL68+AL69+AL70+AL71+AL72</f>
        <v>153.40899999999996</v>
      </c>
      <c r="AM67" s="2820">
        <f>AL67-AH31-AI31-AJ31</f>
        <v>0</v>
      </c>
    </row>
    <row r="68" spans="1:39" ht="45.5" x14ac:dyDescent="0.35">
      <c r="A68" s="347">
        <v>25</v>
      </c>
      <c r="B68" s="1134">
        <v>10753</v>
      </c>
      <c r="C68" s="2118" t="s">
        <v>1656</v>
      </c>
      <c r="D68" s="2464" t="s">
        <v>5065</v>
      </c>
      <c r="E68" s="2382" t="s">
        <v>9565</v>
      </c>
      <c r="F68" s="2742" t="s">
        <v>664</v>
      </c>
      <c r="G68" s="1138">
        <v>5</v>
      </c>
      <c r="H68" s="1138">
        <v>6</v>
      </c>
      <c r="I68" s="297">
        <f>J68+K68+L68</f>
        <v>0.9</v>
      </c>
      <c r="J68" s="297">
        <f>SUM(M68:R68)</f>
        <v>0.9</v>
      </c>
      <c r="K68" s="622"/>
      <c r="L68" s="622"/>
      <c r="M68" s="622"/>
      <c r="N68" s="622"/>
      <c r="O68" s="622"/>
      <c r="P68" s="622"/>
      <c r="Q68" s="2085"/>
      <c r="R68" s="906">
        <v>0.9</v>
      </c>
      <c r="S68" s="2115"/>
      <c r="T68" s="2115"/>
      <c r="U68" s="2115"/>
      <c r="V68" s="2115"/>
      <c r="W68" s="2339"/>
      <c r="X68" s="2339"/>
      <c r="Y68" s="2339"/>
      <c r="Z68" s="2983"/>
      <c r="AA68" t="s">
        <v>2327</v>
      </c>
      <c r="AB68">
        <v>1</v>
      </c>
      <c r="AE68" s="2461"/>
      <c r="AF68" s="68"/>
      <c r="AK68" s="2815" t="s">
        <v>11230</v>
      </c>
      <c r="AL68" s="2579">
        <f>SUMIFS(M30:M952,F30:F952,"6а",G30:G952,5)+SUMIFS(M30:M952,F30:F952,"6б",G30:G952,5)+SUMIFS(M30:M952,F30:F952,"б/к",G30:G952,5)</f>
        <v>0</v>
      </c>
      <c r="AM68" s="2817"/>
    </row>
    <row r="69" spans="1:39" ht="30.5" x14ac:dyDescent="0.35">
      <c r="A69" s="347">
        <v>26</v>
      </c>
      <c r="B69" s="358">
        <v>10754</v>
      </c>
      <c r="C69" s="358"/>
      <c r="D69" s="358" t="s">
        <v>1648</v>
      </c>
      <c r="E69" s="288" t="s">
        <v>9566</v>
      </c>
      <c r="F69" s="1138">
        <v>4</v>
      </c>
      <c r="G69" s="1138">
        <v>4</v>
      </c>
      <c r="H69" s="2422">
        <v>6</v>
      </c>
      <c r="I69" s="501">
        <f t="shared" si="8"/>
        <v>12.262</v>
      </c>
      <c r="J69" s="501">
        <f t="shared" si="9"/>
        <v>12.262</v>
      </c>
      <c r="K69" s="501"/>
      <c r="L69" s="501"/>
      <c r="M69" s="501"/>
      <c r="N69" s="501">
        <v>12.262</v>
      </c>
      <c r="O69" s="568"/>
      <c r="P69" s="501"/>
      <c r="Q69" s="860"/>
      <c r="R69" s="870"/>
      <c r="S69" s="281"/>
      <c r="T69" s="281"/>
      <c r="U69" s="281"/>
      <c r="V69" s="281"/>
      <c r="W69" s="97">
        <v>16</v>
      </c>
      <c r="X69" s="279">
        <v>259.5</v>
      </c>
      <c r="Y69" s="170"/>
      <c r="Z69" s="1694"/>
      <c r="AB69">
        <v>1</v>
      </c>
      <c r="AE69" s="2461"/>
      <c r="AF69" s="68"/>
      <c r="AK69" s="2815" t="s">
        <v>11231</v>
      </c>
      <c r="AL69" s="2579">
        <f>SUMIFS(N30:N952,F30:F952,"6а",G30:G952,5)+SUMIFS(N30:N952,F30:F952,"6б",G30:G952,5)+SUMIFS(N30:N952,F30:F952,"б/к",G30:G952,5)</f>
        <v>11.834999999999997</v>
      </c>
      <c r="AM69" s="2817"/>
    </row>
    <row r="70" spans="1:39" ht="45.5" x14ac:dyDescent="0.35">
      <c r="A70" s="347">
        <v>27</v>
      </c>
      <c r="B70" s="405">
        <v>10754</v>
      </c>
      <c r="C70" s="405"/>
      <c r="D70" s="2464" t="s">
        <v>5066</v>
      </c>
      <c r="E70" s="288" t="s">
        <v>9567</v>
      </c>
      <c r="F70" s="1138" t="s">
        <v>827</v>
      </c>
      <c r="G70" s="1138">
        <v>5</v>
      </c>
      <c r="H70" s="1138">
        <v>6</v>
      </c>
      <c r="I70" s="501">
        <f t="shared" si="8"/>
        <v>1.2</v>
      </c>
      <c r="J70" s="501">
        <f t="shared" si="9"/>
        <v>1.2</v>
      </c>
      <c r="K70" s="501"/>
      <c r="L70" s="501"/>
      <c r="M70" s="501"/>
      <c r="N70" s="501"/>
      <c r="O70" s="568"/>
      <c r="P70" s="501"/>
      <c r="Q70" s="860"/>
      <c r="R70" s="870">
        <v>1.2</v>
      </c>
      <c r="S70" s="170"/>
      <c r="T70" s="138"/>
      <c r="U70" s="170"/>
      <c r="V70" s="170"/>
      <c r="W70" s="61"/>
      <c r="X70" s="135"/>
      <c r="Y70" s="170"/>
      <c r="Z70" s="1694"/>
      <c r="AB70">
        <v>1</v>
      </c>
      <c r="AE70" s="2461"/>
      <c r="AF70" s="68"/>
      <c r="AK70" s="2815" t="s">
        <v>11232</v>
      </c>
      <c r="AL70" s="2579">
        <f>SUMIFS(O30:O952,F30:F952,"6а",G30:G952,5)+SUMIFS(O30:O952,F30:F952,"6б",G30:G952,5)+SUMIFS(O30:O952,F30:F952,"б/к",G30:G952,5)</f>
        <v>0</v>
      </c>
      <c r="AM70" s="2817"/>
    </row>
    <row r="71" spans="1:39" ht="45.5" x14ac:dyDescent="0.35">
      <c r="A71" s="347">
        <v>28</v>
      </c>
      <c r="B71" s="828">
        <v>10754</v>
      </c>
      <c r="C71" s="828"/>
      <c r="D71" s="2464" t="s">
        <v>5067</v>
      </c>
      <c r="E71" s="511" t="s">
        <v>9568</v>
      </c>
      <c r="F71" s="1138" t="s">
        <v>827</v>
      </c>
      <c r="G71" s="1138">
        <v>5</v>
      </c>
      <c r="H71" s="2422">
        <v>6</v>
      </c>
      <c r="I71" s="501">
        <f t="shared" si="8"/>
        <v>0.54</v>
      </c>
      <c r="J71" s="501">
        <f t="shared" si="9"/>
        <v>0.54</v>
      </c>
      <c r="K71" s="500"/>
      <c r="L71" s="500"/>
      <c r="M71" s="500"/>
      <c r="N71" s="500">
        <v>0.54</v>
      </c>
      <c r="O71" s="568"/>
      <c r="P71" s="500"/>
      <c r="Q71" s="860"/>
      <c r="R71" s="870"/>
      <c r="S71" s="163"/>
      <c r="T71" s="537"/>
      <c r="U71" s="163"/>
      <c r="V71" s="163"/>
      <c r="W71" s="538"/>
      <c r="X71" s="539"/>
      <c r="Y71" s="163"/>
      <c r="Z71" s="1694"/>
      <c r="AB71">
        <v>1</v>
      </c>
      <c r="AE71" s="2461"/>
      <c r="AF71" s="68"/>
      <c r="AK71" s="2815" t="s">
        <v>11233</v>
      </c>
      <c r="AL71" s="2579">
        <f>SUMIFS(P30:P952,F30:F952,"6а",G30:G952,5)+SUMIFS(Q30:Q952,F30:F952,"6а",G30:G952,5)+SUMIFS(P30:P952,F30:F952,"6б",G30:G952,5)+SUMIFS(Q30:Q952,F30:F952,"6б",G30:G952,5)+SUMIFS(P30:P952,F30:F952,"б/к",G30:G952,5)+SUMIFS(Q30:Q952,F30:F952,"б/к",G30:G952,5)</f>
        <v>9.9239999999999995</v>
      </c>
      <c r="AM71" s="2817"/>
    </row>
    <row r="72" spans="1:39" ht="45.5" x14ac:dyDescent="0.35">
      <c r="A72" s="347">
        <v>29</v>
      </c>
      <c r="B72" s="2118">
        <v>10754</v>
      </c>
      <c r="C72" s="2118" t="s">
        <v>1656</v>
      </c>
      <c r="D72" s="2464" t="s">
        <v>5068</v>
      </c>
      <c r="E72" s="2383" t="s">
        <v>9569</v>
      </c>
      <c r="F72" s="2742" t="s">
        <v>664</v>
      </c>
      <c r="G72" s="2742">
        <v>5</v>
      </c>
      <c r="H72" s="1138">
        <v>6</v>
      </c>
      <c r="I72" s="2102">
        <f t="shared" si="8"/>
        <v>0.2</v>
      </c>
      <c r="J72" s="2102">
        <f t="shared" si="9"/>
        <v>0.2</v>
      </c>
      <c r="K72" s="622"/>
      <c r="L72" s="622"/>
      <c r="M72" s="622"/>
      <c r="N72" s="622"/>
      <c r="O72" s="622"/>
      <c r="P72" s="622"/>
      <c r="Q72" s="2085"/>
      <c r="R72" s="906">
        <v>0.2</v>
      </c>
      <c r="S72" s="2115"/>
      <c r="T72" s="2115"/>
      <c r="U72" s="2115"/>
      <c r="V72" s="2115"/>
      <c r="W72" s="2339"/>
      <c r="X72" s="2339"/>
      <c r="Y72" s="2339"/>
      <c r="Z72" s="2983"/>
      <c r="AB72">
        <v>1</v>
      </c>
      <c r="AE72" s="2461"/>
      <c r="AF72" s="68"/>
      <c r="AK72" s="2815" t="s">
        <v>910</v>
      </c>
      <c r="AL72" s="2579">
        <f>SUMIFS(R30:R952,F30:F952,"6а",G30:G952,5)+SUMIFS(R30:R952,F30:F952,"6б",G30:G952,5)+SUMIFS(R30:R952,F30:F952,"б/к",G30:G952,5)</f>
        <v>131.64999999999998</v>
      </c>
      <c r="AM72" s="2817"/>
    </row>
    <row r="73" spans="1:39" ht="45.5" x14ac:dyDescent="0.35">
      <c r="A73" s="347">
        <v>30</v>
      </c>
      <c r="B73" s="2118">
        <v>10754</v>
      </c>
      <c r="C73" s="2118" t="s">
        <v>1656</v>
      </c>
      <c r="D73" s="2464" t="s">
        <v>5069</v>
      </c>
      <c r="E73" s="2383" t="s">
        <v>9570</v>
      </c>
      <c r="F73" s="2742" t="s">
        <v>827</v>
      </c>
      <c r="G73" s="2742">
        <v>5</v>
      </c>
      <c r="H73" s="2422">
        <v>6</v>
      </c>
      <c r="I73" s="2102">
        <f t="shared" si="8"/>
        <v>0.1</v>
      </c>
      <c r="J73" s="2102">
        <f t="shared" si="9"/>
        <v>0.1</v>
      </c>
      <c r="K73" s="622"/>
      <c r="L73" s="622"/>
      <c r="M73" s="622"/>
      <c r="N73" s="622">
        <v>0.1</v>
      </c>
      <c r="O73" s="622"/>
      <c r="P73" s="622"/>
      <c r="Q73" s="2085"/>
      <c r="R73" s="906"/>
      <c r="S73" s="2115"/>
      <c r="T73" s="2115"/>
      <c r="U73" s="2115"/>
      <c r="V73" s="2115"/>
      <c r="W73" s="2339"/>
      <c r="X73" s="2339"/>
      <c r="Y73" s="2339"/>
      <c r="Z73" s="2983"/>
      <c r="AB73">
        <v>1</v>
      </c>
      <c r="AE73" s="2461"/>
      <c r="AF73" s="68"/>
      <c r="AK73" s="2815"/>
      <c r="AL73" s="2579"/>
      <c r="AM73" s="2817"/>
    </row>
    <row r="74" spans="1:39" ht="45.5" x14ac:dyDescent="0.35">
      <c r="A74" s="347">
        <v>31</v>
      </c>
      <c r="B74" s="2118">
        <v>10754</v>
      </c>
      <c r="C74" s="2118" t="s">
        <v>1656</v>
      </c>
      <c r="D74" s="2464" t="s">
        <v>5070</v>
      </c>
      <c r="E74" s="2383" t="s">
        <v>9571</v>
      </c>
      <c r="F74" s="2742" t="s">
        <v>827</v>
      </c>
      <c r="G74" s="2742">
        <v>5</v>
      </c>
      <c r="H74" s="1138">
        <v>6</v>
      </c>
      <c r="I74" s="2102">
        <f t="shared" si="8"/>
        <v>0.2</v>
      </c>
      <c r="J74" s="2102">
        <f t="shared" si="9"/>
        <v>0.2</v>
      </c>
      <c r="K74" s="622"/>
      <c r="L74" s="622"/>
      <c r="M74" s="622"/>
      <c r="N74" s="622"/>
      <c r="O74" s="622"/>
      <c r="P74" s="622"/>
      <c r="Q74" s="2085"/>
      <c r="R74" s="906">
        <v>0.2</v>
      </c>
      <c r="S74" s="2115"/>
      <c r="T74" s="2115"/>
      <c r="U74" s="2115"/>
      <c r="V74" s="2115"/>
      <c r="W74" s="2339"/>
      <c r="X74" s="2339"/>
      <c r="Y74" s="2339"/>
      <c r="Z74" s="2983"/>
      <c r="AB74">
        <v>1</v>
      </c>
      <c r="AE74" s="2461"/>
      <c r="AF74" s="68"/>
      <c r="AK74" s="2822" t="s">
        <v>11237</v>
      </c>
      <c r="AL74" s="2823">
        <f>AL11+AL32+AL53</f>
        <v>420.39299999999997</v>
      </c>
      <c r="AM74" s="2824">
        <f>AL74-J10</f>
        <v>0</v>
      </c>
    </row>
    <row r="75" spans="1:39" s="63" customFormat="1" ht="31" x14ac:dyDescent="0.4">
      <c r="A75" s="347">
        <v>32</v>
      </c>
      <c r="B75" s="405">
        <v>10755</v>
      </c>
      <c r="C75" s="405"/>
      <c r="D75" s="405" t="s">
        <v>1494</v>
      </c>
      <c r="E75" s="288" t="s">
        <v>9855</v>
      </c>
      <c r="F75" s="1138"/>
      <c r="G75" s="1138" t="s">
        <v>191</v>
      </c>
      <c r="H75" s="2422" t="s">
        <v>191</v>
      </c>
      <c r="I75" s="501">
        <f t="shared" si="8"/>
        <v>12.299999999999999</v>
      </c>
      <c r="J75" s="501">
        <f t="shared" si="9"/>
        <v>12.299999999999999</v>
      </c>
      <c r="K75" s="501"/>
      <c r="L75" s="501"/>
      <c r="M75" s="501"/>
      <c r="N75" s="501">
        <f>SUM(N76:N77)</f>
        <v>2.77</v>
      </c>
      <c r="O75" s="568"/>
      <c r="P75" s="501"/>
      <c r="Q75" s="860">
        <f>SUM(Q76:Q77)</f>
        <v>9.5299999999999994</v>
      </c>
      <c r="R75" s="870"/>
      <c r="S75" s="281"/>
      <c r="T75" s="281"/>
      <c r="U75" s="281"/>
      <c r="V75" s="281"/>
      <c r="W75" s="97">
        <v>10</v>
      </c>
      <c r="X75" s="279">
        <v>152.6</v>
      </c>
      <c r="Y75" s="170">
        <v>2</v>
      </c>
      <c r="Z75" s="2982">
        <v>24.5</v>
      </c>
      <c r="AA75"/>
      <c r="AB75">
        <v>1</v>
      </c>
      <c r="AE75" s="2461"/>
      <c r="AF75" s="68"/>
      <c r="AK75" s="2825" t="s">
        <v>11238</v>
      </c>
      <c r="AL75" s="2826">
        <f>AL34+AL55+AL13</f>
        <v>103.09800000000001</v>
      </c>
      <c r="AM75" s="2827">
        <f>AL75-J12</f>
        <v>0</v>
      </c>
    </row>
    <row r="76" spans="1:39" s="63" customFormat="1" ht="16" x14ac:dyDescent="0.4">
      <c r="A76" s="359"/>
      <c r="B76" s="405">
        <v>10755</v>
      </c>
      <c r="C76" s="405"/>
      <c r="D76" s="360"/>
      <c r="E76" s="289" t="s">
        <v>2188</v>
      </c>
      <c r="F76" s="1138">
        <v>5</v>
      </c>
      <c r="G76" s="1138">
        <v>5</v>
      </c>
      <c r="H76" s="2422">
        <v>6</v>
      </c>
      <c r="I76" s="502"/>
      <c r="J76" s="502"/>
      <c r="K76" s="502"/>
      <c r="L76" s="502"/>
      <c r="M76" s="502"/>
      <c r="N76" s="502">
        <v>2.77</v>
      </c>
      <c r="O76" s="569"/>
      <c r="P76" s="502"/>
      <c r="Q76" s="863"/>
      <c r="R76" s="873"/>
      <c r="S76" s="281"/>
      <c r="T76" s="281"/>
      <c r="U76" s="281"/>
      <c r="V76" s="281"/>
      <c r="W76" s="97"/>
      <c r="X76" s="95"/>
      <c r="Y76" s="170"/>
      <c r="Z76" s="1694"/>
      <c r="AA76" s="1778" t="s">
        <v>3225</v>
      </c>
      <c r="AB76"/>
      <c r="AE76" s="2461"/>
      <c r="AF76" s="68"/>
      <c r="AK76" s="2828" t="s">
        <v>11239</v>
      </c>
      <c r="AL76" s="2826">
        <f>AL19+AL40+AL61</f>
        <v>158.066</v>
      </c>
      <c r="AM76" s="2827">
        <f>AL76-J13</f>
        <v>0</v>
      </c>
    </row>
    <row r="77" spans="1:39" x14ac:dyDescent="0.35">
      <c r="A77" s="359"/>
      <c r="B77" s="405">
        <v>10755</v>
      </c>
      <c r="C77" s="405"/>
      <c r="D77" s="360"/>
      <c r="E77" s="837" t="s">
        <v>1250</v>
      </c>
      <c r="F77" s="1138">
        <v>5</v>
      </c>
      <c r="G77" s="1138">
        <v>5</v>
      </c>
      <c r="H77" s="2422">
        <v>6</v>
      </c>
      <c r="I77" s="502"/>
      <c r="J77" s="502"/>
      <c r="K77" s="502"/>
      <c r="L77" s="502"/>
      <c r="M77" s="502"/>
      <c r="N77" s="502"/>
      <c r="O77" s="569"/>
      <c r="P77" s="502"/>
      <c r="Q77" s="863">
        <v>9.5299999999999994</v>
      </c>
      <c r="R77" s="873"/>
      <c r="S77" s="281"/>
      <c r="T77" s="281"/>
      <c r="U77" s="281"/>
      <c r="V77" s="281"/>
      <c r="W77" s="97"/>
      <c r="X77" s="279"/>
      <c r="Y77" s="170"/>
      <c r="Z77" s="1694"/>
      <c r="AE77" s="2461"/>
      <c r="AF77" s="68"/>
      <c r="AK77" s="2828" t="s">
        <v>11240</v>
      </c>
      <c r="AL77" s="2826">
        <f>AL25+AL46+AL67</f>
        <v>159.22899999999996</v>
      </c>
      <c r="AM77" s="2827">
        <f>AL77-J14</f>
        <v>0</v>
      </c>
    </row>
    <row r="78" spans="1:39" ht="60.5" x14ac:dyDescent="0.35">
      <c r="A78" s="827">
        <v>33</v>
      </c>
      <c r="B78" s="828">
        <v>10755</v>
      </c>
      <c r="C78" s="828"/>
      <c r="D78" s="2464" t="s">
        <v>5071</v>
      </c>
      <c r="E78" s="511" t="s">
        <v>9856</v>
      </c>
      <c r="F78" s="1138"/>
      <c r="G78" s="1138" t="s">
        <v>191</v>
      </c>
      <c r="H78" s="2422" t="s">
        <v>191</v>
      </c>
      <c r="I78" s="501">
        <f>J78+K78+L78</f>
        <v>3</v>
      </c>
      <c r="J78" s="501">
        <f>SUM(M78:R78)</f>
        <v>3</v>
      </c>
      <c r="K78" s="500"/>
      <c r="L78" s="500"/>
      <c r="M78" s="500"/>
      <c r="N78" s="500">
        <f>SUM(N79:N80)</f>
        <v>1.75</v>
      </c>
      <c r="O78" s="568"/>
      <c r="P78" s="500"/>
      <c r="Q78" s="860"/>
      <c r="R78" s="870">
        <f>SUM(R79:R80)</f>
        <v>1.25</v>
      </c>
      <c r="S78" s="163"/>
      <c r="T78" s="537"/>
      <c r="U78" s="163"/>
      <c r="V78" s="163"/>
      <c r="W78" s="97">
        <v>1</v>
      </c>
      <c r="X78" s="279">
        <v>10</v>
      </c>
      <c r="Y78" s="163"/>
      <c r="Z78" s="1694"/>
      <c r="AB78">
        <v>1</v>
      </c>
      <c r="AE78" s="2461"/>
      <c r="AF78" s="68"/>
      <c r="AK78" s="2828"/>
      <c r="AL78" s="2826"/>
      <c r="AM78" s="2827"/>
    </row>
    <row r="79" spans="1:39" x14ac:dyDescent="0.35">
      <c r="A79" s="829"/>
      <c r="B79" s="828">
        <v>10755</v>
      </c>
      <c r="C79" s="828"/>
      <c r="D79" s="830"/>
      <c r="E79" s="459" t="s">
        <v>2394</v>
      </c>
      <c r="F79" s="1138" t="s">
        <v>827</v>
      </c>
      <c r="G79" s="1138">
        <v>5</v>
      </c>
      <c r="H79" s="2422">
        <v>6</v>
      </c>
      <c r="I79" s="831"/>
      <c r="J79" s="831"/>
      <c r="K79" s="831"/>
      <c r="L79" s="831"/>
      <c r="M79" s="831"/>
      <c r="N79" s="831">
        <v>1.75</v>
      </c>
      <c r="O79" s="569"/>
      <c r="P79" s="831"/>
      <c r="Q79" s="863"/>
      <c r="R79" s="873"/>
      <c r="S79" s="163"/>
      <c r="T79" s="537"/>
      <c r="U79" s="163"/>
      <c r="V79" s="163"/>
      <c r="W79" s="538"/>
      <c r="X79" s="539"/>
      <c r="Y79" s="163"/>
      <c r="Z79" s="1694"/>
      <c r="AE79" s="2461"/>
      <c r="AF79" s="68"/>
      <c r="AK79" s="2828"/>
      <c r="AL79" s="2826"/>
      <c r="AM79" s="2827"/>
    </row>
    <row r="80" spans="1:39" x14ac:dyDescent="0.35">
      <c r="A80" s="829"/>
      <c r="B80" s="828">
        <v>10755</v>
      </c>
      <c r="C80" s="828"/>
      <c r="D80" s="830"/>
      <c r="E80" s="838" t="s">
        <v>2348</v>
      </c>
      <c r="F80" s="1138" t="s">
        <v>664</v>
      </c>
      <c r="G80" s="1138">
        <v>5</v>
      </c>
      <c r="H80" s="1138">
        <v>6</v>
      </c>
      <c r="I80" s="831"/>
      <c r="J80" s="831"/>
      <c r="K80" s="831"/>
      <c r="L80" s="831"/>
      <c r="M80" s="831"/>
      <c r="N80" s="831"/>
      <c r="O80" s="569"/>
      <c r="P80" s="831"/>
      <c r="Q80" s="863"/>
      <c r="R80" s="873">
        <v>1.25</v>
      </c>
      <c r="S80" s="163"/>
      <c r="T80" s="537"/>
      <c r="U80" s="163"/>
      <c r="V80" s="163"/>
      <c r="W80" s="538"/>
      <c r="X80" s="539"/>
      <c r="Y80" s="163"/>
      <c r="Z80" s="1694"/>
      <c r="AE80" s="2461"/>
      <c r="AF80" s="68"/>
    </row>
    <row r="81" spans="1:32" ht="75.5" x14ac:dyDescent="0.35">
      <c r="A81" s="1823">
        <v>34</v>
      </c>
      <c r="B81" s="1134">
        <v>10755</v>
      </c>
      <c r="C81" s="2118" t="s">
        <v>1656</v>
      </c>
      <c r="D81" s="2464" t="s">
        <v>5072</v>
      </c>
      <c r="E81" s="2382" t="s">
        <v>9857</v>
      </c>
      <c r="F81" s="2742" t="s">
        <v>664</v>
      </c>
      <c r="G81" s="1138">
        <v>5</v>
      </c>
      <c r="H81" s="1138">
        <v>6</v>
      </c>
      <c r="I81" s="297">
        <f t="shared" ref="I81:I89" si="10">J81+K81+L81</f>
        <v>0.5</v>
      </c>
      <c r="J81" s="297">
        <f t="shared" ref="J81:J89" si="11">SUM(M81:R81)</f>
        <v>0.5</v>
      </c>
      <c r="K81" s="622"/>
      <c r="L81" s="622"/>
      <c r="M81" s="622"/>
      <c r="N81" s="622"/>
      <c r="O81" s="622"/>
      <c r="P81" s="622"/>
      <c r="Q81" s="2085"/>
      <c r="R81" s="906">
        <v>0.5</v>
      </c>
      <c r="S81" s="2115"/>
      <c r="T81" s="2115"/>
      <c r="U81" s="2115"/>
      <c r="V81" s="2115"/>
      <c r="W81" s="2339"/>
      <c r="X81" s="2339"/>
      <c r="Y81" s="2339"/>
      <c r="Z81" s="2983"/>
      <c r="AA81" t="s">
        <v>2327</v>
      </c>
      <c r="AB81">
        <v>1</v>
      </c>
      <c r="AE81" s="2461"/>
      <c r="AF81" s="68"/>
    </row>
    <row r="82" spans="1:32" ht="60.5" x14ac:dyDescent="0.35">
      <c r="A82" s="1823">
        <v>35</v>
      </c>
      <c r="B82" s="2118">
        <v>10755</v>
      </c>
      <c r="C82" s="2118" t="s">
        <v>1656</v>
      </c>
      <c r="D82" s="2464" t="s">
        <v>5073</v>
      </c>
      <c r="E82" s="2383" t="s">
        <v>9858</v>
      </c>
      <c r="F82" s="2742" t="s">
        <v>664</v>
      </c>
      <c r="G82" s="2742">
        <v>5</v>
      </c>
      <c r="H82" s="1138">
        <v>6</v>
      </c>
      <c r="I82" s="2102">
        <f t="shared" si="10"/>
        <v>0.1</v>
      </c>
      <c r="J82" s="2102">
        <f t="shared" si="11"/>
        <v>0.1</v>
      </c>
      <c r="K82" s="622"/>
      <c r="L82" s="622"/>
      <c r="M82" s="622"/>
      <c r="N82" s="622"/>
      <c r="O82" s="622"/>
      <c r="P82" s="622"/>
      <c r="Q82" s="2085"/>
      <c r="R82" s="906">
        <v>0.1</v>
      </c>
      <c r="S82" s="2115"/>
      <c r="T82" s="2115"/>
      <c r="U82" s="2115"/>
      <c r="V82" s="2115"/>
      <c r="W82" s="2339"/>
      <c r="X82" s="2339"/>
      <c r="Y82" s="2339"/>
      <c r="Z82" s="2983"/>
      <c r="AB82">
        <v>1</v>
      </c>
      <c r="AE82" s="2461"/>
      <c r="AF82" s="68"/>
    </row>
    <row r="83" spans="1:32" ht="60.5" x14ac:dyDescent="0.35">
      <c r="A83" s="1823">
        <v>36</v>
      </c>
      <c r="B83" s="2118">
        <v>10755</v>
      </c>
      <c r="C83" s="2118" t="s">
        <v>1656</v>
      </c>
      <c r="D83" s="2464" t="s">
        <v>5074</v>
      </c>
      <c r="E83" s="2383" t="s">
        <v>9859</v>
      </c>
      <c r="F83" s="2742" t="s">
        <v>827</v>
      </c>
      <c r="G83" s="2742">
        <v>5</v>
      </c>
      <c r="H83" s="2422">
        <v>6</v>
      </c>
      <c r="I83" s="2102">
        <f t="shared" si="10"/>
        <v>0.1</v>
      </c>
      <c r="J83" s="2102">
        <f t="shared" si="11"/>
        <v>0.1</v>
      </c>
      <c r="K83" s="622"/>
      <c r="L83" s="622"/>
      <c r="M83" s="622"/>
      <c r="N83" s="622">
        <v>0.1</v>
      </c>
      <c r="O83" s="622"/>
      <c r="P83" s="622"/>
      <c r="Q83" s="2085"/>
      <c r="R83" s="906"/>
      <c r="S83" s="2115"/>
      <c r="T83" s="2115"/>
      <c r="U83" s="2115"/>
      <c r="V83" s="2115"/>
      <c r="W83" s="2339"/>
      <c r="X83" s="2339"/>
      <c r="Y83" s="2339"/>
      <c r="Z83" s="2983"/>
      <c r="AB83">
        <v>1</v>
      </c>
      <c r="AE83" s="2461"/>
      <c r="AF83" s="68"/>
    </row>
    <row r="84" spans="1:32" ht="75.5" x14ac:dyDescent="0.35">
      <c r="A84" s="1823">
        <v>37</v>
      </c>
      <c r="B84" s="2118">
        <v>10755</v>
      </c>
      <c r="C84" s="2118" t="s">
        <v>1656</v>
      </c>
      <c r="D84" s="2464" t="s">
        <v>5075</v>
      </c>
      <c r="E84" s="2383" t="s">
        <v>9860</v>
      </c>
      <c r="F84" s="2742" t="s">
        <v>664</v>
      </c>
      <c r="G84" s="2742">
        <v>5</v>
      </c>
      <c r="H84" s="1138">
        <v>6</v>
      </c>
      <c r="I84" s="2102">
        <f t="shared" si="10"/>
        <v>2.2999999999999998</v>
      </c>
      <c r="J84" s="2102">
        <f t="shared" si="11"/>
        <v>2.2999999999999998</v>
      </c>
      <c r="K84" s="622"/>
      <c r="L84" s="622"/>
      <c r="M84" s="622"/>
      <c r="N84" s="622"/>
      <c r="O84" s="622"/>
      <c r="P84" s="622"/>
      <c r="Q84" s="2085"/>
      <c r="R84" s="906">
        <v>2.2999999999999998</v>
      </c>
      <c r="S84" s="2115"/>
      <c r="T84" s="2115"/>
      <c r="U84" s="2115"/>
      <c r="V84" s="2115"/>
      <c r="W84" s="2339"/>
      <c r="X84" s="2339"/>
      <c r="Y84" s="2339"/>
      <c r="Z84" s="2983"/>
      <c r="AB84">
        <v>1</v>
      </c>
      <c r="AE84" s="2461"/>
      <c r="AF84" s="68"/>
    </row>
    <row r="85" spans="1:32" ht="60.5" x14ac:dyDescent="0.35">
      <c r="A85" s="1823">
        <v>38</v>
      </c>
      <c r="B85" s="1134">
        <v>10755</v>
      </c>
      <c r="C85" s="358" t="s">
        <v>1656</v>
      </c>
      <c r="D85" s="2464" t="s">
        <v>5076</v>
      </c>
      <c r="E85" s="511" t="s">
        <v>9861</v>
      </c>
      <c r="F85" s="1138" t="s">
        <v>664</v>
      </c>
      <c r="G85" s="1138">
        <v>5</v>
      </c>
      <c r="H85" s="1138">
        <v>6</v>
      </c>
      <c r="I85" s="297">
        <f t="shared" si="10"/>
        <v>5.3</v>
      </c>
      <c r="J85" s="297">
        <f t="shared" si="11"/>
        <v>5.3</v>
      </c>
      <c r="K85" s="501"/>
      <c r="L85" s="501"/>
      <c r="M85" s="501"/>
      <c r="N85" s="501"/>
      <c r="O85" s="568"/>
      <c r="P85" s="501"/>
      <c r="Q85" s="1856"/>
      <c r="R85" s="1865">
        <v>5.3</v>
      </c>
      <c r="S85" s="61"/>
      <c r="T85" s="135"/>
      <c r="U85" s="170"/>
      <c r="V85" s="170"/>
      <c r="W85" s="97"/>
      <c r="X85" s="279"/>
      <c r="Y85" s="170"/>
      <c r="Z85" s="1694"/>
      <c r="AA85" t="s">
        <v>1842</v>
      </c>
      <c r="AB85">
        <v>1</v>
      </c>
      <c r="AE85" s="2461"/>
      <c r="AF85" s="68"/>
    </row>
    <row r="86" spans="1:32" ht="60.5" x14ac:dyDescent="0.35">
      <c r="A86" s="1823">
        <v>39</v>
      </c>
      <c r="B86" s="1134">
        <v>10755</v>
      </c>
      <c r="C86" s="2118" t="s">
        <v>1656</v>
      </c>
      <c r="D86" s="2464" t="s">
        <v>5077</v>
      </c>
      <c r="E86" s="2383" t="s">
        <v>9862</v>
      </c>
      <c r="F86" s="2742" t="s">
        <v>664</v>
      </c>
      <c r="G86" s="1138">
        <v>5</v>
      </c>
      <c r="H86" s="1138">
        <v>6</v>
      </c>
      <c r="I86" s="297">
        <f t="shared" si="10"/>
        <v>0.18</v>
      </c>
      <c r="J86" s="297">
        <f t="shared" si="11"/>
        <v>0.18</v>
      </c>
      <c r="K86" s="622"/>
      <c r="L86" s="622"/>
      <c r="M86" s="622"/>
      <c r="N86" s="622"/>
      <c r="O86" s="622"/>
      <c r="P86" s="622"/>
      <c r="Q86" s="2085"/>
      <c r="R86" s="906">
        <v>0.18</v>
      </c>
      <c r="S86" s="2115"/>
      <c r="T86" s="2115"/>
      <c r="U86" s="2115"/>
      <c r="V86" s="2115"/>
      <c r="W86" s="2339"/>
      <c r="X86" s="2339"/>
      <c r="Y86" s="2339"/>
      <c r="Z86" s="2983"/>
      <c r="AA86" t="s">
        <v>1842</v>
      </c>
      <c r="AB86">
        <v>1</v>
      </c>
      <c r="AE86" s="2461"/>
      <c r="AF86" s="68"/>
    </row>
    <row r="87" spans="1:32" ht="60.5" x14ac:dyDescent="0.35">
      <c r="A87" s="1823">
        <v>40</v>
      </c>
      <c r="B87" s="1134">
        <v>10755</v>
      </c>
      <c r="C87" s="358" t="s">
        <v>1656</v>
      </c>
      <c r="D87" s="2464" t="s">
        <v>5078</v>
      </c>
      <c r="E87" s="2374" t="s">
        <v>9863</v>
      </c>
      <c r="F87" s="1138" t="s">
        <v>664</v>
      </c>
      <c r="G87" s="1138">
        <v>5</v>
      </c>
      <c r="H87" s="1138">
        <v>6</v>
      </c>
      <c r="I87" s="297">
        <f t="shared" si="10"/>
        <v>0.05</v>
      </c>
      <c r="J87" s="297">
        <f t="shared" si="11"/>
        <v>0.05</v>
      </c>
      <c r="K87" s="502"/>
      <c r="L87" s="502"/>
      <c r="M87" s="501"/>
      <c r="N87" s="501"/>
      <c r="O87" s="568"/>
      <c r="P87" s="501"/>
      <c r="Q87" s="1856"/>
      <c r="R87" s="1865">
        <v>0.05</v>
      </c>
      <c r="S87" s="281"/>
      <c r="T87" s="281"/>
      <c r="U87" s="281"/>
      <c r="V87" s="281"/>
      <c r="W87" s="95"/>
      <c r="X87" s="95"/>
      <c r="Y87" s="170"/>
      <c r="Z87" s="1694"/>
      <c r="AA87" t="s">
        <v>2327</v>
      </c>
      <c r="AB87">
        <v>1</v>
      </c>
      <c r="AE87" s="2461"/>
      <c r="AF87" s="68"/>
    </row>
    <row r="88" spans="1:32" ht="60.5" x14ac:dyDescent="0.35">
      <c r="A88" s="1823">
        <v>41</v>
      </c>
      <c r="B88" s="1134">
        <v>10755</v>
      </c>
      <c r="C88" s="358" t="s">
        <v>1656</v>
      </c>
      <c r="D88" s="2464" t="s">
        <v>5079</v>
      </c>
      <c r="E88" s="2374" t="s">
        <v>9864</v>
      </c>
      <c r="F88" s="1138" t="s">
        <v>664</v>
      </c>
      <c r="G88" s="1138">
        <v>5</v>
      </c>
      <c r="H88" s="1138">
        <v>6</v>
      </c>
      <c r="I88" s="297">
        <f t="shared" si="10"/>
        <v>2.5</v>
      </c>
      <c r="J88" s="297">
        <f t="shared" si="11"/>
        <v>2.5</v>
      </c>
      <c r="K88" s="503"/>
      <c r="L88" s="503"/>
      <c r="M88" s="503"/>
      <c r="N88" s="501"/>
      <c r="O88" s="570"/>
      <c r="P88" s="503"/>
      <c r="Q88" s="1856"/>
      <c r="R88" s="2098">
        <v>2.5</v>
      </c>
      <c r="S88" s="281"/>
      <c r="T88" s="281"/>
      <c r="U88" s="281"/>
      <c r="V88" s="281"/>
      <c r="W88" s="97"/>
      <c r="X88" s="279"/>
      <c r="Y88" s="170"/>
      <c r="Z88" s="1694"/>
      <c r="AA88" t="s">
        <v>2327</v>
      </c>
      <c r="AB88">
        <v>1</v>
      </c>
      <c r="AE88" s="2461"/>
      <c r="AF88" s="68"/>
    </row>
    <row r="89" spans="1:32" ht="30" x14ac:dyDescent="0.35">
      <c r="A89" s="1823">
        <v>42</v>
      </c>
      <c r="B89" s="358">
        <v>10756</v>
      </c>
      <c r="C89" s="358"/>
      <c r="D89" s="358" t="s">
        <v>1967</v>
      </c>
      <c r="E89" s="288" t="s">
        <v>2820</v>
      </c>
      <c r="F89" s="1138"/>
      <c r="G89" s="1138" t="s">
        <v>191</v>
      </c>
      <c r="H89" s="2422" t="s">
        <v>191</v>
      </c>
      <c r="I89" s="501">
        <f t="shared" si="10"/>
        <v>9.879999999999999</v>
      </c>
      <c r="J89" s="501">
        <f t="shared" si="11"/>
        <v>9.879999999999999</v>
      </c>
      <c r="K89" s="501"/>
      <c r="L89" s="501"/>
      <c r="M89" s="501"/>
      <c r="N89" s="501">
        <v>0.43</v>
      </c>
      <c r="O89" s="568"/>
      <c r="P89" s="501"/>
      <c r="Q89" s="860">
        <v>9.4499999999999993</v>
      </c>
      <c r="R89" s="870"/>
      <c r="S89" s="279">
        <v>1</v>
      </c>
      <c r="T89" s="279">
        <v>27</v>
      </c>
      <c r="U89" s="281"/>
      <c r="V89" s="281"/>
      <c r="W89" s="97">
        <v>19</v>
      </c>
      <c r="X89" s="2443">
        <v>259.89999999999998</v>
      </c>
      <c r="Y89" s="170">
        <v>8</v>
      </c>
      <c r="Z89" s="2984">
        <v>103.2</v>
      </c>
      <c r="AB89">
        <v>1</v>
      </c>
      <c r="AE89" s="2461"/>
      <c r="AF89" s="68"/>
    </row>
    <row r="90" spans="1:32" x14ac:dyDescent="0.35">
      <c r="A90" s="363"/>
      <c r="B90" s="358">
        <v>10756</v>
      </c>
      <c r="C90" s="358"/>
      <c r="D90" s="364"/>
      <c r="E90" s="289" t="s">
        <v>2821</v>
      </c>
      <c r="F90" s="1138">
        <v>5</v>
      </c>
      <c r="G90" s="1138">
        <v>5</v>
      </c>
      <c r="H90" s="2422">
        <v>6</v>
      </c>
      <c r="I90" s="502"/>
      <c r="J90" s="502"/>
      <c r="K90" s="502"/>
      <c r="L90" s="502"/>
      <c r="M90" s="502"/>
      <c r="N90" s="502">
        <v>0.43</v>
      </c>
      <c r="O90" s="569"/>
      <c r="P90" s="502"/>
      <c r="Q90" s="863"/>
      <c r="R90" s="873"/>
      <c r="S90" s="279"/>
      <c r="T90" s="279"/>
      <c r="U90" s="281"/>
      <c r="V90" s="281"/>
      <c r="W90" s="97"/>
      <c r="X90" s="279"/>
      <c r="Y90" s="170"/>
      <c r="Z90" s="1694"/>
      <c r="AE90" s="2461"/>
      <c r="AF90" s="68"/>
    </row>
    <row r="91" spans="1:32" x14ac:dyDescent="0.35">
      <c r="A91" s="363"/>
      <c r="B91" s="358">
        <v>10756</v>
      </c>
      <c r="C91" s="358"/>
      <c r="D91" s="364"/>
      <c r="E91" s="837" t="s">
        <v>2822</v>
      </c>
      <c r="F91" s="1138">
        <v>5</v>
      </c>
      <c r="G91" s="1138">
        <v>5</v>
      </c>
      <c r="H91" s="2422">
        <v>6</v>
      </c>
      <c r="I91" s="502"/>
      <c r="J91" s="502"/>
      <c r="K91" s="502"/>
      <c r="L91" s="502"/>
      <c r="M91" s="502"/>
      <c r="N91" s="502"/>
      <c r="O91" s="569"/>
      <c r="P91" s="502"/>
      <c r="Q91" s="863">
        <v>9.4499999999999993</v>
      </c>
      <c r="R91" s="873"/>
      <c r="S91" s="279"/>
      <c r="T91" s="279"/>
      <c r="U91" s="281"/>
      <c r="V91" s="281"/>
      <c r="W91" s="97"/>
      <c r="X91" s="279"/>
      <c r="Y91" s="170"/>
      <c r="Z91" s="1694"/>
      <c r="AE91" s="2461"/>
      <c r="AF91" s="68"/>
    </row>
    <row r="92" spans="1:32" ht="30.5" x14ac:dyDescent="0.35">
      <c r="A92" s="347">
        <v>43</v>
      </c>
      <c r="B92" s="358">
        <v>10756</v>
      </c>
      <c r="C92" s="358"/>
      <c r="D92" s="2464" t="s">
        <v>5080</v>
      </c>
      <c r="E92" s="288" t="s">
        <v>7755</v>
      </c>
      <c r="F92" s="1138"/>
      <c r="G92" s="1138" t="s">
        <v>191</v>
      </c>
      <c r="H92" s="2422" t="s">
        <v>191</v>
      </c>
      <c r="I92" s="501">
        <f>J92+K92+L92</f>
        <v>2.9000000000000004</v>
      </c>
      <c r="J92" s="501">
        <f>SUM(M92:R92)</f>
        <v>2.9000000000000004</v>
      </c>
      <c r="K92" s="503"/>
      <c r="L92" s="503"/>
      <c r="M92" s="503"/>
      <c r="N92" s="503"/>
      <c r="O92" s="570"/>
      <c r="P92" s="503"/>
      <c r="Q92" s="864">
        <f>SUM(Q93:Q94)</f>
        <v>2.2000000000000002</v>
      </c>
      <c r="R92" s="874">
        <f>SUM(R93:R94)</f>
        <v>0.7</v>
      </c>
      <c r="S92" s="281"/>
      <c r="T92" s="281"/>
      <c r="U92" s="281"/>
      <c r="V92" s="281"/>
      <c r="W92" s="97">
        <v>7</v>
      </c>
      <c r="X92" s="279">
        <v>83.4</v>
      </c>
      <c r="Y92" s="170"/>
      <c r="Z92" s="1694"/>
      <c r="AB92">
        <v>1</v>
      </c>
      <c r="AE92" s="2461"/>
      <c r="AF92" s="68"/>
    </row>
    <row r="93" spans="1:32" ht="16" x14ac:dyDescent="0.4">
      <c r="A93" s="363"/>
      <c r="B93" s="358">
        <v>10756</v>
      </c>
      <c r="C93" s="358"/>
      <c r="D93" s="364"/>
      <c r="E93" s="837" t="s">
        <v>3084</v>
      </c>
      <c r="F93" s="1138">
        <v>5</v>
      </c>
      <c r="G93" s="1138">
        <v>5</v>
      </c>
      <c r="H93" s="2422">
        <v>6</v>
      </c>
      <c r="I93" s="502"/>
      <c r="J93" s="502"/>
      <c r="K93" s="504"/>
      <c r="L93" s="504"/>
      <c r="M93" s="504"/>
      <c r="N93" s="504"/>
      <c r="O93" s="571"/>
      <c r="P93" s="504"/>
      <c r="Q93" s="865">
        <v>2.2000000000000002</v>
      </c>
      <c r="R93" s="873"/>
      <c r="S93" s="170"/>
      <c r="T93" s="138"/>
      <c r="U93" s="170"/>
      <c r="V93" s="170"/>
      <c r="W93" s="170"/>
      <c r="X93" s="138"/>
      <c r="Y93" s="170"/>
      <c r="Z93" s="1694"/>
      <c r="AA93" s="63"/>
      <c r="AB93" s="63"/>
      <c r="AE93" s="2461"/>
      <c r="AF93" s="68"/>
    </row>
    <row r="94" spans="1:32" ht="16" x14ac:dyDescent="0.4">
      <c r="A94" s="363"/>
      <c r="B94" s="358">
        <v>10756</v>
      </c>
      <c r="C94" s="358"/>
      <c r="D94" s="364"/>
      <c r="E94" s="838" t="s">
        <v>2092</v>
      </c>
      <c r="F94" s="1138" t="s">
        <v>827</v>
      </c>
      <c r="G94" s="1138">
        <v>5</v>
      </c>
      <c r="H94" s="1138">
        <v>6</v>
      </c>
      <c r="I94" s="502"/>
      <c r="J94" s="502"/>
      <c r="K94" s="504"/>
      <c r="L94" s="504"/>
      <c r="M94" s="504"/>
      <c r="N94" s="504"/>
      <c r="O94" s="571"/>
      <c r="P94" s="504"/>
      <c r="Q94" s="865"/>
      <c r="R94" s="873">
        <v>0.7</v>
      </c>
      <c r="S94" s="170"/>
      <c r="T94" s="138"/>
      <c r="U94" s="170"/>
      <c r="V94" s="170"/>
      <c r="W94" s="170"/>
      <c r="X94" s="138"/>
      <c r="Y94" s="170"/>
      <c r="Z94" s="1694"/>
      <c r="AA94" s="63"/>
      <c r="AB94" s="63"/>
      <c r="AE94" s="2461"/>
      <c r="AF94" s="68"/>
    </row>
    <row r="95" spans="1:32" ht="45.5" x14ac:dyDescent="0.35">
      <c r="A95" s="2125">
        <v>44</v>
      </c>
      <c r="B95" s="2118">
        <v>10756</v>
      </c>
      <c r="C95" s="2118" t="s">
        <v>1656</v>
      </c>
      <c r="D95" s="2464" t="s">
        <v>5081</v>
      </c>
      <c r="E95" s="2383" t="s">
        <v>8580</v>
      </c>
      <c r="F95" s="2742" t="s">
        <v>664</v>
      </c>
      <c r="G95" s="2742">
        <v>5</v>
      </c>
      <c r="H95" s="1138">
        <v>6</v>
      </c>
      <c r="I95" s="2102">
        <f t="shared" ref="I95:I100" si="12">J95+K95+L95</f>
        <v>1.1000000000000001</v>
      </c>
      <c r="J95" s="2102">
        <f t="shared" ref="J95:J100" si="13">SUM(M95:R95)</f>
        <v>1.1000000000000001</v>
      </c>
      <c r="K95" s="622"/>
      <c r="L95" s="622"/>
      <c r="M95" s="622"/>
      <c r="N95" s="622"/>
      <c r="O95" s="622"/>
      <c r="P95" s="622"/>
      <c r="Q95" s="2085"/>
      <c r="R95" s="906">
        <v>1.1000000000000001</v>
      </c>
      <c r="S95" s="2115"/>
      <c r="T95" s="2115"/>
      <c r="U95" s="2115"/>
      <c r="V95" s="2115"/>
      <c r="W95" s="2339"/>
      <c r="X95" s="2339"/>
      <c r="Y95" s="2339"/>
      <c r="Z95" s="2983"/>
      <c r="AB95">
        <v>1</v>
      </c>
      <c r="AE95" s="2461"/>
      <c r="AF95" s="68"/>
    </row>
    <row r="96" spans="1:32" ht="45.5" x14ac:dyDescent="0.35">
      <c r="A96" s="1823">
        <v>45</v>
      </c>
      <c r="B96" s="1134">
        <v>10756</v>
      </c>
      <c r="C96" s="2118" t="s">
        <v>1656</v>
      </c>
      <c r="D96" s="2464" t="s">
        <v>5082</v>
      </c>
      <c r="E96" s="2383" t="s">
        <v>8581</v>
      </c>
      <c r="F96" s="2742" t="s">
        <v>664</v>
      </c>
      <c r="G96" s="1138">
        <v>5</v>
      </c>
      <c r="H96" s="1138">
        <v>6</v>
      </c>
      <c r="I96" s="297">
        <f t="shared" si="12"/>
        <v>2.1</v>
      </c>
      <c r="J96" s="297">
        <f t="shared" si="13"/>
        <v>2.1</v>
      </c>
      <c r="K96" s="622"/>
      <c r="L96" s="622"/>
      <c r="M96" s="622"/>
      <c r="N96" s="622"/>
      <c r="O96" s="622"/>
      <c r="P96" s="622"/>
      <c r="Q96" s="2085"/>
      <c r="R96" s="906">
        <v>2.1</v>
      </c>
      <c r="S96" s="2115"/>
      <c r="T96" s="2115"/>
      <c r="U96" s="2115"/>
      <c r="V96" s="2115"/>
      <c r="W96" s="2339"/>
      <c r="X96" s="2339"/>
      <c r="Y96" s="2339"/>
      <c r="Z96" s="2983"/>
      <c r="AA96" t="s">
        <v>1842</v>
      </c>
      <c r="AB96">
        <v>1</v>
      </c>
      <c r="AE96" s="2461"/>
      <c r="AF96" s="68"/>
    </row>
    <row r="97" spans="1:32" ht="45.5" x14ac:dyDescent="0.35">
      <c r="A97" s="2125">
        <v>46</v>
      </c>
      <c r="B97" s="1134">
        <v>10756</v>
      </c>
      <c r="C97" s="358" t="s">
        <v>1656</v>
      </c>
      <c r="D97" s="2464" t="s">
        <v>5083</v>
      </c>
      <c r="E97" s="511" t="s">
        <v>8582</v>
      </c>
      <c r="F97" s="1138" t="s">
        <v>664</v>
      </c>
      <c r="G97" s="1138">
        <v>5</v>
      </c>
      <c r="H97" s="1138">
        <v>6</v>
      </c>
      <c r="I97" s="297">
        <f t="shared" si="12"/>
        <v>1.68</v>
      </c>
      <c r="J97" s="297">
        <f t="shared" si="13"/>
        <v>1.68</v>
      </c>
      <c r="K97" s="501"/>
      <c r="L97" s="501"/>
      <c r="M97" s="501"/>
      <c r="N97" s="501"/>
      <c r="O97" s="568"/>
      <c r="P97" s="501"/>
      <c r="Q97" s="1856"/>
      <c r="R97" s="1865">
        <v>1.68</v>
      </c>
      <c r="S97" s="281"/>
      <c r="T97" s="281"/>
      <c r="U97" s="281"/>
      <c r="V97" s="281"/>
      <c r="W97" s="97"/>
      <c r="X97" s="279"/>
      <c r="Y97" s="170"/>
      <c r="Z97" s="1694"/>
      <c r="AA97" t="s">
        <v>1842</v>
      </c>
      <c r="AB97">
        <v>1</v>
      </c>
      <c r="AE97" s="2461"/>
      <c r="AF97" s="68"/>
    </row>
    <row r="98" spans="1:32" ht="60.5" x14ac:dyDescent="0.35">
      <c r="A98" s="1823">
        <v>47</v>
      </c>
      <c r="B98" s="1134">
        <v>10756</v>
      </c>
      <c r="C98" s="358" t="s">
        <v>1656</v>
      </c>
      <c r="D98" s="2464" t="s">
        <v>5084</v>
      </c>
      <c r="E98" s="2374" t="s">
        <v>8583</v>
      </c>
      <c r="F98" s="1138" t="s">
        <v>664</v>
      </c>
      <c r="G98" s="1138">
        <v>5</v>
      </c>
      <c r="H98" s="1138">
        <v>6</v>
      </c>
      <c r="I98" s="297">
        <f t="shared" si="12"/>
        <v>2.0299999999999998</v>
      </c>
      <c r="J98" s="297">
        <f t="shared" si="13"/>
        <v>2.0299999999999998</v>
      </c>
      <c r="K98" s="502"/>
      <c r="L98" s="502"/>
      <c r="M98" s="501"/>
      <c r="N98" s="501"/>
      <c r="O98" s="568"/>
      <c r="P98" s="501"/>
      <c r="Q98" s="1856"/>
      <c r="R98" s="1865">
        <v>2.0299999999999998</v>
      </c>
      <c r="S98" s="279"/>
      <c r="T98" s="279"/>
      <c r="U98" s="281"/>
      <c r="V98" s="281"/>
      <c r="W98" s="97"/>
      <c r="X98" s="279"/>
      <c r="Y98" s="170"/>
      <c r="Z98" s="1694"/>
      <c r="AA98" t="s">
        <v>2327</v>
      </c>
      <c r="AB98">
        <v>1</v>
      </c>
      <c r="AE98" s="2461"/>
      <c r="AF98" s="68"/>
    </row>
    <row r="99" spans="1:32" ht="45.5" x14ac:dyDescent="0.35">
      <c r="A99" s="2125">
        <v>48</v>
      </c>
      <c r="B99" s="1134">
        <v>10756</v>
      </c>
      <c r="C99" s="358" t="s">
        <v>1656</v>
      </c>
      <c r="D99" s="2464" t="s">
        <v>5085</v>
      </c>
      <c r="E99" s="2374" t="s">
        <v>8584</v>
      </c>
      <c r="F99" s="1138" t="s">
        <v>664</v>
      </c>
      <c r="G99" s="1138">
        <v>5</v>
      </c>
      <c r="H99" s="1138">
        <v>6</v>
      </c>
      <c r="I99" s="297">
        <f t="shared" si="12"/>
        <v>0.56999999999999995</v>
      </c>
      <c r="J99" s="297">
        <f t="shared" si="13"/>
        <v>0.56999999999999995</v>
      </c>
      <c r="K99" s="501"/>
      <c r="L99" s="501"/>
      <c r="M99" s="501"/>
      <c r="N99" s="501"/>
      <c r="O99" s="568"/>
      <c r="P99" s="501"/>
      <c r="Q99" s="1856"/>
      <c r="R99" s="1865">
        <v>0.56999999999999995</v>
      </c>
      <c r="S99" s="279"/>
      <c r="T99" s="279"/>
      <c r="U99" s="281"/>
      <c r="V99" s="281"/>
      <c r="W99" s="97"/>
      <c r="X99" s="279"/>
      <c r="Y99" s="536"/>
      <c r="Z99" s="1694"/>
      <c r="AA99" t="s">
        <v>2327</v>
      </c>
      <c r="AB99">
        <v>1</v>
      </c>
      <c r="AE99" s="2461"/>
      <c r="AF99" s="68"/>
    </row>
    <row r="100" spans="1:32" ht="30.5" x14ac:dyDescent="0.35">
      <c r="A100" s="1823">
        <v>49</v>
      </c>
      <c r="B100" s="405">
        <v>10756</v>
      </c>
      <c r="C100" s="405"/>
      <c r="D100" s="2464" t="s">
        <v>5086</v>
      </c>
      <c r="E100" s="288" t="s">
        <v>7756</v>
      </c>
      <c r="F100" s="1138"/>
      <c r="G100" s="1138" t="s">
        <v>191</v>
      </c>
      <c r="H100" s="2422" t="s">
        <v>191</v>
      </c>
      <c r="I100" s="501">
        <f t="shared" si="12"/>
        <v>1</v>
      </c>
      <c r="J100" s="501">
        <f t="shared" si="13"/>
        <v>1</v>
      </c>
      <c r="K100" s="501"/>
      <c r="L100" s="501"/>
      <c r="M100" s="501"/>
      <c r="N100" s="501"/>
      <c r="O100" s="568"/>
      <c r="P100" s="501"/>
      <c r="Q100" s="860">
        <f>SUM(Q101:Q102)</f>
        <v>0.33</v>
      </c>
      <c r="R100" s="870">
        <f>SUM(R101:R102)</f>
        <v>0.66999999999999993</v>
      </c>
      <c r="S100" s="170"/>
      <c r="T100" s="138"/>
      <c r="U100" s="170"/>
      <c r="V100" s="170"/>
      <c r="W100" s="97">
        <v>1</v>
      </c>
      <c r="X100" s="279">
        <v>12.5</v>
      </c>
      <c r="Y100" s="170"/>
      <c r="Z100" s="1694"/>
      <c r="AB100">
        <v>1</v>
      </c>
      <c r="AE100" s="2461"/>
      <c r="AF100" s="68"/>
    </row>
    <row r="101" spans="1:32" s="63" customFormat="1" ht="16" x14ac:dyDescent="0.4">
      <c r="A101" s="359"/>
      <c r="B101" s="405">
        <v>10756</v>
      </c>
      <c r="C101" s="405"/>
      <c r="D101" s="360"/>
      <c r="E101" s="837" t="s">
        <v>2093</v>
      </c>
      <c r="F101" s="1138">
        <v>5</v>
      </c>
      <c r="G101" s="1138">
        <v>5</v>
      </c>
      <c r="H101" s="2422">
        <v>6</v>
      </c>
      <c r="I101" s="502"/>
      <c r="J101" s="502"/>
      <c r="K101" s="502"/>
      <c r="L101" s="502"/>
      <c r="M101" s="502"/>
      <c r="N101" s="502"/>
      <c r="O101" s="569"/>
      <c r="P101" s="502"/>
      <c r="Q101" s="863">
        <v>0.33</v>
      </c>
      <c r="R101" s="873"/>
      <c r="S101" s="170"/>
      <c r="T101" s="138"/>
      <c r="U101" s="170"/>
      <c r="V101" s="170"/>
      <c r="W101" s="61"/>
      <c r="X101" s="135"/>
      <c r="Y101" s="170"/>
      <c r="Z101" s="1694"/>
      <c r="AA101"/>
      <c r="AB101"/>
      <c r="AE101" s="2461"/>
      <c r="AF101" s="68"/>
    </row>
    <row r="102" spans="1:32" x14ac:dyDescent="0.35">
      <c r="A102" s="359"/>
      <c r="B102" s="405">
        <v>10756</v>
      </c>
      <c r="C102" s="405"/>
      <c r="D102" s="360"/>
      <c r="E102" s="838" t="s">
        <v>6925</v>
      </c>
      <c r="F102" s="1138">
        <v>5</v>
      </c>
      <c r="G102" s="1138">
        <v>5</v>
      </c>
      <c r="H102" s="1138">
        <v>6</v>
      </c>
      <c r="I102" s="502"/>
      <c r="J102" s="502"/>
      <c r="K102" s="502"/>
      <c r="L102" s="502"/>
      <c r="M102" s="502"/>
      <c r="N102" s="502"/>
      <c r="O102" s="569"/>
      <c r="P102" s="502"/>
      <c r="Q102" s="863"/>
      <c r="R102" s="873">
        <f>1-0.33</f>
        <v>0.66999999999999993</v>
      </c>
      <c r="S102" s="170"/>
      <c r="T102" s="138"/>
      <c r="U102" s="170"/>
      <c r="V102" s="170"/>
      <c r="W102" s="61"/>
      <c r="X102" s="135"/>
      <c r="Y102" s="170"/>
      <c r="Z102" s="1694"/>
      <c r="AE102" s="2461"/>
      <c r="AF102" s="68"/>
    </row>
    <row r="103" spans="1:32" ht="45.5" x14ac:dyDescent="0.35">
      <c r="A103" s="2125">
        <v>50</v>
      </c>
      <c r="B103" s="2118">
        <v>10756</v>
      </c>
      <c r="C103" s="2118" t="s">
        <v>1656</v>
      </c>
      <c r="D103" s="2464" t="s">
        <v>5087</v>
      </c>
      <c r="E103" s="2383" t="s">
        <v>8585</v>
      </c>
      <c r="F103" s="2742" t="s">
        <v>664</v>
      </c>
      <c r="G103" s="2742">
        <v>5</v>
      </c>
      <c r="H103" s="1138">
        <v>6</v>
      </c>
      <c r="I103" s="2102">
        <f>J103+K103+L103</f>
        <v>0.6</v>
      </c>
      <c r="J103" s="2102">
        <f>SUM(M103:R103)</f>
        <v>0.6</v>
      </c>
      <c r="K103" s="622"/>
      <c r="L103" s="622"/>
      <c r="M103" s="622"/>
      <c r="N103" s="622"/>
      <c r="O103" s="622"/>
      <c r="P103" s="622"/>
      <c r="Q103" s="2085"/>
      <c r="R103" s="906">
        <v>0.6</v>
      </c>
      <c r="S103" s="2115"/>
      <c r="T103" s="2115"/>
      <c r="U103" s="2115"/>
      <c r="V103" s="2115"/>
      <c r="W103" s="2339"/>
      <c r="X103" s="2339"/>
      <c r="Y103" s="2339"/>
      <c r="Z103" s="2983"/>
      <c r="AB103">
        <v>1</v>
      </c>
      <c r="AE103" s="2461"/>
      <c r="AF103" s="68"/>
    </row>
    <row r="104" spans="1:32" s="63" customFormat="1" ht="30" x14ac:dyDescent="0.4">
      <c r="A104" s="347">
        <v>51</v>
      </c>
      <c r="B104" s="358">
        <v>10757</v>
      </c>
      <c r="C104" s="358"/>
      <c r="D104" s="358" t="s">
        <v>1968</v>
      </c>
      <c r="E104" s="511" t="s">
        <v>10704</v>
      </c>
      <c r="F104" s="1138"/>
      <c r="G104" s="1138" t="s">
        <v>191</v>
      </c>
      <c r="H104" s="2422" t="s">
        <v>191</v>
      </c>
      <c r="I104" s="501">
        <f>J104+K104+L104</f>
        <v>6.1</v>
      </c>
      <c r="J104" s="501">
        <f>SUM(M104:R104)</f>
        <v>6.1</v>
      </c>
      <c r="K104" s="501"/>
      <c r="L104" s="501"/>
      <c r="M104" s="501"/>
      <c r="N104" s="501">
        <f>SUM(N105:N106)</f>
        <v>0.83</v>
      </c>
      <c r="O104" s="568"/>
      <c r="P104" s="501"/>
      <c r="Q104" s="860">
        <f>SUM(Q105:Q106)</f>
        <v>5.27</v>
      </c>
      <c r="R104" s="870"/>
      <c r="S104" s="281"/>
      <c r="T104" s="281"/>
      <c r="U104" s="281"/>
      <c r="V104" s="281"/>
      <c r="W104" s="2981">
        <v>7</v>
      </c>
      <c r="X104" s="2443">
        <v>111.1</v>
      </c>
      <c r="Y104" s="170"/>
      <c r="Z104" s="1694"/>
      <c r="AA104"/>
      <c r="AB104">
        <v>1</v>
      </c>
      <c r="AE104" s="2461"/>
      <c r="AF104" s="68"/>
    </row>
    <row r="105" spans="1:32" s="63" customFormat="1" ht="16" x14ac:dyDescent="0.4">
      <c r="A105" s="363"/>
      <c r="B105" s="358">
        <v>10757</v>
      </c>
      <c r="C105" s="358"/>
      <c r="D105" s="364"/>
      <c r="E105" s="289" t="s">
        <v>1138</v>
      </c>
      <c r="F105" s="1138">
        <v>5</v>
      </c>
      <c r="G105" s="1138">
        <v>5</v>
      </c>
      <c r="H105" s="2422">
        <v>6</v>
      </c>
      <c r="I105" s="502"/>
      <c r="J105" s="502"/>
      <c r="K105" s="502"/>
      <c r="L105" s="502"/>
      <c r="M105" s="502"/>
      <c r="N105" s="502">
        <v>0.83</v>
      </c>
      <c r="O105" s="569"/>
      <c r="P105" s="502"/>
      <c r="Q105" s="863"/>
      <c r="R105" s="873"/>
      <c r="S105" s="281"/>
      <c r="T105" s="281"/>
      <c r="U105" s="281"/>
      <c r="V105" s="281"/>
      <c r="W105" s="95"/>
      <c r="X105" s="95"/>
      <c r="Y105" s="170"/>
      <c r="Z105" s="1694"/>
      <c r="AA105"/>
      <c r="AB105"/>
      <c r="AE105" s="2461"/>
      <c r="AF105" s="68"/>
    </row>
    <row r="106" spans="1:32" x14ac:dyDescent="0.35">
      <c r="A106" s="363"/>
      <c r="B106" s="358">
        <v>10757</v>
      </c>
      <c r="C106" s="358"/>
      <c r="D106" s="364"/>
      <c r="E106" s="837" t="s">
        <v>6926</v>
      </c>
      <c r="F106" s="1138">
        <v>5</v>
      </c>
      <c r="G106" s="1138">
        <v>5</v>
      </c>
      <c r="H106" s="2422">
        <v>6</v>
      </c>
      <c r="I106" s="502"/>
      <c r="J106" s="502"/>
      <c r="K106" s="502"/>
      <c r="L106" s="502"/>
      <c r="M106" s="502"/>
      <c r="N106" s="502"/>
      <c r="O106" s="569"/>
      <c r="P106" s="502"/>
      <c r="Q106" s="863">
        <f>6.1-0.83</f>
        <v>5.27</v>
      </c>
      <c r="R106" s="873"/>
      <c r="S106" s="281"/>
      <c r="T106" s="281"/>
      <c r="U106" s="281"/>
      <c r="V106" s="281"/>
      <c r="W106" s="95"/>
      <c r="X106" s="95"/>
      <c r="Y106" s="170"/>
      <c r="Z106" s="1694"/>
      <c r="AE106" s="2461"/>
      <c r="AF106" s="68"/>
    </row>
    <row r="107" spans="1:32" s="178" customFormat="1" ht="30" x14ac:dyDescent="0.35">
      <c r="A107" s="347">
        <v>52</v>
      </c>
      <c r="B107" s="358">
        <v>10758</v>
      </c>
      <c r="C107" s="358"/>
      <c r="D107" s="358" t="s">
        <v>1969</v>
      </c>
      <c r="E107" s="288" t="s">
        <v>6927</v>
      </c>
      <c r="F107" s="1138"/>
      <c r="G107" s="1138" t="s">
        <v>191</v>
      </c>
      <c r="H107" s="2422" t="s">
        <v>191</v>
      </c>
      <c r="I107" s="501">
        <f>J107+K107+L107</f>
        <v>10.205</v>
      </c>
      <c r="J107" s="501">
        <f>SUM(M107:R107)</f>
        <v>10.205</v>
      </c>
      <c r="K107" s="501"/>
      <c r="L107" s="501"/>
      <c r="M107" s="501"/>
      <c r="N107" s="501">
        <f>SUM(N108:N109)</f>
        <v>5.82</v>
      </c>
      <c r="O107" s="568"/>
      <c r="P107" s="501"/>
      <c r="Q107" s="860">
        <v>4.3849999999999998</v>
      </c>
      <c r="R107" s="870"/>
      <c r="S107" s="279">
        <v>1</v>
      </c>
      <c r="T107" s="279">
        <v>36.4</v>
      </c>
      <c r="U107" s="281"/>
      <c r="V107" s="281"/>
      <c r="W107" s="97">
        <v>11</v>
      </c>
      <c r="X107" s="279">
        <v>174.2</v>
      </c>
      <c r="Y107" s="536"/>
      <c r="Z107" s="1694"/>
      <c r="AA107"/>
      <c r="AB107">
        <v>1</v>
      </c>
      <c r="AE107" s="2461"/>
      <c r="AF107" s="68"/>
    </row>
    <row r="108" spans="1:32" x14ac:dyDescent="0.35">
      <c r="A108" s="363"/>
      <c r="B108" s="358">
        <v>10758</v>
      </c>
      <c r="C108" s="358"/>
      <c r="D108" s="364"/>
      <c r="E108" s="837" t="s">
        <v>1139</v>
      </c>
      <c r="F108" s="1138">
        <v>4</v>
      </c>
      <c r="G108" s="1138">
        <v>5</v>
      </c>
      <c r="H108" s="2422">
        <v>6</v>
      </c>
      <c r="I108" s="502"/>
      <c r="J108" s="502"/>
      <c r="K108" s="502"/>
      <c r="L108" s="502"/>
      <c r="M108" s="502"/>
      <c r="N108" s="502"/>
      <c r="O108" s="569"/>
      <c r="P108" s="502"/>
      <c r="Q108" s="863">
        <v>4.3849999999999998</v>
      </c>
      <c r="R108" s="873"/>
      <c r="S108" s="279"/>
      <c r="T108" s="279"/>
      <c r="U108" s="281"/>
      <c r="V108" s="281"/>
      <c r="W108" s="97"/>
      <c r="X108" s="95"/>
      <c r="Y108" s="536"/>
      <c r="Z108" s="1694"/>
      <c r="AE108" s="2461"/>
      <c r="AF108" s="68"/>
    </row>
    <row r="109" spans="1:32" s="63" customFormat="1" ht="16" x14ac:dyDescent="0.4">
      <c r="A109" s="363"/>
      <c r="B109" s="358">
        <v>10758</v>
      </c>
      <c r="C109" s="358"/>
      <c r="D109" s="364"/>
      <c r="E109" s="289" t="s">
        <v>1140</v>
      </c>
      <c r="F109" s="1138">
        <v>4</v>
      </c>
      <c r="G109" s="1138">
        <v>5</v>
      </c>
      <c r="H109" s="2422">
        <v>6</v>
      </c>
      <c r="I109" s="502"/>
      <c r="J109" s="502"/>
      <c r="K109" s="502"/>
      <c r="L109" s="502"/>
      <c r="M109" s="502"/>
      <c r="N109" s="502">
        <v>5.82</v>
      </c>
      <c r="O109" s="569"/>
      <c r="P109" s="502"/>
      <c r="Q109" s="863"/>
      <c r="R109" s="873"/>
      <c r="S109" s="279"/>
      <c r="T109" s="279"/>
      <c r="U109" s="281"/>
      <c r="V109" s="281"/>
      <c r="W109" s="97"/>
      <c r="X109" s="95"/>
      <c r="Y109" s="536"/>
      <c r="Z109" s="1694"/>
      <c r="AA109"/>
      <c r="AB109"/>
      <c r="AE109" s="2461"/>
      <c r="AF109" s="68"/>
    </row>
    <row r="110" spans="1:32" ht="45.5" x14ac:dyDescent="0.35">
      <c r="A110" s="347">
        <v>53</v>
      </c>
      <c r="B110" s="358">
        <v>10753</v>
      </c>
      <c r="C110" s="358"/>
      <c r="D110" s="2464" t="s">
        <v>5057</v>
      </c>
      <c r="E110" s="511" t="s">
        <v>7757</v>
      </c>
      <c r="F110" s="1138" t="s">
        <v>827</v>
      </c>
      <c r="G110" s="1138">
        <v>5</v>
      </c>
      <c r="H110" s="1138">
        <v>6</v>
      </c>
      <c r="I110" s="501">
        <f t="shared" ref="I110:I117" si="14">J110+K110+L110</f>
        <v>1.96</v>
      </c>
      <c r="J110" s="501">
        <f t="shared" ref="J110:J117" si="15">SUM(M110:R110)</f>
        <v>1.96</v>
      </c>
      <c r="K110" s="503"/>
      <c r="L110" s="503"/>
      <c r="M110" s="503"/>
      <c r="N110" s="503"/>
      <c r="O110" s="570"/>
      <c r="P110" s="503"/>
      <c r="Q110" s="864"/>
      <c r="R110" s="870">
        <v>1.96</v>
      </c>
      <c r="S110" s="281"/>
      <c r="T110" s="281"/>
      <c r="U110" s="281"/>
      <c r="V110" s="281"/>
      <c r="W110" s="97">
        <v>2</v>
      </c>
      <c r="X110" s="279">
        <v>30.6</v>
      </c>
      <c r="Y110" s="170"/>
      <c r="Z110" s="1694"/>
      <c r="AB110">
        <v>1</v>
      </c>
      <c r="AE110" s="2461"/>
      <c r="AF110" s="68"/>
    </row>
    <row r="111" spans="1:32" ht="60.5" x14ac:dyDescent="0.35">
      <c r="A111" s="347">
        <v>54</v>
      </c>
      <c r="B111" s="2118">
        <v>10753</v>
      </c>
      <c r="C111" s="2118" t="s">
        <v>1656</v>
      </c>
      <c r="D111" s="2464" t="s">
        <v>5058</v>
      </c>
      <c r="E111" s="2383" t="s">
        <v>8586</v>
      </c>
      <c r="F111" s="2742" t="s">
        <v>664</v>
      </c>
      <c r="G111" s="2742">
        <v>5</v>
      </c>
      <c r="H111" s="1138">
        <v>6</v>
      </c>
      <c r="I111" s="2102">
        <f t="shared" si="14"/>
        <v>0.9</v>
      </c>
      <c r="J111" s="2102">
        <f t="shared" si="15"/>
        <v>0.9</v>
      </c>
      <c r="K111" s="622"/>
      <c r="L111" s="622"/>
      <c r="M111" s="622"/>
      <c r="N111" s="622"/>
      <c r="O111" s="622"/>
      <c r="P111" s="622"/>
      <c r="Q111" s="2085"/>
      <c r="R111" s="906">
        <v>0.9</v>
      </c>
      <c r="S111" s="2115"/>
      <c r="T111" s="2115"/>
      <c r="U111" s="2115"/>
      <c r="V111" s="2115"/>
      <c r="W111" s="2339"/>
      <c r="X111" s="2339"/>
      <c r="Y111" s="2339"/>
      <c r="Z111" s="2983"/>
      <c r="AB111">
        <v>1</v>
      </c>
      <c r="AE111" s="2461"/>
      <c r="AF111" s="68"/>
    </row>
    <row r="112" spans="1:32" s="63" customFormat="1" ht="31" x14ac:dyDescent="0.4">
      <c r="A112" s="347">
        <v>55</v>
      </c>
      <c r="B112" s="358">
        <v>10758</v>
      </c>
      <c r="C112" s="358"/>
      <c r="D112" s="2464" t="s">
        <v>5088</v>
      </c>
      <c r="E112" s="288" t="s">
        <v>7758</v>
      </c>
      <c r="F112" s="1138">
        <v>5</v>
      </c>
      <c r="G112" s="1138">
        <v>5</v>
      </c>
      <c r="H112" s="2422">
        <v>6</v>
      </c>
      <c r="I112" s="501">
        <f t="shared" si="14"/>
        <v>1.18</v>
      </c>
      <c r="J112" s="501">
        <f t="shared" si="15"/>
        <v>1.18</v>
      </c>
      <c r="K112" s="503"/>
      <c r="L112" s="503"/>
      <c r="M112" s="503"/>
      <c r="N112" s="501"/>
      <c r="O112" s="570"/>
      <c r="P112" s="503"/>
      <c r="Q112" s="860">
        <v>1.18</v>
      </c>
      <c r="R112" s="874"/>
      <c r="S112" s="281"/>
      <c r="T112" s="281"/>
      <c r="U112" s="281"/>
      <c r="V112" s="281"/>
      <c r="W112" s="97">
        <v>3</v>
      </c>
      <c r="X112" s="279">
        <v>32.4</v>
      </c>
      <c r="Y112" s="170"/>
      <c r="Z112" s="1694"/>
      <c r="AA112"/>
      <c r="AB112">
        <v>1</v>
      </c>
      <c r="AE112" s="2461"/>
      <c r="AF112" s="68"/>
    </row>
    <row r="113" spans="1:32" ht="30.5" x14ac:dyDescent="0.35">
      <c r="A113" s="347">
        <v>56</v>
      </c>
      <c r="B113" s="358">
        <v>10758</v>
      </c>
      <c r="C113" s="358"/>
      <c r="D113" s="2464" t="s">
        <v>5089</v>
      </c>
      <c r="E113" s="288" t="s">
        <v>9865</v>
      </c>
      <c r="F113" s="1138" t="s">
        <v>827</v>
      </c>
      <c r="G113" s="1138">
        <v>5</v>
      </c>
      <c r="H113" s="2422">
        <v>6</v>
      </c>
      <c r="I113" s="501">
        <f t="shared" si="14"/>
        <v>0.64</v>
      </c>
      <c r="J113" s="501">
        <f t="shared" si="15"/>
        <v>0.64</v>
      </c>
      <c r="K113" s="503"/>
      <c r="L113" s="503"/>
      <c r="M113" s="503"/>
      <c r="N113" s="501">
        <v>0.64</v>
      </c>
      <c r="O113" s="570"/>
      <c r="P113" s="503"/>
      <c r="Q113" s="860"/>
      <c r="R113" s="874"/>
      <c r="S113" s="281"/>
      <c r="T113" s="281"/>
      <c r="U113" s="281"/>
      <c r="V113" s="281"/>
      <c r="W113" s="97">
        <v>3</v>
      </c>
      <c r="X113" s="279">
        <v>32.700000000000003</v>
      </c>
      <c r="Y113" s="170"/>
      <c r="Z113" s="1694"/>
      <c r="AB113">
        <v>1</v>
      </c>
      <c r="AE113" s="2461"/>
      <c r="AF113" s="68"/>
    </row>
    <row r="114" spans="1:32" ht="45.5" x14ac:dyDescent="0.35">
      <c r="A114" s="347">
        <v>57</v>
      </c>
      <c r="B114" s="1134">
        <v>10758</v>
      </c>
      <c r="C114" s="358" t="s">
        <v>1656</v>
      </c>
      <c r="D114" s="2464" t="s">
        <v>5090</v>
      </c>
      <c r="E114" s="511" t="s">
        <v>9866</v>
      </c>
      <c r="F114" s="1138" t="s">
        <v>664</v>
      </c>
      <c r="G114" s="1138">
        <v>5</v>
      </c>
      <c r="H114" s="1138">
        <v>6</v>
      </c>
      <c r="I114" s="297">
        <f t="shared" si="14"/>
        <v>0.11</v>
      </c>
      <c r="J114" s="297">
        <f t="shared" si="15"/>
        <v>0.11</v>
      </c>
      <c r="K114" s="503"/>
      <c r="L114" s="503"/>
      <c r="M114" s="503"/>
      <c r="N114" s="503"/>
      <c r="O114" s="570"/>
      <c r="P114" s="503"/>
      <c r="Q114" s="2099"/>
      <c r="R114" s="1865">
        <v>0.11</v>
      </c>
      <c r="S114" s="281"/>
      <c r="T114" s="281"/>
      <c r="U114" s="281"/>
      <c r="V114" s="281"/>
      <c r="W114" s="97"/>
      <c r="X114" s="279"/>
      <c r="Y114" s="170"/>
      <c r="Z114" s="1694"/>
      <c r="AA114" t="s">
        <v>1842</v>
      </c>
      <c r="AB114">
        <v>1</v>
      </c>
      <c r="AE114" s="2461"/>
      <c r="AF114" s="68"/>
    </row>
    <row r="115" spans="1:32" ht="30.5" x14ac:dyDescent="0.35">
      <c r="A115" s="347">
        <v>58</v>
      </c>
      <c r="B115" s="828">
        <v>10758</v>
      </c>
      <c r="C115" s="2118" t="s">
        <v>1656</v>
      </c>
      <c r="D115" s="2464" t="s">
        <v>5091</v>
      </c>
      <c r="E115" s="511" t="s">
        <v>8587</v>
      </c>
      <c r="F115" s="1138" t="s">
        <v>827</v>
      </c>
      <c r="G115" s="1138">
        <v>5</v>
      </c>
      <c r="H115" s="1138">
        <v>6</v>
      </c>
      <c r="I115" s="501">
        <f t="shared" si="14"/>
        <v>0.9</v>
      </c>
      <c r="J115" s="501">
        <f t="shared" si="15"/>
        <v>0.9</v>
      </c>
      <c r="K115" s="500"/>
      <c r="L115" s="500"/>
      <c r="M115" s="500"/>
      <c r="N115" s="500"/>
      <c r="O115" s="568"/>
      <c r="P115" s="500"/>
      <c r="Q115" s="860"/>
      <c r="R115" s="870">
        <v>0.9</v>
      </c>
      <c r="S115" s="163"/>
      <c r="T115" s="537"/>
      <c r="U115" s="163"/>
      <c r="V115" s="163"/>
      <c r="W115" s="538"/>
      <c r="X115" s="539"/>
      <c r="Y115" s="163"/>
      <c r="Z115" s="1694"/>
      <c r="AB115">
        <v>1</v>
      </c>
      <c r="AE115" s="2461"/>
      <c r="AF115" s="68"/>
    </row>
    <row r="116" spans="1:32" ht="30" x14ac:dyDescent="0.35">
      <c r="A116" s="347">
        <v>59</v>
      </c>
      <c r="B116" s="358">
        <v>10759</v>
      </c>
      <c r="C116" s="358"/>
      <c r="D116" s="358" t="s">
        <v>1970</v>
      </c>
      <c r="E116" s="511" t="s">
        <v>10703</v>
      </c>
      <c r="F116" s="1138">
        <v>5</v>
      </c>
      <c r="G116" s="1138">
        <v>5</v>
      </c>
      <c r="H116" s="2422">
        <v>6</v>
      </c>
      <c r="I116" s="501">
        <f t="shared" si="14"/>
        <v>7.3</v>
      </c>
      <c r="J116" s="501">
        <f t="shared" si="15"/>
        <v>7.3</v>
      </c>
      <c r="K116" s="501"/>
      <c r="L116" s="501"/>
      <c r="M116" s="501"/>
      <c r="N116" s="501"/>
      <c r="O116" s="568"/>
      <c r="P116" s="501"/>
      <c r="Q116" s="860">
        <v>7.3</v>
      </c>
      <c r="R116" s="870"/>
      <c r="S116" s="281"/>
      <c r="T116" s="281"/>
      <c r="U116" s="281"/>
      <c r="V116" s="281"/>
      <c r="W116" s="97">
        <v>10</v>
      </c>
      <c r="X116" s="279">
        <v>157.69999999999999</v>
      </c>
      <c r="Y116" s="536">
        <v>1</v>
      </c>
      <c r="Z116" s="2982">
        <v>10</v>
      </c>
      <c r="AB116">
        <v>1</v>
      </c>
      <c r="AE116" s="2461"/>
      <c r="AF116" s="68"/>
    </row>
    <row r="117" spans="1:32" ht="30.5" x14ac:dyDescent="0.35">
      <c r="A117" s="347">
        <v>60</v>
      </c>
      <c r="B117" s="358">
        <v>10759</v>
      </c>
      <c r="C117" s="358"/>
      <c r="D117" s="2464" t="s">
        <v>6928</v>
      </c>
      <c r="E117" s="511" t="s">
        <v>7759</v>
      </c>
      <c r="F117" s="1138"/>
      <c r="G117" s="1138" t="s">
        <v>191</v>
      </c>
      <c r="H117" s="2422" t="s">
        <v>191</v>
      </c>
      <c r="I117" s="501">
        <f t="shared" si="14"/>
        <v>1.85</v>
      </c>
      <c r="J117" s="501">
        <f t="shared" si="15"/>
        <v>1.85</v>
      </c>
      <c r="K117" s="501"/>
      <c r="L117" s="501"/>
      <c r="M117" s="501"/>
      <c r="N117" s="501"/>
      <c r="O117" s="568"/>
      <c r="P117" s="501"/>
      <c r="Q117" s="860">
        <f>SUM(Q118:Q119)</f>
        <v>1.6</v>
      </c>
      <c r="R117" s="870">
        <f>SUM(R118:R119)</f>
        <v>0.25</v>
      </c>
      <c r="S117" s="281"/>
      <c r="T117" s="281"/>
      <c r="U117" s="281"/>
      <c r="V117" s="281"/>
      <c r="W117" s="97"/>
      <c r="X117" s="279"/>
      <c r="Y117" s="536"/>
      <c r="Z117" s="1694"/>
      <c r="AB117">
        <v>1</v>
      </c>
      <c r="AE117" s="2461"/>
      <c r="AF117" s="68"/>
    </row>
    <row r="118" spans="1:32" x14ac:dyDescent="0.35">
      <c r="A118" s="347"/>
      <c r="B118" s="358">
        <v>10759</v>
      </c>
      <c r="C118" s="358"/>
      <c r="D118" s="358"/>
      <c r="E118" s="837" t="s">
        <v>3285</v>
      </c>
      <c r="F118" s="1138">
        <v>5</v>
      </c>
      <c r="G118" s="1138">
        <v>5</v>
      </c>
      <c r="H118" s="2422">
        <v>6</v>
      </c>
      <c r="I118" s="502"/>
      <c r="J118" s="502"/>
      <c r="K118" s="502"/>
      <c r="L118" s="502"/>
      <c r="M118" s="502"/>
      <c r="N118" s="502"/>
      <c r="O118" s="569"/>
      <c r="P118" s="502"/>
      <c r="Q118" s="863">
        <v>1.6</v>
      </c>
      <c r="R118" s="873"/>
      <c r="S118" s="281"/>
      <c r="T118" s="281"/>
      <c r="U118" s="281"/>
      <c r="V118" s="281"/>
      <c r="W118" s="97"/>
      <c r="X118" s="95"/>
      <c r="Y118" s="536"/>
      <c r="Z118" s="1694"/>
      <c r="AE118" s="2461"/>
      <c r="AF118" s="68"/>
    </row>
    <row r="119" spans="1:32" s="63" customFormat="1" ht="16" x14ac:dyDescent="0.4">
      <c r="A119" s="347"/>
      <c r="B119" s="358">
        <v>10759</v>
      </c>
      <c r="C119" s="358"/>
      <c r="D119" s="358"/>
      <c r="E119" s="838" t="s">
        <v>6929</v>
      </c>
      <c r="F119" s="1138">
        <v>5</v>
      </c>
      <c r="G119" s="1138">
        <v>5</v>
      </c>
      <c r="H119" s="1138">
        <v>6</v>
      </c>
      <c r="I119" s="502"/>
      <c r="J119" s="502"/>
      <c r="K119" s="502"/>
      <c r="L119" s="502"/>
      <c r="M119" s="502"/>
      <c r="N119" s="502"/>
      <c r="O119" s="569"/>
      <c r="P119" s="502"/>
      <c r="Q119" s="863"/>
      <c r="R119" s="873">
        <f>1.85-1.6</f>
        <v>0.25</v>
      </c>
      <c r="S119" s="281"/>
      <c r="T119" s="281"/>
      <c r="U119" s="281"/>
      <c r="V119" s="281"/>
      <c r="W119" s="97"/>
      <c r="X119" s="95"/>
      <c r="Y119" s="536"/>
      <c r="Z119" s="1694"/>
      <c r="AE119" s="2461"/>
      <c r="AF119" s="68"/>
    </row>
    <row r="120" spans="1:32" s="63" customFormat="1" ht="46" x14ac:dyDescent="0.4">
      <c r="A120" s="347">
        <v>61</v>
      </c>
      <c r="B120" s="358"/>
      <c r="C120" s="358"/>
      <c r="D120" s="2464" t="s">
        <v>5092</v>
      </c>
      <c r="E120" s="2383" t="s">
        <v>8588</v>
      </c>
      <c r="F120" s="2742" t="s">
        <v>664</v>
      </c>
      <c r="G120" s="2742">
        <v>5</v>
      </c>
      <c r="H120" s="1138">
        <v>6</v>
      </c>
      <c r="I120" s="2102">
        <f>J120+K120+L120</f>
        <v>0.3</v>
      </c>
      <c r="J120" s="2102">
        <f>SUM(M120:R120)</f>
        <v>0.3</v>
      </c>
      <c r="K120" s="622"/>
      <c r="L120" s="622"/>
      <c r="M120" s="622"/>
      <c r="N120" s="622"/>
      <c r="O120" s="622"/>
      <c r="P120" s="622"/>
      <c r="Q120" s="2085"/>
      <c r="R120" s="906">
        <v>0.3</v>
      </c>
      <c r="S120" s="2115"/>
      <c r="T120" s="2115"/>
      <c r="U120" s="2115"/>
      <c r="V120" s="2115"/>
      <c r="W120" s="2339"/>
      <c r="X120" s="2339"/>
      <c r="Y120" s="2339"/>
      <c r="Z120" s="2983"/>
      <c r="AB120" s="63">
        <v>1</v>
      </c>
      <c r="AE120" s="2461"/>
      <c r="AF120" s="68"/>
    </row>
    <row r="121" spans="1:32" s="63" customFormat="1" ht="46" x14ac:dyDescent="0.4">
      <c r="A121" s="2125">
        <v>62</v>
      </c>
      <c r="B121" s="2118">
        <v>10759</v>
      </c>
      <c r="C121" s="2118" t="s">
        <v>1656</v>
      </c>
      <c r="D121" s="2464" t="s">
        <v>5093</v>
      </c>
      <c r="E121" s="2383" t="s">
        <v>8589</v>
      </c>
      <c r="F121" s="2742" t="s">
        <v>664</v>
      </c>
      <c r="G121" s="2742">
        <v>5</v>
      </c>
      <c r="H121" s="1138">
        <v>6</v>
      </c>
      <c r="I121" s="2102">
        <f>J121+K121+L121</f>
        <v>0.7</v>
      </c>
      <c r="J121" s="2102">
        <f>SUM(M121:R121)</f>
        <v>0.7</v>
      </c>
      <c r="K121" s="622"/>
      <c r="L121" s="622"/>
      <c r="M121" s="622"/>
      <c r="N121" s="622"/>
      <c r="O121" s="622"/>
      <c r="P121" s="622"/>
      <c r="Q121" s="2085"/>
      <c r="R121" s="906">
        <v>0.7</v>
      </c>
      <c r="S121" s="2115"/>
      <c r="T121" s="2115"/>
      <c r="U121" s="2115"/>
      <c r="V121" s="2115"/>
      <c r="W121" s="2339"/>
      <c r="X121" s="2339"/>
      <c r="Y121" s="2339"/>
      <c r="Z121" s="2983"/>
      <c r="AA121"/>
      <c r="AB121">
        <v>1</v>
      </c>
      <c r="AE121" s="2461"/>
      <c r="AF121" s="68"/>
    </row>
    <row r="122" spans="1:32" ht="45.5" x14ac:dyDescent="0.35">
      <c r="A122" s="347">
        <v>63</v>
      </c>
      <c r="B122" s="1134">
        <v>10759</v>
      </c>
      <c r="C122" s="405" t="s">
        <v>1656</v>
      </c>
      <c r="D122" s="2464" t="s">
        <v>5094</v>
      </c>
      <c r="E122" s="511" t="s">
        <v>8590</v>
      </c>
      <c r="F122" s="1138" t="s">
        <v>664</v>
      </c>
      <c r="G122" s="1138">
        <v>5</v>
      </c>
      <c r="H122" s="1138">
        <v>6</v>
      </c>
      <c r="I122" s="297">
        <f>J122+K122+L122</f>
        <v>1.1499999999999999</v>
      </c>
      <c r="J122" s="297">
        <f>SUM(M122:R122)</f>
        <v>1.1499999999999999</v>
      </c>
      <c r="K122" s="501"/>
      <c r="L122" s="501"/>
      <c r="M122" s="501"/>
      <c r="N122" s="501"/>
      <c r="O122" s="568"/>
      <c r="P122" s="501"/>
      <c r="Q122" s="1856"/>
      <c r="R122" s="1865">
        <v>1.1499999999999999</v>
      </c>
      <c r="S122" s="170"/>
      <c r="T122" s="537"/>
      <c r="U122" s="163"/>
      <c r="V122" s="163"/>
      <c r="W122" s="538"/>
      <c r="X122" s="539"/>
      <c r="Y122" s="163"/>
      <c r="Z122" s="1694"/>
      <c r="AA122" t="s">
        <v>1842</v>
      </c>
      <c r="AB122">
        <v>1</v>
      </c>
      <c r="AE122" s="2461"/>
      <c r="AF122" s="68"/>
    </row>
    <row r="123" spans="1:32" ht="30.5" x14ac:dyDescent="0.35">
      <c r="A123" s="2125">
        <v>64</v>
      </c>
      <c r="B123" s="405">
        <v>10760</v>
      </c>
      <c r="C123" s="405"/>
      <c r="D123" s="405" t="s">
        <v>913</v>
      </c>
      <c r="E123" s="288" t="s">
        <v>6930</v>
      </c>
      <c r="F123" s="1138"/>
      <c r="G123" s="1138" t="s">
        <v>191</v>
      </c>
      <c r="H123" s="2422" t="s">
        <v>191</v>
      </c>
      <c r="I123" s="501">
        <f>J123+K123+L123</f>
        <v>8.620000000000001</v>
      </c>
      <c r="J123" s="501">
        <f>SUM(M123:R123)</f>
        <v>8.620000000000001</v>
      </c>
      <c r="K123" s="501"/>
      <c r="L123" s="501"/>
      <c r="M123" s="501"/>
      <c r="N123" s="501">
        <f>SUM(N124:N125)</f>
        <v>4.49</v>
      </c>
      <c r="O123" s="568"/>
      <c r="P123" s="501"/>
      <c r="Q123" s="860">
        <f>SUM(Q124:Q125)</f>
        <v>4.13</v>
      </c>
      <c r="R123" s="870"/>
      <c r="S123" s="281"/>
      <c r="T123" s="281"/>
      <c r="U123" s="281"/>
      <c r="V123" s="281"/>
      <c r="W123" s="97">
        <v>23</v>
      </c>
      <c r="X123" s="279">
        <v>289.89999999999998</v>
      </c>
      <c r="Y123" s="536">
        <v>10</v>
      </c>
      <c r="Z123" s="2982">
        <v>105</v>
      </c>
      <c r="AB123">
        <v>1</v>
      </c>
      <c r="AE123" s="2461"/>
      <c r="AF123" s="68"/>
    </row>
    <row r="124" spans="1:32" x14ac:dyDescent="0.35">
      <c r="A124" s="359"/>
      <c r="B124" s="405">
        <v>10760</v>
      </c>
      <c r="C124" s="405"/>
      <c r="D124" s="360"/>
      <c r="E124" s="289" t="s">
        <v>2595</v>
      </c>
      <c r="F124" s="1138">
        <v>5</v>
      </c>
      <c r="G124" s="1138">
        <v>4</v>
      </c>
      <c r="H124" s="2422">
        <v>6</v>
      </c>
      <c r="I124" s="502"/>
      <c r="J124" s="502"/>
      <c r="K124" s="502"/>
      <c r="L124" s="502"/>
      <c r="M124" s="502"/>
      <c r="N124" s="502">
        <v>4.49</v>
      </c>
      <c r="O124" s="569"/>
      <c r="P124" s="502"/>
      <c r="Q124" s="863"/>
      <c r="R124" s="873"/>
      <c r="S124" s="281"/>
      <c r="T124" s="281"/>
      <c r="U124" s="281"/>
      <c r="V124" s="281"/>
      <c r="W124" s="97"/>
      <c r="X124" s="95"/>
      <c r="Y124" s="536"/>
      <c r="Z124" s="1694"/>
      <c r="AE124" s="2461"/>
      <c r="AF124" s="68"/>
    </row>
    <row r="125" spans="1:32" x14ac:dyDescent="0.35">
      <c r="A125" s="359"/>
      <c r="B125" s="405">
        <v>10760</v>
      </c>
      <c r="C125" s="405"/>
      <c r="D125" s="360"/>
      <c r="E125" s="837" t="s">
        <v>2596</v>
      </c>
      <c r="F125" s="1138">
        <v>5</v>
      </c>
      <c r="G125" s="1138">
        <v>4</v>
      </c>
      <c r="H125" s="2422">
        <v>6</v>
      </c>
      <c r="I125" s="502"/>
      <c r="J125" s="502"/>
      <c r="K125" s="502"/>
      <c r="L125" s="502"/>
      <c r="M125" s="502"/>
      <c r="N125" s="502"/>
      <c r="O125" s="569"/>
      <c r="P125" s="502"/>
      <c r="Q125" s="863">
        <v>4.13</v>
      </c>
      <c r="R125" s="873"/>
      <c r="S125" s="281"/>
      <c r="T125" s="281"/>
      <c r="U125" s="281"/>
      <c r="V125" s="281"/>
      <c r="W125" s="97"/>
      <c r="X125" s="95"/>
      <c r="Y125" s="536"/>
      <c r="Z125" s="1694"/>
      <c r="AE125" s="2461"/>
      <c r="AF125" s="68"/>
    </row>
    <row r="126" spans="1:32" ht="46" x14ac:dyDescent="0.4">
      <c r="A126" s="827">
        <v>65</v>
      </c>
      <c r="B126" s="828">
        <v>10760</v>
      </c>
      <c r="C126" s="828"/>
      <c r="D126" s="2464" t="s">
        <v>5095</v>
      </c>
      <c r="E126" s="511" t="s">
        <v>11498</v>
      </c>
      <c r="F126" s="1138"/>
      <c r="G126" s="1138" t="s">
        <v>191</v>
      </c>
      <c r="H126" s="2422" t="s">
        <v>191</v>
      </c>
      <c r="I126" s="2705">
        <f>J126+K126+L126</f>
        <v>0.34</v>
      </c>
      <c r="J126" s="2705">
        <f>SUM(M126:R126)</f>
        <v>0.34</v>
      </c>
      <c r="K126" s="500"/>
      <c r="L126" s="500"/>
      <c r="M126" s="500"/>
      <c r="N126" s="500">
        <f>SUM(N127:N128)</f>
        <v>0.34</v>
      </c>
      <c r="O126" s="568"/>
      <c r="P126" s="500"/>
      <c r="Q126" s="860"/>
      <c r="R126" s="870">
        <f>SUM(R127:R128)</f>
        <v>0</v>
      </c>
      <c r="S126" s="163"/>
      <c r="T126" s="537"/>
      <c r="U126" s="163"/>
      <c r="V126" s="163"/>
      <c r="W126" s="2981">
        <v>0</v>
      </c>
      <c r="X126" s="2443">
        <v>0</v>
      </c>
      <c r="Y126" s="163"/>
      <c r="Z126" s="1694"/>
      <c r="AA126" s="63"/>
      <c r="AB126">
        <v>1</v>
      </c>
      <c r="AE126" s="2461"/>
      <c r="AF126" s="68"/>
    </row>
    <row r="127" spans="1:32" s="63" customFormat="1" ht="16" x14ac:dyDescent="0.4">
      <c r="A127" s="829"/>
      <c r="B127" s="828">
        <v>10760</v>
      </c>
      <c r="C127" s="828"/>
      <c r="D127" s="830"/>
      <c r="E127" s="459" t="s">
        <v>2850</v>
      </c>
      <c r="F127" s="1138" t="s">
        <v>827</v>
      </c>
      <c r="G127" s="1138">
        <v>5</v>
      </c>
      <c r="H127" s="2422">
        <v>6</v>
      </c>
      <c r="I127" s="831"/>
      <c r="J127" s="831"/>
      <c r="K127" s="831"/>
      <c r="L127" s="831"/>
      <c r="M127" s="831"/>
      <c r="N127" s="831">
        <v>0.34</v>
      </c>
      <c r="O127" s="569"/>
      <c r="P127" s="831"/>
      <c r="Q127" s="863"/>
      <c r="R127" s="873"/>
      <c r="S127" s="163"/>
      <c r="T127" s="537"/>
      <c r="U127" s="163"/>
      <c r="V127" s="163"/>
      <c r="W127" s="538"/>
      <c r="X127" s="539"/>
      <c r="Y127" s="163"/>
      <c r="Z127" s="1694"/>
      <c r="AE127" s="2461"/>
      <c r="AF127" s="68"/>
    </row>
    <row r="128" spans="1:32" s="63" customFormat="1" ht="16" x14ac:dyDescent="0.4">
      <c r="A128" s="829"/>
      <c r="B128" s="828">
        <v>10760</v>
      </c>
      <c r="C128" s="828"/>
      <c r="D128" s="830"/>
      <c r="E128" s="2864" t="s">
        <v>11497</v>
      </c>
      <c r="F128" s="1138" t="s">
        <v>664</v>
      </c>
      <c r="G128" s="1138">
        <v>5</v>
      </c>
      <c r="H128" s="1138">
        <v>6</v>
      </c>
      <c r="I128" s="831"/>
      <c r="J128" s="831"/>
      <c r="K128" s="831"/>
      <c r="L128" s="831"/>
      <c r="M128" s="831"/>
      <c r="N128" s="831"/>
      <c r="O128" s="569"/>
      <c r="P128" s="831"/>
      <c r="Q128" s="863"/>
      <c r="R128" s="2867">
        <v>0</v>
      </c>
      <c r="S128" s="163"/>
      <c r="T128" s="537"/>
      <c r="U128" s="163"/>
      <c r="V128" s="163"/>
      <c r="W128" s="538"/>
      <c r="X128" s="539"/>
      <c r="Y128" s="163"/>
      <c r="Z128" s="1694"/>
      <c r="AA128"/>
      <c r="AB128"/>
      <c r="AE128" s="2461"/>
      <c r="AF128" s="68"/>
    </row>
    <row r="129" spans="1:32" ht="45.5" x14ac:dyDescent="0.35">
      <c r="A129" s="827">
        <v>66</v>
      </c>
      <c r="B129" s="828">
        <v>10760</v>
      </c>
      <c r="C129" s="2118" t="s">
        <v>1656</v>
      </c>
      <c r="D129" s="2464" t="s">
        <v>5096</v>
      </c>
      <c r="E129" s="511" t="s">
        <v>8591</v>
      </c>
      <c r="F129" s="1138" t="s">
        <v>827</v>
      </c>
      <c r="G129" s="1138">
        <v>5</v>
      </c>
      <c r="H129" s="1138">
        <v>6</v>
      </c>
      <c r="I129" s="501">
        <f t="shared" ref="I129:I136" si="16">J129+K129+L129</f>
        <v>0.15</v>
      </c>
      <c r="J129" s="501">
        <f t="shared" ref="J129:J136" si="17">SUM(M129:R129)</f>
        <v>0.15</v>
      </c>
      <c r="K129" s="500"/>
      <c r="L129" s="500"/>
      <c r="M129" s="500"/>
      <c r="N129" s="500"/>
      <c r="O129" s="568"/>
      <c r="P129" s="500"/>
      <c r="Q129" s="860"/>
      <c r="R129" s="870">
        <v>0.15</v>
      </c>
      <c r="S129" s="163"/>
      <c r="T129" s="537"/>
      <c r="U129" s="163"/>
      <c r="V129" s="163"/>
      <c r="W129" s="538"/>
      <c r="X129" s="539"/>
      <c r="Y129" s="163"/>
      <c r="Z129" s="1694"/>
      <c r="AA129" s="178"/>
      <c r="AB129">
        <v>1</v>
      </c>
      <c r="AE129" s="2461"/>
      <c r="AF129" s="68"/>
    </row>
    <row r="130" spans="1:32" ht="45.5" x14ac:dyDescent="0.35">
      <c r="A130" s="827">
        <v>67</v>
      </c>
      <c r="B130" s="828">
        <v>10760</v>
      </c>
      <c r="C130" s="2118" t="s">
        <v>1656</v>
      </c>
      <c r="D130" s="2464" t="s">
        <v>5097</v>
      </c>
      <c r="E130" s="511" t="s">
        <v>8592</v>
      </c>
      <c r="F130" s="1138"/>
      <c r="G130" s="1138" t="s">
        <v>191</v>
      </c>
      <c r="H130" s="1138" t="s">
        <v>191</v>
      </c>
      <c r="I130" s="501">
        <f t="shared" si="16"/>
        <v>0.6</v>
      </c>
      <c r="J130" s="501">
        <f t="shared" si="17"/>
        <v>0.6</v>
      </c>
      <c r="K130" s="500"/>
      <c r="L130" s="500"/>
      <c r="M130" s="500"/>
      <c r="N130" s="500">
        <f>SUM(N131:N132)</f>
        <v>0.38</v>
      </c>
      <c r="O130" s="568"/>
      <c r="P130" s="500"/>
      <c r="Q130" s="860"/>
      <c r="R130" s="870">
        <f>SUM(R131:R132)</f>
        <v>0.21999999999999997</v>
      </c>
      <c r="S130" s="163"/>
      <c r="T130" s="537"/>
      <c r="U130" s="163"/>
      <c r="V130" s="163"/>
      <c r="W130" s="538"/>
      <c r="X130" s="539"/>
      <c r="Y130" s="163"/>
      <c r="Z130" s="1694"/>
      <c r="AB130">
        <v>1</v>
      </c>
      <c r="AE130" s="2461"/>
      <c r="AF130" s="68"/>
    </row>
    <row r="131" spans="1:32" x14ac:dyDescent="0.35">
      <c r="A131" s="827"/>
      <c r="B131" s="828"/>
      <c r="C131" s="2118"/>
      <c r="D131" s="2464"/>
      <c r="E131" s="459" t="s">
        <v>1897</v>
      </c>
      <c r="F131" s="1138" t="s">
        <v>827</v>
      </c>
      <c r="G131" s="1138">
        <v>5</v>
      </c>
      <c r="H131" s="1138">
        <v>6</v>
      </c>
      <c r="I131" s="501"/>
      <c r="J131" s="502"/>
      <c r="K131" s="831"/>
      <c r="L131" s="831"/>
      <c r="M131" s="831"/>
      <c r="N131" s="831">
        <v>0.38</v>
      </c>
      <c r="O131" s="569"/>
      <c r="P131" s="831"/>
      <c r="Q131" s="1859"/>
      <c r="R131" s="1868"/>
      <c r="S131" s="163"/>
      <c r="T131" s="537"/>
      <c r="U131" s="163"/>
      <c r="V131" s="163"/>
      <c r="W131" s="538"/>
      <c r="X131" s="539"/>
      <c r="Y131" s="163"/>
      <c r="Z131" s="1694"/>
      <c r="AE131" s="2461"/>
      <c r="AF131" s="68"/>
    </row>
    <row r="132" spans="1:32" x14ac:dyDescent="0.35">
      <c r="A132" s="827"/>
      <c r="B132" s="828"/>
      <c r="C132" s="2118"/>
      <c r="D132" s="2464"/>
      <c r="E132" s="838" t="s">
        <v>6931</v>
      </c>
      <c r="F132" s="1138" t="s">
        <v>827</v>
      </c>
      <c r="G132" s="1138">
        <v>5</v>
      </c>
      <c r="H132" s="1138">
        <v>6</v>
      </c>
      <c r="I132" s="501"/>
      <c r="J132" s="502"/>
      <c r="K132" s="831"/>
      <c r="L132" s="831"/>
      <c r="M132" s="831"/>
      <c r="N132" s="831"/>
      <c r="O132" s="569"/>
      <c r="P132" s="831"/>
      <c r="Q132" s="1859"/>
      <c r="R132" s="1868">
        <f>0.6-0.38</f>
        <v>0.21999999999999997</v>
      </c>
      <c r="S132" s="163"/>
      <c r="T132" s="537"/>
      <c r="U132" s="163"/>
      <c r="V132" s="163"/>
      <c r="W132" s="538"/>
      <c r="X132" s="539"/>
      <c r="Y132" s="163"/>
      <c r="Z132" s="1694"/>
      <c r="AE132" s="2461"/>
      <c r="AF132" s="68"/>
    </row>
    <row r="133" spans="1:32" ht="30" x14ac:dyDescent="0.35">
      <c r="A133" s="827">
        <v>68</v>
      </c>
      <c r="B133" s="358">
        <v>10761</v>
      </c>
      <c r="C133" s="358"/>
      <c r="D133" s="358" t="s">
        <v>3102</v>
      </c>
      <c r="E133" s="288" t="s">
        <v>1871</v>
      </c>
      <c r="F133" s="1138">
        <v>5</v>
      </c>
      <c r="G133" s="1138">
        <v>4</v>
      </c>
      <c r="H133" s="2422">
        <v>6</v>
      </c>
      <c r="I133" s="501">
        <f t="shared" si="16"/>
        <v>8.3000000000000007</v>
      </c>
      <c r="J133" s="501">
        <f t="shared" si="17"/>
        <v>8.3000000000000007</v>
      </c>
      <c r="K133" s="501"/>
      <c r="L133" s="501"/>
      <c r="M133" s="501"/>
      <c r="N133" s="501">
        <v>8.3000000000000007</v>
      </c>
      <c r="O133" s="568"/>
      <c r="P133" s="501"/>
      <c r="Q133" s="860"/>
      <c r="R133" s="870"/>
      <c r="S133" s="281"/>
      <c r="T133" s="281"/>
      <c r="U133" s="281"/>
      <c r="V133" s="281"/>
      <c r="W133" s="97">
        <v>18</v>
      </c>
      <c r="X133" s="279">
        <v>255</v>
      </c>
      <c r="Y133" s="536">
        <v>5</v>
      </c>
      <c r="Z133" s="2982">
        <v>53</v>
      </c>
      <c r="AA133" s="1778" t="s">
        <v>3225</v>
      </c>
      <c r="AB133">
        <v>1</v>
      </c>
      <c r="AE133" s="2461"/>
      <c r="AF133" s="68"/>
    </row>
    <row r="134" spans="1:32" ht="30.5" x14ac:dyDescent="0.35">
      <c r="A134" s="827">
        <v>69</v>
      </c>
      <c r="B134" s="2118">
        <v>10761</v>
      </c>
      <c r="C134" s="2118" t="s">
        <v>1656</v>
      </c>
      <c r="D134" s="2464" t="s">
        <v>5098</v>
      </c>
      <c r="E134" s="2383" t="s">
        <v>8593</v>
      </c>
      <c r="F134" s="2742" t="s">
        <v>664</v>
      </c>
      <c r="G134" s="2742">
        <v>5</v>
      </c>
      <c r="H134" s="1138">
        <v>6</v>
      </c>
      <c r="I134" s="2102">
        <f t="shared" si="16"/>
        <v>0.71</v>
      </c>
      <c r="J134" s="2102">
        <f t="shared" si="17"/>
        <v>0.71</v>
      </c>
      <c r="K134" s="622"/>
      <c r="L134" s="622"/>
      <c r="M134" s="622"/>
      <c r="N134" s="622"/>
      <c r="O134" s="622"/>
      <c r="P134" s="622"/>
      <c r="Q134" s="2085"/>
      <c r="R134" s="906">
        <v>0.71</v>
      </c>
      <c r="S134" s="2115"/>
      <c r="T134" s="2115"/>
      <c r="U134" s="2115"/>
      <c r="V134" s="2115"/>
      <c r="W134" s="2339"/>
      <c r="X134" s="2339"/>
      <c r="Y134" s="2339"/>
      <c r="Z134" s="2983"/>
      <c r="AB134">
        <v>1</v>
      </c>
      <c r="AE134" s="2461"/>
      <c r="AF134" s="68"/>
    </row>
    <row r="135" spans="1:32" ht="45.5" x14ac:dyDescent="0.35">
      <c r="A135" s="827">
        <v>70</v>
      </c>
      <c r="B135" s="2118">
        <v>10761</v>
      </c>
      <c r="C135" s="2118" t="s">
        <v>1656</v>
      </c>
      <c r="D135" s="2464" t="s">
        <v>5099</v>
      </c>
      <c r="E135" s="2383" t="s">
        <v>8594</v>
      </c>
      <c r="F135" s="2742" t="s">
        <v>664</v>
      </c>
      <c r="G135" s="2742">
        <v>5</v>
      </c>
      <c r="H135" s="1138">
        <v>6</v>
      </c>
      <c r="I135" s="2102">
        <f t="shared" si="16"/>
        <v>0.05</v>
      </c>
      <c r="J135" s="2102">
        <f t="shared" si="17"/>
        <v>0.05</v>
      </c>
      <c r="K135" s="622"/>
      <c r="L135" s="622"/>
      <c r="M135" s="622"/>
      <c r="N135" s="622"/>
      <c r="O135" s="622"/>
      <c r="P135" s="622"/>
      <c r="Q135" s="2085"/>
      <c r="R135" s="906">
        <v>0.05</v>
      </c>
      <c r="S135" s="2115"/>
      <c r="T135" s="2115"/>
      <c r="U135" s="2115"/>
      <c r="V135" s="2115"/>
      <c r="W135" s="2339"/>
      <c r="X135" s="2339"/>
      <c r="Y135" s="2339"/>
      <c r="Z135" s="2983"/>
      <c r="AB135">
        <v>1</v>
      </c>
      <c r="AE135" s="2461"/>
      <c r="AF135" s="68"/>
    </row>
    <row r="136" spans="1:32" ht="31" x14ac:dyDescent="0.4">
      <c r="A136" s="827">
        <v>71</v>
      </c>
      <c r="B136" s="358">
        <v>10762</v>
      </c>
      <c r="C136" s="358"/>
      <c r="D136" s="358" t="s">
        <v>3177</v>
      </c>
      <c r="E136" s="511" t="s">
        <v>11399</v>
      </c>
      <c r="F136" s="1138"/>
      <c r="G136" s="1138" t="s">
        <v>191</v>
      </c>
      <c r="H136" s="2422" t="s">
        <v>191</v>
      </c>
      <c r="I136" s="501">
        <f t="shared" si="16"/>
        <v>6.5</v>
      </c>
      <c r="J136" s="501">
        <f t="shared" si="17"/>
        <v>6.5</v>
      </c>
      <c r="K136" s="501"/>
      <c r="L136" s="501"/>
      <c r="M136" s="501"/>
      <c r="N136" s="501">
        <f>SUM(N137:N138)</f>
        <v>3.84</v>
      </c>
      <c r="O136" s="568"/>
      <c r="P136" s="501"/>
      <c r="Q136" s="860"/>
      <c r="R136" s="870">
        <f>SUM(R137:R138)</f>
        <v>2.66</v>
      </c>
      <c r="S136" s="281"/>
      <c r="T136" s="281"/>
      <c r="U136" s="281"/>
      <c r="V136" s="281"/>
      <c r="W136" s="97">
        <v>12</v>
      </c>
      <c r="X136" s="279">
        <v>185.1</v>
      </c>
      <c r="Y136" s="536"/>
      <c r="Z136" s="1694"/>
      <c r="AA136" s="63"/>
      <c r="AB136">
        <v>1</v>
      </c>
      <c r="AE136" s="2461"/>
      <c r="AF136" s="68"/>
    </row>
    <row r="137" spans="1:32" x14ac:dyDescent="0.35">
      <c r="A137" s="363"/>
      <c r="B137" s="358">
        <v>10762</v>
      </c>
      <c r="C137" s="358"/>
      <c r="D137" s="364"/>
      <c r="E137" s="289" t="s">
        <v>690</v>
      </c>
      <c r="F137" s="1138">
        <v>5</v>
      </c>
      <c r="G137" s="1138">
        <v>4</v>
      </c>
      <c r="H137" s="2422">
        <v>6</v>
      </c>
      <c r="I137" s="502"/>
      <c r="J137" s="502"/>
      <c r="K137" s="502"/>
      <c r="L137" s="502"/>
      <c r="M137" s="502"/>
      <c r="N137" s="502">
        <v>3.84</v>
      </c>
      <c r="O137" s="569"/>
      <c r="P137" s="502"/>
      <c r="Q137" s="863"/>
      <c r="R137" s="873"/>
      <c r="S137" s="281"/>
      <c r="T137" s="281"/>
      <c r="U137" s="281"/>
      <c r="V137" s="281"/>
      <c r="W137" s="97"/>
      <c r="X137" s="97"/>
      <c r="Y137" s="536"/>
      <c r="Z137" s="1694"/>
      <c r="AE137" s="2461"/>
      <c r="AF137" s="68"/>
    </row>
    <row r="138" spans="1:32" x14ac:dyDescent="0.35">
      <c r="A138" s="363"/>
      <c r="B138" s="358">
        <v>10762</v>
      </c>
      <c r="C138" s="358"/>
      <c r="D138" s="364"/>
      <c r="E138" s="838" t="s">
        <v>691</v>
      </c>
      <c r="F138" s="1138">
        <v>5</v>
      </c>
      <c r="G138" s="1138">
        <v>5</v>
      </c>
      <c r="H138" s="1138">
        <v>6</v>
      </c>
      <c r="I138" s="502"/>
      <c r="J138" s="502"/>
      <c r="K138" s="502"/>
      <c r="L138" s="502"/>
      <c r="M138" s="502"/>
      <c r="N138" s="502"/>
      <c r="O138" s="569"/>
      <c r="P138" s="502"/>
      <c r="Q138" s="863"/>
      <c r="R138" s="873">
        <v>2.66</v>
      </c>
      <c r="S138" s="281"/>
      <c r="T138" s="281"/>
      <c r="U138" s="281"/>
      <c r="V138" s="281"/>
      <c r="W138" s="279"/>
      <c r="X138" s="279"/>
      <c r="Y138" s="170"/>
      <c r="Z138" s="1694"/>
      <c r="AE138" s="2461"/>
      <c r="AF138" s="68"/>
    </row>
    <row r="139" spans="1:32" ht="45.5" x14ac:dyDescent="0.35">
      <c r="A139" s="827">
        <v>72</v>
      </c>
      <c r="B139" s="828">
        <v>10762</v>
      </c>
      <c r="C139" s="2118" t="s">
        <v>1656</v>
      </c>
      <c r="D139" s="2464" t="s">
        <v>5100</v>
      </c>
      <c r="E139" s="511" t="s">
        <v>11400</v>
      </c>
      <c r="F139" s="1138" t="s">
        <v>827</v>
      </c>
      <c r="G139" s="1138">
        <v>5</v>
      </c>
      <c r="H139" s="1138">
        <v>6</v>
      </c>
      <c r="I139" s="501">
        <f>J139+K139+L139</f>
        <v>1.7</v>
      </c>
      <c r="J139" s="501">
        <f>SUM(M139:R139)</f>
        <v>1.7</v>
      </c>
      <c r="K139" s="500"/>
      <c r="L139" s="500"/>
      <c r="M139" s="500"/>
      <c r="N139" s="500"/>
      <c r="O139" s="568"/>
      <c r="P139" s="500"/>
      <c r="Q139" s="860"/>
      <c r="R139" s="870">
        <v>1.7</v>
      </c>
      <c r="S139" s="163"/>
      <c r="T139" s="537"/>
      <c r="U139" s="163"/>
      <c r="V139" s="163"/>
      <c r="W139" s="538"/>
      <c r="X139" s="539"/>
      <c r="Y139" s="163"/>
      <c r="Z139" s="1694"/>
      <c r="AB139">
        <v>1</v>
      </c>
      <c r="AE139" s="2461"/>
      <c r="AF139" s="68"/>
    </row>
    <row r="140" spans="1:32" ht="60.5" x14ac:dyDescent="0.35">
      <c r="A140" s="1823">
        <v>73</v>
      </c>
      <c r="B140" s="1134">
        <v>10762</v>
      </c>
      <c r="C140" s="2118" t="s">
        <v>1656</v>
      </c>
      <c r="D140" s="2464" t="s">
        <v>5101</v>
      </c>
      <c r="E140" s="2383" t="s">
        <v>11401</v>
      </c>
      <c r="F140" s="2742" t="s">
        <v>664</v>
      </c>
      <c r="G140" s="1138">
        <v>5</v>
      </c>
      <c r="H140" s="1138">
        <v>6</v>
      </c>
      <c r="I140" s="297">
        <f>J140+K140+L140</f>
        <v>1.9</v>
      </c>
      <c r="J140" s="297">
        <f>SUM(M140:R140)</f>
        <v>1.9</v>
      </c>
      <c r="K140" s="622"/>
      <c r="L140" s="622"/>
      <c r="M140" s="622"/>
      <c r="N140" s="622"/>
      <c r="O140" s="622"/>
      <c r="P140" s="622"/>
      <c r="Q140" s="2085"/>
      <c r="R140" s="906">
        <v>1.9</v>
      </c>
      <c r="S140" s="2115"/>
      <c r="T140" s="2115"/>
      <c r="U140" s="2115"/>
      <c r="V140" s="2115"/>
      <c r="W140" s="2339"/>
      <c r="X140" s="2339"/>
      <c r="Y140" s="2339"/>
      <c r="Z140" s="2983"/>
      <c r="AA140" t="s">
        <v>1842</v>
      </c>
      <c r="AB140">
        <v>1</v>
      </c>
      <c r="AE140" s="2461"/>
      <c r="AF140" s="68"/>
    </row>
    <row r="141" spans="1:32" ht="30" x14ac:dyDescent="0.35">
      <c r="A141" s="347">
        <v>74</v>
      </c>
      <c r="B141" s="358">
        <v>10763</v>
      </c>
      <c r="C141" s="358"/>
      <c r="D141" s="358" t="s">
        <v>2123</v>
      </c>
      <c r="E141" s="511" t="s">
        <v>10702</v>
      </c>
      <c r="F141" s="1138"/>
      <c r="G141" s="1138" t="s">
        <v>191</v>
      </c>
      <c r="H141" s="2422" t="s">
        <v>191</v>
      </c>
      <c r="I141" s="501">
        <f>J141+K141+L141</f>
        <v>2.2999999999999998</v>
      </c>
      <c r="J141" s="501">
        <f>SUM(M141:R141)</f>
        <v>2.2999999999999998</v>
      </c>
      <c r="K141" s="501"/>
      <c r="L141" s="501"/>
      <c r="M141" s="501"/>
      <c r="N141" s="501">
        <v>0.14499999999999999</v>
      </c>
      <c r="O141" s="568"/>
      <c r="P141" s="501"/>
      <c r="Q141" s="860">
        <f>SUM(Q142:Q144)</f>
        <v>0.45</v>
      </c>
      <c r="R141" s="870">
        <f>SUM(R142:R144)</f>
        <v>1.7049999999999998</v>
      </c>
      <c r="S141" s="281"/>
      <c r="T141" s="281"/>
      <c r="U141" s="281"/>
      <c r="V141" s="281"/>
      <c r="W141" s="2981">
        <v>0</v>
      </c>
      <c r="X141" s="2443">
        <v>0</v>
      </c>
      <c r="Y141" s="170"/>
      <c r="Z141" s="1694"/>
      <c r="AB141">
        <v>1</v>
      </c>
      <c r="AE141" s="2461"/>
      <c r="AF141" s="68"/>
    </row>
    <row r="142" spans="1:32" s="63" customFormat="1" ht="16" x14ac:dyDescent="0.4">
      <c r="A142" s="363"/>
      <c r="B142" s="358">
        <v>10763</v>
      </c>
      <c r="C142" s="358"/>
      <c r="D142" s="364"/>
      <c r="E142" s="289" t="s">
        <v>3298</v>
      </c>
      <c r="F142" s="1138" t="s">
        <v>1490</v>
      </c>
      <c r="G142" s="1138">
        <v>5</v>
      </c>
      <c r="H142" s="2422">
        <v>6</v>
      </c>
      <c r="I142" s="502"/>
      <c r="J142" s="502"/>
      <c r="K142" s="502"/>
      <c r="L142" s="502"/>
      <c r="M142" s="502"/>
      <c r="N142" s="502">
        <v>0.14499999999999999</v>
      </c>
      <c r="O142" s="569"/>
      <c r="P142" s="502"/>
      <c r="Q142" s="863"/>
      <c r="R142" s="873"/>
      <c r="S142" s="281"/>
      <c r="T142" s="281"/>
      <c r="U142" s="281"/>
      <c r="V142" s="281"/>
      <c r="W142" s="97"/>
      <c r="X142" s="279"/>
      <c r="Y142" s="170"/>
      <c r="Z142" s="1694"/>
      <c r="AE142" s="2461"/>
      <c r="AF142" s="68"/>
    </row>
    <row r="143" spans="1:32" s="63" customFormat="1" ht="16" x14ac:dyDescent="0.4">
      <c r="A143" s="363"/>
      <c r="B143" s="358">
        <v>10763</v>
      </c>
      <c r="C143" s="358"/>
      <c r="D143" s="364"/>
      <c r="E143" s="837" t="s">
        <v>3037</v>
      </c>
      <c r="F143" s="1138" t="s">
        <v>1490</v>
      </c>
      <c r="G143" s="1138">
        <v>5</v>
      </c>
      <c r="H143" s="2422">
        <v>6</v>
      </c>
      <c r="I143" s="502"/>
      <c r="J143" s="502"/>
      <c r="K143" s="502"/>
      <c r="L143" s="502"/>
      <c r="M143" s="502"/>
      <c r="N143" s="502"/>
      <c r="O143" s="569"/>
      <c r="P143" s="502"/>
      <c r="Q143" s="863">
        <v>0.45</v>
      </c>
      <c r="R143" s="873"/>
      <c r="S143" s="281"/>
      <c r="T143" s="281"/>
      <c r="U143" s="281"/>
      <c r="V143" s="281"/>
      <c r="W143" s="97"/>
      <c r="X143" s="279"/>
      <c r="Y143" s="170"/>
      <c r="Z143" s="1694"/>
      <c r="AE143" s="2461"/>
      <c r="AF143" s="68"/>
    </row>
    <row r="144" spans="1:32" ht="16" x14ac:dyDescent="0.4">
      <c r="A144" s="363"/>
      <c r="B144" s="358">
        <v>10763</v>
      </c>
      <c r="C144" s="358"/>
      <c r="D144" s="364"/>
      <c r="E144" s="838" t="s">
        <v>6932</v>
      </c>
      <c r="F144" s="1138" t="s">
        <v>1490</v>
      </c>
      <c r="G144" s="1138">
        <v>5</v>
      </c>
      <c r="H144" s="1138">
        <v>6</v>
      </c>
      <c r="I144" s="502"/>
      <c r="J144" s="502"/>
      <c r="K144" s="502"/>
      <c r="L144" s="502"/>
      <c r="M144" s="502"/>
      <c r="N144" s="502"/>
      <c r="O144" s="569"/>
      <c r="P144" s="502"/>
      <c r="Q144" s="863"/>
      <c r="R144" s="873">
        <f>2.3-0.595</f>
        <v>1.7049999999999998</v>
      </c>
      <c r="S144" s="281"/>
      <c r="T144" s="281"/>
      <c r="U144" s="281"/>
      <c r="V144" s="281"/>
      <c r="W144" s="97"/>
      <c r="X144" s="279"/>
      <c r="Y144" s="170"/>
      <c r="Z144" s="1694"/>
      <c r="AA144" s="63"/>
      <c r="AB144" s="63"/>
      <c r="AE144" s="2461"/>
      <c r="AF144" s="68"/>
    </row>
    <row r="145" spans="1:32" ht="30.5" x14ac:dyDescent="0.35">
      <c r="A145" s="1823">
        <v>75</v>
      </c>
      <c r="B145" s="1134">
        <v>10763</v>
      </c>
      <c r="C145" s="828" t="s">
        <v>1656</v>
      </c>
      <c r="D145" s="2464" t="s">
        <v>5102</v>
      </c>
      <c r="E145" s="511" t="s">
        <v>9867</v>
      </c>
      <c r="F145" s="1138" t="s">
        <v>664</v>
      </c>
      <c r="G145" s="1138">
        <v>5</v>
      </c>
      <c r="H145" s="1138">
        <v>6</v>
      </c>
      <c r="I145" s="297">
        <f>J145+K145+L145</f>
        <v>0.2</v>
      </c>
      <c r="J145" s="297">
        <f>SUM(M145:R145)</f>
        <v>0.2</v>
      </c>
      <c r="K145" s="500"/>
      <c r="L145" s="500"/>
      <c r="M145" s="500"/>
      <c r="N145" s="500"/>
      <c r="O145" s="568"/>
      <c r="P145" s="500"/>
      <c r="Q145" s="1856"/>
      <c r="R145" s="1865">
        <v>0.2</v>
      </c>
      <c r="S145" s="163"/>
      <c r="T145" s="537"/>
      <c r="U145" s="163"/>
      <c r="V145" s="163"/>
      <c r="W145" s="538"/>
      <c r="X145" s="539"/>
      <c r="Y145" s="163"/>
      <c r="Z145" s="1694"/>
      <c r="AA145" t="s">
        <v>1842</v>
      </c>
      <c r="AB145">
        <v>1</v>
      </c>
      <c r="AE145" s="2461"/>
      <c r="AF145" s="68"/>
    </row>
    <row r="146" spans="1:32" ht="30" x14ac:dyDescent="0.35">
      <c r="A146" s="347">
        <v>76</v>
      </c>
      <c r="B146" s="358">
        <v>10764</v>
      </c>
      <c r="C146" s="358"/>
      <c r="D146" s="358" t="s">
        <v>2232</v>
      </c>
      <c r="E146" s="288" t="s">
        <v>6933</v>
      </c>
      <c r="F146" s="1138" t="s">
        <v>827</v>
      </c>
      <c r="G146" s="1138">
        <v>4</v>
      </c>
      <c r="H146" s="2422">
        <v>6</v>
      </c>
      <c r="I146" s="501">
        <f>J146+K146+L146</f>
        <v>5.82</v>
      </c>
      <c r="J146" s="501">
        <f>SUM(M146:R146)</f>
        <v>5.82</v>
      </c>
      <c r="K146" s="501"/>
      <c r="L146" s="501"/>
      <c r="M146" s="501"/>
      <c r="N146" s="501">
        <v>5.82</v>
      </c>
      <c r="O146" s="568"/>
      <c r="P146" s="501"/>
      <c r="Q146" s="860"/>
      <c r="R146" s="870"/>
      <c r="S146" s="281"/>
      <c r="T146" s="281"/>
      <c r="U146" s="281"/>
      <c r="V146" s="281"/>
      <c r="W146" s="97">
        <v>8</v>
      </c>
      <c r="X146" s="279">
        <v>103.7</v>
      </c>
      <c r="Y146" s="170">
        <v>1</v>
      </c>
      <c r="Z146" s="2982">
        <v>10.199999999999999</v>
      </c>
      <c r="AA146" s="1778" t="s">
        <v>3225</v>
      </c>
      <c r="AB146">
        <v>1</v>
      </c>
      <c r="AE146" s="2461"/>
      <c r="AF146" s="68"/>
    </row>
    <row r="147" spans="1:32" ht="30.5" x14ac:dyDescent="0.35">
      <c r="A147" s="1823">
        <v>77</v>
      </c>
      <c r="B147" s="2118">
        <v>10764</v>
      </c>
      <c r="C147" s="2118" t="s">
        <v>1656</v>
      </c>
      <c r="D147" s="2464" t="s">
        <v>5103</v>
      </c>
      <c r="E147" s="2383" t="s">
        <v>8595</v>
      </c>
      <c r="F147" s="2742" t="s">
        <v>827</v>
      </c>
      <c r="G147" s="2742">
        <v>5</v>
      </c>
      <c r="H147" s="1138">
        <v>6</v>
      </c>
      <c r="I147" s="2102">
        <f>J147+K147+L147</f>
        <v>1.2</v>
      </c>
      <c r="J147" s="2102">
        <f>SUM(M147:R147)</f>
        <v>1.2</v>
      </c>
      <c r="K147" s="622"/>
      <c r="L147" s="622"/>
      <c r="M147" s="622"/>
      <c r="N147" s="622"/>
      <c r="O147" s="622"/>
      <c r="P147" s="622"/>
      <c r="Q147" s="2085"/>
      <c r="R147" s="906">
        <v>1.2</v>
      </c>
      <c r="S147" s="2115"/>
      <c r="T147" s="2115"/>
      <c r="U147" s="2115"/>
      <c r="V147" s="2115"/>
      <c r="W147" s="2339"/>
      <c r="X147" s="2339"/>
      <c r="Y147" s="2339"/>
      <c r="Z147" s="2983"/>
      <c r="AB147">
        <v>1</v>
      </c>
      <c r="AE147" s="2461"/>
      <c r="AF147" s="68"/>
    </row>
    <row r="148" spans="1:32" ht="30" x14ac:dyDescent="0.35">
      <c r="A148" s="347">
        <v>78</v>
      </c>
      <c r="B148" s="358">
        <v>10765</v>
      </c>
      <c r="C148" s="358"/>
      <c r="D148" s="358" t="s">
        <v>1649</v>
      </c>
      <c r="E148" s="288" t="s">
        <v>1941</v>
      </c>
      <c r="F148" s="1138"/>
      <c r="G148" s="1138" t="s">
        <v>191</v>
      </c>
      <c r="H148" s="2422" t="s">
        <v>191</v>
      </c>
      <c r="I148" s="501">
        <f>J148+K148+L148</f>
        <v>5.59</v>
      </c>
      <c r="J148" s="501">
        <f>SUM(M148:R148)</f>
        <v>5.59</v>
      </c>
      <c r="K148" s="501"/>
      <c r="L148" s="501"/>
      <c r="M148" s="501"/>
      <c r="N148" s="501">
        <f>SUM(N149:N150)</f>
        <v>0.95</v>
      </c>
      <c r="O148" s="568"/>
      <c r="P148" s="501"/>
      <c r="Q148" s="860">
        <f>SUM(Q149:Q150)</f>
        <v>4.6399999999999997</v>
      </c>
      <c r="R148" s="870"/>
      <c r="S148" s="279"/>
      <c r="T148" s="279"/>
      <c r="U148" s="281"/>
      <c r="V148" s="281"/>
      <c r="W148" s="97">
        <v>18</v>
      </c>
      <c r="X148" s="279">
        <v>220.5</v>
      </c>
      <c r="Y148" s="170">
        <v>10</v>
      </c>
      <c r="Z148" s="2982">
        <v>103.2</v>
      </c>
      <c r="AB148">
        <v>1</v>
      </c>
      <c r="AE148" s="2461"/>
      <c r="AF148" s="68"/>
    </row>
    <row r="149" spans="1:32" x14ac:dyDescent="0.35">
      <c r="A149" s="363"/>
      <c r="B149" s="358">
        <v>10765</v>
      </c>
      <c r="C149" s="358"/>
      <c r="D149" s="364"/>
      <c r="E149" s="837" t="s">
        <v>2006</v>
      </c>
      <c r="F149" s="1138">
        <v>5</v>
      </c>
      <c r="G149" s="1138">
        <v>5</v>
      </c>
      <c r="H149" s="2422">
        <v>6</v>
      </c>
      <c r="I149" s="502"/>
      <c r="J149" s="502"/>
      <c r="K149" s="502"/>
      <c r="L149" s="502"/>
      <c r="M149" s="502"/>
      <c r="N149" s="502"/>
      <c r="O149" s="569"/>
      <c r="P149" s="502"/>
      <c r="Q149" s="863">
        <v>4.6399999999999997</v>
      </c>
      <c r="R149" s="873"/>
      <c r="S149" s="279"/>
      <c r="T149" s="279"/>
      <c r="U149" s="281"/>
      <c r="V149" s="281"/>
      <c r="W149" s="97"/>
      <c r="X149" s="95"/>
      <c r="Y149" s="170"/>
      <c r="Z149" s="1694"/>
      <c r="AE149" s="2461"/>
      <c r="AF149" s="68"/>
    </row>
    <row r="150" spans="1:32" x14ac:dyDescent="0.35">
      <c r="A150" s="363"/>
      <c r="B150" s="358">
        <v>10765</v>
      </c>
      <c r="C150" s="358"/>
      <c r="D150" s="364"/>
      <c r="E150" s="289" t="s">
        <v>2007</v>
      </c>
      <c r="F150" s="1138">
        <v>5</v>
      </c>
      <c r="G150" s="1138">
        <v>5</v>
      </c>
      <c r="H150" s="2422">
        <v>6</v>
      </c>
      <c r="I150" s="502"/>
      <c r="J150" s="502"/>
      <c r="K150" s="502"/>
      <c r="L150" s="502"/>
      <c r="M150" s="502"/>
      <c r="N150" s="502">
        <v>0.95</v>
      </c>
      <c r="O150" s="569"/>
      <c r="P150" s="502"/>
      <c r="Q150" s="863"/>
      <c r="R150" s="873"/>
      <c r="S150" s="279"/>
      <c r="T150" s="279"/>
      <c r="U150" s="281"/>
      <c r="V150" s="281"/>
      <c r="W150" s="97"/>
      <c r="X150" s="95"/>
      <c r="Y150" s="170"/>
      <c r="Z150" s="1694"/>
      <c r="AE150" s="2461"/>
      <c r="AF150" s="68"/>
    </row>
    <row r="151" spans="1:32" s="63" customFormat="1" ht="46" x14ac:dyDescent="0.4">
      <c r="A151" s="827">
        <v>79</v>
      </c>
      <c r="B151" s="828">
        <v>10765</v>
      </c>
      <c r="C151" s="2118" t="s">
        <v>1656</v>
      </c>
      <c r="D151" s="2464" t="s">
        <v>5104</v>
      </c>
      <c r="E151" s="511" t="s">
        <v>9264</v>
      </c>
      <c r="F151" s="1138" t="s">
        <v>827</v>
      </c>
      <c r="G151" s="1138">
        <v>5</v>
      </c>
      <c r="H151" s="1138">
        <v>6</v>
      </c>
      <c r="I151" s="501">
        <f t="shared" ref="I151:I164" si="18">J151+K151+L151</f>
        <v>0.4</v>
      </c>
      <c r="J151" s="501">
        <f t="shared" ref="J151:J164" si="19">SUM(M151:R151)</f>
        <v>0.4</v>
      </c>
      <c r="K151" s="500"/>
      <c r="L151" s="500"/>
      <c r="M151" s="500"/>
      <c r="N151" s="500"/>
      <c r="O151" s="568"/>
      <c r="P151" s="500"/>
      <c r="Q151" s="860"/>
      <c r="R151" s="870">
        <v>0.4</v>
      </c>
      <c r="S151" s="163"/>
      <c r="T151" s="537"/>
      <c r="U151" s="163"/>
      <c r="V151" s="163"/>
      <c r="W151" s="538"/>
      <c r="X151" s="539"/>
      <c r="Y151" s="163"/>
      <c r="Z151" s="1694"/>
      <c r="AB151">
        <v>1</v>
      </c>
      <c r="AE151" s="2461"/>
      <c r="AF151" s="68"/>
    </row>
    <row r="152" spans="1:32" s="63" customFormat="1" ht="30" x14ac:dyDescent="0.4">
      <c r="A152" s="347">
        <v>80</v>
      </c>
      <c r="B152" s="358">
        <v>10766</v>
      </c>
      <c r="C152" s="358"/>
      <c r="D152" s="358" t="s">
        <v>1650</v>
      </c>
      <c r="E152" s="511" t="s">
        <v>10701</v>
      </c>
      <c r="F152" s="1138">
        <v>5</v>
      </c>
      <c r="G152" s="1138">
        <v>5</v>
      </c>
      <c r="H152" s="2422">
        <v>6</v>
      </c>
      <c r="I152" s="501">
        <f t="shared" si="18"/>
        <v>5</v>
      </c>
      <c r="J152" s="501">
        <f t="shared" si="19"/>
        <v>5</v>
      </c>
      <c r="K152" s="501"/>
      <c r="L152" s="501"/>
      <c r="M152" s="501"/>
      <c r="N152" s="501"/>
      <c r="O152" s="568"/>
      <c r="P152" s="501"/>
      <c r="Q152" s="860">
        <v>5</v>
      </c>
      <c r="R152" s="870"/>
      <c r="S152" s="281"/>
      <c r="T152" s="281"/>
      <c r="U152" s="281"/>
      <c r="V152" s="281"/>
      <c r="W152" s="97">
        <v>11</v>
      </c>
      <c r="X152" s="279">
        <v>159.30000000000001</v>
      </c>
      <c r="Y152" s="170"/>
      <c r="Z152" s="1694"/>
      <c r="AB152">
        <v>1</v>
      </c>
      <c r="AE152" s="2461"/>
      <c r="AF152" s="68"/>
    </row>
    <row r="153" spans="1:32" ht="45.5" x14ac:dyDescent="0.35">
      <c r="A153" s="827">
        <v>81</v>
      </c>
      <c r="B153" s="2118">
        <v>10766</v>
      </c>
      <c r="C153" s="2118" t="s">
        <v>1656</v>
      </c>
      <c r="D153" s="2464" t="s">
        <v>5105</v>
      </c>
      <c r="E153" s="2383" t="s">
        <v>8596</v>
      </c>
      <c r="F153" s="2742" t="s">
        <v>827</v>
      </c>
      <c r="G153" s="2742">
        <v>5</v>
      </c>
      <c r="H153" s="1138">
        <v>6</v>
      </c>
      <c r="I153" s="2102">
        <f t="shared" si="18"/>
        <v>0.2</v>
      </c>
      <c r="J153" s="2102">
        <f t="shared" si="19"/>
        <v>0.2</v>
      </c>
      <c r="K153" s="622"/>
      <c r="L153" s="622"/>
      <c r="M153" s="622"/>
      <c r="N153" s="622"/>
      <c r="O153" s="622"/>
      <c r="P153" s="622"/>
      <c r="Q153" s="2085"/>
      <c r="R153" s="906">
        <v>0.2</v>
      </c>
      <c r="S153" s="2115"/>
      <c r="T153" s="2115"/>
      <c r="U153" s="2115"/>
      <c r="V153" s="2115"/>
      <c r="W153" s="2339"/>
      <c r="X153" s="2339"/>
      <c r="Y153" s="2339"/>
      <c r="Z153" s="2983"/>
      <c r="AB153">
        <v>1</v>
      </c>
      <c r="AE153" s="2461"/>
      <c r="AF153" s="68"/>
    </row>
    <row r="154" spans="1:32" ht="30.5" x14ac:dyDescent="0.35">
      <c r="A154" s="347">
        <v>82</v>
      </c>
      <c r="B154" s="2118">
        <v>10766</v>
      </c>
      <c r="C154" s="2118" t="s">
        <v>1656</v>
      </c>
      <c r="D154" s="2464" t="s">
        <v>5106</v>
      </c>
      <c r="E154" s="2383" t="s">
        <v>8597</v>
      </c>
      <c r="F154" s="2742" t="s">
        <v>664</v>
      </c>
      <c r="G154" s="2742">
        <v>5</v>
      </c>
      <c r="H154" s="1138">
        <v>6</v>
      </c>
      <c r="I154" s="2102">
        <f t="shared" si="18"/>
        <v>0.28000000000000003</v>
      </c>
      <c r="J154" s="2102">
        <f t="shared" si="19"/>
        <v>0.28000000000000003</v>
      </c>
      <c r="K154" s="622"/>
      <c r="L154" s="622"/>
      <c r="M154" s="622"/>
      <c r="N154" s="622"/>
      <c r="O154" s="622"/>
      <c r="P154" s="622"/>
      <c r="Q154" s="2085"/>
      <c r="R154" s="906">
        <v>0.28000000000000003</v>
      </c>
      <c r="S154" s="2115"/>
      <c r="T154" s="2115"/>
      <c r="U154" s="2115"/>
      <c r="V154" s="2115"/>
      <c r="W154" s="2339"/>
      <c r="X154" s="2339"/>
      <c r="Y154" s="2339"/>
      <c r="Z154" s="2983"/>
      <c r="AB154">
        <v>1</v>
      </c>
      <c r="AE154" s="2461"/>
      <c r="AF154" s="68"/>
    </row>
    <row r="155" spans="1:32" ht="30" x14ac:dyDescent="0.35">
      <c r="A155" s="827">
        <v>83</v>
      </c>
      <c r="B155" s="358">
        <v>10767</v>
      </c>
      <c r="C155" s="358"/>
      <c r="D155" s="358" t="s">
        <v>2124</v>
      </c>
      <c r="E155" s="288" t="s">
        <v>6934</v>
      </c>
      <c r="F155" s="1138" t="s">
        <v>827</v>
      </c>
      <c r="G155" s="1138">
        <v>5</v>
      </c>
      <c r="H155" s="1138">
        <v>6</v>
      </c>
      <c r="I155" s="501">
        <f t="shared" si="18"/>
        <v>3.6</v>
      </c>
      <c r="J155" s="501">
        <f t="shared" si="19"/>
        <v>3.6</v>
      </c>
      <c r="K155" s="501"/>
      <c r="L155" s="501"/>
      <c r="M155" s="501"/>
      <c r="N155" s="501"/>
      <c r="O155" s="568"/>
      <c r="P155" s="501"/>
      <c r="Q155" s="860"/>
      <c r="R155" s="870">
        <v>3.6</v>
      </c>
      <c r="S155" s="281"/>
      <c r="T155" s="281"/>
      <c r="U155" s="281"/>
      <c r="V155" s="281"/>
      <c r="W155" s="97">
        <v>3</v>
      </c>
      <c r="X155" s="279">
        <v>37.4</v>
      </c>
      <c r="Y155" s="170"/>
      <c r="Z155" s="1694"/>
      <c r="AB155">
        <v>1</v>
      </c>
      <c r="AE155" s="2461"/>
      <c r="AF155" s="68"/>
    </row>
    <row r="156" spans="1:32" ht="30" x14ac:dyDescent="0.35">
      <c r="A156" s="347">
        <v>84</v>
      </c>
      <c r="B156" s="358">
        <v>10768</v>
      </c>
      <c r="C156" s="358"/>
      <c r="D156" s="358" t="s">
        <v>1651</v>
      </c>
      <c r="E156" s="288" t="s">
        <v>6935</v>
      </c>
      <c r="F156" s="1138">
        <v>5</v>
      </c>
      <c r="G156" s="1138">
        <v>4</v>
      </c>
      <c r="H156" s="2422">
        <v>6</v>
      </c>
      <c r="I156" s="501">
        <f t="shared" si="18"/>
        <v>4.33</v>
      </c>
      <c r="J156" s="501">
        <f t="shared" si="19"/>
        <v>4.33</v>
      </c>
      <c r="K156" s="501"/>
      <c r="L156" s="501"/>
      <c r="M156" s="501"/>
      <c r="N156" s="501">
        <v>4.33</v>
      </c>
      <c r="O156" s="568"/>
      <c r="P156" s="501"/>
      <c r="Q156" s="860"/>
      <c r="R156" s="870"/>
      <c r="S156" s="279">
        <v>1</v>
      </c>
      <c r="T156" s="279">
        <v>12</v>
      </c>
      <c r="U156" s="281"/>
      <c r="V156" s="281"/>
      <c r="W156" s="97">
        <v>9</v>
      </c>
      <c r="X156" s="279">
        <v>134.9</v>
      </c>
      <c r="Y156" s="170">
        <v>1</v>
      </c>
      <c r="Z156" s="2982">
        <v>10</v>
      </c>
      <c r="AA156" s="1778" t="s">
        <v>3225</v>
      </c>
      <c r="AB156">
        <v>1</v>
      </c>
      <c r="AE156" s="2461"/>
      <c r="AF156" s="68"/>
    </row>
    <row r="157" spans="1:32" ht="30.5" x14ac:dyDescent="0.35">
      <c r="A157" s="827">
        <v>85</v>
      </c>
      <c r="B157" s="828">
        <v>10768</v>
      </c>
      <c r="C157" s="2118" t="s">
        <v>1656</v>
      </c>
      <c r="D157" s="2464" t="s">
        <v>5107</v>
      </c>
      <c r="E157" s="511" t="s">
        <v>8598</v>
      </c>
      <c r="F157" s="1138" t="s">
        <v>827</v>
      </c>
      <c r="G157" s="1138">
        <v>5</v>
      </c>
      <c r="H157" s="1138">
        <v>6</v>
      </c>
      <c r="I157" s="501">
        <f t="shared" si="18"/>
        <v>1.1499999999999999</v>
      </c>
      <c r="J157" s="501">
        <f t="shared" si="19"/>
        <v>1.1499999999999999</v>
      </c>
      <c r="K157" s="500"/>
      <c r="L157" s="500"/>
      <c r="M157" s="500"/>
      <c r="N157" s="500"/>
      <c r="O157" s="568"/>
      <c r="P157" s="500"/>
      <c r="Q157" s="860"/>
      <c r="R157" s="870">
        <v>1.1499999999999999</v>
      </c>
      <c r="S157" s="163"/>
      <c r="T157" s="537"/>
      <c r="U157" s="163"/>
      <c r="V157" s="163"/>
      <c r="W157" s="538"/>
      <c r="X157" s="539"/>
      <c r="Y157" s="163"/>
      <c r="Z157" s="1694"/>
      <c r="AB157">
        <v>1</v>
      </c>
      <c r="AE157" s="2461"/>
      <c r="AF157" s="68"/>
    </row>
    <row r="158" spans="1:32" ht="30" x14ac:dyDescent="0.35">
      <c r="A158" s="347">
        <v>86</v>
      </c>
      <c r="B158" s="358">
        <v>10769</v>
      </c>
      <c r="C158" s="358"/>
      <c r="D158" s="358" t="s">
        <v>1971</v>
      </c>
      <c r="E158" s="511" t="s">
        <v>10700</v>
      </c>
      <c r="F158" s="1138">
        <v>5</v>
      </c>
      <c r="G158" s="1138">
        <v>5</v>
      </c>
      <c r="H158" s="2422">
        <v>6</v>
      </c>
      <c r="I158" s="501">
        <f t="shared" si="18"/>
        <v>3.91</v>
      </c>
      <c r="J158" s="501">
        <f t="shared" si="19"/>
        <v>3.91</v>
      </c>
      <c r="K158" s="501"/>
      <c r="L158" s="501"/>
      <c r="M158" s="501"/>
      <c r="N158" s="500"/>
      <c r="O158" s="568"/>
      <c r="P158" s="501"/>
      <c r="Q158" s="860">
        <v>3.91</v>
      </c>
      <c r="R158" s="870"/>
      <c r="S158" s="279">
        <v>1</v>
      </c>
      <c r="T158" s="279">
        <v>18.399999999999999</v>
      </c>
      <c r="U158" s="281"/>
      <c r="V158" s="281"/>
      <c r="W158" s="97">
        <v>8</v>
      </c>
      <c r="X158" s="279">
        <v>123</v>
      </c>
      <c r="Y158" s="170"/>
      <c r="Z158" s="1694"/>
      <c r="AB158">
        <v>1</v>
      </c>
      <c r="AE158" s="2461"/>
      <c r="AF158" s="68"/>
    </row>
    <row r="159" spans="1:32" ht="30" x14ac:dyDescent="0.35">
      <c r="A159" s="827">
        <v>87</v>
      </c>
      <c r="B159" s="358">
        <v>10770</v>
      </c>
      <c r="C159" s="358"/>
      <c r="D159" s="358" t="s">
        <v>1652</v>
      </c>
      <c r="E159" s="288" t="s">
        <v>3213</v>
      </c>
      <c r="F159" s="1138">
        <v>5</v>
      </c>
      <c r="G159" s="1138">
        <v>5</v>
      </c>
      <c r="H159" s="2422">
        <v>6</v>
      </c>
      <c r="I159" s="501">
        <f t="shared" si="18"/>
        <v>3.48</v>
      </c>
      <c r="J159" s="501">
        <f t="shared" si="19"/>
        <v>3.48</v>
      </c>
      <c r="K159" s="501"/>
      <c r="L159" s="501"/>
      <c r="M159" s="501"/>
      <c r="N159" s="501">
        <v>3.48</v>
      </c>
      <c r="O159" s="568"/>
      <c r="P159" s="501"/>
      <c r="Q159" s="860"/>
      <c r="R159" s="870"/>
      <c r="S159" s="281"/>
      <c r="T159" s="281"/>
      <c r="U159" s="281"/>
      <c r="V159" s="281"/>
      <c r="W159" s="97">
        <v>4</v>
      </c>
      <c r="X159" s="279">
        <v>45.9</v>
      </c>
      <c r="Y159" s="170"/>
      <c r="Z159" s="1694"/>
      <c r="AB159">
        <v>1</v>
      </c>
      <c r="AE159" s="2461"/>
      <c r="AF159" s="68"/>
    </row>
    <row r="160" spans="1:32" ht="30.5" x14ac:dyDescent="0.35">
      <c r="A160" s="347">
        <v>88</v>
      </c>
      <c r="B160" s="828">
        <v>10770</v>
      </c>
      <c r="C160" s="2118" t="s">
        <v>1656</v>
      </c>
      <c r="D160" s="2464" t="s">
        <v>5108</v>
      </c>
      <c r="E160" s="511" t="s">
        <v>9868</v>
      </c>
      <c r="F160" s="1138" t="s">
        <v>827</v>
      </c>
      <c r="G160" s="1138">
        <v>5</v>
      </c>
      <c r="H160" s="1138">
        <v>6</v>
      </c>
      <c r="I160" s="501">
        <f t="shared" si="18"/>
        <v>0.05</v>
      </c>
      <c r="J160" s="501">
        <f t="shared" si="19"/>
        <v>0.05</v>
      </c>
      <c r="K160" s="500"/>
      <c r="L160" s="500"/>
      <c r="M160" s="500"/>
      <c r="N160" s="500"/>
      <c r="O160" s="568"/>
      <c r="P160" s="500"/>
      <c r="Q160" s="860"/>
      <c r="R160" s="870">
        <v>0.05</v>
      </c>
      <c r="S160" s="163"/>
      <c r="T160" s="537"/>
      <c r="U160" s="163"/>
      <c r="V160" s="163"/>
      <c r="W160" s="538"/>
      <c r="X160" s="539"/>
      <c r="Y160" s="163"/>
      <c r="Z160" s="1694"/>
      <c r="AB160">
        <v>1</v>
      </c>
      <c r="AE160" s="2461"/>
      <c r="AF160" s="68"/>
    </row>
    <row r="161" spans="1:32" ht="46" x14ac:dyDescent="0.4">
      <c r="A161" s="347">
        <v>89</v>
      </c>
      <c r="B161" s="1134">
        <v>10770</v>
      </c>
      <c r="C161" s="358" t="s">
        <v>1656</v>
      </c>
      <c r="D161" s="2464" t="s">
        <v>5110</v>
      </c>
      <c r="E161" s="511" t="s">
        <v>8599</v>
      </c>
      <c r="F161" s="1138" t="s">
        <v>664</v>
      </c>
      <c r="G161" s="1138">
        <v>5</v>
      </c>
      <c r="H161" s="1138">
        <v>6</v>
      </c>
      <c r="I161" s="297">
        <f>J161+K161+L161</f>
        <v>2.1</v>
      </c>
      <c r="J161" s="297">
        <f>SUM(M161:R161)</f>
        <v>2.1</v>
      </c>
      <c r="K161" s="503"/>
      <c r="L161" s="503"/>
      <c r="M161" s="503"/>
      <c r="N161" s="503"/>
      <c r="O161" s="570"/>
      <c r="P161" s="503"/>
      <c r="Q161" s="2099"/>
      <c r="R161" s="2098">
        <v>2.1</v>
      </c>
      <c r="S161" s="281"/>
      <c r="T161" s="281"/>
      <c r="U161" s="281"/>
      <c r="V161" s="281"/>
      <c r="W161" s="97"/>
      <c r="X161" s="279"/>
      <c r="Y161" s="170"/>
      <c r="Z161" s="1694"/>
      <c r="AA161" s="63" t="s">
        <v>1842</v>
      </c>
      <c r="AB161">
        <v>1</v>
      </c>
      <c r="AE161" s="2461"/>
      <c r="AF161" s="68"/>
    </row>
    <row r="162" spans="1:32" ht="30" x14ac:dyDescent="0.35">
      <c r="A162" s="827">
        <v>90</v>
      </c>
      <c r="B162" s="358">
        <v>10772</v>
      </c>
      <c r="C162" s="358"/>
      <c r="D162" s="358" t="s">
        <v>2125</v>
      </c>
      <c r="E162" s="288" t="s">
        <v>3214</v>
      </c>
      <c r="F162" s="1138" t="s">
        <v>1490</v>
      </c>
      <c r="G162" s="1138">
        <v>5</v>
      </c>
      <c r="H162" s="1138">
        <v>6</v>
      </c>
      <c r="I162" s="501">
        <f t="shared" si="18"/>
        <v>4.7</v>
      </c>
      <c r="J162" s="501">
        <f t="shared" si="19"/>
        <v>4.7</v>
      </c>
      <c r="K162" s="501"/>
      <c r="L162" s="501"/>
      <c r="M162" s="501"/>
      <c r="N162" s="501"/>
      <c r="O162" s="568"/>
      <c r="P162" s="501"/>
      <c r="Q162" s="860"/>
      <c r="R162" s="870">
        <v>4.7</v>
      </c>
      <c r="S162" s="2965">
        <v>0</v>
      </c>
      <c r="T162" s="2965">
        <v>0</v>
      </c>
      <c r="U162" s="2965">
        <v>0</v>
      </c>
      <c r="V162" s="2965">
        <v>0</v>
      </c>
      <c r="W162" s="97">
        <v>1</v>
      </c>
      <c r="X162" s="279">
        <v>14.1</v>
      </c>
      <c r="Y162" s="170"/>
      <c r="Z162" s="1694"/>
      <c r="AB162">
        <v>1</v>
      </c>
      <c r="AE162" s="2461"/>
      <c r="AF162" s="68"/>
    </row>
    <row r="163" spans="1:32" ht="30.5" x14ac:dyDescent="0.35">
      <c r="A163" s="347">
        <v>91</v>
      </c>
      <c r="B163" s="1134">
        <v>10772</v>
      </c>
      <c r="C163" s="358" t="s">
        <v>1656</v>
      </c>
      <c r="D163" s="2464" t="s">
        <v>5111</v>
      </c>
      <c r="E163" s="2374" t="s">
        <v>8600</v>
      </c>
      <c r="F163" s="1138" t="s">
        <v>664</v>
      </c>
      <c r="G163" s="1138">
        <v>5</v>
      </c>
      <c r="H163" s="1138">
        <v>6</v>
      </c>
      <c r="I163" s="297">
        <f>J163+K163+L163</f>
        <v>0.3</v>
      </c>
      <c r="J163" s="297">
        <f>SUM(M163:R163)</f>
        <v>0.3</v>
      </c>
      <c r="K163" s="501"/>
      <c r="L163" s="501"/>
      <c r="M163" s="501"/>
      <c r="N163" s="501"/>
      <c r="O163" s="568"/>
      <c r="P163" s="501"/>
      <c r="Q163" s="1856"/>
      <c r="R163" s="1865">
        <v>0.3</v>
      </c>
      <c r="S163" s="279"/>
      <c r="T163" s="279"/>
      <c r="U163" s="281"/>
      <c r="V163" s="281"/>
      <c r="W163" s="97"/>
      <c r="X163" s="279"/>
      <c r="Y163" s="170"/>
      <c r="Z163" s="1694"/>
      <c r="AA163" t="s">
        <v>2327</v>
      </c>
      <c r="AB163">
        <v>1</v>
      </c>
      <c r="AE163" s="2461"/>
      <c r="AF163" s="68"/>
    </row>
    <row r="164" spans="1:32" ht="30" x14ac:dyDescent="0.35">
      <c r="A164" s="827">
        <v>92</v>
      </c>
      <c r="B164" s="1024">
        <v>10773</v>
      </c>
      <c r="C164" s="1024"/>
      <c r="D164" s="358" t="s">
        <v>2608</v>
      </c>
      <c r="E164" s="288" t="s">
        <v>3079</v>
      </c>
      <c r="F164" s="1138"/>
      <c r="G164" s="1138" t="s">
        <v>191</v>
      </c>
      <c r="H164" s="2422" t="s">
        <v>191</v>
      </c>
      <c r="I164" s="501">
        <f t="shared" si="18"/>
        <v>3.7</v>
      </c>
      <c r="J164" s="501">
        <f t="shared" si="19"/>
        <v>3.7</v>
      </c>
      <c r="K164" s="501"/>
      <c r="L164" s="501"/>
      <c r="M164" s="501"/>
      <c r="N164" s="501">
        <f>SUM(N165:N166)</f>
        <v>1.68</v>
      </c>
      <c r="O164" s="568"/>
      <c r="P164" s="501"/>
      <c r="Q164" s="860">
        <f>SUM(Q165:Q166)</f>
        <v>2.02</v>
      </c>
      <c r="R164" s="870"/>
      <c r="S164" s="281"/>
      <c r="T164" s="281"/>
      <c r="U164" s="281"/>
      <c r="V164" s="281"/>
      <c r="W164" s="97">
        <v>15</v>
      </c>
      <c r="X164" s="279">
        <v>184.1</v>
      </c>
      <c r="Y164" s="170">
        <v>6</v>
      </c>
      <c r="Z164" s="2982">
        <v>63</v>
      </c>
      <c r="AB164">
        <v>1</v>
      </c>
      <c r="AE164" s="2461"/>
      <c r="AF164" s="68"/>
    </row>
    <row r="165" spans="1:32" x14ac:dyDescent="0.35">
      <c r="A165" s="363"/>
      <c r="B165" s="1024">
        <v>10773</v>
      </c>
      <c r="C165" s="1024"/>
      <c r="D165" s="364"/>
      <c r="E165" s="289" t="s">
        <v>3080</v>
      </c>
      <c r="F165" s="1138">
        <v>5</v>
      </c>
      <c r="G165" s="1138">
        <v>5</v>
      </c>
      <c r="H165" s="2422">
        <v>6</v>
      </c>
      <c r="I165" s="502"/>
      <c r="J165" s="502"/>
      <c r="K165" s="502"/>
      <c r="L165" s="502"/>
      <c r="M165" s="502"/>
      <c r="N165" s="502">
        <v>1.68</v>
      </c>
      <c r="O165" s="569"/>
      <c r="P165" s="502"/>
      <c r="Q165" s="863"/>
      <c r="R165" s="873"/>
      <c r="S165" s="281"/>
      <c r="T165" s="281"/>
      <c r="U165" s="281"/>
      <c r="V165" s="281"/>
      <c r="W165" s="97"/>
      <c r="X165" s="95"/>
      <c r="Y165" s="170"/>
      <c r="Z165" s="1694"/>
      <c r="AE165" s="2461"/>
      <c r="AF165" s="68"/>
    </row>
    <row r="166" spans="1:32" x14ac:dyDescent="0.35">
      <c r="A166" s="363"/>
      <c r="B166" s="1024">
        <v>10773</v>
      </c>
      <c r="C166" s="1024"/>
      <c r="D166" s="364"/>
      <c r="E166" s="837" t="s">
        <v>3081</v>
      </c>
      <c r="F166" s="1138">
        <v>5</v>
      </c>
      <c r="G166" s="1138">
        <v>5</v>
      </c>
      <c r="H166" s="2422">
        <v>6</v>
      </c>
      <c r="I166" s="502"/>
      <c r="J166" s="502"/>
      <c r="K166" s="502"/>
      <c r="L166" s="502"/>
      <c r="M166" s="502"/>
      <c r="N166" s="502"/>
      <c r="O166" s="569"/>
      <c r="P166" s="502"/>
      <c r="Q166" s="863">
        <v>2.02</v>
      </c>
      <c r="R166" s="873"/>
      <c r="S166" s="281"/>
      <c r="T166" s="281"/>
      <c r="U166" s="281"/>
      <c r="V166" s="281"/>
      <c r="W166" s="97"/>
      <c r="X166" s="95"/>
      <c r="Y166" s="170"/>
      <c r="Z166" s="1694"/>
      <c r="AE166" s="2461"/>
      <c r="AF166" s="68"/>
    </row>
    <row r="167" spans="1:32" ht="30.5" x14ac:dyDescent="0.35">
      <c r="A167" s="827">
        <v>93</v>
      </c>
      <c r="B167" s="1047">
        <v>10773</v>
      </c>
      <c r="C167" s="2118" t="s">
        <v>1656</v>
      </c>
      <c r="D167" s="2464" t="s">
        <v>5112</v>
      </c>
      <c r="E167" s="511" t="s">
        <v>8601</v>
      </c>
      <c r="F167" s="1138" t="s">
        <v>827</v>
      </c>
      <c r="G167" s="1138">
        <v>5</v>
      </c>
      <c r="H167" s="1138">
        <v>6</v>
      </c>
      <c r="I167" s="501">
        <f>J167+K167+L167</f>
        <v>0.3</v>
      </c>
      <c r="J167" s="501">
        <f>SUM(M167:R167)</f>
        <v>0.3</v>
      </c>
      <c r="K167" s="500"/>
      <c r="L167" s="500"/>
      <c r="M167" s="500"/>
      <c r="N167" s="500"/>
      <c r="O167" s="568"/>
      <c r="P167" s="500"/>
      <c r="Q167" s="860"/>
      <c r="R167" s="870">
        <v>0.3</v>
      </c>
      <c r="S167" s="163"/>
      <c r="T167" s="537"/>
      <c r="U167" s="163"/>
      <c r="V167" s="163"/>
      <c r="W167" s="538"/>
      <c r="X167" s="539"/>
      <c r="Y167" s="163"/>
      <c r="Z167" s="1694"/>
      <c r="AB167">
        <v>1</v>
      </c>
      <c r="AE167" s="2461"/>
      <c r="AF167" s="68"/>
    </row>
    <row r="168" spans="1:32" ht="30" x14ac:dyDescent="0.4">
      <c r="A168" s="347">
        <v>94</v>
      </c>
      <c r="B168" s="1024">
        <v>10774</v>
      </c>
      <c r="C168" s="1024"/>
      <c r="D168" s="358" t="s">
        <v>3182</v>
      </c>
      <c r="E168" s="288" t="s">
        <v>6936</v>
      </c>
      <c r="F168" s="1138"/>
      <c r="G168" s="1138" t="s">
        <v>191</v>
      </c>
      <c r="H168" s="2422" t="s">
        <v>191</v>
      </c>
      <c r="I168" s="501">
        <f>J168+K168+L168</f>
        <v>4.5999999999999996</v>
      </c>
      <c r="J168" s="501">
        <f>SUM(M168:R168)</f>
        <v>4.5999999999999996</v>
      </c>
      <c r="K168" s="501"/>
      <c r="L168" s="501"/>
      <c r="M168" s="501"/>
      <c r="N168" s="501">
        <f>SUM(N169:N170)</f>
        <v>1.3</v>
      </c>
      <c r="O168" s="568"/>
      <c r="P168" s="501"/>
      <c r="Q168" s="860">
        <f>SUM(Q169:Q170)</f>
        <v>3.3</v>
      </c>
      <c r="R168" s="870"/>
      <c r="S168" s="281"/>
      <c r="T168" s="281"/>
      <c r="U168" s="281"/>
      <c r="V168" s="281"/>
      <c r="W168" s="2981">
        <v>10</v>
      </c>
      <c r="X168" s="2443">
        <v>150.69999999999999</v>
      </c>
      <c r="Y168" s="170">
        <v>3</v>
      </c>
      <c r="Z168" s="2982">
        <v>45</v>
      </c>
      <c r="AA168" s="63"/>
      <c r="AB168">
        <v>1</v>
      </c>
      <c r="AE168" s="2461"/>
      <c r="AF168" s="68"/>
    </row>
    <row r="169" spans="1:32" s="63" customFormat="1" ht="16" x14ac:dyDescent="0.4">
      <c r="A169" s="363"/>
      <c r="B169" s="1024">
        <v>10774</v>
      </c>
      <c r="C169" s="1024"/>
      <c r="D169" s="364"/>
      <c r="E169" s="289" t="s">
        <v>2032</v>
      </c>
      <c r="F169" s="1138">
        <v>5</v>
      </c>
      <c r="G169" s="1138">
        <v>5</v>
      </c>
      <c r="H169" s="2422">
        <v>6</v>
      </c>
      <c r="I169" s="502"/>
      <c r="J169" s="502"/>
      <c r="K169" s="502"/>
      <c r="L169" s="502"/>
      <c r="M169" s="502"/>
      <c r="N169" s="502">
        <v>1.3</v>
      </c>
      <c r="O169" s="569"/>
      <c r="P169" s="502"/>
      <c r="Q169" s="863"/>
      <c r="R169" s="873"/>
      <c r="S169" s="281"/>
      <c r="T169" s="281"/>
      <c r="U169" s="281"/>
      <c r="V169" s="281"/>
      <c r="W169" s="97"/>
      <c r="X169" s="95"/>
      <c r="Y169" s="170"/>
      <c r="Z169" s="1694"/>
      <c r="AA169"/>
      <c r="AB169"/>
      <c r="AE169" s="2461"/>
      <c r="AF169" s="68"/>
    </row>
    <row r="170" spans="1:32" s="63" customFormat="1" ht="16" x14ac:dyDescent="0.4">
      <c r="A170" s="363"/>
      <c r="B170" s="1024">
        <v>10774</v>
      </c>
      <c r="C170" s="1024"/>
      <c r="D170" s="364"/>
      <c r="E170" s="837" t="s">
        <v>2940</v>
      </c>
      <c r="F170" s="1138">
        <v>5</v>
      </c>
      <c r="G170" s="1138">
        <v>5</v>
      </c>
      <c r="H170" s="2422">
        <v>6</v>
      </c>
      <c r="I170" s="502"/>
      <c r="J170" s="502"/>
      <c r="K170" s="502"/>
      <c r="L170" s="502"/>
      <c r="M170" s="502"/>
      <c r="N170" s="502"/>
      <c r="O170" s="569"/>
      <c r="P170" s="502"/>
      <c r="Q170" s="863">
        <v>3.3</v>
      </c>
      <c r="R170" s="873"/>
      <c r="S170" s="281"/>
      <c r="T170" s="281"/>
      <c r="U170" s="281"/>
      <c r="V170" s="281"/>
      <c r="W170" s="97"/>
      <c r="X170" s="95"/>
      <c r="Y170" s="170"/>
      <c r="Z170" s="1694"/>
      <c r="AA170" t="s">
        <v>9163</v>
      </c>
      <c r="AB170"/>
      <c r="AE170" s="2461"/>
      <c r="AF170" s="68"/>
    </row>
    <row r="171" spans="1:32" ht="46" x14ac:dyDescent="0.4">
      <c r="A171" s="827">
        <v>95</v>
      </c>
      <c r="B171" s="1047">
        <v>10774</v>
      </c>
      <c r="C171" s="2118" t="s">
        <v>1656</v>
      </c>
      <c r="D171" s="2464" t="s">
        <v>5113</v>
      </c>
      <c r="E171" s="511" t="s">
        <v>8602</v>
      </c>
      <c r="F171" s="1138" t="s">
        <v>827</v>
      </c>
      <c r="G171" s="1138">
        <v>5</v>
      </c>
      <c r="H171" s="1138">
        <v>6</v>
      </c>
      <c r="I171" s="501">
        <f>J171+K171+L171</f>
        <v>1.24</v>
      </c>
      <c r="J171" s="501">
        <f>SUM(M171:R171)</f>
        <v>1.24</v>
      </c>
      <c r="K171" s="500"/>
      <c r="L171" s="500"/>
      <c r="M171" s="500"/>
      <c r="N171" s="500"/>
      <c r="O171" s="568"/>
      <c r="P171" s="500"/>
      <c r="Q171" s="860"/>
      <c r="R171" s="870">
        <v>1.24</v>
      </c>
      <c r="S171" s="163"/>
      <c r="T171" s="537"/>
      <c r="U171" s="163"/>
      <c r="V171" s="163"/>
      <c r="W171" s="538"/>
      <c r="X171" s="539"/>
      <c r="Y171" s="163"/>
      <c r="Z171" s="1694"/>
      <c r="AA171" s="63" t="s">
        <v>11110</v>
      </c>
      <c r="AB171">
        <v>1</v>
      </c>
      <c r="AE171" s="2461"/>
      <c r="AF171" s="68"/>
    </row>
    <row r="172" spans="1:32" ht="45.5" x14ac:dyDescent="0.35">
      <c r="A172" s="1823">
        <v>96</v>
      </c>
      <c r="B172" s="1134">
        <v>10774</v>
      </c>
      <c r="C172" s="826" t="s">
        <v>1656</v>
      </c>
      <c r="D172" s="2464" t="s">
        <v>5114</v>
      </c>
      <c r="E172" s="511" t="s">
        <v>8603</v>
      </c>
      <c r="F172" s="1138" t="s">
        <v>664</v>
      </c>
      <c r="G172" s="1138">
        <v>5</v>
      </c>
      <c r="H172" s="1138">
        <v>6</v>
      </c>
      <c r="I172" s="297">
        <f>J172+K172+L172</f>
        <v>0.1</v>
      </c>
      <c r="J172" s="297">
        <f>SUM(M172:R172)</f>
        <v>0.1</v>
      </c>
      <c r="K172" s="502"/>
      <c r="L172" s="502"/>
      <c r="M172" s="501"/>
      <c r="N172" s="501"/>
      <c r="O172" s="568"/>
      <c r="P172" s="501"/>
      <c r="Q172" s="1856"/>
      <c r="R172" s="1865">
        <v>0.1</v>
      </c>
      <c r="S172" s="281"/>
      <c r="T172" s="281"/>
      <c r="U172" s="281"/>
      <c r="V172" s="281"/>
      <c r="W172" s="97"/>
      <c r="X172" s="95"/>
      <c r="Y172" s="170"/>
      <c r="Z172" s="1694"/>
      <c r="AA172" t="s">
        <v>1842</v>
      </c>
      <c r="AB172">
        <v>1</v>
      </c>
      <c r="AE172" s="2461"/>
      <c r="AF172" s="68"/>
    </row>
    <row r="173" spans="1:32" ht="30" x14ac:dyDescent="0.35">
      <c r="A173" s="347">
        <v>97</v>
      </c>
      <c r="B173" s="1024">
        <v>10775</v>
      </c>
      <c r="C173" s="1024"/>
      <c r="D173" s="358" t="s">
        <v>2126</v>
      </c>
      <c r="E173" s="288" t="s">
        <v>2098</v>
      </c>
      <c r="F173" s="1138"/>
      <c r="G173" s="1138" t="s">
        <v>191</v>
      </c>
      <c r="H173" s="2422" t="s">
        <v>191</v>
      </c>
      <c r="I173" s="501">
        <f>J173+K173+L173</f>
        <v>3.1</v>
      </c>
      <c r="J173" s="501">
        <f>SUM(M173:R173)</f>
        <v>3.1</v>
      </c>
      <c r="K173" s="501"/>
      <c r="L173" s="501"/>
      <c r="M173" s="501"/>
      <c r="N173" s="501"/>
      <c r="O173" s="568"/>
      <c r="P173" s="501"/>
      <c r="Q173" s="860">
        <f>SUM(Q174:Q175)</f>
        <v>0.36</v>
      </c>
      <c r="R173" s="870">
        <f>SUM(R174:R175)</f>
        <v>2.74</v>
      </c>
      <c r="S173" s="281"/>
      <c r="T173" s="281"/>
      <c r="U173" s="281"/>
      <c r="V173" s="281"/>
      <c r="W173" s="97">
        <v>1</v>
      </c>
      <c r="X173" s="279">
        <v>10.5</v>
      </c>
      <c r="Y173" s="170"/>
      <c r="Z173" s="1694"/>
      <c r="AB173">
        <v>1</v>
      </c>
      <c r="AE173" s="2461"/>
      <c r="AF173" s="68"/>
    </row>
    <row r="174" spans="1:32" x14ac:dyDescent="0.35">
      <c r="A174" s="363"/>
      <c r="B174" s="1024">
        <v>10775</v>
      </c>
      <c r="C174" s="1024"/>
      <c r="D174" s="364"/>
      <c r="E174" s="837" t="s">
        <v>3222</v>
      </c>
      <c r="F174" s="1138">
        <v>5</v>
      </c>
      <c r="G174" s="1138">
        <v>5</v>
      </c>
      <c r="H174" s="2422">
        <v>6</v>
      </c>
      <c r="I174" s="502"/>
      <c r="J174" s="502"/>
      <c r="K174" s="502"/>
      <c r="L174" s="502"/>
      <c r="M174" s="502"/>
      <c r="N174" s="502"/>
      <c r="O174" s="569"/>
      <c r="P174" s="502"/>
      <c r="Q174" s="863">
        <v>0.36</v>
      </c>
      <c r="R174" s="873"/>
      <c r="S174" s="281"/>
      <c r="T174" s="281"/>
      <c r="U174" s="281"/>
      <c r="V174" s="281"/>
      <c r="W174" s="97"/>
      <c r="X174" s="95"/>
      <c r="Y174" s="170"/>
      <c r="Z174" s="1694"/>
      <c r="AE174" s="2461"/>
      <c r="AF174" s="68"/>
    </row>
    <row r="175" spans="1:32" s="63" customFormat="1" ht="16" x14ac:dyDescent="0.4">
      <c r="A175" s="363"/>
      <c r="B175" s="1024">
        <v>10775</v>
      </c>
      <c r="C175" s="1024"/>
      <c r="D175" s="364"/>
      <c r="E175" s="838" t="s">
        <v>3223</v>
      </c>
      <c r="F175" s="1138">
        <v>5</v>
      </c>
      <c r="G175" s="1138">
        <v>5</v>
      </c>
      <c r="H175" s="1138">
        <v>6</v>
      </c>
      <c r="I175" s="502"/>
      <c r="J175" s="502"/>
      <c r="K175" s="502"/>
      <c r="L175" s="502"/>
      <c r="M175" s="502"/>
      <c r="N175" s="502"/>
      <c r="O175" s="569"/>
      <c r="P175" s="502"/>
      <c r="Q175" s="863"/>
      <c r="R175" s="873">
        <v>2.74</v>
      </c>
      <c r="S175" s="281"/>
      <c r="T175" s="281"/>
      <c r="U175" s="281"/>
      <c r="V175" s="281"/>
      <c r="W175" s="97"/>
      <c r="X175" s="95"/>
      <c r="Y175" s="170"/>
      <c r="Z175" s="1694"/>
      <c r="AE175" s="2461"/>
      <c r="AF175" s="68"/>
    </row>
    <row r="176" spans="1:32" ht="30" x14ac:dyDescent="0.4">
      <c r="A176" s="347">
        <v>98</v>
      </c>
      <c r="B176" s="1024">
        <v>10776</v>
      </c>
      <c r="C176" s="1024"/>
      <c r="D176" s="358" t="s">
        <v>3183</v>
      </c>
      <c r="E176" s="511" t="s">
        <v>2292</v>
      </c>
      <c r="F176" s="1138">
        <v>5</v>
      </c>
      <c r="G176" s="1138">
        <v>5</v>
      </c>
      <c r="H176" s="2422">
        <v>6</v>
      </c>
      <c r="I176" s="501">
        <f t="shared" ref="I176:I181" si="20">J176+K176+L176</f>
        <v>2.2999999999999998</v>
      </c>
      <c r="J176" s="501">
        <f t="shared" ref="J176:J181" si="21">SUM(M176:R176)</f>
        <v>2.2999999999999998</v>
      </c>
      <c r="K176" s="501"/>
      <c r="L176" s="501"/>
      <c r="M176" s="501"/>
      <c r="N176" s="501"/>
      <c r="O176" s="568"/>
      <c r="P176" s="501"/>
      <c r="Q176" s="860">
        <v>2.2999999999999998</v>
      </c>
      <c r="R176" s="870"/>
      <c r="S176" s="281"/>
      <c r="T176" s="281"/>
      <c r="U176" s="281"/>
      <c r="V176" s="281"/>
      <c r="W176" s="97">
        <v>6</v>
      </c>
      <c r="X176" s="279">
        <v>89.8</v>
      </c>
      <c r="Y176" s="170"/>
      <c r="Z176" s="1694"/>
      <c r="AA176" s="63"/>
      <c r="AB176">
        <v>1</v>
      </c>
      <c r="AE176" s="2461"/>
      <c r="AF176" s="68"/>
    </row>
    <row r="177" spans="1:32" ht="30" x14ac:dyDescent="0.35">
      <c r="A177" s="2125">
        <v>99</v>
      </c>
      <c r="B177" s="1024">
        <v>10777</v>
      </c>
      <c r="C177" s="1024"/>
      <c r="D177" s="358" t="s">
        <v>1665</v>
      </c>
      <c r="E177" s="511" t="s">
        <v>3224</v>
      </c>
      <c r="F177" s="1138">
        <v>4</v>
      </c>
      <c r="G177" s="1138">
        <v>4</v>
      </c>
      <c r="H177" s="2422">
        <v>6</v>
      </c>
      <c r="I177" s="501">
        <f t="shared" si="20"/>
        <v>4.9000000000000004</v>
      </c>
      <c r="J177" s="501">
        <f t="shared" si="21"/>
        <v>4.9000000000000004</v>
      </c>
      <c r="K177" s="501"/>
      <c r="L177" s="501"/>
      <c r="M177" s="501"/>
      <c r="N177" s="501">
        <v>4.9000000000000004</v>
      </c>
      <c r="O177" s="568"/>
      <c r="P177" s="501"/>
      <c r="Q177" s="860"/>
      <c r="R177" s="870"/>
      <c r="S177" s="281"/>
      <c r="T177" s="281"/>
      <c r="U177" s="281"/>
      <c r="V177" s="281"/>
      <c r="W177" s="97">
        <v>15</v>
      </c>
      <c r="X177" s="279">
        <v>222.4</v>
      </c>
      <c r="Y177" s="170"/>
      <c r="Z177" s="1694"/>
      <c r="AB177">
        <v>1</v>
      </c>
      <c r="AE177" s="2461"/>
      <c r="AF177" s="68"/>
    </row>
    <row r="178" spans="1:32" ht="30.5" x14ac:dyDescent="0.35">
      <c r="A178" s="347">
        <v>100</v>
      </c>
      <c r="B178" s="1024">
        <v>10777</v>
      </c>
      <c r="C178" s="1024"/>
      <c r="D178" s="2464" t="s">
        <v>5115</v>
      </c>
      <c r="E178" s="511" t="s">
        <v>7760</v>
      </c>
      <c r="F178" s="1138">
        <v>4</v>
      </c>
      <c r="G178" s="1138">
        <v>4</v>
      </c>
      <c r="H178" s="2422">
        <v>6</v>
      </c>
      <c r="I178" s="501">
        <f t="shared" si="20"/>
        <v>5.15</v>
      </c>
      <c r="J178" s="501">
        <f t="shared" si="21"/>
        <v>5.15</v>
      </c>
      <c r="K178" s="501"/>
      <c r="L178" s="501"/>
      <c r="M178" s="501"/>
      <c r="N178" s="501">
        <v>5.15</v>
      </c>
      <c r="O178" s="568"/>
      <c r="P178" s="501"/>
      <c r="Q178" s="860"/>
      <c r="R178" s="870"/>
      <c r="S178" s="281"/>
      <c r="T178" s="138"/>
      <c r="U178" s="170"/>
      <c r="V178" s="170"/>
      <c r="W178" s="97">
        <v>6</v>
      </c>
      <c r="X178" s="279">
        <v>87.9</v>
      </c>
      <c r="Y178" s="170">
        <v>1</v>
      </c>
      <c r="Z178" s="2982">
        <v>12</v>
      </c>
      <c r="AB178">
        <v>1</v>
      </c>
      <c r="AE178" s="2461"/>
      <c r="AF178" s="68"/>
    </row>
    <row r="179" spans="1:32" ht="45.5" x14ac:dyDescent="0.35">
      <c r="A179" s="2125">
        <v>101</v>
      </c>
      <c r="B179" s="2120">
        <v>10777</v>
      </c>
      <c r="C179" s="2118" t="s">
        <v>1656</v>
      </c>
      <c r="D179" s="2464" t="s">
        <v>5116</v>
      </c>
      <c r="E179" s="2383" t="s">
        <v>8604</v>
      </c>
      <c r="F179" s="2742" t="s">
        <v>664</v>
      </c>
      <c r="G179" s="2742">
        <v>5</v>
      </c>
      <c r="H179" s="1138">
        <v>6</v>
      </c>
      <c r="I179" s="2102">
        <f t="shared" si="20"/>
        <v>1</v>
      </c>
      <c r="J179" s="2102">
        <f t="shared" si="21"/>
        <v>1</v>
      </c>
      <c r="K179" s="622"/>
      <c r="L179" s="622"/>
      <c r="M179" s="622"/>
      <c r="N179" s="622"/>
      <c r="O179" s="622"/>
      <c r="P179" s="622"/>
      <c r="Q179" s="2085"/>
      <c r="R179" s="906">
        <v>1</v>
      </c>
      <c r="S179" s="2115"/>
      <c r="T179" s="2115"/>
      <c r="U179" s="2115"/>
      <c r="V179" s="2115"/>
      <c r="W179" s="2339"/>
      <c r="X179" s="2339"/>
      <c r="Y179" s="2339"/>
      <c r="Z179" s="2983"/>
      <c r="AB179">
        <v>1</v>
      </c>
      <c r="AE179" s="2461"/>
      <c r="AF179" s="68"/>
    </row>
    <row r="180" spans="1:32" ht="30.5" x14ac:dyDescent="0.35">
      <c r="A180" s="347">
        <v>102</v>
      </c>
      <c r="B180" s="1025">
        <v>10777</v>
      </c>
      <c r="C180" s="1025"/>
      <c r="D180" s="2464" t="s">
        <v>5117</v>
      </c>
      <c r="E180" s="288" t="s">
        <v>9869</v>
      </c>
      <c r="F180" s="1138">
        <v>5</v>
      </c>
      <c r="G180" s="1138">
        <v>5</v>
      </c>
      <c r="H180" s="2422">
        <v>6</v>
      </c>
      <c r="I180" s="501">
        <f t="shared" si="20"/>
        <v>2.3559999999999999</v>
      </c>
      <c r="J180" s="501">
        <f t="shared" si="21"/>
        <v>2.3559999999999999</v>
      </c>
      <c r="K180" s="501"/>
      <c r="L180" s="501"/>
      <c r="M180" s="501"/>
      <c r="N180" s="501">
        <v>2.3559999999999999</v>
      </c>
      <c r="O180" s="568"/>
      <c r="P180" s="501"/>
      <c r="Q180" s="860"/>
      <c r="R180" s="870"/>
      <c r="S180" s="170"/>
      <c r="T180" s="138"/>
      <c r="U180" s="170"/>
      <c r="V180" s="170"/>
      <c r="W180" s="97">
        <v>4</v>
      </c>
      <c r="X180" s="279">
        <v>45.8</v>
      </c>
      <c r="Y180" s="170"/>
      <c r="Z180" s="1694"/>
      <c r="AB180">
        <v>1</v>
      </c>
      <c r="AE180" s="2461"/>
      <c r="AF180" s="68"/>
    </row>
    <row r="181" spans="1:32" ht="30.5" x14ac:dyDescent="0.35">
      <c r="A181" s="2125">
        <v>103</v>
      </c>
      <c r="B181" s="1024">
        <v>10778</v>
      </c>
      <c r="C181" s="1024"/>
      <c r="D181" s="358" t="s">
        <v>1683</v>
      </c>
      <c r="E181" s="288" t="s">
        <v>9189</v>
      </c>
      <c r="F181" s="1138"/>
      <c r="G181" s="1138" t="s">
        <v>191</v>
      </c>
      <c r="H181" s="2422" t="s">
        <v>191</v>
      </c>
      <c r="I181" s="501">
        <f t="shared" si="20"/>
        <v>1.2</v>
      </c>
      <c r="J181" s="501">
        <f t="shared" si="21"/>
        <v>1.2</v>
      </c>
      <c r="K181" s="503"/>
      <c r="L181" s="503"/>
      <c r="M181" s="503"/>
      <c r="N181" s="503"/>
      <c r="O181" s="570"/>
      <c r="P181" s="503"/>
      <c r="Q181" s="864">
        <f>SUM(Q182:Q183)</f>
        <v>1.2</v>
      </c>
      <c r="R181" s="874"/>
      <c r="S181" s="281"/>
      <c r="T181" s="281"/>
      <c r="U181" s="281"/>
      <c r="V181" s="281"/>
      <c r="W181" s="2981">
        <v>2</v>
      </c>
      <c r="X181" s="2443">
        <v>35.4</v>
      </c>
      <c r="Y181" s="170"/>
      <c r="Z181" s="1694"/>
      <c r="AB181">
        <v>1</v>
      </c>
      <c r="AE181" s="2461"/>
      <c r="AF181" s="68"/>
    </row>
    <row r="182" spans="1:32" x14ac:dyDescent="0.35">
      <c r="A182" s="363"/>
      <c r="B182" s="1024">
        <v>10778</v>
      </c>
      <c r="C182" s="1024"/>
      <c r="D182" s="364"/>
      <c r="E182" s="837" t="s">
        <v>2628</v>
      </c>
      <c r="F182" s="1138">
        <v>4</v>
      </c>
      <c r="G182" s="1138">
        <v>5</v>
      </c>
      <c r="H182" s="2422">
        <v>6</v>
      </c>
      <c r="I182" s="502"/>
      <c r="J182" s="502"/>
      <c r="K182" s="504"/>
      <c r="L182" s="504"/>
      <c r="M182" s="504"/>
      <c r="N182" s="504"/>
      <c r="O182" s="571"/>
      <c r="P182" s="504"/>
      <c r="Q182" s="865">
        <v>1</v>
      </c>
      <c r="R182" s="873"/>
      <c r="S182" s="281"/>
      <c r="T182" s="281"/>
      <c r="U182" s="281"/>
      <c r="V182" s="281"/>
      <c r="W182" s="536"/>
      <c r="X182" s="281"/>
      <c r="Y182" s="170"/>
      <c r="Z182" s="1694"/>
      <c r="AE182" s="2461"/>
      <c r="AF182" s="68"/>
    </row>
    <row r="183" spans="1:32" x14ac:dyDescent="0.35">
      <c r="A183" s="363"/>
      <c r="B183" s="1024"/>
      <c r="C183" s="1024"/>
      <c r="D183" s="364"/>
      <c r="E183" s="837" t="s">
        <v>6937</v>
      </c>
      <c r="F183" s="1138" t="s">
        <v>827</v>
      </c>
      <c r="G183" s="1138">
        <v>5</v>
      </c>
      <c r="H183" s="2422">
        <v>6</v>
      </c>
      <c r="I183" s="502"/>
      <c r="J183" s="502"/>
      <c r="K183" s="504"/>
      <c r="L183" s="504"/>
      <c r="M183" s="504"/>
      <c r="N183" s="504"/>
      <c r="O183" s="571"/>
      <c r="P183" s="504"/>
      <c r="Q183" s="865">
        <f>1.2-1</f>
        <v>0.19999999999999996</v>
      </c>
      <c r="R183" s="873"/>
      <c r="S183" s="281"/>
      <c r="T183" s="281"/>
      <c r="U183" s="281"/>
      <c r="V183" s="281"/>
      <c r="W183" s="536"/>
      <c r="X183" s="281"/>
      <c r="Y183" s="170"/>
      <c r="Z183" s="1694"/>
      <c r="AE183" s="2461"/>
      <c r="AF183" s="68"/>
    </row>
    <row r="184" spans="1:32" ht="30" x14ac:dyDescent="0.35">
      <c r="A184" s="2125">
        <v>104</v>
      </c>
      <c r="B184" s="1024">
        <v>10779</v>
      </c>
      <c r="C184" s="1024"/>
      <c r="D184" s="358" t="s">
        <v>1684</v>
      </c>
      <c r="E184" s="288" t="s">
        <v>6938</v>
      </c>
      <c r="F184" s="1138" t="s">
        <v>827</v>
      </c>
      <c r="G184" s="1138">
        <v>5</v>
      </c>
      <c r="H184" s="1138">
        <v>6</v>
      </c>
      <c r="I184" s="501">
        <f t="shared" ref="I184:I189" si="22">J184+K184+L184</f>
        <v>3.3</v>
      </c>
      <c r="J184" s="501">
        <f t="shared" ref="J184:J189" si="23">SUM(M184:R184)</f>
        <v>3.3</v>
      </c>
      <c r="K184" s="503"/>
      <c r="L184" s="503"/>
      <c r="M184" s="503"/>
      <c r="N184" s="503"/>
      <c r="O184" s="570"/>
      <c r="P184" s="503"/>
      <c r="Q184" s="864"/>
      <c r="R184" s="870">
        <v>3.3</v>
      </c>
      <c r="S184" s="281"/>
      <c r="T184" s="281"/>
      <c r="U184" s="281"/>
      <c r="V184" s="281"/>
      <c r="W184" s="536"/>
      <c r="X184" s="281"/>
      <c r="Y184" s="170"/>
      <c r="Z184" s="1694"/>
      <c r="AB184">
        <v>1</v>
      </c>
      <c r="AE184" s="2461"/>
      <c r="AF184" s="68"/>
    </row>
    <row r="185" spans="1:32" ht="45.5" x14ac:dyDescent="0.35">
      <c r="A185" s="827">
        <v>105</v>
      </c>
      <c r="B185" s="1134">
        <v>10770</v>
      </c>
      <c r="C185" s="2118" t="s">
        <v>1656</v>
      </c>
      <c r="D185" s="2464" t="s">
        <v>5109</v>
      </c>
      <c r="E185" s="2383" t="s">
        <v>8605</v>
      </c>
      <c r="F185" s="2742" t="s">
        <v>664</v>
      </c>
      <c r="G185" s="1138">
        <v>5</v>
      </c>
      <c r="H185" s="1138">
        <v>6</v>
      </c>
      <c r="I185" s="297">
        <f>J185+K185+L185</f>
        <v>1.2</v>
      </c>
      <c r="J185" s="297">
        <f>SUM(M185:R185)</f>
        <v>1.2</v>
      </c>
      <c r="K185" s="622"/>
      <c r="L185" s="622"/>
      <c r="M185" s="622"/>
      <c r="N185" s="622"/>
      <c r="O185" s="622"/>
      <c r="P185" s="622"/>
      <c r="Q185" s="2085"/>
      <c r="R185" s="906">
        <v>1.2</v>
      </c>
      <c r="S185" s="2115"/>
      <c r="T185" s="2115"/>
      <c r="U185" s="2115"/>
      <c r="V185" s="2115"/>
      <c r="W185" s="2339"/>
      <c r="X185" s="2339"/>
      <c r="Y185" s="2339"/>
      <c r="Z185" s="2983"/>
      <c r="AA185" t="s">
        <v>1842</v>
      </c>
      <c r="AB185">
        <v>1</v>
      </c>
      <c r="AE185" s="2461"/>
      <c r="AF185" s="68"/>
    </row>
    <row r="186" spans="1:32" ht="60.5" x14ac:dyDescent="0.35">
      <c r="A186" s="1823">
        <v>106</v>
      </c>
      <c r="B186" s="1024">
        <v>10780</v>
      </c>
      <c r="C186" s="1024"/>
      <c r="D186" s="358" t="s">
        <v>1666</v>
      </c>
      <c r="E186" s="511" t="s">
        <v>10982</v>
      </c>
      <c r="F186" s="1138">
        <v>4</v>
      </c>
      <c r="G186" s="1138">
        <v>4</v>
      </c>
      <c r="H186" s="2422">
        <v>6</v>
      </c>
      <c r="I186" s="501">
        <f t="shared" si="22"/>
        <v>1.84</v>
      </c>
      <c r="J186" s="501">
        <f t="shared" si="23"/>
        <v>1.84</v>
      </c>
      <c r="K186" s="501"/>
      <c r="L186" s="501"/>
      <c r="M186" s="501"/>
      <c r="N186" s="501">
        <v>1.84</v>
      </c>
      <c r="O186" s="568"/>
      <c r="P186" s="501"/>
      <c r="Q186" s="860"/>
      <c r="R186" s="870"/>
      <c r="S186" s="279">
        <v>1</v>
      </c>
      <c r="T186" s="279">
        <v>45</v>
      </c>
      <c r="U186" s="281"/>
      <c r="V186" s="281"/>
      <c r="W186" s="97">
        <v>8</v>
      </c>
      <c r="X186" s="279">
        <v>115.5</v>
      </c>
      <c r="Y186" s="170">
        <v>6</v>
      </c>
      <c r="Z186" s="2982">
        <v>80</v>
      </c>
      <c r="AB186">
        <v>1</v>
      </c>
      <c r="AE186" s="2461"/>
      <c r="AF186" s="68"/>
    </row>
    <row r="187" spans="1:32" ht="46.5" x14ac:dyDescent="0.35">
      <c r="A187" s="1823"/>
      <c r="B187" s="1024">
        <v>10780</v>
      </c>
      <c r="C187" s="1024"/>
      <c r="D187" s="358"/>
      <c r="E187" s="289" t="s">
        <v>9884</v>
      </c>
      <c r="F187" s="1138"/>
      <c r="G187" s="1138" t="s">
        <v>191</v>
      </c>
      <c r="H187" s="1138" t="s">
        <v>191</v>
      </c>
      <c r="I187" s="501"/>
      <c r="J187" s="501"/>
      <c r="K187" s="501"/>
      <c r="L187" s="501"/>
      <c r="M187" s="501"/>
      <c r="N187" s="501"/>
      <c r="O187" s="568"/>
      <c r="P187" s="501"/>
      <c r="Q187" s="860"/>
      <c r="R187" s="870"/>
      <c r="S187" s="279"/>
      <c r="T187" s="279"/>
      <c r="U187" s="281"/>
      <c r="V187" s="281"/>
      <c r="W187" s="97"/>
      <c r="X187" s="279"/>
      <c r="Y187" s="170"/>
      <c r="Z187" s="1694"/>
      <c r="AE187" s="2461"/>
      <c r="AF187" s="68"/>
    </row>
    <row r="188" spans="1:32" ht="30" x14ac:dyDescent="0.35">
      <c r="A188" s="1823">
        <v>107</v>
      </c>
      <c r="B188" s="1024">
        <v>10781</v>
      </c>
      <c r="C188" s="1024"/>
      <c r="D188" s="358" t="s">
        <v>914</v>
      </c>
      <c r="E188" s="288" t="s">
        <v>917</v>
      </c>
      <c r="F188" s="1138" t="s">
        <v>827</v>
      </c>
      <c r="G188" s="1138">
        <v>5</v>
      </c>
      <c r="H188" s="1138">
        <v>6</v>
      </c>
      <c r="I188" s="501">
        <f t="shared" si="22"/>
        <v>1</v>
      </c>
      <c r="J188" s="501">
        <f t="shared" si="23"/>
        <v>1</v>
      </c>
      <c r="K188" s="501"/>
      <c r="L188" s="501"/>
      <c r="M188" s="501"/>
      <c r="N188" s="501"/>
      <c r="O188" s="568"/>
      <c r="P188" s="501"/>
      <c r="Q188" s="860"/>
      <c r="R188" s="870">
        <v>1</v>
      </c>
      <c r="S188" s="279"/>
      <c r="T188" s="279"/>
      <c r="U188" s="281"/>
      <c r="V188" s="281"/>
      <c r="W188" s="97">
        <v>2</v>
      </c>
      <c r="X188" s="279">
        <v>15</v>
      </c>
      <c r="Y188" s="170"/>
      <c r="Z188" s="1694"/>
      <c r="AB188">
        <v>1</v>
      </c>
      <c r="AE188" s="2461"/>
      <c r="AF188" s="68"/>
    </row>
    <row r="189" spans="1:32" ht="30.5" x14ac:dyDescent="0.35">
      <c r="A189" s="1823">
        <v>108</v>
      </c>
      <c r="B189" s="1024">
        <v>10782</v>
      </c>
      <c r="C189" s="1024"/>
      <c r="D189" s="358" t="s">
        <v>2742</v>
      </c>
      <c r="E189" s="288" t="s">
        <v>2407</v>
      </c>
      <c r="F189" s="1138"/>
      <c r="G189" s="1138" t="s">
        <v>191</v>
      </c>
      <c r="H189" s="2422" t="s">
        <v>191</v>
      </c>
      <c r="I189" s="501">
        <f t="shared" si="22"/>
        <v>8.1499999999999986</v>
      </c>
      <c r="J189" s="501">
        <f t="shared" si="23"/>
        <v>7.9699999999999989</v>
      </c>
      <c r="K189" s="501"/>
      <c r="L189" s="501">
        <f>SUM(L190:L194)</f>
        <v>0.1800000000000006</v>
      </c>
      <c r="M189" s="501"/>
      <c r="N189" s="501">
        <f>SUM(N190:N194)</f>
        <v>0.04</v>
      </c>
      <c r="O189" s="568"/>
      <c r="P189" s="501"/>
      <c r="Q189" s="860">
        <f>SUM(Q190:Q194)</f>
        <v>3.06</v>
      </c>
      <c r="R189" s="870">
        <f>SUM(R190:R194)</f>
        <v>4.8699999999999992</v>
      </c>
      <c r="S189" s="281"/>
      <c r="T189" s="281"/>
      <c r="U189" s="281"/>
      <c r="V189" s="281"/>
      <c r="W189" s="97">
        <v>9</v>
      </c>
      <c r="X189" s="279">
        <v>113.3</v>
      </c>
      <c r="Y189" s="170">
        <v>1</v>
      </c>
      <c r="Z189" s="2982">
        <v>15.2</v>
      </c>
      <c r="AB189">
        <v>1</v>
      </c>
      <c r="AE189" s="2461"/>
      <c r="AF189" s="68"/>
    </row>
    <row r="190" spans="1:32" x14ac:dyDescent="0.35">
      <c r="A190" s="363"/>
      <c r="B190" s="1024">
        <v>10782</v>
      </c>
      <c r="C190" s="1024"/>
      <c r="D190" s="364"/>
      <c r="E190" s="289" t="s">
        <v>753</v>
      </c>
      <c r="F190" s="1138">
        <v>5</v>
      </c>
      <c r="G190" s="1138">
        <v>5</v>
      </c>
      <c r="H190" s="2422">
        <v>6</v>
      </c>
      <c r="I190" s="502"/>
      <c r="J190" s="502"/>
      <c r="K190" s="502"/>
      <c r="L190" s="502"/>
      <c r="M190" s="502"/>
      <c r="N190" s="502">
        <v>0.04</v>
      </c>
      <c r="O190" s="569"/>
      <c r="P190" s="502"/>
      <c r="Q190" s="863"/>
      <c r="R190" s="873"/>
      <c r="S190" s="281"/>
      <c r="T190" s="281"/>
      <c r="U190" s="281"/>
      <c r="V190" s="281"/>
      <c r="W190" s="536"/>
      <c r="X190" s="281"/>
      <c r="Y190" s="170"/>
      <c r="Z190" s="1694"/>
      <c r="AE190" s="2461"/>
      <c r="AF190" s="68"/>
    </row>
    <row r="191" spans="1:32" x14ac:dyDescent="0.35">
      <c r="A191" s="363"/>
      <c r="B191" s="1024">
        <v>10782</v>
      </c>
      <c r="C191" s="1024"/>
      <c r="D191" s="364"/>
      <c r="E191" s="837" t="s">
        <v>918</v>
      </c>
      <c r="F191" s="1138">
        <v>5</v>
      </c>
      <c r="G191" s="1138">
        <v>5</v>
      </c>
      <c r="H191" s="2422">
        <v>6</v>
      </c>
      <c r="I191" s="502"/>
      <c r="J191" s="502"/>
      <c r="K191" s="502"/>
      <c r="L191" s="502"/>
      <c r="M191" s="502"/>
      <c r="N191" s="502"/>
      <c r="O191" s="569"/>
      <c r="P191" s="502"/>
      <c r="Q191" s="863">
        <v>3.06</v>
      </c>
      <c r="R191" s="873"/>
      <c r="S191" s="281"/>
      <c r="T191" s="281"/>
      <c r="U191" s="281"/>
      <c r="V191" s="281"/>
      <c r="W191" s="536"/>
      <c r="X191" s="281"/>
      <c r="Y191" s="170"/>
      <c r="Z191" s="1694"/>
      <c r="AE191" s="2461"/>
      <c r="AF191" s="68"/>
    </row>
    <row r="192" spans="1:32" x14ac:dyDescent="0.35">
      <c r="A192" s="363"/>
      <c r="B192" s="1024"/>
      <c r="C192" s="1024"/>
      <c r="D192" s="364"/>
      <c r="E192" s="838" t="s">
        <v>6939</v>
      </c>
      <c r="F192" s="1138">
        <v>5</v>
      </c>
      <c r="G192" s="1138">
        <v>5</v>
      </c>
      <c r="H192" s="1138">
        <v>6</v>
      </c>
      <c r="I192" s="502"/>
      <c r="J192" s="502"/>
      <c r="K192" s="502"/>
      <c r="L192" s="502"/>
      <c r="M192" s="502"/>
      <c r="N192" s="502"/>
      <c r="O192" s="569"/>
      <c r="P192" s="502"/>
      <c r="Q192" s="863"/>
      <c r="R192" s="873">
        <f>4.1-3.1</f>
        <v>0.99999999999999956</v>
      </c>
      <c r="S192" s="281"/>
      <c r="T192" s="281"/>
      <c r="U192" s="281"/>
      <c r="V192" s="281"/>
      <c r="W192" s="536"/>
      <c r="X192" s="281"/>
      <c r="Y192" s="170"/>
      <c r="Z192" s="1694"/>
      <c r="AE192" s="2461"/>
      <c r="AF192" s="68"/>
    </row>
    <row r="193" spans="1:32" ht="31" x14ac:dyDescent="0.35">
      <c r="A193" s="363"/>
      <c r="B193" s="1024"/>
      <c r="C193" s="1024"/>
      <c r="D193" s="364"/>
      <c r="E193" s="707" t="s">
        <v>6941</v>
      </c>
      <c r="F193" s="1138">
        <v>5</v>
      </c>
      <c r="G193" s="1138">
        <v>5</v>
      </c>
      <c r="H193" s="2422" t="s">
        <v>191</v>
      </c>
      <c r="I193" s="502"/>
      <c r="J193" s="502"/>
      <c r="K193" s="502"/>
      <c r="L193" s="502">
        <f>4.28-4.1</f>
        <v>0.1800000000000006</v>
      </c>
      <c r="M193" s="502"/>
      <c r="N193" s="502"/>
      <c r="O193" s="569"/>
      <c r="P193" s="502"/>
      <c r="Q193" s="863"/>
      <c r="R193" s="873"/>
      <c r="S193" s="281"/>
      <c r="T193" s="281"/>
      <c r="U193" s="281"/>
      <c r="V193" s="281"/>
      <c r="W193" s="536"/>
      <c r="X193" s="281"/>
      <c r="Y193" s="170"/>
      <c r="Z193" s="1694"/>
      <c r="AE193" s="2461"/>
      <c r="AF193" s="68"/>
    </row>
    <row r="194" spans="1:32" x14ac:dyDescent="0.35">
      <c r="A194" s="363"/>
      <c r="B194" s="1024">
        <v>10782</v>
      </c>
      <c r="C194" s="1024"/>
      <c r="D194" s="364"/>
      <c r="E194" s="838" t="s">
        <v>6940</v>
      </c>
      <c r="F194" s="1138">
        <v>5</v>
      </c>
      <c r="G194" s="1138">
        <v>5</v>
      </c>
      <c r="H194" s="1138">
        <v>6</v>
      </c>
      <c r="I194" s="502"/>
      <c r="J194" s="502"/>
      <c r="K194" s="502"/>
      <c r="L194" s="502"/>
      <c r="M194" s="502"/>
      <c r="N194" s="502"/>
      <c r="O194" s="569"/>
      <c r="P194" s="502"/>
      <c r="Q194" s="863"/>
      <c r="R194" s="873">
        <f>8.15-4.28</f>
        <v>3.87</v>
      </c>
      <c r="S194" s="281"/>
      <c r="T194" s="281"/>
      <c r="U194" s="281"/>
      <c r="V194" s="281"/>
      <c r="W194" s="536"/>
      <c r="X194" s="281"/>
      <c r="Y194" s="170"/>
      <c r="Z194" s="1694"/>
      <c r="AE194" s="2461"/>
      <c r="AF194" s="68"/>
    </row>
    <row r="195" spans="1:32" ht="30" x14ac:dyDescent="0.35">
      <c r="A195" s="347">
        <v>109</v>
      </c>
      <c r="B195" s="1024">
        <v>10783</v>
      </c>
      <c r="C195" s="1024"/>
      <c r="D195" s="358" t="s">
        <v>2743</v>
      </c>
      <c r="E195" s="288" t="s">
        <v>6942</v>
      </c>
      <c r="F195" s="1138"/>
      <c r="G195" s="1138" t="s">
        <v>191</v>
      </c>
      <c r="H195" s="2422" t="s">
        <v>191</v>
      </c>
      <c r="I195" s="501">
        <f>J195+K195+L195</f>
        <v>5.04</v>
      </c>
      <c r="J195" s="501">
        <f>SUM(M195:R195)</f>
        <v>5.04</v>
      </c>
      <c r="K195" s="501"/>
      <c r="L195" s="501"/>
      <c r="M195" s="501"/>
      <c r="N195" s="501">
        <f>SUM(N196:N197)</f>
        <v>0.75</v>
      </c>
      <c r="O195" s="568"/>
      <c r="P195" s="501"/>
      <c r="Q195" s="860">
        <f>SUM(Q196:Q197)</f>
        <v>4.29</v>
      </c>
      <c r="R195" s="870"/>
      <c r="S195" s="281"/>
      <c r="T195" s="281"/>
      <c r="U195" s="281"/>
      <c r="V195" s="281"/>
      <c r="W195" s="97">
        <v>6</v>
      </c>
      <c r="X195" s="279">
        <v>91</v>
      </c>
      <c r="Y195" s="170"/>
      <c r="Z195" s="1694"/>
      <c r="AB195">
        <v>1</v>
      </c>
      <c r="AE195" s="2461"/>
      <c r="AF195" s="68"/>
    </row>
    <row r="196" spans="1:32" ht="16" x14ac:dyDescent="0.4">
      <c r="A196" s="363"/>
      <c r="B196" s="1024">
        <v>10783</v>
      </c>
      <c r="C196" s="1024"/>
      <c r="D196" s="364"/>
      <c r="E196" s="289" t="s">
        <v>782</v>
      </c>
      <c r="F196" s="1138">
        <v>4</v>
      </c>
      <c r="G196" s="1138">
        <v>5</v>
      </c>
      <c r="H196" s="2422">
        <v>6</v>
      </c>
      <c r="I196" s="502"/>
      <c r="J196" s="502"/>
      <c r="K196" s="502"/>
      <c r="L196" s="502"/>
      <c r="M196" s="502"/>
      <c r="N196" s="502">
        <v>0.75</v>
      </c>
      <c r="O196" s="569"/>
      <c r="P196" s="502"/>
      <c r="Q196" s="863"/>
      <c r="R196" s="873"/>
      <c r="S196" s="281"/>
      <c r="T196" s="281"/>
      <c r="U196" s="281"/>
      <c r="V196" s="281"/>
      <c r="W196" s="97"/>
      <c r="X196" s="279"/>
      <c r="Y196" s="170"/>
      <c r="Z196" s="1694"/>
      <c r="AA196" s="63"/>
      <c r="AB196" s="63"/>
      <c r="AE196" s="2461"/>
      <c r="AF196" s="68"/>
    </row>
    <row r="197" spans="1:32" ht="16" x14ac:dyDescent="0.4">
      <c r="A197" s="363"/>
      <c r="B197" s="1024">
        <v>10783</v>
      </c>
      <c r="C197" s="1024"/>
      <c r="D197" s="364"/>
      <c r="E197" s="837" t="s">
        <v>919</v>
      </c>
      <c r="F197" s="1138">
        <v>4</v>
      </c>
      <c r="G197" s="1138">
        <v>5</v>
      </c>
      <c r="H197" s="2422">
        <v>6</v>
      </c>
      <c r="I197" s="502"/>
      <c r="J197" s="502"/>
      <c r="K197" s="502"/>
      <c r="L197" s="502"/>
      <c r="M197" s="502"/>
      <c r="N197" s="502"/>
      <c r="O197" s="569"/>
      <c r="P197" s="502"/>
      <c r="Q197" s="863">
        <v>4.29</v>
      </c>
      <c r="R197" s="873"/>
      <c r="S197" s="281"/>
      <c r="T197" s="281"/>
      <c r="U197" s="281"/>
      <c r="V197" s="281"/>
      <c r="W197" s="97"/>
      <c r="X197" s="279"/>
      <c r="Y197" s="170"/>
      <c r="Z197" s="1694"/>
      <c r="AA197" s="63"/>
      <c r="AB197" s="63"/>
      <c r="AE197" s="2461"/>
      <c r="AF197" s="68"/>
    </row>
    <row r="198" spans="1:32" ht="30.5" x14ac:dyDescent="0.35">
      <c r="A198" s="347">
        <v>110</v>
      </c>
      <c r="B198" s="1024">
        <v>10784</v>
      </c>
      <c r="C198" s="1024"/>
      <c r="D198" s="358" t="s">
        <v>3040</v>
      </c>
      <c r="E198" s="288" t="s">
        <v>9572</v>
      </c>
      <c r="F198" s="1138"/>
      <c r="G198" s="1138" t="s">
        <v>191</v>
      </c>
      <c r="H198" s="2422" t="s">
        <v>191</v>
      </c>
      <c r="I198" s="501">
        <f>J198+K198+L198</f>
        <v>4.8</v>
      </c>
      <c r="J198" s="501">
        <f>SUM(M198:R198)</f>
        <v>4.8</v>
      </c>
      <c r="K198" s="501"/>
      <c r="L198" s="501"/>
      <c r="M198" s="501"/>
      <c r="N198" s="501"/>
      <c r="O198" s="568"/>
      <c r="P198" s="501"/>
      <c r="Q198" s="860">
        <f>SUM(Q199:Q200)</f>
        <v>3.34</v>
      </c>
      <c r="R198" s="870">
        <f>SUM(R199:R200)</f>
        <v>1.46</v>
      </c>
      <c r="S198" s="281"/>
      <c r="T198" s="281"/>
      <c r="U198" s="281"/>
      <c r="V198" s="281"/>
      <c r="W198" s="97">
        <v>7</v>
      </c>
      <c r="X198" s="279">
        <v>95.7</v>
      </c>
      <c r="Y198" s="170">
        <v>1</v>
      </c>
      <c r="Z198" s="2982">
        <v>10.199999999999999</v>
      </c>
      <c r="AB198">
        <v>1</v>
      </c>
      <c r="AE198" s="2461"/>
      <c r="AF198" s="68"/>
    </row>
    <row r="199" spans="1:32" x14ac:dyDescent="0.35">
      <c r="A199" s="363"/>
      <c r="B199" s="1024">
        <v>10784</v>
      </c>
      <c r="C199" s="1024"/>
      <c r="D199" s="364"/>
      <c r="E199" s="837" t="s">
        <v>2437</v>
      </c>
      <c r="F199" s="1138" t="s">
        <v>827</v>
      </c>
      <c r="G199" s="1138">
        <v>5</v>
      </c>
      <c r="H199" s="2422">
        <v>6</v>
      </c>
      <c r="I199" s="502"/>
      <c r="J199" s="502"/>
      <c r="K199" s="502"/>
      <c r="L199" s="502"/>
      <c r="M199" s="502"/>
      <c r="N199" s="502"/>
      <c r="O199" s="569"/>
      <c r="P199" s="502"/>
      <c r="Q199" s="863">
        <v>3.34</v>
      </c>
      <c r="R199" s="873"/>
      <c r="S199" s="281"/>
      <c r="T199" s="281"/>
      <c r="U199" s="281"/>
      <c r="V199" s="281"/>
      <c r="W199" s="97"/>
      <c r="X199" s="279"/>
      <c r="Y199" s="170"/>
      <c r="Z199" s="1694"/>
      <c r="AE199" s="2461"/>
      <c r="AF199" s="68"/>
    </row>
    <row r="200" spans="1:32" x14ac:dyDescent="0.35">
      <c r="A200" s="363"/>
      <c r="B200" s="1024">
        <v>10784</v>
      </c>
      <c r="C200" s="1024"/>
      <c r="D200" s="364"/>
      <c r="E200" s="838" t="s">
        <v>2438</v>
      </c>
      <c r="F200" s="1138" t="s">
        <v>827</v>
      </c>
      <c r="G200" s="1138">
        <v>5</v>
      </c>
      <c r="H200" s="1138">
        <v>6</v>
      </c>
      <c r="I200" s="502"/>
      <c r="J200" s="502"/>
      <c r="K200" s="502"/>
      <c r="L200" s="502"/>
      <c r="M200" s="502"/>
      <c r="N200" s="502"/>
      <c r="O200" s="569"/>
      <c r="P200" s="502"/>
      <c r="Q200" s="863"/>
      <c r="R200" s="873">
        <v>1.46</v>
      </c>
      <c r="S200" s="281"/>
      <c r="T200" s="281"/>
      <c r="U200" s="281"/>
      <c r="V200" s="281"/>
      <c r="W200" s="97"/>
      <c r="X200" s="279"/>
      <c r="Y200" s="170"/>
      <c r="Z200" s="1694"/>
      <c r="AE200" s="2461"/>
      <c r="AF200" s="68"/>
    </row>
    <row r="201" spans="1:32" ht="45.5" x14ac:dyDescent="0.35">
      <c r="A201" s="1823">
        <v>111</v>
      </c>
      <c r="B201" s="1134" t="s">
        <v>2923</v>
      </c>
      <c r="C201" s="2118" t="s">
        <v>1656</v>
      </c>
      <c r="D201" s="2464" t="s">
        <v>5153</v>
      </c>
      <c r="E201" s="2382" t="s">
        <v>9573</v>
      </c>
      <c r="F201" s="2742" t="s">
        <v>664</v>
      </c>
      <c r="G201" s="1138">
        <v>5</v>
      </c>
      <c r="H201" s="1138">
        <v>6</v>
      </c>
      <c r="I201" s="297">
        <f>J201+K201+L201</f>
        <v>0.1</v>
      </c>
      <c r="J201" s="297">
        <f>SUM(M201:R201)</f>
        <v>0.1</v>
      </c>
      <c r="K201" s="622"/>
      <c r="L201" s="622"/>
      <c r="M201" s="622"/>
      <c r="N201" s="622"/>
      <c r="O201" s="622"/>
      <c r="P201" s="622"/>
      <c r="Q201" s="2085"/>
      <c r="R201" s="906">
        <v>0.1</v>
      </c>
      <c r="S201" s="2115"/>
      <c r="T201" s="2115"/>
      <c r="U201" s="2115"/>
      <c r="V201" s="2115"/>
      <c r="W201" s="2339"/>
      <c r="X201" s="2339"/>
      <c r="Y201" s="2339"/>
      <c r="Z201" s="2983"/>
      <c r="AA201" t="s">
        <v>2327</v>
      </c>
      <c r="AB201">
        <v>1</v>
      </c>
      <c r="AE201" s="2461"/>
      <c r="AF201" s="68"/>
    </row>
    <row r="202" spans="1:32" s="99" customFormat="1" ht="30" x14ac:dyDescent="0.4">
      <c r="A202" s="347">
        <v>112</v>
      </c>
      <c r="B202" s="1024">
        <v>10785</v>
      </c>
      <c r="C202" s="1024"/>
      <c r="D202" s="358" t="s">
        <v>3041</v>
      </c>
      <c r="E202" s="511" t="s">
        <v>10699</v>
      </c>
      <c r="F202" s="1138"/>
      <c r="G202" s="1138" t="s">
        <v>191</v>
      </c>
      <c r="H202" s="2422" t="s">
        <v>191</v>
      </c>
      <c r="I202" s="501">
        <f>J202+K202+L202</f>
        <v>3.7</v>
      </c>
      <c r="J202" s="501">
        <f>SUM(M202:R202)</f>
        <v>3.7</v>
      </c>
      <c r="K202" s="501"/>
      <c r="L202" s="501"/>
      <c r="M202" s="501"/>
      <c r="N202" s="501"/>
      <c r="O202" s="568"/>
      <c r="P202" s="501"/>
      <c r="Q202" s="860">
        <f>SUM(Q203:Q204)</f>
        <v>1.2</v>
      </c>
      <c r="R202" s="870">
        <f>SUM(R203:R204)</f>
        <v>2.5</v>
      </c>
      <c r="S202" s="281"/>
      <c r="T202" s="281"/>
      <c r="U202" s="281"/>
      <c r="V202" s="281"/>
      <c r="W202" s="97">
        <v>2</v>
      </c>
      <c r="X202" s="279">
        <v>30</v>
      </c>
      <c r="Y202" s="170"/>
      <c r="Z202" s="1694"/>
      <c r="AA202"/>
      <c r="AB202">
        <v>1</v>
      </c>
      <c r="AE202" s="2461"/>
      <c r="AF202" s="68"/>
    </row>
    <row r="203" spans="1:32" s="63" customFormat="1" ht="16" x14ac:dyDescent="0.4">
      <c r="A203" s="363"/>
      <c r="B203" s="1024">
        <v>10785</v>
      </c>
      <c r="C203" s="1024"/>
      <c r="D203" s="364"/>
      <c r="E203" s="837" t="s">
        <v>3428</v>
      </c>
      <c r="F203" s="1138">
        <v>5</v>
      </c>
      <c r="G203" s="1138">
        <v>5</v>
      </c>
      <c r="H203" s="2422">
        <v>6</v>
      </c>
      <c r="I203" s="502"/>
      <c r="J203" s="502"/>
      <c r="K203" s="502"/>
      <c r="L203" s="502"/>
      <c r="M203" s="502"/>
      <c r="N203" s="502"/>
      <c r="O203" s="569"/>
      <c r="P203" s="502"/>
      <c r="Q203" s="863">
        <v>1.2</v>
      </c>
      <c r="R203" s="873"/>
      <c r="S203" s="281"/>
      <c r="T203" s="281"/>
      <c r="U203" s="281"/>
      <c r="V203" s="281"/>
      <c r="W203" s="97"/>
      <c r="X203" s="279"/>
      <c r="Y203" s="170"/>
      <c r="Z203" s="1694"/>
      <c r="AE203" s="2461"/>
      <c r="AF203" s="68"/>
    </row>
    <row r="204" spans="1:32" s="63" customFormat="1" ht="16" x14ac:dyDescent="0.4">
      <c r="A204" s="363"/>
      <c r="B204" s="1024">
        <v>10785</v>
      </c>
      <c r="C204" s="1024"/>
      <c r="D204" s="364"/>
      <c r="E204" s="838" t="s">
        <v>6943</v>
      </c>
      <c r="F204" s="1138">
        <v>5</v>
      </c>
      <c r="G204" s="1138">
        <v>5</v>
      </c>
      <c r="H204" s="1138">
        <v>6</v>
      </c>
      <c r="I204" s="502"/>
      <c r="J204" s="502"/>
      <c r="K204" s="502"/>
      <c r="L204" s="502"/>
      <c r="M204" s="502"/>
      <c r="N204" s="502"/>
      <c r="O204" s="569"/>
      <c r="P204" s="502"/>
      <c r="Q204" s="863"/>
      <c r="R204" s="873">
        <f>3.7-1.2</f>
        <v>2.5</v>
      </c>
      <c r="S204" s="281"/>
      <c r="T204" s="281"/>
      <c r="U204" s="281"/>
      <c r="V204" s="281"/>
      <c r="W204" s="97"/>
      <c r="X204" s="279"/>
      <c r="Y204" s="170"/>
      <c r="Z204" s="1694"/>
      <c r="AE204" s="2461"/>
      <c r="AF204" s="68"/>
    </row>
    <row r="205" spans="1:32" ht="30.5" x14ac:dyDescent="0.35">
      <c r="A205" s="2125">
        <v>113</v>
      </c>
      <c r="B205" s="2120">
        <v>10778</v>
      </c>
      <c r="C205" s="2118" t="s">
        <v>1656</v>
      </c>
      <c r="D205" s="2464" t="s">
        <v>5118</v>
      </c>
      <c r="E205" s="2383" t="s">
        <v>9265</v>
      </c>
      <c r="F205" s="2742" t="s">
        <v>827</v>
      </c>
      <c r="G205" s="2742">
        <v>5</v>
      </c>
      <c r="H205" s="1138">
        <v>6</v>
      </c>
      <c r="I205" s="2102">
        <f>J205+K205+L205</f>
        <v>0.4</v>
      </c>
      <c r="J205" s="2102">
        <f>SUM(M205:R205)</f>
        <v>0.4</v>
      </c>
      <c r="K205" s="622"/>
      <c r="L205" s="622"/>
      <c r="M205" s="622"/>
      <c r="N205" s="622"/>
      <c r="O205" s="622"/>
      <c r="P205" s="622"/>
      <c r="Q205" s="2085"/>
      <c r="R205" s="906">
        <v>0.4</v>
      </c>
      <c r="S205" s="2115"/>
      <c r="T205" s="2115"/>
      <c r="U205" s="2115"/>
      <c r="V205" s="2115"/>
      <c r="W205" s="2339"/>
      <c r="X205" s="2339"/>
      <c r="Y205" s="2339"/>
      <c r="Z205" s="2983"/>
      <c r="AB205">
        <v>1</v>
      </c>
      <c r="AE205" s="2461"/>
      <c r="AF205" s="68"/>
    </row>
    <row r="206" spans="1:32" ht="51" customHeight="1" x14ac:dyDescent="0.35">
      <c r="A206" s="1823">
        <v>114</v>
      </c>
      <c r="B206" s="1134">
        <v>10778</v>
      </c>
      <c r="C206" s="2118" t="s">
        <v>1656</v>
      </c>
      <c r="D206" s="2464" t="s">
        <v>5119</v>
      </c>
      <c r="E206" s="2383" t="s">
        <v>8606</v>
      </c>
      <c r="F206" s="2742" t="s">
        <v>664</v>
      </c>
      <c r="G206" s="1138">
        <v>5</v>
      </c>
      <c r="H206" s="1138">
        <v>6</v>
      </c>
      <c r="I206" s="297">
        <f>J206+K206+L206</f>
        <v>2.1</v>
      </c>
      <c r="J206" s="297">
        <f>SUM(M206:R206)</f>
        <v>2.1</v>
      </c>
      <c r="K206" s="622"/>
      <c r="L206" s="622"/>
      <c r="M206" s="622"/>
      <c r="N206" s="622"/>
      <c r="O206" s="622"/>
      <c r="P206" s="622"/>
      <c r="Q206" s="2085"/>
      <c r="R206" s="906">
        <v>2.1</v>
      </c>
      <c r="S206" s="2115"/>
      <c r="T206" s="2115"/>
      <c r="U206" s="2115"/>
      <c r="V206" s="2115"/>
      <c r="W206" s="2339"/>
      <c r="X206" s="2339"/>
      <c r="Y206" s="2339"/>
      <c r="Z206" s="2983"/>
      <c r="AA206" t="s">
        <v>1842</v>
      </c>
      <c r="AB206">
        <v>1</v>
      </c>
      <c r="AE206" s="2461"/>
      <c r="AF206" s="68"/>
    </row>
    <row r="207" spans="1:32" s="99" customFormat="1" ht="31" x14ac:dyDescent="0.4">
      <c r="A207" s="347">
        <v>115</v>
      </c>
      <c r="B207" s="1024">
        <v>10786</v>
      </c>
      <c r="C207" s="1024"/>
      <c r="D207" s="358" t="s">
        <v>538</v>
      </c>
      <c r="E207" s="288" t="s">
        <v>9574</v>
      </c>
      <c r="F207" s="1138"/>
      <c r="G207" s="1138" t="s">
        <v>191</v>
      </c>
      <c r="H207" s="2422" t="s">
        <v>191</v>
      </c>
      <c r="I207" s="501">
        <f>J207+K207+L207</f>
        <v>3.9</v>
      </c>
      <c r="J207" s="501">
        <f>SUM(M207:R207)</f>
        <v>3.9</v>
      </c>
      <c r="K207" s="503"/>
      <c r="L207" s="503"/>
      <c r="M207" s="503"/>
      <c r="N207" s="501">
        <f>SUM(N208:N209)</f>
        <v>2.67</v>
      </c>
      <c r="O207" s="570"/>
      <c r="P207" s="503"/>
      <c r="Q207" s="864"/>
      <c r="R207" s="870">
        <f>SUM(R208:R209)</f>
        <v>1.23</v>
      </c>
      <c r="S207" s="281"/>
      <c r="T207" s="281"/>
      <c r="U207" s="281"/>
      <c r="V207" s="281"/>
      <c r="W207" s="2981">
        <v>8</v>
      </c>
      <c r="X207" s="279">
        <v>112.7</v>
      </c>
      <c r="Y207" s="170"/>
      <c r="Z207" s="1694"/>
      <c r="AA207"/>
      <c r="AB207">
        <v>1</v>
      </c>
      <c r="AE207" s="2461"/>
      <c r="AF207" s="68"/>
    </row>
    <row r="208" spans="1:32" s="99" customFormat="1" ht="16" x14ac:dyDescent="0.4">
      <c r="A208" s="363"/>
      <c r="B208" s="1024">
        <v>10786</v>
      </c>
      <c r="C208" s="1024"/>
      <c r="D208" s="364"/>
      <c r="E208" s="289" t="s">
        <v>2439</v>
      </c>
      <c r="F208" s="1138">
        <v>5</v>
      </c>
      <c r="G208" s="1138">
        <v>5</v>
      </c>
      <c r="H208" s="2422">
        <v>6</v>
      </c>
      <c r="I208" s="502"/>
      <c r="J208" s="502"/>
      <c r="K208" s="504"/>
      <c r="L208" s="504"/>
      <c r="M208" s="504"/>
      <c r="N208" s="502">
        <v>2.67</v>
      </c>
      <c r="O208" s="571"/>
      <c r="P208" s="504"/>
      <c r="Q208" s="865"/>
      <c r="R208" s="873"/>
      <c r="S208" s="281"/>
      <c r="T208" s="281"/>
      <c r="U208" s="281"/>
      <c r="V208" s="281"/>
      <c r="W208" s="536"/>
      <c r="X208" s="281"/>
      <c r="Y208" s="170"/>
      <c r="Z208" s="1694"/>
      <c r="AA208" s="1778" t="s">
        <v>3225</v>
      </c>
      <c r="AB208"/>
      <c r="AE208" s="2461"/>
      <c r="AF208" s="68"/>
    </row>
    <row r="209" spans="1:32" s="63" customFormat="1" ht="16" x14ac:dyDescent="0.4">
      <c r="A209" s="363"/>
      <c r="B209" s="1024">
        <v>10786</v>
      </c>
      <c r="C209" s="1024"/>
      <c r="D209" s="364"/>
      <c r="E209" s="838" t="s">
        <v>2440</v>
      </c>
      <c r="F209" s="1138">
        <v>5</v>
      </c>
      <c r="G209" s="1138">
        <v>5</v>
      </c>
      <c r="H209" s="1138">
        <v>6</v>
      </c>
      <c r="I209" s="502"/>
      <c r="J209" s="502"/>
      <c r="K209" s="504"/>
      <c r="L209" s="504"/>
      <c r="M209" s="504"/>
      <c r="N209" s="502"/>
      <c r="O209" s="571"/>
      <c r="P209" s="504"/>
      <c r="Q209" s="865"/>
      <c r="R209" s="873">
        <v>1.23</v>
      </c>
      <c r="S209" s="281"/>
      <c r="T209" s="281"/>
      <c r="U209" s="281"/>
      <c r="V209" s="281"/>
      <c r="W209" s="536"/>
      <c r="X209" s="281"/>
      <c r="Y209" s="170"/>
      <c r="Z209" s="1694"/>
      <c r="AA209"/>
      <c r="AB209"/>
      <c r="AE209" s="2461"/>
      <c r="AF209" s="68"/>
    </row>
    <row r="210" spans="1:32" s="63" customFormat="1" ht="46" x14ac:dyDescent="0.4">
      <c r="A210" s="827">
        <v>116</v>
      </c>
      <c r="B210" s="1047">
        <v>10786</v>
      </c>
      <c r="C210" s="2118" t="s">
        <v>1656</v>
      </c>
      <c r="D210" s="2464" t="s">
        <v>5120</v>
      </c>
      <c r="E210" s="511" t="s">
        <v>9575</v>
      </c>
      <c r="F210" s="1138" t="s">
        <v>827</v>
      </c>
      <c r="G210" s="1138">
        <v>5</v>
      </c>
      <c r="H210" s="1138">
        <v>6</v>
      </c>
      <c r="I210" s="501">
        <f>J210+K210+L210</f>
        <v>0.14000000000000001</v>
      </c>
      <c r="J210" s="501">
        <f>SUM(M210:R210)</f>
        <v>0.14000000000000001</v>
      </c>
      <c r="K210" s="500"/>
      <c r="L210" s="500"/>
      <c r="M210" s="500"/>
      <c r="N210" s="500"/>
      <c r="O210" s="568"/>
      <c r="P210" s="500"/>
      <c r="Q210" s="860"/>
      <c r="R210" s="870">
        <v>0.14000000000000001</v>
      </c>
      <c r="S210" s="163"/>
      <c r="T210" s="537"/>
      <c r="U210" s="163"/>
      <c r="V210" s="163"/>
      <c r="W210" s="538"/>
      <c r="X210" s="539"/>
      <c r="Y210" s="163"/>
      <c r="Z210" s="1694"/>
      <c r="AA210"/>
      <c r="AB210">
        <v>1</v>
      </c>
      <c r="AE210" s="2461"/>
      <c r="AF210" s="68"/>
    </row>
    <row r="211" spans="1:32" s="63" customFormat="1" ht="46" x14ac:dyDescent="0.4">
      <c r="A211" s="1823">
        <v>117</v>
      </c>
      <c r="B211" s="1134">
        <v>10786</v>
      </c>
      <c r="C211" s="2118" t="s">
        <v>1656</v>
      </c>
      <c r="D211" s="2464" t="s">
        <v>5121</v>
      </c>
      <c r="E211" s="2383" t="s">
        <v>9576</v>
      </c>
      <c r="F211" s="2742" t="s">
        <v>664</v>
      </c>
      <c r="G211" s="1138">
        <v>5</v>
      </c>
      <c r="H211" s="1138">
        <v>6</v>
      </c>
      <c r="I211" s="297">
        <f>J211+K211+L211</f>
        <v>0.78</v>
      </c>
      <c r="J211" s="297">
        <f>SUM(M211:R211)</f>
        <v>0.78</v>
      </c>
      <c r="K211" s="622"/>
      <c r="L211" s="622"/>
      <c r="M211" s="622"/>
      <c r="N211" s="622"/>
      <c r="O211" s="622"/>
      <c r="P211" s="622"/>
      <c r="Q211" s="2085"/>
      <c r="R211" s="906">
        <v>0.78</v>
      </c>
      <c r="S211" s="2115"/>
      <c r="T211" s="2115"/>
      <c r="U211" s="2115"/>
      <c r="V211" s="2115"/>
      <c r="W211" s="2339"/>
      <c r="X211" s="2339"/>
      <c r="Y211" s="2339"/>
      <c r="Z211" s="2983"/>
      <c r="AA211" t="s">
        <v>1842</v>
      </c>
      <c r="AB211">
        <v>1</v>
      </c>
      <c r="AE211" s="2461"/>
      <c r="AF211" s="68"/>
    </row>
    <row r="212" spans="1:32" s="99" customFormat="1" ht="31" x14ac:dyDescent="0.4">
      <c r="A212" s="827">
        <v>118</v>
      </c>
      <c r="B212" s="1024">
        <v>10788</v>
      </c>
      <c r="C212" s="1024"/>
      <c r="D212" s="358" t="s">
        <v>573</v>
      </c>
      <c r="E212" s="288" t="s">
        <v>9577</v>
      </c>
      <c r="F212" s="1138" t="s">
        <v>827</v>
      </c>
      <c r="G212" s="1138">
        <v>5</v>
      </c>
      <c r="H212" s="1138">
        <v>6</v>
      </c>
      <c r="I212" s="501">
        <f>J212+K212+L212</f>
        <v>1.5</v>
      </c>
      <c r="J212" s="501">
        <f>SUM(M212:R212)</f>
        <v>1.5</v>
      </c>
      <c r="K212" s="503"/>
      <c r="L212" s="503"/>
      <c r="M212" s="503"/>
      <c r="N212" s="503"/>
      <c r="O212" s="570"/>
      <c r="P212" s="503"/>
      <c r="Q212" s="864"/>
      <c r="R212" s="870">
        <v>1.5</v>
      </c>
      <c r="S212" s="281"/>
      <c r="T212" s="281"/>
      <c r="U212" s="281"/>
      <c r="V212" s="281"/>
      <c r="W212" s="536"/>
      <c r="X212" s="281"/>
      <c r="Y212" s="170"/>
      <c r="Z212" s="1694"/>
      <c r="AA212"/>
      <c r="AB212">
        <v>1</v>
      </c>
      <c r="AE212" s="2461"/>
      <c r="AF212" s="68"/>
    </row>
    <row r="213" spans="1:32" ht="60.5" x14ac:dyDescent="0.35">
      <c r="A213" s="1823">
        <v>119</v>
      </c>
      <c r="B213" s="1134">
        <v>10788</v>
      </c>
      <c r="C213" s="2118" t="s">
        <v>1656</v>
      </c>
      <c r="D213" s="2464" t="s">
        <v>5122</v>
      </c>
      <c r="E213" s="2374" t="s">
        <v>9578</v>
      </c>
      <c r="F213" s="1138" t="s">
        <v>664</v>
      </c>
      <c r="G213" s="1138">
        <v>5</v>
      </c>
      <c r="H213" s="1138">
        <v>6</v>
      </c>
      <c r="I213" s="297">
        <f>J213+K213+L213</f>
        <v>1.1599999999999999</v>
      </c>
      <c r="J213" s="297">
        <f>SUM(M213:R213)</f>
        <v>1.1599999999999999</v>
      </c>
      <c r="K213" s="500"/>
      <c r="L213" s="500"/>
      <c r="M213" s="500"/>
      <c r="N213" s="500"/>
      <c r="O213" s="568"/>
      <c r="P213" s="500"/>
      <c r="Q213" s="1856"/>
      <c r="R213" s="1865">
        <v>1.1599999999999999</v>
      </c>
      <c r="S213" s="163"/>
      <c r="T213" s="537"/>
      <c r="U213" s="163"/>
      <c r="V213" s="163"/>
      <c r="W213" s="538"/>
      <c r="X213" s="539"/>
      <c r="Y213" s="163"/>
      <c r="Z213" s="1694"/>
      <c r="AA213" t="s">
        <v>2327</v>
      </c>
      <c r="AB213">
        <v>1</v>
      </c>
      <c r="AE213" s="2461"/>
      <c r="AF213" s="68"/>
    </row>
    <row r="214" spans="1:32" s="99" customFormat="1" ht="31" x14ac:dyDescent="0.4">
      <c r="A214" s="827">
        <v>120</v>
      </c>
      <c r="B214" s="1024">
        <v>10789</v>
      </c>
      <c r="C214" s="1024"/>
      <c r="D214" s="358" t="s">
        <v>652</v>
      </c>
      <c r="E214" s="288" t="s">
        <v>9870</v>
      </c>
      <c r="F214" s="1138"/>
      <c r="G214" s="1138" t="s">
        <v>191</v>
      </c>
      <c r="H214" s="2422" t="s">
        <v>191</v>
      </c>
      <c r="I214" s="501">
        <f>J214+K214+L214</f>
        <v>10.6</v>
      </c>
      <c r="J214" s="501">
        <f>SUM(M214:R214)</f>
        <v>10.6</v>
      </c>
      <c r="K214" s="503"/>
      <c r="L214" s="503"/>
      <c r="M214" s="503"/>
      <c r="N214" s="501">
        <f>SUM(N215:N216)</f>
        <v>3.54</v>
      </c>
      <c r="O214" s="570"/>
      <c r="P214" s="503"/>
      <c r="Q214" s="860">
        <f>SUM(Q215:Q216)</f>
        <v>7.06</v>
      </c>
      <c r="R214" s="874"/>
      <c r="S214" s="281"/>
      <c r="T214" s="281"/>
      <c r="U214" s="281"/>
      <c r="V214" s="281"/>
      <c r="W214" s="97">
        <v>2</v>
      </c>
      <c r="X214" s="279">
        <v>24.3</v>
      </c>
      <c r="Y214" s="170"/>
      <c r="Z214" s="1694"/>
      <c r="AA214"/>
      <c r="AB214">
        <v>1</v>
      </c>
      <c r="AE214" s="2461"/>
      <c r="AF214" s="68"/>
    </row>
    <row r="215" spans="1:32" s="99" customFormat="1" ht="16" x14ac:dyDescent="0.4">
      <c r="A215" s="363"/>
      <c r="B215" s="1024">
        <v>10789</v>
      </c>
      <c r="C215" s="1024"/>
      <c r="D215" s="364"/>
      <c r="E215" s="289" t="s">
        <v>2926</v>
      </c>
      <c r="F215" s="1138">
        <v>5</v>
      </c>
      <c r="G215" s="1138">
        <v>5</v>
      </c>
      <c r="H215" s="2422">
        <v>6</v>
      </c>
      <c r="I215" s="502"/>
      <c r="J215" s="502"/>
      <c r="K215" s="504"/>
      <c r="L215" s="504"/>
      <c r="M215" s="504"/>
      <c r="N215" s="502">
        <v>3.54</v>
      </c>
      <c r="O215" s="571"/>
      <c r="P215" s="504"/>
      <c r="Q215" s="863"/>
      <c r="R215" s="875"/>
      <c r="S215" s="281"/>
      <c r="T215" s="281"/>
      <c r="U215" s="281"/>
      <c r="V215" s="281"/>
      <c r="W215" s="536"/>
      <c r="X215" s="281"/>
      <c r="Y215" s="170"/>
      <c r="Z215" s="1694"/>
      <c r="AA215"/>
      <c r="AB215"/>
      <c r="AE215" s="2461"/>
      <c r="AF215" s="68"/>
    </row>
    <row r="216" spans="1:32" s="99" customFormat="1" ht="16" x14ac:dyDescent="0.4">
      <c r="A216" s="363"/>
      <c r="B216" s="1024">
        <v>10789</v>
      </c>
      <c r="C216" s="1024"/>
      <c r="D216" s="364"/>
      <c r="E216" s="837" t="s">
        <v>2441</v>
      </c>
      <c r="F216" s="1138">
        <v>5</v>
      </c>
      <c r="G216" s="1138">
        <v>5</v>
      </c>
      <c r="H216" s="2422">
        <v>6</v>
      </c>
      <c r="I216" s="502"/>
      <c r="J216" s="502"/>
      <c r="K216" s="504"/>
      <c r="L216" s="504"/>
      <c r="M216" s="504"/>
      <c r="N216" s="502"/>
      <c r="O216" s="571"/>
      <c r="P216" s="504"/>
      <c r="Q216" s="863">
        <v>7.06</v>
      </c>
      <c r="R216" s="875"/>
      <c r="S216" s="281"/>
      <c r="T216" s="281"/>
      <c r="U216" s="281"/>
      <c r="V216" s="281"/>
      <c r="W216" s="536"/>
      <c r="X216" s="281"/>
      <c r="Y216" s="170"/>
      <c r="Z216" s="1694"/>
      <c r="AA216"/>
      <c r="AB216"/>
      <c r="AE216" s="2461"/>
      <c r="AF216" s="68"/>
    </row>
    <row r="217" spans="1:32" ht="60.5" x14ac:dyDescent="0.35">
      <c r="A217" s="1823">
        <v>121</v>
      </c>
      <c r="B217" s="1134">
        <v>10789</v>
      </c>
      <c r="C217" s="405" t="s">
        <v>1656</v>
      </c>
      <c r="D217" s="2464" t="s">
        <v>5123</v>
      </c>
      <c r="E217" s="2374" t="s">
        <v>9871</v>
      </c>
      <c r="F217" s="1138" t="s">
        <v>664</v>
      </c>
      <c r="G217" s="1138">
        <v>5</v>
      </c>
      <c r="H217" s="2422">
        <v>6</v>
      </c>
      <c r="I217" s="297">
        <f>J217+K217+L217</f>
        <v>0.2</v>
      </c>
      <c r="J217" s="297">
        <f>SUM(M217:R217)</f>
        <v>0.2</v>
      </c>
      <c r="K217" s="502"/>
      <c r="L217" s="502"/>
      <c r="M217" s="501"/>
      <c r="N217" s="501"/>
      <c r="O217" s="568"/>
      <c r="P217" s="501"/>
      <c r="Q217" s="1856">
        <v>0.2</v>
      </c>
      <c r="R217" s="1865"/>
      <c r="S217" s="170"/>
      <c r="T217" s="138"/>
      <c r="U217" s="170"/>
      <c r="V217" s="170"/>
      <c r="W217" s="61"/>
      <c r="X217" s="135"/>
      <c r="Y217" s="170"/>
      <c r="Z217" s="1694"/>
      <c r="AA217" t="s">
        <v>2327</v>
      </c>
      <c r="AB217">
        <v>1</v>
      </c>
      <c r="AE217" s="2461"/>
      <c r="AF217" s="68"/>
    </row>
    <row r="218" spans="1:32" ht="60.5" x14ac:dyDescent="0.35">
      <c r="A218" s="1823">
        <v>122</v>
      </c>
      <c r="B218" s="1134">
        <v>10789</v>
      </c>
      <c r="C218" s="405" t="s">
        <v>1656</v>
      </c>
      <c r="D218" s="2464" t="s">
        <v>5124</v>
      </c>
      <c r="E218" s="2374" t="s">
        <v>9872</v>
      </c>
      <c r="F218" s="1138" t="s">
        <v>664</v>
      </c>
      <c r="G218" s="1138">
        <v>5</v>
      </c>
      <c r="H218" s="1138">
        <v>6</v>
      </c>
      <c r="I218" s="297">
        <f>J218+K218+L218</f>
        <v>0.3</v>
      </c>
      <c r="J218" s="297">
        <f>SUM(M218:R218)</f>
        <v>0.3</v>
      </c>
      <c r="K218" s="501"/>
      <c r="L218" s="501"/>
      <c r="M218" s="501"/>
      <c r="N218" s="501"/>
      <c r="O218" s="568"/>
      <c r="P218" s="501"/>
      <c r="Q218" s="1856"/>
      <c r="R218" s="1865">
        <v>0.3</v>
      </c>
      <c r="S218" s="281"/>
      <c r="T218" s="281"/>
      <c r="U218" s="281"/>
      <c r="V218" s="281"/>
      <c r="W218" s="97"/>
      <c r="X218" s="279"/>
      <c r="Y218" s="536"/>
      <c r="Z218" s="1694"/>
      <c r="AA218" t="s">
        <v>2327</v>
      </c>
      <c r="AB218">
        <v>1</v>
      </c>
      <c r="AE218" s="2461"/>
      <c r="AF218" s="68"/>
    </row>
    <row r="219" spans="1:32" ht="30" x14ac:dyDescent="0.35">
      <c r="A219" s="1823">
        <v>123</v>
      </c>
      <c r="B219" s="1024">
        <v>10790</v>
      </c>
      <c r="C219" s="1024"/>
      <c r="D219" s="358" t="s">
        <v>2311</v>
      </c>
      <c r="E219" s="288" t="s">
        <v>3194</v>
      </c>
      <c r="F219" s="1138"/>
      <c r="G219" s="1138" t="s">
        <v>191</v>
      </c>
      <c r="H219" s="2422" t="s">
        <v>191</v>
      </c>
      <c r="I219" s="501">
        <f>J219+K219+L219</f>
        <v>2.7</v>
      </c>
      <c r="J219" s="501">
        <f>SUM(M219:R219)</f>
        <v>2.7</v>
      </c>
      <c r="K219" s="503"/>
      <c r="L219" s="503"/>
      <c r="M219" s="503"/>
      <c r="N219" s="501">
        <f>SUM(N220:N221)</f>
        <v>0.75</v>
      </c>
      <c r="O219" s="570"/>
      <c r="P219" s="503"/>
      <c r="Q219" s="860"/>
      <c r="R219" s="870">
        <f>SUM(R220:R221)</f>
        <v>1.95</v>
      </c>
      <c r="S219" s="281"/>
      <c r="T219" s="281"/>
      <c r="U219" s="281"/>
      <c r="V219" s="281"/>
      <c r="W219" s="97">
        <v>3</v>
      </c>
      <c r="X219" s="279">
        <v>41.3</v>
      </c>
      <c r="Y219" s="170"/>
      <c r="Z219" s="1694"/>
      <c r="AB219">
        <v>1</v>
      </c>
      <c r="AE219" s="2461"/>
      <c r="AF219" s="68"/>
    </row>
    <row r="220" spans="1:32" x14ac:dyDescent="0.35">
      <c r="A220" s="363"/>
      <c r="B220" s="1024">
        <v>10790</v>
      </c>
      <c r="C220" s="1024"/>
      <c r="D220" s="364"/>
      <c r="E220" s="289" t="s">
        <v>782</v>
      </c>
      <c r="F220" s="1138">
        <v>5</v>
      </c>
      <c r="G220" s="1138">
        <v>5</v>
      </c>
      <c r="H220" s="2422">
        <v>6</v>
      </c>
      <c r="I220" s="502"/>
      <c r="J220" s="502"/>
      <c r="K220" s="504"/>
      <c r="L220" s="504"/>
      <c r="M220" s="504"/>
      <c r="N220" s="502">
        <v>0.75</v>
      </c>
      <c r="O220" s="571"/>
      <c r="P220" s="504"/>
      <c r="Q220" s="863"/>
      <c r="R220" s="875"/>
      <c r="S220" s="281"/>
      <c r="T220" s="281"/>
      <c r="U220" s="281"/>
      <c r="V220" s="281"/>
      <c r="W220" s="536"/>
      <c r="X220" s="281"/>
      <c r="Y220" s="170"/>
      <c r="Z220" s="1694"/>
      <c r="AE220" s="2461"/>
      <c r="AF220" s="68"/>
    </row>
    <row r="221" spans="1:32" x14ac:dyDescent="0.35">
      <c r="A221" s="363"/>
      <c r="B221" s="1024">
        <v>10790</v>
      </c>
      <c r="C221" s="1024"/>
      <c r="D221" s="364"/>
      <c r="E221" s="838" t="s">
        <v>3210</v>
      </c>
      <c r="F221" s="1138" t="s">
        <v>827</v>
      </c>
      <c r="G221" s="1138">
        <v>5</v>
      </c>
      <c r="H221" s="1138">
        <v>6</v>
      </c>
      <c r="I221" s="502"/>
      <c r="J221" s="502"/>
      <c r="K221" s="504"/>
      <c r="L221" s="504"/>
      <c r="M221" s="504"/>
      <c r="N221" s="502"/>
      <c r="O221" s="571"/>
      <c r="P221" s="504"/>
      <c r="Q221" s="863"/>
      <c r="R221" s="875">
        <v>1.95</v>
      </c>
      <c r="S221" s="281"/>
      <c r="T221" s="281"/>
      <c r="U221" s="281"/>
      <c r="V221" s="281"/>
      <c r="W221" s="536"/>
      <c r="X221" s="281"/>
      <c r="Y221" s="170"/>
      <c r="Z221" s="1694"/>
      <c r="AE221" s="2461"/>
      <c r="AF221" s="68"/>
    </row>
    <row r="222" spans="1:32" ht="30.5" x14ac:dyDescent="0.35">
      <c r="A222" s="827">
        <v>124</v>
      </c>
      <c r="B222" s="1047">
        <v>10790</v>
      </c>
      <c r="C222" s="2118" t="s">
        <v>1656</v>
      </c>
      <c r="D222" s="2464" t="s">
        <v>5125</v>
      </c>
      <c r="E222" s="511" t="s">
        <v>8607</v>
      </c>
      <c r="F222" s="1138" t="s">
        <v>827</v>
      </c>
      <c r="G222" s="1138">
        <v>5</v>
      </c>
      <c r="H222" s="1138">
        <v>6</v>
      </c>
      <c r="I222" s="501">
        <f t="shared" ref="I222:I227" si="24">J222+K222+L222</f>
        <v>0.3</v>
      </c>
      <c r="J222" s="501">
        <f t="shared" ref="J222:J227" si="25">SUM(M222:R222)</f>
        <v>0.3</v>
      </c>
      <c r="K222" s="500"/>
      <c r="L222" s="500"/>
      <c r="M222" s="500"/>
      <c r="N222" s="500"/>
      <c r="O222" s="568"/>
      <c r="P222" s="500"/>
      <c r="Q222" s="860"/>
      <c r="R222" s="870">
        <v>0.3</v>
      </c>
      <c r="S222" s="163"/>
      <c r="T222" s="537"/>
      <c r="U222" s="163"/>
      <c r="V222" s="163"/>
      <c r="W222" s="538"/>
      <c r="X222" s="539"/>
      <c r="Y222" s="163"/>
      <c r="Z222" s="1694"/>
      <c r="AB222">
        <v>1</v>
      </c>
      <c r="AE222" s="2461"/>
      <c r="AF222" s="68"/>
    </row>
    <row r="223" spans="1:32" ht="30" x14ac:dyDescent="0.35">
      <c r="A223" s="347">
        <v>125</v>
      </c>
      <c r="B223" s="1024">
        <v>10791</v>
      </c>
      <c r="C223" s="1024"/>
      <c r="D223" s="358" t="s">
        <v>1612</v>
      </c>
      <c r="E223" s="288" t="s">
        <v>1940</v>
      </c>
      <c r="F223" s="1138" t="s">
        <v>827</v>
      </c>
      <c r="G223" s="1138">
        <v>5</v>
      </c>
      <c r="H223" s="1138">
        <v>6</v>
      </c>
      <c r="I223" s="501">
        <f t="shared" si="24"/>
        <v>1.5</v>
      </c>
      <c r="J223" s="501">
        <f t="shared" si="25"/>
        <v>1.5</v>
      </c>
      <c r="K223" s="503"/>
      <c r="L223" s="503"/>
      <c r="M223" s="503"/>
      <c r="N223" s="501"/>
      <c r="O223" s="570"/>
      <c r="P223" s="503"/>
      <c r="Q223" s="860"/>
      <c r="R223" s="874">
        <v>1.5</v>
      </c>
      <c r="S223" s="281"/>
      <c r="T223" s="281"/>
      <c r="U223" s="281"/>
      <c r="V223" s="281"/>
      <c r="W223" s="97">
        <v>1</v>
      </c>
      <c r="X223" s="279">
        <v>10</v>
      </c>
      <c r="Y223" s="170"/>
      <c r="Z223" s="1694"/>
      <c r="AB223">
        <v>1</v>
      </c>
      <c r="AE223" s="2461"/>
      <c r="AF223" s="68"/>
    </row>
    <row r="224" spans="1:32" ht="30.5" x14ac:dyDescent="0.35">
      <c r="A224" s="827">
        <v>126</v>
      </c>
      <c r="B224" s="1134">
        <v>10791</v>
      </c>
      <c r="C224" s="358" t="s">
        <v>1656</v>
      </c>
      <c r="D224" s="2464" t="s">
        <v>5126</v>
      </c>
      <c r="E224" s="511" t="s">
        <v>9873</v>
      </c>
      <c r="F224" s="1138" t="s">
        <v>664</v>
      </c>
      <c r="G224" s="1138">
        <v>5</v>
      </c>
      <c r="H224" s="1138">
        <v>6</v>
      </c>
      <c r="I224" s="297">
        <f t="shared" si="24"/>
        <v>1.2</v>
      </c>
      <c r="J224" s="297">
        <f t="shared" si="25"/>
        <v>1.2</v>
      </c>
      <c r="K224" s="504"/>
      <c r="L224" s="504"/>
      <c r="M224" s="503"/>
      <c r="N224" s="503"/>
      <c r="O224" s="570"/>
      <c r="P224" s="503"/>
      <c r="Q224" s="2099"/>
      <c r="R224" s="1865">
        <v>1.2</v>
      </c>
      <c r="S224" s="281"/>
      <c r="T224" s="281"/>
      <c r="U224" s="281"/>
      <c r="V224" s="281"/>
      <c r="W224" s="536"/>
      <c r="X224" s="281"/>
      <c r="Y224" s="170"/>
      <c r="Z224" s="1694"/>
      <c r="AA224" t="s">
        <v>1842</v>
      </c>
      <c r="AB224">
        <v>1</v>
      </c>
      <c r="AE224" s="2461"/>
      <c r="AF224" s="68"/>
    </row>
    <row r="225" spans="1:32" ht="30" x14ac:dyDescent="0.35">
      <c r="A225" s="347">
        <v>127</v>
      </c>
      <c r="B225" s="1024">
        <v>10792</v>
      </c>
      <c r="C225" s="1024"/>
      <c r="D225" s="358" t="s">
        <v>973</v>
      </c>
      <c r="E225" s="288" t="s">
        <v>3211</v>
      </c>
      <c r="F225" s="1138" t="s">
        <v>1490</v>
      </c>
      <c r="G225" s="1138">
        <v>5</v>
      </c>
      <c r="H225" s="1138">
        <v>6</v>
      </c>
      <c r="I225" s="501">
        <f t="shared" si="24"/>
        <v>3.65</v>
      </c>
      <c r="J225" s="501">
        <f t="shared" si="25"/>
        <v>3.65</v>
      </c>
      <c r="K225" s="503"/>
      <c r="L225" s="503"/>
      <c r="M225" s="503"/>
      <c r="N225" s="501"/>
      <c r="O225" s="570"/>
      <c r="P225" s="503"/>
      <c r="Q225" s="860"/>
      <c r="R225" s="874">
        <v>3.65</v>
      </c>
      <c r="S225" s="281"/>
      <c r="T225" s="281"/>
      <c r="U225" s="281"/>
      <c r="V225" s="281"/>
      <c r="W225" s="536"/>
      <c r="X225" s="281"/>
      <c r="Y225" s="170"/>
      <c r="Z225" s="1694"/>
      <c r="AB225">
        <v>1</v>
      </c>
      <c r="AC225" t="s">
        <v>2570</v>
      </c>
      <c r="AE225" s="2461"/>
      <c r="AF225" s="68"/>
    </row>
    <row r="226" spans="1:32" ht="45.5" x14ac:dyDescent="0.35">
      <c r="A226" s="827">
        <v>128</v>
      </c>
      <c r="B226" s="1047">
        <v>10792</v>
      </c>
      <c r="C226" s="2118" t="s">
        <v>1656</v>
      </c>
      <c r="D226" s="2464" t="s">
        <v>5127</v>
      </c>
      <c r="E226" s="511" t="s">
        <v>9874</v>
      </c>
      <c r="F226" s="1138" t="s">
        <v>827</v>
      </c>
      <c r="G226" s="1138">
        <v>5</v>
      </c>
      <c r="H226" s="1138">
        <v>6</v>
      </c>
      <c r="I226" s="501">
        <f t="shared" si="24"/>
        <v>0.2</v>
      </c>
      <c r="J226" s="501">
        <f t="shared" si="25"/>
        <v>0.2</v>
      </c>
      <c r="K226" s="500"/>
      <c r="L226" s="500"/>
      <c r="M226" s="500"/>
      <c r="N226" s="500"/>
      <c r="O226" s="568"/>
      <c r="P226" s="500"/>
      <c r="Q226" s="860"/>
      <c r="R226" s="870">
        <v>0.2</v>
      </c>
      <c r="S226" s="163"/>
      <c r="T226" s="537"/>
      <c r="U226" s="163"/>
      <c r="V226" s="163"/>
      <c r="W226" s="538"/>
      <c r="X226" s="539"/>
      <c r="Y226" s="163"/>
      <c r="Z226" s="1694"/>
      <c r="AB226">
        <v>1</v>
      </c>
      <c r="AE226" s="2461"/>
      <c r="AF226" s="68"/>
    </row>
    <row r="227" spans="1:32" ht="30" x14ac:dyDescent="0.35">
      <c r="A227" s="347">
        <v>129</v>
      </c>
      <c r="B227" s="1024">
        <v>10793</v>
      </c>
      <c r="C227" s="1024"/>
      <c r="D227" s="358" t="s">
        <v>974</v>
      </c>
      <c r="E227" s="288" t="s">
        <v>3363</v>
      </c>
      <c r="F227" s="1138"/>
      <c r="G227" s="1138" t="s">
        <v>191</v>
      </c>
      <c r="H227" s="2422" t="s">
        <v>191</v>
      </c>
      <c r="I227" s="501">
        <f t="shared" si="24"/>
        <v>2.52</v>
      </c>
      <c r="J227" s="501">
        <f t="shared" si="25"/>
        <v>2.52</v>
      </c>
      <c r="K227" s="503"/>
      <c r="L227" s="503"/>
      <c r="M227" s="503"/>
      <c r="N227" s="501">
        <f>SUM(N228:N230)</f>
        <v>1.9</v>
      </c>
      <c r="O227" s="570"/>
      <c r="P227" s="503"/>
      <c r="Q227" s="860">
        <f>SUM(Q228:Q230)</f>
        <v>0.62</v>
      </c>
      <c r="R227" s="874"/>
      <c r="S227" s="281"/>
      <c r="T227" s="281"/>
      <c r="U227" s="281"/>
      <c r="V227" s="281"/>
      <c r="W227" s="97">
        <v>4</v>
      </c>
      <c r="X227" s="279">
        <v>48.7</v>
      </c>
      <c r="Y227" s="170">
        <v>1</v>
      </c>
      <c r="Z227" s="2982">
        <v>15</v>
      </c>
      <c r="AB227">
        <v>1</v>
      </c>
      <c r="AE227" s="2461"/>
      <c r="AF227" s="68"/>
    </row>
    <row r="228" spans="1:32" x14ac:dyDescent="0.35">
      <c r="A228" s="363"/>
      <c r="B228" s="1024">
        <v>10793</v>
      </c>
      <c r="C228" s="1024"/>
      <c r="D228" s="364"/>
      <c r="E228" s="289" t="s">
        <v>1231</v>
      </c>
      <c r="F228" s="1138">
        <v>5</v>
      </c>
      <c r="G228" s="1138">
        <v>5</v>
      </c>
      <c r="H228" s="2422">
        <v>6</v>
      </c>
      <c r="I228" s="502"/>
      <c r="J228" s="502"/>
      <c r="K228" s="504"/>
      <c r="L228" s="504"/>
      <c r="M228" s="504"/>
      <c r="N228" s="502">
        <v>0.82</v>
      </c>
      <c r="O228" s="571"/>
      <c r="P228" s="504"/>
      <c r="Q228" s="863"/>
      <c r="R228" s="875"/>
      <c r="S228" s="281"/>
      <c r="T228" s="281"/>
      <c r="U228" s="281"/>
      <c r="V228" s="281"/>
      <c r="W228" s="536"/>
      <c r="X228" s="281"/>
      <c r="Y228" s="170"/>
      <c r="Z228" s="1694"/>
      <c r="AE228" s="2461"/>
      <c r="AF228" s="68"/>
    </row>
    <row r="229" spans="1:32" x14ac:dyDescent="0.35">
      <c r="A229" s="363"/>
      <c r="B229" s="1024">
        <v>10793</v>
      </c>
      <c r="C229" s="1024"/>
      <c r="D229" s="364"/>
      <c r="E229" s="837" t="s">
        <v>2647</v>
      </c>
      <c r="F229" s="1138">
        <v>5</v>
      </c>
      <c r="G229" s="1138">
        <v>5</v>
      </c>
      <c r="H229" s="2422">
        <v>6</v>
      </c>
      <c r="I229" s="502"/>
      <c r="J229" s="502"/>
      <c r="K229" s="504"/>
      <c r="L229" s="504"/>
      <c r="M229" s="504"/>
      <c r="N229" s="502"/>
      <c r="O229" s="571"/>
      <c r="P229" s="504"/>
      <c r="Q229" s="863">
        <f>1.44-0.82</f>
        <v>0.62</v>
      </c>
      <c r="R229" s="875"/>
      <c r="S229" s="281"/>
      <c r="T229" s="281"/>
      <c r="U229" s="281"/>
      <c r="V229" s="281"/>
      <c r="W229" s="536"/>
      <c r="X229" s="281"/>
      <c r="Y229" s="170"/>
      <c r="Z229" s="1694"/>
      <c r="AE229" s="2461"/>
      <c r="AF229" s="68"/>
    </row>
    <row r="230" spans="1:32" x14ac:dyDescent="0.35">
      <c r="A230" s="363"/>
      <c r="B230" s="1024">
        <v>10793</v>
      </c>
      <c r="C230" s="1024"/>
      <c r="D230" s="364"/>
      <c r="E230" s="289" t="s">
        <v>275</v>
      </c>
      <c r="F230" s="1138">
        <v>5</v>
      </c>
      <c r="G230" s="1138">
        <v>5</v>
      </c>
      <c r="H230" s="2422">
        <v>6</v>
      </c>
      <c r="I230" s="502"/>
      <c r="J230" s="502"/>
      <c r="K230" s="504"/>
      <c r="L230" s="504"/>
      <c r="M230" s="504"/>
      <c r="N230" s="502">
        <f>2.52-1.44</f>
        <v>1.08</v>
      </c>
      <c r="O230" s="571"/>
      <c r="P230" s="504"/>
      <c r="Q230" s="863"/>
      <c r="R230" s="875"/>
      <c r="S230" s="281"/>
      <c r="T230" s="281"/>
      <c r="U230" s="281"/>
      <c r="V230" s="281"/>
      <c r="W230" s="536"/>
      <c r="X230" s="281"/>
      <c r="Y230" s="170"/>
      <c r="Z230" s="1694"/>
      <c r="AE230" s="2461"/>
      <c r="AF230" s="68"/>
    </row>
    <row r="231" spans="1:32" ht="30.5" x14ac:dyDescent="0.35">
      <c r="A231" s="1823">
        <v>130</v>
      </c>
      <c r="B231" s="1134">
        <v>10793</v>
      </c>
      <c r="C231" s="2118" t="s">
        <v>1656</v>
      </c>
      <c r="D231" s="2464" t="s">
        <v>5128</v>
      </c>
      <c r="E231" s="511" t="s">
        <v>8608</v>
      </c>
      <c r="F231" s="1138" t="s">
        <v>664</v>
      </c>
      <c r="G231" s="1138">
        <v>5</v>
      </c>
      <c r="H231" s="1138">
        <v>6</v>
      </c>
      <c r="I231" s="297">
        <f>J231+K231+L231</f>
        <v>0.7</v>
      </c>
      <c r="J231" s="297">
        <f>SUM(M231:R231)</f>
        <v>0.7</v>
      </c>
      <c r="K231" s="500"/>
      <c r="L231" s="500"/>
      <c r="M231" s="500"/>
      <c r="N231" s="500"/>
      <c r="O231" s="568"/>
      <c r="P231" s="500"/>
      <c r="Q231" s="1856"/>
      <c r="R231" s="1865">
        <v>0.7</v>
      </c>
      <c r="S231" s="163"/>
      <c r="T231" s="537"/>
      <c r="U231" s="163"/>
      <c r="V231" s="163"/>
      <c r="W231" s="538"/>
      <c r="X231" s="539"/>
      <c r="Y231" s="163"/>
      <c r="Z231" s="1694"/>
      <c r="AA231" t="s">
        <v>1842</v>
      </c>
      <c r="AB231">
        <v>1</v>
      </c>
      <c r="AE231" s="2461"/>
      <c r="AF231" s="68"/>
    </row>
    <row r="232" spans="1:32" ht="30" x14ac:dyDescent="0.35">
      <c r="A232" s="347">
        <v>131</v>
      </c>
      <c r="B232" s="1024">
        <v>10794</v>
      </c>
      <c r="C232" s="1024"/>
      <c r="D232" s="358" t="s">
        <v>471</v>
      </c>
      <c r="E232" s="511" t="s">
        <v>10698</v>
      </c>
      <c r="F232" s="1138"/>
      <c r="G232" s="1138" t="s">
        <v>191</v>
      </c>
      <c r="H232" s="2422" t="s">
        <v>191</v>
      </c>
      <c r="I232" s="501">
        <f>J232+K232+L232</f>
        <v>3.5</v>
      </c>
      <c r="J232" s="501">
        <f>SUM(M232:R232)</f>
        <v>3.5</v>
      </c>
      <c r="K232" s="503"/>
      <c r="L232" s="503"/>
      <c r="M232" s="503"/>
      <c r="N232" s="501"/>
      <c r="O232" s="570"/>
      <c r="P232" s="503"/>
      <c r="Q232" s="860">
        <f>SUM(Q233:Q234)</f>
        <v>1.78</v>
      </c>
      <c r="R232" s="870">
        <f>SUM(R233:R234)</f>
        <v>1.72</v>
      </c>
      <c r="S232" s="281"/>
      <c r="T232" s="281"/>
      <c r="U232" s="281"/>
      <c r="V232" s="281"/>
      <c r="W232" s="536"/>
      <c r="X232" s="281"/>
      <c r="Y232" s="170"/>
      <c r="Z232" s="1694"/>
      <c r="AB232">
        <v>1</v>
      </c>
      <c r="AE232" s="2461"/>
      <c r="AF232" s="68"/>
    </row>
    <row r="233" spans="1:32" x14ac:dyDescent="0.35">
      <c r="A233" s="363"/>
      <c r="B233" s="1024">
        <v>10794</v>
      </c>
      <c r="C233" s="1024"/>
      <c r="D233" s="364"/>
      <c r="E233" s="837" t="s">
        <v>3212</v>
      </c>
      <c r="F233" s="1138">
        <v>5</v>
      </c>
      <c r="G233" s="1138">
        <v>5</v>
      </c>
      <c r="H233" s="2422">
        <v>6</v>
      </c>
      <c r="I233" s="502"/>
      <c r="J233" s="502"/>
      <c r="K233" s="504"/>
      <c r="L233" s="504"/>
      <c r="M233" s="504"/>
      <c r="N233" s="502"/>
      <c r="O233" s="571"/>
      <c r="P233" s="504"/>
      <c r="Q233" s="863">
        <v>1.78</v>
      </c>
      <c r="R233" s="875"/>
      <c r="S233" s="281"/>
      <c r="T233" s="281"/>
      <c r="U233" s="281"/>
      <c r="V233" s="281"/>
      <c r="W233" s="536"/>
      <c r="X233" s="281"/>
      <c r="Y233" s="170"/>
      <c r="Z233" s="1694"/>
      <c r="AE233" s="2461"/>
      <c r="AF233" s="68"/>
    </row>
    <row r="234" spans="1:32" x14ac:dyDescent="0.35">
      <c r="A234" s="363"/>
      <c r="B234" s="1024">
        <v>10794</v>
      </c>
      <c r="C234" s="1024"/>
      <c r="D234" s="364"/>
      <c r="E234" s="838" t="s">
        <v>6944</v>
      </c>
      <c r="F234" s="1138">
        <v>5</v>
      </c>
      <c r="G234" s="1138">
        <v>5</v>
      </c>
      <c r="H234" s="1138">
        <v>6</v>
      </c>
      <c r="I234" s="502"/>
      <c r="J234" s="502"/>
      <c r="K234" s="504"/>
      <c r="L234" s="504"/>
      <c r="M234" s="504"/>
      <c r="N234" s="502"/>
      <c r="O234" s="571"/>
      <c r="P234" s="504"/>
      <c r="Q234" s="863"/>
      <c r="R234" s="875">
        <f>3.5-1.78</f>
        <v>1.72</v>
      </c>
      <c r="S234" s="281"/>
      <c r="T234" s="281"/>
      <c r="U234" s="281"/>
      <c r="V234" s="281"/>
      <c r="W234" s="536"/>
      <c r="X234" s="281"/>
      <c r="Y234" s="170"/>
      <c r="Z234" s="1694"/>
      <c r="AE234" s="2461"/>
      <c r="AF234" s="68"/>
    </row>
    <row r="235" spans="1:32" ht="45.5" x14ac:dyDescent="0.35">
      <c r="A235" s="358">
        <v>132</v>
      </c>
      <c r="B235" s="358">
        <v>10795</v>
      </c>
      <c r="C235" s="358"/>
      <c r="D235" s="358" t="s">
        <v>975</v>
      </c>
      <c r="E235" s="288" t="s">
        <v>7761</v>
      </c>
      <c r="F235" s="1138" t="s">
        <v>827</v>
      </c>
      <c r="G235" s="1138">
        <v>5</v>
      </c>
      <c r="H235" s="1138">
        <v>6</v>
      </c>
      <c r="I235" s="501">
        <f>J235+K235+L235</f>
        <v>0.4</v>
      </c>
      <c r="J235" s="501">
        <f>SUM(M235:R235)</f>
        <v>0.4</v>
      </c>
      <c r="K235" s="503"/>
      <c r="L235" s="503"/>
      <c r="M235" s="503"/>
      <c r="N235" s="501"/>
      <c r="O235" s="570"/>
      <c r="P235" s="503"/>
      <c r="Q235" s="860"/>
      <c r="R235" s="874">
        <v>0.4</v>
      </c>
      <c r="S235" s="281"/>
      <c r="T235" s="281"/>
      <c r="U235" s="281"/>
      <c r="V235" s="281"/>
      <c r="W235" s="536"/>
      <c r="X235" s="281"/>
      <c r="Y235" s="170"/>
      <c r="Z235" s="537"/>
      <c r="AB235">
        <v>1</v>
      </c>
      <c r="AE235" s="2461"/>
      <c r="AF235" s="68"/>
    </row>
    <row r="236" spans="1:32" ht="30" x14ac:dyDescent="0.4">
      <c r="A236" s="358">
        <v>133</v>
      </c>
      <c r="B236" s="358">
        <v>10799</v>
      </c>
      <c r="C236" s="366"/>
      <c r="D236" s="366" t="s">
        <v>3341</v>
      </c>
      <c r="E236" s="511" t="s">
        <v>10697</v>
      </c>
      <c r="F236" s="2425" t="s">
        <v>827</v>
      </c>
      <c r="G236" s="2425">
        <v>5</v>
      </c>
      <c r="H236" s="1138">
        <v>6</v>
      </c>
      <c r="I236" s="781">
        <f>J236+K236+L236</f>
        <v>2.4</v>
      </c>
      <c r="J236" s="781">
        <f>SUM(M236:R236)</f>
        <v>2.4</v>
      </c>
      <c r="K236" s="2126"/>
      <c r="L236" s="2126"/>
      <c r="M236" s="2126"/>
      <c r="N236" s="781"/>
      <c r="O236" s="2127"/>
      <c r="P236" s="2126"/>
      <c r="Q236" s="861"/>
      <c r="R236" s="2128">
        <v>2.4</v>
      </c>
      <c r="S236" s="2129"/>
      <c r="T236" s="2129"/>
      <c r="U236" s="2129"/>
      <c r="V236" s="2129"/>
      <c r="W236" s="2130"/>
      <c r="X236" s="2129"/>
      <c r="Y236" s="2123"/>
      <c r="Z236" s="2985"/>
      <c r="AA236" s="63"/>
      <c r="AB236">
        <v>1</v>
      </c>
      <c r="AE236" s="2461"/>
      <c r="AF236" s="68"/>
    </row>
    <row r="237" spans="1:32" ht="30" x14ac:dyDescent="0.4">
      <c r="A237" s="1823">
        <v>134</v>
      </c>
      <c r="B237" s="358">
        <v>10800</v>
      </c>
      <c r="C237" s="366"/>
      <c r="D237" s="366" t="s">
        <v>2005</v>
      </c>
      <c r="E237" s="511" t="s">
        <v>11590</v>
      </c>
      <c r="F237" s="2425" t="s">
        <v>827</v>
      </c>
      <c r="G237" s="2425">
        <v>5</v>
      </c>
      <c r="H237" s="1138">
        <v>6</v>
      </c>
      <c r="I237" s="781">
        <f>J237+K237+L237</f>
        <v>3.25</v>
      </c>
      <c r="J237" s="781">
        <f>SUM(M237:R237)</f>
        <v>3.25</v>
      </c>
      <c r="K237" s="2126"/>
      <c r="L237" s="2126"/>
      <c r="M237" s="2126"/>
      <c r="N237" s="781"/>
      <c r="O237" s="2127"/>
      <c r="P237" s="2126"/>
      <c r="Q237" s="861"/>
      <c r="R237" s="2128">
        <v>3.25</v>
      </c>
      <c r="S237" s="2129"/>
      <c r="T237" s="2129"/>
      <c r="U237" s="2129"/>
      <c r="V237" s="2129"/>
      <c r="W237" s="2130"/>
      <c r="X237" s="2129"/>
      <c r="Y237" s="2123"/>
      <c r="Z237" s="2985"/>
      <c r="AA237" s="99"/>
      <c r="AB237">
        <v>1</v>
      </c>
      <c r="AE237" s="2461"/>
      <c r="AF237" s="68"/>
    </row>
    <row r="238" spans="1:32" ht="37.5" customHeight="1" x14ac:dyDescent="0.4">
      <c r="A238" s="347"/>
      <c r="B238" s="1024" t="s">
        <v>2922</v>
      </c>
      <c r="C238" s="1024"/>
      <c r="D238" s="358"/>
      <c r="E238" s="1596" t="s">
        <v>10695</v>
      </c>
      <c r="F238" s="1138"/>
      <c r="G238" s="1138"/>
      <c r="H238" s="1138"/>
      <c r="I238" s="501"/>
      <c r="J238" s="501"/>
      <c r="K238" s="503"/>
      <c r="L238" s="503"/>
      <c r="M238" s="503"/>
      <c r="N238" s="501"/>
      <c r="O238" s="570"/>
      <c r="P238" s="503"/>
      <c r="Q238" s="860"/>
      <c r="R238" s="874"/>
      <c r="S238" s="281"/>
      <c r="T238" s="281"/>
      <c r="U238" s="281"/>
      <c r="V238" s="281"/>
      <c r="W238" s="536"/>
      <c r="X238" s="281"/>
      <c r="Y238" s="170"/>
      <c r="Z238" s="1694"/>
      <c r="AA238" s="99"/>
      <c r="AB238" s="99"/>
      <c r="AE238" s="2461"/>
      <c r="AF238" s="68"/>
    </row>
    <row r="239" spans="1:32" ht="46" x14ac:dyDescent="0.4">
      <c r="A239" s="347">
        <v>135</v>
      </c>
      <c r="B239" s="1024" t="s">
        <v>2922</v>
      </c>
      <c r="C239" s="1024"/>
      <c r="D239" s="2464" t="s">
        <v>5129</v>
      </c>
      <c r="E239" s="511" t="s">
        <v>10983</v>
      </c>
      <c r="F239" s="1138">
        <v>5</v>
      </c>
      <c r="G239" s="1138">
        <v>4</v>
      </c>
      <c r="H239" s="2422">
        <v>6</v>
      </c>
      <c r="I239" s="501">
        <f t="shared" ref="I239:I245" si="26">J239+K239+L239</f>
        <v>1.9</v>
      </c>
      <c r="J239" s="501">
        <f t="shared" ref="J239:J245" si="27">SUM(M239:R239)</f>
        <v>1.9</v>
      </c>
      <c r="K239" s="501"/>
      <c r="L239" s="501"/>
      <c r="M239" s="501"/>
      <c r="N239" s="501">
        <v>1.9</v>
      </c>
      <c r="O239" s="568"/>
      <c r="P239" s="501"/>
      <c r="Q239" s="860"/>
      <c r="R239" s="870"/>
      <c r="S239" s="170"/>
      <c r="T239" s="138"/>
      <c r="U239" s="170"/>
      <c r="V239" s="170"/>
      <c r="W239" s="97">
        <v>7</v>
      </c>
      <c r="X239" s="279">
        <v>98.1</v>
      </c>
      <c r="Y239" s="170">
        <v>2</v>
      </c>
      <c r="Z239" s="2982">
        <v>20</v>
      </c>
      <c r="AA239" s="63"/>
      <c r="AB239">
        <v>1</v>
      </c>
      <c r="AE239" s="2461"/>
      <c r="AF239" s="68"/>
    </row>
    <row r="240" spans="1:32" ht="60.5" x14ac:dyDescent="0.35">
      <c r="A240" s="2125">
        <v>136</v>
      </c>
      <c r="B240" s="2120" t="s">
        <v>2922</v>
      </c>
      <c r="C240" s="2118" t="s">
        <v>1656</v>
      </c>
      <c r="D240" s="2464" t="s">
        <v>5130</v>
      </c>
      <c r="E240" s="2383" t="s">
        <v>10984</v>
      </c>
      <c r="F240" s="2742" t="s">
        <v>664</v>
      </c>
      <c r="G240" s="2742">
        <v>5</v>
      </c>
      <c r="H240" s="1138">
        <v>6</v>
      </c>
      <c r="I240" s="2102">
        <f t="shared" si="26"/>
        <v>0.36</v>
      </c>
      <c r="J240" s="2102">
        <f t="shared" si="27"/>
        <v>0.36</v>
      </c>
      <c r="K240" s="622"/>
      <c r="L240" s="622"/>
      <c r="M240" s="622"/>
      <c r="N240" s="622"/>
      <c r="O240" s="622"/>
      <c r="P240" s="622"/>
      <c r="Q240" s="2085"/>
      <c r="R240" s="906">
        <v>0.36</v>
      </c>
      <c r="S240" s="2115"/>
      <c r="T240" s="2115"/>
      <c r="U240" s="2115"/>
      <c r="V240" s="2115"/>
      <c r="W240" s="2339"/>
      <c r="X240" s="2339"/>
      <c r="Y240" s="2339"/>
      <c r="Z240" s="2983"/>
      <c r="AB240">
        <v>1</v>
      </c>
      <c r="AE240" s="2461"/>
      <c r="AF240" s="68"/>
    </row>
    <row r="241" spans="1:32" ht="46" x14ac:dyDescent="0.4">
      <c r="A241" s="347">
        <v>137</v>
      </c>
      <c r="B241" s="1024" t="s">
        <v>2922</v>
      </c>
      <c r="C241" s="1024"/>
      <c r="D241" s="2464" t="s">
        <v>5131</v>
      </c>
      <c r="E241" s="511" t="s">
        <v>10985</v>
      </c>
      <c r="F241" s="1138">
        <v>4</v>
      </c>
      <c r="G241" s="1138">
        <v>5</v>
      </c>
      <c r="H241" s="2422">
        <v>6</v>
      </c>
      <c r="I241" s="501">
        <f t="shared" si="26"/>
        <v>0.47</v>
      </c>
      <c r="J241" s="501">
        <f t="shared" si="27"/>
        <v>0.47</v>
      </c>
      <c r="K241" s="501"/>
      <c r="L241" s="501"/>
      <c r="M241" s="501"/>
      <c r="N241" s="501">
        <v>0.47</v>
      </c>
      <c r="O241" s="568"/>
      <c r="P241" s="501"/>
      <c r="Q241" s="860"/>
      <c r="R241" s="870"/>
      <c r="S241" s="170"/>
      <c r="T241" s="138"/>
      <c r="U241" s="170"/>
      <c r="V241" s="170"/>
      <c r="W241" s="97">
        <v>2</v>
      </c>
      <c r="X241" s="279">
        <v>20.2</v>
      </c>
      <c r="Y241" s="170"/>
      <c r="Z241" s="1694"/>
      <c r="AA241" s="63"/>
      <c r="AB241">
        <v>1</v>
      </c>
      <c r="AE241" s="2461"/>
      <c r="AF241" s="68"/>
    </row>
    <row r="242" spans="1:32" ht="45.5" x14ac:dyDescent="0.35">
      <c r="A242" s="2125">
        <v>138</v>
      </c>
      <c r="B242" s="2120" t="s">
        <v>2922</v>
      </c>
      <c r="C242" s="2118" t="s">
        <v>1656</v>
      </c>
      <c r="D242" s="2464" t="s">
        <v>5132</v>
      </c>
      <c r="E242" s="2383" t="s">
        <v>10986</v>
      </c>
      <c r="F242" s="2742" t="s">
        <v>664</v>
      </c>
      <c r="G242" s="2742">
        <v>5</v>
      </c>
      <c r="H242" s="1138">
        <v>6</v>
      </c>
      <c r="I242" s="2102">
        <f t="shared" si="26"/>
        <v>0.7</v>
      </c>
      <c r="J242" s="2102">
        <f t="shared" si="27"/>
        <v>0.7</v>
      </c>
      <c r="K242" s="622"/>
      <c r="L242" s="622"/>
      <c r="M242" s="622"/>
      <c r="N242" s="622"/>
      <c r="O242" s="622"/>
      <c r="P242" s="622"/>
      <c r="Q242" s="2085"/>
      <c r="R242" s="906">
        <v>0.7</v>
      </c>
      <c r="S242" s="2115"/>
      <c r="T242" s="2115"/>
      <c r="U242" s="2115"/>
      <c r="V242" s="2115"/>
      <c r="W242" s="2339"/>
      <c r="X242" s="2339"/>
      <c r="Y242" s="2339"/>
      <c r="Z242" s="2983"/>
      <c r="AB242">
        <v>1</v>
      </c>
      <c r="AE242" s="2461"/>
      <c r="AF242" s="68"/>
    </row>
    <row r="243" spans="1:32" ht="60.5" x14ac:dyDescent="0.35">
      <c r="A243" s="347">
        <v>139</v>
      </c>
      <c r="B243" s="1134" t="s">
        <v>2922</v>
      </c>
      <c r="C243" s="2118" t="s">
        <v>1656</v>
      </c>
      <c r="D243" s="2464" t="s">
        <v>5133</v>
      </c>
      <c r="E243" s="2383" t="s">
        <v>10987</v>
      </c>
      <c r="F243" s="2742" t="s">
        <v>664</v>
      </c>
      <c r="G243" s="1138">
        <v>5</v>
      </c>
      <c r="H243" s="1138">
        <v>6</v>
      </c>
      <c r="I243" s="297">
        <f t="shared" si="26"/>
        <v>0.08</v>
      </c>
      <c r="J243" s="297">
        <f t="shared" si="27"/>
        <v>0.08</v>
      </c>
      <c r="K243" s="622"/>
      <c r="L243" s="622"/>
      <c r="M243" s="622"/>
      <c r="N243" s="622"/>
      <c r="O243" s="622"/>
      <c r="P243" s="622"/>
      <c r="Q243" s="2085"/>
      <c r="R243" s="906">
        <v>0.08</v>
      </c>
      <c r="S243" s="2115"/>
      <c r="T243" s="2115"/>
      <c r="U243" s="2115"/>
      <c r="V243" s="2115"/>
      <c r="W243" s="2339"/>
      <c r="X243" s="2339"/>
      <c r="Y243" s="2339"/>
      <c r="Z243" s="2983"/>
      <c r="AA243" t="s">
        <v>1842</v>
      </c>
      <c r="AB243">
        <v>1</v>
      </c>
      <c r="AE243" s="2461"/>
      <c r="AF243" s="68"/>
    </row>
    <row r="244" spans="1:32" ht="60.5" x14ac:dyDescent="0.35">
      <c r="A244" s="2125">
        <v>140</v>
      </c>
      <c r="B244" s="1134" t="s">
        <v>2922</v>
      </c>
      <c r="C244" s="405" t="s">
        <v>1656</v>
      </c>
      <c r="D244" s="2464" t="s">
        <v>5134</v>
      </c>
      <c r="E244" s="2374" t="s">
        <v>10989</v>
      </c>
      <c r="F244" s="1138" t="s">
        <v>664</v>
      </c>
      <c r="G244" s="1138">
        <v>5</v>
      </c>
      <c r="H244" s="1138">
        <v>6</v>
      </c>
      <c r="I244" s="297">
        <f t="shared" si="26"/>
        <v>3.2</v>
      </c>
      <c r="J244" s="297">
        <f t="shared" si="27"/>
        <v>3.2</v>
      </c>
      <c r="K244" s="502"/>
      <c r="L244" s="502"/>
      <c r="M244" s="501"/>
      <c r="N244" s="501"/>
      <c r="O244" s="568"/>
      <c r="P244" s="501"/>
      <c r="Q244" s="1856"/>
      <c r="R244" s="1865">
        <v>3.2</v>
      </c>
      <c r="S244" s="281"/>
      <c r="T244" s="281"/>
      <c r="U244" s="281"/>
      <c r="V244" s="281"/>
      <c r="W244" s="97"/>
      <c r="X244" s="95"/>
      <c r="Y244" s="170"/>
      <c r="Z244" s="1694"/>
      <c r="AA244" s="1778" t="s">
        <v>2327</v>
      </c>
      <c r="AB244">
        <v>1</v>
      </c>
      <c r="AE244" s="2461"/>
      <c r="AF244" s="68"/>
    </row>
    <row r="245" spans="1:32" ht="60.5" x14ac:dyDescent="0.35">
      <c r="A245" s="347">
        <v>141</v>
      </c>
      <c r="B245" s="1134" t="s">
        <v>2922</v>
      </c>
      <c r="C245" s="828" t="s">
        <v>1656</v>
      </c>
      <c r="D245" s="2464" t="s">
        <v>5135</v>
      </c>
      <c r="E245" s="2374" t="s">
        <v>10988</v>
      </c>
      <c r="F245" s="1138" t="s">
        <v>664</v>
      </c>
      <c r="G245" s="1138">
        <v>5</v>
      </c>
      <c r="H245" s="1138">
        <v>6</v>
      </c>
      <c r="I245" s="297">
        <f t="shared" si="26"/>
        <v>0.55000000000000004</v>
      </c>
      <c r="J245" s="297">
        <f t="shared" si="27"/>
        <v>0.55000000000000004</v>
      </c>
      <c r="K245" s="831"/>
      <c r="L245" s="831"/>
      <c r="M245" s="500"/>
      <c r="N245" s="500"/>
      <c r="O245" s="568"/>
      <c r="P245" s="500"/>
      <c r="Q245" s="1856"/>
      <c r="R245" s="1865">
        <v>0.55000000000000004</v>
      </c>
      <c r="S245" s="163"/>
      <c r="T245" s="537"/>
      <c r="U245" s="163"/>
      <c r="V245" s="163"/>
      <c r="W245" s="538"/>
      <c r="X245" s="539"/>
      <c r="Y245" s="163"/>
      <c r="Z245" s="1694"/>
      <c r="AA245" t="s">
        <v>2327</v>
      </c>
      <c r="AB245">
        <v>1</v>
      </c>
      <c r="AE245" s="2461"/>
      <c r="AF245" s="68"/>
    </row>
    <row r="246" spans="1:32" ht="46" x14ac:dyDescent="0.4">
      <c r="A246" s="827"/>
      <c r="B246" s="1024" t="s">
        <v>2923</v>
      </c>
      <c r="C246" s="1024"/>
      <c r="D246" s="828"/>
      <c r="E246" s="1596" t="s">
        <v>718</v>
      </c>
      <c r="F246" s="1138"/>
      <c r="G246" s="1138"/>
      <c r="H246" s="1138"/>
      <c r="I246" s="501"/>
      <c r="J246" s="501"/>
      <c r="K246" s="500"/>
      <c r="L246" s="500"/>
      <c r="M246" s="500"/>
      <c r="N246" s="500"/>
      <c r="O246" s="568"/>
      <c r="P246" s="500"/>
      <c r="Q246" s="860"/>
      <c r="R246" s="870"/>
      <c r="S246" s="163"/>
      <c r="T246" s="537"/>
      <c r="U246" s="163"/>
      <c r="V246" s="163"/>
      <c r="W246" s="538"/>
      <c r="X246" s="539"/>
      <c r="Y246" s="163"/>
      <c r="Z246" s="1694"/>
      <c r="AA246" s="99"/>
      <c r="AB246" s="99"/>
      <c r="AE246" s="2461"/>
      <c r="AF246" s="68"/>
    </row>
    <row r="247" spans="1:32" ht="61" x14ac:dyDescent="0.4">
      <c r="A247" s="358">
        <v>142</v>
      </c>
      <c r="B247" s="358" t="s">
        <v>2923</v>
      </c>
      <c r="C247" s="358"/>
      <c r="D247" s="2464" t="s">
        <v>5136</v>
      </c>
      <c r="E247" s="288" t="s">
        <v>9190</v>
      </c>
      <c r="F247" s="1138" t="s">
        <v>827</v>
      </c>
      <c r="G247" s="1138">
        <v>5</v>
      </c>
      <c r="H247" s="1138">
        <v>6</v>
      </c>
      <c r="I247" s="501">
        <f>J247+K247+L247</f>
        <v>1.2</v>
      </c>
      <c r="J247" s="501">
        <f>SUM(M247:R247)</f>
        <v>1.2</v>
      </c>
      <c r="K247" s="503"/>
      <c r="L247" s="503"/>
      <c r="M247" s="503"/>
      <c r="N247" s="501"/>
      <c r="O247" s="570"/>
      <c r="P247" s="503"/>
      <c r="Q247" s="860"/>
      <c r="R247" s="874">
        <v>1.2</v>
      </c>
      <c r="S247" s="281"/>
      <c r="T247" s="281"/>
      <c r="U247" s="281"/>
      <c r="V247" s="281"/>
      <c r="W247" s="536"/>
      <c r="X247" s="281"/>
      <c r="Y247" s="170"/>
      <c r="Z247" s="537"/>
      <c r="AA247" s="99"/>
      <c r="AB247">
        <v>1</v>
      </c>
      <c r="AE247" s="2461"/>
      <c r="AF247" s="68"/>
    </row>
    <row r="248" spans="1:32" ht="46" x14ac:dyDescent="0.4">
      <c r="A248" s="358">
        <v>143</v>
      </c>
      <c r="B248" s="358" t="s">
        <v>2923</v>
      </c>
      <c r="C248" s="358"/>
      <c r="D248" s="2464" t="s">
        <v>5137</v>
      </c>
      <c r="E248" s="288" t="s">
        <v>7762</v>
      </c>
      <c r="F248" s="1138" t="s">
        <v>664</v>
      </c>
      <c r="G248" s="1138">
        <v>5</v>
      </c>
      <c r="H248" s="1138">
        <v>6</v>
      </c>
      <c r="I248" s="501">
        <f>J248+K248+L248</f>
        <v>2.7</v>
      </c>
      <c r="J248" s="501">
        <f>SUM(M248:R248)</f>
        <v>2.7</v>
      </c>
      <c r="K248" s="503"/>
      <c r="L248" s="503"/>
      <c r="M248" s="503"/>
      <c r="N248" s="503"/>
      <c r="O248" s="570"/>
      <c r="P248" s="503"/>
      <c r="Q248" s="864"/>
      <c r="R248" s="870">
        <v>2.7</v>
      </c>
      <c r="S248" s="281"/>
      <c r="T248" s="281"/>
      <c r="U248" s="281"/>
      <c r="V248" s="281"/>
      <c r="W248" s="97">
        <v>1</v>
      </c>
      <c r="X248" s="279">
        <v>11.7</v>
      </c>
      <c r="Y248" s="170"/>
      <c r="Z248" s="537"/>
      <c r="AA248" s="99"/>
      <c r="AB248">
        <v>1</v>
      </c>
      <c r="AE248" s="2461"/>
      <c r="AF248" s="68"/>
    </row>
    <row r="249" spans="1:32" ht="45.5" x14ac:dyDescent="0.35">
      <c r="A249" s="358">
        <v>144</v>
      </c>
      <c r="B249" s="358" t="s">
        <v>2923</v>
      </c>
      <c r="C249" s="358"/>
      <c r="D249" s="2464" t="s">
        <v>5138</v>
      </c>
      <c r="E249" s="511" t="s">
        <v>9359</v>
      </c>
      <c r="F249" s="1138">
        <v>4</v>
      </c>
      <c r="G249" s="1138">
        <v>4</v>
      </c>
      <c r="H249" s="2422">
        <v>6</v>
      </c>
      <c r="I249" s="501">
        <f>J249+K249+L249</f>
        <v>0.74</v>
      </c>
      <c r="J249" s="501">
        <f>SUM(M249:R249)</f>
        <v>0.74</v>
      </c>
      <c r="K249" s="501"/>
      <c r="L249" s="501"/>
      <c r="M249" s="501"/>
      <c r="N249" s="501">
        <v>0.74</v>
      </c>
      <c r="O249" s="568"/>
      <c r="P249" s="501"/>
      <c r="Q249" s="860"/>
      <c r="R249" s="870"/>
      <c r="S249" s="61">
        <v>1</v>
      </c>
      <c r="T249" s="135">
        <v>18.399999999999999</v>
      </c>
      <c r="U249" s="170"/>
      <c r="V249" s="170"/>
      <c r="W249" s="170"/>
      <c r="X249" s="138"/>
      <c r="Y249" s="170"/>
      <c r="Z249" s="537"/>
      <c r="AB249">
        <v>1</v>
      </c>
      <c r="AE249" s="2461"/>
      <c r="AF249" s="68"/>
    </row>
    <row r="250" spans="1:32" ht="45.5" x14ac:dyDescent="0.35">
      <c r="A250" s="358">
        <v>145</v>
      </c>
      <c r="B250" s="358" t="s">
        <v>2923</v>
      </c>
      <c r="C250" s="358"/>
      <c r="D250" s="2464" t="s">
        <v>6945</v>
      </c>
      <c r="E250" s="511" t="s">
        <v>9876</v>
      </c>
      <c r="F250" s="1138">
        <v>5</v>
      </c>
      <c r="G250" s="1138">
        <v>5</v>
      </c>
      <c r="H250" s="2422">
        <v>6</v>
      </c>
      <c r="I250" s="501">
        <f>J250+K250+L250</f>
        <v>1.44</v>
      </c>
      <c r="J250" s="501">
        <f>SUM(M250:R250)</f>
        <v>1.44</v>
      </c>
      <c r="K250" s="501"/>
      <c r="L250" s="501"/>
      <c r="M250" s="501"/>
      <c r="N250" s="501">
        <v>1.44</v>
      </c>
      <c r="O250" s="568"/>
      <c r="P250" s="501"/>
      <c r="Q250" s="860"/>
      <c r="R250" s="870"/>
      <c r="S250" s="170"/>
      <c r="T250" s="138"/>
      <c r="U250" s="170"/>
      <c r="V250" s="170"/>
      <c r="W250" s="2981">
        <v>0</v>
      </c>
      <c r="X250" s="2443">
        <v>0</v>
      </c>
      <c r="Y250" s="2680">
        <v>0</v>
      </c>
      <c r="Z250" s="2681">
        <v>0</v>
      </c>
      <c r="AB250">
        <v>1</v>
      </c>
      <c r="AE250" s="2461"/>
      <c r="AF250" s="68"/>
    </row>
    <row r="251" spans="1:32" ht="46.5" x14ac:dyDescent="0.35">
      <c r="A251" s="358"/>
      <c r="B251" s="358"/>
      <c r="C251" s="358"/>
      <c r="D251" s="358"/>
      <c r="E251" s="289" t="s">
        <v>9883</v>
      </c>
      <c r="F251" s="1138"/>
      <c r="G251" s="1138" t="s">
        <v>191</v>
      </c>
      <c r="H251" s="1138" t="s">
        <v>191</v>
      </c>
      <c r="I251" s="501"/>
      <c r="J251" s="501"/>
      <c r="K251" s="501"/>
      <c r="L251" s="501"/>
      <c r="M251" s="501"/>
      <c r="N251" s="501"/>
      <c r="O251" s="568"/>
      <c r="P251" s="501"/>
      <c r="Q251" s="860"/>
      <c r="R251" s="870"/>
      <c r="S251" s="170"/>
      <c r="T251" s="138"/>
      <c r="U251" s="170"/>
      <c r="V251" s="170"/>
      <c r="W251" s="97"/>
      <c r="X251" s="279"/>
      <c r="Y251" s="170"/>
      <c r="Z251" s="537"/>
      <c r="AE251" s="2461"/>
      <c r="AF251" s="68"/>
    </row>
    <row r="252" spans="1:32" ht="60.5" x14ac:dyDescent="0.35">
      <c r="A252" s="358">
        <v>146</v>
      </c>
      <c r="B252" s="358" t="s">
        <v>2923</v>
      </c>
      <c r="C252" s="358"/>
      <c r="D252" s="2464" t="s">
        <v>5139</v>
      </c>
      <c r="E252" s="511" t="s">
        <v>9875</v>
      </c>
      <c r="F252" s="1138">
        <v>5</v>
      </c>
      <c r="G252" s="1138">
        <v>5</v>
      </c>
      <c r="H252" s="2422">
        <v>6</v>
      </c>
      <c r="I252" s="501">
        <f>J252+K252+L252</f>
        <v>1.35</v>
      </c>
      <c r="J252" s="501">
        <f>SUM(M252:R252)</f>
        <v>1.35</v>
      </c>
      <c r="K252" s="501"/>
      <c r="L252" s="501"/>
      <c r="M252" s="501"/>
      <c r="N252" s="501"/>
      <c r="O252" s="568"/>
      <c r="P252" s="501"/>
      <c r="Q252" s="860">
        <v>1.35</v>
      </c>
      <c r="R252" s="870"/>
      <c r="S252" s="170"/>
      <c r="T252" s="138"/>
      <c r="U252" s="170"/>
      <c r="V252" s="170"/>
      <c r="W252" s="2981">
        <v>3</v>
      </c>
      <c r="X252" s="2443">
        <v>35.5</v>
      </c>
      <c r="Y252" s="2680">
        <v>2</v>
      </c>
      <c r="Z252" s="2681">
        <v>20.399999999999999</v>
      </c>
      <c r="AB252">
        <v>1</v>
      </c>
      <c r="AE252" s="2461"/>
      <c r="AF252" s="68"/>
    </row>
    <row r="253" spans="1:32" ht="45.5" x14ac:dyDescent="0.35">
      <c r="A253" s="358">
        <v>147</v>
      </c>
      <c r="B253" s="358" t="s">
        <v>2923</v>
      </c>
      <c r="C253" s="358"/>
      <c r="D253" s="2464" t="s">
        <v>5140</v>
      </c>
      <c r="E253" s="288" t="s">
        <v>7763</v>
      </c>
      <c r="F253" s="1138"/>
      <c r="G253" s="1138" t="s">
        <v>191</v>
      </c>
      <c r="H253" s="2422" t="s">
        <v>191</v>
      </c>
      <c r="I253" s="501">
        <f>J253+K253+L253</f>
        <v>3.07</v>
      </c>
      <c r="J253" s="501">
        <f>SUM(M253:R253)</f>
        <v>3.07</v>
      </c>
      <c r="K253" s="501"/>
      <c r="L253" s="501"/>
      <c r="M253" s="501"/>
      <c r="N253" s="501">
        <f>SUM(N254:N255)</f>
        <v>0.67</v>
      </c>
      <c r="O253" s="568"/>
      <c r="P253" s="501"/>
      <c r="Q253" s="860">
        <f>SUM(Q254:Q255)</f>
        <v>2.4</v>
      </c>
      <c r="R253" s="870"/>
      <c r="S253" s="170"/>
      <c r="T253" s="138"/>
      <c r="U253" s="170"/>
      <c r="V253" s="170"/>
      <c r="W253" s="97">
        <v>8</v>
      </c>
      <c r="X253" s="279">
        <v>98.6</v>
      </c>
      <c r="Y253" s="170"/>
      <c r="Z253" s="537"/>
      <c r="AB253">
        <v>1</v>
      </c>
      <c r="AE253" s="2461"/>
      <c r="AF253" s="68"/>
    </row>
    <row r="254" spans="1:32" x14ac:dyDescent="0.35">
      <c r="A254" s="360"/>
      <c r="B254" s="358" t="s">
        <v>2923</v>
      </c>
      <c r="C254" s="358"/>
      <c r="D254" s="360"/>
      <c r="E254" s="289" t="s">
        <v>1134</v>
      </c>
      <c r="F254" s="1138">
        <v>4</v>
      </c>
      <c r="G254" s="1138">
        <v>5</v>
      </c>
      <c r="H254" s="2422">
        <v>6</v>
      </c>
      <c r="I254" s="502"/>
      <c r="J254" s="502"/>
      <c r="K254" s="502"/>
      <c r="L254" s="502"/>
      <c r="M254" s="502"/>
      <c r="N254" s="502">
        <v>0.67</v>
      </c>
      <c r="O254" s="569"/>
      <c r="P254" s="502"/>
      <c r="Q254" s="863"/>
      <c r="R254" s="873"/>
      <c r="S254" s="170"/>
      <c r="T254" s="138"/>
      <c r="U254" s="170"/>
      <c r="V254" s="170"/>
      <c r="W254" s="61"/>
      <c r="X254" s="135"/>
      <c r="Y254" s="170"/>
      <c r="Z254" s="537"/>
      <c r="AE254" s="2461"/>
      <c r="AF254" s="68"/>
    </row>
    <row r="255" spans="1:32" x14ac:dyDescent="0.35">
      <c r="A255" s="360"/>
      <c r="B255" s="358" t="s">
        <v>2923</v>
      </c>
      <c r="C255" s="358"/>
      <c r="D255" s="360"/>
      <c r="E255" s="837" t="s">
        <v>6946</v>
      </c>
      <c r="F255" s="1138">
        <v>4</v>
      </c>
      <c r="G255" s="1138">
        <v>5</v>
      </c>
      <c r="H255" s="2422">
        <v>6</v>
      </c>
      <c r="I255" s="502"/>
      <c r="J255" s="502"/>
      <c r="K255" s="502"/>
      <c r="L255" s="502"/>
      <c r="M255" s="502"/>
      <c r="N255" s="502"/>
      <c r="O255" s="569"/>
      <c r="P255" s="502"/>
      <c r="Q255" s="863">
        <f>3.07-0.67</f>
        <v>2.4</v>
      </c>
      <c r="R255" s="873"/>
      <c r="S255" s="170"/>
      <c r="T255" s="138"/>
      <c r="U255" s="170"/>
      <c r="V255" s="170"/>
      <c r="W255" s="61"/>
      <c r="X255" s="135"/>
      <c r="Y255" s="170"/>
      <c r="Z255" s="537"/>
      <c r="AE255" s="2461"/>
      <c r="AF255" s="68"/>
    </row>
    <row r="256" spans="1:32" ht="60.5" x14ac:dyDescent="0.35">
      <c r="A256" s="358">
        <v>148</v>
      </c>
      <c r="B256" s="358" t="s">
        <v>2923</v>
      </c>
      <c r="C256" s="358"/>
      <c r="D256" s="2464" t="s">
        <v>10696</v>
      </c>
      <c r="E256" s="511" t="s">
        <v>7764</v>
      </c>
      <c r="F256" s="1138">
        <v>4</v>
      </c>
      <c r="G256" s="1138">
        <v>5</v>
      </c>
      <c r="H256" s="2422">
        <v>6</v>
      </c>
      <c r="I256" s="501">
        <f>J256+K256+L256</f>
        <v>0.7</v>
      </c>
      <c r="J256" s="501">
        <f>SUM(M256:R256)</f>
        <v>0.7</v>
      </c>
      <c r="K256" s="501"/>
      <c r="L256" s="501"/>
      <c r="M256" s="501"/>
      <c r="N256" s="501"/>
      <c r="O256" s="568"/>
      <c r="P256" s="501"/>
      <c r="Q256" s="860">
        <v>0.7</v>
      </c>
      <c r="R256" s="870"/>
      <c r="S256" s="170"/>
      <c r="T256" s="138"/>
      <c r="U256" s="170"/>
      <c r="V256" s="170"/>
      <c r="W256" s="97"/>
      <c r="X256" s="279"/>
      <c r="Y256" s="170"/>
      <c r="Z256" s="537"/>
      <c r="AB256">
        <v>1</v>
      </c>
      <c r="AE256" s="2461"/>
      <c r="AF256" s="68"/>
    </row>
    <row r="257" spans="1:32" ht="60.5" x14ac:dyDescent="0.35">
      <c r="A257" s="358">
        <v>149</v>
      </c>
      <c r="B257" s="358" t="s">
        <v>2923</v>
      </c>
      <c r="C257" s="358"/>
      <c r="D257" s="2464" t="s">
        <v>6947</v>
      </c>
      <c r="E257" s="511" t="s">
        <v>7765</v>
      </c>
      <c r="F257" s="1138">
        <v>4</v>
      </c>
      <c r="G257" s="1138">
        <v>5</v>
      </c>
      <c r="H257" s="2422">
        <v>6</v>
      </c>
      <c r="I257" s="501">
        <f>J257+K257+L257</f>
        <v>0.76</v>
      </c>
      <c r="J257" s="501">
        <f>SUM(M257:R257)</f>
        <v>0.76</v>
      </c>
      <c r="K257" s="501"/>
      <c r="L257" s="501"/>
      <c r="M257" s="501"/>
      <c r="N257" s="501"/>
      <c r="O257" s="568"/>
      <c r="P257" s="501"/>
      <c r="Q257" s="860">
        <v>0.76</v>
      </c>
      <c r="R257" s="870"/>
      <c r="S257" s="170"/>
      <c r="T257" s="138"/>
      <c r="U257" s="170"/>
      <c r="V257" s="170"/>
      <c r="W257" s="97"/>
      <c r="X257" s="279"/>
      <c r="Y257" s="170"/>
      <c r="Z257" s="537"/>
      <c r="AB257">
        <v>1</v>
      </c>
      <c r="AE257" s="2461"/>
      <c r="AF257" s="68"/>
    </row>
    <row r="258" spans="1:32" ht="60.5" x14ac:dyDescent="0.35">
      <c r="A258" s="2118">
        <v>150</v>
      </c>
      <c r="B258" s="2118" t="s">
        <v>2923</v>
      </c>
      <c r="C258" s="2118" t="s">
        <v>1656</v>
      </c>
      <c r="D258" s="2464" t="s">
        <v>5141</v>
      </c>
      <c r="E258" s="2383" t="s">
        <v>8609</v>
      </c>
      <c r="F258" s="2742" t="s">
        <v>664</v>
      </c>
      <c r="G258" s="2742">
        <v>5</v>
      </c>
      <c r="H258" s="1138">
        <v>6</v>
      </c>
      <c r="I258" s="2102">
        <f>J258+K258+L258</f>
        <v>0.4</v>
      </c>
      <c r="J258" s="2102">
        <f>SUM(M258:R258)</f>
        <v>0.4</v>
      </c>
      <c r="K258" s="622"/>
      <c r="L258" s="622"/>
      <c r="M258" s="622"/>
      <c r="N258" s="622"/>
      <c r="O258" s="622"/>
      <c r="P258" s="622"/>
      <c r="Q258" s="2085"/>
      <c r="R258" s="906">
        <v>0.4</v>
      </c>
      <c r="S258" s="2115"/>
      <c r="T258" s="2115"/>
      <c r="U258" s="2115"/>
      <c r="V258" s="2115"/>
      <c r="W258" s="2339"/>
      <c r="X258" s="2339"/>
      <c r="Y258" s="2339"/>
      <c r="Z258" s="2339"/>
      <c r="AB258">
        <v>1</v>
      </c>
      <c r="AE258" s="2461"/>
      <c r="AF258" s="68"/>
    </row>
    <row r="259" spans="1:32" ht="45.5" x14ac:dyDescent="0.35">
      <c r="A259" s="358">
        <v>151</v>
      </c>
      <c r="B259" s="358" t="s">
        <v>2923</v>
      </c>
      <c r="C259" s="358"/>
      <c r="D259" s="2464" t="s">
        <v>5142</v>
      </c>
      <c r="E259" s="288" t="s">
        <v>7766</v>
      </c>
      <c r="F259" s="1138"/>
      <c r="G259" s="1138" t="s">
        <v>191</v>
      </c>
      <c r="H259" s="2422" t="s">
        <v>191</v>
      </c>
      <c r="I259" s="501">
        <f>J259+K259+L259</f>
        <v>1.29</v>
      </c>
      <c r="J259" s="501">
        <f>SUM(M259:R259)</f>
        <v>1.29</v>
      </c>
      <c r="K259" s="501"/>
      <c r="L259" s="501"/>
      <c r="M259" s="501"/>
      <c r="N259" s="501">
        <v>0.02</v>
      </c>
      <c r="O259" s="568"/>
      <c r="P259" s="501"/>
      <c r="Q259" s="860">
        <v>1.27</v>
      </c>
      <c r="R259" s="870"/>
      <c r="S259" s="170"/>
      <c r="T259" s="138"/>
      <c r="U259" s="170"/>
      <c r="V259" s="170"/>
      <c r="W259" s="97">
        <v>3</v>
      </c>
      <c r="X259" s="279">
        <v>31.2</v>
      </c>
      <c r="Y259" s="170"/>
      <c r="Z259" s="537"/>
      <c r="AB259">
        <v>1</v>
      </c>
      <c r="AE259" s="2461"/>
      <c r="AF259" s="68"/>
    </row>
    <row r="260" spans="1:32" x14ac:dyDescent="0.35">
      <c r="A260" s="360"/>
      <c r="B260" s="358" t="s">
        <v>2923</v>
      </c>
      <c r="C260" s="358"/>
      <c r="D260" s="360"/>
      <c r="E260" s="534" t="s">
        <v>3209</v>
      </c>
      <c r="F260" s="1138">
        <v>5</v>
      </c>
      <c r="G260" s="1138">
        <v>5</v>
      </c>
      <c r="H260" s="2422">
        <v>6</v>
      </c>
      <c r="I260" s="502"/>
      <c r="J260" s="502"/>
      <c r="K260" s="502"/>
      <c r="L260" s="502"/>
      <c r="M260" s="502"/>
      <c r="N260" s="502">
        <v>0.02</v>
      </c>
      <c r="O260" s="569"/>
      <c r="P260" s="502"/>
      <c r="Q260" s="863"/>
      <c r="R260" s="873"/>
      <c r="S260" s="170"/>
      <c r="T260" s="138"/>
      <c r="U260" s="170"/>
      <c r="V260" s="170"/>
      <c r="W260" s="61"/>
      <c r="X260" s="135"/>
      <c r="Y260" s="170"/>
      <c r="Z260" s="537"/>
      <c r="AE260" s="2461"/>
      <c r="AF260" s="68"/>
    </row>
    <row r="261" spans="1:32" x14ac:dyDescent="0.35">
      <c r="A261" s="360"/>
      <c r="B261" s="358" t="s">
        <v>2923</v>
      </c>
      <c r="C261" s="358"/>
      <c r="D261" s="360"/>
      <c r="E261" s="837" t="s">
        <v>1309</v>
      </c>
      <c r="F261" s="1138">
        <v>5</v>
      </c>
      <c r="G261" s="1138">
        <v>5</v>
      </c>
      <c r="H261" s="2422">
        <v>6</v>
      </c>
      <c r="I261" s="502"/>
      <c r="J261" s="502"/>
      <c r="K261" s="502"/>
      <c r="L261" s="502"/>
      <c r="M261" s="502"/>
      <c r="N261" s="502"/>
      <c r="O261" s="569"/>
      <c r="P261" s="502"/>
      <c r="Q261" s="863">
        <v>1.27</v>
      </c>
      <c r="R261" s="873"/>
      <c r="S261" s="170"/>
      <c r="T261" s="138"/>
      <c r="U261" s="170"/>
      <c r="V261" s="170"/>
      <c r="W261" s="61"/>
      <c r="X261" s="135"/>
      <c r="Y261" s="170"/>
      <c r="Z261" s="537"/>
      <c r="AE261" s="2461"/>
      <c r="AF261" s="68"/>
    </row>
    <row r="262" spans="1:32" ht="61" x14ac:dyDescent="0.4">
      <c r="A262" s="2118">
        <v>152</v>
      </c>
      <c r="B262" s="2118" t="s">
        <v>2923</v>
      </c>
      <c r="C262" s="2118" t="s">
        <v>1656</v>
      </c>
      <c r="D262" s="2464" t="s">
        <v>5143</v>
      </c>
      <c r="E262" s="2383" t="s">
        <v>8610</v>
      </c>
      <c r="F262" s="2742" t="s">
        <v>664</v>
      </c>
      <c r="G262" s="2742">
        <v>5</v>
      </c>
      <c r="H262" s="1138">
        <v>6</v>
      </c>
      <c r="I262" s="2102">
        <f>J262+K262+L262</f>
        <v>1.2</v>
      </c>
      <c r="J262" s="2102">
        <f>SUM(M262:R262)</f>
        <v>1.2</v>
      </c>
      <c r="K262" s="622"/>
      <c r="L262" s="622"/>
      <c r="M262" s="622"/>
      <c r="N262" s="622"/>
      <c r="O262" s="622"/>
      <c r="P262" s="622"/>
      <c r="Q262" s="2085"/>
      <c r="R262" s="906">
        <v>1.2</v>
      </c>
      <c r="S262" s="2115"/>
      <c r="T262" s="2115"/>
      <c r="U262" s="2115"/>
      <c r="V262" s="2115"/>
      <c r="W262" s="2339"/>
      <c r="X262" s="2339"/>
      <c r="Y262" s="2339"/>
      <c r="Z262" s="2339"/>
      <c r="AA262" s="63" t="s">
        <v>11108</v>
      </c>
      <c r="AB262">
        <v>1</v>
      </c>
      <c r="AE262" s="2461"/>
      <c r="AF262" s="68"/>
    </row>
    <row r="263" spans="1:32" ht="45.5" x14ac:dyDescent="0.35">
      <c r="A263" s="405">
        <v>153</v>
      </c>
      <c r="B263" s="405" t="s">
        <v>2923</v>
      </c>
      <c r="C263" s="405"/>
      <c r="D263" s="2464" t="s">
        <v>5144</v>
      </c>
      <c r="E263" s="288" t="s">
        <v>7767</v>
      </c>
      <c r="F263" s="1138"/>
      <c r="G263" s="1138" t="s">
        <v>191</v>
      </c>
      <c r="H263" s="2422" t="s">
        <v>191</v>
      </c>
      <c r="I263" s="501">
        <f>J263+K263+L263</f>
        <v>1.7</v>
      </c>
      <c r="J263" s="501">
        <f>SUM(M263:R263)</f>
        <v>1.7</v>
      </c>
      <c r="K263" s="501"/>
      <c r="L263" s="501"/>
      <c r="M263" s="501"/>
      <c r="N263" s="501">
        <f>SUM(N264:N265)</f>
        <v>1.345</v>
      </c>
      <c r="O263" s="568"/>
      <c r="P263" s="501"/>
      <c r="Q263" s="860"/>
      <c r="R263" s="870">
        <f>SUM(R264:R265)</f>
        <v>0.35499999999999998</v>
      </c>
      <c r="S263" s="170"/>
      <c r="T263" s="138"/>
      <c r="U263" s="170"/>
      <c r="V263" s="170"/>
      <c r="W263" s="97">
        <v>4</v>
      </c>
      <c r="X263" s="279">
        <v>44.7</v>
      </c>
      <c r="Y263" s="170"/>
      <c r="Z263" s="537"/>
      <c r="AB263">
        <v>1</v>
      </c>
      <c r="AC263" s="62" t="s">
        <v>3390</v>
      </c>
      <c r="AD263" s="353">
        <v>37251</v>
      </c>
      <c r="AE263" s="2461"/>
      <c r="AF263" s="68"/>
    </row>
    <row r="264" spans="1:32" x14ac:dyDescent="0.35">
      <c r="A264" s="360"/>
      <c r="B264" s="405" t="s">
        <v>2923</v>
      </c>
      <c r="C264" s="405"/>
      <c r="D264" s="360"/>
      <c r="E264" s="534" t="s">
        <v>1128</v>
      </c>
      <c r="F264" s="1138" t="s">
        <v>827</v>
      </c>
      <c r="G264" s="1138">
        <v>5</v>
      </c>
      <c r="H264" s="2422">
        <v>6</v>
      </c>
      <c r="I264" s="502"/>
      <c r="J264" s="502"/>
      <c r="K264" s="502"/>
      <c r="L264" s="502"/>
      <c r="M264" s="502"/>
      <c r="N264" s="502">
        <v>1.345</v>
      </c>
      <c r="O264" s="569"/>
      <c r="P264" s="502"/>
      <c r="Q264" s="863"/>
      <c r="R264" s="873"/>
      <c r="S264" s="170"/>
      <c r="T264" s="138"/>
      <c r="U264" s="170"/>
      <c r="V264" s="170"/>
      <c r="W264" s="61"/>
      <c r="X264" s="135"/>
      <c r="Y264" s="170"/>
      <c r="Z264" s="537"/>
      <c r="AE264" s="2461"/>
      <c r="AF264" s="68"/>
    </row>
    <row r="265" spans="1:32" x14ac:dyDescent="0.35">
      <c r="A265" s="360"/>
      <c r="B265" s="405" t="s">
        <v>2923</v>
      </c>
      <c r="C265" s="405"/>
      <c r="D265" s="360"/>
      <c r="E265" s="838" t="s">
        <v>6948</v>
      </c>
      <c r="F265" s="1138" t="s">
        <v>827</v>
      </c>
      <c r="G265" s="1138">
        <v>5</v>
      </c>
      <c r="H265" s="1138">
        <v>6</v>
      </c>
      <c r="I265" s="502"/>
      <c r="J265" s="502"/>
      <c r="K265" s="502"/>
      <c r="L265" s="502"/>
      <c r="M265" s="502"/>
      <c r="N265" s="502"/>
      <c r="O265" s="569"/>
      <c r="P265" s="502"/>
      <c r="Q265" s="863"/>
      <c r="R265" s="873">
        <f>1.7-1.345</f>
        <v>0.35499999999999998</v>
      </c>
      <c r="S265" s="170"/>
      <c r="T265" s="138"/>
      <c r="U265" s="170"/>
      <c r="V265" s="170"/>
      <c r="W265" s="61"/>
      <c r="X265" s="135"/>
      <c r="Y265" s="170"/>
      <c r="Z265" s="537"/>
      <c r="AE265" s="2461"/>
      <c r="AF265" s="68"/>
    </row>
    <row r="266" spans="1:32" ht="61" x14ac:dyDescent="0.4">
      <c r="A266" s="2118">
        <v>154</v>
      </c>
      <c r="B266" s="2118" t="s">
        <v>2923</v>
      </c>
      <c r="C266" s="2118" t="s">
        <v>1656</v>
      </c>
      <c r="D266" s="2464" t="s">
        <v>5145</v>
      </c>
      <c r="E266" s="2383" t="s">
        <v>8611</v>
      </c>
      <c r="F266" s="2742" t="s">
        <v>664</v>
      </c>
      <c r="G266" s="2742">
        <v>5</v>
      </c>
      <c r="H266" s="1138">
        <v>6</v>
      </c>
      <c r="I266" s="2102">
        <f>J266+K266+L266</f>
        <v>1.6</v>
      </c>
      <c r="J266" s="2102">
        <f>SUM(M266:R266)</f>
        <v>1.6</v>
      </c>
      <c r="K266" s="622"/>
      <c r="L266" s="622"/>
      <c r="M266" s="622"/>
      <c r="N266" s="622"/>
      <c r="O266" s="622"/>
      <c r="P266" s="622"/>
      <c r="Q266" s="2085"/>
      <c r="R266" s="906">
        <v>1.6</v>
      </c>
      <c r="S266" s="2115"/>
      <c r="T266" s="2115"/>
      <c r="U266" s="2115"/>
      <c r="V266" s="2115"/>
      <c r="W266" s="2339"/>
      <c r="X266" s="2339"/>
      <c r="Y266" s="2339"/>
      <c r="Z266" s="2339"/>
      <c r="AA266" s="63" t="s">
        <v>11109</v>
      </c>
      <c r="AB266">
        <v>1</v>
      </c>
      <c r="AE266" s="2461"/>
      <c r="AF266" s="68"/>
    </row>
    <row r="267" spans="1:32" ht="60.5" x14ac:dyDescent="0.35">
      <c r="A267" s="2118">
        <v>155</v>
      </c>
      <c r="B267" s="2118" t="s">
        <v>2923</v>
      </c>
      <c r="C267" s="2118" t="s">
        <v>1656</v>
      </c>
      <c r="D267" s="2464" t="s">
        <v>5146</v>
      </c>
      <c r="E267" s="2383" t="s">
        <v>8612</v>
      </c>
      <c r="F267" s="2742"/>
      <c r="G267" s="2742" t="s">
        <v>191</v>
      </c>
      <c r="H267" s="2422" t="s">
        <v>191</v>
      </c>
      <c r="I267" s="2102">
        <f>J267+K267+L267</f>
        <v>3.5</v>
      </c>
      <c r="J267" s="2102">
        <f>SUM(M267:R267)</f>
        <v>3.5</v>
      </c>
      <c r="K267" s="622"/>
      <c r="L267" s="622"/>
      <c r="M267" s="622"/>
      <c r="N267" s="622">
        <f>SUM(N268:N269)</f>
        <v>1.9</v>
      </c>
      <c r="O267" s="622"/>
      <c r="P267" s="622"/>
      <c r="Q267" s="2085"/>
      <c r="R267" s="2106">
        <f>SUM(R268:R269)</f>
        <v>1.6</v>
      </c>
      <c r="S267" s="2115"/>
      <c r="T267" s="2115"/>
      <c r="U267" s="2115"/>
      <c r="V267" s="2115"/>
      <c r="W267" s="2339"/>
      <c r="X267" s="2339"/>
      <c r="Y267" s="2339"/>
      <c r="Z267" s="2339"/>
      <c r="AB267">
        <v>1</v>
      </c>
      <c r="AE267" s="2461"/>
      <c r="AF267" s="68"/>
    </row>
    <row r="268" spans="1:32" x14ac:dyDescent="0.35">
      <c r="A268" s="2118"/>
      <c r="B268" s="2118" t="s">
        <v>2923</v>
      </c>
      <c r="C268" s="2118"/>
      <c r="D268" s="2118"/>
      <c r="E268" s="2119" t="s">
        <v>430</v>
      </c>
      <c r="F268" s="2742" t="s">
        <v>827</v>
      </c>
      <c r="G268" s="2742">
        <v>5</v>
      </c>
      <c r="H268" s="2422">
        <v>6</v>
      </c>
      <c r="I268" s="2116"/>
      <c r="J268" s="2116"/>
      <c r="K268" s="395"/>
      <c r="L268" s="395"/>
      <c r="M268" s="395"/>
      <c r="N268" s="395">
        <v>1.9</v>
      </c>
      <c r="O268" s="395"/>
      <c r="P268" s="395"/>
      <c r="Q268" s="2086"/>
      <c r="R268" s="907"/>
      <c r="S268" s="2115"/>
      <c r="T268" s="2115"/>
      <c r="U268" s="2115"/>
      <c r="V268" s="2115"/>
      <c r="W268" s="2339"/>
      <c r="X268" s="2339"/>
      <c r="Y268" s="2339"/>
      <c r="Z268" s="2339"/>
      <c r="AE268" s="2461"/>
      <c r="AF268" s="68"/>
    </row>
    <row r="269" spans="1:32" x14ac:dyDescent="0.35">
      <c r="A269" s="2118"/>
      <c r="B269" s="2118" t="s">
        <v>2923</v>
      </c>
      <c r="C269" s="2118"/>
      <c r="D269" s="2118"/>
      <c r="E269" s="2117" t="s">
        <v>6949</v>
      </c>
      <c r="F269" s="2742" t="s">
        <v>827</v>
      </c>
      <c r="G269" s="2742">
        <v>5</v>
      </c>
      <c r="H269" s="1138">
        <v>6</v>
      </c>
      <c r="I269" s="2116"/>
      <c r="J269" s="2116"/>
      <c r="K269" s="395"/>
      <c r="L269" s="395"/>
      <c r="M269" s="395"/>
      <c r="N269" s="395"/>
      <c r="O269" s="395"/>
      <c r="P269" s="395"/>
      <c r="Q269" s="2086"/>
      <c r="R269" s="907">
        <f>3.5-1.9</f>
        <v>1.6</v>
      </c>
      <c r="S269" s="2115"/>
      <c r="T269" s="2115"/>
      <c r="U269" s="2115"/>
      <c r="V269" s="2115"/>
      <c r="W269" s="2339"/>
      <c r="X269" s="2339"/>
      <c r="Y269" s="2339"/>
      <c r="Z269" s="2339"/>
      <c r="AE269" s="2461"/>
      <c r="AF269" s="68"/>
    </row>
    <row r="270" spans="1:32" ht="60.5" x14ac:dyDescent="0.35">
      <c r="A270" s="2118">
        <v>156</v>
      </c>
      <c r="B270" s="2118" t="s">
        <v>2923</v>
      </c>
      <c r="C270" s="2118" t="s">
        <v>1656</v>
      </c>
      <c r="D270" s="2464" t="s">
        <v>5147</v>
      </c>
      <c r="E270" s="2383" t="s">
        <v>8613</v>
      </c>
      <c r="F270" s="2742"/>
      <c r="G270" s="2742" t="s">
        <v>191</v>
      </c>
      <c r="H270" s="2422" t="s">
        <v>191</v>
      </c>
      <c r="I270" s="2102">
        <f>J270+K270+L270</f>
        <v>3.2</v>
      </c>
      <c r="J270" s="2102">
        <f>SUM(M270:R270)</f>
        <v>3.2</v>
      </c>
      <c r="K270" s="622"/>
      <c r="L270" s="622"/>
      <c r="M270" s="622"/>
      <c r="N270" s="622">
        <f>SUM(N271:N272)</f>
        <v>2.1</v>
      </c>
      <c r="O270" s="622"/>
      <c r="P270" s="622"/>
      <c r="Q270" s="2085">
        <f>SUM(Q271:Q272)</f>
        <v>1.1000000000000001</v>
      </c>
      <c r="R270" s="906"/>
      <c r="S270" s="2115"/>
      <c r="T270" s="2115"/>
      <c r="U270" s="2115"/>
      <c r="V270" s="2115"/>
      <c r="W270" s="2339"/>
      <c r="X270" s="2339"/>
      <c r="Y270" s="2339"/>
      <c r="Z270" s="2339"/>
      <c r="AB270">
        <v>1</v>
      </c>
      <c r="AE270" s="2461"/>
      <c r="AF270" s="68"/>
    </row>
    <row r="271" spans="1:32" x14ac:dyDescent="0.35">
      <c r="A271" s="2118"/>
      <c r="B271" s="2118" t="s">
        <v>2923</v>
      </c>
      <c r="C271" s="2118"/>
      <c r="D271" s="2118"/>
      <c r="E271" s="2119" t="s">
        <v>2409</v>
      </c>
      <c r="F271" s="2742" t="s">
        <v>827</v>
      </c>
      <c r="G271" s="2742">
        <v>5</v>
      </c>
      <c r="H271" s="2422">
        <v>6</v>
      </c>
      <c r="I271" s="2116"/>
      <c r="J271" s="2116"/>
      <c r="K271" s="395"/>
      <c r="L271" s="395"/>
      <c r="M271" s="395"/>
      <c r="N271" s="395">
        <v>2.1</v>
      </c>
      <c r="O271" s="395"/>
      <c r="P271" s="395"/>
      <c r="Q271" s="2086"/>
      <c r="R271" s="906"/>
      <c r="S271" s="2115"/>
      <c r="T271" s="2115"/>
      <c r="U271" s="2115"/>
      <c r="V271" s="2115"/>
      <c r="W271" s="2339"/>
      <c r="X271" s="2339"/>
      <c r="Y271" s="2339"/>
      <c r="Z271" s="2339"/>
      <c r="AE271" s="2461"/>
      <c r="AF271" s="68"/>
    </row>
    <row r="272" spans="1:32" x14ac:dyDescent="0.35">
      <c r="A272" s="2118"/>
      <c r="B272" s="2118" t="s">
        <v>2923</v>
      </c>
      <c r="C272" s="2118"/>
      <c r="D272" s="2118"/>
      <c r="E272" s="2122" t="s">
        <v>2408</v>
      </c>
      <c r="F272" s="2742" t="s">
        <v>827</v>
      </c>
      <c r="G272" s="2742">
        <v>5</v>
      </c>
      <c r="H272" s="2422">
        <v>6</v>
      </c>
      <c r="I272" s="2116"/>
      <c r="J272" s="2116"/>
      <c r="K272" s="395"/>
      <c r="L272" s="395"/>
      <c r="M272" s="395"/>
      <c r="N272" s="395"/>
      <c r="O272" s="395"/>
      <c r="P272" s="395"/>
      <c r="Q272" s="2086">
        <v>1.1000000000000001</v>
      </c>
      <c r="R272" s="906"/>
      <c r="S272" s="2115"/>
      <c r="T272" s="2115"/>
      <c r="U272" s="2115"/>
      <c r="V272" s="2115"/>
      <c r="W272" s="2339"/>
      <c r="X272" s="2339"/>
      <c r="Y272" s="2339"/>
      <c r="Z272" s="2339"/>
      <c r="AE272" s="2461"/>
      <c r="AF272" s="68"/>
    </row>
    <row r="273" spans="1:32" ht="60.5" x14ac:dyDescent="0.35">
      <c r="A273" s="2118">
        <v>157</v>
      </c>
      <c r="B273" s="2118" t="s">
        <v>2923</v>
      </c>
      <c r="C273" s="2118" t="s">
        <v>1656</v>
      </c>
      <c r="D273" s="2464" t="s">
        <v>5148</v>
      </c>
      <c r="E273" s="2383" t="s">
        <v>8614</v>
      </c>
      <c r="F273" s="2742" t="s">
        <v>664</v>
      </c>
      <c r="G273" s="2742">
        <v>5</v>
      </c>
      <c r="H273" s="1138">
        <v>6</v>
      </c>
      <c r="I273" s="2102">
        <f t="shared" ref="I273:I281" si="28">J273+K273+L273</f>
        <v>3.3</v>
      </c>
      <c r="J273" s="2102">
        <f t="shared" ref="J273:J281" si="29">SUM(M273:R273)</f>
        <v>3.3</v>
      </c>
      <c r="K273" s="622"/>
      <c r="L273" s="622"/>
      <c r="M273" s="622"/>
      <c r="N273" s="622"/>
      <c r="O273" s="622"/>
      <c r="P273" s="622"/>
      <c r="Q273" s="2085"/>
      <c r="R273" s="906">
        <v>3.3</v>
      </c>
      <c r="S273" s="2115"/>
      <c r="T273" s="2115"/>
      <c r="U273" s="2115"/>
      <c r="V273" s="2115"/>
      <c r="W273" s="2339"/>
      <c r="X273" s="2339"/>
      <c r="Y273" s="2339"/>
      <c r="Z273" s="2339"/>
      <c r="AB273">
        <v>1</v>
      </c>
      <c r="AE273" s="2461"/>
      <c r="AF273" s="68"/>
    </row>
    <row r="274" spans="1:32" ht="45.5" x14ac:dyDescent="0.35">
      <c r="A274" s="1823">
        <v>158</v>
      </c>
      <c r="B274" s="1134" t="s">
        <v>2923</v>
      </c>
      <c r="C274" s="358" t="s">
        <v>1656</v>
      </c>
      <c r="D274" s="2464" t="s">
        <v>5149</v>
      </c>
      <c r="E274" s="511" t="s">
        <v>8615</v>
      </c>
      <c r="F274" s="1138"/>
      <c r="G274" s="1138" t="s">
        <v>191</v>
      </c>
      <c r="H274" s="2422" t="s">
        <v>191</v>
      </c>
      <c r="I274" s="297">
        <f t="shared" si="28"/>
        <v>0.38</v>
      </c>
      <c r="J274" s="297">
        <f t="shared" si="29"/>
        <v>0.38</v>
      </c>
      <c r="K274" s="503"/>
      <c r="L274" s="503"/>
      <c r="M274" s="503"/>
      <c r="N274" s="501">
        <f>SUM(N275:N276)</f>
        <v>7.0000000000000007E-2</v>
      </c>
      <c r="O274" s="570"/>
      <c r="P274" s="503"/>
      <c r="Q274" s="1856"/>
      <c r="R274" s="2098">
        <f>SUM(R275:R276)</f>
        <v>0.31</v>
      </c>
      <c r="S274" s="281"/>
      <c r="T274" s="281"/>
      <c r="U274" s="281"/>
      <c r="V274" s="281"/>
      <c r="W274" s="536"/>
      <c r="X274" s="281"/>
      <c r="Y274" s="170"/>
      <c r="Z274" s="1694"/>
      <c r="AA274" t="s">
        <v>1842</v>
      </c>
      <c r="AB274">
        <v>1</v>
      </c>
      <c r="AE274" s="2461"/>
      <c r="AF274" s="68"/>
    </row>
    <row r="275" spans="1:32" x14ac:dyDescent="0.35">
      <c r="A275" s="2420"/>
      <c r="B275" s="1134"/>
      <c r="C275" s="358"/>
      <c r="D275" s="693"/>
      <c r="E275" s="2119" t="s">
        <v>2214</v>
      </c>
      <c r="F275" s="1138" t="s">
        <v>664</v>
      </c>
      <c r="G275" s="1138">
        <v>5</v>
      </c>
      <c r="H275" s="2422">
        <v>6</v>
      </c>
      <c r="I275" s="298"/>
      <c r="J275" s="298"/>
      <c r="K275" s="504"/>
      <c r="L275" s="504"/>
      <c r="M275" s="504"/>
      <c r="N275" s="502">
        <v>7.0000000000000007E-2</v>
      </c>
      <c r="O275" s="571"/>
      <c r="P275" s="504"/>
      <c r="Q275" s="1859"/>
      <c r="R275" s="2430"/>
      <c r="S275" s="281"/>
      <c r="T275" s="281"/>
      <c r="U275" s="281"/>
      <c r="V275" s="281"/>
      <c r="W275" s="536"/>
      <c r="X275" s="281"/>
      <c r="Y275" s="170"/>
      <c r="Z275" s="1694"/>
      <c r="AE275" s="2461"/>
      <c r="AF275" s="68"/>
    </row>
    <row r="276" spans="1:32" x14ac:dyDescent="0.35">
      <c r="A276" s="2420"/>
      <c r="B276" s="1134"/>
      <c r="C276" s="358"/>
      <c r="D276" s="693"/>
      <c r="E276" s="2117" t="s">
        <v>6950</v>
      </c>
      <c r="F276" s="1138" t="s">
        <v>664</v>
      </c>
      <c r="G276" s="1138">
        <v>5</v>
      </c>
      <c r="H276" s="1138">
        <v>6</v>
      </c>
      <c r="I276" s="298"/>
      <c r="J276" s="298"/>
      <c r="K276" s="504"/>
      <c r="L276" s="504"/>
      <c r="M276" s="504"/>
      <c r="N276" s="502"/>
      <c r="O276" s="571"/>
      <c r="P276" s="504"/>
      <c r="Q276" s="1859"/>
      <c r="R276" s="2430">
        <f>0.38-0.07</f>
        <v>0.31</v>
      </c>
      <c r="S276" s="281"/>
      <c r="T276" s="281"/>
      <c r="U276" s="281"/>
      <c r="V276" s="281"/>
      <c r="W276" s="536"/>
      <c r="X276" s="281"/>
      <c r="Y276" s="170"/>
      <c r="Z276" s="1694"/>
      <c r="AE276" s="2461"/>
      <c r="AF276" s="68"/>
    </row>
    <row r="277" spans="1:32" ht="45.5" x14ac:dyDescent="0.35">
      <c r="A277" s="2118">
        <v>159</v>
      </c>
      <c r="B277" s="1134" t="s">
        <v>2923</v>
      </c>
      <c r="C277" s="358" t="s">
        <v>1656</v>
      </c>
      <c r="D277" s="2464" t="s">
        <v>5150</v>
      </c>
      <c r="E277" s="511" t="s">
        <v>9266</v>
      </c>
      <c r="F277" s="1138" t="s">
        <v>664</v>
      </c>
      <c r="G277" s="1138">
        <v>5</v>
      </c>
      <c r="H277" s="2422">
        <v>6</v>
      </c>
      <c r="I277" s="297">
        <f t="shared" si="28"/>
        <v>0.05</v>
      </c>
      <c r="J277" s="297">
        <f t="shared" si="29"/>
        <v>0.05</v>
      </c>
      <c r="K277" s="503"/>
      <c r="L277" s="503"/>
      <c r="M277" s="503"/>
      <c r="N277" s="503">
        <v>0.05</v>
      </c>
      <c r="O277" s="570"/>
      <c r="P277" s="503"/>
      <c r="Q277" s="2099"/>
      <c r="R277" s="1865"/>
      <c r="S277" s="281"/>
      <c r="T277" s="281"/>
      <c r="U277" s="281"/>
      <c r="V277" s="281"/>
      <c r="W277" s="97"/>
      <c r="X277" s="279"/>
      <c r="Y277" s="170"/>
      <c r="Z277" s="1694"/>
      <c r="AA277" t="s">
        <v>1842</v>
      </c>
      <c r="AB277">
        <v>1</v>
      </c>
      <c r="AE277" s="2461"/>
      <c r="AF277" s="68"/>
    </row>
    <row r="278" spans="1:32" s="63" customFormat="1" ht="61" x14ac:dyDescent="0.4">
      <c r="A278" s="1823">
        <v>160</v>
      </c>
      <c r="B278" s="1134" t="s">
        <v>2923</v>
      </c>
      <c r="C278" s="405" t="s">
        <v>1656</v>
      </c>
      <c r="D278" s="2464" t="s">
        <v>5151</v>
      </c>
      <c r="E278" s="2374" t="s">
        <v>8616</v>
      </c>
      <c r="F278" s="1138"/>
      <c r="G278" s="1138" t="s">
        <v>191</v>
      </c>
      <c r="H278" s="2422" t="s">
        <v>191</v>
      </c>
      <c r="I278" s="297">
        <f t="shared" si="28"/>
        <v>2.0299999999999998</v>
      </c>
      <c r="J278" s="297">
        <f t="shared" si="29"/>
        <v>2.0299999999999998</v>
      </c>
      <c r="K278" s="501"/>
      <c r="L278" s="501"/>
      <c r="M278" s="501"/>
      <c r="N278" s="501">
        <f>SUM(N279:N280)</f>
        <v>0.43</v>
      </c>
      <c r="O278" s="568"/>
      <c r="P278" s="501"/>
      <c r="Q278" s="1856"/>
      <c r="R278" s="1865">
        <f>SUM(R279:R280)</f>
        <v>1.5999999999999999</v>
      </c>
      <c r="S278" s="281"/>
      <c r="T278" s="281"/>
      <c r="U278" s="281"/>
      <c r="V278" s="281"/>
      <c r="W278" s="2450">
        <v>3</v>
      </c>
      <c r="X278" s="2451">
        <v>22.5</v>
      </c>
      <c r="Y278" s="170"/>
      <c r="Z278" s="1694"/>
      <c r="AA278" t="s">
        <v>2327</v>
      </c>
      <c r="AB278">
        <v>1</v>
      </c>
      <c r="AE278" s="2461"/>
      <c r="AF278" s="68"/>
    </row>
    <row r="279" spans="1:32" s="63" customFormat="1" ht="16" x14ac:dyDescent="0.4">
      <c r="A279" s="2120"/>
      <c r="B279" s="1134"/>
      <c r="C279" s="405"/>
      <c r="D279" s="693"/>
      <c r="E279" s="2119" t="s">
        <v>2821</v>
      </c>
      <c r="F279" s="1138" t="s">
        <v>1490</v>
      </c>
      <c r="G279" s="1138">
        <v>5</v>
      </c>
      <c r="H279" s="2422">
        <v>6</v>
      </c>
      <c r="I279" s="298"/>
      <c r="J279" s="298"/>
      <c r="K279" s="502"/>
      <c r="L279" s="502"/>
      <c r="M279" s="502"/>
      <c r="N279" s="502">
        <v>0.43</v>
      </c>
      <c r="O279" s="569"/>
      <c r="P279" s="502"/>
      <c r="Q279" s="1859"/>
      <c r="R279" s="1868"/>
      <c r="S279" s="281"/>
      <c r="T279" s="281"/>
      <c r="U279" s="281"/>
      <c r="V279" s="281"/>
      <c r="W279" s="97"/>
      <c r="X279" s="279"/>
      <c r="Y279" s="170"/>
      <c r="Z279" s="1694"/>
      <c r="AA279"/>
      <c r="AB279"/>
      <c r="AE279" s="2461"/>
      <c r="AF279" s="68"/>
    </row>
    <row r="280" spans="1:32" s="63" customFormat="1" ht="16" x14ac:dyDescent="0.4">
      <c r="A280" s="2120"/>
      <c r="B280" s="1134"/>
      <c r="C280" s="405"/>
      <c r="D280" s="693"/>
      <c r="E280" s="2117" t="s">
        <v>230</v>
      </c>
      <c r="F280" s="1138" t="s">
        <v>1490</v>
      </c>
      <c r="G280" s="1138">
        <v>5</v>
      </c>
      <c r="H280" s="1138">
        <v>6</v>
      </c>
      <c r="I280" s="298"/>
      <c r="J280" s="298"/>
      <c r="K280" s="502"/>
      <c r="L280" s="502"/>
      <c r="M280" s="502"/>
      <c r="N280" s="502"/>
      <c r="O280" s="569"/>
      <c r="P280" s="502"/>
      <c r="Q280" s="1859"/>
      <c r="R280" s="1868">
        <f>2.03-0.43</f>
        <v>1.5999999999999999</v>
      </c>
      <c r="S280" s="281"/>
      <c r="T280" s="281"/>
      <c r="U280" s="281"/>
      <c r="V280" s="281"/>
      <c r="W280" s="97"/>
      <c r="X280" s="279"/>
      <c r="Y280" s="170"/>
      <c r="Z280" s="1694"/>
      <c r="AA280"/>
      <c r="AB280"/>
      <c r="AC280" s="63" t="s">
        <v>2570</v>
      </c>
      <c r="AE280" s="2461"/>
      <c r="AF280" s="68"/>
    </row>
    <row r="281" spans="1:32" ht="45.5" x14ac:dyDescent="0.35">
      <c r="A281" s="1823">
        <v>161</v>
      </c>
      <c r="B281" s="1134" t="s">
        <v>2923</v>
      </c>
      <c r="C281" s="405" t="s">
        <v>1656</v>
      </c>
      <c r="D281" s="2464" t="s">
        <v>5152</v>
      </c>
      <c r="E281" s="2374" t="s">
        <v>8617</v>
      </c>
      <c r="F281" s="1138" t="s">
        <v>664</v>
      </c>
      <c r="G281" s="1138">
        <v>5</v>
      </c>
      <c r="H281" s="1138">
        <v>6</v>
      </c>
      <c r="I281" s="297">
        <f t="shared" si="28"/>
        <v>1.35</v>
      </c>
      <c r="J281" s="297">
        <f t="shared" si="29"/>
        <v>1.35</v>
      </c>
      <c r="K281" s="502"/>
      <c r="L281" s="502"/>
      <c r="M281" s="501"/>
      <c r="N281" s="501"/>
      <c r="O281" s="568"/>
      <c r="P281" s="501"/>
      <c r="Q281" s="1856"/>
      <c r="R281" s="1865">
        <v>1.35</v>
      </c>
      <c r="S281" s="281"/>
      <c r="T281" s="281"/>
      <c r="U281" s="281"/>
      <c r="V281" s="281"/>
      <c r="W281" s="97"/>
      <c r="X281" s="279"/>
      <c r="Y281" s="170"/>
      <c r="Z281" s="1694"/>
      <c r="AA281" t="s">
        <v>2327</v>
      </c>
      <c r="AB281">
        <v>1</v>
      </c>
      <c r="AE281" s="2461"/>
      <c r="AF281" s="68"/>
    </row>
    <row r="282" spans="1:32" ht="45.5" x14ac:dyDescent="0.35">
      <c r="A282" s="360"/>
      <c r="B282" s="358" t="s">
        <v>2921</v>
      </c>
      <c r="C282" s="358"/>
      <c r="D282" s="360"/>
      <c r="E282" s="1596" t="s">
        <v>3379</v>
      </c>
      <c r="F282" s="1138"/>
      <c r="G282" s="1138"/>
      <c r="H282" s="1138"/>
      <c r="I282" s="502"/>
      <c r="J282" s="502"/>
      <c r="K282" s="502"/>
      <c r="L282" s="502"/>
      <c r="M282" s="502"/>
      <c r="N282" s="502"/>
      <c r="O282" s="569"/>
      <c r="P282" s="502"/>
      <c r="Q282" s="863"/>
      <c r="R282" s="873"/>
      <c r="S282" s="170"/>
      <c r="T282" s="138"/>
      <c r="U282" s="170"/>
      <c r="V282" s="170"/>
      <c r="W282" s="61"/>
      <c r="X282" s="135"/>
      <c r="Y282" s="170"/>
      <c r="Z282" s="537"/>
      <c r="AE282" s="2461"/>
      <c r="AF282" s="68"/>
    </row>
    <row r="283" spans="1:32" ht="45.5" x14ac:dyDescent="0.35">
      <c r="A283" s="358">
        <v>162</v>
      </c>
      <c r="B283" s="358" t="s">
        <v>2921</v>
      </c>
      <c r="C283" s="358"/>
      <c r="D283" s="2464" t="s">
        <v>5154</v>
      </c>
      <c r="E283" s="288" t="s">
        <v>7768</v>
      </c>
      <c r="F283" s="1138">
        <v>5</v>
      </c>
      <c r="G283" s="1138">
        <v>5</v>
      </c>
      <c r="H283" s="1138">
        <v>6</v>
      </c>
      <c r="I283" s="501">
        <f t="shared" ref="I283:I302" si="30">J283+K283+L283</f>
        <v>1.8</v>
      </c>
      <c r="J283" s="501">
        <f t="shared" ref="J283:J302" si="31">SUM(M283:R283)</f>
        <v>1.8</v>
      </c>
      <c r="K283" s="503"/>
      <c r="L283" s="503"/>
      <c r="M283" s="503"/>
      <c r="N283" s="501"/>
      <c r="O283" s="570"/>
      <c r="P283" s="503"/>
      <c r="Q283" s="860"/>
      <c r="R283" s="874">
        <v>1.8</v>
      </c>
      <c r="S283" s="281"/>
      <c r="T283" s="281"/>
      <c r="U283" s="281"/>
      <c r="V283" s="281"/>
      <c r="W283" s="97">
        <v>3</v>
      </c>
      <c r="X283" s="279">
        <v>31</v>
      </c>
      <c r="Y283" s="170"/>
      <c r="Z283" s="537"/>
      <c r="AB283">
        <v>1</v>
      </c>
      <c r="AE283" s="2461"/>
      <c r="AF283" s="68"/>
    </row>
    <row r="284" spans="1:32" ht="60.5" x14ac:dyDescent="0.35">
      <c r="A284" s="2118">
        <v>163</v>
      </c>
      <c r="B284" s="2118" t="s">
        <v>2921</v>
      </c>
      <c r="C284" s="2118" t="s">
        <v>1656</v>
      </c>
      <c r="D284" s="2464" t="s">
        <v>5155</v>
      </c>
      <c r="E284" s="2383" t="s">
        <v>8618</v>
      </c>
      <c r="F284" s="2742" t="s">
        <v>664</v>
      </c>
      <c r="G284" s="2742">
        <v>5</v>
      </c>
      <c r="H284" s="1138">
        <v>6</v>
      </c>
      <c r="I284" s="2102">
        <f t="shared" si="30"/>
        <v>0.8</v>
      </c>
      <c r="J284" s="2102">
        <f t="shared" si="31"/>
        <v>0.8</v>
      </c>
      <c r="K284" s="622"/>
      <c r="L284" s="622"/>
      <c r="M284" s="622"/>
      <c r="N284" s="622"/>
      <c r="O284" s="622"/>
      <c r="P284" s="622"/>
      <c r="Q284" s="2085"/>
      <c r="R284" s="906">
        <v>0.8</v>
      </c>
      <c r="S284" s="2115"/>
      <c r="T284" s="2115"/>
      <c r="U284" s="2115"/>
      <c r="V284" s="2115"/>
      <c r="W284" s="2339"/>
      <c r="X284" s="2339"/>
      <c r="Y284" s="2339"/>
      <c r="Z284" s="2339"/>
      <c r="AB284">
        <v>1</v>
      </c>
      <c r="AE284" s="2461"/>
      <c r="AF284" s="68"/>
    </row>
    <row r="285" spans="1:32" ht="45.5" x14ac:dyDescent="0.35">
      <c r="A285" s="358">
        <v>164</v>
      </c>
      <c r="B285" s="358" t="s">
        <v>2921</v>
      </c>
      <c r="C285" s="358"/>
      <c r="D285" s="2464" t="s">
        <v>5156</v>
      </c>
      <c r="E285" s="288" t="s">
        <v>7769</v>
      </c>
      <c r="F285" s="1138">
        <v>5</v>
      </c>
      <c r="G285" s="1138">
        <v>5</v>
      </c>
      <c r="H285" s="1138">
        <v>6</v>
      </c>
      <c r="I285" s="501">
        <f t="shared" si="30"/>
        <v>2.4</v>
      </c>
      <c r="J285" s="501">
        <f t="shared" si="31"/>
        <v>2.4</v>
      </c>
      <c r="K285" s="503"/>
      <c r="L285" s="503"/>
      <c r="M285" s="503"/>
      <c r="N285" s="501"/>
      <c r="O285" s="570"/>
      <c r="P285" s="503"/>
      <c r="Q285" s="860"/>
      <c r="R285" s="874">
        <v>2.4</v>
      </c>
      <c r="S285" s="281"/>
      <c r="T285" s="281"/>
      <c r="U285" s="281"/>
      <c r="V285" s="281"/>
      <c r="W285" s="97">
        <v>1</v>
      </c>
      <c r="X285" s="279">
        <v>10</v>
      </c>
      <c r="Y285" s="170"/>
      <c r="Z285" s="537"/>
      <c r="AB285">
        <v>1</v>
      </c>
      <c r="AE285" s="2461"/>
      <c r="AF285" s="68"/>
    </row>
    <row r="286" spans="1:32" ht="60.5" x14ac:dyDescent="0.35">
      <c r="A286" s="2118">
        <v>165</v>
      </c>
      <c r="B286" s="1134" t="s">
        <v>2921</v>
      </c>
      <c r="C286" s="358" t="s">
        <v>1656</v>
      </c>
      <c r="D286" s="2464" t="s">
        <v>5157</v>
      </c>
      <c r="E286" s="511" t="s">
        <v>8619</v>
      </c>
      <c r="F286" s="1138" t="s">
        <v>664</v>
      </c>
      <c r="G286" s="1138">
        <v>5</v>
      </c>
      <c r="H286" s="1138">
        <v>6</v>
      </c>
      <c r="I286" s="297">
        <f t="shared" si="30"/>
        <v>0.3</v>
      </c>
      <c r="J286" s="297">
        <f t="shared" si="31"/>
        <v>0.3</v>
      </c>
      <c r="K286" s="503"/>
      <c r="L286" s="503"/>
      <c r="M286" s="503"/>
      <c r="N286" s="503"/>
      <c r="O286" s="570"/>
      <c r="P286" s="503"/>
      <c r="Q286" s="2099"/>
      <c r="R286" s="1865">
        <v>0.3</v>
      </c>
      <c r="S286" s="281"/>
      <c r="T286" s="281"/>
      <c r="U286" s="281"/>
      <c r="V286" s="281"/>
      <c r="W286" s="536"/>
      <c r="X286" s="281"/>
      <c r="Y286" s="170"/>
      <c r="Z286" s="1694"/>
      <c r="AA286" t="s">
        <v>1842</v>
      </c>
      <c r="AB286">
        <v>1</v>
      </c>
      <c r="AE286" s="2461"/>
      <c r="AF286" s="68"/>
    </row>
    <row r="287" spans="1:32" ht="45.5" x14ac:dyDescent="0.35">
      <c r="A287" s="358">
        <v>166</v>
      </c>
      <c r="B287" s="358" t="s">
        <v>2921</v>
      </c>
      <c r="C287" s="358"/>
      <c r="D287" s="2464" t="s">
        <v>5158</v>
      </c>
      <c r="E287" s="288" t="s">
        <v>7770</v>
      </c>
      <c r="F287" s="1138" t="s">
        <v>827</v>
      </c>
      <c r="G287" s="1138">
        <v>5</v>
      </c>
      <c r="H287" s="1138">
        <v>6</v>
      </c>
      <c r="I287" s="501">
        <f t="shared" si="30"/>
        <v>1.6</v>
      </c>
      <c r="J287" s="501">
        <f t="shared" si="31"/>
        <v>1.6</v>
      </c>
      <c r="K287" s="503"/>
      <c r="L287" s="503"/>
      <c r="M287" s="503"/>
      <c r="N287" s="503"/>
      <c r="O287" s="570"/>
      <c r="P287" s="503"/>
      <c r="Q287" s="864"/>
      <c r="R287" s="870">
        <v>1.6</v>
      </c>
      <c r="S287" s="281"/>
      <c r="T287" s="281"/>
      <c r="U287" s="281"/>
      <c r="V287" s="281"/>
      <c r="W287" s="536"/>
      <c r="X287" s="281"/>
      <c r="Y287" s="170"/>
      <c r="Z287" s="537"/>
      <c r="AB287">
        <v>1</v>
      </c>
      <c r="AC287" t="s">
        <v>2570</v>
      </c>
      <c r="AE287" s="2461"/>
      <c r="AF287" s="68"/>
    </row>
    <row r="288" spans="1:32" ht="60.5" x14ac:dyDescent="0.35">
      <c r="A288" s="2118">
        <v>167</v>
      </c>
      <c r="B288" s="2118" t="s">
        <v>2921</v>
      </c>
      <c r="C288" s="2118" t="s">
        <v>1656</v>
      </c>
      <c r="D288" s="2464" t="s">
        <v>5159</v>
      </c>
      <c r="E288" s="2383" t="s">
        <v>8620</v>
      </c>
      <c r="F288" s="2742" t="s">
        <v>664</v>
      </c>
      <c r="G288" s="2742">
        <v>5</v>
      </c>
      <c r="H288" s="1138">
        <v>6</v>
      </c>
      <c r="I288" s="2102">
        <f t="shared" si="30"/>
        <v>0.35</v>
      </c>
      <c r="J288" s="2102">
        <f t="shared" si="31"/>
        <v>0.35</v>
      </c>
      <c r="K288" s="622"/>
      <c r="L288" s="622"/>
      <c r="M288" s="622"/>
      <c r="N288" s="622"/>
      <c r="O288" s="622"/>
      <c r="P288" s="622"/>
      <c r="Q288" s="2085"/>
      <c r="R288" s="906">
        <v>0.35</v>
      </c>
      <c r="S288" s="2115"/>
      <c r="T288" s="2115"/>
      <c r="U288" s="2115"/>
      <c r="V288" s="2115"/>
      <c r="W288" s="2339"/>
      <c r="X288" s="2339"/>
      <c r="Y288" s="2339"/>
      <c r="Z288" s="2339"/>
      <c r="AB288">
        <v>1</v>
      </c>
      <c r="AE288" s="2461"/>
      <c r="AF288" s="68"/>
    </row>
    <row r="289" spans="1:32" s="63" customFormat="1" ht="61" x14ac:dyDescent="0.4">
      <c r="A289" s="358">
        <v>168</v>
      </c>
      <c r="B289" s="1134" t="s">
        <v>2921</v>
      </c>
      <c r="C289" s="826" t="s">
        <v>1656</v>
      </c>
      <c r="D289" s="2464" t="s">
        <v>5160</v>
      </c>
      <c r="E289" s="511" t="s">
        <v>8621</v>
      </c>
      <c r="F289" s="1138" t="s">
        <v>664</v>
      </c>
      <c r="G289" s="1138">
        <v>5</v>
      </c>
      <c r="H289" s="1138">
        <v>6</v>
      </c>
      <c r="I289" s="297">
        <f t="shared" si="30"/>
        <v>0.26</v>
      </c>
      <c r="J289" s="297">
        <f t="shared" si="31"/>
        <v>0.26</v>
      </c>
      <c r="K289" s="501"/>
      <c r="L289" s="501"/>
      <c r="M289" s="501"/>
      <c r="N289" s="501"/>
      <c r="O289" s="568"/>
      <c r="P289" s="501"/>
      <c r="Q289" s="1856"/>
      <c r="R289" s="1865">
        <v>0.26</v>
      </c>
      <c r="S289" s="281"/>
      <c r="T289" s="281"/>
      <c r="U289" s="281"/>
      <c r="V289" s="281"/>
      <c r="W289" s="97"/>
      <c r="X289" s="279"/>
      <c r="Y289" s="170"/>
      <c r="Z289" s="1694"/>
      <c r="AA289" t="s">
        <v>1842</v>
      </c>
      <c r="AB289">
        <v>1</v>
      </c>
      <c r="AE289" s="2461"/>
      <c r="AF289" s="68"/>
    </row>
    <row r="290" spans="1:32" ht="45.5" x14ac:dyDescent="0.35">
      <c r="A290" s="2118">
        <v>169</v>
      </c>
      <c r="B290" s="1134" t="s">
        <v>2921</v>
      </c>
      <c r="C290" s="826" t="s">
        <v>1656</v>
      </c>
      <c r="D290" s="2464" t="s">
        <v>5161</v>
      </c>
      <c r="E290" s="511" t="s">
        <v>8622</v>
      </c>
      <c r="F290" s="1138" t="s">
        <v>664</v>
      </c>
      <c r="G290" s="1138">
        <v>5</v>
      </c>
      <c r="H290" s="1138">
        <v>6</v>
      </c>
      <c r="I290" s="297">
        <f t="shared" si="30"/>
        <v>0.1</v>
      </c>
      <c r="J290" s="297">
        <f t="shared" si="31"/>
        <v>0.1</v>
      </c>
      <c r="K290" s="502"/>
      <c r="L290" s="502"/>
      <c r="M290" s="501"/>
      <c r="N290" s="501"/>
      <c r="O290" s="568"/>
      <c r="P290" s="501"/>
      <c r="Q290" s="1856"/>
      <c r="R290" s="1865">
        <v>0.1</v>
      </c>
      <c r="S290" s="281"/>
      <c r="T290" s="281"/>
      <c r="U290" s="281"/>
      <c r="V290" s="281"/>
      <c r="W290" s="97"/>
      <c r="X290" s="95"/>
      <c r="Y290" s="170"/>
      <c r="Z290" s="1694"/>
      <c r="AA290" t="s">
        <v>1842</v>
      </c>
      <c r="AB290">
        <v>1</v>
      </c>
      <c r="AE290" s="2461"/>
      <c r="AF290" s="68"/>
    </row>
    <row r="291" spans="1:32" ht="60.5" x14ac:dyDescent="0.35">
      <c r="A291" s="358">
        <v>170</v>
      </c>
      <c r="B291" s="1134" t="s">
        <v>2921</v>
      </c>
      <c r="C291" s="828" t="s">
        <v>1656</v>
      </c>
      <c r="D291" s="2464" t="s">
        <v>5162</v>
      </c>
      <c r="E291" s="2374" t="s">
        <v>8623</v>
      </c>
      <c r="F291" s="1138" t="s">
        <v>664</v>
      </c>
      <c r="G291" s="1138">
        <v>5</v>
      </c>
      <c r="H291" s="1138">
        <v>6</v>
      </c>
      <c r="I291" s="297">
        <f t="shared" si="30"/>
        <v>2.2999999999999998</v>
      </c>
      <c r="J291" s="297">
        <f t="shared" si="31"/>
        <v>2.2999999999999998</v>
      </c>
      <c r="K291" s="500"/>
      <c r="L291" s="500"/>
      <c r="M291" s="500"/>
      <c r="N291" s="500"/>
      <c r="O291" s="568"/>
      <c r="P291" s="500"/>
      <c r="Q291" s="1856"/>
      <c r="R291" s="1865">
        <v>2.2999999999999998</v>
      </c>
      <c r="S291" s="163"/>
      <c r="T291" s="537"/>
      <c r="U291" s="163"/>
      <c r="V291" s="163"/>
      <c r="W291" s="97"/>
      <c r="X291" s="279"/>
      <c r="Y291" s="163"/>
      <c r="Z291" s="1694"/>
      <c r="AA291" t="s">
        <v>2327</v>
      </c>
      <c r="AB291">
        <v>1</v>
      </c>
      <c r="AE291" s="2461"/>
      <c r="AF291" s="68"/>
    </row>
    <row r="292" spans="1:32" s="63" customFormat="1" ht="61" x14ac:dyDescent="0.4">
      <c r="A292" s="2118">
        <v>171</v>
      </c>
      <c r="B292" s="1134" t="s">
        <v>2921</v>
      </c>
      <c r="C292" s="828" t="s">
        <v>1656</v>
      </c>
      <c r="D292" s="2464" t="s">
        <v>5163</v>
      </c>
      <c r="E292" s="2374" t="s">
        <v>8624</v>
      </c>
      <c r="F292" s="1138" t="s">
        <v>664</v>
      </c>
      <c r="G292" s="1138">
        <v>5</v>
      </c>
      <c r="H292" s="2422">
        <v>6</v>
      </c>
      <c r="I292" s="297">
        <f t="shared" si="30"/>
        <v>0.1</v>
      </c>
      <c r="J292" s="297">
        <f t="shared" si="31"/>
        <v>0.1</v>
      </c>
      <c r="K292" s="831"/>
      <c r="L292" s="831"/>
      <c r="M292" s="500"/>
      <c r="N292" s="500">
        <v>0.1</v>
      </c>
      <c r="O292" s="568"/>
      <c r="P292" s="500"/>
      <c r="Q292" s="1856"/>
      <c r="R292" s="1865"/>
      <c r="S292" s="163"/>
      <c r="T292" s="537"/>
      <c r="U292" s="163"/>
      <c r="V292" s="163"/>
      <c r="W292" s="538"/>
      <c r="X292" s="539"/>
      <c r="Y292" s="163"/>
      <c r="Z292" s="1694"/>
      <c r="AA292" t="s">
        <v>2327</v>
      </c>
      <c r="AB292">
        <v>1</v>
      </c>
      <c r="AE292" s="2461"/>
      <c r="AF292" s="68"/>
    </row>
    <row r="293" spans="1:32" s="63" customFormat="1" ht="46" x14ac:dyDescent="0.4">
      <c r="A293" s="358">
        <v>172</v>
      </c>
      <c r="B293" s="1134" t="s">
        <v>2921</v>
      </c>
      <c r="C293" s="2118" t="s">
        <v>1656</v>
      </c>
      <c r="D293" s="2464" t="s">
        <v>5164</v>
      </c>
      <c r="E293" s="2382" t="s">
        <v>8625</v>
      </c>
      <c r="F293" s="2742" t="s">
        <v>664</v>
      </c>
      <c r="G293" s="1138">
        <v>5</v>
      </c>
      <c r="H293" s="2422">
        <v>6</v>
      </c>
      <c r="I293" s="297">
        <f t="shared" si="30"/>
        <v>0.6</v>
      </c>
      <c r="J293" s="297">
        <f t="shared" si="31"/>
        <v>0.6</v>
      </c>
      <c r="K293" s="622"/>
      <c r="L293" s="622"/>
      <c r="M293" s="622"/>
      <c r="N293" s="622"/>
      <c r="O293" s="622"/>
      <c r="P293" s="622"/>
      <c r="Q293" s="2085">
        <v>0.6</v>
      </c>
      <c r="R293" s="906"/>
      <c r="S293" s="2115"/>
      <c r="T293" s="2115"/>
      <c r="U293" s="2115"/>
      <c r="V293" s="2115"/>
      <c r="W293" s="2339"/>
      <c r="X293" s="2339"/>
      <c r="Y293" s="2339"/>
      <c r="Z293" s="2983"/>
      <c r="AA293" t="s">
        <v>2327</v>
      </c>
      <c r="AB293">
        <v>1</v>
      </c>
      <c r="AE293" s="2461"/>
      <c r="AF293" s="68"/>
    </row>
    <row r="294" spans="1:32" ht="60.5" x14ac:dyDescent="0.35">
      <c r="A294" s="2118">
        <v>173</v>
      </c>
      <c r="B294" s="358" t="s">
        <v>2921</v>
      </c>
      <c r="C294" s="358"/>
      <c r="D294" s="2464" t="s">
        <v>5165</v>
      </c>
      <c r="E294" s="288" t="s">
        <v>7771</v>
      </c>
      <c r="F294" s="1944">
        <v>5</v>
      </c>
      <c r="G294" s="1944">
        <v>5</v>
      </c>
      <c r="H294" s="2422">
        <v>6</v>
      </c>
      <c r="I294" s="501">
        <f t="shared" si="30"/>
        <v>6.2</v>
      </c>
      <c r="J294" s="501">
        <f t="shared" si="31"/>
        <v>6.2</v>
      </c>
      <c r="K294" s="501"/>
      <c r="L294" s="501"/>
      <c r="M294" s="501"/>
      <c r="N294" s="501"/>
      <c r="O294" s="568"/>
      <c r="P294" s="501"/>
      <c r="Q294" s="860">
        <v>6.2</v>
      </c>
      <c r="R294" s="870"/>
      <c r="S294" s="170"/>
      <c r="T294" s="138"/>
      <c r="U294" s="170"/>
      <c r="V294" s="170"/>
      <c r="W294" s="97">
        <v>6</v>
      </c>
      <c r="X294" s="279">
        <v>82.1</v>
      </c>
      <c r="Y294" s="170"/>
      <c r="Z294" s="537"/>
      <c r="AB294">
        <v>1</v>
      </c>
      <c r="AE294" s="2461"/>
      <c r="AF294" s="68"/>
    </row>
    <row r="295" spans="1:32" ht="45.5" x14ac:dyDescent="0.35">
      <c r="A295" s="358">
        <v>174</v>
      </c>
      <c r="B295" s="358" t="s">
        <v>2921</v>
      </c>
      <c r="C295" s="358"/>
      <c r="D295" s="2464" t="s">
        <v>5166</v>
      </c>
      <c r="E295" s="288" t="s">
        <v>7772</v>
      </c>
      <c r="F295" s="1138">
        <v>5</v>
      </c>
      <c r="G295" s="1138">
        <v>5</v>
      </c>
      <c r="H295" s="2422">
        <v>6</v>
      </c>
      <c r="I295" s="501">
        <f t="shared" si="30"/>
        <v>1.5</v>
      </c>
      <c r="J295" s="501">
        <f t="shared" si="31"/>
        <v>1.5</v>
      </c>
      <c r="K295" s="501"/>
      <c r="L295" s="501"/>
      <c r="M295" s="501"/>
      <c r="N295" s="501">
        <v>1.5</v>
      </c>
      <c r="O295" s="568"/>
      <c r="P295" s="501"/>
      <c r="Q295" s="860"/>
      <c r="R295" s="870"/>
      <c r="S295" s="61">
        <v>1</v>
      </c>
      <c r="T295" s="135">
        <v>11</v>
      </c>
      <c r="U295" s="170"/>
      <c r="V295" s="170"/>
      <c r="W295" s="97">
        <v>2</v>
      </c>
      <c r="X295" s="279">
        <v>21.5</v>
      </c>
      <c r="Y295" s="170"/>
      <c r="Z295" s="537"/>
      <c r="AB295">
        <v>1</v>
      </c>
      <c r="AE295" s="2461"/>
      <c r="AF295" s="68"/>
    </row>
    <row r="296" spans="1:32" ht="60.5" x14ac:dyDescent="0.35">
      <c r="A296" s="2118">
        <v>175</v>
      </c>
      <c r="B296" s="358" t="s">
        <v>2921</v>
      </c>
      <c r="C296" s="358"/>
      <c r="D296" s="2464" t="s">
        <v>6951</v>
      </c>
      <c r="E296" s="511" t="s">
        <v>7773</v>
      </c>
      <c r="F296" s="1138">
        <v>5</v>
      </c>
      <c r="G296" s="1138">
        <v>5</v>
      </c>
      <c r="H296" s="2422">
        <v>6</v>
      </c>
      <c r="I296" s="501">
        <f t="shared" si="30"/>
        <v>0.55000000000000004</v>
      </c>
      <c r="J296" s="501">
        <f t="shared" si="31"/>
        <v>0.55000000000000004</v>
      </c>
      <c r="K296" s="501"/>
      <c r="L296" s="501"/>
      <c r="M296" s="501"/>
      <c r="N296" s="501">
        <v>0.55000000000000004</v>
      </c>
      <c r="O296" s="568"/>
      <c r="P296" s="501"/>
      <c r="Q296" s="860"/>
      <c r="R296" s="870"/>
      <c r="S296" s="61"/>
      <c r="T296" s="135"/>
      <c r="U296" s="170"/>
      <c r="V296" s="170"/>
      <c r="W296" s="97"/>
      <c r="X296" s="279"/>
      <c r="Y296" s="170"/>
      <c r="Z296" s="537"/>
      <c r="AB296">
        <v>1</v>
      </c>
      <c r="AE296" s="2461"/>
      <c r="AF296" s="68"/>
    </row>
    <row r="297" spans="1:32" ht="60.5" x14ac:dyDescent="0.35">
      <c r="A297" s="358">
        <v>176</v>
      </c>
      <c r="B297" s="358" t="s">
        <v>2921</v>
      </c>
      <c r="C297" s="358"/>
      <c r="D297" s="2464" t="s">
        <v>6952</v>
      </c>
      <c r="E297" s="511" t="s">
        <v>7774</v>
      </c>
      <c r="F297" s="1138">
        <v>5</v>
      </c>
      <c r="G297" s="1138">
        <v>5</v>
      </c>
      <c r="H297" s="2422">
        <v>6</v>
      </c>
      <c r="I297" s="501">
        <f t="shared" si="30"/>
        <v>0.67</v>
      </c>
      <c r="J297" s="501">
        <f t="shared" si="31"/>
        <v>0.67</v>
      </c>
      <c r="K297" s="501"/>
      <c r="L297" s="501"/>
      <c r="M297" s="501"/>
      <c r="N297" s="501">
        <v>0.67</v>
      </c>
      <c r="O297" s="568"/>
      <c r="P297" s="501"/>
      <c r="Q297" s="860"/>
      <c r="R297" s="870"/>
      <c r="S297" s="61"/>
      <c r="T297" s="135"/>
      <c r="U297" s="170"/>
      <c r="V297" s="170"/>
      <c r="W297" s="97"/>
      <c r="X297" s="279"/>
      <c r="Y297" s="170"/>
      <c r="Z297" s="537"/>
      <c r="AB297">
        <v>1</v>
      </c>
      <c r="AE297" s="2461"/>
      <c r="AF297" s="68"/>
    </row>
    <row r="298" spans="1:32" ht="60.5" x14ac:dyDescent="0.35">
      <c r="A298" s="2118">
        <v>177</v>
      </c>
      <c r="B298" s="358" t="s">
        <v>2921</v>
      </c>
      <c r="C298" s="358"/>
      <c r="D298" s="2464" t="s">
        <v>5043</v>
      </c>
      <c r="E298" s="511" t="s">
        <v>7775</v>
      </c>
      <c r="F298" s="1138">
        <v>5</v>
      </c>
      <c r="G298" s="1138">
        <v>5</v>
      </c>
      <c r="H298" s="2422">
        <v>6</v>
      </c>
      <c r="I298" s="501">
        <f t="shared" si="30"/>
        <v>0.23</v>
      </c>
      <c r="J298" s="501">
        <f t="shared" si="31"/>
        <v>0.23</v>
      </c>
      <c r="K298" s="501"/>
      <c r="L298" s="501"/>
      <c r="M298" s="501"/>
      <c r="N298" s="501">
        <v>0.23</v>
      </c>
      <c r="O298" s="568"/>
      <c r="P298" s="501"/>
      <c r="Q298" s="860"/>
      <c r="R298" s="870"/>
      <c r="S298" s="61"/>
      <c r="T298" s="135"/>
      <c r="U298" s="170"/>
      <c r="V298" s="170"/>
      <c r="W298" s="97"/>
      <c r="X298" s="279"/>
      <c r="Y298" s="170"/>
      <c r="Z298" s="537"/>
      <c r="AB298">
        <v>1</v>
      </c>
      <c r="AE298" s="2461"/>
      <c r="AF298" s="68"/>
    </row>
    <row r="299" spans="1:32" ht="60.5" x14ac:dyDescent="0.35">
      <c r="A299" s="358">
        <v>178</v>
      </c>
      <c r="B299" s="1134" t="s">
        <v>2921</v>
      </c>
      <c r="C299" s="2118" t="s">
        <v>1656</v>
      </c>
      <c r="D299" s="2464" t="s">
        <v>5167</v>
      </c>
      <c r="E299" s="2383" t="s">
        <v>8626</v>
      </c>
      <c r="F299" s="2742" t="s">
        <v>664</v>
      </c>
      <c r="G299" s="1138">
        <v>5</v>
      </c>
      <c r="H299" s="1138">
        <v>6</v>
      </c>
      <c r="I299" s="297">
        <f t="shared" si="30"/>
        <v>0.4</v>
      </c>
      <c r="J299" s="297">
        <f t="shared" si="31"/>
        <v>0.4</v>
      </c>
      <c r="K299" s="622"/>
      <c r="L299" s="622"/>
      <c r="M299" s="622"/>
      <c r="N299" s="622"/>
      <c r="O299" s="622"/>
      <c r="P299" s="622"/>
      <c r="Q299" s="2085"/>
      <c r="R299" s="906">
        <v>0.4</v>
      </c>
      <c r="S299" s="2115"/>
      <c r="T299" s="2115"/>
      <c r="U299" s="2115"/>
      <c r="V299" s="2115"/>
      <c r="W299" s="2339"/>
      <c r="X299" s="2339"/>
      <c r="Y299" s="2339"/>
      <c r="Z299" s="2983"/>
      <c r="AA299" t="s">
        <v>1842</v>
      </c>
      <c r="AB299">
        <v>1</v>
      </c>
      <c r="AE299" s="2461"/>
      <c r="AF299" s="68"/>
    </row>
    <row r="300" spans="1:32" ht="45.5" x14ac:dyDescent="0.35">
      <c r="A300" s="2118">
        <v>179</v>
      </c>
      <c r="B300" s="358" t="s">
        <v>2921</v>
      </c>
      <c r="C300" s="358"/>
      <c r="D300" s="2464" t="s">
        <v>5168</v>
      </c>
      <c r="E300" s="288" t="s">
        <v>7776</v>
      </c>
      <c r="F300" s="1138">
        <v>4</v>
      </c>
      <c r="G300" s="1138">
        <v>5</v>
      </c>
      <c r="H300" s="2422">
        <v>6</v>
      </c>
      <c r="I300" s="501">
        <f t="shared" si="30"/>
        <v>1.79</v>
      </c>
      <c r="J300" s="501">
        <f t="shared" si="31"/>
        <v>1.79</v>
      </c>
      <c r="K300" s="501"/>
      <c r="L300" s="501"/>
      <c r="M300" s="501"/>
      <c r="N300" s="501">
        <v>1.79</v>
      </c>
      <c r="O300" s="568"/>
      <c r="P300" s="501"/>
      <c r="Q300" s="860"/>
      <c r="R300" s="870"/>
      <c r="S300" s="170"/>
      <c r="T300" s="138"/>
      <c r="U300" s="170"/>
      <c r="V300" s="170"/>
      <c r="W300" s="97">
        <v>8</v>
      </c>
      <c r="X300" s="279">
        <v>117.7</v>
      </c>
      <c r="Y300" s="170"/>
      <c r="Z300" s="537"/>
      <c r="AB300">
        <v>1</v>
      </c>
      <c r="AE300" s="2461"/>
      <c r="AF300" s="68"/>
    </row>
    <row r="301" spans="1:32" ht="60.5" x14ac:dyDescent="0.35">
      <c r="A301" s="358">
        <v>180</v>
      </c>
      <c r="B301" s="358" t="s">
        <v>2921</v>
      </c>
      <c r="C301" s="358"/>
      <c r="D301" s="2464" t="s">
        <v>5060</v>
      </c>
      <c r="E301" s="511" t="s">
        <v>7777</v>
      </c>
      <c r="F301" s="1138">
        <v>4</v>
      </c>
      <c r="G301" s="1138">
        <v>5</v>
      </c>
      <c r="H301" s="2422">
        <v>6</v>
      </c>
      <c r="I301" s="501">
        <f t="shared" si="30"/>
        <v>0.28000000000000003</v>
      </c>
      <c r="J301" s="501">
        <f t="shared" si="31"/>
        <v>0.28000000000000003</v>
      </c>
      <c r="K301" s="501"/>
      <c r="L301" s="501"/>
      <c r="M301" s="501"/>
      <c r="N301" s="501">
        <v>0.28000000000000003</v>
      </c>
      <c r="O301" s="568"/>
      <c r="P301" s="501"/>
      <c r="Q301" s="860"/>
      <c r="R301" s="870"/>
      <c r="S301" s="170"/>
      <c r="T301" s="138"/>
      <c r="U301" s="170"/>
      <c r="V301" s="170"/>
      <c r="W301" s="97"/>
      <c r="X301" s="279"/>
      <c r="Y301" s="170"/>
      <c r="Z301" s="537"/>
      <c r="AB301">
        <v>1</v>
      </c>
      <c r="AE301" s="2461"/>
      <c r="AF301" s="68"/>
    </row>
    <row r="302" spans="1:32" ht="60.5" x14ac:dyDescent="0.35">
      <c r="A302" s="2118">
        <v>181</v>
      </c>
      <c r="B302" s="2118" t="s">
        <v>2921</v>
      </c>
      <c r="C302" s="2118" t="s">
        <v>1656</v>
      </c>
      <c r="D302" s="2464" t="s">
        <v>5169</v>
      </c>
      <c r="E302" s="288" t="s">
        <v>8627</v>
      </c>
      <c r="F302" s="2742" t="s">
        <v>664</v>
      </c>
      <c r="G302" s="2742">
        <v>5</v>
      </c>
      <c r="H302" s="1138">
        <v>6</v>
      </c>
      <c r="I302" s="2102">
        <f t="shared" si="30"/>
        <v>0.46</v>
      </c>
      <c r="J302" s="2102">
        <f t="shared" si="31"/>
        <v>0.46</v>
      </c>
      <c r="K302" s="797"/>
      <c r="L302" s="797"/>
      <c r="M302" s="797"/>
      <c r="N302" s="797"/>
      <c r="O302" s="797"/>
      <c r="P302" s="797"/>
      <c r="Q302" s="2124"/>
      <c r="R302" s="2110">
        <v>0.46</v>
      </c>
      <c r="S302" s="2121"/>
      <c r="T302" s="2121"/>
      <c r="U302" s="2121"/>
      <c r="V302" s="2121"/>
      <c r="W302" s="2986"/>
      <c r="X302" s="2986"/>
      <c r="Y302" s="2986"/>
      <c r="Z302" s="2986"/>
      <c r="AB302">
        <v>1</v>
      </c>
      <c r="AE302" s="2461"/>
      <c r="AF302" s="68"/>
    </row>
    <row r="303" spans="1:32" x14ac:dyDescent="0.25">
      <c r="Z303" s="227"/>
    </row>
    <row r="304" spans="1:32" x14ac:dyDescent="0.25">
      <c r="Z304" s="227"/>
    </row>
    <row r="305" spans="26:26" x14ac:dyDescent="0.25">
      <c r="Z305" s="227"/>
    </row>
    <row r="306" spans="26:26" x14ac:dyDescent="0.25">
      <c r="Z306" s="227"/>
    </row>
    <row r="307" spans="26:26" x14ac:dyDescent="0.25">
      <c r="Z307" s="227"/>
    </row>
    <row r="308" spans="26:26" x14ac:dyDescent="0.25">
      <c r="Z308" s="227"/>
    </row>
    <row r="309" spans="26:26" x14ac:dyDescent="0.25">
      <c r="Z309" s="227"/>
    </row>
    <row r="310" spans="26:26" x14ac:dyDescent="0.25">
      <c r="Z310" s="227"/>
    </row>
    <row r="311" spans="26:26" x14ac:dyDescent="0.25">
      <c r="Z311" s="227"/>
    </row>
    <row r="312" spans="26:26" x14ac:dyDescent="0.25">
      <c r="Z312" s="227"/>
    </row>
    <row r="313" spans="26:26" x14ac:dyDescent="0.25">
      <c r="Z313" s="227"/>
    </row>
    <row r="314" spans="26:26" x14ac:dyDescent="0.25">
      <c r="Z314" s="227"/>
    </row>
    <row r="315" spans="26:26" x14ac:dyDescent="0.25">
      <c r="Z315" s="227"/>
    </row>
    <row r="316" spans="26:26" x14ac:dyDescent="0.25">
      <c r="Z316" s="227"/>
    </row>
    <row r="317" spans="26:26" x14ac:dyDescent="0.25">
      <c r="Z317" s="227"/>
    </row>
    <row r="318" spans="26:26" x14ac:dyDescent="0.25">
      <c r="Z318" s="227"/>
    </row>
    <row r="319" spans="26:26" x14ac:dyDescent="0.25">
      <c r="Z319" s="227"/>
    </row>
    <row r="320" spans="26:26" x14ac:dyDescent="0.25">
      <c r="Z320" s="227"/>
    </row>
    <row r="321" spans="26:26" x14ac:dyDescent="0.25">
      <c r="Z321" s="227"/>
    </row>
    <row r="322" spans="26:26" x14ac:dyDescent="0.25">
      <c r="Z322" s="227"/>
    </row>
    <row r="323" spans="26:26" x14ac:dyDescent="0.25">
      <c r="Z323" s="227"/>
    </row>
    <row r="324" spans="26:26" x14ac:dyDescent="0.25">
      <c r="Z324" s="227"/>
    </row>
    <row r="325" spans="26:26" x14ac:dyDescent="0.25">
      <c r="Z325" s="227"/>
    </row>
    <row r="326" spans="26:26" x14ac:dyDescent="0.25">
      <c r="Z326" s="227"/>
    </row>
    <row r="327" spans="26:26" x14ac:dyDescent="0.25">
      <c r="Z327" s="227"/>
    </row>
    <row r="328" spans="26:26" x14ac:dyDescent="0.25">
      <c r="Z328" s="227"/>
    </row>
    <row r="329" spans="26:26" x14ac:dyDescent="0.25">
      <c r="Z329" s="227"/>
    </row>
    <row r="330" spans="26:26" x14ac:dyDescent="0.25">
      <c r="Z330" s="227"/>
    </row>
    <row r="331" spans="26:26" x14ac:dyDescent="0.25">
      <c r="Z331" s="227"/>
    </row>
    <row r="332" spans="26:26" x14ac:dyDescent="0.25">
      <c r="Z332" s="227"/>
    </row>
    <row r="333" spans="26:26" x14ac:dyDescent="0.25">
      <c r="Z333" s="227"/>
    </row>
    <row r="334" spans="26:26" x14ac:dyDescent="0.25">
      <c r="Z334" s="227"/>
    </row>
    <row r="335" spans="26:26" x14ac:dyDescent="0.25">
      <c r="Z335" s="227"/>
    </row>
    <row r="336" spans="26:26" x14ac:dyDescent="0.25">
      <c r="Z336" s="227"/>
    </row>
    <row r="337" spans="26:26" x14ac:dyDescent="0.25">
      <c r="Z337" s="227"/>
    </row>
    <row r="338" spans="26:26" x14ac:dyDescent="0.25">
      <c r="Z338" s="227"/>
    </row>
    <row r="339" spans="26:26" x14ac:dyDescent="0.25">
      <c r="Z339" s="227"/>
    </row>
    <row r="340" spans="26:26" x14ac:dyDescent="0.25">
      <c r="Z340" s="227"/>
    </row>
    <row r="341" spans="26:26" x14ac:dyDescent="0.25">
      <c r="Z341" s="227"/>
    </row>
    <row r="342" spans="26:26" x14ac:dyDescent="0.25">
      <c r="Z342" s="227"/>
    </row>
    <row r="343" spans="26:26" x14ac:dyDescent="0.25">
      <c r="Z343" s="227"/>
    </row>
    <row r="344" spans="26:26" x14ac:dyDescent="0.25">
      <c r="Z344" s="227"/>
    </row>
    <row r="345" spans="26:26" x14ac:dyDescent="0.25">
      <c r="Z345" s="227"/>
    </row>
    <row r="346" spans="26:26" x14ac:dyDescent="0.25">
      <c r="Z346" s="227"/>
    </row>
    <row r="347" spans="26:26" x14ac:dyDescent="0.25">
      <c r="Z347" s="227"/>
    </row>
    <row r="348" spans="26:26" x14ac:dyDescent="0.25">
      <c r="Z348" s="227"/>
    </row>
    <row r="349" spans="26:26" x14ac:dyDescent="0.25">
      <c r="Z349" s="227"/>
    </row>
    <row r="350" spans="26:26" x14ac:dyDescent="0.25">
      <c r="Z350" s="227"/>
    </row>
    <row r="351" spans="26:26" x14ac:dyDescent="0.25">
      <c r="Z351" s="227"/>
    </row>
    <row r="352" spans="26:26" x14ac:dyDescent="0.25">
      <c r="Z352" s="227"/>
    </row>
    <row r="353" spans="26:26" x14ac:dyDescent="0.25">
      <c r="Z353" s="227"/>
    </row>
    <row r="354" spans="26:26" x14ac:dyDescent="0.25">
      <c r="Z354" s="227"/>
    </row>
    <row r="355" spans="26:26" x14ac:dyDescent="0.25">
      <c r="Z355" s="227"/>
    </row>
    <row r="356" spans="26:26" x14ac:dyDescent="0.25">
      <c r="Z356" s="227"/>
    </row>
    <row r="357" spans="26:26" x14ac:dyDescent="0.25">
      <c r="Z357" s="227"/>
    </row>
    <row r="358" spans="26:26" x14ac:dyDescent="0.25">
      <c r="Z358" s="227"/>
    </row>
    <row r="359" spans="26:26" x14ac:dyDescent="0.25">
      <c r="Z359" s="227"/>
    </row>
    <row r="360" spans="26:26" x14ac:dyDescent="0.25">
      <c r="Z360" s="227"/>
    </row>
    <row r="361" spans="26:26" x14ac:dyDescent="0.25">
      <c r="Z361" s="227"/>
    </row>
    <row r="362" spans="26:26" x14ac:dyDescent="0.25">
      <c r="Z362" s="227"/>
    </row>
    <row r="363" spans="26:26" x14ac:dyDescent="0.25">
      <c r="Z363" s="227"/>
    </row>
    <row r="364" spans="26:26" x14ac:dyDescent="0.25">
      <c r="Z364" s="227"/>
    </row>
    <row r="365" spans="26:26" x14ac:dyDescent="0.25">
      <c r="Z365" s="227"/>
    </row>
    <row r="366" spans="26:26" x14ac:dyDescent="0.25">
      <c r="Z366" s="227"/>
    </row>
    <row r="367" spans="26:26" x14ac:dyDescent="0.25">
      <c r="Z367" s="227"/>
    </row>
    <row r="368" spans="26:26" x14ac:dyDescent="0.25">
      <c r="Z368" s="227"/>
    </row>
    <row r="369" spans="26:26" x14ac:dyDescent="0.25">
      <c r="Z369" s="227"/>
    </row>
    <row r="370" spans="26:26" x14ac:dyDescent="0.25">
      <c r="Z370" s="227"/>
    </row>
    <row r="371" spans="26:26" x14ac:dyDescent="0.25">
      <c r="Z371" s="227"/>
    </row>
    <row r="372" spans="26:26" x14ac:dyDescent="0.25">
      <c r="Z372" s="227"/>
    </row>
    <row r="373" spans="26:26" x14ac:dyDescent="0.25">
      <c r="Z373" s="227"/>
    </row>
    <row r="374" spans="26:26" x14ac:dyDescent="0.25">
      <c r="Z374" s="227"/>
    </row>
    <row r="375" spans="26:26" x14ac:dyDescent="0.25">
      <c r="Z375" s="227"/>
    </row>
    <row r="376" spans="26:26" x14ac:dyDescent="0.25">
      <c r="Z376" s="227"/>
    </row>
    <row r="377" spans="26:26" x14ac:dyDescent="0.25">
      <c r="Z377" s="227"/>
    </row>
    <row r="378" spans="26:26" x14ac:dyDescent="0.25">
      <c r="Z378" s="227"/>
    </row>
    <row r="379" spans="26:26" x14ac:dyDescent="0.25">
      <c r="Z379" s="227"/>
    </row>
    <row r="380" spans="26:26" x14ac:dyDescent="0.25">
      <c r="Z380" s="227"/>
    </row>
    <row r="381" spans="26:26" x14ac:dyDescent="0.25">
      <c r="Z381" s="227"/>
    </row>
    <row r="382" spans="26:26" x14ac:dyDescent="0.25">
      <c r="Z382" s="227"/>
    </row>
    <row r="383" spans="26:26" x14ac:dyDescent="0.25">
      <c r="Z383" s="227"/>
    </row>
    <row r="384" spans="26:26" x14ac:dyDescent="0.25">
      <c r="Z384" s="227"/>
    </row>
    <row r="385" spans="26:26" x14ac:dyDescent="0.25">
      <c r="Z385" s="227"/>
    </row>
    <row r="386" spans="26:26" x14ac:dyDescent="0.25">
      <c r="Z386" s="227"/>
    </row>
    <row r="387" spans="26:26" x14ac:dyDescent="0.25">
      <c r="Z387" s="227"/>
    </row>
    <row r="388" spans="26:26" x14ac:dyDescent="0.25">
      <c r="Z388" s="227"/>
    </row>
    <row r="389" spans="26:26" x14ac:dyDescent="0.25">
      <c r="Z389" s="227"/>
    </row>
    <row r="390" spans="26:26" x14ac:dyDescent="0.25">
      <c r="Z390" s="227"/>
    </row>
    <row r="391" spans="26:26" x14ac:dyDescent="0.25">
      <c r="Z391" s="227"/>
    </row>
    <row r="392" spans="26:26" x14ac:dyDescent="0.25">
      <c r="Z392" s="227"/>
    </row>
    <row r="393" spans="26:26" x14ac:dyDescent="0.25">
      <c r="Z393" s="227"/>
    </row>
    <row r="394" spans="26:26" x14ac:dyDescent="0.25">
      <c r="Z394" s="227"/>
    </row>
    <row r="395" spans="26:26" x14ac:dyDescent="0.25">
      <c r="Z395" s="227"/>
    </row>
    <row r="396" spans="26:26" x14ac:dyDescent="0.25">
      <c r="Z396" s="227"/>
    </row>
    <row r="397" spans="26:26" x14ac:dyDescent="0.25">
      <c r="Z397" s="227"/>
    </row>
    <row r="398" spans="26:26" x14ac:dyDescent="0.25">
      <c r="Z398" s="227"/>
    </row>
    <row r="399" spans="26:26" x14ac:dyDescent="0.25">
      <c r="Z399" s="227"/>
    </row>
    <row r="400" spans="26:26" x14ac:dyDescent="0.25">
      <c r="Z400" s="227"/>
    </row>
    <row r="401" spans="26:26" x14ac:dyDescent="0.25">
      <c r="Z401" s="227"/>
    </row>
    <row r="402" spans="26:26" x14ac:dyDescent="0.25">
      <c r="Z402" s="227"/>
    </row>
    <row r="403" spans="26:26" x14ac:dyDescent="0.25">
      <c r="Z403" s="227"/>
    </row>
    <row r="404" spans="26:26" x14ac:dyDescent="0.25">
      <c r="Z404" s="227"/>
    </row>
    <row r="405" spans="26:26" x14ac:dyDescent="0.25">
      <c r="Z405" s="227"/>
    </row>
    <row r="406" spans="26:26" x14ac:dyDescent="0.25">
      <c r="Z406" s="227"/>
    </row>
    <row r="407" spans="26:26" x14ac:dyDescent="0.25">
      <c r="Z407" s="227"/>
    </row>
    <row r="408" spans="26:26" x14ac:dyDescent="0.25">
      <c r="Z408" s="227"/>
    </row>
    <row r="409" spans="26:26" x14ac:dyDescent="0.25">
      <c r="Z409" s="227"/>
    </row>
    <row r="410" spans="26:26" x14ac:dyDescent="0.25">
      <c r="Z410" s="227"/>
    </row>
    <row r="411" spans="26:26" x14ac:dyDescent="0.25">
      <c r="Z411" s="227"/>
    </row>
    <row r="412" spans="26:26" x14ac:dyDescent="0.25">
      <c r="Z412" s="227"/>
    </row>
    <row r="413" spans="26:26" x14ac:dyDescent="0.25">
      <c r="Z413" s="227"/>
    </row>
    <row r="414" spans="26:26" x14ac:dyDescent="0.25">
      <c r="Z414" s="227"/>
    </row>
    <row r="415" spans="26:26" x14ac:dyDescent="0.25">
      <c r="Z415" s="227"/>
    </row>
    <row r="416" spans="26:26" x14ac:dyDescent="0.25">
      <c r="Z416" s="227"/>
    </row>
    <row r="417" spans="26:26" x14ac:dyDescent="0.25">
      <c r="Z417" s="227"/>
    </row>
    <row r="418" spans="26:26" x14ac:dyDescent="0.25">
      <c r="Z418" s="227"/>
    </row>
    <row r="419" spans="26:26" x14ac:dyDescent="0.25">
      <c r="Z419" s="227"/>
    </row>
    <row r="420" spans="26:26" x14ac:dyDescent="0.25">
      <c r="Z420" s="227"/>
    </row>
    <row r="421" spans="26:26" x14ac:dyDescent="0.25">
      <c r="Z421" s="227"/>
    </row>
    <row r="422" spans="26:26" x14ac:dyDescent="0.25">
      <c r="Z422" s="227"/>
    </row>
    <row r="423" spans="26:26" x14ac:dyDescent="0.25">
      <c r="Z423" s="227"/>
    </row>
    <row r="424" spans="26:26" x14ac:dyDescent="0.25">
      <c r="Z424" s="227"/>
    </row>
    <row r="425" spans="26:26" x14ac:dyDescent="0.25">
      <c r="Z425" s="227"/>
    </row>
    <row r="426" spans="26:26" x14ac:dyDescent="0.25">
      <c r="Z426" s="227"/>
    </row>
    <row r="427" spans="26:26" x14ac:dyDescent="0.25">
      <c r="Z427" s="227"/>
    </row>
    <row r="428" spans="26:26" x14ac:dyDescent="0.25">
      <c r="Z428" s="227"/>
    </row>
    <row r="429" spans="26:26" x14ac:dyDescent="0.25">
      <c r="Z429" s="227"/>
    </row>
    <row r="430" spans="26:26" x14ac:dyDescent="0.25">
      <c r="Z430" s="227"/>
    </row>
    <row r="431" spans="26:26" x14ac:dyDescent="0.25">
      <c r="Z431" s="227"/>
    </row>
    <row r="432" spans="26:26" x14ac:dyDescent="0.25">
      <c r="Z432" s="227"/>
    </row>
    <row r="433" spans="26:26" x14ac:dyDescent="0.25">
      <c r="Z433" s="227"/>
    </row>
    <row r="434" spans="26:26" x14ac:dyDescent="0.25">
      <c r="Z434" s="227"/>
    </row>
    <row r="435" spans="26:26" x14ac:dyDescent="0.25">
      <c r="Z435" s="227"/>
    </row>
    <row r="436" spans="26:26" x14ac:dyDescent="0.25">
      <c r="Z436" s="227"/>
    </row>
    <row r="437" spans="26:26" x14ac:dyDescent="0.25">
      <c r="Z437" s="227"/>
    </row>
    <row r="438" spans="26:26" x14ac:dyDescent="0.25">
      <c r="Z438" s="227"/>
    </row>
    <row r="439" spans="26:26" x14ac:dyDescent="0.25">
      <c r="Z439" s="227"/>
    </row>
    <row r="440" spans="26:26" x14ac:dyDescent="0.25">
      <c r="Z440" s="227"/>
    </row>
    <row r="441" spans="26:26" x14ac:dyDescent="0.25">
      <c r="Z441" s="227"/>
    </row>
    <row r="442" spans="26:26" x14ac:dyDescent="0.25">
      <c r="Z442" s="227"/>
    </row>
    <row r="443" spans="26:26" x14ac:dyDescent="0.25">
      <c r="Z443" s="227"/>
    </row>
    <row r="444" spans="26:26" x14ac:dyDescent="0.25">
      <c r="Z444" s="227"/>
    </row>
    <row r="445" spans="26:26" x14ac:dyDescent="0.25">
      <c r="Z445" s="227"/>
    </row>
    <row r="446" spans="26:26" x14ac:dyDescent="0.25">
      <c r="Z446" s="227"/>
    </row>
    <row r="447" spans="26:26" x14ac:dyDescent="0.25">
      <c r="Z447" s="227"/>
    </row>
    <row r="448" spans="26:26" x14ac:dyDescent="0.25">
      <c r="Z448" s="227"/>
    </row>
    <row r="449" spans="26:26" x14ac:dyDescent="0.25">
      <c r="Z449" s="227"/>
    </row>
    <row r="450" spans="26:26" x14ac:dyDescent="0.25">
      <c r="Z450" s="227"/>
    </row>
    <row r="451" spans="26:26" x14ac:dyDescent="0.25">
      <c r="Z451" s="227"/>
    </row>
    <row r="452" spans="26:26" x14ac:dyDescent="0.25">
      <c r="Z452" s="227"/>
    </row>
    <row r="453" spans="26:26" x14ac:dyDescent="0.25">
      <c r="Z453" s="227"/>
    </row>
    <row r="454" spans="26:26" x14ac:dyDescent="0.25">
      <c r="Z454" s="227"/>
    </row>
    <row r="455" spans="26:26" x14ac:dyDescent="0.25">
      <c r="Z455" s="227"/>
    </row>
    <row r="456" spans="26:26" x14ac:dyDescent="0.25">
      <c r="Z456" s="227"/>
    </row>
    <row r="457" spans="26:26" x14ac:dyDescent="0.25">
      <c r="Z457" s="227"/>
    </row>
    <row r="458" spans="26:26" x14ac:dyDescent="0.25">
      <c r="Z458" s="227"/>
    </row>
    <row r="459" spans="26:26" x14ac:dyDescent="0.25">
      <c r="Z459" s="227"/>
    </row>
    <row r="460" spans="26:26" x14ac:dyDescent="0.25">
      <c r="Z460" s="227"/>
    </row>
    <row r="461" spans="26:26" x14ac:dyDescent="0.25">
      <c r="Z461" s="227"/>
    </row>
    <row r="462" spans="26:26" x14ac:dyDescent="0.25">
      <c r="Z462" s="227"/>
    </row>
    <row r="463" spans="26:26" x14ac:dyDescent="0.25">
      <c r="Z463" s="227"/>
    </row>
    <row r="464" spans="26:26" x14ac:dyDescent="0.25">
      <c r="Z464" s="227"/>
    </row>
    <row r="465" spans="26:26" x14ac:dyDescent="0.25">
      <c r="Z465" s="227"/>
    </row>
    <row r="466" spans="26:26" x14ac:dyDescent="0.25">
      <c r="Z466" s="227"/>
    </row>
    <row r="467" spans="26:26" x14ac:dyDescent="0.25">
      <c r="Z467" s="227"/>
    </row>
  </sheetData>
  <autoFilter ref="A29:AB302"/>
  <mergeCells count="35">
    <mergeCell ref="Y7:Y8"/>
    <mergeCell ref="Z7:Z8"/>
    <mergeCell ref="W7:W8"/>
    <mergeCell ref="X7:X8"/>
    <mergeCell ref="Q6:Q8"/>
    <mergeCell ref="Y6:Z6"/>
    <mergeCell ref="U7:U8"/>
    <mergeCell ref="V7:V8"/>
    <mergeCell ref="T7:T8"/>
    <mergeCell ref="A2:Z2"/>
    <mergeCell ref="A3:Z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W6:X6"/>
    <mergeCell ref="W5:Z5"/>
    <mergeCell ref="I6:I8"/>
    <mergeCell ref="H5:H8"/>
    <mergeCell ref="O6:O8"/>
    <mergeCell ref="P6:P8"/>
    <mergeCell ref="S5:V5"/>
    <mergeCell ref="U6:V6"/>
    <mergeCell ref="J6:J8"/>
    <mergeCell ref="K6:K8"/>
    <mergeCell ref="S7:S8"/>
    <mergeCell ref="L6:L8"/>
    <mergeCell ref="M6:M8"/>
  </mergeCells>
  <phoneticPr fontId="0" type="noConversion"/>
  <pageMargins left="0.19685039370078741" right="0.19685039370078741" top="0.69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Roman,обычный"&amp;10Краснопольское ДРСУ-173&amp;R&amp;"Times New Roman,обычный"&amp;10&amp;P</oddFooter>
  </headerFooter>
  <rowBreaks count="4" manualBreakCount="4">
    <brk id="91" max="24" man="1"/>
    <brk id="125" max="24" man="1"/>
    <brk id="230" max="24" man="1"/>
    <brk id="25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AM364"/>
  <sheetViews>
    <sheetView zoomScale="90" zoomScaleNormal="90"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8.9140625" defaultRowHeight="15.5" x14ac:dyDescent="0.35"/>
  <cols>
    <col min="1" max="1" width="4.33203125" style="7" customWidth="1"/>
    <col min="2" max="3" width="7.25" style="7" hidden="1" customWidth="1"/>
    <col min="4" max="4" width="7.25" style="7" customWidth="1"/>
    <col min="5" max="5" width="43.4140625" style="143" customWidth="1"/>
    <col min="6" max="6" width="6.75" style="7" customWidth="1"/>
    <col min="7" max="7" width="6.9140625" style="7" customWidth="1"/>
    <col min="8" max="8" width="7.58203125" style="7" customWidth="1"/>
    <col min="9" max="9" width="7.25" style="7" customWidth="1"/>
    <col min="10" max="10" width="7.08203125" style="7" customWidth="1"/>
    <col min="11" max="11" width="6.9140625" style="7" customWidth="1"/>
    <col min="12" max="12" width="6.6640625" style="7" customWidth="1"/>
    <col min="13" max="13" width="6.75" style="7" customWidth="1"/>
    <col min="14" max="14" width="7.33203125" style="7" customWidth="1"/>
    <col min="15" max="15" width="6.9140625" style="7" customWidth="1"/>
    <col min="16" max="16" width="6.6640625" style="7" customWidth="1"/>
    <col min="17" max="17" width="7" style="7" customWidth="1"/>
    <col min="18" max="18" width="7.25" style="7" customWidth="1"/>
    <col min="19" max="19" width="4.4140625" style="7" customWidth="1"/>
    <col min="20" max="20" width="7.33203125" style="7" customWidth="1"/>
    <col min="21" max="21" width="4.33203125" style="7" customWidth="1"/>
    <col min="22" max="22" width="5.9140625" style="7" customWidth="1"/>
    <col min="23" max="23" width="4.33203125" style="7" customWidth="1"/>
    <col min="24" max="24" width="7.75" style="7" customWidth="1"/>
    <col min="25" max="25" width="4.58203125" style="7" customWidth="1"/>
    <col min="26" max="26" width="7.6640625" style="7" customWidth="1"/>
    <col min="27" max="36" width="8.9140625" style="3"/>
    <col min="37" max="37" width="21.25" style="3" customWidth="1"/>
    <col min="38" max="16384" width="8.9140625" style="3"/>
  </cols>
  <sheetData>
    <row r="1" spans="1:39" x14ac:dyDescent="0.35">
      <c r="T1" s="2066"/>
    </row>
    <row r="2" spans="1:39" ht="20" x14ac:dyDescent="0.35">
      <c r="A2" s="3122" t="s">
        <v>10626</v>
      </c>
      <c r="B2" s="3122"/>
      <c r="C2" s="3122"/>
      <c r="D2" s="3122"/>
      <c r="E2" s="3122"/>
      <c r="F2" s="3122"/>
      <c r="G2" s="3122"/>
      <c r="H2" s="3122"/>
      <c r="I2" s="3122"/>
      <c r="J2" s="3122"/>
      <c r="K2" s="3122"/>
      <c r="L2" s="3122"/>
      <c r="M2" s="3122"/>
      <c r="N2" s="3122"/>
      <c r="O2" s="3122"/>
      <c r="P2" s="3122"/>
      <c r="Q2" s="3122"/>
      <c r="R2" s="3122"/>
      <c r="S2" s="3122"/>
      <c r="T2" s="3122"/>
      <c r="U2" s="3122"/>
      <c r="V2" s="3122"/>
      <c r="W2" s="3122"/>
      <c r="X2" s="3122"/>
      <c r="Y2" s="3122"/>
      <c r="Z2" s="3122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51"/>
      <c r="B4" s="51"/>
      <c r="C4" s="51"/>
      <c r="D4" s="51"/>
      <c r="E4" s="142"/>
      <c r="F4" s="51"/>
      <c r="G4" s="51"/>
      <c r="H4" s="51"/>
      <c r="I4" s="51"/>
      <c r="J4" s="1844"/>
      <c r="K4" s="51"/>
      <c r="L4" s="51"/>
      <c r="M4" s="51"/>
      <c r="N4" s="51"/>
      <c r="O4" s="51"/>
      <c r="P4" s="51"/>
      <c r="Q4" s="51"/>
      <c r="R4" s="1844"/>
      <c r="S4" s="51"/>
      <c r="T4" s="51"/>
      <c r="U4" s="51"/>
      <c r="V4" s="51"/>
      <c r="W4" s="51"/>
      <c r="X4" s="51"/>
      <c r="Y4" s="51"/>
      <c r="Z4" s="51"/>
    </row>
    <row r="5" spans="1:39" ht="15.7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3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" thickBot="1" x14ac:dyDescent="0.4">
      <c r="A10" s="1695"/>
      <c r="B10" s="1696"/>
      <c r="C10" s="1696"/>
      <c r="D10" s="1696"/>
      <c r="E10" s="1207" t="s">
        <v>2392</v>
      </c>
      <c r="F10" s="1697"/>
      <c r="G10" s="1697"/>
      <c r="H10" s="1697"/>
      <c r="I10" s="1698">
        <f>J10+K10+L10</f>
        <v>374.02500000000003</v>
      </c>
      <c r="J10" s="1698">
        <f>M10+N10+O10+P10+Q10+R10</f>
        <v>370.87800000000004</v>
      </c>
      <c r="K10" s="1698">
        <f t="shared" ref="K10:R10" si="0">K11+K12+K13+K14</f>
        <v>0</v>
      </c>
      <c r="L10" s="1698">
        <f t="shared" si="0"/>
        <v>3.1470000000000002</v>
      </c>
      <c r="M10" s="1699">
        <f t="shared" si="0"/>
        <v>1.6</v>
      </c>
      <c r="N10" s="1698">
        <f t="shared" si="0"/>
        <v>156.46699999999998</v>
      </c>
      <c r="O10" s="1698">
        <f t="shared" si="0"/>
        <v>0</v>
      </c>
      <c r="P10" s="1698">
        <f t="shared" si="0"/>
        <v>0</v>
      </c>
      <c r="Q10" s="1700">
        <f>Q11+Q12+Q13+Q14</f>
        <v>112.34100000000002</v>
      </c>
      <c r="R10" s="1701">
        <f t="shared" si="0"/>
        <v>100.47</v>
      </c>
      <c r="S10" s="1697">
        <f>SUM(S30:S995)</f>
        <v>20</v>
      </c>
      <c r="T10" s="1529">
        <f t="shared" ref="T10:Z10" si="1">SUM(T30:T995)</f>
        <v>410.12</v>
      </c>
      <c r="U10" s="1697">
        <f t="shared" si="1"/>
        <v>0</v>
      </c>
      <c r="V10" s="1529">
        <f t="shared" si="1"/>
        <v>0</v>
      </c>
      <c r="W10" s="1697">
        <f t="shared" si="1"/>
        <v>546</v>
      </c>
      <c r="X10" s="1697">
        <f t="shared" si="1"/>
        <v>7247.829999999999</v>
      </c>
      <c r="Y10" s="1697">
        <f t="shared" si="1"/>
        <v>173</v>
      </c>
      <c r="Z10" s="1702">
        <f t="shared" si="1"/>
        <v>1895.0200000000002</v>
      </c>
      <c r="AB10" s="1697">
        <f>SUM(AB30:AB319)</f>
        <v>138</v>
      </c>
      <c r="AK10" s="2150" t="s">
        <v>11226</v>
      </c>
      <c r="AL10" s="43"/>
      <c r="AM10" s="2812" t="s">
        <v>11227</v>
      </c>
    </row>
    <row r="11" spans="1:39" x14ac:dyDescent="0.35">
      <c r="A11" s="314"/>
      <c r="B11" s="1048"/>
      <c r="C11" s="1048"/>
      <c r="D11" s="315"/>
      <c r="E11" s="1264" t="s">
        <v>909</v>
      </c>
      <c r="F11" s="1245">
        <v>3</v>
      </c>
      <c r="G11" s="1245"/>
      <c r="H11" s="1245"/>
      <c r="I11" s="1293"/>
      <c r="J11" s="1293"/>
      <c r="K11" s="1293"/>
      <c r="L11" s="1293"/>
      <c r="M11" s="1294"/>
      <c r="N11" s="1295"/>
      <c r="O11" s="1293"/>
      <c r="P11" s="1293"/>
      <c r="Q11" s="1296"/>
      <c r="R11" s="1297"/>
      <c r="S11" s="315"/>
      <c r="T11" s="304"/>
      <c r="U11" s="315"/>
      <c r="V11" s="315"/>
      <c r="W11" s="315"/>
      <c r="X11" s="115"/>
      <c r="Y11" s="315"/>
      <c r="Z11" s="1670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x14ac:dyDescent="0.35">
      <c r="A12" s="316"/>
      <c r="B12" s="1049"/>
      <c r="C12" s="1049"/>
      <c r="D12" s="148"/>
      <c r="E12" s="640"/>
      <c r="F12" s="1249">
        <v>4</v>
      </c>
      <c r="G12" s="1249"/>
      <c r="H12" s="1249"/>
      <c r="I12" s="1832">
        <f t="shared" ref="I12:I20" si="2">J12+K12+L12</f>
        <v>181.46</v>
      </c>
      <c r="J12" s="1281">
        <f t="shared" ref="J12:J20" si="3">R12+Q12+P12+O12+N12+M12</f>
        <v>180.35300000000001</v>
      </c>
      <c r="K12" s="1298">
        <f>SUMIF(F30:F902,4,K30:K902)</f>
        <v>0</v>
      </c>
      <c r="L12" s="1298">
        <f>SUMIF(F30:F902,4,L30:L902)</f>
        <v>1.1070000000000002</v>
      </c>
      <c r="M12" s="1299">
        <f>SUMIF(F30:F902,4,M30:M902)</f>
        <v>0</v>
      </c>
      <c r="N12" s="1300">
        <f>SUMIF(F30:F902,4,N30:N902)</f>
        <v>129.934</v>
      </c>
      <c r="O12" s="1298">
        <f>SUMIF(F30:F902,4,O30:O902)</f>
        <v>0</v>
      </c>
      <c r="P12" s="1298">
        <f>SUMIF(F30:F902,4,P30:P902)</f>
        <v>0</v>
      </c>
      <c r="Q12" s="1301">
        <f>SUMIF(F30:F902,4,Q30:Q902)</f>
        <v>50.419000000000011</v>
      </c>
      <c r="R12" s="1302">
        <f>SUMIF(F30:F902,4,R30:R902)</f>
        <v>0</v>
      </c>
      <c r="S12" s="148"/>
      <c r="T12" s="310"/>
      <c r="U12" s="148"/>
      <c r="V12" s="148"/>
      <c r="W12" s="148"/>
      <c r="X12" s="116"/>
      <c r="Y12" s="148"/>
      <c r="Z12" s="1671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316"/>
      <c r="B13" s="1049"/>
      <c r="C13" s="1049"/>
      <c r="D13" s="148"/>
      <c r="E13" s="640"/>
      <c r="F13" s="1249">
        <v>5</v>
      </c>
      <c r="G13" s="1249"/>
      <c r="H13" s="1249"/>
      <c r="I13" s="1280">
        <f t="shared" si="2"/>
        <v>71.810999999999993</v>
      </c>
      <c r="J13" s="1281">
        <f t="shared" si="3"/>
        <v>70.070999999999998</v>
      </c>
      <c r="K13" s="1298">
        <f>SUMIF(F30:F902,5,K30:K902)</f>
        <v>0</v>
      </c>
      <c r="L13" s="1298">
        <f>SUMIF(F30:F902,5,L30:L902)</f>
        <v>1.7400000000000002</v>
      </c>
      <c r="M13" s="1299">
        <f>SUMIF(F30:F902,5,M30:M902)</f>
        <v>1.6</v>
      </c>
      <c r="N13" s="1300">
        <f>SUMIF(F30:F902,5,N30:N902)</f>
        <v>22.284999999999997</v>
      </c>
      <c r="O13" s="1298">
        <f>SUMIF(F30:F902,5,O30:O902)</f>
        <v>0</v>
      </c>
      <c r="P13" s="1298">
        <f>SUMIF(F30:F902,5,P30:P902)</f>
        <v>0</v>
      </c>
      <c r="Q13" s="1301">
        <f>SUMIF(F30:F902,5,Q30:Q902)</f>
        <v>45.049000000000007</v>
      </c>
      <c r="R13" s="1302">
        <f>SUMIF(F30:F902,5,R30:R902)</f>
        <v>1.137</v>
      </c>
      <c r="S13" s="148"/>
      <c r="T13" s="310"/>
      <c r="U13" s="148"/>
      <c r="V13" s="148"/>
      <c r="W13" s="148"/>
      <c r="X13" s="116"/>
      <c r="Y13" s="148"/>
      <c r="Z13" s="1671"/>
      <c r="AD13" s="2777" t="s">
        <v>11126</v>
      </c>
      <c r="AE13" s="2776"/>
      <c r="AF13" s="2778">
        <v>79</v>
      </c>
      <c r="AG13" s="2783">
        <f>M12+N12+O12</f>
        <v>129.934</v>
      </c>
      <c r="AH13" s="2783">
        <f>M13+N13+O13</f>
        <v>23.884999999999998</v>
      </c>
      <c r="AI13" s="2784">
        <f>M14+N14+O14</f>
        <v>4.2479999999999993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x14ac:dyDescent="0.35">
      <c r="A14" s="316"/>
      <c r="B14" s="1049"/>
      <c r="C14" s="1049"/>
      <c r="D14" s="148"/>
      <c r="E14" s="640"/>
      <c r="F14" s="1249" t="s">
        <v>448</v>
      </c>
      <c r="G14" s="1249"/>
      <c r="H14" s="1249"/>
      <c r="I14" s="1250">
        <f t="shared" si="2"/>
        <v>120.754</v>
      </c>
      <c r="J14" s="1250">
        <f t="shared" si="3"/>
        <v>120.45400000000001</v>
      </c>
      <c r="K14" s="1250">
        <f>K15+K16+K17</f>
        <v>0</v>
      </c>
      <c r="L14" s="1250">
        <f>L15+L16+L17</f>
        <v>0.3</v>
      </c>
      <c r="M14" s="1250">
        <f t="shared" ref="M14:R14" si="4">M15+M16+M17</f>
        <v>0</v>
      </c>
      <c r="N14" s="1250">
        <f t="shared" si="4"/>
        <v>4.2479999999999993</v>
      </c>
      <c r="O14" s="1251">
        <f t="shared" si="4"/>
        <v>0</v>
      </c>
      <c r="P14" s="1317">
        <f t="shared" si="4"/>
        <v>0</v>
      </c>
      <c r="Q14" s="1252">
        <f t="shared" si="4"/>
        <v>16.873000000000005</v>
      </c>
      <c r="R14" s="1256">
        <f t="shared" si="4"/>
        <v>99.332999999999998</v>
      </c>
      <c r="S14" s="148"/>
      <c r="T14" s="310"/>
      <c r="U14" s="148"/>
      <c r="V14" s="148"/>
      <c r="W14" s="148"/>
      <c r="X14" s="116"/>
      <c r="Y14" s="148"/>
      <c r="Z14" s="1671"/>
      <c r="AD14" s="2777" t="s">
        <v>11127</v>
      </c>
      <c r="AE14" s="2776"/>
      <c r="AF14" s="2778">
        <v>80</v>
      </c>
      <c r="AG14" s="2785">
        <f>P12+Q12</f>
        <v>50.419000000000011</v>
      </c>
      <c r="AH14" s="2785">
        <f>P13+Q13</f>
        <v>45.049000000000007</v>
      </c>
      <c r="AI14" s="2786">
        <f>P14+Q14</f>
        <v>16.873000000000005</v>
      </c>
      <c r="AK14" s="2815" t="s">
        <v>11230</v>
      </c>
      <c r="AL14" s="2579">
        <f>SUMIFS(M30:M954,F30:F954,4,G30:G954,3)</f>
        <v>0</v>
      </c>
      <c r="AM14" s="2817"/>
    </row>
    <row r="15" spans="1:39" x14ac:dyDescent="0.35">
      <c r="A15" s="316"/>
      <c r="B15" s="1049"/>
      <c r="C15" s="1049"/>
      <c r="D15" s="148"/>
      <c r="E15" s="640"/>
      <c r="F15" s="1253" t="s">
        <v>827</v>
      </c>
      <c r="G15" s="1249"/>
      <c r="H15" s="1249"/>
      <c r="I15" s="1318">
        <f t="shared" si="2"/>
        <v>29.546000000000003</v>
      </c>
      <c r="J15" s="1318">
        <f t="shared" si="3"/>
        <v>29.246000000000002</v>
      </c>
      <c r="K15" s="1318">
        <f>SUMIF(F30:F986,"=6а",K30:K986)</f>
        <v>0</v>
      </c>
      <c r="L15" s="1318">
        <f>SUMIF(F30:F986,"=6а",L30:L986)</f>
        <v>0.3</v>
      </c>
      <c r="M15" s="1318">
        <f>SUMIF(F30:F986,"=6а",M30:M986)</f>
        <v>0</v>
      </c>
      <c r="N15" s="1318">
        <f>SUMIF(F30:F986,"=6а",N30:N986)</f>
        <v>2.9979999999999998</v>
      </c>
      <c r="O15" s="1319">
        <f>SUMIF(F30:F986,"=6а",O30:O986)</f>
        <v>0</v>
      </c>
      <c r="P15" s="1320">
        <f>SUMIF(F30:F986,"=6а",P30:P986)</f>
        <v>0</v>
      </c>
      <c r="Q15" s="1321">
        <f>SUMIF(F30:F986,"=6а",Q30:Q986)</f>
        <v>12.370000000000001</v>
      </c>
      <c r="R15" s="1322">
        <f>SUMIF(F30:F986,"=6а",R30:R986)</f>
        <v>13.878</v>
      </c>
      <c r="S15" s="148"/>
      <c r="T15" s="310"/>
      <c r="U15" s="148"/>
      <c r="V15" s="148"/>
      <c r="W15" s="148"/>
      <c r="X15" s="116"/>
      <c r="Y15" s="148"/>
      <c r="Z15" s="1671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1.137</v>
      </c>
      <c r="AI15" s="2788">
        <f>R14</f>
        <v>99.332999999999998</v>
      </c>
      <c r="AK15" s="2815" t="s">
        <v>11231</v>
      </c>
      <c r="AL15" s="2579">
        <f>SUMIFS(N30:N954,F30:F954,4,G30:G954,3)</f>
        <v>0</v>
      </c>
      <c r="AM15" s="2817"/>
    </row>
    <row r="16" spans="1:39" x14ac:dyDescent="0.35">
      <c r="A16" s="316"/>
      <c r="B16" s="1049"/>
      <c r="C16" s="1049"/>
      <c r="D16" s="148"/>
      <c r="E16" s="1265"/>
      <c r="F16" s="1254" t="s">
        <v>1490</v>
      </c>
      <c r="G16" s="1249"/>
      <c r="H16" s="1249"/>
      <c r="I16" s="1318">
        <f t="shared" si="2"/>
        <v>13.846</v>
      </c>
      <c r="J16" s="1318">
        <f t="shared" si="3"/>
        <v>13.846</v>
      </c>
      <c r="K16" s="1318">
        <f>SUMIF(F30:F987,"=6б",K30:K987)</f>
        <v>0</v>
      </c>
      <c r="L16" s="1318">
        <f>SUMIF(F30:F987,"=6б",L30:L987)</f>
        <v>0</v>
      </c>
      <c r="M16" s="1318">
        <f>SUMIF(F30:F987,"=6б",M30:M987)</f>
        <v>0</v>
      </c>
      <c r="N16" s="1318">
        <f>SUMIF(F30:F987,"=6б",N30:N987)</f>
        <v>1.2499999999999998</v>
      </c>
      <c r="O16" s="1319">
        <f>SUMIF(F30:F987,"=6б",O30:O987)</f>
        <v>0</v>
      </c>
      <c r="P16" s="1320">
        <f>SUMIF(F30:F987,"=6б",P30:P987)</f>
        <v>0</v>
      </c>
      <c r="Q16" s="1321">
        <f>SUMIF(F30:F987,"=6б",Q30:Q987)</f>
        <v>4.5030000000000019</v>
      </c>
      <c r="R16" s="1322">
        <f>SUMIF(F30:F987,"=6б",R30:R987)</f>
        <v>8.0929999999999982</v>
      </c>
      <c r="S16" s="148"/>
      <c r="T16" s="310"/>
      <c r="U16" s="148"/>
      <c r="V16" s="148"/>
      <c r="W16" s="148"/>
      <c r="X16" s="116"/>
      <c r="Y16" s="148"/>
      <c r="Z16" s="1671"/>
      <c r="AK16" s="2815" t="s">
        <v>11232</v>
      </c>
      <c r="AL16" s="2579">
        <f>SUMIFS(O30:O954,F30:F954,4,G30:G954,3)</f>
        <v>0</v>
      </c>
      <c r="AM16" s="2817"/>
    </row>
    <row r="17" spans="1:39" x14ac:dyDescent="0.35">
      <c r="A17" s="316"/>
      <c r="B17" s="1049"/>
      <c r="C17" s="1049"/>
      <c r="D17" s="148"/>
      <c r="E17" s="1265"/>
      <c r="F17" s="2271" t="s">
        <v>449</v>
      </c>
      <c r="G17" s="1249"/>
      <c r="H17" s="1249"/>
      <c r="I17" s="2272">
        <f t="shared" si="2"/>
        <v>77.362000000000009</v>
      </c>
      <c r="J17" s="2272">
        <f t="shared" si="3"/>
        <v>77.362000000000009</v>
      </c>
      <c r="K17" s="2272">
        <f>SUMIF(F30:F988,"=б/к",K30:K988)</f>
        <v>0</v>
      </c>
      <c r="L17" s="2272">
        <f>SUMIF(F30:F988,"=б/к",L30:L988)</f>
        <v>0</v>
      </c>
      <c r="M17" s="2272">
        <f>SUMIF(F30:F988,"=б/к",M30:M988)</f>
        <v>0</v>
      </c>
      <c r="N17" s="2272">
        <f>SUMIF(F30:F988,"=б/к",N30:N988)</f>
        <v>0</v>
      </c>
      <c r="O17" s="2272">
        <f>SUMIF(F30:F988,"=б/к",O30:O988)</f>
        <v>0</v>
      </c>
      <c r="P17" s="2272">
        <f>SUMIF(F30:F988,"=б/к",P30:P988)</f>
        <v>0</v>
      </c>
      <c r="Q17" s="2273">
        <f>SUMIF(F30:F988,"=б/к",Q30:Q988)</f>
        <v>0</v>
      </c>
      <c r="R17" s="2274">
        <f>SUMIF(F30:F988,"=б/к",R30:R988)</f>
        <v>77.362000000000009</v>
      </c>
      <c r="S17" s="148"/>
      <c r="T17" s="310"/>
      <c r="U17" s="148"/>
      <c r="V17" s="148"/>
      <c r="W17" s="148"/>
      <c r="X17" s="116"/>
      <c r="Y17" s="148"/>
      <c r="Z17" s="1671"/>
      <c r="AK17" s="2815" t="s">
        <v>11233</v>
      </c>
      <c r="AL17" s="2579">
        <f>SUMIFS(P30:P954,F30:F954,4,G30:G954,3)+SUMIFS(Q30:Q954,F30:F954,4,G30:G954,3)</f>
        <v>0</v>
      </c>
      <c r="AM17" s="2817"/>
    </row>
    <row r="18" spans="1:39" x14ac:dyDescent="0.35">
      <c r="A18" s="316"/>
      <c r="B18" s="1049"/>
      <c r="C18" s="1049"/>
      <c r="D18" s="148"/>
      <c r="E18" s="1266"/>
      <c r="F18" s="1266" t="s">
        <v>3303</v>
      </c>
      <c r="G18" s="1241">
        <v>3</v>
      </c>
      <c r="H18" s="1241"/>
      <c r="I18" s="1303">
        <f t="shared" si="2"/>
        <v>0</v>
      </c>
      <c r="J18" s="1303">
        <f t="shared" si="3"/>
        <v>0</v>
      </c>
      <c r="K18" s="1303">
        <f>SUMIF(G30:G902,3,K30:K902)</f>
        <v>0</v>
      </c>
      <c r="L18" s="1303">
        <f>SUMIF(G30:G902,3,L30:L902)</f>
        <v>0</v>
      </c>
      <c r="M18" s="1304">
        <f>SUMIF(G30:G902,3,M30:M902)</f>
        <v>0</v>
      </c>
      <c r="N18" s="1305">
        <f>SUMIF(G30:G902,3,N30:N902)</f>
        <v>0</v>
      </c>
      <c r="O18" s="1303">
        <f>SUMIF(G30:G902,3,O30:O902)</f>
        <v>0</v>
      </c>
      <c r="P18" s="1303">
        <f>SUMIF(G30:G902,3,P30:P902)</f>
        <v>0</v>
      </c>
      <c r="Q18" s="1306">
        <f>SUMIF(G30:G902,3,Q30:Q902)</f>
        <v>0</v>
      </c>
      <c r="R18" s="1307">
        <f>SUMIF(G30:G902,3,R30:R902)</f>
        <v>0</v>
      </c>
      <c r="S18" s="148"/>
      <c r="T18" s="310"/>
      <c r="U18" s="148"/>
      <c r="V18" s="148"/>
      <c r="W18" s="148"/>
      <c r="X18" s="116"/>
      <c r="Y18" s="148"/>
      <c r="Z18" s="1671"/>
      <c r="AK18" s="2815" t="s">
        <v>910</v>
      </c>
      <c r="AL18" s="2579">
        <f>SUMIFS(R30:R954,F30:F954,4,G30:G954,3)</f>
        <v>0</v>
      </c>
      <c r="AM18" s="2817"/>
    </row>
    <row r="19" spans="1:39" x14ac:dyDescent="0.35">
      <c r="A19" s="316"/>
      <c r="B19" s="1049"/>
      <c r="C19" s="1049"/>
      <c r="D19" s="148"/>
      <c r="E19" s="98"/>
      <c r="F19" s="1240"/>
      <c r="G19" s="1241">
        <v>4</v>
      </c>
      <c r="H19" s="1241"/>
      <c r="I19" s="1303">
        <f t="shared" si="2"/>
        <v>88.808999999999997</v>
      </c>
      <c r="J19" s="1303">
        <f t="shared" si="3"/>
        <v>88.808999999999997</v>
      </c>
      <c r="K19" s="1303">
        <f>SUMIF(G30:G902,4,K30:K902)</f>
        <v>0</v>
      </c>
      <c r="L19" s="1303">
        <f>SUMIF(G30:G902,4,L30:L902)</f>
        <v>0</v>
      </c>
      <c r="M19" s="1304">
        <f>SUMIF(G30:G902,4,M30:M902)</f>
        <v>0</v>
      </c>
      <c r="N19" s="1305">
        <f>SUMIF(G30:G902,4,N30:N902)</f>
        <v>84.250999999999991</v>
      </c>
      <c r="O19" s="1303">
        <f>SUMIF(G30:G902,4,O30:O902)</f>
        <v>0</v>
      </c>
      <c r="P19" s="1303">
        <f>SUMIF(G30:G902,4,P30:P902)</f>
        <v>0</v>
      </c>
      <c r="Q19" s="1306">
        <f>SUMIF(G30:G902,4,Q30:Q902)</f>
        <v>4.5580000000000007</v>
      </c>
      <c r="R19" s="1307">
        <f>SUMIF(G30:G902,4,R30:R902)</f>
        <v>0</v>
      </c>
      <c r="S19" s="148"/>
      <c r="T19" s="310"/>
      <c r="U19" s="148"/>
      <c r="V19" s="148"/>
      <c r="W19" s="148"/>
      <c r="X19" s="116"/>
      <c r="Y19" s="148"/>
      <c r="Z19" s="1671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ht="16" thickBot="1" x14ac:dyDescent="0.4">
      <c r="A20" s="317"/>
      <c r="B20" s="1050"/>
      <c r="C20" s="1050"/>
      <c r="D20" s="318"/>
      <c r="E20" s="319"/>
      <c r="F20" s="1258"/>
      <c r="G20" s="1259">
        <v>5</v>
      </c>
      <c r="H20" s="1259"/>
      <c r="I20" s="1303">
        <f t="shared" si="2"/>
        <v>285.21599999999995</v>
      </c>
      <c r="J20" s="1303">
        <f t="shared" si="3"/>
        <v>282.06899999999996</v>
      </c>
      <c r="K20" s="1308">
        <f>SUMIF(G30:G902,5,K30:K902)</f>
        <v>0</v>
      </c>
      <c r="L20" s="1308">
        <f>SUMIF(G30:G902,5,L30:L902)</f>
        <v>3.1470000000000002</v>
      </c>
      <c r="M20" s="1309">
        <f>SUMIF(G30:G902,5,M30:M902)</f>
        <v>1.6</v>
      </c>
      <c r="N20" s="1310">
        <f>SUMIF(G30:G902,5,N30:N902)</f>
        <v>72.21599999999998</v>
      </c>
      <c r="O20" s="1308">
        <f>SUMIF(G30:G902,5,O30:O902)</f>
        <v>0</v>
      </c>
      <c r="P20" s="1308">
        <f>SUMIF(G30:G902,5,P30:P902)</f>
        <v>0</v>
      </c>
      <c r="Q20" s="1311">
        <f>SUMIF(G30:G902,5,Q30:Q902)</f>
        <v>107.78299999999999</v>
      </c>
      <c r="R20" s="1312">
        <f>SUMIF(G30:G902,5,R30:R902)</f>
        <v>100.46999999999997</v>
      </c>
      <c r="S20" s="318"/>
      <c r="T20" s="320"/>
      <c r="U20" s="318"/>
      <c r="V20" s="318"/>
      <c r="W20" s="318"/>
      <c r="X20" s="321"/>
      <c r="Y20" s="318"/>
      <c r="Z20" s="1672"/>
      <c r="AK20" s="2815" t="s">
        <v>11230</v>
      </c>
      <c r="AL20" s="2579">
        <f>SUMIFS(M30:M954,F30:F954,5,G30:G954,3)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SUMIFS(N30:N954,F30:F954,5,G30:G954,3)</f>
        <v>0</v>
      </c>
      <c r="AM21" s="2817"/>
    </row>
    <row r="22" spans="1:39" customFormat="1" x14ac:dyDescent="0.35">
      <c r="A22" s="285"/>
      <c r="B22" s="993"/>
      <c r="C22" s="993"/>
      <c r="D22" s="538">
        <f>SUMIF(C30:C918,"=сад",AB30:AB918)</f>
        <v>3</v>
      </c>
      <c r="E22" s="2241" t="s">
        <v>2763</v>
      </c>
      <c r="F22" s="98"/>
      <c r="G22" s="226"/>
      <c r="H22" s="226"/>
      <c r="I22" s="2247">
        <f>J22+K22+L22</f>
        <v>3.9000000000000004</v>
      </c>
      <c r="J22" s="2247">
        <f>R22+Q22+P22+O22+N22+M22</f>
        <v>3.9000000000000004</v>
      </c>
      <c r="K22" s="2247">
        <f>SUMIF(C30:C918,"=сад",K30:K918)</f>
        <v>0</v>
      </c>
      <c r="L22" s="2247">
        <f>SUMIF(C30:C918,"=сад",L30:L918)</f>
        <v>0</v>
      </c>
      <c r="M22" s="2247">
        <f>SUMIF(C30:C918,"=сад",M30:M918)</f>
        <v>0</v>
      </c>
      <c r="N22" s="2247">
        <f>SUMIF(C30:C918,"=сад",N30:N918)</f>
        <v>0</v>
      </c>
      <c r="O22" s="2248">
        <f>SUMIF(C30:C918,"=сад",O30:O918)</f>
        <v>0</v>
      </c>
      <c r="P22" s="2247">
        <f>SUMIF(C30:C918,"=сад",P30:P918)</f>
        <v>0</v>
      </c>
      <c r="Q22" s="2249">
        <f>SUMIF(C30:C918,"=сад",Q30:Q918)</f>
        <v>0</v>
      </c>
      <c r="R22" s="2250">
        <f>SUMIF(C30:C918,"=сад",R30:R918)</f>
        <v>3.9000000000000004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SUMIFS(O30:O954,F30:F954,5,G30:G954,3)</f>
        <v>0</v>
      </c>
      <c r="AM22" s="2817"/>
    </row>
    <row r="23" spans="1:39" customFormat="1" x14ac:dyDescent="0.35">
      <c r="A23" s="285"/>
      <c r="B23" s="993"/>
      <c r="C23" s="993"/>
      <c r="D23" s="538">
        <f>SUMIF(C30:C919,"=индив",AB30:AB919)</f>
        <v>2</v>
      </c>
      <c r="E23" s="2241" t="s">
        <v>2762</v>
      </c>
      <c r="F23" s="98"/>
      <c r="G23" s="226"/>
      <c r="H23" s="226"/>
      <c r="I23" s="2247">
        <f>J23+K23+L23</f>
        <v>1.5</v>
      </c>
      <c r="J23" s="2247">
        <f>R23+Q23+P23+O23+N23+M23</f>
        <v>1.2</v>
      </c>
      <c r="K23" s="2247">
        <f>SUMIF(C30:C919,"=индив",K30:K919)</f>
        <v>0</v>
      </c>
      <c r="L23" s="2247">
        <f>SUMIF(C30:C919,"=индив",L30:L919)</f>
        <v>0.3</v>
      </c>
      <c r="M23" s="2247">
        <f>SUMIF(C30:C919,"=индив",M30:M919)</f>
        <v>0</v>
      </c>
      <c r="N23" s="2247">
        <f>SUMIF(C30:C919,"=индив",N30:N919)</f>
        <v>0</v>
      </c>
      <c r="O23" s="2248">
        <f>SUMIF(C30:C919,"=индив",O30:O919)</f>
        <v>0</v>
      </c>
      <c r="P23" s="2247">
        <f>SUMIF(C30:C919,"=индив",P30:P919)</f>
        <v>0</v>
      </c>
      <c r="Q23" s="2249">
        <f>SUMIF(C30:C919,"=индив",Q30:Q919)</f>
        <v>0.5</v>
      </c>
      <c r="R23" s="2250">
        <f>SUMIF(C30:C919,"=индив",R30:R919)</f>
        <v>0.7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SUMIFS(P30:P954,F30:F954,5,G30:G954,3)+SUMIFS(Q30:Q954,F30:F954,5,G30:G954,3)</f>
        <v>0</v>
      </c>
      <c r="AM23" s="2817"/>
    </row>
    <row r="24" spans="1:39" customFormat="1" x14ac:dyDescent="0.35">
      <c r="A24" s="285"/>
      <c r="B24" s="993"/>
      <c r="C24" s="993"/>
      <c r="D24" s="538">
        <f>SUMIF(C30:C920,"=кладб",AB30:AB920)</f>
        <v>54</v>
      </c>
      <c r="E24" s="2241" t="s">
        <v>2761</v>
      </c>
      <c r="F24" s="98"/>
      <c r="G24" s="226"/>
      <c r="H24" s="226"/>
      <c r="I24" s="2247">
        <f>J24+K24+L24</f>
        <v>25.762999999999998</v>
      </c>
      <c r="J24" s="2247">
        <f>R24+Q24+P24+O24+N24+M24</f>
        <v>25.762999999999998</v>
      </c>
      <c r="K24" s="2247">
        <f>SUMIF(C30:C920,"=кладб",K30:K920)</f>
        <v>0</v>
      </c>
      <c r="L24" s="2247">
        <f>SUMIF(C30:C920,"=кладб",L30:L920)</f>
        <v>0</v>
      </c>
      <c r="M24" s="2247">
        <f>SUMIF(C30:C920,"=кладб",M30:M920)</f>
        <v>0</v>
      </c>
      <c r="N24" s="2247">
        <f>SUMIF(C30:C920,"=кладб",N30:N920)</f>
        <v>1</v>
      </c>
      <c r="O24" s="2248">
        <f>SUMIF(C30:C920,"=кладб",O30:O920)</f>
        <v>0</v>
      </c>
      <c r="P24" s="2247">
        <f>SUMIF(C30:C920,"=кладб",P30:P920)</f>
        <v>0</v>
      </c>
      <c r="Q24" s="2249">
        <f>SUMIF(C30:C920,"=кладб",Q30:Q920)</f>
        <v>0</v>
      </c>
      <c r="R24" s="2250">
        <f>SUMIF(C30:C920,"=кладб",R30:R920)</f>
        <v>24.762999999999998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SUMIFS(R30:R954,F30:F954,5,G30:G954,3)</f>
        <v>0</v>
      </c>
      <c r="AM24" s="2817"/>
    </row>
    <row r="25" spans="1:39" customFormat="1" x14ac:dyDescent="0.35">
      <c r="A25" s="387"/>
      <c r="B25" s="994"/>
      <c r="C25" s="994"/>
      <c r="D25" s="538">
        <f>SUMIF(C30:C921,"=прир",AB30:AB921)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SUMIF(C30:C921,"=прир",K30:K921)</f>
        <v>0</v>
      </c>
      <c r="L25" s="2259">
        <f>SUMIF(C30:C921,"=прир",L30:L921)</f>
        <v>0</v>
      </c>
      <c r="M25" s="2259">
        <f>SUMIF(C30:C921,"=прир",M30:M921)</f>
        <v>0</v>
      </c>
      <c r="N25" s="2259">
        <f>SUMIF(C30:C921,"=прир",N30:N921)</f>
        <v>0</v>
      </c>
      <c r="O25" s="2260">
        <f>SUMIF(C30:C921,"=прир",O30:O921)</f>
        <v>0</v>
      </c>
      <c r="P25" s="2259">
        <f>SUMIF(C30:C921,"=прир",P30:P921)</f>
        <v>0</v>
      </c>
      <c r="Q25" s="2261">
        <f>SUMIF(C30:C921,"=прир",Q30:Q921)</f>
        <v>0</v>
      </c>
      <c r="R25" s="2262">
        <f>SUMIF(C30:C921,"=прир",R30:R921)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SUMIF(C30:C922,"=ист",AB30:AB922)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SUMIF(C30:C922,"=ист",K30:K922)</f>
        <v>0</v>
      </c>
      <c r="L26" s="2259">
        <f>SUMIF(C30:C922,"=ист",L30:L922)</f>
        <v>0</v>
      </c>
      <c r="M26" s="2259">
        <f>SUMIF(C30:C922,"=ист",M30:M922)</f>
        <v>0</v>
      </c>
      <c r="N26" s="2259">
        <f>SUMIF(C30:C922,"=ист",N30:N922)</f>
        <v>0</v>
      </c>
      <c r="O26" s="2260">
        <f>SUMIF(C30:C922,"=ист",O30:O922)</f>
        <v>0</v>
      </c>
      <c r="P26" s="2259">
        <f>SUMIF(C30:C922,"=ист",P30:P922)</f>
        <v>0</v>
      </c>
      <c r="Q26" s="2261">
        <f>SUMIF(C30:C922,"=ист",Q30:Q922)</f>
        <v>0</v>
      </c>
      <c r="R26" s="2262">
        <f>SUMIF(C30:C922,"=ист",R30:R922)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SUMIFS(M30:M954,F30:F954,"6а",G30:G954,3)+SUMIFS(M30:M954,F30:F954,"6б",G30:G954,3)+SUMIFS(M30:M954,F30:F954,"б/к",G30:G954,3)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SUMIFS(N30:N954,F30:F954,"6а",G30:G954,3)+SUMIFS(N30:N954,F30:F954,"6б",G30:G954,3)+SUMIFS(N30:N954,F30:F954,"б/к",G30:G954,3)</f>
        <v>0</v>
      </c>
      <c r="AM27" s="2817"/>
    </row>
    <row r="28" spans="1:39" ht="16" thickBot="1" x14ac:dyDescent="0.4">
      <c r="A28" s="1695"/>
      <c r="B28" s="1696"/>
      <c r="C28" s="1696"/>
      <c r="D28" s="1696"/>
      <c r="E28" s="451"/>
      <c r="F28" s="1696"/>
      <c r="G28" s="1696"/>
      <c r="H28" s="1696"/>
      <c r="I28" s="2324">
        <f t="shared" ref="I28:R28" si="5">SUBTOTAL(9,I30:I414)</f>
        <v>374.02499999999992</v>
      </c>
      <c r="J28" s="2324">
        <f t="shared" si="5"/>
        <v>370.87799999999993</v>
      </c>
      <c r="K28" s="2324">
        <f t="shared" si="5"/>
        <v>0</v>
      </c>
      <c r="L28" s="2324">
        <f t="shared" si="5"/>
        <v>6.2940000000000005</v>
      </c>
      <c r="M28" s="2324">
        <f t="shared" si="5"/>
        <v>1.6</v>
      </c>
      <c r="N28" s="2324">
        <f t="shared" si="5"/>
        <v>219.87600000000003</v>
      </c>
      <c r="O28" s="2324">
        <f t="shared" si="5"/>
        <v>0</v>
      </c>
      <c r="P28" s="2324">
        <f t="shared" si="5"/>
        <v>0</v>
      </c>
      <c r="Q28" s="2324">
        <f t="shared" si="5"/>
        <v>209.43599999999998</v>
      </c>
      <c r="R28" s="2324">
        <f t="shared" si="5"/>
        <v>136.49699999999996</v>
      </c>
      <c r="S28" s="1696"/>
      <c r="T28" s="1525"/>
      <c r="U28" s="1696"/>
      <c r="V28" s="1696"/>
      <c r="W28" s="1696"/>
      <c r="X28" s="482"/>
      <c r="Y28" s="1696"/>
      <c r="Z28" s="1703"/>
      <c r="AB28" s="2334">
        <f>SUBTOTAL(9,AB30:AB414)</f>
        <v>138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SUMIFS(O30:O954,F30:F954,"6а",G30:G954,3)+SUMIFS(O30:O954,F30:F954,"6б",G30:G954,3)+SUMIFS(O30:O954,F30:F954,"б/к",G30:G954,3)</f>
        <v>0</v>
      </c>
      <c r="AM28" s="2817"/>
    </row>
    <row r="29" spans="1:39" x14ac:dyDescent="0.35">
      <c r="A29" s="89"/>
      <c r="B29" s="1023"/>
      <c r="C29" s="1023"/>
      <c r="D29" s="87"/>
      <c r="E29" s="1234" t="s">
        <v>2871</v>
      </c>
      <c r="F29" s="87"/>
      <c r="G29" s="87"/>
      <c r="H29" s="87"/>
      <c r="I29" s="682"/>
      <c r="J29" s="682"/>
      <c r="K29" s="682"/>
      <c r="L29" s="682"/>
      <c r="M29" s="1224"/>
      <c r="N29" s="1231"/>
      <c r="O29" s="683"/>
      <c r="P29" s="682"/>
      <c r="Q29" s="1221"/>
      <c r="R29" s="1218"/>
      <c r="S29" s="87"/>
      <c r="T29" s="258"/>
      <c r="U29" s="87"/>
      <c r="V29" s="87"/>
      <c r="W29" s="145"/>
      <c r="X29" s="145"/>
      <c r="Y29" s="145"/>
      <c r="Z29" s="1712"/>
      <c r="AD29" s="2578" t="s">
        <v>7180</v>
      </c>
      <c r="AE29" s="2579">
        <f>SUMIFS(M30:M885,F30:F885,3,G30:G885,3)+SUMIFS(N30:N885,F30:F885,3,G30:G885,3)+SUMIFS(O30:O885,F30:F885,3,G30:G885,3)+SUMIFS(P30:P885,F30:F885,3,G30:G885,3)+SUMIFS(Q30:Q885,F30:F885,3,G30:G885,3)+SUMIFS(R30:R885,F30:F885,3,G30:G885,3)</f>
        <v>0</v>
      </c>
      <c r="AF29" s="2579">
        <f>SUMIFS(M30:M885,F30:F885,4,G30:G885,3)+SUMIFS(N30:N885,F30:F885,4,G30:G885,3)+SUMIFS(O30:O885,F30:F885,4,G30:G885,3)+SUMIFS(P30:P885,F30:F885,4,G30:G885,3)+SUMIFS(Q30:Q885,F30:F885,4,G30:G885,3)+SUMIFS(R30:R885,F30:F885,4,G30:G885,3)</f>
        <v>0</v>
      </c>
      <c r="AG29" s="2579">
        <f>SUMIFS(M30:M885,F30:F885,5,G30:G885,3)+SUMIFS(N30:N885,F30:F885,5,G30:G885,3)+SUMIFS(O30:O885,F30:F885,5,G30:G885,3)+SUMIFS(P30:P885,F30:F885,5,G30:G885,3)+SUMIFS(Q30:Q885,F30:F885,5,G30:G885,3)+SUMIFS(R30:R885,F30:F885,5,G30:G885,3)</f>
        <v>0</v>
      </c>
      <c r="AH29" s="2579">
        <f>SUMIFS(M30:M885,F30:F885,"6а",G30:G885,3)+SUMIFS(N30:N885,F30:F885,"6а",G30:G885,3)+SUMIFS(O30:O885,F30:F885,"6а",G30:G885,3)+SUMIFS(P30:P885,F30:F885,"6а",G30:G885,3)+SUMIFS(Q30:Q885,F30:F885,"6а",G30:G885,3)+SUMIFS(R30:R885,F30:F885,"6а",G30:G885,3)</f>
        <v>0</v>
      </c>
      <c r="AI29" s="2579">
        <f>SUMIFS(M30:M885,F30:F885,"6б",G30:G885,3)+SUMIFS(N30:N885,F30:F885,"6б",G30:G885,3)+SUMIFS(O30:O885,F30:F885,"6б",G30:G885,3)+SUMIFS(P30:P885,F30:F885,"6б",G30:G885,3)+SUMIFS(Q30:Q885,F30:F885,"6б",G30:G885,3)+SUMIFS(R30:R885,F30:F885,"6б",G30:G885,3)</f>
        <v>0</v>
      </c>
      <c r="AJ29" s="2580">
        <f>SUMIFS(M30:M885,F30:F885,"б/к",G30:G885,3)+SUMIFS(N30:N885,F30:F885,"б/к",G30:G885,3)+SUMIFS(O30:O885,F30:F885,"б/к",G30:G885,3)+SUMIFS(P30:P885,F30:F885,"б/к",G30:G885,3)+SUMIFS(Q30:Q885,F30:F885,"б/к",G30:G885,3)+SUMIFS(R30:R885,F30:F885,"б/к",G30:G885,3)</f>
        <v>0</v>
      </c>
      <c r="AK29" s="2815" t="s">
        <v>11233</v>
      </c>
      <c r="AL29" s="2579">
        <f>SUMIFS(P30:P954,F30:F954,"6а",G30:G954,3)+SUMIFS(Q30:Q954,F30:F954,"6а",G30:G954,3)+SUMIFS(P30:P954,F30:F954,"6б",G30:G954,3)+SUMIFS(Q30:Q954,F30:F954,"6б",G30:G954,3)+SUMIFS(P30:P954,F30:F954,"б/к",G30:G954,3)+SUMIFS(Q30:Q954,F30:F954,"б/к",G30:G954,3)</f>
        <v>0</v>
      </c>
      <c r="AM29" s="2817"/>
    </row>
    <row r="30" spans="1:39" ht="45" x14ac:dyDescent="0.35">
      <c r="A30" s="370">
        <v>1</v>
      </c>
      <c r="B30" s="365">
        <v>10826</v>
      </c>
      <c r="C30" s="365"/>
      <c r="D30" s="365" t="s">
        <v>1159</v>
      </c>
      <c r="E30" s="322" t="s">
        <v>9897</v>
      </c>
      <c r="F30" s="93">
        <v>4</v>
      </c>
      <c r="G30" s="93">
        <v>4</v>
      </c>
      <c r="H30" s="93">
        <v>6</v>
      </c>
      <c r="I30" s="680">
        <f>J30+K30+L30</f>
        <v>37.15</v>
      </c>
      <c r="J30" s="680">
        <f>SUM(M30:R30)</f>
        <v>37.15</v>
      </c>
      <c r="K30" s="680"/>
      <c r="L30" s="680"/>
      <c r="M30" s="990"/>
      <c r="N30" s="1229">
        <v>37.15</v>
      </c>
      <c r="O30" s="684"/>
      <c r="P30" s="680"/>
      <c r="Q30" s="960"/>
      <c r="R30" s="958"/>
      <c r="S30" s="105">
        <v>3</v>
      </c>
      <c r="T30" s="253">
        <v>68.2</v>
      </c>
      <c r="U30" s="105"/>
      <c r="V30" s="105"/>
      <c r="W30" s="146">
        <v>76</v>
      </c>
      <c r="X30" s="253">
        <v>1007.15</v>
      </c>
      <c r="Y30" s="146">
        <v>32</v>
      </c>
      <c r="Z30" s="1713">
        <v>347</v>
      </c>
      <c r="AB30" s="3">
        <v>1</v>
      </c>
      <c r="AD30" s="2578" t="s">
        <v>7181</v>
      </c>
      <c r="AE30" s="2579">
        <f>SUMIFS(M30:M885,F30:F885,3,G30:G885,4)+SUMIFS(N30:N885,F30:F885,3,G30:G885,4)+SUMIFS(O30:O885,F30:F885,3,G30:G885,4)+SUMIFS(P30:P885,F30:F885,3,G30:G885,4)+SUMIFS(Q30:Q885,F30:F885,3,G30:G885,4)+SUMIFS(R30:R885,F30:F885,3,G30:G885,4)</f>
        <v>0</v>
      </c>
      <c r="AF30" s="2579">
        <f>SUMIFS(M30:M885,F30:F885,4,G30:G885,4)+SUMIFS(N30:N885,F30:F885,4,G30:G885,4)+SUMIFS(O30:O885,F30:F885,4,G30:G885,4)+SUMIFS(P30:P885,F30:F885,4,G30:G885,4)+SUMIFS(Q30:Q885,F30:F885,4,G30:G885,4)+SUMIFS(R30:R885,F30:F885,4,G30:G885,4)</f>
        <v>85.816999999999993</v>
      </c>
      <c r="AG30" s="2579">
        <f>SUMIFS(M30:M885,F30:F885,5,G30:G885,4)+SUMIFS(N30:N885,F30:F885,5,G30:G885,4)+SUMIFS(O30:O885,F30:F885,5,G30:G885,4)+SUMIFS(P30:P885,F30:F885,5,G30:G885,4)+SUMIFS(Q30:Q885,F30:F885,5,G30:G885,4)+SUMIFS(R30:R885,F30:F885,5,G30:G885,4)</f>
        <v>0</v>
      </c>
      <c r="AH30" s="2579">
        <f>SUMIFS(M30:M885,F30:F885,"6а",G30:G885,4)+SUMIFS(N30:N885,F30:F885,"6а",G30:G885,4)+SUMIFS(O30:O885,F30:F885,"6а",G30:G885,4)+SUMIFS(P30:P885,F30:F885,"6а",G30:G885,4)+SUMIFS(Q30:Q885,F30:F885,"6а",G30:G885,4)+SUMIFS(R30:R885,F30:F885,"6а",G30:G885,4)</f>
        <v>2.9920000000000009</v>
      </c>
      <c r="AI30" s="2579">
        <f>SUMIFS(M30:M885,F30:F885,"6б",G30:G885,4)+SUMIFS(N30:N885,F30:F885,"6б",G30:G885,4)+SUMIFS(O30:O885,F30:F885,"6б",G30:G885,4)+SUMIFS(P30:P885,F30:F885,"6б",G30:G885,4)+SUMIFS(Q30:Q885,F30:F885,"6б",G30:G885,4)+SUMIFS(R30:R885,F30:F885,"6б",G30:G885,4)</f>
        <v>0</v>
      </c>
      <c r="AJ30" s="2580">
        <f>SUMIFS(M30:M885,F30:F885,"б/к",G30:G885,4)+SUMIFS(N30:N885,F30:F885,"б/к",G30:G885,4)+SUMIFS(O30:O885,F30:F885,"б/к",G30:G885,4)+SUMIFS(P30:P885,F30:F885,"б/к",G30:G885,4)+SUMIFS(Q30:Q885,F30:F885,"б/к",G30:G885,4)+SUMIFS(R30:R885,F30:F885,"б/к",G30:G885,4)</f>
        <v>0</v>
      </c>
      <c r="AK30" s="2815" t="s">
        <v>910</v>
      </c>
      <c r="AL30" s="2579">
        <f>SUMIFS(R30:R954,F30:F954,"6а",G30:G954,3)+SUMIFS(R30:R954,F30:F954,"6б",G30:G954,3)+SUMIFS(R30:R954,F30:F954,"б/к",G30:G954,3)</f>
        <v>0</v>
      </c>
      <c r="AM30" s="2817"/>
    </row>
    <row r="31" spans="1:39" ht="46.5" x14ac:dyDescent="0.35">
      <c r="A31" s="1580"/>
      <c r="B31" s="365">
        <v>10826</v>
      </c>
      <c r="C31" s="365"/>
      <c r="D31" s="368"/>
      <c r="E31" s="324" t="s">
        <v>9999</v>
      </c>
      <c r="F31" s="93"/>
      <c r="G31" s="93" t="s">
        <v>191</v>
      </c>
      <c r="H31" s="93" t="s">
        <v>191</v>
      </c>
      <c r="I31" s="685"/>
      <c r="J31" s="685"/>
      <c r="K31" s="685"/>
      <c r="L31" s="685"/>
      <c r="M31" s="1225"/>
      <c r="N31" s="1232"/>
      <c r="O31" s="686"/>
      <c r="P31" s="685"/>
      <c r="Q31" s="1222"/>
      <c r="R31" s="1219"/>
      <c r="S31" s="93"/>
      <c r="T31" s="252"/>
      <c r="U31" s="93"/>
      <c r="V31" s="93"/>
      <c r="W31" s="93"/>
      <c r="X31" s="252"/>
      <c r="Y31" s="93"/>
      <c r="Z31" s="1714"/>
      <c r="AD31" s="2581" t="s">
        <v>7182</v>
      </c>
      <c r="AE31" s="2582">
        <f>SUMIFS(M30:M885,F30:F885,3,G30:G885,5)+SUMIFS(N30:N885,F30:F885,3,G30:G885,5)+SUMIFS(O30:O885,F30:F885,3,G30:G885,5)+SUMIFS(P30:P885,F30:F885,3,G30:G885,5)+SUMIFS(Q30:Q885,F30:F885,3,G30:G885,5)+SUMIFS(R30:R885,F30:F885,3,G30:G885,5)</f>
        <v>0</v>
      </c>
      <c r="AF31" s="2582">
        <f>SUMIFS(M30:M885,F30:F885,4,G30:G885,5)+SUMIFS(N30:N885,F30:F885,4,G30:G885,5)+SUMIFS(O30:O885,F30:F885,4,G30:G885,5)+SUMIFS(P30:P885,F30:F885,4,G30:G885,5)+SUMIFS(Q30:Q885,F30:F885,4,G30:G885,5)+SUMIFS(R30:R885,F30:F885,4,G30:G885,5)</f>
        <v>94.536000000000001</v>
      </c>
      <c r="AG31" s="2582">
        <f>SUMIFS(M30:M885,F30:F885,5,G30:G885,5)+SUMIFS(N30:N885,F30:F885,5,G30:G885,5)+SUMIFS(O30:O885,F30:F885,5,G30:G885,5)+SUMIFS(P30:P885,F30:F885,5,G30:G885,5)+SUMIFS(Q30:Q885,F30:F885,5,G30:G885,5)+SUMIFS(R30:R885,F30:F885,5,G30:G885,5)</f>
        <v>70.070999999999998</v>
      </c>
      <c r="AH31" s="2582">
        <f>SUMIFS(M30:M885,F30:F885,"6а",G30:G885,5)+SUMIFS(N30:N885,F30:F885,"6а",G30:G885,5)+SUMIFS(O30:O885,F30:F885,"6а",G30:G885,5)+SUMIFS(P30:P885,F30:F885,"6а",G30:G885,5)+SUMIFS(Q30:Q885,F30:F885,"6а",G30:G885,5)+SUMIFS(R30:R885,F30:F885,"6а",G30:G885,5)</f>
        <v>26.253999999999998</v>
      </c>
      <c r="AI31" s="2582">
        <f>SUMIFS(M30:M885,F30:F885,"6б",G30:G885,5)+SUMIFS(N30:N885,F30:F885,"6б",G30:G885,5)+SUMIFS(O30:O885,F30:F885,"6б",G30:G885,5)+SUMIFS(P30:P885,F30:F885,"6б",G30:G885,5)+SUMIFS(Q30:Q885,F30:F885,"6б",G30:G885,5)+SUMIFS(R30:R885,F30:F885,"6б",G30:G885,5)</f>
        <v>13.846</v>
      </c>
      <c r="AJ31" s="2583">
        <f>SUMIFS(M30:M885,F30:F885,"б/к",G30:G885,5)+SUMIFS(N30:N885,F30:F885,"б/к",G30:G885,5)+SUMIFS(O30:O885,F30:F885,"б/к",G30:G885,5)+SUMIFS(P30:P885,F30:F885,"б/к",G30:G885,5)+SUMIFS(Q30:Q885,F30:F885,"б/к",G30:G885,5)+SUMIFS(R30:R885,F30:F885,"б/к",G30:G885,5)</f>
        <v>77.362000000000009</v>
      </c>
      <c r="AK31" s="2815"/>
      <c r="AL31" s="2579"/>
      <c r="AM31" s="2817"/>
    </row>
    <row r="32" spans="1:39" ht="60" x14ac:dyDescent="0.35">
      <c r="A32" s="370">
        <v>2</v>
      </c>
      <c r="B32" s="365">
        <v>10826</v>
      </c>
      <c r="C32" s="365"/>
      <c r="D32" s="2463" t="s">
        <v>5170</v>
      </c>
      <c r="E32" s="322" t="s">
        <v>9898</v>
      </c>
      <c r="F32" s="93">
        <v>5</v>
      </c>
      <c r="G32" s="93">
        <v>5</v>
      </c>
      <c r="H32" s="93">
        <v>6</v>
      </c>
      <c r="I32" s="680">
        <f>J32+K32+L32</f>
        <v>1.444</v>
      </c>
      <c r="J32" s="680">
        <f>SUM(M32:R32)</f>
        <v>1.444</v>
      </c>
      <c r="K32" s="680"/>
      <c r="L32" s="680"/>
      <c r="M32" s="990"/>
      <c r="N32" s="1229"/>
      <c r="O32" s="684"/>
      <c r="P32" s="680"/>
      <c r="Q32" s="960">
        <v>1.444</v>
      </c>
      <c r="R32" s="958"/>
      <c r="S32" s="105"/>
      <c r="T32" s="253"/>
      <c r="U32" s="105"/>
      <c r="V32" s="105"/>
      <c r="W32" s="146">
        <v>3</v>
      </c>
      <c r="X32" s="253">
        <v>35.1</v>
      </c>
      <c r="Y32" s="146"/>
      <c r="Z32" s="1713"/>
      <c r="AB32" s="3">
        <v>1</v>
      </c>
      <c r="AD32"/>
      <c r="AE32" s="1572"/>
      <c r="AF32"/>
      <c r="AG32"/>
      <c r="AH32"/>
      <c r="AI32" s="2584" t="s">
        <v>7183</v>
      </c>
      <c r="AJ32" s="2585">
        <f>SUMIF(AB30:AB885,"=1",J30:J885)</f>
        <v>370.87799999999993</v>
      </c>
      <c r="AK32" s="2818" t="s">
        <v>11235</v>
      </c>
      <c r="AL32" s="2821">
        <f>AL34+AL40+AL46</f>
        <v>88.808999999999997</v>
      </c>
      <c r="AM32" s="2820">
        <f>AL32-J19</f>
        <v>0</v>
      </c>
    </row>
    <row r="33" spans="1:39" ht="60" x14ac:dyDescent="0.35">
      <c r="A33" s="370">
        <v>3</v>
      </c>
      <c r="B33" s="365">
        <v>10826</v>
      </c>
      <c r="C33" s="365"/>
      <c r="D33" s="2463" t="s">
        <v>5171</v>
      </c>
      <c r="E33" s="322" t="s">
        <v>9899</v>
      </c>
      <c r="F33" s="93">
        <v>5</v>
      </c>
      <c r="G33" s="93">
        <v>5</v>
      </c>
      <c r="H33" s="93">
        <v>6</v>
      </c>
      <c r="I33" s="680">
        <f>J33+K33+L33</f>
        <v>2.9</v>
      </c>
      <c r="J33" s="680">
        <f>SUM(M33:R33)</f>
        <v>2.9</v>
      </c>
      <c r="K33" s="680"/>
      <c r="L33" s="680"/>
      <c r="M33" s="990"/>
      <c r="N33" s="1229"/>
      <c r="O33" s="684"/>
      <c r="P33" s="680"/>
      <c r="Q33" s="960">
        <v>2.9</v>
      </c>
      <c r="R33" s="958"/>
      <c r="S33" s="105"/>
      <c r="T33" s="253"/>
      <c r="U33" s="105"/>
      <c r="V33" s="105"/>
      <c r="W33" s="146"/>
      <c r="X33" s="253"/>
      <c r="Y33" s="146"/>
      <c r="Z33" s="1713"/>
      <c r="AB33" s="3">
        <v>1</v>
      </c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ht="75" x14ac:dyDescent="0.35">
      <c r="A34" s="370">
        <v>4</v>
      </c>
      <c r="B34" s="365">
        <v>10826</v>
      </c>
      <c r="C34" s="365"/>
      <c r="D34" s="2463" t="s">
        <v>7139</v>
      </c>
      <c r="E34" s="322" t="s">
        <v>9900</v>
      </c>
      <c r="F34" s="93">
        <v>5</v>
      </c>
      <c r="G34" s="93">
        <v>5</v>
      </c>
      <c r="H34" s="93">
        <v>6</v>
      </c>
      <c r="I34" s="680">
        <f>J34+K34+L34</f>
        <v>0.2</v>
      </c>
      <c r="J34" s="680">
        <f>SUM(M34:R34)</f>
        <v>0.2</v>
      </c>
      <c r="K34" s="680"/>
      <c r="L34" s="680"/>
      <c r="M34" s="990"/>
      <c r="N34" s="1229"/>
      <c r="O34" s="684"/>
      <c r="P34" s="680"/>
      <c r="Q34" s="960">
        <v>0.2</v>
      </c>
      <c r="R34" s="958"/>
      <c r="S34" s="105"/>
      <c r="T34" s="253"/>
      <c r="U34" s="105"/>
      <c r="V34" s="105"/>
      <c r="W34" s="146"/>
      <c r="X34" s="253"/>
      <c r="Y34" s="146"/>
      <c r="Z34" s="1713"/>
      <c r="AB34" s="3">
        <v>1</v>
      </c>
      <c r="AE34" s="2461"/>
      <c r="AF34" s="68"/>
      <c r="AK34" s="2818" t="s">
        <v>7184</v>
      </c>
      <c r="AL34" s="2821">
        <f>AL35+AL36+AL37+AL38+AL39</f>
        <v>85.816999999999993</v>
      </c>
      <c r="AM34" s="2820">
        <f>AL34-AF30</f>
        <v>0</v>
      </c>
    </row>
    <row r="35" spans="1:39" ht="75" x14ac:dyDescent="0.35">
      <c r="A35" s="370">
        <v>5</v>
      </c>
      <c r="B35" s="365">
        <v>10826</v>
      </c>
      <c r="C35" s="365" t="s">
        <v>1657</v>
      </c>
      <c r="D35" s="2463" t="s">
        <v>5172</v>
      </c>
      <c r="E35" s="322" t="s">
        <v>9901</v>
      </c>
      <c r="F35" s="93"/>
      <c r="G35" s="93" t="s">
        <v>191</v>
      </c>
      <c r="H35" s="93" t="s">
        <v>191</v>
      </c>
      <c r="I35" s="680">
        <f>J35+K35+L35</f>
        <v>1</v>
      </c>
      <c r="J35" s="680">
        <f>SUM(M35:R35)</f>
        <v>0.7</v>
      </c>
      <c r="K35" s="680"/>
      <c r="L35" s="680">
        <f>SUM(L36:L37)</f>
        <v>0.3</v>
      </c>
      <c r="M35" s="990"/>
      <c r="N35" s="1229"/>
      <c r="O35" s="684"/>
      <c r="P35" s="680"/>
      <c r="Q35" s="960"/>
      <c r="R35" s="958">
        <f>SUM(R36:R37)</f>
        <v>0.7</v>
      </c>
      <c r="S35" s="105"/>
      <c r="T35" s="253"/>
      <c r="U35" s="105"/>
      <c r="V35" s="105"/>
      <c r="W35" s="146"/>
      <c r="X35" s="253"/>
      <c r="Y35" s="146"/>
      <c r="Z35" s="1713"/>
      <c r="AB35" s="3">
        <v>1</v>
      </c>
      <c r="AE35" s="2461"/>
      <c r="AF35" s="68"/>
      <c r="AK35" s="2815" t="s">
        <v>11230</v>
      </c>
      <c r="AL35" s="2579">
        <f>SUMIFS(M30:M954,F30:F954,4,G30:G954,4)</f>
        <v>0</v>
      </c>
      <c r="AM35" s="2817"/>
    </row>
    <row r="36" spans="1:39" x14ac:dyDescent="0.35">
      <c r="A36" s="370"/>
      <c r="B36" s="365"/>
      <c r="C36" s="365"/>
      <c r="D36" s="2463"/>
      <c r="E36" s="324" t="s">
        <v>7140</v>
      </c>
      <c r="F36" s="93" t="s">
        <v>827</v>
      </c>
      <c r="G36" s="93">
        <v>5</v>
      </c>
      <c r="H36" s="93" t="s">
        <v>191</v>
      </c>
      <c r="I36" s="685"/>
      <c r="J36" s="685"/>
      <c r="K36" s="685"/>
      <c r="L36" s="685">
        <v>0.3</v>
      </c>
      <c r="M36" s="1841"/>
      <c r="N36" s="685"/>
      <c r="O36" s="686"/>
      <c r="P36" s="685"/>
      <c r="Q36" s="1842"/>
      <c r="R36" s="1843"/>
      <c r="S36" s="105"/>
      <c r="T36" s="253"/>
      <c r="U36" s="105"/>
      <c r="V36" s="105"/>
      <c r="W36" s="146"/>
      <c r="X36" s="253"/>
      <c r="Y36" s="146"/>
      <c r="Z36" s="1713"/>
      <c r="AE36" s="2461"/>
      <c r="AF36" s="68"/>
      <c r="AK36" s="2815" t="s">
        <v>11231</v>
      </c>
      <c r="AL36" s="2579">
        <f>SUMIFS(N30:N954,F30:F954,4,G30:G954,4)</f>
        <v>84.250999999999991</v>
      </c>
      <c r="AM36" s="2817"/>
    </row>
    <row r="37" spans="1:39" x14ac:dyDescent="0.35">
      <c r="A37" s="370"/>
      <c r="B37" s="365"/>
      <c r="C37" s="365"/>
      <c r="D37" s="2463"/>
      <c r="E37" s="1227" t="s">
        <v>7141</v>
      </c>
      <c r="F37" s="93" t="s">
        <v>827</v>
      </c>
      <c r="G37" s="93">
        <v>5</v>
      </c>
      <c r="H37" s="93">
        <v>6</v>
      </c>
      <c r="I37" s="685"/>
      <c r="J37" s="685"/>
      <c r="K37" s="685"/>
      <c r="L37" s="685"/>
      <c r="M37" s="1841"/>
      <c r="N37" s="685"/>
      <c r="O37" s="686"/>
      <c r="P37" s="685"/>
      <c r="Q37" s="1842"/>
      <c r="R37" s="1843">
        <v>0.7</v>
      </c>
      <c r="S37" s="105"/>
      <c r="T37" s="253"/>
      <c r="U37" s="105"/>
      <c r="V37" s="105"/>
      <c r="W37" s="146"/>
      <c r="X37" s="253"/>
      <c r="Y37" s="146"/>
      <c r="Z37" s="1713"/>
      <c r="AE37" s="2461"/>
      <c r="AF37" s="68"/>
      <c r="AK37" s="2815" t="s">
        <v>11232</v>
      </c>
      <c r="AL37" s="2579">
        <f>SUMIFS(O30:O954,F30:F954,4,G30:G954,4)</f>
        <v>0</v>
      </c>
      <c r="AM37" s="2817"/>
    </row>
    <row r="38" spans="1:39" ht="75" x14ac:dyDescent="0.35">
      <c r="A38" s="2001">
        <v>6</v>
      </c>
      <c r="B38" s="365">
        <v>10826</v>
      </c>
      <c r="C38" s="358" t="s">
        <v>1656</v>
      </c>
      <c r="D38" s="2463" t="s">
        <v>5173</v>
      </c>
      <c r="E38" s="322" t="s">
        <v>9902</v>
      </c>
      <c r="F38" s="93" t="s">
        <v>664</v>
      </c>
      <c r="G38" s="93">
        <v>5</v>
      </c>
      <c r="H38" s="93">
        <v>6</v>
      </c>
      <c r="I38" s="297">
        <f>J38+K38+L38</f>
        <v>0.18</v>
      </c>
      <c r="J38" s="297">
        <f>SUM(M38:R38)</f>
        <v>0.18</v>
      </c>
      <c r="K38" s="680"/>
      <c r="L38" s="680"/>
      <c r="M38" s="2384"/>
      <c r="N38" s="680"/>
      <c r="O38" s="684"/>
      <c r="P38" s="680"/>
      <c r="Q38" s="2385"/>
      <c r="R38" s="1830">
        <v>0.18</v>
      </c>
      <c r="S38" s="105"/>
      <c r="T38" s="253"/>
      <c r="U38" s="105"/>
      <c r="V38" s="105"/>
      <c r="W38" s="146"/>
      <c r="X38" s="253"/>
      <c r="Y38" s="146"/>
      <c r="Z38" s="1713"/>
      <c r="AB38" s="3">
        <v>1</v>
      </c>
      <c r="AE38" s="2461"/>
      <c r="AF38" s="68"/>
      <c r="AK38" s="2815" t="s">
        <v>11233</v>
      </c>
      <c r="AL38" s="2579">
        <f>SUMIFS(P30:P954,F30:F954,4,G30:G954,4)+SUMIFS(Q30:Q954,F30:F954,4,G30:G954,4)</f>
        <v>1.5659999999999998</v>
      </c>
      <c r="AM38" s="2817"/>
    </row>
    <row r="39" spans="1:39" ht="60" x14ac:dyDescent="0.35">
      <c r="A39" s="370">
        <v>7</v>
      </c>
      <c r="B39" s="365">
        <v>10826</v>
      </c>
      <c r="C39" s="358" t="s">
        <v>1656</v>
      </c>
      <c r="D39" s="2463" t="s">
        <v>5174</v>
      </c>
      <c r="E39" s="322" t="s">
        <v>9903</v>
      </c>
      <c r="F39" s="93" t="s">
        <v>664</v>
      </c>
      <c r="G39" s="93">
        <v>5</v>
      </c>
      <c r="H39" s="93">
        <v>6</v>
      </c>
      <c r="I39" s="297">
        <f>J39+K39+L39</f>
        <v>0.05</v>
      </c>
      <c r="J39" s="297">
        <f>SUM(M39:R39)</f>
        <v>0.05</v>
      </c>
      <c r="K39" s="685"/>
      <c r="L39" s="685"/>
      <c r="M39" s="2384"/>
      <c r="N39" s="680"/>
      <c r="O39" s="684"/>
      <c r="P39" s="680"/>
      <c r="Q39" s="2385"/>
      <c r="R39" s="1830">
        <v>0.05</v>
      </c>
      <c r="S39" s="93"/>
      <c r="T39" s="252"/>
      <c r="U39" s="93"/>
      <c r="V39" s="93"/>
      <c r="W39" s="147"/>
      <c r="X39" s="252"/>
      <c r="Y39" s="147"/>
      <c r="Z39" s="1715"/>
      <c r="AB39" s="3">
        <v>1</v>
      </c>
      <c r="AE39" s="2461"/>
      <c r="AF39" s="68"/>
      <c r="AK39" s="2815" t="s">
        <v>910</v>
      </c>
      <c r="AL39" s="2579">
        <f>SUMIFS(R30:R954,F30:F954,4,G30:G954,4)</f>
        <v>0</v>
      </c>
      <c r="AM39" s="2817"/>
    </row>
    <row r="40" spans="1:39" ht="30" x14ac:dyDescent="0.35">
      <c r="A40" s="2001">
        <v>8</v>
      </c>
      <c r="B40" s="365">
        <v>10827</v>
      </c>
      <c r="C40" s="365"/>
      <c r="D40" s="365" t="s">
        <v>1160</v>
      </c>
      <c r="E40" s="322" t="s">
        <v>3071</v>
      </c>
      <c r="F40" s="93">
        <v>4</v>
      </c>
      <c r="G40" s="93">
        <v>4</v>
      </c>
      <c r="H40" s="93">
        <v>6</v>
      </c>
      <c r="I40" s="680">
        <f>J40+K40+L40</f>
        <v>19.25</v>
      </c>
      <c r="J40" s="680">
        <f>SUM(M40:R40)</f>
        <v>19.25</v>
      </c>
      <c r="K40" s="680"/>
      <c r="L40" s="680"/>
      <c r="M40" s="990"/>
      <c r="N40" s="1229">
        <v>19.25</v>
      </c>
      <c r="O40" s="684"/>
      <c r="P40" s="680"/>
      <c r="Q40" s="960"/>
      <c r="R40" s="958"/>
      <c r="S40" s="105">
        <v>3</v>
      </c>
      <c r="T40" s="253">
        <v>55.95</v>
      </c>
      <c r="U40" s="105"/>
      <c r="V40" s="105"/>
      <c r="W40" s="146">
        <v>53</v>
      </c>
      <c r="X40" s="253">
        <v>767.7</v>
      </c>
      <c r="Y40" s="146">
        <v>24</v>
      </c>
      <c r="Z40" s="1713">
        <v>306.10000000000002</v>
      </c>
      <c r="AB40" s="3">
        <v>1</v>
      </c>
      <c r="AE40" s="2461"/>
      <c r="AF40" s="68"/>
      <c r="AK40" s="2818" t="s">
        <v>7185</v>
      </c>
      <c r="AL40" s="2821">
        <f>AL41+AL42+AL43+AL44+AL45</f>
        <v>0</v>
      </c>
      <c r="AM40" s="2820">
        <f>AL40-AG30</f>
        <v>0</v>
      </c>
    </row>
    <row r="41" spans="1:39" ht="46.5" x14ac:dyDescent="0.35">
      <c r="A41" s="1580"/>
      <c r="B41" s="365">
        <v>10827</v>
      </c>
      <c r="C41" s="365"/>
      <c r="D41" s="368"/>
      <c r="E41" s="324" t="s">
        <v>9999</v>
      </c>
      <c r="F41" s="93"/>
      <c r="G41" s="93" t="s">
        <v>191</v>
      </c>
      <c r="H41" s="93" t="s">
        <v>191</v>
      </c>
      <c r="I41" s="685"/>
      <c r="J41" s="685"/>
      <c r="K41" s="685"/>
      <c r="L41" s="685"/>
      <c r="M41" s="1225"/>
      <c r="N41" s="1232"/>
      <c r="O41" s="686"/>
      <c r="P41" s="685"/>
      <c r="Q41" s="1222"/>
      <c r="R41" s="1219"/>
      <c r="S41" s="93"/>
      <c r="T41" s="252"/>
      <c r="U41" s="93"/>
      <c r="V41" s="93"/>
      <c r="W41" s="93"/>
      <c r="X41" s="252"/>
      <c r="Y41" s="93"/>
      <c r="Z41" s="1714"/>
      <c r="AE41" s="2461"/>
      <c r="AF41" s="68"/>
      <c r="AK41" s="2815" t="s">
        <v>11230</v>
      </c>
      <c r="AL41" s="2579">
        <f>SUMIFS(M30:M954,F30:F954,5,G30:G954,4)</f>
        <v>0</v>
      </c>
      <c r="AM41" s="2817"/>
    </row>
    <row r="42" spans="1:39" ht="30" x14ac:dyDescent="0.35">
      <c r="A42" s="370">
        <v>9</v>
      </c>
      <c r="B42" s="365">
        <v>10827</v>
      </c>
      <c r="C42" s="365"/>
      <c r="D42" s="2463" t="s">
        <v>5175</v>
      </c>
      <c r="E42" s="322" t="s">
        <v>7778</v>
      </c>
      <c r="F42" s="93"/>
      <c r="G42" s="93" t="s">
        <v>191</v>
      </c>
      <c r="H42" s="93" t="s">
        <v>191</v>
      </c>
      <c r="I42" s="680">
        <f>J42+K42+L42</f>
        <v>2.1469999999999998</v>
      </c>
      <c r="J42" s="680">
        <f>SUM(M42:R42)</f>
        <v>1.5999999999999996</v>
      </c>
      <c r="K42" s="680"/>
      <c r="L42" s="680">
        <f>SUM(L43:L44)</f>
        <v>0.54700000000000004</v>
      </c>
      <c r="M42" s="990"/>
      <c r="N42" s="1229"/>
      <c r="O42" s="684"/>
      <c r="P42" s="680"/>
      <c r="Q42" s="960">
        <f>SUM(Q43:Q44)</f>
        <v>1.5999999999999996</v>
      </c>
      <c r="R42" s="958"/>
      <c r="S42" s="105"/>
      <c r="T42" s="253"/>
      <c r="U42" s="105"/>
      <c r="V42" s="105"/>
      <c r="W42" s="146">
        <v>3</v>
      </c>
      <c r="X42" s="253">
        <v>30</v>
      </c>
      <c r="Y42" s="146"/>
      <c r="Z42" s="1713"/>
      <c r="AB42" s="3">
        <v>1</v>
      </c>
      <c r="AE42" s="2461"/>
      <c r="AF42" s="68"/>
      <c r="AK42" s="2815" t="s">
        <v>11231</v>
      </c>
      <c r="AL42" s="2579">
        <f>SUMIFS(N30:N954,F30:F954,5,G30:G954,4)</f>
        <v>0</v>
      </c>
      <c r="AM42" s="2817"/>
    </row>
    <row r="43" spans="1:39" ht="46.5" x14ac:dyDescent="0.35">
      <c r="A43" s="370"/>
      <c r="B43" s="365">
        <v>10827</v>
      </c>
      <c r="C43" s="365"/>
      <c r="D43" s="365"/>
      <c r="E43" s="324" t="s">
        <v>9948</v>
      </c>
      <c r="F43" s="93">
        <v>4</v>
      </c>
      <c r="G43" s="93">
        <v>5</v>
      </c>
      <c r="H43" s="93" t="s">
        <v>191</v>
      </c>
      <c r="I43" s="685"/>
      <c r="J43" s="685"/>
      <c r="K43" s="685"/>
      <c r="L43" s="685">
        <v>0.54700000000000004</v>
      </c>
      <c r="M43" s="1841"/>
      <c r="N43" s="685"/>
      <c r="O43" s="686"/>
      <c r="P43" s="685"/>
      <c r="Q43" s="1842"/>
      <c r="R43" s="1843"/>
      <c r="S43" s="105"/>
      <c r="T43" s="253"/>
      <c r="U43" s="105"/>
      <c r="V43" s="105"/>
      <c r="W43" s="146"/>
      <c r="X43" s="253"/>
      <c r="Y43" s="146"/>
      <c r="Z43" s="1713"/>
      <c r="AE43" s="2461"/>
      <c r="AF43" s="68"/>
      <c r="AK43" s="2815" t="s">
        <v>11232</v>
      </c>
      <c r="AL43" s="2579">
        <f>SUMIFS(O30:O954,F30:F954,5,G30:G954,4)</f>
        <v>0</v>
      </c>
      <c r="AM43" s="2817"/>
    </row>
    <row r="44" spans="1:39" x14ac:dyDescent="0.35">
      <c r="A44" s="1580"/>
      <c r="B44" s="365">
        <v>10827</v>
      </c>
      <c r="C44" s="365"/>
      <c r="D44" s="368"/>
      <c r="E44" s="1228" t="s">
        <v>7142</v>
      </c>
      <c r="F44" s="93">
        <v>5</v>
      </c>
      <c r="G44" s="93">
        <v>5</v>
      </c>
      <c r="H44" s="93">
        <v>6</v>
      </c>
      <c r="I44" s="685"/>
      <c r="J44" s="685"/>
      <c r="K44" s="685"/>
      <c r="L44" s="685"/>
      <c r="M44" s="1841"/>
      <c r="N44" s="685"/>
      <c r="O44" s="686"/>
      <c r="P44" s="685"/>
      <c r="Q44" s="1842">
        <f>2.147-0.547</f>
        <v>1.5999999999999996</v>
      </c>
      <c r="R44" s="1843"/>
      <c r="S44" s="93"/>
      <c r="T44" s="252"/>
      <c r="U44" s="93"/>
      <c r="V44" s="93"/>
      <c r="W44" s="147"/>
      <c r="X44" s="252"/>
      <c r="Y44" s="147"/>
      <c r="Z44" s="1715"/>
      <c r="AE44" s="2461"/>
      <c r="AF44" s="68"/>
      <c r="AK44" s="2815" t="s">
        <v>11233</v>
      </c>
      <c r="AL44" s="2579">
        <f>SUMIFS(P30:P954,F30:F954,5,G30:G954,4)+SUMIFS(Q30:Q954,F30:F954,5,G30:G954,4)</f>
        <v>0</v>
      </c>
      <c r="AM44" s="2817"/>
    </row>
    <row r="45" spans="1:39" ht="60" x14ac:dyDescent="0.35">
      <c r="A45" s="2001">
        <v>10</v>
      </c>
      <c r="B45" s="365">
        <v>10827</v>
      </c>
      <c r="C45" s="358" t="s">
        <v>1656</v>
      </c>
      <c r="D45" s="2463" t="s">
        <v>5176</v>
      </c>
      <c r="E45" s="322" t="s">
        <v>8628</v>
      </c>
      <c r="F45" s="93" t="s">
        <v>664</v>
      </c>
      <c r="G45" s="93">
        <v>5</v>
      </c>
      <c r="H45" s="93">
        <v>6</v>
      </c>
      <c r="I45" s="297">
        <f>J45+K45+L45</f>
        <v>0.28999999999999998</v>
      </c>
      <c r="J45" s="297">
        <f>SUM(M45:R45)</f>
        <v>0.28999999999999998</v>
      </c>
      <c r="K45" s="685"/>
      <c r="L45" s="685"/>
      <c r="M45" s="2384"/>
      <c r="N45" s="680"/>
      <c r="O45" s="684"/>
      <c r="P45" s="680"/>
      <c r="Q45" s="2385"/>
      <c r="R45" s="1830">
        <v>0.28999999999999998</v>
      </c>
      <c r="S45" s="93"/>
      <c r="T45" s="252"/>
      <c r="U45" s="93"/>
      <c r="V45" s="93"/>
      <c r="W45" s="93"/>
      <c r="X45" s="252"/>
      <c r="Y45" s="93"/>
      <c r="Z45" s="1714"/>
      <c r="AB45" s="3">
        <v>1</v>
      </c>
      <c r="AE45" s="2461"/>
      <c r="AF45" s="68"/>
      <c r="AK45" s="2815" t="s">
        <v>910</v>
      </c>
      <c r="AL45" s="2579">
        <f>SUMIFS(R30:R954,F30:F954,5,G30:G954,4)</f>
        <v>0</v>
      </c>
      <c r="AM45" s="2817"/>
    </row>
    <row r="46" spans="1:39" ht="60" x14ac:dyDescent="0.35">
      <c r="A46" s="370">
        <v>11</v>
      </c>
      <c r="B46" s="365">
        <v>10827</v>
      </c>
      <c r="C46" s="365"/>
      <c r="D46" s="2463" t="s">
        <v>5177</v>
      </c>
      <c r="E46" s="322" t="s">
        <v>9904</v>
      </c>
      <c r="F46" s="93"/>
      <c r="G46" s="93" t="s">
        <v>191</v>
      </c>
      <c r="H46" s="93" t="s">
        <v>191</v>
      </c>
      <c r="I46" s="680">
        <v>1.5</v>
      </c>
      <c r="J46" s="680">
        <v>1.5</v>
      </c>
      <c r="K46" s="680"/>
      <c r="L46" s="680"/>
      <c r="M46" s="990"/>
      <c r="N46" s="1229">
        <f>SUM(N47:N48)</f>
        <v>0.25</v>
      </c>
      <c r="O46" s="684"/>
      <c r="P46" s="680"/>
      <c r="Q46" s="960"/>
      <c r="R46" s="958">
        <f>SUM(R47:R48)</f>
        <v>0</v>
      </c>
      <c r="S46" s="105"/>
      <c r="T46" s="253"/>
      <c r="U46" s="105"/>
      <c r="V46" s="105"/>
      <c r="W46" s="146"/>
      <c r="X46" s="253"/>
      <c r="Y46" s="146"/>
      <c r="Z46" s="1713"/>
      <c r="AB46" s="3">
        <v>1</v>
      </c>
      <c r="AE46" s="2461"/>
      <c r="AF46" s="68"/>
      <c r="AK46" s="2818" t="s">
        <v>11234</v>
      </c>
      <c r="AL46" s="2821">
        <f>AL47+AL48+AL49+AL50+AL51</f>
        <v>2.9920000000000009</v>
      </c>
      <c r="AM46" s="2820">
        <f>AL46-AH30-AI30-AJ30</f>
        <v>0</v>
      </c>
    </row>
    <row r="47" spans="1:39" x14ac:dyDescent="0.35">
      <c r="A47" s="370"/>
      <c r="B47" s="365">
        <v>10827</v>
      </c>
      <c r="C47" s="365"/>
      <c r="D47" s="365"/>
      <c r="E47" s="324" t="s">
        <v>2137</v>
      </c>
      <c r="F47" s="93" t="s">
        <v>1490</v>
      </c>
      <c r="G47" s="93">
        <v>5</v>
      </c>
      <c r="H47" s="93">
        <v>6</v>
      </c>
      <c r="I47" s="685"/>
      <c r="J47" s="685"/>
      <c r="K47" s="685"/>
      <c r="L47" s="685"/>
      <c r="M47" s="1841"/>
      <c r="N47" s="685">
        <v>0.25</v>
      </c>
      <c r="O47" s="686"/>
      <c r="P47" s="685"/>
      <c r="Q47" s="1842"/>
      <c r="R47" s="1843"/>
      <c r="S47" s="105"/>
      <c r="T47" s="253"/>
      <c r="U47" s="105"/>
      <c r="V47" s="105"/>
      <c r="W47" s="146"/>
      <c r="X47" s="253"/>
      <c r="Y47" s="146"/>
      <c r="Z47" s="1713"/>
      <c r="AE47" s="2461"/>
      <c r="AF47" s="68"/>
      <c r="AK47" s="2815" t="s">
        <v>11230</v>
      </c>
      <c r="AL47" s="2579">
        <f>SUMIFS(M30:M954,F30:F954,"6а",G30:G954,4)+SUMIFS(M30:M954,F30:F954,"6б",G30:G954,4)+SUMIFS(M30:M954,F30:F954,"б/к",G30:G954,4)</f>
        <v>0</v>
      </c>
      <c r="AM47" s="2817"/>
    </row>
    <row r="48" spans="1:39" x14ac:dyDescent="0.35">
      <c r="A48" s="370"/>
      <c r="B48" s="365">
        <v>10827</v>
      </c>
      <c r="C48" s="365"/>
      <c r="D48" s="365"/>
      <c r="E48" s="2933" t="s">
        <v>2138</v>
      </c>
      <c r="F48" s="93" t="s">
        <v>1490</v>
      </c>
      <c r="G48" s="93">
        <v>5</v>
      </c>
      <c r="H48" s="2875">
        <v>6</v>
      </c>
      <c r="I48" s="685"/>
      <c r="J48" s="685"/>
      <c r="K48" s="685"/>
      <c r="L48" s="685"/>
      <c r="M48" s="1841"/>
      <c r="N48" s="685"/>
      <c r="O48" s="686"/>
      <c r="P48" s="685"/>
      <c r="Q48" s="1842">
        <f>1.5-0.25</f>
        <v>1.25</v>
      </c>
      <c r="R48" s="2932">
        <v>0</v>
      </c>
      <c r="S48" s="105"/>
      <c r="T48" s="253"/>
      <c r="U48" s="105"/>
      <c r="V48" s="105"/>
      <c r="W48" s="146"/>
      <c r="X48" s="253"/>
      <c r="Y48" s="146"/>
      <c r="Z48" s="1713"/>
      <c r="AE48" s="2461"/>
      <c r="AF48" s="68"/>
      <c r="AK48" s="2815" t="s">
        <v>11231</v>
      </c>
      <c r="AL48" s="2579">
        <f>SUMIFS(N30:N954,F30:F954,"6а",G30:G954,4)+SUMIFS(N30:N954,F30:F954,"6б",G30:G954,4)+SUMIFS(N30:N954,F30:F954,"б/к",G30:G954,4)</f>
        <v>0</v>
      </c>
      <c r="AM48" s="2817"/>
    </row>
    <row r="49" spans="1:39" ht="45" x14ac:dyDescent="0.35">
      <c r="A49" s="370">
        <v>12</v>
      </c>
      <c r="B49" s="365">
        <v>10827</v>
      </c>
      <c r="C49" s="365"/>
      <c r="D49" s="2463" t="s">
        <v>5178</v>
      </c>
      <c r="E49" s="322" t="s">
        <v>9905</v>
      </c>
      <c r="F49" s="93"/>
      <c r="G49" s="93" t="s">
        <v>191</v>
      </c>
      <c r="H49" s="93" t="s">
        <v>191</v>
      </c>
      <c r="I49" s="680">
        <f>J49+K49+L49</f>
        <v>5.3449999999999998</v>
      </c>
      <c r="J49" s="680">
        <f>SUM(M49:R49)</f>
        <v>5.3449999999999998</v>
      </c>
      <c r="K49" s="680"/>
      <c r="L49" s="680"/>
      <c r="M49" s="990"/>
      <c r="N49" s="1229">
        <f>SUM(N50:N52)</f>
        <v>3.57</v>
      </c>
      <c r="O49" s="684"/>
      <c r="P49" s="680"/>
      <c r="Q49" s="960">
        <f>SUM(Q50:Q52)</f>
        <v>1.7749999999999999</v>
      </c>
      <c r="R49" s="958"/>
      <c r="S49" s="105">
        <v>2</v>
      </c>
      <c r="T49" s="253">
        <v>33</v>
      </c>
      <c r="U49" s="105"/>
      <c r="V49" s="105"/>
      <c r="W49" s="146">
        <v>11</v>
      </c>
      <c r="X49" s="253">
        <v>141.58000000000001</v>
      </c>
      <c r="Y49" s="146">
        <v>5</v>
      </c>
      <c r="Z49" s="1713">
        <v>50.5</v>
      </c>
      <c r="AB49" s="3">
        <v>1</v>
      </c>
      <c r="AE49" s="2461"/>
      <c r="AF49" s="68"/>
      <c r="AK49" s="2815" t="s">
        <v>11232</v>
      </c>
      <c r="AL49" s="2579">
        <f>SUMIFS(O30:O954,F30:F954,"6а",G30:G954,4)+SUMIFS(O30:O954,F30:F954,"6б",G30:G954,4)+SUMIFS(O30:O954,F30:F954,"б/к",G30:G954,4)</f>
        <v>0</v>
      </c>
      <c r="AM49" s="2817"/>
    </row>
    <row r="50" spans="1:39" x14ac:dyDescent="0.35">
      <c r="A50" s="1580"/>
      <c r="B50" s="365">
        <v>10827</v>
      </c>
      <c r="C50" s="365"/>
      <c r="D50" s="368"/>
      <c r="E50" s="324" t="s">
        <v>2806</v>
      </c>
      <c r="F50" s="93">
        <v>4</v>
      </c>
      <c r="G50" s="93">
        <v>5</v>
      </c>
      <c r="H50" s="93">
        <v>6</v>
      </c>
      <c r="I50" s="685"/>
      <c r="J50" s="685"/>
      <c r="K50" s="685"/>
      <c r="L50" s="685"/>
      <c r="M50" s="1225"/>
      <c r="N50" s="1232">
        <v>3.57</v>
      </c>
      <c r="O50" s="686"/>
      <c r="P50" s="685"/>
      <c r="Q50" s="1222"/>
      <c r="R50" s="1219"/>
      <c r="S50" s="93"/>
      <c r="T50" s="252"/>
      <c r="U50" s="93"/>
      <c r="V50" s="93"/>
      <c r="W50" s="147"/>
      <c r="X50" s="252"/>
      <c r="Y50" s="147"/>
      <c r="Z50" s="1715"/>
      <c r="AE50" s="2461"/>
      <c r="AF50" s="68"/>
      <c r="AK50" s="2815" t="s">
        <v>11233</v>
      </c>
      <c r="AL50" s="2579">
        <f>SUMIFS(P30:P954,F30:F954,"6а",G30:G954,4)+SUMIFS(Q30:Q954,F30:F954,"6а",G30:G954,4)+SUMIFS(P30:P954,F30:F954,"6б",G30:G954,4)+SUMIFS(Q30:Q954,F30:F954,"6б",G30:G954,4)+SUMIFS(O30:O954,F30:F954,"б/к",G30:G954,4)+SUMIFS(P30:P954,F30:F954,"б/к",G30:G954,4)+SUMIFS(Q30:Q954,F30:F954,"б/к",G30:G954,4)</f>
        <v>2.9920000000000009</v>
      </c>
      <c r="AM50" s="2817"/>
    </row>
    <row r="51" spans="1:39" x14ac:dyDescent="0.35">
      <c r="A51" s="1580"/>
      <c r="B51" s="365"/>
      <c r="C51" s="365"/>
      <c r="D51" s="368"/>
      <c r="E51" s="1228" t="s">
        <v>2807</v>
      </c>
      <c r="F51" s="93">
        <v>4</v>
      </c>
      <c r="G51" s="93">
        <v>5</v>
      </c>
      <c r="H51" s="93">
        <v>6</v>
      </c>
      <c r="I51" s="685"/>
      <c r="J51" s="685"/>
      <c r="K51" s="685"/>
      <c r="L51" s="685"/>
      <c r="M51" s="1225"/>
      <c r="N51" s="1232"/>
      <c r="O51" s="686"/>
      <c r="P51" s="685"/>
      <c r="Q51" s="1222">
        <f>4.608-3.57</f>
        <v>1.0379999999999998</v>
      </c>
      <c r="R51" s="1219"/>
      <c r="S51" s="93"/>
      <c r="T51" s="252"/>
      <c r="U51" s="93"/>
      <c r="V51" s="93"/>
      <c r="W51" s="147"/>
      <c r="X51" s="252"/>
      <c r="Y51" s="147"/>
      <c r="Z51" s="1715"/>
      <c r="AE51" s="2461"/>
      <c r="AF51" s="68"/>
      <c r="AK51" s="2815" t="s">
        <v>910</v>
      </c>
      <c r="AL51" s="2579">
        <f>SUMIFS(R30:R954,F30:F954,"6а",G30:G954,4)+SUMIFS(R30:R954,F30:F954,"6б",G30:G954,4)+SUMIFS(R30:R954,F30:F954,"б/к",G30:G954,4)</f>
        <v>0</v>
      </c>
      <c r="AM51" s="2817"/>
    </row>
    <row r="52" spans="1:39" x14ac:dyDescent="0.35">
      <c r="A52" s="1580"/>
      <c r="B52" s="365">
        <v>10827</v>
      </c>
      <c r="C52" s="365"/>
      <c r="D52" s="368"/>
      <c r="E52" s="1228" t="s">
        <v>865</v>
      </c>
      <c r="F52" s="93">
        <v>5</v>
      </c>
      <c r="G52" s="93">
        <v>5</v>
      </c>
      <c r="H52" s="93">
        <v>6</v>
      </c>
      <c r="I52" s="685"/>
      <c r="J52" s="685"/>
      <c r="K52" s="685"/>
      <c r="L52" s="685"/>
      <c r="M52" s="1225"/>
      <c r="N52" s="1232"/>
      <c r="O52" s="686"/>
      <c r="P52" s="685"/>
      <c r="Q52" s="1222">
        <f>5.345-4.608</f>
        <v>0.7370000000000001</v>
      </c>
      <c r="R52" s="1219"/>
      <c r="S52" s="93"/>
      <c r="T52" s="252"/>
      <c r="U52" s="93"/>
      <c r="V52" s="93"/>
      <c r="W52" s="147"/>
      <c r="X52" s="252"/>
      <c r="Y52" s="147"/>
      <c r="Z52" s="1715"/>
      <c r="AE52" s="2461"/>
      <c r="AF52" s="68"/>
      <c r="AK52" s="2815"/>
      <c r="AL52" s="2579"/>
      <c r="AM52" s="2817"/>
    </row>
    <row r="53" spans="1:39" ht="60" x14ac:dyDescent="0.35">
      <c r="A53" s="370">
        <v>13</v>
      </c>
      <c r="B53" s="365">
        <v>10827</v>
      </c>
      <c r="C53" s="365"/>
      <c r="D53" s="2463" t="s">
        <v>5179</v>
      </c>
      <c r="E53" s="322" t="s">
        <v>9906</v>
      </c>
      <c r="F53" s="93" t="s">
        <v>827</v>
      </c>
      <c r="G53" s="93">
        <v>5</v>
      </c>
      <c r="H53" s="93">
        <v>6</v>
      </c>
      <c r="I53" s="680">
        <f>J53+K53+L53</f>
        <v>1.76</v>
      </c>
      <c r="J53" s="680">
        <f>SUM(M53:R53)</f>
        <v>1.76</v>
      </c>
      <c r="K53" s="680"/>
      <c r="L53" s="680"/>
      <c r="M53" s="990"/>
      <c r="N53" s="1229"/>
      <c r="O53" s="684"/>
      <c r="P53" s="680"/>
      <c r="Q53" s="960"/>
      <c r="R53" s="958">
        <v>1.76</v>
      </c>
      <c r="S53" s="105"/>
      <c r="T53" s="253"/>
      <c r="U53" s="105"/>
      <c r="V53" s="105"/>
      <c r="W53" s="146"/>
      <c r="X53" s="253"/>
      <c r="Y53" s="146"/>
      <c r="Z53" s="1713"/>
      <c r="AB53" s="3">
        <v>1</v>
      </c>
      <c r="AE53" s="2461"/>
      <c r="AF53" s="68"/>
      <c r="AK53" s="2818" t="s">
        <v>11236</v>
      </c>
      <c r="AL53" s="2821">
        <f>AL55+AL61+AL67</f>
        <v>282.06900000000002</v>
      </c>
      <c r="AM53" s="2820">
        <f>AL53-J20</f>
        <v>0</v>
      </c>
    </row>
    <row r="54" spans="1:39" ht="60" x14ac:dyDescent="0.35">
      <c r="A54" s="1829">
        <v>14</v>
      </c>
      <c r="B54" s="365">
        <v>10827</v>
      </c>
      <c r="C54" s="365" t="s">
        <v>1656</v>
      </c>
      <c r="D54" s="2463" t="s">
        <v>5180</v>
      </c>
      <c r="E54" s="322" t="s">
        <v>9907</v>
      </c>
      <c r="F54" s="93" t="s">
        <v>664</v>
      </c>
      <c r="G54" s="93">
        <v>5</v>
      </c>
      <c r="H54" s="93">
        <v>6</v>
      </c>
      <c r="I54" s="680">
        <v>0.1</v>
      </c>
      <c r="J54" s="680">
        <v>0.1</v>
      </c>
      <c r="K54" s="685"/>
      <c r="L54" s="685"/>
      <c r="M54" s="1225"/>
      <c r="N54" s="1232"/>
      <c r="O54" s="686"/>
      <c r="P54" s="685"/>
      <c r="Q54" s="1222"/>
      <c r="R54" s="958">
        <v>0.1</v>
      </c>
      <c r="S54" s="93"/>
      <c r="T54" s="252"/>
      <c r="U54" s="93"/>
      <c r="V54" s="93"/>
      <c r="W54" s="147"/>
      <c r="X54" s="252"/>
      <c r="Y54" s="147"/>
      <c r="Z54" s="1715"/>
      <c r="AB54" s="3">
        <v>1</v>
      </c>
      <c r="AE54" s="2461"/>
      <c r="AF54" s="68"/>
      <c r="AK54" s="2815" t="s">
        <v>11229</v>
      </c>
      <c r="AL54" s="2579"/>
      <c r="AM54" s="2817"/>
    </row>
    <row r="55" spans="1:39" ht="60" x14ac:dyDescent="0.35">
      <c r="A55" s="370">
        <v>15</v>
      </c>
      <c r="B55" s="365">
        <v>10827</v>
      </c>
      <c r="C55" s="358" t="s">
        <v>1656</v>
      </c>
      <c r="D55" s="2463" t="s">
        <v>5181</v>
      </c>
      <c r="E55" s="322" t="s">
        <v>9908</v>
      </c>
      <c r="F55" s="93" t="s">
        <v>664</v>
      </c>
      <c r="G55" s="93">
        <v>5</v>
      </c>
      <c r="H55" s="93">
        <v>6</v>
      </c>
      <c r="I55" s="297">
        <f>J55+K55+L55</f>
        <v>1.2</v>
      </c>
      <c r="J55" s="297">
        <f>SUM(M55:R55)</f>
        <v>1.2</v>
      </c>
      <c r="K55" s="680"/>
      <c r="L55" s="680"/>
      <c r="M55" s="2384"/>
      <c r="N55" s="680"/>
      <c r="O55" s="684"/>
      <c r="P55" s="680"/>
      <c r="Q55" s="2385"/>
      <c r="R55" s="1830">
        <v>1.2</v>
      </c>
      <c r="S55" s="105"/>
      <c r="T55" s="253"/>
      <c r="U55" s="105"/>
      <c r="V55" s="105"/>
      <c r="W55" s="146"/>
      <c r="X55" s="253"/>
      <c r="Y55" s="146"/>
      <c r="Z55" s="1713"/>
      <c r="AB55" s="3">
        <v>1</v>
      </c>
      <c r="AE55" s="2461"/>
      <c r="AF55" s="68"/>
      <c r="AK55" s="2818" t="s">
        <v>7184</v>
      </c>
      <c r="AL55" s="2821">
        <f>AL56+AL57+AL58+AL59+AL60</f>
        <v>94.536000000000001</v>
      </c>
      <c r="AM55" s="2820">
        <f>AL55-AF31</f>
        <v>0</v>
      </c>
    </row>
    <row r="56" spans="1:39" ht="60" x14ac:dyDescent="0.35">
      <c r="A56" s="1829">
        <v>16</v>
      </c>
      <c r="B56" s="365">
        <v>10827</v>
      </c>
      <c r="C56" s="365" t="s">
        <v>1656</v>
      </c>
      <c r="D56" s="2463" t="s">
        <v>5182</v>
      </c>
      <c r="E56" s="322" t="s">
        <v>9909</v>
      </c>
      <c r="F56" s="93" t="s">
        <v>664</v>
      </c>
      <c r="G56" s="93">
        <v>5</v>
      </c>
      <c r="H56" s="93">
        <v>6</v>
      </c>
      <c r="I56" s="680">
        <v>0.2</v>
      </c>
      <c r="J56" s="680">
        <v>0.2</v>
      </c>
      <c r="K56" s="685"/>
      <c r="L56" s="685"/>
      <c r="M56" s="1225"/>
      <c r="N56" s="1232"/>
      <c r="O56" s="686"/>
      <c r="P56" s="685"/>
      <c r="Q56" s="1222"/>
      <c r="R56" s="958">
        <v>0.2</v>
      </c>
      <c r="S56" s="93"/>
      <c r="T56" s="252"/>
      <c r="U56" s="93"/>
      <c r="V56" s="93"/>
      <c r="W56" s="147"/>
      <c r="X56" s="252"/>
      <c r="Y56" s="147"/>
      <c r="Z56" s="1715"/>
      <c r="AB56" s="3">
        <v>1</v>
      </c>
      <c r="AE56" s="2461"/>
      <c r="AF56" s="68"/>
      <c r="AK56" s="2815" t="s">
        <v>11230</v>
      </c>
      <c r="AL56" s="2579">
        <f>SUMIFS(M30:M954,F30:F954,4,G30:G954,5)</f>
        <v>0</v>
      </c>
      <c r="AM56" s="2817"/>
    </row>
    <row r="57" spans="1:39" ht="60" x14ac:dyDescent="0.35">
      <c r="A57" s="370">
        <v>17</v>
      </c>
      <c r="B57" s="365">
        <v>10827</v>
      </c>
      <c r="C57" s="365" t="s">
        <v>1657</v>
      </c>
      <c r="D57" s="2463" t="s">
        <v>5183</v>
      </c>
      <c r="E57" s="322" t="s">
        <v>9910</v>
      </c>
      <c r="F57" s="93" t="s">
        <v>827</v>
      </c>
      <c r="G57" s="93">
        <v>5</v>
      </c>
      <c r="H57" s="93">
        <v>6</v>
      </c>
      <c r="I57" s="680">
        <f>J57+K57+L57</f>
        <v>0.5</v>
      </c>
      <c r="J57" s="680">
        <f>SUM(M57:R57)</f>
        <v>0.5</v>
      </c>
      <c r="K57" s="680"/>
      <c r="L57" s="680"/>
      <c r="M57" s="990"/>
      <c r="N57" s="1229"/>
      <c r="O57" s="684"/>
      <c r="P57" s="680"/>
      <c r="Q57" s="960">
        <v>0.5</v>
      </c>
      <c r="R57" s="958"/>
      <c r="S57" s="105"/>
      <c r="T57" s="253"/>
      <c r="U57" s="105"/>
      <c r="V57" s="105"/>
      <c r="W57" s="146"/>
      <c r="X57" s="253"/>
      <c r="Y57" s="146"/>
      <c r="Z57" s="1713"/>
      <c r="AB57" s="3">
        <v>1</v>
      </c>
      <c r="AE57" s="2461"/>
      <c r="AF57" s="68"/>
      <c r="AK57" s="2815" t="s">
        <v>11231</v>
      </c>
      <c r="AL57" s="2579">
        <f>SUMIFS(N30:N954,F30:F954,4,G30:G954,5)</f>
        <v>45.682999999999993</v>
      </c>
      <c r="AM57" s="2817"/>
    </row>
    <row r="58" spans="1:39" ht="45" x14ac:dyDescent="0.35">
      <c r="A58" s="1829">
        <v>18</v>
      </c>
      <c r="B58" s="365">
        <v>10827</v>
      </c>
      <c r="C58" s="358" t="s">
        <v>1656</v>
      </c>
      <c r="D58" s="2463" t="s">
        <v>5184</v>
      </c>
      <c r="E58" s="322" t="s">
        <v>8629</v>
      </c>
      <c r="F58" s="93" t="s">
        <v>1490</v>
      </c>
      <c r="G58" s="93">
        <v>5</v>
      </c>
      <c r="H58" s="93">
        <v>6</v>
      </c>
      <c r="I58" s="297">
        <f>J58+K58+L58</f>
        <v>0.1</v>
      </c>
      <c r="J58" s="297">
        <f>SUM(M58:R58)</f>
        <v>0.1</v>
      </c>
      <c r="K58" s="685"/>
      <c r="L58" s="685"/>
      <c r="M58" s="2384"/>
      <c r="N58" s="680">
        <v>0.1</v>
      </c>
      <c r="O58" s="684"/>
      <c r="P58" s="680"/>
      <c r="Q58" s="2385"/>
      <c r="R58" s="1830"/>
      <c r="S58" s="105"/>
      <c r="T58" s="253"/>
      <c r="U58" s="105"/>
      <c r="V58" s="105"/>
      <c r="W58" s="146"/>
      <c r="X58" s="253"/>
      <c r="Y58" s="146"/>
      <c r="Z58" s="1713"/>
      <c r="AB58" s="3">
        <v>1</v>
      </c>
      <c r="AE58" s="2461"/>
      <c r="AF58" s="68"/>
      <c r="AK58" s="2815" t="s">
        <v>11232</v>
      </c>
      <c r="AL58" s="2579">
        <f>SUMIFS(O30:O954,F30:F954,4,G30:G954,5)</f>
        <v>0</v>
      </c>
      <c r="AM58" s="2817"/>
    </row>
    <row r="59" spans="1:39" ht="45" x14ac:dyDescent="0.35">
      <c r="A59" s="370">
        <v>19</v>
      </c>
      <c r="B59" s="365">
        <v>10827</v>
      </c>
      <c r="C59" s="365" t="s">
        <v>1656</v>
      </c>
      <c r="D59" s="2463" t="s">
        <v>5185</v>
      </c>
      <c r="E59" s="322" t="s">
        <v>8630</v>
      </c>
      <c r="F59" s="93" t="s">
        <v>664</v>
      </c>
      <c r="G59" s="93">
        <v>5</v>
      </c>
      <c r="H59" s="93">
        <v>6</v>
      </c>
      <c r="I59" s="680">
        <f>J59+K59+L59</f>
        <v>0.1</v>
      </c>
      <c r="J59" s="680">
        <f>SUM(M59:R59)</f>
        <v>0.1</v>
      </c>
      <c r="K59" s="680"/>
      <c r="L59" s="680"/>
      <c r="M59" s="990"/>
      <c r="N59" s="1229"/>
      <c r="O59" s="684"/>
      <c r="P59" s="680"/>
      <c r="Q59" s="960"/>
      <c r="R59" s="958">
        <v>0.1</v>
      </c>
      <c r="S59" s="105"/>
      <c r="T59" s="253"/>
      <c r="U59" s="105"/>
      <c r="V59" s="105"/>
      <c r="W59" s="146"/>
      <c r="X59" s="253"/>
      <c r="Y59" s="146"/>
      <c r="Z59" s="1713"/>
      <c r="AB59" s="3">
        <v>1</v>
      </c>
      <c r="AE59" s="2461"/>
      <c r="AF59" s="68"/>
      <c r="AK59" s="2815" t="s">
        <v>11233</v>
      </c>
      <c r="AL59" s="2579">
        <f>SUMIFS(P30:P954,F30:F954,4,G30:G954,5)+SUMIFS(Q30:Q954,F30:F954,4,G30:G954,5)</f>
        <v>48.853000000000009</v>
      </c>
      <c r="AM59" s="2817"/>
    </row>
    <row r="60" spans="1:39" ht="60" x14ac:dyDescent="0.35">
      <c r="A60" s="1829">
        <v>20</v>
      </c>
      <c r="B60" s="365">
        <v>10828</v>
      </c>
      <c r="C60" s="365"/>
      <c r="D60" s="365" t="s">
        <v>2095</v>
      </c>
      <c r="E60" s="322" t="s">
        <v>9911</v>
      </c>
      <c r="F60" s="93"/>
      <c r="G60" s="93" t="s">
        <v>191</v>
      </c>
      <c r="H60" s="93" t="s">
        <v>191</v>
      </c>
      <c r="I60" s="680">
        <f>J60+K60+L60</f>
        <v>19.440000000000001</v>
      </c>
      <c r="J60" s="680">
        <f>SUM(M60:R60)</f>
        <v>19.440000000000001</v>
      </c>
      <c r="K60" s="680"/>
      <c r="L60" s="680"/>
      <c r="M60" s="990"/>
      <c r="N60" s="1229">
        <f>SUM(N61:N67)</f>
        <v>11.780999999999999</v>
      </c>
      <c r="O60" s="684"/>
      <c r="P60" s="680"/>
      <c r="Q60" s="960">
        <f>SUM(Q61:Q67)</f>
        <v>7.6590000000000016</v>
      </c>
      <c r="R60" s="958"/>
      <c r="S60" s="105">
        <v>2</v>
      </c>
      <c r="T60" s="253">
        <v>84</v>
      </c>
      <c r="U60" s="105"/>
      <c r="V60" s="105"/>
      <c r="W60" s="146">
        <v>37</v>
      </c>
      <c r="X60" s="253">
        <f>548.7-47.1</f>
        <v>501.6</v>
      </c>
      <c r="Y60" s="146">
        <v>17</v>
      </c>
      <c r="Z60" s="1713">
        <v>197</v>
      </c>
      <c r="AB60" s="3">
        <v>1</v>
      </c>
      <c r="AE60" s="2461"/>
      <c r="AF60" s="68"/>
      <c r="AK60" s="2815" t="s">
        <v>910</v>
      </c>
      <c r="AL60" s="2579">
        <f>SUMIFS(R30:R954,F30:F954,4,G30:G954,5)</f>
        <v>0</v>
      </c>
      <c r="AM60" s="2817"/>
    </row>
    <row r="61" spans="1:39" x14ac:dyDescent="0.35">
      <c r="A61" s="1580"/>
      <c r="B61" s="365">
        <v>10828</v>
      </c>
      <c r="C61" s="365"/>
      <c r="D61" s="368"/>
      <c r="E61" s="324" t="s">
        <v>10990</v>
      </c>
      <c r="F61" s="93">
        <v>4</v>
      </c>
      <c r="G61" s="93">
        <v>5</v>
      </c>
      <c r="H61" s="93">
        <v>6</v>
      </c>
      <c r="I61" s="685"/>
      <c r="J61" s="685"/>
      <c r="K61" s="685"/>
      <c r="L61" s="685"/>
      <c r="M61" s="1225"/>
      <c r="N61" s="1232">
        <v>4.3339999999999996</v>
      </c>
      <c r="O61" s="686"/>
      <c r="P61" s="685"/>
      <c r="Q61" s="1222"/>
      <c r="R61" s="1219"/>
      <c r="S61" s="93"/>
      <c r="T61" s="252"/>
      <c r="U61" s="93"/>
      <c r="V61" s="93"/>
      <c r="W61" s="147"/>
      <c r="X61" s="252"/>
      <c r="Y61" s="147"/>
      <c r="Z61" s="1715"/>
      <c r="AE61" s="2461"/>
      <c r="AF61" s="68"/>
      <c r="AK61" s="2818" t="s">
        <v>7185</v>
      </c>
      <c r="AL61" s="2821">
        <f>AL62+AL63+AL64+AL65+AL66</f>
        <v>70.070999999999998</v>
      </c>
      <c r="AM61" s="2820">
        <f>AL61-AG31</f>
        <v>0</v>
      </c>
    </row>
    <row r="62" spans="1:39" x14ac:dyDescent="0.35">
      <c r="A62" s="1580"/>
      <c r="B62" s="365">
        <v>10828</v>
      </c>
      <c r="C62" s="365"/>
      <c r="D62" s="368"/>
      <c r="E62" s="1228" t="s">
        <v>10439</v>
      </c>
      <c r="F62" s="93">
        <v>4</v>
      </c>
      <c r="G62" s="93">
        <v>5</v>
      </c>
      <c r="H62" s="93">
        <v>6</v>
      </c>
      <c r="I62" s="685"/>
      <c r="J62" s="685"/>
      <c r="K62" s="685"/>
      <c r="L62" s="685"/>
      <c r="M62" s="1225"/>
      <c r="N62" s="1232"/>
      <c r="O62" s="686"/>
      <c r="P62" s="685"/>
      <c r="Q62" s="1222">
        <f>6.837-4.334</f>
        <v>2.5030000000000001</v>
      </c>
      <c r="R62" s="1219"/>
      <c r="S62" s="93"/>
      <c r="T62" s="252"/>
      <c r="U62" s="93"/>
      <c r="V62" s="93"/>
      <c r="W62" s="147"/>
      <c r="X62" s="252"/>
      <c r="Y62" s="147"/>
      <c r="Z62" s="1715"/>
      <c r="AE62" s="2461"/>
      <c r="AF62" s="68"/>
      <c r="AK62" s="2815" t="s">
        <v>11230</v>
      </c>
      <c r="AL62" s="2579">
        <f>SUMIFS(M30:M954,F30:F954,5,G30:G954,5)</f>
        <v>1.6</v>
      </c>
      <c r="AM62" s="2817"/>
    </row>
    <row r="63" spans="1:39" x14ac:dyDescent="0.35">
      <c r="A63" s="1580"/>
      <c r="B63" s="365">
        <v>10828</v>
      </c>
      <c r="C63" s="365"/>
      <c r="D63" s="368"/>
      <c r="E63" s="324" t="s">
        <v>3072</v>
      </c>
      <c r="F63" s="93">
        <v>4</v>
      </c>
      <c r="G63" s="93">
        <v>5</v>
      </c>
      <c r="H63" s="93">
        <v>6</v>
      </c>
      <c r="I63" s="685"/>
      <c r="J63" s="685"/>
      <c r="K63" s="685"/>
      <c r="L63" s="685"/>
      <c r="M63" s="1225"/>
      <c r="N63" s="1232">
        <f>6.937-6.837</f>
        <v>0.10000000000000053</v>
      </c>
      <c r="O63" s="686"/>
      <c r="P63" s="685"/>
      <c r="Q63" s="1222"/>
      <c r="R63" s="1219"/>
      <c r="S63" s="93"/>
      <c r="T63" s="252"/>
      <c r="U63" s="93"/>
      <c r="V63" s="93"/>
      <c r="W63" s="147"/>
      <c r="X63" s="252"/>
      <c r="Y63" s="147"/>
      <c r="Z63" s="1715"/>
      <c r="AE63" s="2461"/>
      <c r="AF63" s="68"/>
      <c r="AK63" s="2815" t="s">
        <v>11231</v>
      </c>
      <c r="AL63" s="2579">
        <f>SUMIFS(N30:N954,F30:F954,5,G30:G954,5)</f>
        <v>22.284999999999997</v>
      </c>
      <c r="AM63" s="2817"/>
    </row>
    <row r="64" spans="1:39" x14ac:dyDescent="0.35">
      <c r="A64" s="1580"/>
      <c r="B64" s="365">
        <v>10828</v>
      </c>
      <c r="C64" s="365"/>
      <c r="D64" s="368"/>
      <c r="E64" s="1228" t="s">
        <v>3073</v>
      </c>
      <c r="F64" s="93">
        <v>4</v>
      </c>
      <c r="G64" s="93">
        <v>5</v>
      </c>
      <c r="H64" s="93">
        <v>6</v>
      </c>
      <c r="I64" s="685"/>
      <c r="J64" s="685"/>
      <c r="K64" s="685"/>
      <c r="L64" s="685"/>
      <c r="M64" s="1225"/>
      <c r="N64" s="1232"/>
      <c r="O64" s="686"/>
      <c r="P64" s="685"/>
      <c r="Q64" s="1222">
        <f>9.194-6.937</f>
        <v>2.2570000000000006</v>
      </c>
      <c r="R64" s="1219"/>
      <c r="S64" s="93"/>
      <c r="T64" s="252"/>
      <c r="U64" s="93"/>
      <c r="V64" s="93"/>
      <c r="W64" s="147"/>
      <c r="X64" s="252"/>
      <c r="Y64" s="147"/>
      <c r="Z64" s="1715"/>
      <c r="AE64" s="2461"/>
      <c r="AF64" s="68"/>
      <c r="AK64" s="2815" t="s">
        <v>11232</v>
      </c>
      <c r="AL64" s="2579">
        <f>SUMIFS(O30:O954,F30:F954,5,G30:G954,5)</f>
        <v>0</v>
      </c>
      <c r="AM64" s="2817"/>
    </row>
    <row r="65" spans="1:39" x14ac:dyDescent="0.35">
      <c r="A65" s="1580"/>
      <c r="B65" s="365"/>
      <c r="C65" s="365"/>
      <c r="D65" s="368"/>
      <c r="E65" s="324" t="s">
        <v>6824</v>
      </c>
      <c r="F65" s="93">
        <v>4</v>
      </c>
      <c r="G65" s="93">
        <v>5</v>
      </c>
      <c r="H65" s="93">
        <v>6</v>
      </c>
      <c r="I65" s="685"/>
      <c r="J65" s="685"/>
      <c r="K65" s="685"/>
      <c r="L65" s="685"/>
      <c r="M65" s="1225"/>
      <c r="N65" s="1232">
        <f>14.64-9.194</f>
        <v>5.4459999999999997</v>
      </c>
      <c r="O65" s="686"/>
      <c r="P65" s="685"/>
      <c r="Q65" s="1222"/>
      <c r="R65" s="1219"/>
      <c r="S65" s="93"/>
      <c r="T65" s="252"/>
      <c r="U65" s="93"/>
      <c r="V65" s="93"/>
      <c r="W65" s="147"/>
      <c r="X65" s="252"/>
      <c r="Y65" s="147"/>
      <c r="Z65" s="1715"/>
      <c r="AE65" s="2461"/>
      <c r="AF65" s="68"/>
      <c r="AK65" s="2815" t="s">
        <v>11233</v>
      </c>
      <c r="AL65" s="2579">
        <f>SUMIFS(P30:P954,F30:F954,5,G30:G954,5)+SUMIFS(Q30:Q954,F30:F954,5,G30:G954,5)</f>
        <v>45.049000000000007</v>
      </c>
      <c r="AM65" s="2817"/>
    </row>
    <row r="66" spans="1:39" x14ac:dyDescent="0.35">
      <c r="A66" s="1580"/>
      <c r="B66" s="365"/>
      <c r="C66" s="365"/>
      <c r="D66" s="368"/>
      <c r="E66" s="1228" t="s">
        <v>10446</v>
      </c>
      <c r="F66" s="93">
        <v>4</v>
      </c>
      <c r="G66" s="93">
        <v>5</v>
      </c>
      <c r="H66" s="93">
        <v>6</v>
      </c>
      <c r="I66" s="685"/>
      <c r="J66" s="685"/>
      <c r="K66" s="685"/>
      <c r="L66" s="685"/>
      <c r="M66" s="1225"/>
      <c r="N66" s="1232"/>
      <c r="O66" s="686"/>
      <c r="P66" s="685"/>
      <c r="Q66" s="1222">
        <f>17.539-14.64</f>
        <v>2.8990000000000009</v>
      </c>
      <c r="R66" s="1219"/>
      <c r="S66" s="93"/>
      <c r="T66" s="252"/>
      <c r="U66" s="93"/>
      <c r="V66" s="93"/>
      <c r="W66" s="147"/>
      <c r="X66" s="252"/>
      <c r="Y66" s="147"/>
      <c r="Z66" s="1715"/>
      <c r="AE66" s="2461"/>
      <c r="AF66" s="68"/>
      <c r="AK66" s="2815" t="s">
        <v>910</v>
      </c>
      <c r="AL66" s="2579">
        <f>SUMIFS(R30:R954,F30:F954,5,G30:G954,5)</f>
        <v>1.137</v>
      </c>
      <c r="AM66" s="2817"/>
    </row>
    <row r="67" spans="1:39" x14ac:dyDescent="0.35">
      <c r="A67" s="1580"/>
      <c r="B67" s="365">
        <v>10828</v>
      </c>
      <c r="C67" s="365"/>
      <c r="D67" s="368"/>
      <c r="E67" s="324" t="s">
        <v>6825</v>
      </c>
      <c r="F67" s="93">
        <v>4</v>
      </c>
      <c r="G67" s="93">
        <v>5</v>
      </c>
      <c r="H67" s="93">
        <v>6</v>
      </c>
      <c r="I67" s="685"/>
      <c r="J67" s="685"/>
      <c r="K67" s="685"/>
      <c r="L67" s="685"/>
      <c r="M67" s="1225"/>
      <c r="N67" s="1232">
        <f>19.44-17.539</f>
        <v>1.9009999999999998</v>
      </c>
      <c r="O67" s="686"/>
      <c r="P67" s="685"/>
      <c r="Q67" s="1222"/>
      <c r="R67" s="1219"/>
      <c r="S67" s="93"/>
      <c r="T67" s="252"/>
      <c r="U67" s="93"/>
      <c r="V67" s="93"/>
      <c r="W67" s="147"/>
      <c r="X67" s="252"/>
      <c r="Y67" s="147"/>
      <c r="Z67" s="1715"/>
      <c r="AE67" s="2461"/>
      <c r="AF67" s="68"/>
      <c r="AK67" s="2818" t="s">
        <v>11234</v>
      </c>
      <c r="AL67" s="2821">
        <f>AL68+AL69+AL70+AL71+AL72</f>
        <v>117.462</v>
      </c>
      <c r="AM67" s="2820">
        <f>AL67-AH31-AI31-AJ31</f>
        <v>0</v>
      </c>
    </row>
    <row r="68" spans="1:39" ht="75" x14ac:dyDescent="0.35">
      <c r="A68" s="1829">
        <v>21</v>
      </c>
      <c r="B68" s="365"/>
      <c r="C68" s="365"/>
      <c r="D68" s="2463" t="s">
        <v>5186</v>
      </c>
      <c r="E68" s="322" t="s">
        <v>9912</v>
      </c>
      <c r="F68" s="93">
        <v>4</v>
      </c>
      <c r="G68" s="93">
        <v>5</v>
      </c>
      <c r="H68" s="93">
        <v>6</v>
      </c>
      <c r="I68" s="680">
        <f>J68+K68+L68</f>
        <v>1.48</v>
      </c>
      <c r="J68" s="680">
        <f>SUM(M68:R68)</f>
        <v>1.48</v>
      </c>
      <c r="K68" s="685"/>
      <c r="L68" s="685"/>
      <c r="M68" s="1225"/>
      <c r="N68" s="680">
        <v>1.48</v>
      </c>
      <c r="O68" s="686"/>
      <c r="P68" s="685"/>
      <c r="Q68" s="1222"/>
      <c r="R68" s="1219"/>
      <c r="S68" s="93"/>
      <c r="T68" s="252"/>
      <c r="U68" s="93"/>
      <c r="V68" s="93"/>
      <c r="W68" s="146">
        <v>4</v>
      </c>
      <c r="X68" s="253">
        <v>47.1</v>
      </c>
      <c r="Y68" s="146">
        <v>2</v>
      </c>
      <c r="Z68" s="1713">
        <v>20</v>
      </c>
      <c r="AB68" s="3">
        <v>1</v>
      </c>
      <c r="AE68" s="2461"/>
      <c r="AF68" s="68"/>
      <c r="AK68" s="2815" t="s">
        <v>11230</v>
      </c>
      <c r="AL68" s="2579">
        <f>SUMIFS(M30:M954,F30:F954,"6а",G30:G954,5)+SUMIFS(M30:M954,F30:F954,"6б",G30:G954,5)+SUMIFS(M30:M954,F30:F954,"б/к",G30:G954,5)</f>
        <v>0</v>
      </c>
      <c r="AM68" s="2817"/>
    </row>
    <row r="69" spans="1:39" ht="75" x14ac:dyDescent="0.35">
      <c r="A69" s="370">
        <v>22</v>
      </c>
      <c r="B69" s="365">
        <v>10828</v>
      </c>
      <c r="C69" s="365" t="s">
        <v>1656</v>
      </c>
      <c r="D69" s="2463" t="s">
        <v>5187</v>
      </c>
      <c r="E69" s="322" t="s">
        <v>9913</v>
      </c>
      <c r="F69" s="93" t="s">
        <v>664</v>
      </c>
      <c r="G69" s="93">
        <v>5</v>
      </c>
      <c r="H69" s="93">
        <v>6</v>
      </c>
      <c r="I69" s="680">
        <f>J69+K69+L69</f>
        <v>0.1</v>
      </c>
      <c r="J69" s="680">
        <f>SUM(M69:R69)</f>
        <v>0.1</v>
      </c>
      <c r="K69" s="680"/>
      <c r="L69" s="680"/>
      <c r="M69" s="990"/>
      <c r="N69" s="1229"/>
      <c r="O69" s="684"/>
      <c r="P69" s="680"/>
      <c r="Q69" s="960"/>
      <c r="R69" s="958">
        <v>0.1</v>
      </c>
      <c r="S69" s="105"/>
      <c r="T69" s="253"/>
      <c r="U69" s="105"/>
      <c r="V69" s="105"/>
      <c r="W69" s="146"/>
      <c r="X69" s="253"/>
      <c r="Y69" s="146"/>
      <c r="Z69" s="1713"/>
      <c r="AB69" s="3">
        <v>1</v>
      </c>
      <c r="AE69" s="2461"/>
      <c r="AF69" s="68"/>
      <c r="AK69" s="2815" t="s">
        <v>11231</v>
      </c>
      <c r="AL69" s="2579">
        <f>SUMIFS(N30:N954,F30:F954,"6а",G30:G954,5)+SUMIFS(N30:N954,F30:F954,"6б",G30:G954,5)+SUMIFS(N30:N954,F30:F954,"б/к",G30:G954,5)</f>
        <v>4.2479999999999993</v>
      </c>
      <c r="AM69" s="2817"/>
    </row>
    <row r="70" spans="1:39" ht="75" x14ac:dyDescent="0.35">
      <c r="A70" s="2001">
        <v>23</v>
      </c>
      <c r="B70" s="365">
        <v>10828</v>
      </c>
      <c r="C70" s="358" t="s">
        <v>1656</v>
      </c>
      <c r="D70" s="2463" t="s">
        <v>5188</v>
      </c>
      <c r="E70" s="322" t="s">
        <v>9914</v>
      </c>
      <c r="F70" s="93" t="s">
        <v>664</v>
      </c>
      <c r="G70" s="93">
        <v>5</v>
      </c>
      <c r="H70" s="93">
        <v>6</v>
      </c>
      <c r="I70" s="297">
        <f>J70+K70+L70</f>
        <v>0.1</v>
      </c>
      <c r="J70" s="297">
        <f>SUM(M70:R70)</f>
        <v>0.1</v>
      </c>
      <c r="K70" s="680"/>
      <c r="L70" s="680"/>
      <c r="M70" s="2384"/>
      <c r="N70" s="680"/>
      <c r="O70" s="684"/>
      <c r="P70" s="680"/>
      <c r="Q70" s="2385"/>
      <c r="R70" s="1830">
        <v>0.1</v>
      </c>
      <c r="S70" s="105"/>
      <c r="T70" s="253"/>
      <c r="U70" s="105"/>
      <c r="V70" s="105"/>
      <c r="W70" s="146"/>
      <c r="X70" s="253"/>
      <c r="Y70" s="146"/>
      <c r="Z70" s="1713"/>
      <c r="AB70" s="3">
        <v>1</v>
      </c>
      <c r="AE70" s="2461"/>
      <c r="AF70" s="68"/>
      <c r="AK70" s="2815" t="s">
        <v>11232</v>
      </c>
      <c r="AL70" s="2579">
        <f>SUMIFS(O30:O954,F30:F954,"6а",G30:G954,5)+SUMIFS(O30:O954,F30:F954,"6б",G30:G954,5)+SUMIFS(O30:O954,F30:F954,"б/к",G30:G954,5)</f>
        <v>0</v>
      </c>
      <c r="AM70" s="2817"/>
    </row>
    <row r="71" spans="1:39" ht="60" x14ac:dyDescent="0.35">
      <c r="A71" s="370">
        <v>24</v>
      </c>
      <c r="B71" s="365">
        <v>10829</v>
      </c>
      <c r="C71" s="365"/>
      <c r="D71" s="365" t="s">
        <v>2426</v>
      </c>
      <c r="E71" s="322" t="s">
        <v>9915</v>
      </c>
      <c r="F71" s="93"/>
      <c r="G71" s="93" t="s">
        <v>191</v>
      </c>
      <c r="H71" s="93" t="s">
        <v>191</v>
      </c>
      <c r="I71" s="680">
        <f>J71+K71+L71</f>
        <v>14.074</v>
      </c>
      <c r="J71" s="680">
        <f>SUM(M71:R71)</f>
        <v>14.074</v>
      </c>
      <c r="K71" s="680"/>
      <c r="L71" s="680"/>
      <c r="M71" s="990"/>
      <c r="N71" s="1229">
        <f>SUM(N72:N76)</f>
        <v>4.8119999999999994</v>
      </c>
      <c r="O71" s="684"/>
      <c r="P71" s="680"/>
      <c r="Q71" s="960">
        <f>SUM(Q72:Q76)</f>
        <v>9.2620000000000005</v>
      </c>
      <c r="R71" s="958"/>
      <c r="S71" s="105">
        <v>1</v>
      </c>
      <c r="T71" s="253">
        <f>31.7-12.7</f>
        <v>19</v>
      </c>
      <c r="U71" s="105"/>
      <c r="V71" s="105"/>
      <c r="W71" s="146">
        <v>23</v>
      </c>
      <c r="X71" s="253">
        <v>295.07</v>
      </c>
      <c r="Y71" s="146">
        <v>10</v>
      </c>
      <c r="Z71" s="1713">
        <v>105.5</v>
      </c>
      <c r="AB71" s="3">
        <v>1</v>
      </c>
      <c r="AE71" s="2461"/>
      <c r="AF71" s="68"/>
      <c r="AK71" s="2815" t="s">
        <v>11233</v>
      </c>
      <c r="AL71" s="2579">
        <f>SUMIFS(P30:P954,F30:F954,"6а",G30:G954,5)+SUMIFS(Q30:Q954,F30:F954,"6а",G30:G954,5)+SUMIFS(P30:P954,F30:F954,"6б",G30:G954,5)+SUMIFS(Q30:Q954,F30:F954,"6б",G30:G954,5)+SUMIFS(P30:P954,F30:F954,"б/к",G30:G954,5)+SUMIFS(Q30:Q954,F30:F954,"б/к",G30:G954,5)</f>
        <v>13.881000000000002</v>
      </c>
      <c r="AM71" s="2817"/>
    </row>
    <row r="72" spans="1:39" x14ac:dyDescent="0.35">
      <c r="A72" s="1580"/>
      <c r="B72" s="365">
        <v>10829</v>
      </c>
      <c r="C72" s="365"/>
      <c r="D72" s="368"/>
      <c r="E72" s="324" t="s">
        <v>3552</v>
      </c>
      <c r="F72" s="93">
        <v>4</v>
      </c>
      <c r="G72" s="93">
        <v>5</v>
      </c>
      <c r="H72" s="93">
        <v>6</v>
      </c>
      <c r="I72" s="685"/>
      <c r="J72" s="685"/>
      <c r="K72" s="685"/>
      <c r="L72" s="685"/>
      <c r="M72" s="1225"/>
      <c r="N72" s="1232">
        <v>3.5259999999999998</v>
      </c>
      <c r="O72" s="686"/>
      <c r="P72" s="685"/>
      <c r="Q72" s="1222"/>
      <c r="R72" s="1219"/>
      <c r="S72" s="93"/>
      <c r="T72" s="252"/>
      <c r="U72" s="93"/>
      <c r="V72" s="93"/>
      <c r="W72" s="147"/>
      <c r="X72" s="252"/>
      <c r="Y72" s="147"/>
      <c r="Z72" s="1715"/>
      <c r="AE72" s="2461"/>
      <c r="AF72" s="68"/>
      <c r="AK72" s="2815" t="s">
        <v>910</v>
      </c>
      <c r="AL72" s="2579">
        <f>SUMIFS(R30:R954,F30:F954,"6а",G30:G954,5)+SUMIFS(R30:R954,F30:F954,"6б",G30:G954,5)+SUMIFS(R30:R954,F30:F954,"б/к",G30:G954,5)</f>
        <v>99.332999999999998</v>
      </c>
      <c r="AM72" s="2817"/>
    </row>
    <row r="73" spans="1:39" x14ac:dyDescent="0.35">
      <c r="A73" s="1580"/>
      <c r="B73" s="365">
        <v>10829</v>
      </c>
      <c r="C73" s="365"/>
      <c r="D73" s="368"/>
      <c r="E73" s="1228" t="s">
        <v>3553</v>
      </c>
      <c r="F73" s="93">
        <v>4</v>
      </c>
      <c r="G73" s="93">
        <v>5</v>
      </c>
      <c r="H73" s="93">
        <v>6</v>
      </c>
      <c r="I73" s="685"/>
      <c r="J73" s="685"/>
      <c r="K73" s="685"/>
      <c r="L73" s="685"/>
      <c r="M73" s="1225"/>
      <c r="N73" s="1232"/>
      <c r="O73" s="686"/>
      <c r="P73" s="685"/>
      <c r="Q73" s="1222">
        <f>12.394-3.526</f>
        <v>8.8680000000000003</v>
      </c>
      <c r="R73" s="1219"/>
      <c r="S73" s="93"/>
      <c r="T73" s="252"/>
      <c r="U73" s="93"/>
      <c r="V73" s="93"/>
      <c r="W73" s="147"/>
      <c r="X73" s="252"/>
      <c r="Y73" s="147"/>
      <c r="Z73" s="1715"/>
      <c r="AE73" s="2461"/>
      <c r="AF73" s="68"/>
      <c r="AK73" s="2815"/>
      <c r="AL73" s="2579"/>
      <c r="AM73" s="2817"/>
    </row>
    <row r="74" spans="1:39" x14ac:dyDescent="0.35">
      <c r="A74" s="1580"/>
      <c r="B74" s="365">
        <v>10829</v>
      </c>
      <c r="C74" s="365"/>
      <c r="D74" s="368"/>
      <c r="E74" s="324" t="s">
        <v>3555</v>
      </c>
      <c r="F74" s="93">
        <v>4</v>
      </c>
      <c r="G74" s="93">
        <v>5</v>
      </c>
      <c r="H74" s="93">
        <v>6</v>
      </c>
      <c r="I74" s="685"/>
      <c r="J74" s="685"/>
      <c r="K74" s="685"/>
      <c r="L74" s="685"/>
      <c r="M74" s="1225"/>
      <c r="N74" s="1232">
        <f>12.677-12.394</f>
        <v>0.28299999999999947</v>
      </c>
      <c r="O74" s="686"/>
      <c r="P74" s="685"/>
      <c r="Q74" s="1222"/>
      <c r="R74" s="1219"/>
      <c r="S74" s="93"/>
      <c r="T74" s="252"/>
      <c r="U74" s="93"/>
      <c r="V74" s="93"/>
      <c r="W74" s="147"/>
      <c r="X74" s="252"/>
      <c r="Y74" s="147"/>
      <c r="Z74" s="1715"/>
      <c r="AE74" s="2461"/>
      <c r="AF74" s="68"/>
      <c r="AK74" s="2822" t="s">
        <v>11237</v>
      </c>
      <c r="AL74" s="2823">
        <f>AL11+AL32+AL53</f>
        <v>370.87800000000004</v>
      </c>
      <c r="AM74" s="2824">
        <f>AL74-J10</f>
        <v>0</v>
      </c>
    </row>
    <row r="75" spans="1:39" x14ac:dyDescent="0.35">
      <c r="A75" s="1580"/>
      <c r="B75" s="365">
        <v>10829</v>
      </c>
      <c r="C75" s="365"/>
      <c r="D75" s="368"/>
      <c r="E75" s="1228" t="s">
        <v>3556</v>
      </c>
      <c r="F75" s="93">
        <v>4</v>
      </c>
      <c r="G75" s="93">
        <v>5</v>
      </c>
      <c r="H75" s="93">
        <v>6</v>
      </c>
      <c r="I75" s="685"/>
      <c r="J75" s="685"/>
      <c r="K75" s="685"/>
      <c r="L75" s="685"/>
      <c r="M75" s="1225"/>
      <c r="N75" s="1232"/>
      <c r="O75" s="686"/>
      <c r="P75" s="685"/>
      <c r="Q75" s="1222">
        <f>13.071-12.677</f>
        <v>0.39400000000000013</v>
      </c>
      <c r="R75" s="1219"/>
      <c r="S75" s="93"/>
      <c r="T75" s="252"/>
      <c r="U75" s="93"/>
      <c r="V75" s="93"/>
      <c r="W75" s="147"/>
      <c r="X75" s="252"/>
      <c r="Y75" s="147"/>
      <c r="Z75" s="1715"/>
      <c r="AE75" s="2461"/>
      <c r="AF75" s="68"/>
      <c r="AK75" s="2825" t="s">
        <v>11238</v>
      </c>
      <c r="AL75" s="2826">
        <f>AL34+AL55+AL13</f>
        <v>180.35300000000001</v>
      </c>
      <c r="AM75" s="2827">
        <f>AL75-J12</f>
        <v>0</v>
      </c>
    </row>
    <row r="76" spans="1:39" x14ac:dyDescent="0.35">
      <c r="A76" s="1580"/>
      <c r="B76" s="365">
        <v>10829</v>
      </c>
      <c r="C76" s="365"/>
      <c r="D76" s="368"/>
      <c r="E76" s="324" t="s">
        <v>3554</v>
      </c>
      <c r="F76" s="93">
        <v>4</v>
      </c>
      <c r="G76" s="93">
        <v>5</v>
      </c>
      <c r="H76" s="93">
        <v>6</v>
      </c>
      <c r="I76" s="685"/>
      <c r="J76" s="685"/>
      <c r="K76" s="685"/>
      <c r="L76" s="685"/>
      <c r="M76" s="1225"/>
      <c r="N76" s="1232">
        <f>14.074-13.071</f>
        <v>1.0030000000000001</v>
      </c>
      <c r="O76" s="686"/>
      <c r="P76" s="685"/>
      <c r="Q76" s="1222"/>
      <c r="R76" s="1219"/>
      <c r="S76" s="93"/>
      <c r="T76" s="252"/>
      <c r="U76" s="93"/>
      <c r="V76" s="93"/>
      <c r="W76" s="147"/>
      <c r="X76" s="252"/>
      <c r="Y76" s="147"/>
      <c r="Z76" s="1715"/>
      <c r="AE76" s="2461"/>
      <c r="AF76" s="68"/>
      <c r="AK76" s="2828" t="s">
        <v>11239</v>
      </c>
      <c r="AL76" s="2826">
        <f>AL19+AL40+AL61</f>
        <v>70.070999999999998</v>
      </c>
      <c r="AM76" s="2827">
        <f>AL76-J13</f>
        <v>0</v>
      </c>
    </row>
    <row r="77" spans="1:39" ht="75" x14ac:dyDescent="0.35">
      <c r="A77" s="370">
        <v>25</v>
      </c>
      <c r="B77" s="365">
        <v>10829</v>
      </c>
      <c r="C77" s="365"/>
      <c r="D77" s="2463" t="s">
        <v>5189</v>
      </c>
      <c r="E77" s="322" t="s">
        <v>9916</v>
      </c>
      <c r="F77" s="93"/>
      <c r="G77" s="93" t="s">
        <v>191</v>
      </c>
      <c r="H77" s="93" t="s">
        <v>191</v>
      </c>
      <c r="I77" s="680">
        <f>J77+K77+L77</f>
        <v>2.8</v>
      </c>
      <c r="J77" s="680">
        <f>SUM(M77:R77)</f>
        <v>2.8</v>
      </c>
      <c r="K77" s="680"/>
      <c r="L77" s="680"/>
      <c r="M77" s="990"/>
      <c r="N77" s="1229">
        <f>SUM(N78:N79)</f>
        <v>0.4</v>
      </c>
      <c r="O77" s="684"/>
      <c r="P77" s="680"/>
      <c r="Q77" s="960">
        <f>SUM(Q78:Q79)</f>
        <v>2.4</v>
      </c>
      <c r="R77" s="958"/>
      <c r="S77" s="105"/>
      <c r="T77" s="253"/>
      <c r="U77" s="105"/>
      <c r="V77" s="105"/>
      <c r="W77" s="146">
        <v>6</v>
      </c>
      <c r="X77" s="253">
        <v>78</v>
      </c>
      <c r="Y77" s="146">
        <v>3</v>
      </c>
      <c r="Z77" s="1713">
        <v>30</v>
      </c>
      <c r="AA77" s="3" t="s">
        <v>178</v>
      </c>
      <c r="AB77" s="3">
        <v>1</v>
      </c>
      <c r="AC77" s="2331" t="s">
        <v>3114</v>
      </c>
      <c r="AD77" s="1784">
        <v>37350</v>
      </c>
      <c r="AE77" s="2461"/>
      <c r="AF77" s="68"/>
      <c r="AK77" s="2828" t="s">
        <v>11240</v>
      </c>
      <c r="AL77" s="2826">
        <f>AL25+AL46+AL67</f>
        <v>120.45400000000001</v>
      </c>
      <c r="AM77" s="2827">
        <f>AL77-J14</f>
        <v>0</v>
      </c>
    </row>
    <row r="78" spans="1:39" x14ac:dyDescent="0.35">
      <c r="A78" s="1580"/>
      <c r="B78" s="365">
        <v>10829</v>
      </c>
      <c r="C78" s="365"/>
      <c r="D78" s="368"/>
      <c r="E78" s="324" t="s">
        <v>3304</v>
      </c>
      <c r="F78" s="93">
        <v>4</v>
      </c>
      <c r="G78" s="93">
        <v>5</v>
      </c>
      <c r="H78" s="93">
        <v>6</v>
      </c>
      <c r="I78" s="685"/>
      <c r="J78" s="685"/>
      <c r="K78" s="685"/>
      <c r="L78" s="685"/>
      <c r="M78" s="1225"/>
      <c r="N78" s="1232">
        <v>0.4</v>
      </c>
      <c r="O78" s="686"/>
      <c r="P78" s="685"/>
      <c r="Q78" s="1222"/>
      <c r="R78" s="1219"/>
      <c r="S78" s="93"/>
      <c r="T78" s="252"/>
      <c r="U78" s="93"/>
      <c r="V78" s="93"/>
      <c r="W78" s="147"/>
      <c r="X78" s="252"/>
      <c r="Y78" s="147"/>
      <c r="Z78" s="1715"/>
      <c r="AE78" s="2461"/>
      <c r="AF78" s="68"/>
    </row>
    <row r="79" spans="1:39" x14ac:dyDescent="0.35">
      <c r="A79" s="1580"/>
      <c r="B79" s="365">
        <v>10829</v>
      </c>
      <c r="C79" s="365"/>
      <c r="D79" s="368"/>
      <c r="E79" s="1228" t="s">
        <v>3305</v>
      </c>
      <c r="F79" s="93">
        <v>4</v>
      </c>
      <c r="G79" s="93">
        <v>5</v>
      </c>
      <c r="H79" s="93">
        <v>6</v>
      </c>
      <c r="I79" s="685"/>
      <c r="J79" s="685"/>
      <c r="K79" s="685"/>
      <c r="L79" s="685"/>
      <c r="M79" s="1225"/>
      <c r="N79" s="1232"/>
      <c r="O79" s="686"/>
      <c r="P79" s="685"/>
      <c r="Q79" s="1222">
        <v>2.4</v>
      </c>
      <c r="R79" s="1219"/>
      <c r="S79" s="93"/>
      <c r="T79" s="252"/>
      <c r="U79" s="93"/>
      <c r="V79" s="93"/>
      <c r="W79" s="147"/>
      <c r="X79" s="252"/>
      <c r="Y79" s="147"/>
      <c r="Z79" s="1715"/>
      <c r="AE79" s="2461"/>
      <c r="AF79" s="68"/>
    </row>
    <row r="80" spans="1:39" ht="75" x14ac:dyDescent="0.35">
      <c r="A80" s="370">
        <v>26</v>
      </c>
      <c r="B80" s="365">
        <v>10829</v>
      </c>
      <c r="C80" s="365"/>
      <c r="D80" s="2463" t="s">
        <v>5190</v>
      </c>
      <c r="E80" s="322" t="s">
        <v>10841</v>
      </c>
      <c r="F80" s="93" t="s">
        <v>664</v>
      </c>
      <c r="G80" s="93">
        <v>5</v>
      </c>
      <c r="H80" s="93">
        <v>6</v>
      </c>
      <c r="I80" s="680">
        <f>J80+K80+L80</f>
        <v>2.2000000000000002</v>
      </c>
      <c r="J80" s="680">
        <f>SUM(M80:R80)</f>
        <v>2.2000000000000002</v>
      </c>
      <c r="K80" s="680"/>
      <c r="L80" s="680"/>
      <c r="M80" s="990"/>
      <c r="N80" s="1229"/>
      <c r="O80" s="684"/>
      <c r="P80" s="680"/>
      <c r="Q80" s="960"/>
      <c r="R80" s="958">
        <v>2.2000000000000002</v>
      </c>
      <c r="S80" s="105"/>
      <c r="T80" s="253"/>
      <c r="U80" s="105"/>
      <c r="V80" s="105"/>
      <c r="W80" s="146"/>
      <c r="X80" s="253"/>
      <c r="Y80" s="146"/>
      <c r="Z80" s="1713"/>
      <c r="AB80" s="3">
        <v>1</v>
      </c>
      <c r="AE80" s="2461"/>
      <c r="AF80" s="68"/>
    </row>
    <row r="81" spans="1:32" ht="90" x14ac:dyDescent="0.35">
      <c r="A81" s="2001">
        <v>27</v>
      </c>
      <c r="B81" s="365">
        <v>10829</v>
      </c>
      <c r="C81" s="365" t="s">
        <v>1656</v>
      </c>
      <c r="D81" s="2463" t="s">
        <v>5191</v>
      </c>
      <c r="E81" s="322" t="s">
        <v>9917</v>
      </c>
      <c r="F81" s="93" t="s">
        <v>664</v>
      </c>
      <c r="G81" s="93">
        <v>5</v>
      </c>
      <c r="H81" s="93">
        <v>6</v>
      </c>
      <c r="I81" s="680">
        <f>J81+K81+L81</f>
        <v>1.3</v>
      </c>
      <c r="J81" s="680">
        <f>M81+N81+O81+P81+Q81+R81</f>
        <v>1.3</v>
      </c>
      <c r="K81" s="680"/>
      <c r="L81" s="680"/>
      <c r="M81" s="990"/>
      <c r="N81" s="1229"/>
      <c r="O81" s="684"/>
      <c r="P81" s="680"/>
      <c r="Q81" s="960"/>
      <c r="R81" s="1083">
        <v>1.3</v>
      </c>
      <c r="S81" s="93"/>
      <c r="T81" s="93"/>
      <c r="U81" s="93"/>
      <c r="V81" s="93"/>
      <c r="W81" s="93"/>
      <c r="X81" s="252"/>
      <c r="Y81" s="93"/>
      <c r="Z81" s="93"/>
      <c r="AB81" s="3">
        <v>1</v>
      </c>
      <c r="AE81" s="2461"/>
      <c r="AF81" s="68"/>
    </row>
    <row r="82" spans="1:32" ht="90" x14ac:dyDescent="0.35">
      <c r="A82" s="370">
        <v>28</v>
      </c>
      <c r="B82" s="365">
        <v>10829</v>
      </c>
      <c r="C82" s="365" t="s">
        <v>1656</v>
      </c>
      <c r="D82" s="2463" t="s">
        <v>5192</v>
      </c>
      <c r="E82" s="322" t="s">
        <v>9918</v>
      </c>
      <c r="F82" s="93" t="s">
        <v>664</v>
      </c>
      <c r="G82" s="93">
        <v>5</v>
      </c>
      <c r="H82" s="93">
        <v>6</v>
      </c>
      <c r="I82" s="680">
        <f>J82+K82+L82</f>
        <v>0.5</v>
      </c>
      <c r="J82" s="680">
        <f>M82+N82+O82+P82+Q82+R82</f>
        <v>0.5</v>
      </c>
      <c r="K82" s="680"/>
      <c r="L82" s="680"/>
      <c r="M82" s="990"/>
      <c r="N82" s="1229"/>
      <c r="O82" s="684"/>
      <c r="P82" s="680"/>
      <c r="Q82" s="960"/>
      <c r="R82" s="1083">
        <v>0.5</v>
      </c>
      <c r="S82" s="93"/>
      <c r="T82" s="93"/>
      <c r="U82" s="93"/>
      <c r="V82" s="93"/>
      <c r="W82" s="93"/>
      <c r="X82" s="252"/>
      <c r="Y82" s="93"/>
      <c r="Z82" s="93"/>
      <c r="AB82" s="3">
        <v>1</v>
      </c>
      <c r="AE82" s="2461"/>
      <c r="AF82" s="68"/>
    </row>
    <row r="83" spans="1:32" ht="30" x14ac:dyDescent="0.35">
      <c r="A83" s="2001">
        <v>29</v>
      </c>
      <c r="B83" s="365">
        <v>10830</v>
      </c>
      <c r="C83" s="365"/>
      <c r="D83" s="365" t="s">
        <v>2427</v>
      </c>
      <c r="E83" s="322" t="s">
        <v>10658</v>
      </c>
      <c r="F83" s="93"/>
      <c r="G83" s="93" t="s">
        <v>191</v>
      </c>
      <c r="H83" s="93" t="s">
        <v>191</v>
      </c>
      <c r="I83" s="680">
        <f>J83+K83+L83</f>
        <v>17.463999999999999</v>
      </c>
      <c r="J83" s="680">
        <f>SUM(M83:R83)</f>
        <v>16.904</v>
      </c>
      <c r="K83" s="680"/>
      <c r="L83" s="1229">
        <f>SUM(L84:L104)</f>
        <v>0.56000000000000005</v>
      </c>
      <c r="M83" s="990"/>
      <c r="N83" s="1229">
        <f>SUM(N84:N104)</f>
        <v>3.8199999999999994</v>
      </c>
      <c r="O83" s="684"/>
      <c r="P83" s="680"/>
      <c r="Q83" s="960">
        <f>SUM(Q84:Q104)</f>
        <v>11.580000000000002</v>
      </c>
      <c r="R83" s="958">
        <f>SUM(R84:R104)</f>
        <v>1.5039999999999978</v>
      </c>
      <c r="S83" s="105">
        <v>1</v>
      </c>
      <c r="T83" s="253">
        <v>6</v>
      </c>
      <c r="U83" s="105"/>
      <c r="V83" s="105"/>
      <c r="W83" s="146">
        <v>24</v>
      </c>
      <c r="X83" s="253">
        <v>296.92</v>
      </c>
      <c r="Y83" s="146">
        <v>5</v>
      </c>
      <c r="Z83" s="1713">
        <v>50</v>
      </c>
      <c r="AB83" s="3">
        <v>1</v>
      </c>
      <c r="AE83" s="2461"/>
      <c r="AF83" s="68"/>
    </row>
    <row r="84" spans="1:32" x14ac:dyDescent="0.35">
      <c r="A84" s="2001"/>
      <c r="B84" s="365"/>
      <c r="C84" s="365"/>
      <c r="D84" s="365"/>
      <c r="E84" s="2907" t="s">
        <v>11289</v>
      </c>
      <c r="F84" s="93" t="s">
        <v>827</v>
      </c>
      <c r="G84" s="93">
        <v>5</v>
      </c>
      <c r="H84" s="2875">
        <v>6</v>
      </c>
      <c r="I84" s="685"/>
      <c r="J84" s="685"/>
      <c r="K84" s="685"/>
      <c r="L84" s="685"/>
      <c r="M84" s="1841"/>
      <c r="N84" s="685"/>
      <c r="O84" s="686"/>
      <c r="P84" s="685"/>
      <c r="Q84" s="1842">
        <v>1.206</v>
      </c>
      <c r="R84" s="2932">
        <v>0</v>
      </c>
      <c r="S84" s="105"/>
      <c r="T84" s="253"/>
      <c r="U84" s="105"/>
      <c r="V84" s="105"/>
      <c r="W84" s="146"/>
      <c r="X84" s="253"/>
      <c r="Y84" s="146"/>
      <c r="Z84" s="1713"/>
      <c r="AE84" s="2461"/>
      <c r="AF84" s="68"/>
    </row>
    <row r="85" spans="1:32" x14ac:dyDescent="0.35">
      <c r="A85" s="2001"/>
      <c r="B85" s="365"/>
      <c r="C85" s="365"/>
      <c r="D85" s="365"/>
      <c r="E85" s="1228" t="s">
        <v>11290</v>
      </c>
      <c r="F85" s="93" t="s">
        <v>827</v>
      </c>
      <c r="G85" s="93">
        <v>5</v>
      </c>
      <c r="H85" s="93">
        <v>6</v>
      </c>
      <c r="I85" s="685"/>
      <c r="J85" s="685"/>
      <c r="K85" s="685"/>
      <c r="L85" s="685"/>
      <c r="M85" s="1841"/>
      <c r="N85" s="685"/>
      <c r="O85" s="686"/>
      <c r="P85" s="685"/>
      <c r="Q85" s="1842">
        <f>1.272-1.206</f>
        <v>6.6000000000000059E-2</v>
      </c>
      <c r="R85" s="1843"/>
      <c r="S85" s="105"/>
      <c r="T85" s="253"/>
      <c r="U85" s="105"/>
      <c r="V85" s="105"/>
      <c r="W85" s="146"/>
      <c r="X85" s="253"/>
      <c r="Y85" s="146"/>
      <c r="Z85" s="1713"/>
      <c r="AE85" s="2461"/>
      <c r="AF85" s="68"/>
    </row>
    <row r="86" spans="1:32" x14ac:dyDescent="0.35">
      <c r="A86" s="2001"/>
      <c r="B86" s="365"/>
      <c r="C86" s="365"/>
      <c r="D86" s="365"/>
      <c r="E86" s="324" t="s">
        <v>11291</v>
      </c>
      <c r="F86" s="93" t="s">
        <v>827</v>
      </c>
      <c r="G86" s="93">
        <v>5</v>
      </c>
      <c r="H86" s="93">
        <v>6</v>
      </c>
      <c r="I86" s="685"/>
      <c r="J86" s="685"/>
      <c r="K86" s="685"/>
      <c r="L86" s="685"/>
      <c r="M86" s="1841"/>
      <c r="N86" s="685">
        <f>1.298-1.272</f>
        <v>2.6000000000000023E-2</v>
      </c>
      <c r="O86" s="686"/>
      <c r="P86" s="685"/>
      <c r="Q86" s="1842"/>
      <c r="R86" s="1843"/>
      <c r="S86" s="105"/>
      <c r="T86" s="253"/>
      <c r="U86" s="105"/>
      <c r="V86" s="105"/>
      <c r="W86" s="146"/>
      <c r="X86" s="253"/>
      <c r="Y86" s="146"/>
      <c r="Z86" s="1713"/>
      <c r="AE86" s="2461"/>
      <c r="AF86" s="68"/>
    </row>
    <row r="87" spans="1:32" x14ac:dyDescent="0.35">
      <c r="A87" s="2001"/>
      <c r="B87" s="365"/>
      <c r="C87" s="365"/>
      <c r="D87" s="365"/>
      <c r="E87" s="1228" t="s">
        <v>11292</v>
      </c>
      <c r="F87" s="93" t="s">
        <v>827</v>
      </c>
      <c r="G87" s="93">
        <v>5</v>
      </c>
      <c r="H87" s="93">
        <v>6</v>
      </c>
      <c r="I87" s="685"/>
      <c r="J87" s="685"/>
      <c r="K87" s="685"/>
      <c r="L87" s="685"/>
      <c r="M87" s="1841"/>
      <c r="N87" s="685"/>
      <c r="O87" s="686"/>
      <c r="P87" s="685"/>
      <c r="Q87" s="1842">
        <f>1.351-1.298</f>
        <v>5.2999999999999936E-2</v>
      </c>
      <c r="R87" s="1843"/>
      <c r="S87" s="105"/>
      <c r="T87" s="253"/>
      <c r="U87" s="105"/>
      <c r="V87" s="105"/>
      <c r="W87" s="146"/>
      <c r="X87" s="253"/>
      <c r="Y87" s="146"/>
      <c r="Z87" s="1713"/>
      <c r="AE87" s="2461"/>
      <c r="AF87" s="68"/>
    </row>
    <row r="88" spans="1:32" x14ac:dyDescent="0.35">
      <c r="A88" s="2001"/>
      <c r="B88" s="365"/>
      <c r="C88" s="365"/>
      <c r="D88" s="365"/>
      <c r="E88" s="2907" t="s">
        <v>11293</v>
      </c>
      <c r="F88" s="93" t="s">
        <v>827</v>
      </c>
      <c r="G88" s="93">
        <v>5</v>
      </c>
      <c r="H88" s="2875">
        <v>6</v>
      </c>
      <c r="I88" s="685"/>
      <c r="J88" s="685"/>
      <c r="K88" s="685"/>
      <c r="L88" s="685"/>
      <c r="M88" s="1841"/>
      <c r="N88" s="685"/>
      <c r="O88" s="686"/>
      <c r="P88" s="685"/>
      <c r="Q88" s="1842">
        <f>1.375-1.351</f>
        <v>2.4000000000000021E-2</v>
      </c>
      <c r="R88" s="2932">
        <v>0</v>
      </c>
      <c r="S88" s="105"/>
      <c r="T88" s="253"/>
      <c r="U88" s="105"/>
      <c r="V88" s="105"/>
      <c r="W88" s="146"/>
      <c r="X88" s="253"/>
      <c r="Y88" s="146"/>
      <c r="Z88" s="1713"/>
      <c r="AE88" s="2461"/>
      <c r="AF88" s="68"/>
    </row>
    <row r="89" spans="1:32" x14ac:dyDescent="0.35">
      <c r="A89" s="2001"/>
      <c r="B89" s="365"/>
      <c r="C89" s="365"/>
      <c r="D89" s="365"/>
      <c r="E89" s="324" t="s">
        <v>10593</v>
      </c>
      <c r="F89" s="93" t="s">
        <v>827</v>
      </c>
      <c r="G89" s="93">
        <v>5</v>
      </c>
      <c r="H89" s="93">
        <v>6</v>
      </c>
      <c r="I89" s="685"/>
      <c r="J89" s="685"/>
      <c r="K89" s="685"/>
      <c r="L89" s="685"/>
      <c r="M89" s="1841"/>
      <c r="N89" s="685">
        <f>1.4-1.375</f>
        <v>2.4999999999999911E-2</v>
      </c>
      <c r="O89" s="686"/>
      <c r="P89" s="685"/>
      <c r="Q89" s="1842"/>
      <c r="R89" s="1843"/>
      <c r="S89" s="105"/>
      <c r="T89" s="253"/>
      <c r="U89" s="105"/>
      <c r="V89" s="105"/>
      <c r="W89" s="146"/>
      <c r="X89" s="253"/>
      <c r="Y89" s="146"/>
      <c r="Z89" s="1713"/>
      <c r="AE89" s="2461"/>
      <c r="AF89" s="68"/>
    </row>
    <row r="90" spans="1:32" ht="31" x14ac:dyDescent="0.35">
      <c r="A90" s="2001"/>
      <c r="B90" s="365"/>
      <c r="C90" s="365"/>
      <c r="D90" s="365"/>
      <c r="E90" s="324" t="s">
        <v>10578</v>
      </c>
      <c r="F90" s="93">
        <v>4</v>
      </c>
      <c r="G90" s="93">
        <v>5</v>
      </c>
      <c r="H90" s="93" t="s">
        <v>191</v>
      </c>
      <c r="I90" s="680"/>
      <c r="J90" s="680"/>
      <c r="K90" s="680"/>
      <c r="L90" s="685">
        <f>1.96-1.4</f>
        <v>0.56000000000000005</v>
      </c>
      <c r="M90" s="990"/>
      <c r="N90" s="1229"/>
      <c r="O90" s="684"/>
      <c r="P90" s="680"/>
      <c r="Q90" s="960"/>
      <c r="R90" s="958"/>
      <c r="S90" s="105"/>
      <c r="T90" s="253"/>
      <c r="U90" s="105"/>
      <c r="V90" s="105"/>
      <c r="W90" s="146"/>
      <c r="X90" s="253"/>
      <c r="Y90" s="146"/>
      <c r="Z90" s="1713"/>
      <c r="AE90" s="2461"/>
      <c r="AF90" s="68"/>
    </row>
    <row r="91" spans="1:32" x14ac:dyDescent="0.35">
      <c r="A91" s="1580"/>
      <c r="B91" s="365">
        <v>10830</v>
      </c>
      <c r="C91" s="365"/>
      <c r="D91" s="368"/>
      <c r="E91" s="324" t="s">
        <v>10579</v>
      </c>
      <c r="F91" s="93">
        <v>4</v>
      </c>
      <c r="G91" s="93">
        <v>5</v>
      </c>
      <c r="H91" s="93">
        <v>6</v>
      </c>
      <c r="I91" s="685"/>
      <c r="J91" s="685"/>
      <c r="K91" s="685"/>
      <c r="L91" s="685"/>
      <c r="M91" s="1225"/>
      <c r="N91" s="1232">
        <f>2.591-1.96</f>
        <v>0.63100000000000023</v>
      </c>
      <c r="O91" s="686"/>
      <c r="P91" s="685"/>
      <c r="Q91" s="1222"/>
      <c r="R91" s="1219"/>
      <c r="S91" s="93"/>
      <c r="T91" s="252"/>
      <c r="U91" s="93"/>
      <c r="V91" s="93"/>
      <c r="W91" s="147"/>
      <c r="X91" s="252"/>
      <c r="Y91" s="147"/>
      <c r="Z91" s="1715"/>
      <c r="AE91" s="2461"/>
      <c r="AF91" s="68"/>
    </row>
    <row r="92" spans="1:32" x14ac:dyDescent="0.35">
      <c r="A92" s="1580"/>
      <c r="B92" s="365">
        <v>10830</v>
      </c>
      <c r="C92" s="365"/>
      <c r="D92" s="368"/>
      <c r="E92" s="1228" t="s">
        <v>10580</v>
      </c>
      <c r="F92" s="93">
        <v>4</v>
      </c>
      <c r="G92" s="93">
        <v>5</v>
      </c>
      <c r="H92" s="93">
        <v>6</v>
      </c>
      <c r="I92" s="685"/>
      <c r="J92" s="685"/>
      <c r="K92" s="685"/>
      <c r="L92" s="685"/>
      <c r="M92" s="1225"/>
      <c r="N92" s="1232"/>
      <c r="O92" s="686"/>
      <c r="P92" s="685"/>
      <c r="Q92" s="1222">
        <f>2.972-2.591</f>
        <v>0.38099999999999978</v>
      </c>
      <c r="R92" s="1219"/>
      <c r="S92" s="93"/>
      <c r="T92" s="252"/>
      <c r="U92" s="93"/>
      <c r="V92" s="93"/>
      <c r="W92" s="147"/>
      <c r="X92" s="252"/>
      <c r="Y92" s="147"/>
      <c r="Z92" s="1715"/>
      <c r="AE92" s="2461"/>
      <c r="AF92" s="68"/>
    </row>
    <row r="93" spans="1:32" x14ac:dyDescent="0.35">
      <c r="A93" s="1580"/>
      <c r="B93" s="365">
        <v>10830</v>
      </c>
      <c r="C93" s="365"/>
      <c r="D93" s="368"/>
      <c r="E93" s="324" t="s">
        <v>10581</v>
      </c>
      <c r="F93" s="93">
        <v>4</v>
      </c>
      <c r="G93" s="93">
        <v>5</v>
      </c>
      <c r="H93" s="93">
        <v>6</v>
      </c>
      <c r="I93" s="685"/>
      <c r="J93" s="685"/>
      <c r="K93" s="685"/>
      <c r="L93" s="685"/>
      <c r="M93" s="1225"/>
      <c r="N93" s="1232">
        <f>3.271-2.972</f>
        <v>0.29899999999999993</v>
      </c>
      <c r="O93" s="686"/>
      <c r="P93" s="685"/>
      <c r="Q93" s="1222"/>
      <c r="R93" s="1219"/>
      <c r="S93" s="93"/>
      <c r="T93" s="252"/>
      <c r="U93" s="93"/>
      <c r="V93" s="93"/>
      <c r="W93" s="147"/>
      <c r="X93" s="252"/>
      <c r="Y93" s="147"/>
      <c r="Z93" s="1715"/>
      <c r="AE93" s="2461"/>
      <c r="AF93" s="68"/>
    </row>
    <row r="94" spans="1:32" x14ac:dyDescent="0.35">
      <c r="A94" s="1580"/>
      <c r="B94" s="365">
        <v>10830</v>
      </c>
      <c r="C94" s="365"/>
      <c r="D94" s="368"/>
      <c r="E94" s="1228" t="s">
        <v>10582</v>
      </c>
      <c r="F94" s="93">
        <v>4</v>
      </c>
      <c r="G94" s="93">
        <v>5</v>
      </c>
      <c r="H94" s="93">
        <v>6</v>
      </c>
      <c r="I94" s="685"/>
      <c r="J94" s="685"/>
      <c r="K94" s="685"/>
      <c r="L94" s="685"/>
      <c r="M94" s="1225"/>
      <c r="N94" s="1232"/>
      <c r="O94" s="686"/>
      <c r="P94" s="685"/>
      <c r="Q94" s="1222">
        <f>3.62-3.271</f>
        <v>0.3490000000000002</v>
      </c>
      <c r="R94" s="1219"/>
      <c r="S94" s="93"/>
      <c r="T94" s="252"/>
      <c r="U94" s="93"/>
      <c r="V94" s="93"/>
      <c r="W94" s="147"/>
      <c r="X94" s="252"/>
      <c r="Y94" s="147"/>
      <c r="Z94" s="1715"/>
      <c r="AE94" s="2461"/>
      <c r="AF94" s="68"/>
    </row>
    <row r="95" spans="1:32" x14ac:dyDescent="0.35">
      <c r="A95" s="1580"/>
      <c r="B95" s="365">
        <v>10830</v>
      </c>
      <c r="C95" s="365"/>
      <c r="D95" s="368"/>
      <c r="E95" s="1228" t="s">
        <v>10583</v>
      </c>
      <c r="F95" s="93">
        <v>4</v>
      </c>
      <c r="G95" s="93">
        <v>5</v>
      </c>
      <c r="H95" s="93">
        <v>6</v>
      </c>
      <c r="I95" s="685"/>
      <c r="J95" s="685"/>
      <c r="K95" s="685"/>
      <c r="L95" s="685"/>
      <c r="M95" s="1225"/>
      <c r="N95" s="2491"/>
      <c r="O95" s="686"/>
      <c r="P95" s="685"/>
      <c r="Q95" s="1222">
        <f>4.447-3.62</f>
        <v>0.82699999999999996</v>
      </c>
      <c r="R95" s="1219"/>
      <c r="S95" s="93"/>
      <c r="T95" s="252"/>
      <c r="U95" s="93"/>
      <c r="V95" s="93"/>
      <c r="W95" s="147"/>
      <c r="X95" s="252"/>
      <c r="Y95" s="147"/>
      <c r="Z95" s="1715"/>
      <c r="AE95" s="2461"/>
      <c r="AF95" s="68"/>
    </row>
    <row r="96" spans="1:32" x14ac:dyDescent="0.35">
      <c r="A96" s="1580"/>
      <c r="B96" s="365">
        <v>10830</v>
      </c>
      <c r="C96" s="365"/>
      <c r="D96" s="368"/>
      <c r="E96" s="1228" t="s">
        <v>10584</v>
      </c>
      <c r="F96" s="93">
        <v>4</v>
      </c>
      <c r="G96" s="93">
        <v>5</v>
      </c>
      <c r="H96" s="93">
        <v>6</v>
      </c>
      <c r="I96" s="685"/>
      <c r="J96" s="685"/>
      <c r="K96" s="685"/>
      <c r="L96" s="685"/>
      <c r="M96" s="1225"/>
      <c r="N96" s="1232"/>
      <c r="O96" s="686"/>
      <c r="P96" s="685"/>
      <c r="Q96" s="1222">
        <f>5.279-4.447</f>
        <v>0.83199999999999985</v>
      </c>
      <c r="R96" s="1219"/>
      <c r="S96" s="93"/>
      <c r="T96" s="252"/>
      <c r="U96" s="93"/>
      <c r="V96" s="93"/>
      <c r="W96" s="147"/>
      <c r="X96" s="252"/>
      <c r="Y96" s="147"/>
      <c r="Z96" s="1715"/>
      <c r="AE96" s="2461"/>
      <c r="AF96" s="68"/>
    </row>
    <row r="97" spans="1:32" x14ac:dyDescent="0.35">
      <c r="A97" s="1580"/>
      <c r="B97" s="365">
        <v>10830</v>
      </c>
      <c r="C97" s="365"/>
      <c r="D97" s="368"/>
      <c r="E97" s="324" t="s">
        <v>10585</v>
      </c>
      <c r="F97" s="93">
        <v>4</v>
      </c>
      <c r="G97" s="93">
        <v>5</v>
      </c>
      <c r="H97" s="93">
        <v>6</v>
      </c>
      <c r="I97" s="685"/>
      <c r="J97" s="685"/>
      <c r="K97" s="685"/>
      <c r="L97" s="685"/>
      <c r="M97" s="1225"/>
      <c r="N97" s="1232">
        <f>6.075-5.279</f>
        <v>0.79600000000000026</v>
      </c>
      <c r="O97" s="686"/>
      <c r="P97" s="685"/>
      <c r="Q97" s="1222"/>
      <c r="R97" s="1219"/>
      <c r="S97" s="93"/>
      <c r="T97" s="252"/>
      <c r="U97" s="93"/>
      <c r="V97" s="93"/>
      <c r="W97" s="147"/>
      <c r="X97" s="252"/>
      <c r="Y97" s="147"/>
      <c r="Z97" s="1715"/>
      <c r="AE97" s="2461"/>
      <c r="AF97" s="68"/>
    </row>
    <row r="98" spans="1:32" x14ac:dyDescent="0.35">
      <c r="A98" s="1580"/>
      <c r="B98" s="365">
        <v>10830</v>
      </c>
      <c r="C98" s="365"/>
      <c r="D98" s="368"/>
      <c r="E98" s="1228" t="s">
        <v>10586</v>
      </c>
      <c r="F98" s="93">
        <v>4</v>
      </c>
      <c r="G98" s="93">
        <v>5</v>
      </c>
      <c r="H98" s="93">
        <v>6</v>
      </c>
      <c r="I98" s="685"/>
      <c r="J98" s="685"/>
      <c r="K98" s="685"/>
      <c r="L98" s="685"/>
      <c r="M98" s="1225"/>
      <c r="N98" s="1232"/>
      <c r="O98" s="686"/>
      <c r="P98" s="685"/>
      <c r="Q98" s="1222">
        <f>9.787-6.075</f>
        <v>3.7120000000000006</v>
      </c>
      <c r="R98" s="1219"/>
      <c r="S98" s="93"/>
      <c r="T98" s="252"/>
      <c r="U98" s="93"/>
      <c r="V98" s="93"/>
      <c r="W98" s="147"/>
      <c r="X98" s="252"/>
      <c r="Y98" s="147"/>
      <c r="Z98" s="1715"/>
      <c r="AE98" s="2461"/>
      <c r="AF98" s="68"/>
    </row>
    <row r="99" spans="1:32" x14ac:dyDescent="0.35">
      <c r="A99" s="1580"/>
      <c r="B99" s="365">
        <v>10830</v>
      </c>
      <c r="C99" s="365"/>
      <c r="D99" s="368"/>
      <c r="E99" s="324" t="s">
        <v>10587</v>
      </c>
      <c r="F99" s="93">
        <v>4</v>
      </c>
      <c r="G99" s="93">
        <v>5</v>
      </c>
      <c r="H99" s="93">
        <v>6</v>
      </c>
      <c r="I99" s="685"/>
      <c r="J99" s="685"/>
      <c r="K99" s="685"/>
      <c r="L99" s="685"/>
      <c r="M99" s="1225"/>
      <c r="N99" s="1232">
        <f>11.83-9.787</f>
        <v>2.0429999999999993</v>
      </c>
      <c r="O99" s="686"/>
      <c r="P99" s="685"/>
      <c r="Q99" s="1222"/>
      <c r="R99" s="1219"/>
      <c r="S99" s="93"/>
      <c r="T99" s="252"/>
      <c r="U99" s="93"/>
      <c r="V99" s="93"/>
      <c r="W99" s="147"/>
      <c r="X99" s="252"/>
      <c r="Y99" s="147"/>
      <c r="Z99" s="1715"/>
      <c r="AE99" s="2461"/>
      <c r="AF99" s="68"/>
    </row>
    <row r="100" spans="1:32" x14ac:dyDescent="0.35">
      <c r="A100" s="1580"/>
      <c r="B100" s="365">
        <v>10830</v>
      </c>
      <c r="C100" s="365"/>
      <c r="D100" s="368"/>
      <c r="E100" s="1228" t="s">
        <v>10588</v>
      </c>
      <c r="F100" s="93">
        <v>4</v>
      </c>
      <c r="G100" s="93">
        <v>5</v>
      </c>
      <c r="H100" s="93">
        <v>6</v>
      </c>
      <c r="I100" s="685"/>
      <c r="J100" s="685"/>
      <c r="K100" s="685"/>
      <c r="L100" s="685"/>
      <c r="M100" s="1225"/>
      <c r="N100" s="1232"/>
      <c r="O100" s="686"/>
      <c r="P100" s="685"/>
      <c r="Q100" s="1222">
        <f>14.34-11.83</f>
        <v>2.5099999999999998</v>
      </c>
      <c r="R100" s="1219"/>
      <c r="S100" s="93"/>
      <c r="T100" s="252"/>
      <c r="U100" s="93"/>
      <c r="V100" s="93"/>
      <c r="W100" s="147"/>
      <c r="X100" s="252"/>
      <c r="Y100" s="147"/>
      <c r="Z100" s="1715"/>
      <c r="AE100" s="2461"/>
      <c r="AF100" s="68"/>
    </row>
    <row r="101" spans="1:32" x14ac:dyDescent="0.35">
      <c r="A101" s="1580"/>
      <c r="B101" s="365">
        <v>10830</v>
      </c>
      <c r="C101" s="365"/>
      <c r="D101" s="368"/>
      <c r="E101" s="1228" t="s">
        <v>10589</v>
      </c>
      <c r="F101" s="93">
        <v>5</v>
      </c>
      <c r="G101" s="93">
        <v>5</v>
      </c>
      <c r="H101" s="93">
        <v>6</v>
      </c>
      <c r="I101" s="685"/>
      <c r="J101" s="685"/>
      <c r="K101" s="685"/>
      <c r="L101" s="685"/>
      <c r="M101" s="1225"/>
      <c r="N101" s="1232"/>
      <c r="O101" s="686"/>
      <c r="P101" s="685"/>
      <c r="Q101" s="1222">
        <f>14.908-14.34</f>
        <v>0.56799999999999962</v>
      </c>
      <c r="R101" s="1219"/>
      <c r="S101" s="93"/>
      <c r="T101" s="252"/>
      <c r="U101" s="93"/>
      <c r="V101" s="93"/>
      <c r="W101" s="147"/>
      <c r="X101" s="252"/>
      <c r="Y101" s="147"/>
      <c r="Z101" s="1715"/>
      <c r="AE101" s="2461"/>
      <c r="AF101" s="68"/>
    </row>
    <row r="102" spans="1:32" x14ac:dyDescent="0.35">
      <c r="A102" s="1580"/>
      <c r="B102" s="365">
        <v>10830</v>
      </c>
      <c r="C102" s="365"/>
      <c r="D102" s="368"/>
      <c r="E102" s="1228" t="s">
        <v>10590</v>
      </c>
      <c r="F102" s="93" t="s">
        <v>827</v>
      </c>
      <c r="G102" s="93">
        <v>5</v>
      </c>
      <c r="H102" s="93">
        <v>6</v>
      </c>
      <c r="I102" s="685"/>
      <c r="J102" s="685"/>
      <c r="K102" s="685"/>
      <c r="L102" s="685"/>
      <c r="M102" s="1225"/>
      <c r="N102" s="1232"/>
      <c r="O102" s="686"/>
      <c r="P102" s="685"/>
      <c r="Q102" s="1222">
        <f>15.341-14.908</f>
        <v>0.43299999999999983</v>
      </c>
      <c r="R102" s="1219"/>
      <c r="S102" s="93"/>
      <c r="T102" s="252"/>
      <c r="U102" s="93"/>
      <c r="V102" s="93"/>
      <c r="W102" s="147"/>
      <c r="X102" s="252"/>
      <c r="Y102" s="147"/>
      <c r="Z102" s="1715"/>
      <c r="AE102" s="2461"/>
      <c r="AF102" s="68"/>
    </row>
    <row r="103" spans="1:32" x14ac:dyDescent="0.35">
      <c r="A103" s="1580"/>
      <c r="B103" s="365">
        <v>10830</v>
      </c>
      <c r="C103" s="365"/>
      <c r="D103" s="368"/>
      <c r="E103" s="1228" t="s">
        <v>10591</v>
      </c>
      <c r="F103" s="93" t="s">
        <v>1490</v>
      </c>
      <c r="G103" s="93">
        <v>5</v>
      </c>
      <c r="H103" s="93">
        <v>6</v>
      </c>
      <c r="I103" s="685"/>
      <c r="J103" s="685"/>
      <c r="K103" s="685"/>
      <c r="L103" s="685"/>
      <c r="M103" s="1225"/>
      <c r="N103" s="1232"/>
      <c r="O103" s="686"/>
      <c r="P103" s="685"/>
      <c r="Q103" s="1222">
        <f>15.96-15.341</f>
        <v>0.61900000000000155</v>
      </c>
      <c r="R103" s="1219"/>
      <c r="S103" s="93"/>
      <c r="T103" s="252"/>
      <c r="U103" s="93"/>
      <c r="V103" s="93"/>
      <c r="W103" s="147"/>
      <c r="X103" s="252"/>
      <c r="Y103" s="147"/>
      <c r="Z103" s="1715"/>
      <c r="AE103" s="2461"/>
      <c r="AF103" s="68"/>
    </row>
    <row r="104" spans="1:32" x14ac:dyDescent="0.35">
      <c r="A104" s="1580"/>
      <c r="B104" s="365">
        <v>10830</v>
      </c>
      <c r="C104" s="365"/>
      <c r="D104" s="368"/>
      <c r="E104" s="1227" t="s">
        <v>10592</v>
      </c>
      <c r="F104" s="93" t="s">
        <v>1490</v>
      </c>
      <c r="G104" s="93">
        <v>5</v>
      </c>
      <c r="H104" s="93">
        <v>6</v>
      </c>
      <c r="I104" s="685"/>
      <c r="J104" s="685"/>
      <c r="K104" s="685"/>
      <c r="L104" s="685"/>
      <c r="M104" s="1225"/>
      <c r="N104" s="1232"/>
      <c r="O104" s="686"/>
      <c r="P104" s="685"/>
      <c r="Q104" s="1222"/>
      <c r="R104" s="1219">
        <f>17.464-15.96</f>
        <v>1.5039999999999978</v>
      </c>
      <c r="S104" s="93"/>
      <c r="T104" s="252"/>
      <c r="U104" s="93"/>
      <c r="V104" s="93"/>
      <c r="W104" s="147"/>
      <c r="X104" s="252"/>
      <c r="Y104" s="147"/>
      <c r="Z104" s="1715"/>
      <c r="AE104" s="2461"/>
      <c r="AF104" s="68"/>
    </row>
    <row r="105" spans="1:32" ht="45" x14ac:dyDescent="0.35">
      <c r="A105" s="370">
        <v>30</v>
      </c>
      <c r="B105" s="365">
        <v>10830</v>
      </c>
      <c r="C105" s="365"/>
      <c r="D105" s="2463" t="s">
        <v>5193</v>
      </c>
      <c r="E105" s="322" t="s">
        <v>7779</v>
      </c>
      <c r="F105" s="93"/>
      <c r="G105" s="93" t="s">
        <v>191</v>
      </c>
      <c r="H105" s="93" t="s">
        <v>191</v>
      </c>
      <c r="I105" s="680">
        <f>J105+K105+L105</f>
        <v>1.569</v>
      </c>
      <c r="J105" s="680">
        <f>SUM(M105:R105)</f>
        <v>1.569</v>
      </c>
      <c r="K105" s="680"/>
      <c r="L105" s="680"/>
      <c r="M105" s="990"/>
      <c r="N105" s="1229"/>
      <c r="O105" s="684"/>
      <c r="P105" s="680"/>
      <c r="Q105" s="960">
        <f>SUM(Q106:Q108)</f>
        <v>1.5</v>
      </c>
      <c r="R105" s="958">
        <f>SUM(R106:R108)</f>
        <v>6.899999999999995E-2</v>
      </c>
      <c r="S105" s="105"/>
      <c r="T105" s="253"/>
      <c r="U105" s="105"/>
      <c r="V105" s="105"/>
      <c r="W105" s="146">
        <v>1</v>
      </c>
      <c r="X105" s="253">
        <v>9.1999999999999993</v>
      </c>
      <c r="Y105" s="146"/>
      <c r="Z105" s="1713"/>
      <c r="AB105" s="3">
        <v>1</v>
      </c>
      <c r="AE105" s="2461"/>
      <c r="AF105" s="68"/>
    </row>
    <row r="106" spans="1:32" x14ac:dyDescent="0.35">
      <c r="A106" s="1580"/>
      <c r="B106" s="365">
        <v>10830</v>
      </c>
      <c r="C106" s="365"/>
      <c r="D106" s="368"/>
      <c r="E106" s="1228" t="s">
        <v>1989</v>
      </c>
      <c r="F106" s="93" t="s">
        <v>827</v>
      </c>
      <c r="G106" s="93">
        <v>5</v>
      </c>
      <c r="H106" s="93">
        <v>6</v>
      </c>
      <c r="I106" s="685"/>
      <c r="J106" s="685"/>
      <c r="K106" s="685"/>
      <c r="L106" s="685"/>
      <c r="M106" s="1225"/>
      <c r="N106" s="1232"/>
      <c r="O106" s="686"/>
      <c r="P106" s="685"/>
      <c r="Q106" s="1222">
        <v>0.8</v>
      </c>
      <c r="R106" s="1219"/>
      <c r="S106" s="93"/>
      <c r="T106" s="252"/>
      <c r="U106" s="93"/>
      <c r="V106" s="93"/>
      <c r="W106" s="147"/>
      <c r="X106" s="252"/>
      <c r="Y106" s="147"/>
      <c r="Z106" s="1715"/>
      <c r="AE106" s="2461"/>
      <c r="AF106" s="68"/>
    </row>
    <row r="107" spans="1:32" x14ac:dyDescent="0.35">
      <c r="A107" s="1580"/>
      <c r="B107" s="365"/>
      <c r="C107" s="365"/>
      <c r="D107" s="368"/>
      <c r="E107" s="1228" t="s">
        <v>1990</v>
      </c>
      <c r="F107" s="93" t="s">
        <v>1490</v>
      </c>
      <c r="G107" s="93">
        <v>5</v>
      </c>
      <c r="H107" s="93">
        <v>6</v>
      </c>
      <c r="I107" s="685"/>
      <c r="J107" s="685"/>
      <c r="K107" s="685"/>
      <c r="L107" s="685"/>
      <c r="M107" s="1225"/>
      <c r="N107" s="1232"/>
      <c r="O107" s="686"/>
      <c r="P107" s="685"/>
      <c r="Q107" s="1222">
        <f>1.5-0.8</f>
        <v>0.7</v>
      </c>
      <c r="R107" s="1219"/>
      <c r="S107" s="93"/>
      <c r="T107" s="252"/>
      <c r="U107" s="93"/>
      <c r="V107" s="93"/>
      <c r="W107" s="147"/>
      <c r="X107" s="252"/>
      <c r="Y107" s="147"/>
      <c r="Z107" s="1715"/>
      <c r="AE107" s="2461"/>
      <c r="AF107" s="68"/>
    </row>
    <row r="108" spans="1:32" x14ac:dyDescent="0.35">
      <c r="A108" s="1580"/>
      <c r="B108" s="365">
        <v>10830</v>
      </c>
      <c r="C108" s="365"/>
      <c r="D108" s="368"/>
      <c r="E108" s="1227" t="s">
        <v>3120</v>
      </c>
      <c r="F108" s="93" t="s">
        <v>1490</v>
      </c>
      <c r="G108" s="93">
        <v>5</v>
      </c>
      <c r="H108" s="93">
        <v>6</v>
      </c>
      <c r="I108" s="685"/>
      <c r="J108" s="685"/>
      <c r="K108" s="685"/>
      <c r="L108" s="685"/>
      <c r="M108" s="1225"/>
      <c r="N108" s="1232"/>
      <c r="O108" s="686"/>
      <c r="P108" s="685"/>
      <c r="Q108" s="1222"/>
      <c r="R108" s="1219">
        <f>1.569-1.5</f>
        <v>6.899999999999995E-2</v>
      </c>
      <c r="S108" s="93"/>
      <c r="T108" s="252"/>
      <c r="U108" s="93"/>
      <c r="V108" s="93"/>
      <c r="W108" s="147"/>
      <c r="X108" s="252"/>
      <c r="Y108" s="147"/>
      <c r="Z108" s="1715"/>
      <c r="AE108" s="2461"/>
      <c r="AF108" s="68"/>
    </row>
    <row r="109" spans="1:32" ht="45" x14ac:dyDescent="0.35">
      <c r="A109" s="2001">
        <v>31</v>
      </c>
      <c r="B109" s="365">
        <v>10830</v>
      </c>
      <c r="C109" s="358" t="s">
        <v>1656</v>
      </c>
      <c r="D109" s="2463" t="s">
        <v>5194</v>
      </c>
      <c r="E109" s="322" t="s">
        <v>8631</v>
      </c>
      <c r="F109" s="93" t="s">
        <v>664</v>
      </c>
      <c r="G109" s="93">
        <v>5</v>
      </c>
      <c r="H109" s="93">
        <v>6</v>
      </c>
      <c r="I109" s="297">
        <f t="shared" ref="I109:I115" si="6">J109+K109+L109</f>
        <v>0.45</v>
      </c>
      <c r="J109" s="297">
        <f t="shared" ref="J109:J115" si="7">SUM(M109:R109)</f>
        <v>0.45</v>
      </c>
      <c r="K109" s="685"/>
      <c r="L109" s="685"/>
      <c r="M109" s="2384"/>
      <c r="N109" s="680"/>
      <c r="O109" s="684"/>
      <c r="P109" s="680"/>
      <c r="Q109" s="2385"/>
      <c r="R109" s="1830">
        <v>0.45</v>
      </c>
      <c r="S109" s="93"/>
      <c r="T109" s="252"/>
      <c r="U109" s="93"/>
      <c r="V109" s="93"/>
      <c r="W109" s="147"/>
      <c r="X109" s="252"/>
      <c r="Y109" s="147"/>
      <c r="Z109" s="1715"/>
      <c r="AB109" s="3">
        <v>1</v>
      </c>
      <c r="AE109" s="2461"/>
      <c r="AF109" s="68"/>
    </row>
    <row r="110" spans="1:32" ht="45" x14ac:dyDescent="0.35">
      <c r="A110" s="2001">
        <v>32</v>
      </c>
      <c r="B110" s="365">
        <v>10830</v>
      </c>
      <c r="C110" s="358" t="s">
        <v>1656</v>
      </c>
      <c r="D110" s="2463" t="s">
        <v>5195</v>
      </c>
      <c r="E110" s="322" t="s">
        <v>8632</v>
      </c>
      <c r="F110" s="93" t="s">
        <v>664</v>
      </c>
      <c r="G110" s="93">
        <v>5</v>
      </c>
      <c r="H110" s="93">
        <v>6</v>
      </c>
      <c r="I110" s="297">
        <f t="shared" si="6"/>
        <v>0.7</v>
      </c>
      <c r="J110" s="297">
        <f t="shared" si="7"/>
        <v>0.7</v>
      </c>
      <c r="K110" s="680"/>
      <c r="L110" s="680"/>
      <c r="M110" s="2384"/>
      <c r="N110" s="680"/>
      <c r="O110" s="684"/>
      <c r="P110" s="680"/>
      <c r="Q110" s="2385"/>
      <c r="R110" s="1830">
        <v>0.7</v>
      </c>
      <c r="S110" s="105"/>
      <c r="T110" s="253"/>
      <c r="U110" s="105"/>
      <c r="V110" s="105"/>
      <c r="W110" s="146"/>
      <c r="X110" s="253"/>
      <c r="Y110" s="146"/>
      <c r="Z110" s="1713"/>
      <c r="AB110" s="3">
        <v>1</v>
      </c>
      <c r="AE110" s="2461"/>
      <c r="AF110" s="68"/>
    </row>
    <row r="111" spans="1:32" ht="45" x14ac:dyDescent="0.35">
      <c r="A111" s="2001">
        <v>33</v>
      </c>
      <c r="B111" s="365">
        <v>10830</v>
      </c>
      <c r="C111" s="358" t="s">
        <v>1656</v>
      </c>
      <c r="D111" s="2463" t="s">
        <v>5196</v>
      </c>
      <c r="E111" s="322" t="s">
        <v>8633</v>
      </c>
      <c r="F111" s="93" t="s">
        <v>664</v>
      </c>
      <c r="G111" s="93">
        <v>5</v>
      </c>
      <c r="H111" s="93">
        <v>6</v>
      </c>
      <c r="I111" s="297">
        <f t="shared" si="6"/>
        <v>0.65</v>
      </c>
      <c r="J111" s="297">
        <f t="shared" si="7"/>
        <v>0.65</v>
      </c>
      <c r="K111" s="685"/>
      <c r="L111" s="685"/>
      <c r="M111" s="2384"/>
      <c r="N111" s="680"/>
      <c r="O111" s="684"/>
      <c r="P111" s="680"/>
      <c r="Q111" s="2385"/>
      <c r="R111" s="1830">
        <v>0.65</v>
      </c>
      <c r="S111" s="93"/>
      <c r="T111" s="252"/>
      <c r="U111" s="93"/>
      <c r="V111" s="93"/>
      <c r="W111" s="147"/>
      <c r="X111" s="252"/>
      <c r="Y111" s="147"/>
      <c r="Z111" s="1715"/>
      <c r="AB111" s="3">
        <v>1</v>
      </c>
      <c r="AE111" s="2461"/>
      <c r="AF111" s="68"/>
    </row>
    <row r="112" spans="1:32" ht="45" x14ac:dyDescent="0.35">
      <c r="A112" s="2001">
        <v>34</v>
      </c>
      <c r="B112" s="365">
        <v>10830</v>
      </c>
      <c r="C112" s="358" t="s">
        <v>1656</v>
      </c>
      <c r="D112" s="2463" t="s">
        <v>5197</v>
      </c>
      <c r="E112" s="322" t="s">
        <v>8634</v>
      </c>
      <c r="F112" s="93" t="s">
        <v>664</v>
      </c>
      <c r="G112" s="93">
        <v>5</v>
      </c>
      <c r="H112" s="93">
        <v>6</v>
      </c>
      <c r="I112" s="297">
        <f t="shared" si="6"/>
        <v>0.1</v>
      </c>
      <c r="J112" s="297">
        <f t="shared" si="7"/>
        <v>0.1</v>
      </c>
      <c r="K112" s="685"/>
      <c r="L112" s="685"/>
      <c r="M112" s="2384"/>
      <c r="N112" s="680"/>
      <c r="O112" s="684"/>
      <c r="P112" s="680"/>
      <c r="Q112" s="2385"/>
      <c r="R112" s="1830">
        <v>0.1</v>
      </c>
      <c r="S112" s="93"/>
      <c r="T112" s="252"/>
      <c r="U112" s="93"/>
      <c r="V112" s="93"/>
      <c r="W112" s="147"/>
      <c r="X112" s="252"/>
      <c r="Y112" s="147"/>
      <c r="Z112" s="1715"/>
      <c r="AB112" s="3">
        <v>1</v>
      </c>
      <c r="AE112" s="2461"/>
      <c r="AF112" s="68"/>
    </row>
    <row r="113" spans="1:32" ht="30" x14ac:dyDescent="0.35">
      <c r="A113" s="2001">
        <v>35</v>
      </c>
      <c r="B113" s="365">
        <v>10831</v>
      </c>
      <c r="C113" s="365"/>
      <c r="D113" s="365" t="s">
        <v>2428</v>
      </c>
      <c r="E113" s="322" t="s">
        <v>9919</v>
      </c>
      <c r="F113" s="93">
        <v>4</v>
      </c>
      <c r="G113" s="93">
        <v>4</v>
      </c>
      <c r="H113" s="93">
        <v>6</v>
      </c>
      <c r="I113" s="680">
        <f t="shared" si="6"/>
        <v>4.01</v>
      </c>
      <c r="J113" s="680">
        <f t="shared" si="7"/>
        <v>4.01</v>
      </c>
      <c r="K113" s="680"/>
      <c r="L113" s="680"/>
      <c r="M113" s="990"/>
      <c r="N113" s="1229">
        <v>4.01</v>
      </c>
      <c r="O113" s="684"/>
      <c r="P113" s="680"/>
      <c r="Q113" s="960"/>
      <c r="R113" s="958"/>
      <c r="S113" s="105"/>
      <c r="T113" s="253"/>
      <c r="U113" s="105"/>
      <c r="V113" s="105"/>
      <c r="W113" s="146">
        <v>9</v>
      </c>
      <c r="X113" s="253">
        <v>117.97</v>
      </c>
      <c r="Y113" s="146">
        <v>3</v>
      </c>
      <c r="Z113" s="1713">
        <v>30</v>
      </c>
      <c r="AB113" s="3">
        <v>1</v>
      </c>
      <c r="AE113" s="2461"/>
      <c r="AF113" s="68"/>
    </row>
    <row r="114" spans="1:32" ht="30" x14ac:dyDescent="0.35">
      <c r="A114" s="2001">
        <v>36</v>
      </c>
      <c r="B114" s="365">
        <v>10831</v>
      </c>
      <c r="C114" s="365"/>
      <c r="D114" s="2463" t="s">
        <v>5198</v>
      </c>
      <c r="E114" s="322" t="s">
        <v>9920</v>
      </c>
      <c r="F114" s="93">
        <v>5</v>
      </c>
      <c r="G114" s="93">
        <v>5</v>
      </c>
      <c r="H114" s="93">
        <v>6</v>
      </c>
      <c r="I114" s="680">
        <f t="shared" si="6"/>
        <v>2.1</v>
      </c>
      <c r="J114" s="680">
        <f t="shared" si="7"/>
        <v>2.1</v>
      </c>
      <c r="K114" s="680"/>
      <c r="L114" s="680"/>
      <c r="M114" s="990"/>
      <c r="N114" s="1229"/>
      <c r="O114" s="684"/>
      <c r="P114" s="680"/>
      <c r="Q114" s="960">
        <v>2.1</v>
      </c>
      <c r="R114" s="958"/>
      <c r="S114" s="105"/>
      <c r="T114" s="253"/>
      <c r="U114" s="105"/>
      <c r="V114" s="105"/>
      <c r="W114" s="146">
        <v>3</v>
      </c>
      <c r="X114" s="253">
        <v>30</v>
      </c>
      <c r="Y114" s="146"/>
      <c r="Z114" s="1713"/>
      <c r="AB114" s="3">
        <v>1</v>
      </c>
      <c r="AE114" s="2461"/>
      <c r="AF114" s="68"/>
    </row>
    <row r="115" spans="1:32" ht="60" x14ac:dyDescent="0.35">
      <c r="A115" s="2001">
        <v>37</v>
      </c>
      <c r="B115" s="365">
        <v>10832</v>
      </c>
      <c r="C115" s="365"/>
      <c r="D115" s="365" t="s">
        <v>2429</v>
      </c>
      <c r="E115" s="322" t="s">
        <v>9921</v>
      </c>
      <c r="F115" s="93"/>
      <c r="G115" s="93" t="s">
        <v>191</v>
      </c>
      <c r="H115" s="93" t="s">
        <v>191</v>
      </c>
      <c r="I115" s="680">
        <f t="shared" si="6"/>
        <v>13.262999999999998</v>
      </c>
      <c r="J115" s="680">
        <f t="shared" si="7"/>
        <v>13.262999999999998</v>
      </c>
      <c r="K115" s="680"/>
      <c r="L115" s="680"/>
      <c r="M115" s="990"/>
      <c r="N115" s="1229">
        <f>SUM(N116:N122)</f>
        <v>4.3389999999999995</v>
      </c>
      <c r="O115" s="684"/>
      <c r="P115" s="680"/>
      <c r="Q115" s="960">
        <f>SUM(Q116:Q122)</f>
        <v>8.9239999999999995</v>
      </c>
      <c r="R115" s="958"/>
      <c r="S115" s="105"/>
      <c r="T115" s="253"/>
      <c r="U115" s="105"/>
      <c r="V115" s="105"/>
      <c r="W115" s="146">
        <v>24</v>
      </c>
      <c r="X115" s="253">
        <v>315.48</v>
      </c>
      <c r="Y115" s="146">
        <v>1</v>
      </c>
      <c r="Z115" s="1713">
        <v>10</v>
      </c>
      <c r="AB115" s="3">
        <v>1</v>
      </c>
      <c r="AE115" s="2461"/>
      <c r="AF115" s="68"/>
    </row>
    <row r="116" spans="1:32" x14ac:dyDescent="0.35">
      <c r="A116" s="1580"/>
      <c r="B116" s="365">
        <v>10832</v>
      </c>
      <c r="C116" s="365"/>
      <c r="D116" s="368"/>
      <c r="E116" s="324" t="s">
        <v>3074</v>
      </c>
      <c r="F116" s="93">
        <v>4</v>
      </c>
      <c r="G116" s="93">
        <v>5</v>
      </c>
      <c r="H116" s="93">
        <v>6</v>
      </c>
      <c r="I116" s="685"/>
      <c r="J116" s="685"/>
      <c r="K116" s="685"/>
      <c r="L116" s="685"/>
      <c r="M116" s="1225"/>
      <c r="N116" s="1232">
        <v>2.9950000000000001</v>
      </c>
      <c r="O116" s="686"/>
      <c r="P116" s="685"/>
      <c r="Q116" s="1222"/>
      <c r="R116" s="1219"/>
      <c r="S116" s="93"/>
      <c r="T116" s="252"/>
      <c r="U116" s="93"/>
      <c r="V116" s="93"/>
      <c r="W116" s="147"/>
      <c r="X116" s="252"/>
      <c r="Y116" s="147"/>
      <c r="Z116" s="1715"/>
      <c r="AE116" s="2461"/>
      <c r="AF116" s="68"/>
    </row>
    <row r="117" spans="1:32" x14ac:dyDescent="0.35">
      <c r="A117" s="1580"/>
      <c r="B117" s="365">
        <v>10832</v>
      </c>
      <c r="C117" s="365"/>
      <c r="D117" s="368"/>
      <c r="E117" s="1228" t="s">
        <v>3075</v>
      </c>
      <c r="F117" s="93">
        <v>4</v>
      </c>
      <c r="G117" s="93">
        <v>5</v>
      </c>
      <c r="H117" s="93">
        <v>6</v>
      </c>
      <c r="I117" s="685"/>
      <c r="J117" s="685"/>
      <c r="K117" s="685"/>
      <c r="L117" s="685"/>
      <c r="M117" s="1225"/>
      <c r="N117" s="1232"/>
      <c r="O117" s="686"/>
      <c r="P117" s="685"/>
      <c r="Q117" s="1222">
        <f>6.551-2.995</f>
        <v>3.556</v>
      </c>
      <c r="R117" s="1219"/>
      <c r="S117" s="93"/>
      <c r="T117" s="252"/>
      <c r="U117" s="93"/>
      <c r="V117" s="93"/>
      <c r="W117" s="147"/>
      <c r="X117" s="252"/>
      <c r="Y117" s="147"/>
      <c r="Z117" s="1715"/>
      <c r="AE117" s="2461"/>
      <c r="AF117" s="68"/>
    </row>
    <row r="118" spans="1:32" x14ac:dyDescent="0.35">
      <c r="A118" s="1580"/>
      <c r="B118" s="365">
        <v>10832</v>
      </c>
      <c r="C118" s="365"/>
      <c r="D118" s="368"/>
      <c r="E118" s="324" t="s">
        <v>3076</v>
      </c>
      <c r="F118" s="93">
        <v>4</v>
      </c>
      <c r="G118" s="93">
        <v>5</v>
      </c>
      <c r="H118" s="93">
        <v>6</v>
      </c>
      <c r="I118" s="685"/>
      <c r="J118" s="685"/>
      <c r="K118" s="685"/>
      <c r="L118" s="685"/>
      <c r="M118" s="1225"/>
      <c r="N118" s="1232">
        <f>6.782-6.551</f>
        <v>0.23099999999999987</v>
      </c>
      <c r="O118" s="686"/>
      <c r="P118" s="685"/>
      <c r="Q118" s="1222"/>
      <c r="R118" s="1219"/>
      <c r="S118" s="93"/>
      <c r="T118" s="252"/>
      <c r="U118" s="93"/>
      <c r="V118" s="93"/>
      <c r="W118" s="147"/>
      <c r="X118" s="252"/>
      <c r="Y118" s="147"/>
      <c r="Z118" s="1715"/>
      <c r="AE118" s="2461"/>
      <c r="AF118" s="68"/>
    </row>
    <row r="119" spans="1:32" x14ac:dyDescent="0.35">
      <c r="A119" s="1580"/>
      <c r="B119" s="365">
        <v>10832</v>
      </c>
      <c r="C119" s="365"/>
      <c r="D119" s="368"/>
      <c r="E119" s="1228" t="s">
        <v>3077</v>
      </c>
      <c r="F119" s="93">
        <v>4</v>
      </c>
      <c r="G119" s="93">
        <v>5</v>
      </c>
      <c r="H119" s="93">
        <v>6</v>
      </c>
      <c r="I119" s="685"/>
      <c r="J119" s="685"/>
      <c r="K119" s="685"/>
      <c r="L119" s="685"/>
      <c r="M119" s="1225"/>
      <c r="N119" s="1232"/>
      <c r="O119" s="686"/>
      <c r="P119" s="685"/>
      <c r="Q119" s="1222">
        <f>9.955-6.782</f>
        <v>3.173</v>
      </c>
      <c r="R119" s="1219"/>
      <c r="S119" s="93"/>
      <c r="T119" s="252"/>
      <c r="U119" s="93"/>
      <c r="V119" s="93"/>
      <c r="W119" s="147"/>
      <c r="X119" s="252"/>
      <c r="Y119" s="147"/>
      <c r="Z119" s="1715"/>
      <c r="AE119" s="2461"/>
      <c r="AF119" s="68"/>
    </row>
    <row r="120" spans="1:32" x14ac:dyDescent="0.35">
      <c r="A120" s="1580"/>
      <c r="B120" s="365">
        <v>10832</v>
      </c>
      <c r="C120" s="365"/>
      <c r="D120" s="368"/>
      <c r="E120" s="324" t="s">
        <v>3454</v>
      </c>
      <c r="F120" s="93">
        <v>4</v>
      </c>
      <c r="G120" s="93">
        <v>5</v>
      </c>
      <c r="H120" s="93">
        <v>6</v>
      </c>
      <c r="I120" s="685"/>
      <c r="J120" s="685"/>
      <c r="K120" s="685"/>
      <c r="L120" s="685"/>
      <c r="M120" s="1225"/>
      <c r="N120" s="1232">
        <f>10.645-9.955</f>
        <v>0.6899999999999995</v>
      </c>
      <c r="O120" s="686"/>
      <c r="P120" s="685"/>
      <c r="Q120" s="1222"/>
      <c r="R120" s="1219"/>
      <c r="S120" s="93"/>
      <c r="T120" s="252"/>
      <c r="U120" s="93"/>
      <c r="V120" s="93"/>
      <c r="W120" s="147"/>
      <c r="X120" s="252"/>
      <c r="Y120" s="147"/>
      <c r="Z120" s="1715"/>
      <c r="AE120" s="2461"/>
      <c r="AF120" s="68"/>
    </row>
    <row r="121" spans="1:32" x14ac:dyDescent="0.35">
      <c r="A121" s="1580"/>
      <c r="B121" s="365"/>
      <c r="C121" s="365"/>
      <c r="D121" s="368"/>
      <c r="E121" s="1228" t="s">
        <v>3364</v>
      </c>
      <c r="F121" s="93">
        <v>4</v>
      </c>
      <c r="G121" s="93">
        <v>5</v>
      </c>
      <c r="H121" s="93">
        <v>6</v>
      </c>
      <c r="I121" s="685"/>
      <c r="J121" s="685"/>
      <c r="K121" s="685"/>
      <c r="L121" s="685"/>
      <c r="M121" s="1225"/>
      <c r="N121" s="1232"/>
      <c r="O121" s="686"/>
      <c r="P121" s="685"/>
      <c r="Q121" s="1222">
        <f>12.84-10.645</f>
        <v>2.1950000000000003</v>
      </c>
      <c r="R121" s="1219"/>
      <c r="S121" s="93"/>
      <c r="T121" s="252"/>
      <c r="U121" s="93"/>
      <c r="V121" s="93"/>
      <c r="W121" s="147"/>
      <c r="X121" s="252"/>
      <c r="Y121" s="147"/>
      <c r="Z121" s="1715"/>
      <c r="AE121" s="2461"/>
      <c r="AF121" s="68"/>
    </row>
    <row r="122" spans="1:32" x14ac:dyDescent="0.35">
      <c r="A122" s="1580"/>
      <c r="B122" s="365"/>
      <c r="C122" s="365"/>
      <c r="D122" s="368"/>
      <c r="E122" s="324" t="s">
        <v>3455</v>
      </c>
      <c r="F122" s="93">
        <v>4</v>
      </c>
      <c r="G122" s="93">
        <v>5</v>
      </c>
      <c r="H122" s="93">
        <v>6</v>
      </c>
      <c r="I122" s="685"/>
      <c r="J122" s="685"/>
      <c r="K122" s="685"/>
      <c r="L122" s="685"/>
      <c r="M122" s="1225"/>
      <c r="N122" s="1232">
        <f>13.263-12.84</f>
        <v>0.42300000000000004</v>
      </c>
      <c r="O122" s="686"/>
      <c r="P122" s="685"/>
      <c r="Q122" s="1222"/>
      <c r="R122" s="1219"/>
      <c r="S122" s="93"/>
      <c r="T122" s="252"/>
      <c r="U122" s="93"/>
      <c r="V122" s="93"/>
      <c r="W122" s="147"/>
      <c r="X122" s="252"/>
      <c r="Y122" s="147"/>
      <c r="Z122" s="1715"/>
      <c r="AE122" s="2461"/>
      <c r="AF122" s="68"/>
    </row>
    <row r="123" spans="1:32" ht="90" x14ac:dyDescent="0.35">
      <c r="A123" s="2001">
        <v>38</v>
      </c>
      <c r="B123" s="365">
        <v>10832</v>
      </c>
      <c r="C123" s="358" t="s">
        <v>1656</v>
      </c>
      <c r="D123" s="2463" t="s">
        <v>5199</v>
      </c>
      <c r="E123" s="322" t="s">
        <v>9922</v>
      </c>
      <c r="F123" s="93"/>
      <c r="G123" s="93" t="s">
        <v>191</v>
      </c>
      <c r="H123" s="93" t="s">
        <v>191</v>
      </c>
      <c r="I123" s="297">
        <f>J123+K123+L123</f>
        <v>0.89999999999999991</v>
      </c>
      <c r="J123" s="297">
        <f>SUM(M123:R123)</f>
        <v>0.89999999999999991</v>
      </c>
      <c r="K123" s="685"/>
      <c r="L123" s="685"/>
      <c r="M123" s="2384"/>
      <c r="N123" s="680">
        <f>SUM(N124:N125)</f>
        <v>0.7</v>
      </c>
      <c r="O123" s="684"/>
      <c r="P123" s="680"/>
      <c r="Q123" s="2385"/>
      <c r="R123" s="1830">
        <f>SUM(R124:R125)</f>
        <v>0.2</v>
      </c>
      <c r="S123" s="93"/>
      <c r="T123" s="252"/>
      <c r="U123" s="93"/>
      <c r="V123" s="93"/>
      <c r="W123" s="147"/>
      <c r="X123" s="252"/>
      <c r="Y123" s="147"/>
      <c r="Z123" s="1715"/>
      <c r="AB123" s="3">
        <v>1</v>
      </c>
      <c r="AE123" s="2461"/>
      <c r="AF123" s="68"/>
    </row>
    <row r="124" spans="1:32" x14ac:dyDescent="0.35">
      <c r="A124" s="2001"/>
      <c r="B124" s="365">
        <v>10832</v>
      </c>
      <c r="C124" s="358"/>
      <c r="D124" s="365"/>
      <c r="E124" s="324" t="s">
        <v>901</v>
      </c>
      <c r="F124" s="93" t="s">
        <v>1490</v>
      </c>
      <c r="G124" s="93">
        <v>5</v>
      </c>
      <c r="H124" s="93">
        <v>6</v>
      </c>
      <c r="I124" s="298"/>
      <c r="J124" s="298"/>
      <c r="K124" s="685"/>
      <c r="L124" s="685"/>
      <c r="M124" s="1841"/>
      <c r="N124" s="685">
        <v>0.7</v>
      </c>
      <c r="O124" s="686"/>
      <c r="P124" s="685"/>
      <c r="Q124" s="1842"/>
      <c r="R124" s="1843"/>
      <c r="S124" s="93"/>
      <c r="T124" s="252"/>
      <c r="U124" s="93"/>
      <c r="V124" s="93"/>
      <c r="W124" s="147"/>
      <c r="X124" s="252"/>
      <c r="Y124" s="147"/>
      <c r="Z124" s="1715"/>
      <c r="AE124" s="2461"/>
      <c r="AF124" s="68"/>
    </row>
    <row r="125" spans="1:32" x14ac:dyDescent="0.35">
      <c r="A125" s="2001"/>
      <c r="B125" s="365">
        <v>10832</v>
      </c>
      <c r="C125" s="358"/>
      <c r="D125" s="365"/>
      <c r="E125" s="1227" t="s">
        <v>2133</v>
      </c>
      <c r="F125" s="93" t="s">
        <v>664</v>
      </c>
      <c r="G125" s="93">
        <v>5</v>
      </c>
      <c r="H125" s="93">
        <v>6</v>
      </c>
      <c r="I125" s="298"/>
      <c r="J125" s="298"/>
      <c r="K125" s="685"/>
      <c r="L125" s="685"/>
      <c r="M125" s="1841"/>
      <c r="N125" s="685"/>
      <c r="O125" s="686"/>
      <c r="P125" s="685"/>
      <c r="Q125" s="1842"/>
      <c r="R125" s="1843">
        <v>0.2</v>
      </c>
      <c r="S125" s="93"/>
      <c r="T125" s="252"/>
      <c r="U125" s="93"/>
      <c r="V125" s="93"/>
      <c r="W125" s="147"/>
      <c r="X125" s="252"/>
      <c r="Y125" s="147"/>
      <c r="Z125" s="1715"/>
      <c r="AE125" s="2461"/>
      <c r="AF125" s="68"/>
    </row>
    <row r="126" spans="1:32" ht="90" x14ac:dyDescent="0.35">
      <c r="A126" s="2001">
        <v>39</v>
      </c>
      <c r="B126" s="365">
        <v>10832</v>
      </c>
      <c r="C126" s="358" t="s">
        <v>1656</v>
      </c>
      <c r="D126" s="2463" t="s">
        <v>5200</v>
      </c>
      <c r="E126" s="322" t="s">
        <v>9923</v>
      </c>
      <c r="F126" s="93" t="s">
        <v>664</v>
      </c>
      <c r="G126" s="93">
        <v>5</v>
      </c>
      <c r="H126" s="93">
        <v>6</v>
      </c>
      <c r="I126" s="297">
        <f>J126+K126+L126</f>
        <v>0.6</v>
      </c>
      <c r="J126" s="297">
        <f>SUM(M126:R126)</f>
        <v>0.6</v>
      </c>
      <c r="K126" s="685"/>
      <c r="L126" s="685"/>
      <c r="M126" s="2384"/>
      <c r="N126" s="680"/>
      <c r="O126" s="684"/>
      <c r="P126" s="680"/>
      <c r="Q126" s="2385"/>
      <c r="R126" s="1830">
        <v>0.6</v>
      </c>
      <c r="S126" s="93"/>
      <c r="T126" s="252"/>
      <c r="U126" s="93"/>
      <c r="V126" s="93"/>
      <c r="W126" s="147"/>
      <c r="X126" s="252"/>
      <c r="Y126" s="147"/>
      <c r="Z126" s="1715"/>
      <c r="AB126" s="3">
        <v>1</v>
      </c>
      <c r="AE126" s="2461"/>
      <c r="AF126" s="68"/>
    </row>
    <row r="127" spans="1:32" ht="30" x14ac:dyDescent="0.35">
      <c r="A127" s="2001">
        <v>40</v>
      </c>
      <c r="B127" s="365">
        <v>10833</v>
      </c>
      <c r="C127" s="365"/>
      <c r="D127" s="365" t="s">
        <v>1910</v>
      </c>
      <c r="E127" s="322" t="s">
        <v>9924</v>
      </c>
      <c r="F127" s="93">
        <v>4</v>
      </c>
      <c r="G127" s="93">
        <v>4</v>
      </c>
      <c r="H127" s="93">
        <v>6</v>
      </c>
      <c r="I127" s="680">
        <f t="shared" ref="I127:I134" si="8">J127+K127+L127</f>
        <v>3.6030000000000002</v>
      </c>
      <c r="J127" s="680">
        <f t="shared" ref="J127:J134" si="9">SUM(M127:R127)</f>
        <v>3.6030000000000002</v>
      </c>
      <c r="K127" s="680"/>
      <c r="L127" s="680"/>
      <c r="M127" s="990"/>
      <c r="N127" s="1229">
        <v>3.6030000000000002</v>
      </c>
      <c r="O127" s="684"/>
      <c r="P127" s="680"/>
      <c r="Q127" s="960"/>
      <c r="R127" s="958"/>
      <c r="S127" s="105">
        <v>1</v>
      </c>
      <c r="T127" s="253">
        <v>27</v>
      </c>
      <c r="U127" s="105"/>
      <c r="V127" s="105"/>
      <c r="W127" s="146">
        <v>1</v>
      </c>
      <c r="X127" s="253">
        <v>15.02</v>
      </c>
      <c r="Y127" s="146"/>
      <c r="Z127" s="1713"/>
      <c r="AB127" s="3">
        <v>1</v>
      </c>
      <c r="AE127" s="2461"/>
      <c r="AF127" s="68"/>
    </row>
    <row r="128" spans="1:32" ht="30" x14ac:dyDescent="0.35">
      <c r="A128" s="2001">
        <v>41</v>
      </c>
      <c r="B128" s="365">
        <v>10834</v>
      </c>
      <c r="C128" s="365"/>
      <c r="D128" s="365" t="s">
        <v>1911</v>
      </c>
      <c r="E128" s="322" t="s">
        <v>3203</v>
      </c>
      <c r="F128" s="93">
        <v>4</v>
      </c>
      <c r="G128" s="93">
        <v>4</v>
      </c>
      <c r="H128" s="93">
        <v>6</v>
      </c>
      <c r="I128" s="680">
        <f t="shared" si="8"/>
        <v>5.859</v>
      </c>
      <c r="J128" s="680">
        <f t="shared" si="9"/>
        <v>5.859</v>
      </c>
      <c r="K128" s="680"/>
      <c r="L128" s="680"/>
      <c r="M128" s="990"/>
      <c r="N128" s="1229">
        <v>5.859</v>
      </c>
      <c r="O128" s="684"/>
      <c r="P128" s="680"/>
      <c r="Q128" s="960"/>
      <c r="R128" s="958"/>
      <c r="S128" s="105">
        <v>1</v>
      </c>
      <c r="T128" s="253">
        <v>18.87</v>
      </c>
      <c r="U128" s="105"/>
      <c r="V128" s="105"/>
      <c r="W128" s="146">
        <v>8</v>
      </c>
      <c r="X128" s="253">
        <v>89.71</v>
      </c>
      <c r="Y128" s="146">
        <v>2</v>
      </c>
      <c r="Z128" s="1713">
        <v>26</v>
      </c>
      <c r="AA128" s="3" t="s">
        <v>11305</v>
      </c>
      <c r="AB128" s="3">
        <v>1</v>
      </c>
      <c r="AE128" s="2461"/>
      <c r="AF128" s="68"/>
    </row>
    <row r="129" spans="1:32" ht="46.5" x14ac:dyDescent="0.35">
      <c r="A129" s="2001"/>
      <c r="B129" s="365"/>
      <c r="C129" s="365"/>
      <c r="D129" s="365"/>
      <c r="E129" s="324" t="s">
        <v>9998</v>
      </c>
      <c r="F129" s="93"/>
      <c r="G129" s="93" t="s">
        <v>191</v>
      </c>
      <c r="H129" s="93" t="s">
        <v>191</v>
      </c>
      <c r="I129" s="680"/>
      <c r="J129" s="680"/>
      <c r="K129" s="680"/>
      <c r="L129" s="680"/>
      <c r="M129" s="990"/>
      <c r="N129" s="1229"/>
      <c r="O129" s="684"/>
      <c r="P129" s="680"/>
      <c r="Q129" s="960"/>
      <c r="R129" s="958"/>
      <c r="S129" s="105"/>
      <c r="T129" s="253"/>
      <c r="U129" s="105"/>
      <c r="V129" s="105"/>
      <c r="W129" s="146"/>
      <c r="X129" s="253"/>
      <c r="Y129" s="146"/>
      <c r="Z129" s="1713"/>
      <c r="AE129" s="2461"/>
      <c r="AF129" s="68"/>
    </row>
    <row r="130" spans="1:32" ht="45" x14ac:dyDescent="0.35">
      <c r="A130" s="2001">
        <v>42</v>
      </c>
      <c r="B130" s="365">
        <v>10834</v>
      </c>
      <c r="C130" s="365" t="s">
        <v>1655</v>
      </c>
      <c r="D130" s="2463" t="s">
        <v>5201</v>
      </c>
      <c r="E130" s="322" t="s">
        <v>7380</v>
      </c>
      <c r="F130" s="93" t="s">
        <v>664</v>
      </c>
      <c r="G130" s="93">
        <v>5</v>
      </c>
      <c r="H130" s="93">
        <v>6</v>
      </c>
      <c r="I130" s="680">
        <f t="shared" si="8"/>
        <v>2.5</v>
      </c>
      <c r="J130" s="680">
        <f t="shared" si="9"/>
        <v>2.5</v>
      </c>
      <c r="K130" s="680"/>
      <c r="L130" s="680"/>
      <c r="M130" s="990"/>
      <c r="N130" s="1229"/>
      <c r="O130" s="684"/>
      <c r="P130" s="680"/>
      <c r="Q130" s="960"/>
      <c r="R130" s="958">
        <v>2.5</v>
      </c>
      <c r="S130" s="105"/>
      <c r="T130" s="253"/>
      <c r="U130" s="105"/>
      <c r="V130" s="105"/>
      <c r="W130" s="146">
        <v>1</v>
      </c>
      <c r="X130" s="253">
        <v>10</v>
      </c>
      <c r="Y130" s="146"/>
      <c r="Z130" s="1713"/>
      <c r="AB130" s="3">
        <v>1</v>
      </c>
      <c r="AC130" s="3" t="s">
        <v>2570</v>
      </c>
      <c r="AE130" s="2461"/>
      <c r="AF130" s="68"/>
    </row>
    <row r="131" spans="1:32" ht="30" x14ac:dyDescent="0.35">
      <c r="A131" s="2001">
        <v>43</v>
      </c>
      <c r="B131" s="365">
        <v>10834</v>
      </c>
      <c r="C131" s="358" t="s">
        <v>1656</v>
      </c>
      <c r="D131" s="2463" t="s">
        <v>5202</v>
      </c>
      <c r="E131" s="322" t="s">
        <v>8635</v>
      </c>
      <c r="F131" s="93" t="s">
        <v>664</v>
      </c>
      <c r="G131" s="93">
        <v>5</v>
      </c>
      <c r="H131" s="93">
        <v>6</v>
      </c>
      <c r="I131" s="297">
        <f t="shared" si="8"/>
        <v>0.55000000000000004</v>
      </c>
      <c r="J131" s="297">
        <f>SUM(M131:R131)</f>
        <v>0.55000000000000004</v>
      </c>
      <c r="K131" s="685"/>
      <c r="L131" s="685"/>
      <c r="M131" s="2384"/>
      <c r="N131" s="680"/>
      <c r="O131" s="684"/>
      <c r="P131" s="680"/>
      <c r="Q131" s="2385"/>
      <c r="R131" s="1830">
        <v>0.55000000000000004</v>
      </c>
      <c r="S131" s="93"/>
      <c r="T131" s="252"/>
      <c r="U131" s="93"/>
      <c r="V131" s="93"/>
      <c r="W131" s="147"/>
      <c r="X131" s="252"/>
      <c r="Y131" s="147"/>
      <c r="Z131" s="1715"/>
      <c r="AB131" s="3">
        <v>1</v>
      </c>
      <c r="AE131" s="2461"/>
      <c r="AF131" s="68"/>
    </row>
    <row r="132" spans="1:32" ht="30" x14ac:dyDescent="0.35">
      <c r="A132" s="2001">
        <v>44</v>
      </c>
      <c r="B132" s="365">
        <v>10835</v>
      </c>
      <c r="C132" s="365"/>
      <c r="D132" s="365" t="s">
        <v>1236</v>
      </c>
      <c r="E132" s="322" t="s">
        <v>9925</v>
      </c>
      <c r="F132" s="93">
        <v>4</v>
      </c>
      <c r="G132" s="93">
        <v>4</v>
      </c>
      <c r="H132" s="93">
        <v>6</v>
      </c>
      <c r="I132" s="680">
        <f t="shared" si="8"/>
        <v>3.2589999999999999</v>
      </c>
      <c r="J132" s="680">
        <f t="shared" si="9"/>
        <v>3.2589999999999999</v>
      </c>
      <c r="K132" s="680"/>
      <c r="L132" s="680"/>
      <c r="M132" s="990"/>
      <c r="N132" s="1229">
        <v>3.2589999999999999</v>
      </c>
      <c r="O132" s="684"/>
      <c r="P132" s="680"/>
      <c r="Q132" s="960"/>
      <c r="R132" s="958"/>
      <c r="S132" s="105">
        <v>1</v>
      </c>
      <c r="T132" s="253">
        <v>12.8</v>
      </c>
      <c r="U132" s="105"/>
      <c r="V132" s="105"/>
      <c r="W132" s="146">
        <v>7</v>
      </c>
      <c r="X132" s="253">
        <v>82.9</v>
      </c>
      <c r="Y132" s="146">
        <v>3</v>
      </c>
      <c r="Z132" s="1713">
        <v>27</v>
      </c>
      <c r="AB132" s="3">
        <v>1</v>
      </c>
      <c r="AE132" s="2461"/>
      <c r="AF132" s="68"/>
    </row>
    <row r="133" spans="1:32" ht="60" x14ac:dyDescent="0.35">
      <c r="A133" s="2001">
        <v>45</v>
      </c>
      <c r="B133" s="365">
        <v>10835</v>
      </c>
      <c r="C133" s="365"/>
      <c r="D133" s="2463" t="s">
        <v>5203</v>
      </c>
      <c r="E133" s="322" t="s">
        <v>9926</v>
      </c>
      <c r="F133" s="93">
        <v>5</v>
      </c>
      <c r="G133" s="93">
        <v>5</v>
      </c>
      <c r="H133" s="93">
        <v>6</v>
      </c>
      <c r="I133" s="680">
        <f t="shared" si="8"/>
        <v>0.36</v>
      </c>
      <c r="J133" s="680">
        <f t="shared" si="9"/>
        <v>0.36</v>
      </c>
      <c r="K133" s="680"/>
      <c r="L133" s="680"/>
      <c r="M133" s="990"/>
      <c r="N133" s="1229">
        <v>0.36</v>
      </c>
      <c r="O133" s="684"/>
      <c r="P133" s="680"/>
      <c r="Q133" s="960"/>
      <c r="R133" s="958"/>
      <c r="S133" s="105"/>
      <c r="T133" s="253"/>
      <c r="U133" s="105"/>
      <c r="V133" s="105"/>
      <c r="W133" s="146"/>
      <c r="X133" s="253"/>
      <c r="Y133" s="146"/>
      <c r="Z133" s="1713"/>
      <c r="AB133" s="3">
        <v>1</v>
      </c>
      <c r="AE133" s="2461"/>
      <c r="AF133" s="68"/>
    </row>
    <row r="134" spans="1:32" ht="30" x14ac:dyDescent="0.35">
      <c r="A134" s="2001">
        <v>46</v>
      </c>
      <c r="B134" s="365">
        <v>10836</v>
      </c>
      <c r="C134" s="365"/>
      <c r="D134" s="365" t="s">
        <v>71</v>
      </c>
      <c r="E134" s="322" t="s">
        <v>9927</v>
      </c>
      <c r="F134" s="93"/>
      <c r="G134" s="93" t="s">
        <v>191</v>
      </c>
      <c r="H134" s="93" t="s">
        <v>191</v>
      </c>
      <c r="I134" s="680">
        <f t="shared" si="8"/>
        <v>6.0069999999999997</v>
      </c>
      <c r="J134" s="680">
        <f t="shared" si="9"/>
        <v>6.0069999999999997</v>
      </c>
      <c r="K134" s="680"/>
      <c r="L134" s="680"/>
      <c r="M134" s="990"/>
      <c r="N134" s="1229">
        <f>SUM(N135:N136)</f>
        <v>3.351</v>
      </c>
      <c r="O134" s="684"/>
      <c r="P134" s="680"/>
      <c r="Q134" s="960">
        <f>SUM(Q135:Q136)</f>
        <v>2.6559999999999997</v>
      </c>
      <c r="R134" s="958"/>
      <c r="S134" s="105"/>
      <c r="T134" s="253"/>
      <c r="U134" s="105"/>
      <c r="V134" s="105"/>
      <c r="W134" s="146">
        <v>8</v>
      </c>
      <c r="X134" s="253">
        <v>105.39</v>
      </c>
      <c r="Y134" s="146"/>
      <c r="Z134" s="1713"/>
      <c r="AB134" s="3">
        <v>1</v>
      </c>
      <c r="AE134" s="2461"/>
      <c r="AF134" s="68"/>
    </row>
    <row r="135" spans="1:32" x14ac:dyDescent="0.35">
      <c r="A135" s="1580"/>
      <c r="B135" s="365">
        <v>10836</v>
      </c>
      <c r="C135" s="365"/>
      <c r="D135" s="368"/>
      <c r="E135" s="324" t="s">
        <v>3121</v>
      </c>
      <c r="F135" s="93">
        <v>4</v>
      </c>
      <c r="G135" s="93">
        <v>5</v>
      </c>
      <c r="H135" s="93">
        <v>6</v>
      </c>
      <c r="I135" s="685"/>
      <c r="J135" s="685"/>
      <c r="K135" s="685"/>
      <c r="L135" s="685"/>
      <c r="M135" s="1225"/>
      <c r="N135" s="1232">
        <v>3.351</v>
      </c>
      <c r="O135" s="686"/>
      <c r="P135" s="685"/>
      <c r="Q135" s="1222"/>
      <c r="R135" s="1219"/>
      <c r="S135" s="93"/>
      <c r="T135" s="252"/>
      <c r="U135" s="93"/>
      <c r="V135" s="93"/>
      <c r="W135" s="147"/>
      <c r="X135" s="252"/>
      <c r="Y135" s="147"/>
      <c r="Z135" s="1715"/>
      <c r="AA135" s="1778" t="s">
        <v>3225</v>
      </c>
      <c r="AE135" s="2461"/>
      <c r="AF135" s="68"/>
    </row>
    <row r="136" spans="1:32" x14ac:dyDescent="0.35">
      <c r="A136" s="1580"/>
      <c r="B136" s="365">
        <v>10836</v>
      </c>
      <c r="C136" s="365"/>
      <c r="D136" s="368"/>
      <c r="E136" s="1228" t="s">
        <v>3122</v>
      </c>
      <c r="F136" s="93">
        <v>4</v>
      </c>
      <c r="G136" s="93">
        <v>5</v>
      </c>
      <c r="H136" s="93">
        <v>6</v>
      </c>
      <c r="I136" s="685"/>
      <c r="J136" s="685"/>
      <c r="K136" s="685"/>
      <c r="L136" s="685"/>
      <c r="M136" s="1225"/>
      <c r="N136" s="1232"/>
      <c r="O136" s="686"/>
      <c r="P136" s="685"/>
      <c r="Q136" s="1222">
        <f>6.007-3.351</f>
        <v>2.6559999999999997</v>
      </c>
      <c r="R136" s="1219"/>
      <c r="S136" s="93"/>
      <c r="T136" s="252"/>
      <c r="U136" s="93"/>
      <c r="V136" s="93"/>
      <c r="W136" s="147"/>
      <c r="X136" s="252"/>
      <c r="Y136" s="147"/>
      <c r="Z136" s="1715"/>
      <c r="AE136" s="2461"/>
      <c r="AF136" s="68"/>
    </row>
    <row r="137" spans="1:32" ht="60" x14ac:dyDescent="0.35">
      <c r="A137" s="370">
        <v>47</v>
      </c>
      <c r="B137" s="365">
        <v>10836</v>
      </c>
      <c r="C137" s="365"/>
      <c r="D137" s="2463" t="s">
        <v>5204</v>
      </c>
      <c r="E137" s="322" t="s">
        <v>9928</v>
      </c>
      <c r="F137" s="93" t="s">
        <v>827</v>
      </c>
      <c r="G137" s="93">
        <v>5</v>
      </c>
      <c r="H137" s="93">
        <v>6</v>
      </c>
      <c r="I137" s="680">
        <f>J137+K137+L137</f>
        <v>1.7</v>
      </c>
      <c r="J137" s="680">
        <f>SUM(M137:R137)</f>
        <v>1.7</v>
      </c>
      <c r="K137" s="680"/>
      <c r="L137" s="680"/>
      <c r="M137" s="990"/>
      <c r="N137" s="1229"/>
      <c r="O137" s="684"/>
      <c r="P137" s="680"/>
      <c r="Q137" s="960"/>
      <c r="R137" s="958">
        <v>1.7</v>
      </c>
      <c r="S137" s="105"/>
      <c r="T137" s="253"/>
      <c r="U137" s="105"/>
      <c r="V137" s="105"/>
      <c r="W137" s="146"/>
      <c r="X137" s="253"/>
      <c r="Y137" s="146"/>
      <c r="Z137" s="1713"/>
      <c r="AB137" s="3">
        <v>1</v>
      </c>
      <c r="AE137" s="2461"/>
      <c r="AF137" s="68"/>
    </row>
    <row r="138" spans="1:32" ht="60" x14ac:dyDescent="0.35">
      <c r="A138" s="2001">
        <v>48</v>
      </c>
      <c r="B138" s="365">
        <v>10836</v>
      </c>
      <c r="C138" s="358" t="s">
        <v>1656</v>
      </c>
      <c r="D138" s="2463" t="s">
        <v>5205</v>
      </c>
      <c r="E138" s="322" t="s">
        <v>9929</v>
      </c>
      <c r="F138" s="93" t="s">
        <v>664</v>
      </c>
      <c r="G138" s="93">
        <v>5</v>
      </c>
      <c r="H138" s="93">
        <v>6</v>
      </c>
      <c r="I138" s="297">
        <f>J138+K138+L138</f>
        <v>0.3</v>
      </c>
      <c r="J138" s="297">
        <f>SUM(M138:R138)</f>
        <v>0.3</v>
      </c>
      <c r="K138" s="685"/>
      <c r="L138" s="685"/>
      <c r="M138" s="2384"/>
      <c r="N138" s="680"/>
      <c r="O138" s="684"/>
      <c r="P138" s="680"/>
      <c r="Q138" s="2385"/>
      <c r="R138" s="1830">
        <v>0.3</v>
      </c>
      <c r="S138" s="93"/>
      <c r="T138" s="252"/>
      <c r="U138" s="93"/>
      <c r="V138" s="93"/>
      <c r="W138" s="147"/>
      <c r="X138" s="252"/>
      <c r="Y138" s="147"/>
      <c r="Z138" s="1715"/>
      <c r="AB138" s="3">
        <v>1</v>
      </c>
      <c r="AE138" s="2461"/>
      <c r="AF138" s="68"/>
    </row>
    <row r="139" spans="1:32" ht="30" x14ac:dyDescent="0.35">
      <c r="A139" s="370">
        <v>49</v>
      </c>
      <c r="B139" s="365">
        <v>10837</v>
      </c>
      <c r="C139" s="365"/>
      <c r="D139" s="365" t="s">
        <v>3181</v>
      </c>
      <c r="E139" s="322" t="s">
        <v>7143</v>
      </c>
      <c r="F139" s="93"/>
      <c r="G139" s="93" t="s">
        <v>191</v>
      </c>
      <c r="H139" s="93" t="s">
        <v>191</v>
      </c>
      <c r="I139" s="680">
        <f>J139+K139+L139</f>
        <v>12.3</v>
      </c>
      <c r="J139" s="680">
        <f>SUM(M139:R139)</f>
        <v>12.3</v>
      </c>
      <c r="K139" s="680"/>
      <c r="L139" s="680"/>
      <c r="M139" s="990"/>
      <c r="N139" s="1229">
        <f>SUM(N140:N142)</f>
        <v>7.742</v>
      </c>
      <c r="O139" s="684"/>
      <c r="P139" s="680"/>
      <c r="Q139" s="960">
        <f>SUM(Q140:Q142)</f>
        <v>4.5580000000000007</v>
      </c>
      <c r="R139" s="958"/>
      <c r="S139" s="105">
        <v>1</v>
      </c>
      <c r="T139" s="253">
        <v>28</v>
      </c>
      <c r="U139" s="105"/>
      <c r="V139" s="105"/>
      <c r="W139" s="146">
        <v>22</v>
      </c>
      <c r="X139" s="253">
        <v>275.89</v>
      </c>
      <c r="Y139" s="146">
        <v>5</v>
      </c>
      <c r="Z139" s="1713">
        <v>45</v>
      </c>
      <c r="AB139" s="3">
        <v>1</v>
      </c>
      <c r="AE139" s="2461"/>
      <c r="AF139" s="68"/>
    </row>
    <row r="140" spans="1:32" x14ac:dyDescent="0.35">
      <c r="A140" s="1580"/>
      <c r="B140" s="365">
        <v>10837</v>
      </c>
      <c r="C140" s="365"/>
      <c r="D140" s="368"/>
      <c r="E140" s="324" t="s">
        <v>3123</v>
      </c>
      <c r="F140" s="93">
        <v>4</v>
      </c>
      <c r="G140" s="93">
        <v>4</v>
      </c>
      <c r="H140" s="93">
        <v>6</v>
      </c>
      <c r="I140" s="685"/>
      <c r="J140" s="685"/>
      <c r="K140" s="685"/>
      <c r="L140" s="685"/>
      <c r="M140" s="1225"/>
      <c r="N140" s="1232">
        <v>7.742</v>
      </c>
      <c r="O140" s="686"/>
      <c r="P140" s="685"/>
      <c r="Q140" s="1222"/>
      <c r="R140" s="1219"/>
      <c r="S140" s="93"/>
      <c r="T140" s="252"/>
      <c r="U140" s="93"/>
      <c r="V140" s="93"/>
      <c r="W140" s="147"/>
      <c r="X140" s="252"/>
      <c r="Y140" s="147"/>
      <c r="Z140" s="1715"/>
      <c r="AE140" s="2461"/>
      <c r="AF140" s="68"/>
    </row>
    <row r="141" spans="1:32" x14ac:dyDescent="0.35">
      <c r="A141" s="1580"/>
      <c r="B141" s="365">
        <v>10837</v>
      </c>
      <c r="C141" s="365"/>
      <c r="D141" s="368"/>
      <c r="E141" s="1228" t="s">
        <v>3124</v>
      </c>
      <c r="F141" s="93">
        <v>4</v>
      </c>
      <c r="G141" s="93">
        <v>4</v>
      </c>
      <c r="H141" s="93">
        <v>6</v>
      </c>
      <c r="I141" s="685"/>
      <c r="J141" s="685"/>
      <c r="K141" s="685"/>
      <c r="L141" s="685"/>
      <c r="M141" s="1225"/>
      <c r="N141" s="1232"/>
      <c r="O141" s="686"/>
      <c r="P141" s="685"/>
      <c r="Q141" s="1222">
        <f>9.308-7.742</f>
        <v>1.5659999999999998</v>
      </c>
      <c r="R141" s="1219"/>
      <c r="S141" s="93"/>
      <c r="T141" s="252"/>
      <c r="U141" s="93"/>
      <c r="V141" s="93"/>
      <c r="W141" s="147"/>
      <c r="X141" s="252"/>
      <c r="Y141" s="147"/>
      <c r="Z141" s="1715"/>
      <c r="AE141" s="2461"/>
      <c r="AF141" s="68"/>
    </row>
    <row r="142" spans="1:32" x14ac:dyDescent="0.35">
      <c r="A142" s="1580"/>
      <c r="B142" s="365">
        <v>10837</v>
      </c>
      <c r="C142" s="365"/>
      <c r="D142" s="368"/>
      <c r="E142" s="1228" t="s">
        <v>3125</v>
      </c>
      <c r="F142" s="93" t="s">
        <v>827</v>
      </c>
      <c r="G142" s="93">
        <v>4</v>
      </c>
      <c r="H142" s="93">
        <v>6</v>
      </c>
      <c r="I142" s="685"/>
      <c r="J142" s="685"/>
      <c r="K142" s="685"/>
      <c r="L142" s="685"/>
      <c r="M142" s="1225"/>
      <c r="N142" s="1232"/>
      <c r="O142" s="686"/>
      <c r="P142" s="685"/>
      <c r="Q142" s="1222">
        <f>12.3-9.308</f>
        <v>2.9920000000000009</v>
      </c>
      <c r="R142" s="1219"/>
      <c r="S142" s="93"/>
      <c r="T142" s="252"/>
      <c r="U142" s="93"/>
      <c r="V142" s="93"/>
      <c r="W142" s="147"/>
      <c r="X142" s="252"/>
      <c r="Y142" s="147"/>
      <c r="Z142" s="1715"/>
      <c r="AE142" s="2461"/>
      <c r="AF142" s="68"/>
    </row>
    <row r="143" spans="1:32" ht="45" x14ac:dyDescent="0.35">
      <c r="A143" s="370">
        <v>50</v>
      </c>
      <c r="B143" s="365">
        <v>10837</v>
      </c>
      <c r="C143" s="365"/>
      <c r="D143" s="2463" t="s">
        <v>5206</v>
      </c>
      <c r="E143" s="322" t="s">
        <v>9930</v>
      </c>
      <c r="F143" s="93"/>
      <c r="G143" s="93" t="s">
        <v>191</v>
      </c>
      <c r="H143" s="93" t="s">
        <v>191</v>
      </c>
      <c r="I143" s="680">
        <f>J143+K143+L143</f>
        <v>1.5499999999999998</v>
      </c>
      <c r="J143" s="680">
        <f>SUM(M143:R143)</f>
        <v>1.5499999999999998</v>
      </c>
      <c r="K143" s="680"/>
      <c r="L143" s="680"/>
      <c r="M143" s="990"/>
      <c r="N143" s="1229">
        <f>SUM(N144:N146)</f>
        <v>0.4</v>
      </c>
      <c r="O143" s="684"/>
      <c r="P143" s="680"/>
      <c r="Q143" s="960">
        <f>SUM(Q144:Q146)</f>
        <v>0.75</v>
      </c>
      <c r="R143" s="958">
        <f>SUM(R144:R146)</f>
        <v>0.4</v>
      </c>
      <c r="S143" s="105"/>
      <c r="T143" s="253"/>
      <c r="U143" s="105"/>
      <c r="V143" s="105"/>
      <c r="W143" s="146"/>
      <c r="X143" s="253"/>
      <c r="Y143" s="146"/>
      <c r="Z143" s="1713"/>
      <c r="AB143" s="3">
        <v>1</v>
      </c>
      <c r="AE143" s="2461"/>
      <c r="AF143" s="68"/>
    </row>
    <row r="144" spans="1:32" x14ac:dyDescent="0.35">
      <c r="A144" s="1580"/>
      <c r="B144" s="365">
        <v>10837</v>
      </c>
      <c r="C144" s="365"/>
      <c r="D144" s="368"/>
      <c r="E144" s="324" t="s">
        <v>3304</v>
      </c>
      <c r="F144" s="93">
        <v>5</v>
      </c>
      <c r="G144" s="93">
        <v>5</v>
      </c>
      <c r="H144" s="93">
        <v>6</v>
      </c>
      <c r="I144" s="685"/>
      <c r="J144" s="685"/>
      <c r="K144" s="685"/>
      <c r="L144" s="685"/>
      <c r="M144" s="1225"/>
      <c r="N144" s="1232">
        <v>0.4</v>
      </c>
      <c r="O144" s="686"/>
      <c r="P144" s="685"/>
      <c r="Q144" s="1222"/>
      <c r="R144" s="1219"/>
      <c r="S144" s="93"/>
      <c r="T144" s="252"/>
      <c r="U144" s="93"/>
      <c r="V144" s="93"/>
      <c r="W144" s="147"/>
      <c r="X144" s="252"/>
      <c r="Y144" s="147"/>
      <c r="Z144" s="1715"/>
      <c r="AE144" s="2461"/>
      <c r="AF144" s="68"/>
    </row>
    <row r="145" spans="1:32" x14ac:dyDescent="0.35">
      <c r="A145" s="1580"/>
      <c r="B145" s="365">
        <v>10837</v>
      </c>
      <c r="C145" s="365"/>
      <c r="D145" s="368"/>
      <c r="E145" s="1228" t="s">
        <v>1183</v>
      </c>
      <c r="F145" s="93" t="s">
        <v>827</v>
      </c>
      <c r="G145" s="93">
        <v>5</v>
      </c>
      <c r="H145" s="93">
        <v>6</v>
      </c>
      <c r="I145" s="685"/>
      <c r="J145" s="685"/>
      <c r="K145" s="685"/>
      <c r="L145" s="685"/>
      <c r="M145" s="1225"/>
      <c r="N145" s="1232"/>
      <c r="O145" s="686"/>
      <c r="P145" s="685"/>
      <c r="Q145" s="1222">
        <v>0.75</v>
      </c>
      <c r="R145" s="1219"/>
      <c r="S145" s="93"/>
      <c r="T145" s="252"/>
      <c r="U145" s="93"/>
      <c r="V145" s="93"/>
      <c r="W145" s="147"/>
      <c r="X145" s="252"/>
      <c r="Y145" s="147"/>
      <c r="Z145" s="1715"/>
      <c r="AE145" s="2461"/>
      <c r="AF145" s="68"/>
    </row>
    <row r="146" spans="1:32" x14ac:dyDescent="0.35">
      <c r="A146" s="1580"/>
      <c r="B146" s="365">
        <v>10837</v>
      </c>
      <c r="C146" s="365"/>
      <c r="D146" s="368"/>
      <c r="E146" s="1227" t="s">
        <v>1184</v>
      </c>
      <c r="F146" s="93" t="s">
        <v>664</v>
      </c>
      <c r="G146" s="93">
        <v>5</v>
      </c>
      <c r="H146" s="93">
        <v>6</v>
      </c>
      <c r="I146" s="685"/>
      <c r="J146" s="685"/>
      <c r="K146" s="685"/>
      <c r="L146" s="685"/>
      <c r="M146" s="1225"/>
      <c r="N146" s="1232"/>
      <c r="O146" s="686"/>
      <c r="P146" s="685"/>
      <c r="Q146" s="1222"/>
      <c r="R146" s="1219">
        <v>0.4</v>
      </c>
      <c r="S146" s="93"/>
      <c r="T146" s="252"/>
      <c r="U146" s="93"/>
      <c r="V146" s="93"/>
      <c r="W146" s="147"/>
      <c r="X146" s="252"/>
      <c r="Y146" s="147"/>
      <c r="Z146" s="1715"/>
      <c r="AE146" s="2461"/>
      <c r="AF146" s="68"/>
    </row>
    <row r="147" spans="1:32" ht="60" x14ac:dyDescent="0.35">
      <c r="A147" s="370">
        <v>51</v>
      </c>
      <c r="B147" s="365">
        <v>10837</v>
      </c>
      <c r="C147" s="365" t="s">
        <v>1655</v>
      </c>
      <c r="D147" s="2463" t="s">
        <v>5207</v>
      </c>
      <c r="E147" s="322" t="s">
        <v>9931</v>
      </c>
      <c r="F147" s="93" t="s">
        <v>664</v>
      </c>
      <c r="G147" s="93">
        <v>5</v>
      </c>
      <c r="H147" s="93">
        <v>6</v>
      </c>
      <c r="I147" s="680">
        <f>J147+K147+L147</f>
        <v>0.7</v>
      </c>
      <c r="J147" s="680">
        <f>SUM(M147:R147)</f>
        <v>0.7</v>
      </c>
      <c r="K147" s="680"/>
      <c r="L147" s="680"/>
      <c r="M147" s="990"/>
      <c r="N147" s="1229"/>
      <c r="O147" s="684"/>
      <c r="P147" s="680"/>
      <c r="Q147" s="960"/>
      <c r="R147" s="958">
        <v>0.7</v>
      </c>
      <c r="S147" s="105"/>
      <c r="T147" s="253"/>
      <c r="U147" s="105"/>
      <c r="V147" s="105"/>
      <c r="W147" s="146"/>
      <c r="X147" s="253"/>
      <c r="Y147" s="146"/>
      <c r="Z147" s="1713"/>
      <c r="AB147" s="3">
        <v>1</v>
      </c>
      <c r="AE147" s="2461"/>
      <c r="AF147" s="68"/>
    </row>
    <row r="148" spans="1:32" ht="60" x14ac:dyDescent="0.35">
      <c r="A148" s="370">
        <v>52</v>
      </c>
      <c r="B148" s="365">
        <v>10837</v>
      </c>
      <c r="C148" s="365" t="s">
        <v>1655</v>
      </c>
      <c r="D148" s="2463" t="s">
        <v>5208</v>
      </c>
      <c r="E148" s="322" t="s">
        <v>9932</v>
      </c>
      <c r="F148" s="93" t="s">
        <v>664</v>
      </c>
      <c r="G148" s="93">
        <v>5</v>
      </c>
      <c r="H148" s="93">
        <v>6</v>
      </c>
      <c r="I148" s="680">
        <f>J148+K148+L148</f>
        <v>0.7</v>
      </c>
      <c r="J148" s="680">
        <f>SUM(M148:R148)</f>
        <v>0.7</v>
      </c>
      <c r="K148" s="680"/>
      <c r="L148" s="680"/>
      <c r="M148" s="990"/>
      <c r="N148" s="1229"/>
      <c r="O148" s="684"/>
      <c r="P148" s="680"/>
      <c r="Q148" s="960"/>
      <c r="R148" s="958">
        <v>0.7</v>
      </c>
      <c r="S148" s="105"/>
      <c r="T148" s="253"/>
      <c r="U148" s="105"/>
      <c r="V148" s="105"/>
      <c r="W148" s="146"/>
      <c r="X148" s="253"/>
      <c r="Y148" s="146"/>
      <c r="Z148" s="1713"/>
      <c r="AB148" s="3">
        <v>1</v>
      </c>
      <c r="AE148" s="2461"/>
      <c r="AF148" s="68"/>
    </row>
    <row r="149" spans="1:32" ht="60" x14ac:dyDescent="0.35">
      <c r="A149" s="370">
        <v>53</v>
      </c>
      <c r="B149" s="365">
        <v>10837</v>
      </c>
      <c r="C149" s="365" t="s">
        <v>1656</v>
      </c>
      <c r="D149" s="2463" t="s">
        <v>5209</v>
      </c>
      <c r="E149" s="322" t="s">
        <v>8636</v>
      </c>
      <c r="F149" s="93" t="s">
        <v>664</v>
      </c>
      <c r="G149" s="93">
        <v>5</v>
      </c>
      <c r="H149" s="93">
        <v>6</v>
      </c>
      <c r="I149" s="680">
        <f>J149+K149+L149</f>
        <v>0.6</v>
      </c>
      <c r="J149" s="680">
        <f>M149+N149+O149+P149+Q149+R149</f>
        <v>0.6</v>
      </c>
      <c r="K149" s="680"/>
      <c r="L149" s="680"/>
      <c r="M149" s="990"/>
      <c r="N149" s="1229"/>
      <c r="O149" s="684"/>
      <c r="P149" s="680"/>
      <c r="Q149" s="960"/>
      <c r="R149" s="1083">
        <v>0.6</v>
      </c>
      <c r="S149" s="93"/>
      <c r="T149" s="93"/>
      <c r="U149" s="93"/>
      <c r="V149" s="93"/>
      <c r="W149" s="93"/>
      <c r="X149" s="252"/>
      <c r="Y149" s="93"/>
      <c r="Z149" s="93"/>
      <c r="AB149" s="3">
        <v>1</v>
      </c>
      <c r="AE149" s="2461"/>
      <c r="AF149" s="68"/>
    </row>
    <row r="150" spans="1:32" ht="30" x14ac:dyDescent="0.35">
      <c r="A150" s="370">
        <v>54</v>
      </c>
      <c r="B150" s="365">
        <v>10838</v>
      </c>
      <c r="C150" s="365"/>
      <c r="D150" s="365" t="s">
        <v>2712</v>
      </c>
      <c r="E150" s="322" t="s">
        <v>9933</v>
      </c>
      <c r="F150" s="93"/>
      <c r="G150" s="93" t="s">
        <v>191</v>
      </c>
      <c r="H150" s="93" t="s">
        <v>191</v>
      </c>
      <c r="I150" s="680">
        <f>J150+K150+L150</f>
        <v>9.1999999999999993</v>
      </c>
      <c r="J150" s="680">
        <f>SUM(M150:R150)</f>
        <v>7.4999999999999991</v>
      </c>
      <c r="K150" s="680"/>
      <c r="L150" s="1229">
        <f>SUM(L151:L155)</f>
        <v>1.7000000000000002</v>
      </c>
      <c r="M150" s="990"/>
      <c r="N150" s="1229">
        <f>SUM(N151:N155)</f>
        <v>2.1999999999999993</v>
      </c>
      <c r="O150" s="684"/>
      <c r="P150" s="680"/>
      <c r="Q150" s="960">
        <f>SUM(Q151:Q155)</f>
        <v>2</v>
      </c>
      <c r="R150" s="958">
        <f>SUM(R151:R155)</f>
        <v>3.3</v>
      </c>
      <c r="S150" s="105"/>
      <c r="T150" s="253"/>
      <c r="U150" s="105"/>
      <c r="V150" s="105"/>
      <c r="W150" s="146">
        <v>10</v>
      </c>
      <c r="X150" s="253">
        <v>160.5</v>
      </c>
      <c r="Y150" s="146"/>
      <c r="Z150" s="1713"/>
      <c r="AB150" s="3">
        <v>1</v>
      </c>
      <c r="AE150" s="2461"/>
      <c r="AF150" s="68"/>
    </row>
    <row r="151" spans="1:32" x14ac:dyDescent="0.35">
      <c r="A151" s="1580"/>
      <c r="B151" s="365">
        <v>10838</v>
      </c>
      <c r="C151" s="365"/>
      <c r="D151" s="368"/>
      <c r="E151" s="1227" t="s">
        <v>3627</v>
      </c>
      <c r="F151" s="93" t="s">
        <v>664</v>
      </c>
      <c r="G151" s="93">
        <v>5</v>
      </c>
      <c r="H151" s="93">
        <v>6</v>
      </c>
      <c r="I151" s="685"/>
      <c r="J151" s="685"/>
      <c r="K151" s="685"/>
      <c r="L151" s="685"/>
      <c r="M151" s="1225"/>
      <c r="N151" s="1232"/>
      <c r="O151" s="686"/>
      <c r="P151" s="685"/>
      <c r="Q151" s="1222"/>
      <c r="R151" s="1219">
        <f>3.3-0</f>
        <v>3.3</v>
      </c>
      <c r="S151" s="93"/>
      <c r="T151" s="252"/>
      <c r="U151" s="93"/>
      <c r="V151" s="93"/>
      <c r="W151" s="147"/>
      <c r="X151" s="252"/>
      <c r="Y151" s="147"/>
      <c r="Z151" s="1715"/>
      <c r="AE151" s="2461"/>
      <c r="AF151" s="68"/>
    </row>
    <row r="152" spans="1:32" ht="46.5" x14ac:dyDescent="0.35">
      <c r="A152" s="1580"/>
      <c r="B152" s="365"/>
      <c r="C152" s="365"/>
      <c r="D152" s="368"/>
      <c r="E152" s="707" t="s">
        <v>9949</v>
      </c>
      <c r="F152" s="93">
        <v>5</v>
      </c>
      <c r="G152" s="93">
        <v>5</v>
      </c>
      <c r="H152" s="93" t="s">
        <v>191</v>
      </c>
      <c r="I152" s="685"/>
      <c r="J152" s="685"/>
      <c r="K152" s="685"/>
      <c r="L152" s="685">
        <f>4.5-3.3</f>
        <v>1.2000000000000002</v>
      </c>
      <c r="M152" s="1225"/>
      <c r="N152" s="1232"/>
      <c r="O152" s="686"/>
      <c r="P152" s="685"/>
      <c r="Q152" s="1222"/>
      <c r="R152" s="1219"/>
      <c r="S152" s="93"/>
      <c r="T152" s="252"/>
      <c r="U152" s="93"/>
      <c r="V152" s="93"/>
      <c r="W152" s="147"/>
      <c r="X152" s="252"/>
      <c r="Y152" s="147"/>
      <c r="Z152" s="1715"/>
      <c r="AE152" s="2461"/>
      <c r="AF152" s="68"/>
    </row>
    <row r="153" spans="1:32" x14ac:dyDescent="0.35">
      <c r="A153" s="1580"/>
      <c r="B153" s="365">
        <v>10838</v>
      </c>
      <c r="C153" s="365"/>
      <c r="D153" s="368"/>
      <c r="E153" s="1228" t="s">
        <v>3628</v>
      </c>
      <c r="F153" s="93">
        <v>5</v>
      </c>
      <c r="G153" s="93">
        <v>5</v>
      </c>
      <c r="H153" s="93">
        <v>6</v>
      </c>
      <c r="I153" s="685"/>
      <c r="J153" s="685"/>
      <c r="K153" s="685"/>
      <c r="L153" s="685"/>
      <c r="M153" s="1225"/>
      <c r="N153" s="1232"/>
      <c r="O153" s="686"/>
      <c r="P153" s="685"/>
      <c r="Q153" s="1222">
        <f>6.5-4.5</f>
        <v>2</v>
      </c>
      <c r="R153" s="1219"/>
      <c r="S153" s="93"/>
      <c r="T153" s="252"/>
      <c r="U153" s="93"/>
      <c r="V153" s="93"/>
      <c r="W153" s="147"/>
      <c r="X153" s="252"/>
      <c r="Y153" s="147"/>
      <c r="Z153" s="1715"/>
      <c r="AE153" s="2461"/>
      <c r="AF153" s="68"/>
    </row>
    <row r="154" spans="1:32" ht="31" x14ac:dyDescent="0.35">
      <c r="A154" s="1580"/>
      <c r="B154" s="365">
        <v>10838</v>
      </c>
      <c r="C154" s="365"/>
      <c r="D154" s="368"/>
      <c r="E154" s="707" t="s">
        <v>3629</v>
      </c>
      <c r="F154" s="93">
        <v>5</v>
      </c>
      <c r="G154" s="93">
        <v>5</v>
      </c>
      <c r="H154" s="93" t="s">
        <v>191</v>
      </c>
      <c r="I154" s="685"/>
      <c r="J154" s="685"/>
      <c r="K154" s="685"/>
      <c r="L154" s="685">
        <f>7-6.5</f>
        <v>0.5</v>
      </c>
      <c r="M154" s="1225"/>
      <c r="N154" s="1232"/>
      <c r="O154" s="686"/>
      <c r="P154" s="685"/>
      <c r="Q154" s="1222"/>
      <c r="R154" s="1219"/>
      <c r="S154" s="93"/>
      <c r="T154" s="252"/>
      <c r="U154" s="93"/>
      <c r="V154" s="93"/>
      <c r="W154" s="147"/>
      <c r="X154" s="252"/>
      <c r="Y154" s="147"/>
      <c r="Z154" s="1715"/>
      <c r="AE154" s="2461"/>
      <c r="AF154" s="68"/>
    </row>
    <row r="155" spans="1:32" x14ac:dyDescent="0.35">
      <c r="A155" s="1580"/>
      <c r="B155" s="365">
        <v>10838</v>
      </c>
      <c r="C155" s="365"/>
      <c r="D155" s="368"/>
      <c r="E155" s="324" t="s">
        <v>1017</v>
      </c>
      <c r="F155" s="93">
        <v>5</v>
      </c>
      <c r="G155" s="93">
        <v>5</v>
      </c>
      <c r="H155" s="93">
        <v>6</v>
      </c>
      <c r="I155" s="685"/>
      <c r="J155" s="685"/>
      <c r="K155" s="685"/>
      <c r="L155" s="685"/>
      <c r="M155" s="1225"/>
      <c r="N155" s="1232">
        <f>9.2-7</f>
        <v>2.1999999999999993</v>
      </c>
      <c r="O155" s="686"/>
      <c r="P155" s="685"/>
      <c r="Q155" s="1222"/>
      <c r="R155" s="1219"/>
      <c r="S155" s="93"/>
      <c r="T155" s="252"/>
      <c r="U155" s="93"/>
      <c r="V155" s="93"/>
      <c r="W155" s="147"/>
      <c r="X155" s="252"/>
      <c r="Y155" s="147"/>
      <c r="Z155" s="1715"/>
      <c r="AE155" s="2461"/>
      <c r="AF155" s="68"/>
    </row>
    <row r="156" spans="1:32" ht="30" x14ac:dyDescent="0.35">
      <c r="A156" s="370">
        <v>55</v>
      </c>
      <c r="B156" s="365">
        <v>10839</v>
      </c>
      <c r="C156" s="365"/>
      <c r="D156" s="365" t="s">
        <v>2713</v>
      </c>
      <c r="E156" s="322" t="s">
        <v>3126</v>
      </c>
      <c r="F156" s="93"/>
      <c r="G156" s="93" t="s">
        <v>191</v>
      </c>
      <c r="H156" s="93" t="s">
        <v>191</v>
      </c>
      <c r="I156" s="680">
        <f>J156+K156+L156</f>
        <v>2.06</v>
      </c>
      <c r="J156" s="680">
        <f>SUM(M156:R156)</f>
        <v>2.06</v>
      </c>
      <c r="K156" s="680"/>
      <c r="L156" s="680"/>
      <c r="M156" s="990"/>
      <c r="N156" s="1229">
        <f>SUM(N157:N164)</f>
        <v>1.1880000000000002</v>
      </c>
      <c r="O156" s="684"/>
      <c r="P156" s="680"/>
      <c r="Q156" s="960">
        <f>SUM(Q157:Q164)</f>
        <v>0.872</v>
      </c>
      <c r="R156" s="958"/>
      <c r="S156" s="105"/>
      <c r="T156" s="253"/>
      <c r="U156" s="105"/>
      <c r="V156" s="105"/>
      <c r="W156" s="146">
        <v>6</v>
      </c>
      <c r="X156" s="253">
        <v>105.61</v>
      </c>
      <c r="Y156" s="146">
        <v>1</v>
      </c>
      <c r="Z156" s="1713">
        <v>15</v>
      </c>
      <c r="AB156" s="3">
        <v>1</v>
      </c>
      <c r="AE156" s="2461"/>
      <c r="AF156" s="68"/>
    </row>
    <row r="157" spans="1:32" x14ac:dyDescent="0.35">
      <c r="A157" s="370"/>
      <c r="B157" s="365">
        <v>10839</v>
      </c>
      <c r="C157" s="365"/>
      <c r="D157" s="365"/>
      <c r="E157" s="324" t="s">
        <v>3127</v>
      </c>
      <c r="F157" s="93" t="s">
        <v>827</v>
      </c>
      <c r="G157" s="93">
        <v>5</v>
      </c>
      <c r="H157" s="93">
        <v>6</v>
      </c>
      <c r="I157" s="685"/>
      <c r="J157" s="685"/>
      <c r="K157" s="685"/>
      <c r="L157" s="685"/>
      <c r="M157" s="1841"/>
      <c r="N157" s="685">
        <v>3.2000000000000001E-2</v>
      </c>
      <c r="O157" s="686"/>
      <c r="P157" s="685"/>
      <c r="Q157" s="1842"/>
      <c r="R157" s="1843"/>
      <c r="S157" s="105"/>
      <c r="T157" s="253"/>
      <c r="U157" s="105"/>
      <c r="V157" s="105"/>
      <c r="W157" s="146"/>
      <c r="X157" s="253"/>
      <c r="Y157" s="146"/>
      <c r="Z157" s="1713"/>
      <c r="AE157" s="2461"/>
      <c r="AF157" s="68"/>
    </row>
    <row r="158" spans="1:32" x14ac:dyDescent="0.35">
      <c r="A158" s="1580"/>
      <c r="B158" s="365">
        <v>10839</v>
      </c>
      <c r="C158" s="365"/>
      <c r="D158" s="368"/>
      <c r="E158" s="1228" t="s">
        <v>3128</v>
      </c>
      <c r="F158" s="93">
        <v>4</v>
      </c>
      <c r="G158" s="93">
        <v>5</v>
      </c>
      <c r="H158" s="93">
        <v>6</v>
      </c>
      <c r="I158" s="685"/>
      <c r="J158" s="685"/>
      <c r="K158" s="685"/>
      <c r="L158" s="685"/>
      <c r="M158" s="1841"/>
      <c r="N158" s="685"/>
      <c r="O158" s="686"/>
      <c r="P158" s="685"/>
      <c r="Q158" s="1842">
        <f>0.904-0.032</f>
        <v>0.872</v>
      </c>
      <c r="R158" s="1843"/>
      <c r="S158" s="93"/>
      <c r="T158" s="252"/>
      <c r="U158" s="93"/>
      <c r="V158" s="93"/>
      <c r="W158" s="147"/>
      <c r="X158" s="252"/>
      <c r="Y158" s="147"/>
      <c r="Z158" s="1715"/>
      <c r="AE158" s="2461"/>
      <c r="AF158" s="68"/>
    </row>
    <row r="159" spans="1:32" x14ac:dyDescent="0.35">
      <c r="A159" s="1580"/>
      <c r="B159" s="365">
        <v>10839</v>
      </c>
      <c r="C159" s="365"/>
      <c r="D159" s="368"/>
      <c r="E159" s="324" t="s">
        <v>3129</v>
      </c>
      <c r="F159" s="93">
        <v>4</v>
      </c>
      <c r="G159" s="93">
        <v>5</v>
      </c>
      <c r="H159" s="93">
        <v>6</v>
      </c>
      <c r="I159" s="685"/>
      <c r="J159" s="685"/>
      <c r="K159" s="685"/>
      <c r="L159" s="685"/>
      <c r="M159" s="1841"/>
      <c r="N159" s="685">
        <f>1.088-0.904</f>
        <v>0.18400000000000005</v>
      </c>
      <c r="O159" s="686"/>
      <c r="P159" s="685"/>
      <c r="Q159" s="1842"/>
      <c r="R159" s="1843"/>
      <c r="S159" s="93"/>
      <c r="T159" s="252"/>
      <c r="U159" s="93"/>
      <c r="V159" s="93"/>
      <c r="W159" s="147"/>
      <c r="X159" s="252"/>
      <c r="Y159" s="147"/>
      <c r="Z159" s="1715"/>
      <c r="AE159" s="2461"/>
      <c r="AF159" s="68"/>
    </row>
    <row r="160" spans="1:32" x14ac:dyDescent="0.35">
      <c r="A160" s="1580"/>
      <c r="B160" s="365">
        <v>10839</v>
      </c>
      <c r="C160" s="365"/>
      <c r="D160" s="368"/>
      <c r="E160" s="324" t="s">
        <v>3130</v>
      </c>
      <c r="F160" s="93" t="s">
        <v>827</v>
      </c>
      <c r="G160" s="93">
        <v>5</v>
      </c>
      <c r="H160" s="93">
        <v>6</v>
      </c>
      <c r="I160" s="685"/>
      <c r="J160" s="685"/>
      <c r="K160" s="685"/>
      <c r="L160" s="685"/>
      <c r="M160" s="1841"/>
      <c r="N160" s="685">
        <f>1.486-1.088</f>
        <v>0.39799999999999991</v>
      </c>
      <c r="O160" s="686"/>
      <c r="P160" s="685"/>
      <c r="Q160" s="1842"/>
      <c r="R160" s="1843"/>
      <c r="S160" s="93"/>
      <c r="T160" s="252"/>
      <c r="U160" s="93"/>
      <c r="V160" s="93"/>
      <c r="W160" s="147"/>
      <c r="X160" s="252"/>
      <c r="Y160" s="147"/>
      <c r="Z160" s="1715"/>
      <c r="AE160" s="2461"/>
      <c r="AF160" s="68"/>
    </row>
    <row r="161" spans="1:32" x14ac:dyDescent="0.35">
      <c r="A161" s="1580"/>
      <c r="B161" s="365">
        <v>10839</v>
      </c>
      <c r="C161" s="365"/>
      <c r="D161" s="368"/>
      <c r="E161" s="324" t="s">
        <v>3131</v>
      </c>
      <c r="F161" s="93">
        <v>5</v>
      </c>
      <c r="G161" s="93">
        <v>5</v>
      </c>
      <c r="H161" s="93">
        <v>6</v>
      </c>
      <c r="I161" s="685"/>
      <c r="J161" s="685"/>
      <c r="K161" s="685"/>
      <c r="L161" s="685"/>
      <c r="M161" s="1841"/>
      <c r="N161" s="685">
        <f>1.743-1.486</f>
        <v>0.25700000000000012</v>
      </c>
      <c r="O161" s="686"/>
      <c r="P161" s="685"/>
      <c r="Q161" s="1842"/>
      <c r="R161" s="1843"/>
      <c r="S161" s="93"/>
      <c r="T161" s="252"/>
      <c r="U161" s="93"/>
      <c r="V161" s="93"/>
      <c r="W161" s="147"/>
      <c r="X161" s="252"/>
      <c r="Y161" s="147"/>
      <c r="Z161" s="1715"/>
      <c r="AE161" s="2461"/>
      <c r="AF161" s="68"/>
    </row>
    <row r="162" spans="1:32" x14ac:dyDescent="0.35">
      <c r="A162" s="1580"/>
      <c r="B162" s="365">
        <v>10839</v>
      </c>
      <c r="C162" s="365"/>
      <c r="D162" s="368"/>
      <c r="E162" s="324" t="s">
        <v>3132</v>
      </c>
      <c r="F162" s="93" t="s">
        <v>827</v>
      </c>
      <c r="G162" s="93">
        <v>5</v>
      </c>
      <c r="H162" s="93">
        <v>6</v>
      </c>
      <c r="I162" s="685"/>
      <c r="J162" s="685"/>
      <c r="K162" s="685"/>
      <c r="L162" s="685"/>
      <c r="M162" s="1841"/>
      <c r="N162" s="685">
        <f>1.819-1.743</f>
        <v>7.5999999999999845E-2</v>
      </c>
      <c r="O162" s="686"/>
      <c r="P162" s="685"/>
      <c r="Q162" s="1842"/>
      <c r="R162" s="1843"/>
      <c r="S162" s="93"/>
      <c r="T162" s="252"/>
      <c r="U162" s="93"/>
      <c r="V162" s="93"/>
      <c r="W162" s="147"/>
      <c r="X162" s="252"/>
      <c r="Y162" s="147"/>
      <c r="Z162" s="1715"/>
      <c r="AE162" s="2461"/>
      <c r="AF162" s="68"/>
    </row>
    <row r="163" spans="1:32" x14ac:dyDescent="0.35">
      <c r="A163" s="1580"/>
      <c r="B163" s="365">
        <v>10839</v>
      </c>
      <c r="C163" s="365"/>
      <c r="D163" s="368"/>
      <c r="E163" s="324" t="s">
        <v>3133</v>
      </c>
      <c r="F163" s="93">
        <v>5</v>
      </c>
      <c r="G163" s="93">
        <v>5</v>
      </c>
      <c r="H163" s="93">
        <v>6</v>
      </c>
      <c r="I163" s="685"/>
      <c r="J163" s="685"/>
      <c r="K163" s="685"/>
      <c r="L163" s="685"/>
      <c r="M163" s="1841"/>
      <c r="N163" s="685">
        <f>1.98-1.819</f>
        <v>0.16100000000000003</v>
      </c>
      <c r="O163" s="686"/>
      <c r="P163" s="685"/>
      <c r="Q163" s="1842"/>
      <c r="R163" s="1843"/>
      <c r="S163" s="93"/>
      <c r="T163" s="252"/>
      <c r="U163" s="93"/>
      <c r="V163" s="93"/>
      <c r="W163" s="147"/>
      <c r="X163" s="252"/>
      <c r="Y163" s="147"/>
      <c r="Z163" s="1715"/>
      <c r="AE163" s="2461"/>
      <c r="AF163" s="68"/>
    </row>
    <row r="164" spans="1:32" x14ac:dyDescent="0.35">
      <c r="A164" s="1580"/>
      <c r="B164" s="365">
        <v>10839</v>
      </c>
      <c r="C164" s="365"/>
      <c r="D164" s="368"/>
      <c r="E164" s="324" t="s">
        <v>3134</v>
      </c>
      <c r="F164" s="93" t="s">
        <v>827</v>
      </c>
      <c r="G164" s="93">
        <v>5</v>
      </c>
      <c r="H164" s="93">
        <v>6</v>
      </c>
      <c r="I164" s="685"/>
      <c r="J164" s="685"/>
      <c r="K164" s="685"/>
      <c r="L164" s="685"/>
      <c r="M164" s="1841"/>
      <c r="N164" s="685">
        <f>2.06-1.98</f>
        <v>8.0000000000000071E-2</v>
      </c>
      <c r="O164" s="686"/>
      <c r="P164" s="685"/>
      <c r="Q164" s="1842"/>
      <c r="R164" s="1843"/>
      <c r="S164" s="93"/>
      <c r="T164" s="252"/>
      <c r="U164" s="93"/>
      <c r="V164" s="93"/>
      <c r="W164" s="147"/>
      <c r="X164" s="252"/>
      <c r="Y164" s="147"/>
      <c r="Z164" s="1715"/>
      <c r="AE164" s="2461"/>
      <c r="AF164" s="68"/>
    </row>
    <row r="165" spans="1:32" ht="30" x14ac:dyDescent="0.35">
      <c r="A165" s="370">
        <v>56</v>
      </c>
      <c r="B165" s="365">
        <v>10839</v>
      </c>
      <c r="C165" s="365" t="s">
        <v>1656</v>
      </c>
      <c r="D165" s="2463" t="s">
        <v>5210</v>
      </c>
      <c r="E165" s="322" t="s">
        <v>8637</v>
      </c>
      <c r="F165" s="93" t="s">
        <v>664</v>
      </c>
      <c r="G165" s="93">
        <v>5</v>
      </c>
      <c r="H165" s="93">
        <v>6</v>
      </c>
      <c r="I165" s="680">
        <f>J165+K165+L165</f>
        <v>0.05</v>
      </c>
      <c r="J165" s="680">
        <f>SUM(M165:R165)</f>
        <v>0.05</v>
      </c>
      <c r="K165" s="680"/>
      <c r="L165" s="680"/>
      <c r="M165" s="990"/>
      <c r="N165" s="1229"/>
      <c r="O165" s="684"/>
      <c r="P165" s="680"/>
      <c r="Q165" s="960"/>
      <c r="R165" s="958">
        <v>0.05</v>
      </c>
      <c r="S165" s="105"/>
      <c r="T165" s="253"/>
      <c r="U165" s="105"/>
      <c r="V165" s="105"/>
      <c r="W165" s="146"/>
      <c r="X165" s="253"/>
      <c r="Y165" s="146"/>
      <c r="Z165" s="1713"/>
      <c r="AB165" s="3">
        <v>1</v>
      </c>
      <c r="AE165" s="2461"/>
      <c r="AF165" s="68"/>
    </row>
    <row r="166" spans="1:32" ht="30" x14ac:dyDescent="0.35">
      <c r="A166" s="370">
        <v>57</v>
      </c>
      <c r="B166" s="365">
        <v>10840</v>
      </c>
      <c r="C166" s="365"/>
      <c r="D166" s="365" t="s">
        <v>790</v>
      </c>
      <c r="E166" s="322" t="s">
        <v>2209</v>
      </c>
      <c r="F166" s="93">
        <v>5</v>
      </c>
      <c r="G166" s="93">
        <v>5</v>
      </c>
      <c r="H166" s="93">
        <v>6</v>
      </c>
      <c r="I166" s="680">
        <f>J166+K166+L166</f>
        <v>3.8</v>
      </c>
      <c r="J166" s="680">
        <f>SUM(M166:R166)</f>
        <v>3.8</v>
      </c>
      <c r="K166" s="680"/>
      <c r="L166" s="680"/>
      <c r="M166" s="990"/>
      <c r="N166" s="1229">
        <v>3.8</v>
      </c>
      <c r="O166" s="684"/>
      <c r="P166" s="680"/>
      <c r="Q166" s="960"/>
      <c r="R166" s="958"/>
      <c r="S166" s="105"/>
      <c r="T166" s="253"/>
      <c r="U166" s="105"/>
      <c r="V166" s="105"/>
      <c r="W166" s="146">
        <v>13</v>
      </c>
      <c r="X166" s="253">
        <v>176.98</v>
      </c>
      <c r="Y166" s="146">
        <v>4</v>
      </c>
      <c r="Z166" s="1713">
        <v>41.98</v>
      </c>
      <c r="AB166" s="3">
        <v>1</v>
      </c>
      <c r="AE166" s="2461"/>
      <c r="AF166" s="68"/>
    </row>
    <row r="167" spans="1:32" ht="30" x14ac:dyDescent="0.35">
      <c r="A167" s="370">
        <v>58</v>
      </c>
      <c r="B167" s="365">
        <v>10840</v>
      </c>
      <c r="C167" s="365"/>
      <c r="D167" s="2463" t="s">
        <v>5211</v>
      </c>
      <c r="E167" s="322" t="s">
        <v>7780</v>
      </c>
      <c r="F167" s="93">
        <v>5</v>
      </c>
      <c r="G167" s="93">
        <v>5</v>
      </c>
      <c r="H167" s="93">
        <v>6</v>
      </c>
      <c r="I167" s="680">
        <f>J167+K167+L167</f>
        <v>1.268</v>
      </c>
      <c r="J167" s="680">
        <f>SUM(M167:R167)</f>
        <v>1.268</v>
      </c>
      <c r="K167" s="680"/>
      <c r="L167" s="680"/>
      <c r="M167" s="990"/>
      <c r="N167" s="1229"/>
      <c r="O167" s="684"/>
      <c r="P167" s="680"/>
      <c r="Q167" s="960">
        <v>1.268</v>
      </c>
      <c r="R167" s="958"/>
      <c r="S167" s="105"/>
      <c r="T167" s="253"/>
      <c r="U167" s="105"/>
      <c r="V167" s="105"/>
      <c r="W167" s="146">
        <v>9</v>
      </c>
      <c r="X167" s="253">
        <v>127.82</v>
      </c>
      <c r="Y167" s="146">
        <v>5</v>
      </c>
      <c r="Z167" s="1713">
        <v>66.66</v>
      </c>
      <c r="AB167" s="3">
        <v>1</v>
      </c>
      <c r="AE167" s="2461"/>
      <c r="AF167" s="68"/>
    </row>
    <row r="168" spans="1:32" ht="30" x14ac:dyDescent="0.35">
      <c r="A168" s="370">
        <v>59</v>
      </c>
      <c r="B168" s="365">
        <v>10840</v>
      </c>
      <c r="C168" s="365" t="s">
        <v>1656</v>
      </c>
      <c r="D168" s="2463" t="s">
        <v>5212</v>
      </c>
      <c r="E168" s="322" t="s">
        <v>8638</v>
      </c>
      <c r="F168" s="93" t="s">
        <v>664</v>
      </c>
      <c r="G168" s="93">
        <v>5</v>
      </c>
      <c r="H168" s="93">
        <v>6</v>
      </c>
      <c r="I168" s="680">
        <f>J168+K168+L168</f>
        <v>0.7</v>
      </c>
      <c r="J168" s="680">
        <f>SUM(M168:R168)</f>
        <v>0.7</v>
      </c>
      <c r="K168" s="680"/>
      <c r="L168" s="680"/>
      <c r="M168" s="990"/>
      <c r="N168" s="1229"/>
      <c r="O168" s="684"/>
      <c r="P168" s="680"/>
      <c r="Q168" s="960"/>
      <c r="R168" s="958">
        <v>0.7</v>
      </c>
      <c r="S168" s="105"/>
      <c r="T168" s="253"/>
      <c r="U168" s="105"/>
      <c r="V168" s="105"/>
      <c r="W168" s="146"/>
      <c r="X168" s="253"/>
      <c r="Y168" s="146"/>
      <c r="Z168" s="1713"/>
      <c r="AB168" s="3">
        <v>1</v>
      </c>
      <c r="AE168" s="2461"/>
      <c r="AF168" s="68"/>
    </row>
    <row r="169" spans="1:32" ht="30" x14ac:dyDescent="0.35">
      <c r="A169" s="370">
        <v>60</v>
      </c>
      <c r="B169" s="365">
        <v>10841</v>
      </c>
      <c r="C169" s="365"/>
      <c r="D169" s="365" t="s">
        <v>511</v>
      </c>
      <c r="E169" s="322" t="s">
        <v>3135</v>
      </c>
      <c r="F169" s="93"/>
      <c r="G169" s="93" t="s">
        <v>191</v>
      </c>
      <c r="H169" s="93" t="s">
        <v>191</v>
      </c>
      <c r="I169" s="680">
        <f>J169+K169+L169</f>
        <v>4.5330000000000004</v>
      </c>
      <c r="J169" s="680">
        <f>SUM(M169:R169)</f>
        <v>4.5330000000000004</v>
      </c>
      <c r="K169" s="680"/>
      <c r="L169" s="680"/>
      <c r="M169" s="990"/>
      <c r="N169" s="1229">
        <f>SUM(N170:N171)</f>
        <v>1.573</v>
      </c>
      <c r="O169" s="684"/>
      <c r="P169" s="680"/>
      <c r="Q169" s="960">
        <f>SUM(Q170:Q171)</f>
        <v>2.9600000000000004</v>
      </c>
      <c r="R169" s="958"/>
      <c r="S169" s="105"/>
      <c r="T169" s="253"/>
      <c r="U169" s="105"/>
      <c r="V169" s="105"/>
      <c r="W169" s="146">
        <v>5</v>
      </c>
      <c r="X169" s="253">
        <v>58.5</v>
      </c>
      <c r="Y169" s="146"/>
      <c r="Z169" s="1713"/>
      <c r="AB169" s="3">
        <v>1</v>
      </c>
      <c r="AE169" s="2461"/>
      <c r="AF169" s="68"/>
    </row>
    <row r="170" spans="1:32" x14ac:dyDescent="0.35">
      <c r="A170" s="1580"/>
      <c r="B170" s="365">
        <v>10841</v>
      </c>
      <c r="C170" s="365"/>
      <c r="D170" s="368"/>
      <c r="E170" s="324" t="s">
        <v>2815</v>
      </c>
      <c r="F170" s="93">
        <v>4</v>
      </c>
      <c r="G170" s="93">
        <v>5</v>
      </c>
      <c r="H170" s="93">
        <v>6</v>
      </c>
      <c r="I170" s="685"/>
      <c r="J170" s="685"/>
      <c r="K170" s="685"/>
      <c r="L170" s="685"/>
      <c r="M170" s="1225"/>
      <c r="N170" s="1232">
        <v>1.573</v>
      </c>
      <c r="O170" s="686"/>
      <c r="P170" s="685"/>
      <c r="Q170" s="1222"/>
      <c r="R170" s="1219"/>
      <c r="S170" s="93"/>
      <c r="T170" s="252"/>
      <c r="U170" s="93"/>
      <c r="V170" s="93"/>
      <c r="W170" s="147"/>
      <c r="X170" s="252"/>
      <c r="Y170" s="147"/>
      <c r="Z170" s="1715"/>
      <c r="AE170" s="2461"/>
      <c r="AF170" s="68"/>
    </row>
    <row r="171" spans="1:32" x14ac:dyDescent="0.35">
      <c r="A171" s="1580"/>
      <c r="B171" s="365">
        <v>10841</v>
      </c>
      <c r="C171" s="365"/>
      <c r="D171" s="368"/>
      <c r="E171" s="1228" t="s">
        <v>2816</v>
      </c>
      <c r="F171" s="93">
        <v>4</v>
      </c>
      <c r="G171" s="93">
        <v>5</v>
      </c>
      <c r="H171" s="93">
        <v>6</v>
      </c>
      <c r="I171" s="685"/>
      <c r="J171" s="685"/>
      <c r="K171" s="685"/>
      <c r="L171" s="685"/>
      <c r="M171" s="1225"/>
      <c r="N171" s="1232"/>
      <c r="O171" s="686"/>
      <c r="P171" s="685"/>
      <c r="Q171" s="1222">
        <f>4.533-1.573</f>
        <v>2.9600000000000004</v>
      </c>
      <c r="R171" s="1219"/>
      <c r="S171" s="93"/>
      <c r="T171" s="252"/>
      <c r="U171" s="93"/>
      <c r="V171" s="93"/>
      <c r="W171" s="147"/>
      <c r="X171" s="252"/>
      <c r="Y171" s="147"/>
      <c r="Z171" s="1715"/>
      <c r="AE171" s="2461"/>
      <c r="AF171" s="68"/>
    </row>
    <row r="172" spans="1:32" ht="30" x14ac:dyDescent="0.35">
      <c r="A172" s="370">
        <v>61</v>
      </c>
      <c r="B172" s="365">
        <v>10841</v>
      </c>
      <c r="C172" s="365"/>
      <c r="D172" s="2463" t="s">
        <v>5213</v>
      </c>
      <c r="E172" s="322" t="s">
        <v>7781</v>
      </c>
      <c r="F172" s="93">
        <v>4</v>
      </c>
      <c r="G172" s="93">
        <v>5</v>
      </c>
      <c r="H172" s="93">
        <v>6</v>
      </c>
      <c r="I172" s="680">
        <f>J172+K172+L172</f>
        <v>3.16</v>
      </c>
      <c r="J172" s="680">
        <f>SUM(M172:R172)</f>
        <v>3.16</v>
      </c>
      <c r="K172" s="680"/>
      <c r="L172" s="680"/>
      <c r="M172" s="990"/>
      <c r="N172" s="1229">
        <v>3.16</v>
      </c>
      <c r="O172" s="684"/>
      <c r="P172" s="680"/>
      <c r="Q172" s="960"/>
      <c r="R172" s="958"/>
      <c r="S172" s="105">
        <v>1</v>
      </c>
      <c r="T172" s="253">
        <v>18.7</v>
      </c>
      <c r="U172" s="105"/>
      <c r="V172" s="105"/>
      <c r="W172" s="146">
        <v>10</v>
      </c>
      <c r="X172" s="253">
        <v>147</v>
      </c>
      <c r="Y172" s="146">
        <v>4</v>
      </c>
      <c r="Z172" s="1713">
        <v>45.4</v>
      </c>
      <c r="AB172" s="3">
        <v>1</v>
      </c>
      <c r="AE172" s="2461"/>
      <c r="AF172" s="68"/>
    </row>
    <row r="173" spans="1:32" ht="30" x14ac:dyDescent="0.35">
      <c r="A173" s="370">
        <v>62</v>
      </c>
      <c r="B173" s="1026">
        <v>10841</v>
      </c>
      <c r="C173" s="365" t="s">
        <v>1656</v>
      </c>
      <c r="D173" s="2463" t="s">
        <v>5214</v>
      </c>
      <c r="E173" s="322" t="s">
        <v>8639</v>
      </c>
      <c r="F173" s="93" t="s">
        <v>664</v>
      </c>
      <c r="G173" s="93">
        <v>5</v>
      </c>
      <c r="H173" s="93">
        <v>6</v>
      </c>
      <c r="I173" s="680">
        <f>J173+K173+L173</f>
        <v>0.3</v>
      </c>
      <c r="J173" s="680">
        <f>M173+N173+O173+P173+Q173+R173</f>
        <v>0.3</v>
      </c>
      <c r="K173" s="680"/>
      <c r="L173" s="680"/>
      <c r="M173" s="990"/>
      <c r="N173" s="1229"/>
      <c r="O173" s="684"/>
      <c r="P173" s="680"/>
      <c r="Q173" s="960"/>
      <c r="R173" s="1083">
        <v>0.3</v>
      </c>
      <c r="S173" s="93"/>
      <c r="T173" s="93"/>
      <c r="U173" s="93"/>
      <c r="V173" s="93"/>
      <c r="W173" s="93"/>
      <c r="X173" s="252"/>
      <c r="Y173" s="93"/>
      <c r="Z173" s="93"/>
      <c r="AB173" s="3">
        <v>1</v>
      </c>
      <c r="AE173" s="2461"/>
      <c r="AF173" s="68"/>
    </row>
    <row r="174" spans="1:32" ht="30" x14ac:dyDescent="0.35">
      <c r="A174" s="370">
        <v>63</v>
      </c>
      <c r="B174" s="365">
        <v>10842</v>
      </c>
      <c r="C174" s="365"/>
      <c r="D174" s="365" t="s">
        <v>512</v>
      </c>
      <c r="E174" s="322" t="s">
        <v>7144</v>
      </c>
      <c r="F174" s="93"/>
      <c r="G174" s="93" t="s">
        <v>191</v>
      </c>
      <c r="H174" s="93" t="s">
        <v>191</v>
      </c>
      <c r="I174" s="680">
        <f>J174+K174+L174</f>
        <v>4.109</v>
      </c>
      <c r="J174" s="680">
        <f>SUM(M174:R174)</f>
        <v>4.109</v>
      </c>
      <c r="K174" s="680"/>
      <c r="L174" s="680"/>
      <c r="M174" s="990"/>
      <c r="N174" s="1229">
        <f>SUM(N175:N183)</f>
        <v>1.7609999999999999</v>
      </c>
      <c r="O174" s="684"/>
      <c r="P174" s="680"/>
      <c r="Q174" s="960">
        <f>SUM(Q175:Q183)</f>
        <v>2.3109999999999999</v>
      </c>
      <c r="R174" s="958">
        <f>SUM(R175:R183)</f>
        <v>3.6999999999999922E-2</v>
      </c>
      <c r="S174" s="105">
        <v>1</v>
      </c>
      <c r="T174" s="253">
        <v>7</v>
      </c>
      <c r="U174" s="105"/>
      <c r="V174" s="105"/>
      <c r="W174" s="146">
        <v>8</v>
      </c>
      <c r="X174" s="253">
        <v>105.15</v>
      </c>
      <c r="Y174" s="146">
        <v>1</v>
      </c>
      <c r="Z174" s="1713">
        <v>10</v>
      </c>
      <c r="AB174" s="3">
        <v>1</v>
      </c>
      <c r="AE174" s="2461"/>
      <c r="AF174" s="68"/>
    </row>
    <row r="175" spans="1:32" x14ac:dyDescent="0.35">
      <c r="A175" s="1580"/>
      <c r="B175" s="365">
        <v>10842</v>
      </c>
      <c r="C175" s="365"/>
      <c r="D175" s="368"/>
      <c r="E175" s="324" t="s">
        <v>2656</v>
      </c>
      <c r="F175" s="93">
        <v>4</v>
      </c>
      <c r="G175" s="93">
        <v>5</v>
      </c>
      <c r="H175" s="93">
        <v>6</v>
      </c>
      <c r="I175" s="685"/>
      <c r="J175" s="685"/>
      <c r="K175" s="685"/>
      <c r="L175" s="685"/>
      <c r="M175" s="1225"/>
      <c r="N175" s="1232">
        <v>0.29199999999999998</v>
      </c>
      <c r="O175" s="686"/>
      <c r="P175" s="685"/>
      <c r="Q175" s="1222"/>
      <c r="R175" s="1219"/>
      <c r="S175" s="93"/>
      <c r="T175" s="252"/>
      <c r="U175" s="93"/>
      <c r="V175" s="93"/>
      <c r="W175" s="147"/>
      <c r="X175" s="252"/>
      <c r="Y175" s="147"/>
      <c r="Z175" s="1715"/>
      <c r="AE175" s="2461"/>
      <c r="AF175" s="68"/>
    </row>
    <row r="176" spans="1:32" x14ac:dyDescent="0.35">
      <c r="A176" s="1580"/>
      <c r="B176" s="365">
        <v>10842</v>
      </c>
      <c r="C176" s="365"/>
      <c r="D176" s="368"/>
      <c r="E176" s="1228" t="s">
        <v>2657</v>
      </c>
      <c r="F176" s="93">
        <v>4</v>
      </c>
      <c r="G176" s="93">
        <v>5</v>
      </c>
      <c r="H176" s="93">
        <v>6</v>
      </c>
      <c r="I176" s="685"/>
      <c r="J176" s="685"/>
      <c r="K176" s="685"/>
      <c r="L176" s="685"/>
      <c r="M176" s="1225"/>
      <c r="N176" s="1232"/>
      <c r="O176" s="686"/>
      <c r="P176" s="685"/>
      <c r="Q176" s="1222">
        <f>0.728-0.292</f>
        <v>0.436</v>
      </c>
      <c r="R176" s="1219"/>
      <c r="S176" s="93"/>
      <c r="T176" s="252"/>
      <c r="U176" s="93"/>
      <c r="V176" s="93"/>
      <c r="W176" s="147"/>
      <c r="X176" s="252"/>
      <c r="Y176" s="147"/>
      <c r="Z176" s="1715"/>
      <c r="AE176" s="2461"/>
      <c r="AF176" s="68"/>
    </row>
    <row r="177" spans="1:32" x14ac:dyDescent="0.35">
      <c r="A177" s="1580"/>
      <c r="B177" s="365">
        <v>10842</v>
      </c>
      <c r="C177" s="365"/>
      <c r="D177" s="368"/>
      <c r="E177" s="324" t="s">
        <v>2660</v>
      </c>
      <c r="F177" s="93">
        <v>4</v>
      </c>
      <c r="G177" s="93">
        <v>5</v>
      </c>
      <c r="H177" s="93">
        <v>6</v>
      </c>
      <c r="I177" s="685"/>
      <c r="J177" s="685"/>
      <c r="K177" s="685"/>
      <c r="L177" s="685"/>
      <c r="M177" s="1225"/>
      <c r="N177" s="1232">
        <f>0.909-0.728</f>
        <v>0.18100000000000005</v>
      </c>
      <c r="O177" s="686"/>
      <c r="P177" s="685"/>
      <c r="Q177" s="1222"/>
      <c r="R177" s="1219"/>
      <c r="S177" s="93"/>
      <c r="T177" s="252"/>
      <c r="U177" s="93"/>
      <c r="V177" s="93"/>
      <c r="W177" s="147"/>
      <c r="X177" s="252"/>
      <c r="Y177" s="147"/>
      <c r="Z177" s="1715"/>
      <c r="AE177" s="2461"/>
      <c r="AF177" s="68"/>
    </row>
    <row r="178" spans="1:32" x14ac:dyDescent="0.35">
      <c r="A178" s="1580"/>
      <c r="B178" s="365">
        <v>10842</v>
      </c>
      <c r="C178" s="365"/>
      <c r="D178" s="368"/>
      <c r="E178" s="324" t="s">
        <v>2661</v>
      </c>
      <c r="F178" s="93">
        <v>5</v>
      </c>
      <c r="G178" s="93">
        <v>5</v>
      </c>
      <c r="H178" s="93">
        <v>6</v>
      </c>
      <c r="I178" s="685"/>
      <c r="J178" s="685"/>
      <c r="K178" s="685"/>
      <c r="L178" s="685"/>
      <c r="M178" s="1225"/>
      <c r="N178" s="1232">
        <f>1.462-0.909</f>
        <v>0.55299999999999994</v>
      </c>
      <c r="O178" s="686"/>
      <c r="P178" s="685"/>
      <c r="Q178" s="1222"/>
      <c r="R178" s="1219"/>
      <c r="S178" s="93"/>
      <c r="T178" s="252"/>
      <c r="U178" s="93"/>
      <c r="V178" s="93"/>
      <c r="W178" s="147"/>
      <c r="X178" s="252"/>
      <c r="Y178" s="147"/>
      <c r="Z178" s="1715"/>
      <c r="AE178" s="2461"/>
      <c r="AF178" s="68"/>
    </row>
    <row r="179" spans="1:32" x14ac:dyDescent="0.35">
      <c r="A179" s="1580"/>
      <c r="B179" s="365">
        <v>10842</v>
      </c>
      <c r="C179" s="365"/>
      <c r="D179" s="368"/>
      <c r="E179" s="1228" t="s">
        <v>2662</v>
      </c>
      <c r="F179" s="93">
        <v>4</v>
      </c>
      <c r="G179" s="93">
        <v>5</v>
      </c>
      <c r="H179" s="93">
        <v>6</v>
      </c>
      <c r="I179" s="685"/>
      <c r="J179" s="685"/>
      <c r="K179" s="685"/>
      <c r="L179" s="685"/>
      <c r="M179" s="1225"/>
      <c r="N179" s="1232"/>
      <c r="O179" s="686"/>
      <c r="P179" s="685"/>
      <c r="Q179" s="1222">
        <f>1.803-1.462</f>
        <v>0.34099999999999997</v>
      </c>
      <c r="R179" s="1219"/>
      <c r="S179" s="93"/>
      <c r="T179" s="252"/>
      <c r="U179" s="93"/>
      <c r="V179" s="93"/>
      <c r="W179" s="147"/>
      <c r="X179" s="252"/>
      <c r="Y179" s="147"/>
      <c r="Z179" s="1715"/>
      <c r="AE179" s="2461"/>
      <c r="AF179" s="68"/>
    </row>
    <row r="180" spans="1:32" x14ac:dyDescent="0.35">
      <c r="A180" s="1580"/>
      <c r="B180" s="365">
        <v>10842</v>
      </c>
      <c r="C180" s="365"/>
      <c r="D180" s="368"/>
      <c r="E180" s="1228" t="s">
        <v>2663</v>
      </c>
      <c r="F180" s="93">
        <v>5</v>
      </c>
      <c r="G180" s="93">
        <v>5</v>
      </c>
      <c r="H180" s="93">
        <v>6</v>
      </c>
      <c r="I180" s="685"/>
      <c r="J180" s="685"/>
      <c r="K180" s="685"/>
      <c r="L180" s="685"/>
      <c r="M180" s="1225"/>
      <c r="N180" s="1232"/>
      <c r="O180" s="686"/>
      <c r="P180" s="685"/>
      <c r="Q180" s="1222">
        <f>2.606-1.803</f>
        <v>0.80299999999999994</v>
      </c>
      <c r="R180" s="1219"/>
      <c r="S180" s="93"/>
      <c r="T180" s="252"/>
      <c r="U180" s="93"/>
      <c r="V180" s="93"/>
      <c r="W180" s="147"/>
      <c r="X180" s="252"/>
      <c r="Y180" s="147"/>
      <c r="Z180" s="1715"/>
      <c r="AE180" s="2461"/>
      <c r="AF180" s="68"/>
    </row>
    <row r="181" spans="1:32" x14ac:dyDescent="0.35">
      <c r="A181" s="1580"/>
      <c r="B181" s="365">
        <v>10842</v>
      </c>
      <c r="C181" s="365"/>
      <c r="D181" s="368"/>
      <c r="E181" s="1228" t="s">
        <v>2664</v>
      </c>
      <c r="F181" s="93">
        <v>4</v>
      </c>
      <c r="G181" s="93">
        <v>5</v>
      </c>
      <c r="H181" s="93">
        <v>6</v>
      </c>
      <c r="I181" s="685"/>
      <c r="J181" s="685"/>
      <c r="K181" s="685"/>
      <c r="L181" s="685"/>
      <c r="M181" s="1225"/>
      <c r="N181" s="1232"/>
      <c r="O181" s="686"/>
      <c r="P181" s="685"/>
      <c r="Q181" s="1222">
        <f>3.337-2.606</f>
        <v>0.73100000000000032</v>
      </c>
      <c r="R181" s="1219"/>
      <c r="S181" s="93"/>
      <c r="T181" s="252"/>
      <c r="U181" s="93"/>
      <c r="V181" s="93"/>
      <c r="W181" s="147"/>
      <c r="X181" s="252"/>
      <c r="Y181" s="147"/>
      <c r="Z181" s="1715"/>
      <c r="AE181" s="2461"/>
      <c r="AF181" s="68"/>
    </row>
    <row r="182" spans="1:32" x14ac:dyDescent="0.35">
      <c r="A182" s="1580"/>
      <c r="B182" s="365">
        <v>10842</v>
      </c>
      <c r="C182" s="365"/>
      <c r="D182" s="368"/>
      <c r="E182" s="324" t="s">
        <v>2658</v>
      </c>
      <c r="F182" s="93">
        <v>5</v>
      </c>
      <c r="G182" s="93">
        <v>5</v>
      </c>
      <c r="H182" s="93">
        <v>6</v>
      </c>
      <c r="I182" s="685"/>
      <c r="J182" s="685"/>
      <c r="K182" s="685"/>
      <c r="L182" s="685"/>
      <c r="M182" s="1225"/>
      <c r="N182" s="1232">
        <f>4.072-3.337</f>
        <v>0.73499999999999988</v>
      </c>
      <c r="O182" s="686"/>
      <c r="P182" s="685"/>
      <c r="Q182" s="1222"/>
      <c r="R182" s="1219"/>
      <c r="S182" s="93"/>
      <c r="T182" s="252"/>
      <c r="U182" s="93"/>
      <c r="V182" s="93"/>
      <c r="W182" s="147"/>
      <c r="X182" s="252"/>
      <c r="Y182" s="147"/>
      <c r="Z182" s="1715"/>
      <c r="AE182" s="2461"/>
      <c r="AF182" s="68"/>
    </row>
    <row r="183" spans="1:32" x14ac:dyDescent="0.35">
      <c r="A183" s="1580"/>
      <c r="B183" s="365">
        <v>10842</v>
      </c>
      <c r="C183" s="365"/>
      <c r="D183" s="368"/>
      <c r="E183" s="1227" t="s">
        <v>2659</v>
      </c>
      <c r="F183" s="93">
        <v>5</v>
      </c>
      <c r="G183" s="93">
        <v>5</v>
      </c>
      <c r="H183" s="93">
        <v>6</v>
      </c>
      <c r="I183" s="685"/>
      <c r="J183" s="685"/>
      <c r="K183" s="685"/>
      <c r="L183" s="685"/>
      <c r="M183" s="1225"/>
      <c r="N183" s="1232"/>
      <c r="O183" s="686"/>
      <c r="P183" s="685"/>
      <c r="Q183" s="1222"/>
      <c r="R183" s="1219">
        <f>4.109-4.072</f>
        <v>3.6999999999999922E-2</v>
      </c>
      <c r="S183" s="93"/>
      <c r="T183" s="252"/>
      <c r="U183" s="93"/>
      <c r="V183" s="93"/>
      <c r="W183" s="147"/>
      <c r="X183" s="252"/>
      <c r="Y183" s="147"/>
      <c r="Z183" s="1715"/>
      <c r="AE183" s="2461"/>
      <c r="AF183" s="68"/>
    </row>
    <row r="184" spans="1:32" ht="30" x14ac:dyDescent="0.35">
      <c r="A184" s="370">
        <v>64</v>
      </c>
      <c r="B184" s="365">
        <v>10842</v>
      </c>
      <c r="C184" s="365" t="s">
        <v>1656</v>
      </c>
      <c r="D184" s="2463" t="s">
        <v>5215</v>
      </c>
      <c r="E184" s="322" t="s">
        <v>8640</v>
      </c>
      <c r="F184" s="93" t="s">
        <v>664</v>
      </c>
      <c r="G184" s="93">
        <v>5</v>
      </c>
      <c r="H184" s="93">
        <v>6</v>
      </c>
      <c r="I184" s="680">
        <f>J184+K184+L184</f>
        <v>0.7</v>
      </c>
      <c r="J184" s="680">
        <f>SUM(M184:R184)</f>
        <v>0.7</v>
      </c>
      <c r="K184" s="680"/>
      <c r="L184" s="680"/>
      <c r="M184" s="990"/>
      <c r="N184" s="1229"/>
      <c r="O184" s="684"/>
      <c r="P184" s="680"/>
      <c r="Q184" s="960"/>
      <c r="R184" s="958">
        <v>0.7</v>
      </c>
      <c r="S184" s="105"/>
      <c r="T184" s="253"/>
      <c r="U184" s="105"/>
      <c r="V184" s="105"/>
      <c r="W184" s="146"/>
      <c r="X184" s="253"/>
      <c r="Y184" s="146"/>
      <c r="Z184" s="1713"/>
      <c r="AB184" s="3">
        <v>1</v>
      </c>
      <c r="AE184" s="2461"/>
      <c r="AF184" s="68"/>
    </row>
    <row r="185" spans="1:32" ht="30" x14ac:dyDescent="0.35">
      <c r="A185" s="2001">
        <v>65</v>
      </c>
      <c r="B185" s="365">
        <v>10842</v>
      </c>
      <c r="C185" s="358" t="s">
        <v>1656</v>
      </c>
      <c r="D185" s="2463" t="s">
        <v>5216</v>
      </c>
      <c r="E185" s="322" t="s">
        <v>8641</v>
      </c>
      <c r="F185" s="93" t="s">
        <v>664</v>
      </c>
      <c r="G185" s="93">
        <v>5</v>
      </c>
      <c r="H185" s="93">
        <v>6</v>
      </c>
      <c r="I185" s="297">
        <f>J185+K185+L185</f>
        <v>1</v>
      </c>
      <c r="J185" s="297">
        <f>SUM(M185:R185)</f>
        <v>1</v>
      </c>
      <c r="K185" s="685"/>
      <c r="L185" s="685"/>
      <c r="M185" s="2384"/>
      <c r="N185" s="680"/>
      <c r="O185" s="684"/>
      <c r="P185" s="680"/>
      <c r="Q185" s="2385"/>
      <c r="R185" s="1830">
        <v>1</v>
      </c>
      <c r="S185" s="93"/>
      <c r="T185" s="252"/>
      <c r="U185" s="93"/>
      <c r="V185" s="93"/>
      <c r="W185" s="93"/>
      <c r="X185" s="252"/>
      <c r="Y185" s="93"/>
      <c r="Z185" s="1714"/>
      <c r="AB185" s="3">
        <v>1</v>
      </c>
      <c r="AE185" s="2461"/>
      <c r="AF185" s="68"/>
    </row>
    <row r="186" spans="1:32" ht="30" x14ac:dyDescent="0.35">
      <c r="A186" s="370">
        <v>66</v>
      </c>
      <c r="B186" s="365">
        <v>10843</v>
      </c>
      <c r="C186" s="365"/>
      <c r="D186" s="365" t="s">
        <v>1364</v>
      </c>
      <c r="E186" s="322" t="s">
        <v>7145</v>
      </c>
      <c r="F186" s="93"/>
      <c r="G186" s="93" t="s">
        <v>191</v>
      </c>
      <c r="H186" s="93" t="s">
        <v>191</v>
      </c>
      <c r="I186" s="680">
        <f>J186+K186+L186</f>
        <v>15.628999999999998</v>
      </c>
      <c r="J186" s="680">
        <f>SUM(M186:R186)</f>
        <v>15.628999999999998</v>
      </c>
      <c r="K186" s="680"/>
      <c r="L186" s="680"/>
      <c r="M186" s="990"/>
      <c r="N186" s="1229">
        <f>SUM(N187:N193)</f>
        <v>6.6120000000000001</v>
      </c>
      <c r="O186" s="684"/>
      <c r="P186" s="680"/>
      <c r="Q186" s="960">
        <f>SUM(Q187:Q193)</f>
        <v>6.9340000000000002</v>
      </c>
      <c r="R186" s="958">
        <f>SUM(R187:R193)</f>
        <v>2.0829999999999993</v>
      </c>
      <c r="S186" s="105"/>
      <c r="T186" s="253"/>
      <c r="U186" s="105"/>
      <c r="V186" s="105"/>
      <c r="W186" s="146">
        <v>36</v>
      </c>
      <c r="X186" s="253">
        <v>575.20000000000005</v>
      </c>
      <c r="Y186" s="146">
        <v>5</v>
      </c>
      <c r="Z186" s="1713">
        <v>60.4</v>
      </c>
      <c r="AB186" s="3">
        <v>1</v>
      </c>
      <c r="AE186" s="2461"/>
      <c r="AF186" s="68"/>
    </row>
    <row r="187" spans="1:32" x14ac:dyDescent="0.35">
      <c r="A187" s="1580"/>
      <c r="B187" s="365">
        <v>10843</v>
      </c>
      <c r="C187" s="365"/>
      <c r="D187" s="368"/>
      <c r="E187" s="324" t="s">
        <v>2808</v>
      </c>
      <c r="F187" s="93">
        <v>5</v>
      </c>
      <c r="G187" s="93">
        <v>5</v>
      </c>
      <c r="H187" s="93">
        <v>6</v>
      </c>
      <c r="I187" s="685"/>
      <c r="J187" s="685"/>
      <c r="K187" s="685"/>
      <c r="L187" s="685"/>
      <c r="M187" s="1225"/>
      <c r="N187" s="1232">
        <v>3.0990000000000002</v>
      </c>
      <c r="O187" s="686"/>
      <c r="P187" s="685"/>
      <c r="Q187" s="1222"/>
      <c r="R187" s="1219"/>
      <c r="S187" s="93"/>
      <c r="T187" s="252"/>
      <c r="U187" s="93"/>
      <c r="V187" s="93"/>
      <c r="W187" s="147"/>
      <c r="X187" s="252"/>
      <c r="Y187" s="147"/>
      <c r="Z187" s="1715"/>
      <c r="AE187" s="2461"/>
      <c r="AF187" s="68"/>
    </row>
    <row r="188" spans="1:32" x14ac:dyDescent="0.35">
      <c r="A188" s="1580"/>
      <c r="B188" s="365">
        <v>10843</v>
      </c>
      <c r="C188" s="365"/>
      <c r="D188" s="368"/>
      <c r="E188" s="1228" t="s">
        <v>2809</v>
      </c>
      <c r="F188" s="93">
        <v>5</v>
      </c>
      <c r="G188" s="93">
        <v>5</v>
      </c>
      <c r="H188" s="93">
        <v>6</v>
      </c>
      <c r="I188" s="685"/>
      <c r="J188" s="685"/>
      <c r="K188" s="685"/>
      <c r="L188" s="685"/>
      <c r="M188" s="1225"/>
      <c r="N188" s="1232"/>
      <c r="O188" s="686"/>
      <c r="P188" s="685"/>
      <c r="Q188" s="1222">
        <f>7.065-3.099</f>
        <v>3.9660000000000002</v>
      </c>
      <c r="R188" s="1219"/>
      <c r="S188" s="93"/>
      <c r="T188" s="252"/>
      <c r="U188" s="93"/>
      <c r="V188" s="93"/>
      <c r="W188" s="147"/>
      <c r="X188" s="252"/>
      <c r="Y188" s="147"/>
      <c r="Z188" s="1715"/>
      <c r="AE188" s="2461"/>
      <c r="AF188" s="68"/>
    </row>
    <row r="189" spans="1:32" x14ac:dyDescent="0.35">
      <c r="A189" s="1580"/>
      <c r="B189" s="365">
        <v>10843</v>
      </c>
      <c r="C189" s="365"/>
      <c r="D189" s="368"/>
      <c r="E189" s="1227" t="s">
        <v>2810</v>
      </c>
      <c r="F189" s="93" t="s">
        <v>664</v>
      </c>
      <c r="G189" s="93">
        <v>5</v>
      </c>
      <c r="H189" s="93">
        <v>6</v>
      </c>
      <c r="I189" s="685"/>
      <c r="J189" s="685"/>
      <c r="K189" s="685"/>
      <c r="L189" s="685"/>
      <c r="M189" s="1225"/>
      <c r="N189" s="1232"/>
      <c r="O189" s="686"/>
      <c r="P189" s="685"/>
      <c r="Q189" s="1222"/>
      <c r="R189" s="1219">
        <f>9.148-7.065</f>
        <v>2.0829999999999993</v>
      </c>
      <c r="S189" s="93"/>
      <c r="T189" s="252"/>
      <c r="U189" s="93"/>
      <c r="V189" s="93"/>
      <c r="W189" s="147"/>
      <c r="X189" s="252"/>
      <c r="Y189" s="147"/>
      <c r="Z189" s="1715"/>
      <c r="AE189" s="2461"/>
      <c r="AF189" s="68"/>
    </row>
    <row r="190" spans="1:32" x14ac:dyDescent="0.35">
      <c r="A190" s="1580"/>
      <c r="B190" s="365">
        <v>10843</v>
      </c>
      <c r="C190" s="365"/>
      <c r="D190" s="368"/>
      <c r="E190" s="1228" t="s">
        <v>2811</v>
      </c>
      <c r="F190" s="93">
        <v>5</v>
      </c>
      <c r="G190" s="93">
        <v>5</v>
      </c>
      <c r="H190" s="93">
        <v>6</v>
      </c>
      <c r="I190" s="685"/>
      <c r="J190" s="685"/>
      <c r="K190" s="685"/>
      <c r="L190" s="685"/>
      <c r="M190" s="1225"/>
      <c r="N190" s="1232"/>
      <c r="O190" s="686"/>
      <c r="P190" s="685"/>
      <c r="Q190" s="1222">
        <f>11.422-9.148</f>
        <v>2.2740000000000009</v>
      </c>
      <c r="R190" s="1219"/>
      <c r="S190" s="93"/>
      <c r="T190" s="252"/>
      <c r="U190" s="93"/>
      <c r="V190" s="93"/>
      <c r="W190" s="147"/>
      <c r="X190" s="252"/>
      <c r="Y190" s="147"/>
      <c r="Z190" s="1715"/>
      <c r="AE190" s="2461"/>
      <c r="AF190" s="68"/>
    </row>
    <row r="191" spans="1:32" x14ac:dyDescent="0.35">
      <c r="A191" s="1580"/>
      <c r="B191" s="365"/>
      <c r="C191" s="365"/>
      <c r="D191" s="368"/>
      <c r="E191" s="324" t="s">
        <v>2812</v>
      </c>
      <c r="F191" s="93">
        <v>5</v>
      </c>
      <c r="G191" s="93">
        <v>5</v>
      </c>
      <c r="H191" s="93">
        <v>6</v>
      </c>
      <c r="I191" s="685"/>
      <c r="J191" s="685"/>
      <c r="K191" s="685"/>
      <c r="L191" s="685"/>
      <c r="M191" s="1225"/>
      <c r="N191" s="1232">
        <f>11.941-11.422</f>
        <v>0.51900000000000013</v>
      </c>
      <c r="O191" s="686"/>
      <c r="P191" s="685"/>
      <c r="Q191" s="1222"/>
      <c r="R191" s="1219"/>
      <c r="S191" s="93"/>
      <c r="T191" s="252"/>
      <c r="U191" s="93"/>
      <c r="V191" s="93"/>
      <c r="W191" s="147"/>
      <c r="X191" s="252"/>
      <c r="Y191" s="147"/>
      <c r="Z191" s="1715"/>
      <c r="AE191" s="2461"/>
      <c r="AF191" s="68"/>
    </row>
    <row r="192" spans="1:32" x14ac:dyDescent="0.35">
      <c r="A192" s="1580"/>
      <c r="B192" s="365"/>
      <c r="C192" s="365"/>
      <c r="D192" s="368"/>
      <c r="E192" s="1228" t="s">
        <v>2813</v>
      </c>
      <c r="F192" s="93">
        <v>5</v>
      </c>
      <c r="G192" s="93">
        <v>5</v>
      </c>
      <c r="H192" s="93">
        <v>6</v>
      </c>
      <c r="I192" s="685"/>
      <c r="J192" s="685"/>
      <c r="K192" s="685"/>
      <c r="L192" s="685"/>
      <c r="M192" s="1225"/>
      <c r="N192" s="1232"/>
      <c r="O192" s="686"/>
      <c r="P192" s="685"/>
      <c r="Q192" s="1222">
        <f>12.635-11.941</f>
        <v>0.69399999999999906</v>
      </c>
      <c r="R192" s="1219"/>
      <c r="S192" s="93"/>
      <c r="T192" s="252"/>
      <c r="U192" s="93"/>
      <c r="V192" s="93"/>
      <c r="W192" s="147"/>
      <c r="X192" s="252"/>
      <c r="Y192" s="147"/>
      <c r="Z192" s="1715"/>
      <c r="AE192" s="2461"/>
      <c r="AF192" s="68"/>
    </row>
    <row r="193" spans="1:32" x14ac:dyDescent="0.35">
      <c r="A193" s="1580"/>
      <c r="B193" s="365">
        <v>10843</v>
      </c>
      <c r="C193" s="365"/>
      <c r="D193" s="368"/>
      <c r="E193" s="324" t="s">
        <v>2814</v>
      </c>
      <c r="F193" s="93">
        <v>5</v>
      </c>
      <c r="G193" s="93">
        <v>5</v>
      </c>
      <c r="H193" s="93">
        <v>6</v>
      </c>
      <c r="I193" s="685"/>
      <c r="J193" s="685"/>
      <c r="K193" s="685"/>
      <c r="L193" s="685"/>
      <c r="M193" s="1225"/>
      <c r="N193" s="1232">
        <f>15.629-12.635</f>
        <v>2.9939999999999998</v>
      </c>
      <c r="O193" s="686"/>
      <c r="P193" s="685"/>
      <c r="Q193" s="1222"/>
      <c r="R193" s="1219"/>
      <c r="S193" s="93"/>
      <c r="T193" s="252"/>
      <c r="U193" s="93"/>
      <c r="V193" s="93"/>
      <c r="W193" s="147"/>
      <c r="X193" s="252"/>
      <c r="Y193" s="147"/>
      <c r="Z193" s="1715"/>
      <c r="AE193" s="2461"/>
      <c r="AF193" s="68"/>
    </row>
    <row r="194" spans="1:32" ht="45" x14ac:dyDescent="0.35">
      <c r="A194" s="370">
        <v>67</v>
      </c>
      <c r="B194" s="365">
        <v>10843</v>
      </c>
      <c r="C194" s="365"/>
      <c r="D194" s="2463" t="s">
        <v>5217</v>
      </c>
      <c r="E194" s="322" t="s">
        <v>7782</v>
      </c>
      <c r="F194" s="93"/>
      <c r="G194" s="93" t="s">
        <v>191</v>
      </c>
      <c r="H194" s="93" t="s">
        <v>191</v>
      </c>
      <c r="I194" s="680">
        <f>J194+K194+L194</f>
        <v>2.4500000000000002</v>
      </c>
      <c r="J194" s="680">
        <f>SUM(M194:R194)</f>
        <v>2.4500000000000002</v>
      </c>
      <c r="K194" s="680"/>
      <c r="L194" s="680"/>
      <c r="M194" s="990"/>
      <c r="N194" s="1229">
        <f>SUM(N195:N196)</f>
        <v>1.75</v>
      </c>
      <c r="O194" s="684"/>
      <c r="P194" s="680"/>
      <c r="Q194" s="960">
        <f>SUM(Q195:Q196)</f>
        <v>0.7</v>
      </c>
      <c r="R194" s="958"/>
      <c r="S194" s="105"/>
      <c r="T194" s="253"/>
      <c r="U194" s="105"/>
      <c r="V194" s="105"/>
      <c r="W194" s="146">
        <v>4</v>
      </c>
      <c r="X194" s="253">
        <v>67.67</v>
      </c>
      <c r="Y194" s="146"/>
      <c r="Z194" s="1713"/>
      <c r="AB194" s="3">
        <v>1</v>
      </c>
      <c r="AE194" s="2461"/>
      <c r="AF194" s="68"/>
    </row>
    <row r="195" spans="1:32" x14ac:dyDescent="0.35">
      <c r="A195" s="1580"/>
      <c r="B195" s="365">
        <v>10843</v>
      </c>
      <c r="C195" s="365"/>
      <c r="D195" s="368"/>
      <c r="E195" s="1228" t="s">
        <v>901</v>
      </c>
      <c r="F195" s="93">
        <v>5</v>
      </c>
      <c r="G195" s="93">
        <v>5</v>
      </c>
      <c r="H195" s="93">
        <v>6</v>
      </c>
      <c r="I195" s="685"/>
      <c r="J195" s="685"/>
      <c r="K195" s="685"/>
      <c r="L195" s="685"/>
      <c r="M195" s="1225"/>
      <c r="N195" s="1232"/>
      <c r="O195" s="686"/>
      <c r="P195" s="685"/>
      <c r="Q195" s="1222">
        <v>0.7</v>
      </c>
      <c r="R195" s="1219"/>
      <c r="S195" s="93"/>
      <c r="T195" s="252"/>
      <c r="U195" s="93"/>
      <c r="V195" s="93"/>
      <c r="W195" s="147"/>
      <c r="X195" s="252"/>
      <c r="Y195" s="147"/>
      <c r="Z195" s="1715"/>
      <c r="AE195" s="2461"/>
      <c r="AF195" s="68"/>
    </row>
    <row r="196" spans="1:32" x14ac:dyDescent="0.35">
      <c r="A196" s="1580"/>
      <c r="B196" s="365">
        <v>10843</v>
      </c>
      <c r="C196" s="365"/>
      <c r="D196" s="368"/>
      <c r="E196" s="324" t="s">
        <v>3302</v>
      </c>
      <c r="F196" s="93">
        <v>5</v>
      </c>
      <c r="G196" s="93">
        <v>5</v>
      </c>
      <c r="H196" s="93">
        <v>6</v>
      </c>
      <c r="I196" s="685"/>
      <c r="J196" s="685"/>
      <c r="K196" s="685"/>
      <c r="L196" s="685"/>
      <c r="M196" s="1225"/>
      <c r="N196" s="1232">
        <v>1.75</v>
      </c>
      <c r="O196" s="686"/>
      <c r="P196" s="685"/>
      <c r="Q196" s="1222"/>
      <c r="R196" s="1219"/>
      <c r="S196" s="93"/>
      <c r="T196" s="252"/>
      <c r="U196" s="93"/>
      <c r="V196" s="93"/>
      <c r="W196" s="147"/>
      <c r="X196" s="252"/>
      <c r="Y196" s="147"/>
      <c r="Z196" s="1715"/>
      <c r="AE196" s="2461"/>
      <c r="AF196" s="68"/>
    </row>
    <row r="197" spans="1:32" ht="45" x14ac:dyDescent="0.35">
      <c r="A197" s="2136">
        <v>68</v>
      </c>
      <c r="B197" s="2135">
        <v>10843</v>
      </c>
      <c r="C197" s="365" t="s">
        <v>1656</v>
      </c>
      <c r="D197" s="2463" t="s">
        <v>5218</v>
      </c>
      <c r="E197" s="322" t="s">
        <v>8642</v>
      </c>
      <c r="F197" s="93" t="s">
        <v>664</v>
      </c>
      <c r="G197" s="93">
        <v>5</v>
      </c>
      <c r="H197" s="93">
        <v>6</v>
      </c>
      <c r="I197" s="680">
        <f t="shared" ref="I197:I202" si="10">J197+K197+L197</f>
        <v>0.4</v>
      </c>
      <c r="J197" s="680">
        <f>M197+N197+O197+P197+Q197+R197</f>
        <v>0.4</v>
      </c>
      <c r="K197" s="91"/>
      <c r="L197" s="91"/>
      <c r="M197" s="2134"/>
      <c r="N197" s="2133"/>
      <c r="O197" s="1785"/>
      <c r="P197" s="91"/>
      <c r="Q197" s="2132"/>
      <c r="R197" s="2106">
        <v>0.4</v>
      </c>
      <c r="S197" s="93"/>
      <c r="T197" s="93"/>
      <c r="U197" s="93"/>
      <c r="V197" s="93"/>
      <c r="W197" s="93"/>
      <c r="X197" s="252"/>
      <c r="Y197" s="93"/>
      <c r="Z197" s="93"/>
      <c r="AB197" s="3">
        <v>1</v>
      </c>
      <c r="AE197" s="2461"/>
      <c r="AF197" s="68"/>
    </row>
    <row r="198" spans="1:32" ht="60" x14ac:dyDescent="0.35">
      <c r="A198" s="2001">
        <v>69</v>
      </c>
      <c r="B198" s="365">
        <v>10843</v>
      </c>
      <c r="C198" s="358" t="s">
        <v>1656</v>
      </c>
      <c r="D198" s="2463" t="s">
        <v>5219</v>
      </c>
      <c r="E198" s="322" t="s">
        <v>8643</v>
      </c>
      <c r="F198" s="93" t="s">
        <v>664</v>
      </c>
      <c r="G198" s="93">
        <v>5</v>
      </c>
      <c r="H198" s="93">
        <v>6</v>
      </c>
      <c r="I198" s="297">
        <f t="shared" si="10"/>
        <v>0.2</v>
      </c>
      <c r="J198" s="297">
        <f>SUM(M198:R198)</f>
        <v>0.2</v>
      </c>
      <c r="K198" s="685"/>
      <c r="L198" s="685"/>
      <c r="M198" s="2384"/>
      <c r="N198" s="680"/>
      <c r="O198" s="684"/>
      <c r="P198" s="680"/>
      <c r="Q198" s="2385"/>
      <c r="R198" s="1830">
        <v>0.2</v>
      </c>
      <c r="S198" s="93"/>
      <c r="T198" s="252"/>
      <c r="U198" s="93"/>
      <c r="V198" s="93"/>
      <c r="W198" s="147"/>
      <c r="X198" s="252"/>
      <c r="Y198" s="147"/>
      <c r="Z198" s="1715"/>
      <c r="AB198" s="3">
        <v>1</v>
      </c>
      <c r="AE198" s="2461"/>
      <c r="AF198" s="68"/>
    </row>
    <row r="199" spans="1:32" ht="60" x14ac:dyDescent="0.35">
      <c r="A199" s="2136">
        <v>70</v>
      </c>
      <c r="B199" s="365">
        <v>10843</v>
      </c>
      <c r="C199" s="358" t="s">
        <v>1656</v>
      </c>
      <c r="D199" s="2463" t="s">
        <v>5220</v>
      </c>
      <c r="E199" s="322" t="s">
        <v>8644</v>
      </c>
      <c r="F199" s="93" t="s">
        <v>664</v>
      </c>
      <c r="G199" s="93">
        <v>5</v>
      </c>
      <c r="H199" s="93">
        <v>6</v>
      </c>
      <c r="I199" s="297">
        <f t="shared" si="10"/>
        <v>0.7</v>
      </c>
      <c r="J199" s="297">
        <f>SUM(M199:R199)</f>
        <v>0.7</v>
      </c>
      <c r="K199" s="685"/>
      <c r="L199" s="685"/>
      <c r="M199" s="2384"/>
      <c r="N199" s="680"/>
      <c r="O199" s="684"/>
      <c r="P199" s="680"/>
      <c r="Q199" s="2385"/>
      <c r="R199" s="1830">
        <v>0.7</v>
      </c>
      <c r="S199" s="93"/>
      <c r="T199" s="252"/>
      <c r="U199" s="93"/>
      <c r="V199" s="93"/>
      <c r="W199" s="147"/>
      <c r="X199" s="252"/>
      <c r="Y199" s="147"/>
      <c r="Z199" s="1715"/>
      <c r="AB199" s="3">
        <v>1</v>
      </c>
      <c r="AE199" s="2461"/>
      <c r="AF199" s="68"/>
    </row>
    <row r="200" spans="1:32" ht="45" x14ac:dyDescent="0.35">
      <c r="A200" s="2001">
        <v>71</v>
      </c>
      <c r="B200" s="365">
        <v>10843</v>
      </c>
      <c r="C200" s="358" t="s">
        <v>1656</v>
      </c>
      <c r="D200" s="2463" t="s">
        <v>5221</v>
      </c>
      <c r="E200" s="322" t="s">
        <v>8645</v>
      </c>
      <c r="F200" s="93" t="s">
        <v>664</v>
      </c>
      <c r="G200" s="93">
        <v>5</v>
      </c>
      <c r="H200" s="93">
        <v>6</v>
      </c>
      <c r="I200" s="297">
        <f t="shared" si="10"/>
        <v>0.2</v>
      </c>
      <c r="J200" s="297">
        <f>SUM(M200:R200)</f>
        <v>0.2</v>
      </c>
      <c r="K200" s="680"/>
      <c r="L200" s="680"/>
      <c r="M200" s="2384"/>
      <c r="N200" s="680"/>
      <c r="O200" s="684"/>
      <c r="P200" s="680"/>
      <c r="Q200" s="2385"/>
      <c r="R200" s="1830">
        <v>0.2</v>
      </c>
      <c r="S200" s="105"/>
      <c r="T200" s="253"/>
      <c r="U200" s="105"/>
      <c r="V200" s="105"/>
      <c r="W200" s="146"/>
      <c r="X200" s="253"/>
      <c r="Y200" s="146"/>
      <c r="Z200" s="1713"/>
      <c r="AB200" s="3">
        <v>1</v>
      </c>
      <c r="AE200" s="2461"/>
      <c r="AF200" s="68"/>
    </row>
    <row r="201" spans="1:32" ht="45" x14ac:dyDescent="0.35">
      <c r="A201" s="2136">
        <v>72</v>
      </c>
      <c r="B201" s="365">
        <v>10843</v>
      </c>
      <c r="C201" s="358" t="s">
        <v>1656</v>
      </c>
      <c r="D201" s="2463" t="s">
        <v>5222</v>
      </c>
      <c r="E201" s="322" t="s">
        <v>8646</v>
      </c>
      <c r="F201" s="93" t="s">
        <v>664</v>
      </c>
      <c r="G201" s="93">
        <v>5</v>
      </c>
      <c r="H201" s="93">
        <v>6</v>
      </c>
      <c r="I201" s="297">
        <f t="shared" si="10"/>
        <v>0.1</v>
      </c>
      <c r="J201" s="297">
        <f>SUM(M201:R201)</f>
        <v>0.1</v>
      </c>
      <c r="K201" s="685"/>
      <c r="L201" s="685"/>
      <c r="M201" s="2384"/>
      <c r="N201" s="680"/>
      <c r="O201" s="684"/>
      <c r="P201" s="680"/>
      <c r="Q201" s="2385"/>
      <c r="R201" s="1830">
        <v>0.1</v>
      </c>
      <c r="S201" s="93"/>
      <c r="T201" s="252"/>
      <c r="U201" s="93"/>
      <c r="V201" s="93"/>
      <c r="W201" s="147"/>
      <c r="X201" s="252"/>
      <c r="Y201" s="147"/>
      <c r="Z201" s="1715"/>
      <c r="AB201" s="3">
        <v>1</v>
      </c>
      <c r="AE201" s="2461"/>
      <c r="AF201" s="68"/>
    </row>
    <row r="202" spans="1:32" ht="30" x14ac:dyDescent="0.35">
      <c r="A202" s="2001">
        <v>73</v>
      </c>
      <c r="B202" s="365">
        <v>10844</v>
      </c>
      <c r="C202" s="365"/>
      <c r="D202" s="365" t="s">
        <v>1365</v>
      </c>
      <c r="E202" s="322" t="s">
        <v>7146</v>
      </c>
      <c r="F202" s="93"/>
      <c r="G202" s="93" t="s">
        <v>191</v>
      </c>
      <c r="H202" s="93" t="s">
        <v>191</v>
      </c>
      <c r="I202" s="680">
        <f t="shared" si="10"/>
        <v>4.4729999999999999</v>
      </c>
      <c r="J202" s="680">
        <f>SUM(M202:R202)</f>
        <v>4.4729999999999999</v>
      </c>
      <c r="K202" s="680"/>
      <c r="L202" s="680"/>
      <c r="M202" s="990"/>
      <c r="N202" s="1229">
        <f>SUM(N203:N206)</f>
        <v>0.98199999999999998</v>
      </c>
      <c r="O202" s="684"/>
      <c r="P202" s="680"/>
      <c r="Q202" s="960">
        <f>SUM(Q203:Q206)</f>
        <v>3.4909999999999997</v>
      </c>
      <c r="R202" s="958"/>
      <c r="S202" s="105"/>
      <c r="T202" s="253"/>
      <c r="U202" s="105"/>
      <c r="V202" s="105"/>
      <c r="W202" s="146">
        <v>11</v>
      </c>
      <c r="X202" s="253">
        <v>127.1</v>
      </c>
      <c r="Y202" s="146"/>
      <c r="Z202" s="1713"/>
      <c r="AB202" s="3">
        <v>1</v>
      </c>
      <c r="AE202" s="2461"/>
      <c r="AF202" s="68"/>
    </row>
    <row r="203" spans="1:32" x14ac:dyDescent="0.35">
      <c r="A203" s="1580"/>
      <c r="B203" s="365">
        <v>10844</v>
      </c>
      <c r="C203" s="365"/>
      <c r="D203" s="368"/>
      <c r="E203" s="324" t="s">
        <v>2665</v>
      </c>
      <c r="F203" s="93">
        <v>4</v>
      </c>
      <c r="G203" s="93">
        <v>5</v>
      </c>
      <c r="H203" s="93">
        <v>6</v>
      </c>
      <c r="I203" s="685"/>
      <c r="J203" s="685"/>
      <c r="K203" s="685"/>
      <c r="L203" s="685"/>
      <c r="M203" s="1225"/>
      <c r="N203" s="1232">
        <v>0.94199999999999995</v>
      </c>
      <c r="O203" s="686"/>
      <c r="P203" s="685"/>
      <c r="Q203" s="1222"/>
      <c r="R203" s="1219"/>
      <c r="S203" s="93"/>
      <c r="T203" s="252"/>
      <c r="U203" s="93"/>
      <c r="V203" s="93"/>
      <c r="W203" s="147"/>
      <c r="X203" s="252"/>
      <c r="Y203" s="147"/>
      <c r="Z203" s="1715"/>
      <c r="AE203" s="2461"/>
      <c r="AF203" s="68"/>
    </row>
    <row r="204" spans="1:32" x14ac:dyDescent="0.35">
      <c r="A204" s="1580"/>
      <c r="B204" s="365">
        <v>10844</v>
      </c>
      <c r="C204" s="365"/>
      <c r="D204" s="368"/>
      <c r="E204" s="1228" t="s">
        <v>2667</v>
      </c>
      <c r="F204" s="93">
        <v>4</v>
      </c>
      <c r="G204" s="93">
        <v>5</v>
      </c>
      <c r="H204" s="93">
        <v>6</v>
      </c>
      <c r="I204" s="685"/>
      <c r="J204" s="685"/>
      <c r="K204" s="685"/>
      <c r="L204" s="685"/>
      <c r="M204" s="1225"/>
      <c r="N204" s="1232"/>
      <c r="O204" s="686"/>
      <c r="P204" s="685"/>
      <c r="Q204" s="1222">
        <f>1-0.942</f>
        <v>5.8000000000000052E-2</v>
      </c>
      <c r="R204" s="1219"/>
      <c r="S204" s="93"/>
      <c r="T204" s="252"/>
      <c r="U204" s="93"/>
      <c r="V204" s="93"/>
      <c r="W204" s="147"/>
      <c r="X204" s="252"/>
      <c r="Y204" s="147"/>
      <c r="Z204" s="1715"/>
      <c r="AE204" s="2461"/>
      <c r="AF204" s="68"/>
    </row>
    <row r="205" spans="1:32" x14ac:dyDescent="0.35">
      <c r="A205" s="1580"/>
      <c r="B205" s="365">
        <v>10844</v>
      </c>
      <c r="C205" s="365"/>
      <c r="D205" s="368"/>
      <c r="E205" s="1228" t="s">
        <v>2668</v>
      </c>
      <c r="F205" s="93">
        <v>5</v>
      </c>
      <c r="G205" s="93">
        <v>5</v>
      </c>
      <c r="H205" s="93">
        <v>6</v>
      </c>
      <c r="I205" s="685"/>
      <c r="J205" s="685"/>
      <c r="K205" s="685"/>
      <c r="L205" s="685"/>
      <c r="M205" s="1225"/>
      <c r="N205" s="1232"/>
      <c r="O205" s="686"/>
      <c r="P205" s="685"/>
      <c r="Q205" s="1222">
        <f>4.433-1</f>
        <v>3.4329999999999998</v>
      </c>
      <c r="R205" s="1219"/>
      <c r="S205" s="93"/>
      <c r="T205" s="252"/>
      <c r="U205" s="93"/>
      <c r="V205" s="93"/>
      <c r="W205" s="147"/>
      <c r="X205" s="252"/>
      <c r="Y205" s="147"/>
      <c r="Z205" s="1715"/>
      <c r="AE205" s="2461"/>
      <c r="AF205" s="68"/>
    </row>
    <row r="206" spans="1:32" x14ac:dyDescent="0.35">
      <c r="A206" s="1580"/>
      <c r="B206" s="365">
        <v>10844</v>
      </c>
      <c r="C206" s="365"/>
      <c r="D206" s="368"/>
      <c r="E206" s="324" t="s">
        <v>2666</v>
      </c>
      <c r="F206" s="93">
        <v>5</v>
      </c>
      <c r="G206" s="93">
        <v>5</v>
      </c>
      <c r="H206" s="93">
        <v>6</v>
      </c>
      <c r="I206" s="685"/>
      <c r="J206" s="685"/>
      <c r="K206" s="685"/>
      <c r="L206" s="685"/>
      <c r="M206" s="1225"/>
      <c r="N206" s="1232">
        <f>4.473-4.433</f>
        <v>4.0000000000000036E-2</v>
      </c>
      <c r="O206" s="686"/>
      <c r="P206" s="685"/>
      <c r="Q206" s="1222"/>
      <c r="R206" s="1219"/>
      <c r="S206" s="93"/>
      <c r="T206" s="252"/>
      <c r="U206" s="93"/>
      <c r="V206" s="93"/>
      <c r="W206" s="147"/>
      <c r="X206" s="252"/>
      <c r="Y206" s="147"/>
      <c r="Z206" s="1715"/>
      <c r="AE206" s="2461"/>
      <c r="AF206" s="68"/>
    </row>
    <row r="207" spans="1:32" ht="45" x14ac:dyDescent="0.35">
      <c r="A207" s="1829">
        <v>74</v>
      </c>
      <c r="B207" s="365">
        <v>10844</v>
      </c>
      <c r="C207" s="365"/>
      <c r="D207" s="2463" t="s">
        <v>5223</v>
      </c>
      <c r="E207" s="1831" t="s">
        <v>7783</v>
      </c>
      <c r="F207" s="93">
        <v>5</v>
      </c>
      <c r="G207" s="93">
        <v>5</v>
      </c>
      <c r="H207" s="93">
        <v>6</v>
      </c>
      <c r="I207" s="1229">
        <v>0.2</v>
      </c>
      <c r="J207" s="1229">
        <v>0.2</v>
      </c>
      <c r="K207" s="685"/>
      <c r="L207" s="685"/>
      <c r="M207" s="1225"/>
      <c r="N207" s="1232"/>
      <c r="O207" s="686"/>
      <c r="P207" s="685"/>
      <c r="Q207" s="960">
        <v>0.2</v>
      </c>
      <c r="R207" s="1219"/>
      <c r="S207" s="93"/>
      <c r="T207" s="252"/>
      <c r="U207" s="93"/>
      <c r="V207" s="93"/>
      <c r="W207" s="147"/>
      <c r="X207" s="252"/>
      <c r="Y207" s="147"/>
      <c r="Z207" s="1715"/>
      <c r="AB207" s="3">
        <v>1</v>
      </c>
      <c r="AE207" s="2461"/>
      <c r="AF207" s="68"/>
    </row>
    <row r="208" spans="1:32" ht="45" x14ac:dyDescent="0.35">
      <c r="A208" s="2001">
        <v>75</v>
      </c>
      <c r="B208" s="365">
        <v>10844</v>
      </c>
      <c r="C208" s="358" t="s">
        <v>1656</v>
      </c>
      <c r="D208" s="2463" t="s">
        <v>5224</v>
      </c>
      <c r="E208" s="322" t="s">
        <v>8647</v>
      </c>
      <c r="F208" s="93" t="s">
        <v>664</v>
      </c>
      <c r="G208" s="93">
        <v>5</v>
      </c>
      <c r="H208" s="93">
        <v>6</v>
      </c>
      <c r="I208" s="297">
        <f>J208+K208+L208</f>
        <v>0.6</v>
      </c>
      <c r="J208" s="297">
        <f>SUM(M208:R208)</f>
        <v>0.6</v>
      </c>
      <c r="K208" s="685"/>
      <c r="L208" s="685"/>
      <c r="M208" s="2384"/>
      <c r="N208" s="680"/>
      <c r="O208" s="684"/>
      <c r="P208" s="680"/>
      <c r="Q208" s="2385"/>
      <c r="R208" s="1830">
        <v>0.6</v>
      </c>
      <c r="S208" s="93"/>
      <c r="T208" s="252"/>
      <c r="U208" s="93"/>
      <c r="V208" s="93"/>
      <c r="W208" s="147"/>
      <c r="X208" s="252"/>
      <c r="Y208" s="147"/>
      <c r="Z208" s="1715"/>
      <c r="AB208" s="3">
        <v>1</v>
      </c>
      <c r="AE208" s="2461"/>
      <c r="AF208" s="68"/>
    </row>
    <row r="209" spans="1:32" ht="30" x14ac:dyDescent="0.35">
      <c r="A209" s="370">
        <v>76</v>
      </c>
      <c r="B209" s="365">
        <v>10845</v>
      </c>
      <c r="C209" s="365"/>
      <c r="D209" s="365" t="s">
        <v>1366</v>
      </c>
      <c r="E209" s="322" t="s">
        <v>2669</v>
      </c>
      <c r="F209" s="93"/>
      <c r="G209" s="93" t="s">
        <v>191</v>
      </c>
      <c r="H209" s="93" t="s">
        <v>191</v>
      </c>
      <c r="I209" s="680">
        <f>J209+K209+L209</f>
        <v>5.1669999999999998</v>
      </c>
      <c r="J209" s="680">
        <f>SUM(M209:R209)</f>
        <v>5.1669999999999998</v>
      </c>
      <c r="K209" s="680"/>
      <c r="L209" s="680"/>
      <c r="M209" s="990"/>
      <c r="N209" s="1229">
        <f>SUM(N210:N211)</f>
        <v>1.5089999999999999</v>
      </c>
      <c r="O209" s="684"/>
      <c r="P209" s="680"/>
      <c r="Q209" s="960">
        <f>SUM(Q210:Q211)</f>
        <v>3.6579999999999999</v>
      </c>
      <c r="R209" s="958"/>
      <c r="S209" s="105">
        <v>1</v>
      </c>
      <c r="T209" s="253">
        <v>19</v>
      </c>
      <c r="U209" s="105"/>
      <c r="V209" s="105"/>
      <c r="W209" s="146">
        <v>12</v>
      </c>
      <c r="X209" s="253">
        <v>138</v>
      </c>
      <c r="Y209" s="146">
        <v>4</v>
      </c>
      <c r="Z209" s="1713">
        <v>29</v>
      </c>
      <c r="AB209" s="3">
        <v>1</v>
      </c>
      <c r="AE209" s="2461"/>
      <c r="AF209" s="68"/>
    </row>
    <row r="210" spans="1:32" x14ac:dyDescent="0.35">
      <c r="A210" s="1580"/>
      <c r="B210" s="365">
        <v>10845</v>
      </c>
      <c r="C210" s="365"/>
      <c r="D210" s="368"/>
      <c r="E210" s="324" t="s">
        <v>2817</v>
      </c>
      <c r="F210" s="93">
        <v>5</v>
      </c>
      <c r="G210" s="93">
        <v>5</v>
      </c>
      <c r="H210" s="93">
        <v>6</v>
      </c>
      <c r="I210" s="685"/>
      <c r="J210" s="685"/>
      <c r="K210" s="685"/>
      <c r="L210" s="685"/>
      <c r="M210" s="1225"/>
      <c r="N210" s="1232">
        <v>1.5089999999999999</v>
      </c>
      <c r="O210" s="686"/>
      <c r="P210" s="685"/>
      <c r="Q210" s="1222"/>
      <c r="R210" s="1219"/>
      <c r="S210" s="93"/>
      <c r="T210" s="252"/>
      <c r="U210" s="93"/>
      <c r="V210" s="93"/>
      <c r="W210" s="147"/>
      <c r="X210" s="252"/>
      <c r="Y210" s="147"/>
      <c r="Z210" s="1715"/>
      <c r="AE210" s="2461"/>
      <c r="AF210" s="68"/>
    </row>
    <row r="211" spans="1:32" x14ac:dyDescent="0.35">
      <c r="A211" s="1580"/>
      <c r="B211" s="365">
        <v>10845</v>
      </c>
      <c r="C211" s="365"/>
      <c r="D211" s="368"/>
      <c r="E211" s="1228" t="s">
        <v>2818</v>
      </c>
      <c r="F211" s="93">
        <v>5</v>
      </c>
      <c r="G211" s="93">
        <v>5</v>
      </c>
      <c r="H211" s="93">
        <v>6</v>
      </c>
      <c r="I211" s="685"/>
      <c r="J211" s="685"/>
      <c r="K211" s="685"/>
      <c r="L211" s="685"/>
      <c r="M211" s="1225"/>
      <c r="N211" s="1232"/>
      <c r="O211" s="686"/>
      <c r="P211" s="685"/>
      <c r="Q211" s="1222">
        <f>5.167-1.509</f>
        <v>3.6579999999999999</v>
      </c>
      <c r="R211" s="1219"/>
      <c r="S211" s="93"/>
      <c r="T211" s="252"/>
      <c r="U211" s="93"/>
      <c r="V211" s="93"/>
      <c r="W211" s="147"/>
      <c r="X211" s="252"/>
      <c r="Y211" s="147"/>
      <c r="Z211" s="1715"/>
      <c r="AE211" s="2461"/>
      <c r="AF211" s="68"/>
    </row>
    <row r="212" spans="1:32" ht="30" x14ac:dyDescent="0.35">
      <c r="A212" s="370">
        <v>77</v>
      </c>
      <c r="B212" s="365">
        <v>10846</v>
      </c>
      <c r="C212" s="365"/>
      <c r="D212" s="365" t="s">
        <v>3252</v>
      </c>
      <c r="E212" s="322" t="s">
        <v>3204</v>
      </c>
      <c r="F212" s="93">
        <v>4</v>
      </c>
      <c r="G212" s="93">
        <v>4</v>
      </c>
      <c r="H212" s="93">
        <v>6</v>
      </c>
      <c r="I212" s="680">
        <f t="shared" ref="I212:I221" si="11">J212+K212+L212</f>
        <v>3.3780000000000001</v>
      </c>
      <c r="J212" s="680">
        <f t="shared" ref="J212:J221" si="12">SUM(M212:R212)</f>
        <v>3.3780000000000001</v>
      </c>
      <c r="K212" s="680"/>
      <c r="L212" s="680"/>
      <c r="M212" s="990"/>
      <c r="N212" s="1229">
        <v>3.3780000000000001</v>
      </c>
      <c r="O212" s="684"/>
      <c r="P212" s="680"/>
      <c r="Q212" s="960"/>
      <c r="R212" s="958"/>
      <c r="S212" s="105"/>
      <c r="T212" s="253"/>
      <c r="U212" s="105"/>
      <c r="V212" s="105"/>
      <c r="W212" s="146">
        <v>7</v>
      </c>
      <c r="X212" s="253">
        <v>97</v>
      </c>
      <c r="Y212" s="146">
        <v>4</v>
      </c>
      <c r="Z212" s="1713">
        <v>53</v>
      </c>
      <c r="AB212" s="3">
        <v>1</v>
      </c>
      <c r="AE212" s="2461"/>
      <c r="AF212" s="68"/>
    </row>
    <row r="213" spans="1:32" ht="30" x14ac:dyDescent="0.35">
      <c r="A213" s="370">
        <v>78</v>
      </c>
      <c r="B213" s="365">
        <v>10847</v>
      </c>
      <c r="C213" s="365"/>
      <c r="D213" s="365" t="s">
        <v>1367</v>
      </c>
      <c r="E213" s="322" t="s">
        <v>3557</v>
      </c>
      <c r="F213" s="93">
        <v>4</v>
      </c>
      <c r="G213" s="93">
        <v>5</v>
      </c>
      <c r="H213" s="93">
        <v>6</v>
      </c>
      <c r="I213" s="680">
        <f t="shared" si="11"/>
        <v>2.1890000000000001</v>
      </c>
      <c r="J213" s="680">
        <f t="shared" si="12"/>
        <v>2.1890000000000001</v>
      </c>
      <c r="K213" s="680"/>
      <c r="L213" s="680"/>
      <c r="M213" s="990"/>
      <c r="N213" s="1229">
        <v>2.1890000000000001</v>
      </c>
      <c r="O213" s="684"/>
      <c r="P213" s="680"/>
      <c r="Q213" s="960"/>
      <c r="R213" s="958"/>
      <c r="S213" s="105"/>
      <c r="T213" s="253"/>
      <c r="U213" s="105"/>
      <c r="V213" s="105"/>
      <c r="W213" s="146">
        <v>8</v>
      </c>
      <c r="X213" s="253">
        <v>100.8</v>
      </c>
      <c r="Y213" s="146">
        <v>4</v>
      </c>
      <c r="Z213" s="1713">
        <v>40</v>
      </c>
      <c r="AB213" s="3">
        <v>1</v>
      </c>
      <c r="AE213" s="2461"/>
      <c r="AF213" s="68"/>
    </row>
    <row r="214" spans="1:32" ht="30" x14ac:dyDescent="0.35">
      <c r="A214" s="370">
        <v>79</v>
      </c>
      <c r="B214" s="365">
        <v>10847</v>
      </c>
      <c r="C214" s="358" t="s">
        <v>1656</v>
      </c>
      <c r="D214" s="2463" t="s">
        <v>5225</v>
      </c>
      <c r="E214" s="322" t="s">
        <v>8648</v>
      </c>
      <c r="F214" s="93" t="s">
        <v>664</v>
      </c>
      <c r="G214" s="93">
        <v>5</v>
      </c>
      <c r="H214" s="93">
        <v>6</v>
      </c>
      <c r="I214" s="297">
        <f t="shared" si="11"/>
        <v>0.4</v>
      </c>
      <c r="J214" s="297">
        <f>SUM(M214:R214)</f>
        <v>0.4</v>
      </c>
      <c r="K214" s="680"/>
      <c r="L214" s="680"/>
      <c r="M214" s="2384"/>
      <c r="N214" s="680"/>
      <c r="O214" s="684"/>
      <c r="P214" s="680"/>
      <c r="Q214" s="2385"/>
      <c r="R214" s="1830">
        <v>0.4</v>
      </c>
      <c r="S214" s="105"/>
      <c r="T214" s="253"/>
      <c r="U214" s="105"/>
      <c r="V214" s="105"/>
      <c r="W214" s="146"/>
      <c r="X214" s="253"/>
      <c r="Y214" s="146"/>
      <c r="Z214" s="1713"/>
      <c r="AB214" s="3">
        <v>1</v>
      </c>
      <c r="AE214" s="2461"/>
      <c r="AF214" s="68"/>
    </row>
    <row r="215" spans="1:32" ht="30" x14ac:dyDescent="0.35">
      <c r="A215" s="370">
        <v>80</v>
      </c>
      <c r="B215" s="1026">
        <v>10848</v>
      </c>
      <c r="C215" s="1026"/>
      <c r="D215" s="365" t="s">
        <v>1368</v>
      </c>
      <c r="E215" s="322" t="s">
        <v>2670</v>
      </c>
      <c r="F215" s="93"/>
      <c r="G215" s="93" t="s">
        <v>191</v>
      </c>
      <c r="H215" s="93" t="s">
        <v>191</v>
      </c>
      <c r="I215" s="680">
        <f t="shared" si="11"/>
        <v>4.4320000000000004</v>
      </c>
      <c r="J215" s="680">
        <f t="shared" si="12"/>
        <v>4.4320000000000004</v>
      </c>
      <c r="K215" s="680"/>
      <c r="L215" s="680"/>
      <c r="M215" s="990"/>
      <c r="N215" s="1229">
        <f>SUM(N216:N217)</f>
        <v>4.4000000000000483E-2</v>
      </c>
      <c r="O215" s="684"/>
      <c r="P215" s="680"/>
      <c r="Q215" s="960">
        <f>SUM(Q216:Q217)</f>
        <v>4.3879999999999999</v>
      </c>
      <c r="R215" s="958"/>
      <c r="S215" s="105"/>
      <c r="T215" s="253"/>
      <c r="U215" s="105"/>
      <c r="V215" s="105"/>
      <c r="W215" s="146">
        <v>18</v>
      </c>
      <c r="X215" s="253">
        <v>215.2</v>
      </c>
      <c r="Y215" s="146">
        <v>8</v>
      </c>
      <c r="Z215" s="1713">
        <v>80</v>
      </c>
      <c r="AA215" s="3" t="s">
        <v>2927</v>
      </c>
      <c r="AB215" s="3">
        <v>1</v>
      </c>
      <c r="AE215" s="2461"/>
      <c r="AF215" s="68"/>
    </row>
    <row r="216" spans="1:32" x14ac:dyDescent="0.35">
      <c r="A216" s="370"/>
      <c r="B216" s="1026">
        <v>10848</v>
      </c>
      <c r="C216" s="1026"/>
      <c r="D216" s="365"/>
      <c r="E216" s="1228" t="s">
        <v>2671</v>
      </c>
      <c r="F216" s="93">
        <v>5</v>
      </c>
      <c r="G216" s="93">
        <v>5</v>
      </c>
      <c r="H216" s="93">
        <v>6</v>
      </c>
      <c r="I216" s="685"/>
      <c r="J216" s="685"/>
      <c r="K216" s="685"/>
      <c r="L216" s="685"/>
      <c r="M216" s="1841"/>
      <c r="N216" s="685"/>
      <c r="O216" s="686"/>
      <c r="P216" s="685"/>
      <c r="Q216" s="1842">
        <v>4.3879999999999999</v>
      </c>
      <c r="R216" s="958"/>
      <c r="S216" s="105"/>
      <c r="T216" s="253"/>
      <c r="U216" s="105"/>
      <c r="V216" s="105"/>
      <c r="W216" s="146"/>
      <c r="X216" s="253"/>
      <c r="Y216" s="146"/>
      <c r="Z216" s="1713"/>
      <c r="AE216" s="2461"/>
      <c r="AF216" s="68"/>
    </row>
    <row r="217" spans="1:32" x14ac:dyDescent="0.35">
      <c r="A217" s="370"/>
      <c r="B217" s="1026">
        <v>10848</v>
      </c>
      <c r="C217" s="1026"/>
      <c r="D217" s="365"/>
      <c r="E217" s="324" t="s">
        <v>3329</v>
      </c>
      <c r="F217" s="93">
        <v>5</v>
      </c>
      <c r="G217" s="93">
        <v>5</v>
      </c>
      <c r="H217" s="93">
        <v>6</v>
      </c>
      <c r="I217" s="685"/>
      <c r="J217" s="685"/>
      <c r="K217" s="685"/>
      <c r="L217" s="685"/>
      <c r="M217" s="1841"/>
      <c r="N217" s="685">
        <f>4.432-4.388</f>
        <v>4.4000000000000483E-2</v>
      </c>
      <c r="O217" s="686"/>
      <c r="P217" s="685"/>
      <c r="Q217" s="1842"/>
      <c r="R217" s="958"/>
      <c r="S217" s="105"/>
      <c r="T217" s="253"/>
      <c r="U217" s="105"/>
      <c r="V217" s="105"/>
      <c r="W217" s="146"/>
      <c r="X217" s="253"/>
      <c r="Y217" s="146"/>
      <c r="Z217" s="1713"/>
      <c r="AE217" s="2461"/>
      <c r="AF217" s="68"/>
    </row>
    <row r="218" spans="1:32" ht="30" x14ac:dyDescent="0.35">
      <c r="A218" s="370">
        <v>81</v>
      </c>
      <c r="B218" s="1026">
        <v>10848</v>
      </c>
      <c r="C218" s="1026"/>
      <c r="D218" s="2463" t="s">
        <v>5226</v>
      </c>
      <c r="E218" s="322" t="s">
        <v>7784</v>
      </c>
      <c r="F218" s="93">
        <v>5</v>
      </c>
      <c r="G218" s="93">
        <v>5</v>
      </c>
      <c r="H218" s="93">
        <v>6</v>
      </c>
      <c r="I218" s="680">
        <f t="shared" si="11"/>
        <v>1.984</v>
      </c>
      <c r="J218" s="680">
        <f t="shared" si="12"/>
        <v>1.984</v>
      </c>
      <c r="K218" s="680"/>
      <c r="L218" s="680"/>
      <c r="M218" s="990"/>
      <c r="N218" s="1229"/>
      <c r="O218" s="684"/>
      <c r="P218" s="680"/>
      <c r="Q218" s="960">
        <v>1.984</v>
      </c>
      <c r="R218" s="958"/>
      <c r="S218" s="105"/>
      <c r="T218" s="253"/>
      <c r="U218" s="105"/>
      <c r="V218" s="105"/>
      <c r="W218" s="146">
        <v>6</v>
      </c>
      <c r="X218" s="253">
        <v>67.55</v>
      </c>
      <c r="Y218" s="146">
        <v>3</v>
      </c>
      <c r="Z218" s="1713">
        <v>35</v>
      </c>
      <c r="AA218" s="3" t="s">
        <v>2928</v>
      </c>
      <c r="AB218" s="3">
        <v>1</v>
      </c>
      <c r="AE218" s="2461"/>
      <c r="AF218" s="68"/>
    </row>
    <row r="219" spans="1:32" ht="45" x14ac:dyDescent="0.35">
      <c r="A219" s="370">
        <v>82</v>
      </c>
      <c r="B219" s="1066">
        <v>10848</v>
      </c>
      <c r="C219" s="365" t="s">
        <v>1656</v>
      </c>
      <c r="D219" s="2463" t="s">
        <v>5227</v>
      </c>
      <c r="E219" s="2344" t="s">
        <v>8649</v>
      </c>
      <c r="F219" s="93" t="s">
        <v>664</v>
      </c>
      <c r="G219" s="93">
        <v>5</v>
      </c>
      <c r="H219" s="93">
        <v>6</v>
      </c>
      <c r="I219" s="680">
        <f>J219+K219+L219</f>
        <v>0.1</v>
      </c>
      <c r="J219" s="680">
        <f>M219+N219+O219+P219+Q219+R219</f>
        <v>0.1</v>
      </c>
      <c r="K219" s="681"/>
      <c r="L219" s="681"/>
      <c r="M219" s="991"/>
      <c r="N219" s="1230"/>
      <c r="O219" s="687"/>
      <c r="P219" s="681"/>
      <c r="Q219" s="961"/>
      <c r="R219" s="2137">
        <v>0.1</v>
      </c>
      <c r="S219" s="93"/>
      <c r="T219" s="93"/>
      <c r="U219" s="93"/>
      <c r="V219" s="93"/>
      <c r="W219" s="93"/>
      <c r="X219" s="252"/>
      <c r="Y219" s="93"/>
      <c r="Z219" s="93"/>
      <c r="AB219" s="3">
        <v>1</v>
      </c>
      <c r="AE219" s="2461"/>
      <c r="AF219" s="68"/>
    </row>
    <row r="220" spans="1:32" ht="30" x14ac:dyDescent="0.35">
      <c r="A220" s="370">
        <v>83</v>
      </c>
      <c r="B220" s="1026">
        <v>10849</v>
      </c>
      <c r="C220" s="1026"/>
      <c r="D220" s="365" t="s">
        <v>1369</v>
      </c>
      <c r="E220" s="322" t="s">
        <v>9934</v>
      </c>
      <c r="F220" s="93">
        <v>4</v>
      </c>
      <c r="G220" s="93">
        <v>5</v>
      </c>
      <c r="H220" s="93">
        <v>6</v>
      </c>
      <c r="I220" s="680">
        <f t="shared" si="11"/>
        <v>1.41</v>
      </c>
      <c r="J220" s="680">
        <f t="shared" si="12"/>
        <v>1.41</v>
      </c>
      <c r="K220" s="680"/>
      <c r="L220" s="680"/>
      <c r="M220" s="990"/>
      <c r="N220" s="1229">
        <v>1.41</v>
      </c>
      <c r="O220" s="684"/>
      <c r="P220" s="680"/>
      <c r="Q220" s="960"/>
      <c r="R220" s="958"/>
      <c r="S220" s="105"/>
      <c r="T220" s="253"/>
      <c r="U220" s="105"/>
      <c r="V220" s="105"/>
      <c r="W220" s="146">
        <v>2</v>
      </c>
      <c r="X220" s="253">
        <v>27.04</v>
      </c>
      <c r="Y220" s="146"/>
      <c r="Z220" s="1713"/>
      <c r="AA220" s="3" t="s">
        <v>2028</v>
      </c>
      <c r="AB220" s="3">
        <v>1</v>
      </c>
      <c r="AE220" s="2461"/>
      <c r="AF220" s="68"/>
    </row>
    <row r="221" spans="1:32" ht="30" x14ac:dyDescent="0.35">
      <c r="A221" s="370">
        <v>84</v>
      </c>
      <c r="B221" s="1026">
        <v>10850</v>
      </c>
      <c r="C221" s="1026"/>
      <c r="D221" s="365" t="s">
        <v>768</v>
      </c>
      <c r="E221" s="322" t="s">
        <v>10789</v>
      </c>
      <c r="F221" s="93"/>
      <c r="G221" s="93" t="s">
        <v>191</v>
      </c>
      <c r="H221" s="93" t="s">
        <v>191</v>
      </c>
      <c r="I221" s="680">
        <f t="shared" si="11"/>
        <v>7.25</v>
      </c>
      <c r="J221" s="680">
        <f t="shared" si="12"/>
        <v>7.25</v>
      </c>
      <c r="K221" s="680"/>
      <c r="L221" s="680"/>
      <c r="M221" s="990"/>
      <c r="N221" s="1229">
        <f>SUM(N222:N225)</f>
        <v>1.4</v>
      </c>
      <c r="O221" s="684"/>
      <c r="P221" s="680"/>
      <c r="Q221" s="960">
        <f>SUM(Q222:Q225)</f>
        <v>4.0999999999999996</v>
      </c>
      <c r="R221" s="958">
        <v>1.75</v>
      </c>
      <c r="S221" s="105"/>
      <c r="T221" s="253"/>
      <c r="U221" s="105"/>
      <c r="V221" s="105"/>
      <c r="W221" s="146">
        <v>17</v>
      </c>
      <c r="X221" s="253">
        <v>200.02</v>
      </c>
      <c r="Y221" s="146">
        <v>9</v>
      </c>
      <c r="Z221" s="1713">
        <v>91.32</v>
      </c>
      <c r="AA221" s="3" t="s">
        <v>179</v>
      </c>
      <c r="AB221" s="3">
        <v>1</v>
      </c>
      <c r="AE221" s="2461"/>
      <c r="AF221" s="68"/>
    </row>
    <row r="222" spans="1:32" x14ac:dyDescent="0.35">
      <c r="A222" s="1580"/>
      <c r="B222" s="1026">
        <v>10850</v>
      </c>
      <c r="C222" s="1026"/>
      <c r="D222" s="368"/>
      <c r="E222" s="324" t="s">
        <v>3412</v>
      </c>
      <c r="F222" s="93">
        <v>5</v>
      </c>
      <c r="G222" s="93">
        <v>5</v>
      </c>
      <c r="H222" s="93">
        <v>6</v>
      </c>
      <c r="I222" s="685"/>
      <c r="J222" s="685"/>
      <c r="K222" s="685"/>
      <c r="L222" s="685"/>
      <c r="M222" s="1225"/>
      <c r="N222" s="1232">
        <v>1.4</v>
      </c>
      <c r="O222" s="686"/>
      <c r="P222" s="685"/>
      <c r="Q222" s="1222"/>
      <c r="R222" s="1219"/>
      <c r="S222" s="93"/>
      <c r="T222" s="252"/>
      <c r="U222" s="93"/>
      <c r="V222" s="93"/>
      <c r="W222" s="147"/>
      <c r="X222" s="252"/>
      <c r="Y222" s="147"/>
      <c r="Z222" s="1715"/>
      <c r="AE222" s="2461"/>
      <c r="AF222" s="68"/>
    </row>
    <row r="223" spans="1:32" x14ac:dyDescent="0.35">
      <c r="A223" s="1580"/>
      <c r="B223" s="1026">
        <v>10850</v>
      </c>
      <c r="C223" s="1026"/>
      <c r="D223" s="368"/>
      <c r="E223" s="1228" t="s">
        <v>3229</v>
      </c>
      <c r="F223" s="93">
        <v>5</v>
      </c>
      <c r="G223" s="93">
        <v>5</v>
      </c>
      <c r="H223" s="93">
        <v>6</v>
      </c>
      <c r="I223" s="685"/>
      <c r="J223" s="685"/>
      <c r="K223" s="685"/>
      <c r="L223" s="685"/>
      <c r="M223" s="1225"/>
      <c r="N223" s="1232"/>
      <c r="O223" s="686"/>
      <c r="P223" s="685"/>
      <c r="Q223" s="1222">
        <v>4.0999999999999996</v>
      </c>
      <c r="R223" s="1219"/>
      <c r="S223" s="93"/>
      <c r="T223" s="252"/>
      <c r="U223" s="93"/>
      <c r="V223" s="93"/>
      <c r="W223" s="147"/>
      <c r="X223" s="252"/>
      <c r="Y223" s="147"/>
      <c r="Z223" s="1715"/>
      <c r="AE223" s="2461"/>
      <c r="AF223" s="68"/>
    </row>
    <row r="224" spans="1:32" x14ac:dyDescent="0.35">
      <c r="A224" s="1580"/>
      <c r="B224" s="1026">
        <v>10850</v>
      </c>
      <c r="C224" s="1026"/>
      <c r="D224" s="368"/>
      <c r="E224" s="1227" t="s">
        <v>1270</v>
      </c>
      <c r="F224" s="93" t="s">
        <v>664</v>
      </c>
      <c r="G224" s="93">
        <v>5</v>
      </c>
      <c r="H224" s="93">
        <v>6</v>
      </c>
      <c r="I224" s="685"/>
      <c r="J224" s="685"/>
      <c r="K224" s="685"/>
      <c r="L224" s="685"/>
      <c r="M224" s="1225"/>
      <c r="N224" s="1232"/>
      <c r="O224" s="686"/>
      <c r="P224" s="685"/>
      <c r="Q224" s="1222"/>
      <c r="R224" s="1219">
        <f>7.25-5.5</f>
        <v>1.75</v>
      </c>
      <c r="S224" s="93"/>
      <c r="T224" s="252"/>
      <c r="U224" s="93"/>
      <c r="V224" s="93"/>
      <c r="W224" s="147"/>
      <c r="X224" s="252"/>
      <c r="Y224" s="147"/>
      <c r="Z224" s="1715"/>
      <c r="AE224" s="2461"/>
      <c r="AF224" s="68"/>
    </row>
    <row r="225" spans="1:32" ht="30" x14ac:dyDescent="0.35">
      <c r="A225" s="1829">
        <v>85</v>
      </c>
      <c r="B225" s="1026">
        <v>10850</v>
      </c>
      <c r="C225" s="1026"/>
      <c r="D225" s="2463" t="s">
        <v>5228</v>
      </c>
      <c r="E225" s="1831" t="s">
        <v>9935</v>
      </c>
      <c r="F225" s="93" t="s">
        <v>664</v>
      </c>
      <c r="G225" s="93">
        <v>5</v>
      </c>
      <c r="H225" s="93">
        <v>6</v>
      </c>
      <c r="I225" s="1229">
        <v>0.85</v>
      </c>
      <c r="J225" s="1229">
        <v>0.85</v>
      </c>
      <c r="K225" s="685"/>
      <c r="L225" s="685"/>
      <c r="M225" s="1225"/>
      <c r="N225" s="1232"/>
      <c r="O225" s="686"/>
      <c r="P225" s="685"/>
      <c r="Q225" s="1222"/>
      <c r="R225" s="1830">
        <v>0.85</v>
      </c>
      <c r="S225" s="93"/>
      <c r="T225" s="252"/>
      <c r="U225" s="93"/>
      <c r="V225" s="93"/>
      <c r="W225" s="147"/>
      <c r="X225" s="252"/>
      <c r="Y225" s="147"/>
      <c r="Z225" s="1715"/>
      <c r="AB225" s="3">
        <v>1</v>
      </c>
      <c r="AE225" s="2461"/>
      <c r="AF225" s="68"/>
    </row>
    <row r="226" spans="1:32" ht="30" x14ac:dyDescent="0.35">
      <c r="A226" s="370">
        <v>86</v>
      </c>
      <c r="B226" s="1026">
        <v>10851</v>
      </c>
      <c r="C226" s="1026"/>
      <c r="D226" s="365" t="s">
        <v>903</v>
      </c>
      <c r="E226" s="322" t="s">
        <v>9936</v>
      </c>
      <c r="F226" s="93"/>
      <c r="G226" s="93" t="s">
        <v>191</v>
      </c>
      <c r="H226" s="93" t="s">
        <v>191</v>
      </c>
      <c r="I226" s="680">
        <f>J226+K226+L226</f>
        <v>1.8480000000000003</v>
      </c>
      <c r="J226" s="680">
        <f>SUM(M226:R226)</f>
        <v>1.8480000000000003</v>
      </c>
      <c r="K226" s="680"/>
      <c r="L226" s="680"/>
      <c r="M226" s="990"/>
      <c r="N226" s="1229">
        <f>SUM(N227:N232)</f>
        <v>0.29699999999999982</v>
      </c>
      <c r="O226" s="684"/>
      <c r="P226" s="680"/>
      <c r="Q226" s="960">
        <f>SUM(Q227:Q232)</f>
        <v>1.5510000000000004</v>
      </c>
      <c r="R226" s="958"/>
      <c r="S226" s="105"/>
      <c r="T226" s="253"/>
      <c r="U226" s="105"/>
      <c r="V226" s="105"/>
      <c r="W226" s="146">
        <v>1</v>
      </c>
      <c r="X226" s="253">
        <v>10</v>
      </c>
      <c r="Y226" s="146">
        <v>1</v>
      </c>
      <c r="Z226" s="1713">
        <v>10</v>
      </c>
      <c r="AB226" s="3">
        <v>1</v>
      </c>
      <c r="AE226" s="2461"/>
      <c r="AF226" s="68"/>
    </row>
    <row r="227" spans="1:32" x14ac:dyDescent="0.35">
      <c r="A227" s="370"/>
      <c r="B227" s="1026">
        <v>10851</v>
      </c>
      <c r="C227" s="1026"/>
      <c r="D227" s="365"/>
      <c r="E227" s="324" t="s">
        <v>3330</v>
      </c>
      <c r="F227" s="93" t="s">
        <v>827</v>
      </c>
      <c r="G227" s="93">
        <v>5</v>
      </c>
      <c r="H227" s="93">
        <v>6</v>
      </c>
      <c r="I227" s="685"/>
      <c r="J227" s="685"/>
      <c r="K227" s="685"/>
      <c r="L227" s="685"/>
      <c r="M227" s="1841"/>
      <c r="N227" s="685">
        <v>0.26100000000000001</v>
      </c>
      <c r="O227" s="686"/>
      <c r="P227" s="685"/>
      <c r="Q227" s="1842"/>
      <c r="R227" s="1843"/>
      <c r="S227" s="105"/>
      <c r="T227" s="253"/>
      <c r="U227" s="105"/>
      <c r="V227" s="105"/>
      <c r="W227" s="146"/>
      <c r="X227" s="253"/>
      <c r="Y227" s="146"/>
      <c r="Z227" s="1713"/>
      <c r="AE227" s="2461"/>
      <c r="AF227" s="68"/>
    </row>
    <row r="228" spans="1:32" x14ac:dyDescent="0.35">
      <c r="A228" s="370"/>
      <c r="B228" s="1026">
        <v>10851</v>
      </c>
      <c r="C228" s="1026"/>
      <c r="D228" s="365"/>
      <c r="E228" s="1228" t="s">
        <v>3332</v>
      </c>
      <c r="F228" s="93" t="s">
        <v>827</v>
      </c>
      <c r="G228" s="93">
        <v>5</v>
      </c>
      <c r="H228" s="93">
        <v>6</v>
      </c>
      <c r="I228" s="685"/>
      <c r="J228" s="685"/>
      <c r="K228" s="685"/>
      <c r="L228" s="685"/>
      <c r="M228" s="1841"/>
      <c r="N228" s="685"/>
      <c r="O228" s="686"/>
      <c r="P228" s="685"/>
      <c r="Q228" s="1842">
        <f>0.44-0.261</f>
        <v>0.17899999999999999</v>
      </c>
      <c r="R228" s="1843"/>
      <c r="S228" s="105"/>
      <c r="T228" s="253"/>
      <c r="U228" s="105"/>
      <c r="V228" s="105"/>
      <c r="W228" s="146"/>
      <c r="X228" s="253"/>
      <c r="Y228" s="146"/>
      <c r="Z228" s="1713"/>
      <c r="AE228" s="2461"/>
      <c r="AF228" s="68"/>
    </row>
    <row r="229" spans="1:32" x14ac:dyDescent="0.35">
      <c r="A229" s="370"/>
      <c r="B229" s="1026">
        <v>10851</v>
      </c>
      <c r="C229" s="1026"/>
      <c r="D229" s="365"/>
      <c r="E229" s="1228" t="s">
        <v>3333</v>
      </c>
      <c r="F229" s="93">
        <v>4</v>
      </c>
      <c r="G229" s="93">
        <v>5</v>
      </c>
      <c r="H229" s="93">
        <v>6</v>
      </c>
      <c r="I229" s="685"/>
      <c r="J229" s="685"/>
      <c r="K229" s="685"/>
      <c r="L229" s="685"/>
      <c r="M229" s="1841"/>
      <c r="N229" s="685"/>
      <c r="O229" s="686"/>
      <c r="P229" s="685"/>
      <c r="Q229" s="1842">
        <f>1.245-0.44</f>
        <v>0.80500000000000016</v>
      </c>
      <c r="R229" s="1843"/>
      <c r="S229" s="105"/>
      <c r="T229" s="253"/>
      <c r="U229" s="105"/>
      <c r="V229" s="105"/>
      <c r="W229" s="146"/>
      <c r="X229" s="253"/>
      <c r="Y229" s="146"/>
      <c r="Z229" s="1713"/>
      <c r="AE229" s="2461"/>
      <c r="AF229" s="68"/>
    </row>
    <row r="230" spans="1:32" x14ac:dyDescent="0.35">
      <c r="A230" s="370"/>
      <c r="B230" s="1026">
        <v>10851</v>
      </c>
      <c r="C230" s="1026"/>
      <c r="D230" s="365"/>
      <c r="E230" s="324" t="s">
        <v>3331</v>
      </c>
      <c r="F230" s="93">
        <v>5</v>
      </c>
      <c r="G230" s="93">
        <v>5</v>
      </c>
      <c r="H230" s="93">
        <v>6</v>
      </c>
      <c r="I230" s="685"/>
      <c r="J230" s="685"/>
      <c r="K230" s="685"/>
      <c r="L230" s="685"/>
      <c r="M230" s="1841"/>
      <c r="N230" s="685">
        <f>1.281-1.245</f>
        <v>3.599999999999981E-2</v>
      </c>
      <c r="O230" s="686"/>
      <c r="P230" s="685"/>
      <c r="Q230" s="1842"/>
      <c r="R230" s="1843"/>
      <c r="S230" s="105"/>
      <c r="T230" s="253"/>
      <c r="U230" s="105"/>
      <c r="V230" s="105"/>
      <c r="W230" s="146"/>
      <c r="X230" s="253"/>
      <c r="Y230" s="146"/>
      <c r="Z230" s="1713"/>
      <c r="AE230" s="2461"/>
      <c r="AF230" s="68"/>
    </row>
    <row r="231" spans="1:32" x14ac:dyDescent="0.35">
      <c r="A231" s="370"/>
      <c r="B231" s="1026">
        <v>10851</v>
      </c>
      <c r="C231" s="1026"/>
      <c r="D231" s="365"/>
      <c r="E231" s="1228" t="s">
        <v>3334</v>
      </c>
      <c r="F231" s="93">
        <v>5</v>
      </c>
      <c r="G231" s="93">
        <v>5</v>
      </c>
      <c r="H231" s="93">
        <v>6</v>
      </c>
      <c r="I231" s="685"/>
      <c r="J231" s="685"/>
      <c r="K231" s="685"/>
      <c r="L231" s="685"/>
      <c r="M231" s="1841"/>
      <c r="N231" s="685"/>
      <c r="O231" s="686"/>
      <c r="P231" s="685"/>
      <c r="Q231" s="1842">
        <f>1.514-1.281</f>
        <v>0.2330000000000001</v>
      </c>
      <c r="R231" s="1843"/>
      <c r="S231" s="105"/>
      <c r="T231" s="253"/>
      <c r="U231" s="105"/>
      <c r="V231" s="105"/>
      <c r="W231" s="146"/>
      <c r="X231" s="253"/>
      <c r="Y231" s="146"/>
      <c r="Z231" s="1713"/>
      <c r="AE231" s="2461"/>
      <c r="AF231" s="68"/>
    </row>
    <row r="232" spans="1:32" x14ac:dyDescent="0.35">
      <c r="A232" s="370"/>
      <c r="B232" s="1026">
        <v>10851</v>
      </c>
      <c r="C232" s="1026"/>
      <c r="D232" s="365"/>
      <c r="E232" s="1228" t="s">
        <v>3335</v>
      </c>
      <c r="F232" s="93" t="s">
        <v>1490</v>
      </c>
      <c r="G232" s="93">
        <v>5</v>
      </c>
      <c r="H232" s="93">
        <v>6</v>
      </c>
      <c r="I232" s="685"/>
      <c r="J232" s="685"/>
      <c r="K232" s="685"/>
      <c r="L232" s="685"/>
      <c r="M232" s="1841"/>
      <c r="N232" s="685"/>
      <c r="O232" s="686"/>
      <c r="P232" s="685"/>
      <c r="Q232" s="1842">
        <f>1.848-1.514</f>
        <v>0.33400000000000007</v>
      </c>
      <c r="R232" s="1843"/>
      <c r="S232" s="105"/>
      <c r="T232" s="253"/>
      <c r="U232" s="105"/>
      <c r="V232" s="105"/>
      <c r="W232" s="146"/>
      <c r="X232" s="253"/>
      <c r="Y232" s="146"/>
      <c r="Z232" s="1713"/>
      <c r="AE232" s="2461"/>
      <c r="AF232" s="68"/>
    </row>
    <row r="233" spans="1:32" ht="45" x14ac:dyDescent="0.35">
      <c r="A233" s="1829">
        <v>87</v>
      </c>
      <c r="B233" s="365">
        <v>10851</v>
      </c>
      <c r="C233" s="358" t="s">
        <v>1656</v>
      </c>
      <c r="D233" s="2463" t="s">
        <v>5229</v>
      </c>
      <c r="E233" s="322" t="s">
        <v>9937</v>
      </c>
      <c r="F233" s="93" t="s">
        <v>664</v>
      </c>
      <c r="G233" s="93">
        <v>5</v>
      </c>
      <c r="H233" s="93">
        <v>6</v>
      </c>
      <c r="I233" s="297">
        <f>J233+K233+L233</f>
        <v>1</v>
      </c>
      <c r="J233" s="297">
        <f>SUM(M233:R233)</f>
        <v>1</v>
      </c>
      <c r="K233" s="680"/>
      <c r="L233" s="680"/>
      <c r="M233" s="2384"/>
      <c r="N233" s="680"/>
      <c r="O233" s="684"/>
      <c r="P233" s="680"/>
      <c r="Q233" s="2385"/>
      <c r="R233" s="1830">
        <v>1</v>
      </c>
      <c r="S233" s="105"/>
      <c r="T233" s="253"/>
      <c r="U233" s="105"/>
      <c r="V233" s="105"/>
      <c r="W233" s="146"/>
      <c r="X233" s="253"/>
      <c r="Y233" s="146"/>
      <c r="Z233" s="1713"/>
      <c r="AB233" s="3">
        <v>1</v>
      </c>
      <c r="AE233" s="2461"/>
      <c r="AF233" s="68"/>
    </row>
    <row r="234" spans="1:32" ht="30" x14ac:dyDescent="0.35">
      <c r="A234" s="370">
        <v>88</v>
      </c>
      <c r="B234" s="1026">
        <v>10852</v>
      </c>
      <c r="C234" s="1026"/>
      <c r="D234" s="365" t="s">
        <v>3004</v>
      </c>
      <c r="E234" s="322" t="s">
        <v>7147</v>
      </c>
      <c r="F234" s="93"/>
      <c r="G234" s="93" t="s">
        <v>191</v>
      </c>
      <c r="H234" s="93" t="s">
        <v>191</v>
      </c>
      <c r="I234" s="680">
        <f>J234+K234+L234</f>
        <v>3.84</v>
      </c>
      <c r="J234" s="680">
        <f>SUM(M234:R234)</f>
        <v>3.84</v>
      </c>
      <c r="K234" s="680"/>
      <c r="L234" s="680"/>
      <c r="M234" s="990"/>
      <c r="N234" s="1229"/>
      <c r="O234" s="684"/>
      <c r="P234" s="680"/>
      <c r="Q234" s="960"/>
      <c r="R234" s="958">
        <f>SUM(R235:R236)</f>
        <v>3.84</v>
      </c>
      <c r="S234" s="105"/>
      <c r="T234" s="253"/>
      <c r="U234" s="105"/>
      <c r="V234" s="105"/>
      <c r="W234" s="146">
        <v>2</v>
      </c>
      <c r="X234" s="253">
        <v>17.5</v>
      </c>
      <c r="Y234" s="146">
        <v>1</v>
      </c>
      <c r="Z234" s="1713">
        <v>7.5</v>
      </c>
      <c r="AB234" s="3">
        <v>1</v>
      </c>
      <c r="AE234" s="2461"/>
      <c r="AF234" s="68"/>
    </row>
    <row r="235" spans="1:32" x14ac:dyDescent="0.35">
      <c r="A235" s="370"/>
      <c r="B235" s="1026">
        <v>10852</v>
      </c>
      <c r="C235" s="1026"/>
      <c r="D235" s="365"/>
      <c r="E235" s="1227" t="s">
        <v>2078</v>
      </c>
      <c r="F235" s="93" t="s">
        <v>827</v>
      </c>
      <c r="G235" s="93">
        <v>5</v>
      </c>
      <c r="H235" s="93">
        <v>6</v>
      </c>
      <c r="I235" s="680"/>
      <c r="J235" s="680"/>
      <c r="K235" s="680"/>
      <c r="L235" s="680"/>
      <c r="M235" s="990"/>
      <c r="N235" s="1229"/>
      <c r="O235" s="684"/>
      <c r="P235" s="680"/>
      <c r="Q235" s="960"/>
      <c r="R235" s="1843">
        <v>1.9</v>
      </c>
      <c r="S235" s="105"/>
      <c r="T235" s="253"/>
      <c r="U235" s="105"/>
      <c r="V235" s="105"/>
      <c r="W235" s="146"/>
      <c r="X235" s="253"/>
      <c r="Y235" s="146"/>
      <c r="Z235" s="1713"/>
      <c r="AC235" s="3" t="s">
        <v>2570</v>
      </c>
      <c r="AE235" s="2461"/>
      <c r="AF235" s="68"/>
    </row>
    <row r="236" spans="1:32" x14ac:dyDescent="0.35">
      <c r="A236" s="370"/>
      <c r="B236" s="1026">
        <v>10852</v>
      </c>
      <c r="C236" s="1026"/>
      <c r="D236" s="365"/>
      <c r="E236" s="1227" t="s">
        <v>7148</v>
      </c>
      <c r="F236" s="93" t="s">
        <v>664</v>
      </c>
      <c r="G236" s="93">
        <v>5</v>
      </c>
      <c r="H236" s="93">
        <v>6</v>
      </c>
      <c r="I236" s="680"/>
      <c r="J236" s="680"/>
      <c r="K236" s="680"/>
      <c r="L236" s="680"/>
      <c r="M236" s="990"/>
      <c r="N236" s="1229"/>
      <c r="O236" s="684"/>
      <c r="P236" s="680"/>
      <c r="Q236" s="960"/>
      <c r="R236" s="1843">
        <f>3.84-1.9</f>
        <v>1.94</v>
      </c>
      <c r="S236" s="105"/>
      <c r="T236" s="253"/>
      <c r="U236" s="105"/>
      <c r="V236" s="105"/>
      <c r="W236" s="146"/>
      <c r="X236" s="253"/>
      <c r="Y236" s="146"/>
      <c r="Z236" s="1713"/>
      <c r="AE236" s="2461"/>
      <c r="AF236" s="68"/>
    </row>
    <row r="237" spans="1:32" ht="30" x14ac:dyDescent="0.35">
      <c r="A237" s="1829">
        <v>89</v>
      </c>
      <c r="B237" s="1026">
        <v>10853</v>
      </c>
      <c r="C237" s="1026"/>
      <c r="D237" s="365" t="s">
        <v>3005</v>
      </c>
      <c r="E237" s="322" t="s">
        <v>3626</v>
      </c>
      <c r="F237" s="93" t="s">
        <v>664</v>
      </c>
      <c r="G237" s="93">
        <v>5</v>
      </c>
      <c r="H237" s="93">
        <v>6</v>
      </c>
      <c r="I237" s="680">
        <f>J237+K237+L237</f>
        <v>3.8</v>
      </c>
      <c r="J237" s="680">
        <f>SUM(M237:R237)</f>
        <v>3.8</v>
      </c>
      <c r="K237" s="680"/>
      <c r="L237" s="680"/>
      <c r="M237" s="990"/>
      <c r="N237" s="1229"/>
      <c r="O237" s="684"/>
      <c r="P237" s="680"/>
      <c r="Q237" s="960"/>
      <c r="R237" s="958">
        <v>3.8</v>
      </c>
      <c r="S237" s="105"/>
      <c r="T237" s="253"/>
      <c r="U237" s="105"/>
      <c r="V237" s="105"/>
      <c r="W237" s="146"/>
      <c r="X237" s="253"/>
      <c r="Y237" s="146"/>
      <c r="Z237" s="1713"/>
      <c r="AB237" s="3">
        <v>1</v>
      </c>
      <c r="AE237" s="2461"/>
      <c r="AF237" s="68"/>
    </row>
    <row r="238" spans="1:32" ht="30" x14ac:dyDescent="0.35">
      <c r="A238" s="370">
        <v>90</v>
      </c>
      <c r="B238" s="1026">
        <v>10853</v>
      </c>
      <c r="C238" s="1026"/>
      <c r="D238" s="2463" t="s">
        <v>5230</v>
      </c>
      <c r="E238" s="1831" t="s">
        <v>9191</v>
      </c>
      <c r="F238" s="93" t="s">
        <v>664</v>
      </c>
      <c r="G238" s="93">
        <v>5</v>
      </c>
      <c r="H238" s="93">
        <v>6</v>
      </c>
      <c r="I238" s="680">
        <f>J238+K238+L238</f>
        <v>0.9</v>
      </c>
      <c r="J238" s="680">
        <f>SUM(M238:R238)</f>
        <v>0.9</v>
      </c>
      <c r="K238" s="680"/>
      <c r="L238" s="680"/>
      <c r="M238" s="990"/>
      <c r="N238" s="1229"/>
      <c r="O238" s="684"/>
      <c r="P238" s="680"/>
      <c r="Q238" s="960"/>
      <c r="R238" s="958">
        <v>0.9</v>
      </c>
      <c r="S238" s="105"/>
      <c r="T238" s="253"/>
      <c r="U238" s="105"/>
      <c r="V238" s="105"/>
      <c r="W238" s="146"/>
      <c r="X238" s="253"/>
      <c r="Y238" s="146"/>
      <c r="Z238" s="1713"/>
      <c r="AB238" s="3">
        <v>1</v>
      </c>
      <c r="AE238" s="2461"/>
      <c r="AF238" s="68"/>
    </row>
    <row r="239" spans="1:32" ht="30" x14ac:dyDescent="0.35">
      <c r="A239" s="1829">
        <v>91</v>
      </c>
      <c r="B239" s="1026">
        <v>10854</v>
      </c>
      <c r="C239" s="1026"/>
      <c r="D239" s="365" t="s">
        <v>1207</v>
      </c>
      <c r="E239" s="322" t="s">
        <v>9938</v>
      </c>
      <c r="F239" s="93"/>
      <c r="G239" s="93" t="s">
        <v>191</v>
      </c>
      <c r="H239" s="93" t="s">
        <v>191</v>
      </c>
      <c r="I239" s="680">
        <f t="shared" ref="I239:I249" si="13">J239+K239+L239</f>
        <v>5</v>
      </c>
      <c r="J239" s="680">
        <f t="shared" ref="J239:J249" si="14">SUM(M239:R239)</f>
        <v>5</v>
      </c>
      <c r="K239" s="680"/>
      <c r="L239" s="680"/>
      <c r="M239" s="990"/>
      <c r="N239" s="1229"/>
      <c r="O239" s="684"/>
      <c r="P239" s="680"/>
      <c r="Q239" s="960"/>
      <c r="R239" s="958">
        <f>SUM(R240:R241)</f>
        <v>5</v>
      </c>
      <c r="S239" s="105"/>
      <c r="T239" s="253"/>
      <c r="U239" s="105"/>
      <c r="V239" s="105"/>
      <c r="W239" s="146"/>
      <c r="X239" s="253"/>
      <c r="Y239" s="146"/>
      <c r="Z239" s="1713"/>
      <c r="AB239" s="3">
        <v>1</v>
      </c>
      <c r="AE239" s="2461"/>
      <c r="AF239" s="68"/>
    </row>
    <row r="240" spans="1:32" x14ac:dyDescent="0.35">
      <c r="A240" s="1829"/>
      <c r="B240" s="1026">
        <v>10854</v>
      </c>
      <c r="C240" s="1026"/>
      <c r="D240" s="365"/>
      <c r="E240" s="1227" t="s">
        <v>556</v>
      </c>
      <c r="F240" s="93" t="s">
        <v>664</v>
      </c>
      <c r="G240" s="93">
        <v>5</v>
      </c>
      <c r="H240" s="93">
        <v>6</v>
      </c>
      <c r="I240" s="685"/>
      <c r="J240" s="685"/>
      <c r="K240" s="685"/>
      <c r="L240" s="685"/>
      <c r="M240" s="1841"/>
      <c r="N240" s="685"/>
      <c r="O240" s="686"/>
      <c r="P240" s="685"/>
      <c r="Q240" s="1842"/>
      <c r="R240" s="1843">
        <v>3.6</v>
      </c>
      <c r="S240" s="105"/>
      <c r="T240" s="253"/>
      <c r="U240" s="105"/>
      <c r="V240" s="105"/>
      <c r="W240" s="146"/>
      <c r="X240" s="253"/>
      <c r="Y240" s="146"/>
      <c r="Z240" s="1713"/>
      <c r="AE240" s="2461"/>
      <c r="AF240" s="68"/>
    </row>
    <row r="241" spans="1:32" x14ac:dyDescent="0.35">
      <c r="A241" s="1829"/>
      <c r="B241" s="1026">
        <v>10854</v>
      </c>
      <c r="C241" s="1026"/>
      <c r="D241" s="365"/>
      <c r="E241" s="1227" t="s">
        <v>1695</v>
      </c>
      <c r="F241" s="93" t="s">
        <v>1490</v>
      </c>
      <c r="G241" s="93">
        <v>5</v>
      </c>
      <c r="H241" s="93">
        <v>6</v>
      </c>
      <c r="I241" s="685"/>
      <c r="J241" s="685"/>
      <c r="K241" s="685"/>
      <c r="L241" s="685"/>
      <c r="M241" s="1841"/>
      <c r="N241" s="685"/>
      <c r="O241" s="686"/>
      <c r="P241" s="685"/>
      <c r="Q241" s="1842"/>
      <c r="R241" s="1843">
        <v>1.4</v>
      </c>
      <c r="S241" s="105"/>
      <c r="T241" s="253"/>
      <c r="U241" s="105"/>
      <c r="V241" s="105"/>
      <c r="W241" s="146"/>
      <c r="X241" s="253"/>
      <c r="Y241" s="146"/>
      <c r="Z241" s="1713"/>
      <c r="AE241" s="2461"/>
      <c r="AF241" s="68"/>
    </row>
    <row r="242" spans="1:32" ht="45" x14ac:dyDescent="0.35">
      <c r="A242" s="370">
        <v>92</v>
      </c>
      <c r="B242" s="365">
        <v>10854</v>
      </c>
      <c r="C242" s="358" t="s">
        <v>1656</v>
      </c>
      <c r="D242" s="2463" t="s">
        <v>5231</v>
      </c>
      <c r="E242" s="322" t="s">
        <v>9939</v>
      </c>
      <c r="F242" s="93" t="s">
        <v>664</v>
      </c>
      <c r="G242" s="93">
        <v>5</v>
      </c>
      <c r="H242" s="93">
        <v>6</v>
      </c>
      <c r="I242" s="297">
        <f t="shared" si="13"/>
        <v>2.1</v>
      </c>
      <c r="J242" s="297">
        <f t="shared" si="14"/>
        <v>2.1</v>
      </c>
      <c r="K242" s="685"/>
      <c r="L242" s="685"/>
      <c r="M242" s="2384"/>
      <c r="N242" s="680"/>
      <c r="O242" s="684"/>
      <c r="P242" s="680"/>
      <c r="Q242" s="2385"/>
      <c r="R242" s="1830">
        <v>2.1</v>
      </c>
      <c r="S242" s="93"/>
      <c r="T242" s="252"/>
      <c r="U242" s="93"/>
      <c r="V242" s="93"/>
      <c r="W242" s="147"/>
      <c r="X242" s="252"/>
      <c r="Y242" s="147"/>
      <c r="Z242" s="1715"/>
      <c r="AB242" s="3">
        <v>1</v>
      </c>
      <c r="AE242" s="2461"/>
      <c r="AF242" s="68"/>
    </row>
    <row r="243" spans="1:32" ht="30" x14ac:dyDescent="0.35">
      <c r="A243" s="1829">
        <v>93</v>
      </c>
      <c r="B243" s="1026">
        <v>10855</v>
      </c>
      <c r="C243" s="1026"/>
      <c r="D243" s="365" t="s">
        <v>1208</v>
      </c>
      <c r="E243" s="322" t="s">
        <v>1478</v>
      </c>
      <c r="F243" s="93" t="s">
        <v>827</v>
      </c>
      <c r="G243" s="93">
        <v>5</v>
      </c>
      <c r="H243" s="93">
        <v>6</v>
      </c>
      <c r="I243" s="680">
        <f t="shared" si="13"/>
        <v>1.8</v>
      </c>
      <c r="J243" s="680">
        <f t="shared" si="14"/>
        <v>1.8</v>
      </c>
      <c r="K243" s="680"/>
      <c r="L243" s="680"/>
      <c r="M243" s="990"/>
      <c r="N243" s="1229">
        <v>1.8</v>
      </c>
      <c r="O243" s="684"/>
      <c r="P243" s="680"/>
      <c r="Q243" s="960"/>
      <c r="R243" s="958"/>
      <c r="S243" s="105"/>
      <c r="T243" s="253"/>
      <c r="U243" s="105"/>
      <c r="V243" s="105"/>
      <c r="W243" s="146"/>
      <c r="X243" s="253"/>
      <c r="Y243" s="146"/>
      <c r="Z243" s="1713"/>
      <c r="AB243" s="3">
        <v>1</v>
      </c>
      <c r="AE243" s="2461"/>
      <c r="AF243" s="68"/>
    </row>
    <row r="244" spans="1:32" ht="30" x14ac:dyDescent="0.35">
      <c r="A244" s="370">
        <v>94</v>
      </c>
      <c r="B244" s="365">
        <v>10855</v>
      </c>
      <c r="C244" s="358" t="s">
        <v>1656</v>
      </c>
      <c r="D244" s="2463" t="s">
        <v>5232</v>
      </c>
      <c r="E244" s="322" t="s">
        <v>8650</v>
      </c>
      <c r="F244" s="93"/>
      <c r="G244" s="93" t="s">
        <v>191</v>
      </c>
      <c r="H244" s="93" t="s">
        <v>191</v>
      </c>
      <c r="I244" s="297">
        <f t="shared" si="13"/>
        <v>0.4</v>
      </c>
      <c r="J244" s="297">
        <f t="shared" si="14"/>
        <v>0.4</v>
      </c>
      <c r="K244" s="680"/>
      <c r="L244" s="680"/>
      <c r="M244" s="2384"/>
      <c r="N244" s="680">
        <f>SUM(N245:N246)</f>
        <v>0.2</v>
      </c>
      <c r="O244" s="684"/>
      <c r="P244" s="680"/>
      <c r="Q244" s="2385"/>
      <c r="R244" s="1830">
        <f>SUM(R245:R246)</f>
        <v>0.2</v>
      </c>
      <c r="S244" s="105"/>
      <c r="T244" s="253"/>
      <c r="U244" s="105"/>
      <c r="V244" s="105"/>
      <c r="W244" s="146"/>
      <c r="X244" s="253"/>
      <c r="Y244" s="146"/>
      <c r="Z244" s="1713"/>
      <c r="AB244" s="3">
        <v>1</v>
      </c>
      <c r="AE244" s="2461"/>
      <c r="AF244" s="68"/>
    </row>
    <row r="245" spans="1:32" x14ac:dyDescent="0.35">
      <c r="A245" s="370"/>
      <c r="B245" s="365">
        <v>10855</v>
      </c>
      <c r="C245" s="1024"/>
      <c r="D245" s="365"/>
      <c r="E245" s="2067" t="s">
        <v>1024</v>
      </c>
      <c r="F245" s="93" t="s">
        <v>1490</v>
      </c>
      <c r="G245" s="93">
        <v>5</v>
      </c>
      <c r="H245" s="93">
        <v>6</v>
      </c>
      <c r="I245" s="298"/>
      <c r="J245" s="298"/>
      <c r="K245" s="685"/>
      <c r="L245" s="685"/>
      <c r="M245" s="1841"/>
      <c r="N245" s="685">
        <v>0.2</v>
      </c>
      <c r="O245" s="686"/>
      <c r="P245" s="685"/>
      <c r="Q245" s="1842"/>
      <c r="R245" s="1843"/>
      <c r="S245" s="105"/>
      <c r="T245" s="253"/>
      <c r="U245" s="105"/>
      <c r="V245" s="105"/>
      <c r="W245" s="146"/>
      <c r="X245" s="253"/>
      <c r="Y245" s="146"/>
      <c r="Z245" s="1713"/>
      <c r="AE245" s="2461"/>
      <c r="AF245" s="68"/>
    </row>
    <row r="246" spans="1:32" x14ac:dyDescent="0.35">
      <c r="A246" s="370"/>
      <c r="B246" s="365">
        <v>10855</v>
      </c>
      <c r="C246" s="1024"/>
      <c r="D246" s="365"/>
      <c r="E246" s="1227" t="s">
        <v>1025</v>
      </c>
      <c r="F246" s="93" t="s">
        <v>664</v>
      </c>
      <c r="G246" s="93">
        <v>5</v>
      </c>
      <c r="H246" s="93">
        <v>6</v>
      </c>
      <c r="I246" s="298"/>
      <c r="J246" s="298"/>
      <c r="K246" s="685"/>
      <c r="L246" s="685"/>
      <c r="M246" s="1841"/>
      <c r="N246" s="685"/>
      <c r="O246" s="686"/>
      <c r="P246" s="685"/>
      <c r="Q246" s="1842"/>
      <c r="R246" s="1843">
        <v>0.2</v>
      </c>
      <c r="S246" s="105"/>
      <c r="T246" s="253"/>
      <c r="U246" s="105"/>
      <c r="V246" s="105"/>
      <c r="W246" s="146"/>
      <c r="X246" s="253"/>
      <c r="Y246" s="146"/>
      <c r="Z246" s="1713"/>
      <c r="AE246" s="2461"/>
      <c r="AF246" s="68"/>
    </row>
    <row r="247" spans="1:32" ht="30" x14ac:dyDescent="0.35">
      <c r="A247" s="1829">
        <v>95</v>
      </c>
      <c r="B247" s="1026">
        <v>10856</v>
      </c>
      <c r="C247" s="1026"/>
      <c r="D247" s="365" t="s">
        <v>1209</v>
      </c>
      <c r="E247" s="322" t="s">
        <v>2865</v>
      </c>
      <c r="F247" s="93" t="s">
        <v>827</v>
      </c>
      <c r="G247" s="93">
        <v>5</v>
      </c>
      <c r="H247" s="93">
        <v>6</v>
      </c>
      <c r="I247" s="680">
        <f t="shared" si="13"/>
        <v>3</v>
      </c>
      <c r="J247" s="680">
        <f t="shared" si="14"/>
        <v>3</v>
      </c>
      <c r="K247" s="680"/>
      <c r="L247" s="680"/>
      <c r="M247" s="990"/>
      <c r="N247" s="1229"/>
      <c r="O247" s="684"/>
      <c r="P247" s="680"/>
      <c r="Q247" s="960"/>
      <c r="R247" s="958">
        <v>3</v>
      </c>
      <c r="S247" s="105"/>
      <c r="T247" s="253"/>
      <c r="U247" s="105"/>
      <c r="V247" s="105"/>
      <c r="W247" s="146">
        <v>4</v>
      </c>
      <c r="X247" s="253">
        <v>70</v>
      </c>
      <c r="Y247" s="146"/>
      <c r="Z247" s="1713"/>
      <c r="AB247" s="3">
        <v>1</v>
      </c>
      <c r="AE247" s="2461"/>
      <c r="AF247" s="68"/>
    </row>
    <row r="248" spans="1:32" ht="30" x14ac:dyDescent="0.35">
      <c r="A248" s="370">
        <v>96</v>
      </c>
      <c r="B248" s="365">
        <v>10856</v>
      </c>
      <c r="C248" s="358" t="s">
        <v>1656</v>
      </c>
      <c r="D248" s="2463" t="s">
        <v>5233</v>
      </c>
      <c r="E248" s="322" t="s">
        <v>8651</v>
      </c>
      <c r="F248" s="93" t="s">
        <v>664</v>
      </c>
      <c r="G248" s="93">
        <v>5</v>
      </c>
      <c r="H248" s="93">
        <v>6</v>
      </c>
      <c r="I248" s="297">
        <f t="shared" si="13"/>
        <v>0.2</v>
      </c>
      <c r="J248" s="297">
        <f t="shared" si="14"/>
        <v>0.2</v>
      </c>
      <c r="K248" s="685"/>
      <c r="L248" s="685"/>
      <c r="M248" s="2384"/>
      <c r="N248" s="680"/>
      <c r="O248" s="684"/>
      <c r="P248" s="680"/>
      <c r="Q248" s="2385"/>
      <c r="R248" s="1830">
        <v>0.2</v>
      </c>
      <c r="S248" s="93"/>
      <c r="T248" s="252"/>
      <c r="U248" s="93"/>
      <c r="V248" s="93"/>
      <c r="W248" s="147"/>
      <c r="X248" s="252"/>
      <c r="Y248" s="147"/>
      <c r="Z248" s="1715"/>
      <c r="AB248" s="3">
        <v>1</v>
      </c>
      <c r="AE248" s="2461"/>
      <c r="AF248" s="68"/>
    </row>
    <row r="249" spans="1:32" ht="30" x14ac:dyDescent="0.35">
      <c r="A249" s="1829">
        <v>97</v>
      </c>
      <c r="B249" s="1026">
        <v>10857</v>
      </c>
      <c r="C249" s="1026"/>
      <c r="D249" s="365" t="s">
        <v>1210</v>
      </c>
      <c r="E249" s="322" t="s">
        <v>3291</v>
      </c>
      <c r="F249" s="93" t="s">
        <v>664</v>
      </c>
      <c r="G249" s="93">
        <v>5</v>
      </c>
      <c r="H249" s="93">
        <v>6</v>
      </c>
      <c r="I249" s="680">
        <f t="shared" si="13"/>
        <v>2.7</v>
      </c>
      <c r="J249" s="680">
        <f t="shared" si="14"/>
        <v>2.7</v>
      </c>
      <c r="K249" s="680"/>
      <c r="L249" s="680"/>
      <c r="M249" s="990"/>
      <c r="N249" s="1229"/>
      <c r="O249" s="684"/>
      <c r="P249" s="680"/>
      <c r="Q249" s="960"/>
      <c r="R249" s="958">
        <v>2.7</v>
      </c>
      <c r="S249" s="105"/>
      <c r="T249" s="253"/>
      <c r="U249" s="105"/>
      <c r="V249" s="105"/>
      <c r="W249" s="146"/>
      <c r="X249" s="253"/>
      <c r="Y249" s="146"/>
      <c r="Z249" s="1713"/>
      <c r="AB249" s="3">
        <v>1</v>
      </c>
      <c r="AE249" s="2461"/>
      <c r="AF249" s="68"/>
    </row>
    <row r="250" spans="1:32" ht="30" x14ac:dyDescent="0.35">
      <c r="A250" s="370">
        <v>98</v>
      </c>
      <c r="B250" s="1026">
        <v>10857</v>
      </c>
      <c r="C250" s="365" t="s">
        <v>1656</v>
      </c>
      <c r="D250" s="2463" t="s">
        <v>5234</v>
      </c>
      <c r="E250" s="322" t="s">
        <v>8652</v>
      </c>
      <c r="F250" s="93" t="s">
        <v>664</v>
      </c>
      <c r="G250" s="93">
        <v>5</v>
      </c>
      <c r="H250" s="93">
        <v>6</v>
      </c>
      <c r="I250" s="680">
        <v>1</v>
      </c>
      <c r="J250" s="680">
        <v>1</v>
      </c>
      <c r="K250" s="680"/>
      <c r="L250" s="680"/>
      <c r="M250" s="990"/>
      <c r="N250" s="1229"/>
      <c r="O250" s="684"/>
      <c r="P250" s="680"/>
      <c r="Q250" s="960"/>
      <c r="R250" s="958">
        <v>1</v>
      </c>
      <c r="S250" s="105"/>
      <c r="T250" s="253"/>
      <c r="U250" s="105"/>
      <c r="V250" s="105"/>
      <c r="W250" s="146"/>
      <c r="X250" s="253"/>
      <c r="Y250" s="146"/>
      <c r="Z250" s="1713"/>
      <c r="AB250" s="3">
        <v>1</v>
      </c>
      <c r="AE250" s="2461"/>
      <c r="AF250" s="68"/>
    </row>
    <row r="251" spans="1:32" ht="30" x14ac:dyDescent="0.35">
      <c r="A251" s="1829">
        <v>99</v>
      </c>
      <c r="B251" s="365">
        <v>10857</v>
      </c>
      <c r="C251" s="358" t="s">
        <v>1656</v>
      </c>
      <c r="D251" s="2463" t="s">
        <v>5235</v>
      </c>
      <c r="E251" s="322" t="s">
        <v>8653</v>
      </c>
      <c r="F251" s="93" t="s">
        <v>664</v>
      </c>
      <c r="G251" s="93">
        <v>5</v>
      </c>
      <c r="H251" s="93">
        <v>6</v>
      </c>
      <c r="I251" s="297">
        <f>J251+K251+L251</f>
        <v>0.33</v>
      </c>
      <c r="J251" s="297">
        <f>SUM(M251:R251)</f>
        <v>0.33</v>
      </c>
      <c r="K251" s="685"/>
      <c r="L251" s="685"/>
      <c r="M251" s="2384"/>
      <c r="N251" s="680"/>
      <c r="O251" s="684"/>
      <c r="P251" s="680"/>
      <c r="Q251" s="2385"/>
      <c r="R251" s="1830">
        <v>0.33</v>
      </c>
      <c r="S251" s="93"/>
      <c r="T251" s="252"/>
      <c r="U251" s="93"/>
      <c r="V251" s="93"/>
      <c r="W251" s="147"/>
      <c r="X251" s="252"/>
      <c r="Y251" s="147"/>
      <c r="Z251" s="1715"/>
      <c r="AB251" s="3">
        <v>1</v>
      </c>
      <c r="AE251" s="2461"/>
      <c r="AF251" s="68"/>
    </row>
    <row r="252" spans="1:32" ht="30" x14ac:dyDescent="0.35">
      <c r="A252" s="370">
        <v>100</v>
      </c>
      <c r="B252" s="1026">
        <v>10858</v>
      </c>
      <c r="C252" s="1026"/>
      <c r="D252" s="365" t="s">
        <v>1211</v>
      </c>
      <c r="E252" s="322" t="s">
        <v>9940</v>
      </c>
      <c r="F252" s="93"/>
      <c r="G252" s="93" t="s">
        <v>191</v>
      </c>
      <c r="H252" s="93" t="s">
        <v>191</v>
      </c>
      <c r="I252" s="680">
        <f>J252+K252+L252</f>
        <v>2.8</v>
      </c>
      <c r="J252" s="680">
        <f>SUM(M252:R252)</f>
        <v>2.8</v>
      </c>
      <c r="K252" s="680"/>
      <c r="L252" s="680"/>
      <c r="M252" s="990"/>
      <c r="N252" s="1229">
        <f>SUM(N253:N255)</f>
        <v>0.7</v>
      </c>
      <c r="O252" s="684"/>
      <c r="P252" s="680"/>
      <c r="Q252" s="960">
        <f>SUM(Q253:Q255)</f>
        <v>2.0999999999999996</v>
      </c>
      <c r="R252" s="958"/>
      <c r="S252" s="105"/>
      <c r="T252" s="253"/>
      <c r="U252" s="105"/>
      <c r="V252" s="105"/>
      <c r="W252" s="146">
        <v>9</v>
      </c>
      <c r="X252" s="253">
        <v>140</v>
      </c>
      <c r="Y252" s="146">
        <v>3</v>
      </c>
      <c r="Z252" s="1713">
        <v>30</v>
      </c>
      <c r="AB252" s="3">
        <v>1</v>
      </c>
      <c r="AE252" s="2461"/>
      <c r="AF252" s="68"/>
    </row>
    <row r="253" spans="1:32" x14ac:dyDescent="0.35">
      <c r="A253" s="1580"/>
      <c r="B253" s="1026">
        <v>10858</v>
      </c>
      <c r="C253" s="1026"/>
      <c r="D253" s="368"/>
      <c r="E253" s="1228" t="s">
        <v>173</v>
      </c>
      <c r="F253" s="93">
        <v>4</v>
      </c>
      <c r="G253" s="93">
        <v>5</v>
      </c>
      <c r="H253" s="93">
        <v>6</v>
      </c>
      <c r="I253" s="685"/>
      <c r="J253" s="685"/>
      <c r="K253" s="685"/>
      <c r="L253" s="685"/>
      <c r="M253" s="1225"/>
      <c r="N253" s="1232"/>
      <c r="O253" s="686"/>
      <c r="P253" s="685"/>
      <c r="Q253" s="1222">
        <v>0.5</v>
      </c>
      <c r="R253" s="1219"/>
      <c r="S253" s="93"/>
      <c r="T253" s="252"/>
      <c r="U253" s="93"/>
      <c r="V253" s="93"/>
      <c r="W253" s="147"/>
      <c r="X253" s="252"/>
      <c r="Y253" s="147"/>
      <c r="Z253" s="1715"/>
      <c r="AE253" s="2461"/>
      <c r="AF253" s="68"/>
    </row>
    <row r="254" spans="1:32" x14ac:dyDescent="0.35">
      <c r="A254" s="1580"/>
      <c r="B254" s="1026">
        <v>10858</v>
      </c>
      <c r="C254" s="1026"/>
      <c r="D254" s="368"/>
      <c r="E254" s="324" t="s">
        <v>397</v>
      </c>
      <c r="F254" s="93">
        <v>4</v>
      </c>
      <c r="G254" s="93">
        <v>5</v>
      </c>
      <c r="H254" s="93">
        <v>6</v>
      </c>
      <c r="I254" s="685"/>
      <c r="J254" s="685"/>
      <c r="K254" s="685"/>
      <c r="L254" s="685"/>
      <c r="M254" s="1225"/>
      <c r="N254" s="1232">
        <v>0.7</v>
      </c>
      <c r="O254" s="686"/>
      <c r="P254" s="685"/>
      <c r="Q254" s="1222"/>
      <c r="R254" s="1219"/>
      <c r="S254" s="93"/>
      <c r="T254" s="252"/>
      <c r="U254" s="93"/>
      <c r="V254" s="93"/>
      <c r="W254" s="147"/>
      <c r="X254" s="252"/>
      <c r="Y254" s="147"/>
      <c r="Z254" s="1715"/>
      <c r="AE254" s="2461"/>
      <c r="AF254" s="68"/>
    </row>
    <row r="255" spans="1:32" x14ac:dyDescent="0.35">
      <c r="A255" s="1580"/>
      <c r="B255" s="1026">
        <v>10858</v>
      </c>
      <c r="C255" s="1026"/>
      <c r="D255" s="368"/>
      <c r="E255" s="1228" t="s">
        <v>3630</v>
      </c>
      <c r="F255" s="93">
        <v>4</v>
      </c>
      <c r="G255" s="93">
        <v>5</v>
      </c>
      <c r="H255" s="93">
        <v>6</v>
      </c>
      <c r="I255" s="685"/>
      <c r="J255" s="685"/>
      <c r="K255" s="685"/>
      <c r="L255" s="685"/>
      <c r="M255" s="1225"/>
      <c r="N255" s="1232"/>
      <c r="O255" s="686"/>
      <c r="P255" s="685"/>
      <c r="Q255" s="1222">
        <f>2.8-1.2</f>
        <v>1.5999999999999999</v>
      </c>
      <c r="R255" s="1219"/>
      <c r="S255" s="93"/>
      <c r="T255" s="252"/>
      <c r="U255" s="93"/>
      <c r="V255" s="93"/>
      <c r="W255" s="147"/>
      <c r="X255" s="252"/>
      <c r="Y255" s="147"/>
      <c r="Z255" s="1715"/>
      <c r="AE255" s="2461"/>
      <c r="AF255" s="68"/>
    </row>
    <row r="256" spans="1:32" ht="30" x14ac:dyDescent="0.35">
      <c r="A256" s="370">
        <v>101</v>
      </c>
      <c r="B256" s="1026">
        <v>10859</v>
      </c>
      <c r="C256" s="1026"/>
      <c r="D256" s="365" t="s">
        <v>3265</v>
      </c>
      <c r="E256" s="322" t="s">
        <v>398</v>
      </c>
      <c r="F256" s="93" t="s">
        <v>664</v>
      </c>
      <c r="G256" s="93">
        <v>5</v>
      </c>
      <c r="H256" s="93">
        <v>6</v>
      </c>
      <c r="I256" s="680">
        <f>J256+K256+L256</f>
        <v>3.7</v>
      </c>
      <c r="J256" s="680">
        <f>SUM(M256:R256)</f>
        <v>3.7</v>
      </c>
      <c r="K256" s="680"/>
      <c r="L256" s="680"/>
      <c r="M256" s="990"/>
      <c r="N256" s="1229"/>
      <c r="O256" s="684"/>
      <c r="P256" s="680"/>
      <c r="Q256" s="960"/>
      <c r="R256" s="958">
        <v>3.7</v>
      </c>
      <c r="S256" s="105"/>
      <c r="T256" s="253"/>
      <c r="U256" s="105"/>
      <c r="V256" s="105"/>
      <c r="W256" s="146">
        <v>1</v>
      </c>
      <c r="X256" s="253">
        <v>10</v>
      </c>
      <c r="Y256" s="146"/>
      <c r="Z256" s="1713"/>
      <c r="AB256" s="3">
        <v>1</v>
      </c>
      <c r="AE256" s="2461"/>
      <c r="AF256" s="68"/>
    </row>
    <row r="257" spans="1:32" ht="30" x14ac:dyDescent="0.35">
      <c r="A257" s="2138">
        <v>102</v>
      </c>
      <c r="B257" s="1066">
        <v>10859</v>
      </c>
      <c r="C257" s="365" t="s">
        <v>1656</v>
      </c>
      <c r="D257" s="2463" t="s">
        <v>5236</v>
      </c>
      <c r="E257" s="2344" t="s">
        <v>8654</v>
      </c>
      <c r="F257" s="93" t="s">
        <v>664</v>
      </c>
      <c r="G257" s="93">
        <v>5</v>
      </c>
      <c r="H257" s="93">
        <v>6</v>
      </c>
      <c r="I257" s="680">
        <f>J257+K257+L257</f>
        <v>0.5</v>
      </c>
      <c r="J257" s="680">
        <f>M257+N257+O257+P257+Q257+R257</f>
        <v>0.5</v>
      </c>
      <c r="K257" s="681"/>
      <c r="L257" s="681"/>
      <c r="M257" s="991"/>
      <c r="N257" s="1230"/>
      <c r="O257" s="687"/>
      <c r="P257" s="681"/>
      <c r="Q257" s="961"/>
      <c r="R257" s="2137">
        <v>0.5</v>
      </c>
      <c r="S257" s="93"/>
      <c r="T257" s="93"/>
      <c r="U257" s="93"/>
      <c r="V257" s="93"/>
      <c r="W257" s="93"/>
      <c r="X257" s="252"/>
      <c r="Y257" s="93"/>
      <c r="Z257" s="93"/>
      <c r="AB257" s="3">
        <v>1</v>
      </c>
      <c r="AE257" s="2461"/>
      <c r="AF257" s="68"/>
    </row>
    <row r="258" spans="1:32" ht="30" x14ac:dyDescent="0.35">
      <c r="A258" s="370">
        <v>103</v>
      </c>
      <c r="B258" s="1026">
        <v>10860</v>
      </c>
      <c r="C258" s="1026"/>
      <c r="D258" s="365" t="s">
        <v>2199</v>
      </c>
      <c r="E258" s="322" t="s">
        <v>494</v>
      </c>
      <c r="F258" s="93" t="s">
        <v>664</v>
      </c>
      <c r="G258" s="93">
        <v>5</v>
      </c>
      <c r="H258" s="93">
        <v>6</v>
      </c>
      <c r="I258" s="680">
        <f>J258+K258+L258</f>
        <v>2.5</v>
      </c>
      <c r="J258" s="680">
        <f>SUM(M258:R258)</f>
        <v>2.5</v>
      </c>
      <c r="K258" s="680"/>
      <c r="L258" s="680"/>
      <c r="M258" s="990"/>
      <c r="N258" s="1229"/>
      <c r="O258" s="684"/>
      <c r="P258" s="680"/>
      <c r="Q258" s="960"/>
      <c r="R258" s="958">
        <v>2.5</v>
      </c>
      <c r="S258" s="105"/>
      <c r="T258" s="253"/>
      <c r="U258" s="105"/>
      <c r="V258" s="105"/>
      <c r="W258" s="146"/>
      <c r="X258" s="253"/>
      <c r="Y258" s="146"/>
      <c r="Z258" s="1713"/>
      <c r="AB258" s="3">
        <v>1</v>
      </c>
      <c r="AE258" s="2461"/>
      <c r="AF258" s="68"/>
    </row>
    <row r="259" spans="1:32" ht="30" x14ac:dyDescent="0.35">
      <c r="A259" s="2138">
        <v>104</v>
      </c>
      <c r="B259" s="365">
        <v>10860</v>
      </c>
      <c r="C259" s="358" t="s">
        <v>1656</v>
      </c>
      <c r="D259" s="2463" t="s">
        <v>5237</v>
      </c>
      <c r="E259" s="322" t="s">
        <v>8655</v>
      </c>
      <c r="F259" s="93" t="s">
        <v>664</v>
      </c>
      <c r="G259" s="93">
        <v>5</v>
      </c>
      <c r="H259" s="93">
        <v>6</v>
      </c>
      <c r="I259" s="297">
        <f>J259+K259+L259</f>
        <v>0.3</v>
      </c>
      <c r="J259" s="297">
        <f>SUM(M259:R259)</f>
        <v>0.3</v>
      </c>
      <c r="K259" s="685"/>
      <c r="L259" s="685"/>
      <c r="M259" s="2384"/>
      <c r="N259" s="680"/>
      <c r="O259" s="684"/>
      <c r="P259" s="680"/>
      <c r="Q259" s="2385"/>
      <c r="R259" s="1830">
        <v>0.3</v>
      </c>
      <c r="S259" s="93"/>
      <c r="T259" s="252"/>
      <c r="U259" s="93"/>
      <c r="V259" s="93"/>
      <c r="W259" s="147"/>
      <c r="X259" s="252"/>
      <c r="Y259" s="147"/>
      <c r="Z259" s="1715"/>
      <c r="AB259" s="3">
        <v>1</v>
      </c>
      <c r="AE259" s="2461"/>
      <c r="AF259" s="68"/>
    </row>
    <row r="260" spans="1:32" ht="30" x14ac:dyDescent="0.35">
      <c r="A260" s="370">
        <v>105</v>
      </c>
      <c r="B260" s="1026">
        <v>10861</v>
      </c>
      <c r="C260" s="1026"/>
      <c r="D260" s="365" t="s">
        <v>2200</v>
      </c>
      <c r="E260" s="322" t="s">
        <v>9579</v>
      </c>
      <c r="F260" s="93"/>
      <c r="G260" s="93" t="s">
        <v>191</v>
      </c>
      <c r="H260" s="93" t="s">
        <v>191</v>
      </c>
      <c r="I260" s="680">
        <f>J260+K260+L260</f>
        <v>2.9000000000000004</v>
      </c>
      <c r="J260" s="680">
        <f>SUM(M260:R260)</f>
        <v>2.9000000000000004</v>
      </c>
      <c r="K260" s="680"/>
      <c r="L260" s="680"/>
      <c r="M260" s="990"/>
      <c r="N260" s="1229"/>
      <c r="O260" s="684"/>
      <c r="P260" s="680"/>
      <c r="Q260" s="960">
        <f>SUM(Q261:Q262)</f>
        <v>0.8</v>
      </c>
      <c r="R260" s="958">
        <f>SUM(R261:R262)</f>
        <v>2.1</v>
      </c>
      <c r="S260" s="105"/>
      <c r="T260" s="253"/>
      <c r="U260" s="105"/>
      <c r="V260" s="105"/>
      <c r="W260" s="146"/>
      <c r="X260" s="253"/>
      <c r="Y260" s="146"/>
      <c r="Z260" s="1713"/>
      <c r="AB260" s="3">
        <v>1</v>
      </c>
      <c r="AE260" s="2461"/>
      <c r="AF260" s="68"/>
    </row>
    <row r="261" spans="1:32" x14ac:dyDescent="0.35">
      <c r="A261" s="1580"/>
      <c r="B261" s="1026">
        <v>10861</v>
      </c>
      <c r="C261" s="1026"/>
      <c r="D261" s="368"/>
      <c r="E261" s="1228" t="s">
        <v>1989</v>
      </c>
      <c r="F261" s="93">
        <v>5</v>
      </c>
      <c r="G261" s="93">
        <v>5</v>
      </c>
      <c r="H261" s="93">
        <v>6</v>
      </c>
      <c r="I261" s="685"/>
      <c r="J261" s="685"/>
      <c r="K261" s="685"/>
      <c r="L261" s="685"/>
      <c r="M261" s="1225"/>
      <c r="N261" s="1232"/>
      <c r="O261" s="686"/>
      <c r="P261" s="685"/>
      <c r="Q261" s="1222">
        <v>0.8</v>
      </c>
      <c r="R261" s="1219"/>
      <c r="S261" s="93"/>
      <c r="T261" s="252"/>
      <c r="U261" s="93"/>
      <c r="V261" s="93"/>
      <c r="W261" s="147"/>
      <c r="X261" s="252"/>
      <c r="Y261" s="147"/>
      <c r="Z261" s="1715"/>
      <c r="AE261" s="2461"/>
      <c r="AF261" s="68"/>
    </row>
    <row r="262" spans="1:32" x14ac:dyDescent="0.35">
      <c r="A262" s="1580"/>
      <c r="B262" s="1026">
        <v>10861</v>
      </c>
      <c r="C262" s="1026"/>
      <c r="D262" s="368"/>
      <c r="E262" s="1227" t="s">
        <v>354</v>
      </c>
      <c r="F262" s="93" t="s">
        <v>664</v>
      </c>
      <c r="G262" s="93">
        <v>5</v>
      </c>
      <c r="H262" s="93">
        <v>6</v>
      </c>
      <c r="I262" s="685"/>
      <c r="J262" s="685"/>
      <c r="K262" s="685"/>
      <c r="L262" s="685"/>
      <c r="M262" s="1225"/>
      <c r="N262" s="1232"/>
      <c r="O262" s="686"/>
      <c r="P262" s="685"/>
      <c r="Q262" s="1222"/>
      <c r="R262" s="1219">
        <v>2.1</v>
      </c>
      <c r="S262" s="93"/>
      <c r="T262" s="252"/>
      <c r="U262" s="93"/>
      <c r="V262" s="93"/>
      <c r="W262" s="147"/>
      <c r="X262" s="252"/>
      <c r="Y262" s="147"/>
      <c r="Z262" s="1715"/>
      <c r="AE262" s="2461"/>
      <c r="AF262" s="68"/>
    </row>
    <row r="263" spans="1:32" ht="45" x14ac:dyDescent="0.35">
      <c r="A263" s="2001">
        <v>106</v>
      </c>
      <c r="B263" s="365">
        <v>10861</v>
      </c>
      <c r="C263" s="358" t="s">
        <v>1656</v>
      </c>
      <c r="D263" s="2463" t="s">
        <v>5238</v>
      </c>
      <c r="E263" s="322" t="s">
        <v>9580</v>
      </c>
      <c r="F263" s="93" t="s">
        <v>664</v>
      </c>
      <c r="G263" s="93">
        <v>5</v>
      </c>
      <c r="H263" s="93">
        <v>6</v>
      </c>
      <c r="I263" s="297">
        <f t="shared" ref="I263:I270" si="15">J263+K263+L263</f>
        <v>1.8</v>
      </c>
      <c r="J263" s="297">
        <f t="shared" ref="J263:J270" si="16">SUM(M263:R263)</f>
        <v>1.8</v>
      </c>
      <c r="K263" s="680"/>
      <c r="L263" s="680"/>
      <c r="M263" s="2384"/>
      <c r="N263" s="680"/>
      <c r="O263" s="684"/>
      <c r="P263" s="680"/>
      <c r="Q263" s="2385"/>
      <c r="R263" s="1830">
        <v>1.8</v>
      </c>
      <c r="S263" s="105"/>
      <c r="T263" s="253"/>
      <c r="U263" s="105"/>
      <c r="V263" s="105"/>
      <c r="W263" s="146"/>
      <c r="X263" s="253"/>
      <c r="Y263" s="146"/>
      <c r="Z263" s="1713"/>
      <c r="AB263" s="3">
        <v>1</v>
      </c>
      <c r="AE263" s="2461"/>
      <c r="AF263" s="68"/>
    </row>
    <row r="264" spans="1:32" ht="90" x14ac:dyDescent="0.35">
      <c r="A264" s="370">
        <v>107</v>
      </c>
      <c r="B264" s="1026">
        <v>10862</v>
      </c>
      <c r="C264" s="1026"/>
      <c r="D264" s="365" t="s">
        <v>2201</v>
      </c>
      <c r="E264" s="322" t="s">
        <v>9941</v>
      </c>
      <c r="F264" s="93" t="s">
        <v>664</v>
      </c>
      <c r="G264" s="93">
        <v>5</v>
      </c>
      <c r="H264" s="93">
        <v>6</v>
      </c>
      <c r="I264" s="680">
        <f t="shared" si="15"/>
        <v>1.85</v>
      </c>
      <c r="J264" s="680">
        <f t="shared" si="16"/>
        <v>1.85</v>
      </c>
      <c r="K264" s="680"/>
      <c r="L264" s="680"/>
      <c r="M264" s="990"/>
      <c r="N264" s="1229"/>
      <c r="O264" s="684"/>
      <c r="P264" s="680"/>
      <c r="Q264" s="960"/>
      <c r="R264" s="958">
        <v>1.85</v>
      </c>
      <c r="S264" s="105"/>
      <c r="T264" s="253"/>
      <c r="U264" s="105"/>
      <c r="V264" s="105"/>
      <c r="W264" s="146"/>
      <c r="X264" s="253"/>
      <c r="Y264" s="146"/>
      <c r="Z264" s="1713"/>
      <c r="AB264" s="3">
        <v>1</v>
      </c>
      <c r="AE264" s="2461"/>
      <c r="AF264" s="68"/>
    </row>
    <row r="265" spans="1:32" ht="30" x14ac:dyDescent="0.35">
      <c r="A265" s="2001">
        <v>108</v>
      </c>
      <c r="B265" s="1026">
        <v>10863</v>
      </c>
      <c r="C265" s="1026"/>
      <c r="D265" s="365" t="s">
        <v>399</v>
      </c>
      <c r="E265" s="322" t="s">
        <v>2949</v>
      </c>
      <c r="F265" s="93"/>
      <c r="G265" s="93" t="s">
        <v>191</v>
      </c>
      <c r="H265" s="93" t="s">
        <v>191</v>
      </c>
      <c r="I265" s="680">
        <f t="shared" si="15"/>
        <v>3.6</v>
      </c>
      <c r="J265" s="680">
        <f t="shared" si="16"/>
        <v>3.6</v>
      </c>
      <c r="K265" s="680"/>
      <c r="L265" s="680"/>
      <c r="M265" s="990"/>
      <c r="N265" s="1229"/>
      <c r="O265" s="684"/>
      <c r="P265" s="680"/>
      <c r="Q265" s="960"/>
      <c r="R265" s="958">
        <f>SUM(R266:R267)</f>
        <v>3.6</v>
      </c>
      <c r="S265" s="105"/>
      <c r="T265" s="253"/>
      <c r="U265" s="105"/>
      <c r="V265" s="105"/>
      <c r="W265" s="146">
        <v>1</v>
      </c>
      <c r="X265" s="253">
        <v>10</v>
      </c>
      <c r="Y265" s="146"/>
      <c r="Z265" s="1713"/>
      <c r="AB265" s="3">
        <v>1</v>
      </c>
      <c r="AE265" s="2461"/>
      <c r="AF265" s="68"/>
    </row>
    <row r="266" spans="1:32" x14ac:dyDescent="0.35">
      <c r="A266" s="2001"/>
      <c r="B266" s="1026">
        <v>10863</v>
      </c>
      <c r="C266" s="1026"/>
      <c r="D266" s="365"/>
      <c r="E266" s="1227" t="s">
        <v>2076</v>
      </c>
      <c r="F266" s="93" t="s">
        <v>827</v>
      </c>
      <c r="G266" s="93">
        <v>5</v>
      </c>
      <c r="H266" s="93">
        <v>6</v>
      </c>
      <c r="I266" s="680"/>
      <c r="J266" s="680"/>
      <c r="K266" s="680"/>
      <c r="L266" s="680"/>
      <c r="M266" s="990"/>
      <c r="N266" s="1229"/>
      <c r="O266" s="684"/>
      <c r="P266" s="680"/>
      <c r="Q266" s="960"/>
      <c r="R266" s="1843">
        <v>1</v>
      </c>
      <c r="S266" s="105"/>
      <c r="T266" s="253"/>
      <c r="U266" s="105"/>
      <c r="V266" s="105"/>
      <c r="W266" s="146"/>
      <c r="X266" s="253"/>
      <c r="Y266" s="146"/>
      <c r="Z266" s="1713"/>
      <c r="AC266" s="3" t="s">
        <v>2570</v>
      </c>
      <c r="AE266" s="2461"/>
      <c r="AF266" s="68"/>
    </row>
    <row r="267" spans="1:32" x14ac:dyDescent="0.35">
      <c r="A267" s="2001"/>
      <c r="B267" s="1026">
        <v>10863</v>
      </c>
      <c r="C267" s="1026"/>
      <c r="D267" s="365"/>
      <c r="E267" s="1227" t="s">
        <v>2077</v>
      </c>
      <c r="F267" s="93" t="s">
        <v>664</v>
      </c>
      <c r="G267" s="93">
        <v>5</v>
      </c>
      <c r="H267" s="93">
        <v>6</v>
      </c>
      <c r="I267" s="680"/>
      <c r="J267" s="680"/>
      <c r="K267" s="680"/>
      <c r="L267" s="680"/>
      <c r="M267" s="990"/>
      <c r="N267" s="1229"/>
      <c r="O267" s="684"/>
      <c r="P267" s="680"/>
      <c r="Q267" s="960"/>
      <c r="R267" s="1843">
        <v>2.6</v>
      </c>
      <c r="S267" s="105"/>
      <c r="T267" s="253"/>
      <c r="U267" s="105"/>
      <c r="V267" s="105"/>
      <c r="W267" s="146"/>
      <c r="X267" s="253"/>
      <c r="Y267" s="146"/>
      <c r="Z267" s="1713"/>
      <c r="AE267" s="2461"/>
      <c r="AF267" s="68"/>
    </row>
    <row r="268" spans="1:32" ht="30" x14ac:dyDescent="0.35">
      <c r="A268" s="370">
        <v>109</v>
      </c>
      <c r="B268" s="1026">
        <v>10864</v>
      </c>
      <c r="C268" s="1026"/>
      <c r="D268" s="365" t="s">
        <v>400</v>
      </c>
      <c r="E268" s="322" t="s">
        <v>2950</v>
      </c>
      <c r="F268" s="93" t="s">
        <v>664</v>
      </c>
      <c r="G268" s="93">
        <v>5</v>
      </c>
      <c r="H268" s="93">
        <v>6</v>
      </c>
      <c r="I268" s="680">
        <f t="shared" si="15"/>
        <v>1.3</v>
      </c>
      <c r="J268" s="680">
        <f t="shared" si="16"/>
        <v>1.3</v>
      </c>
      <c r="K268" s="680"/>
      <c r="L268" s="680"/>
      <c r="M268" s="990"/>
      <c r="N268" s="1229"/>
      <c r="O268" s="684"/>
      <c r="P268" s="680"/>
      <c r="Q268" s="960"/>
      <c r="R268" s="958">
        <v>1.3</v>
      </c>
      <c r="S268" s="105"/>
      <c r="T268" s="253"/>
      <c r="U268" s="105"/>
      <c r="V268" s="105"/>
      <c r="W268" s="146"/>
      <c r="X268" s="253"/>
      <c r="Y268" s="146"/>
      <c r="Z268" s="1713"/>
      <c r="AB268" s="3">
        <v>1</v>
      </c>
      <c r="AE268" s="2461"/>
      <c r="AF268" s="68"/>
    </row>
    <row r="269" spans="1:32" ht="30" x14ac:dyDescent="0.35">
      <c r="A269" s="2001">
        <v>110</v>
      </c>
      <c r="B269" s="365">
        <v>10864</v>
      </c>
      <c r="C269" s="358" t="s">
        <v>1656</v>
      </c>
      <c r="D269" s="2463" t="s">
        <v>5239</v>
      </c>
      <c r="E269" s="322" t="s">
        <v>8656</v>
      </c>
      <c r="F269" s="93" t="s">
        <v>664</v>
      </c>
      <c r="G269" s="93">
        <v>5</v>
      </c>
      <c r="H269" s="93">
        <v>6</v>
      </c>
      <c r="I269" s="297">
        <f t="shared" si="15"/>
        <v>0.18</v>
      </c>
      <c r="J269" s="297">
        <f t="shared" si="16"/>
        <v>0.18</v>
      </c>
      <c r="K269" s="680"/>
      <c r="L269" s="680"/>
      <c r="M269" s="2384"/>
      <c r="N269" s="680"/>
      <c r="O269" s="684"/>
      <c r="P269" s="680"/>
      <c r="Q269" s="2385"/>
      <c r="R269" s="1830">
        <v>0.18</v>
      </c>
      <c r="S269" s="105"/>
      <c r="T269" s="253"/>
      <c r="U269" s="105"/>
      <c r="V269" s="105"/>
      <c r="W269" s="146"/>
      <c r="X269" s="253"/>
      <c r="Y269" s="146"/>
      <c r="Z269" s="1713"/>
      <c r="AB269" s="3">
        <v>1</v>
      </c>
      <c r="AE269" s="2461"/>
      <c r="AF269" s="68"/>
    </row>
    <row r="270" spans="1:32" ht="30" x14ac:dyDescent="0.35">
      <c r="A270" s="370">
        <v>111</v>
      </c>
      <c r="B270" s="1026">
        <v>10865</v>
      </c>
      <c r="C270" s="1026"/>
      <c r="D270" s="365" t="s">
        <v>2019</v>
      </c>
      <c r="E270" s="322" t="s">
        <v>2645</v>
      </c>
      <c r="F270" s="93"/>
      <c r="G270" s="93" t="s">
        <v>191</v>
      </c>
      <c r="H270" s="93" t="s">
        <v>191</v>
      </c>
      <c r="I270" s="680">
        <f t="shared" si="15"/>
        <v>8.2099999999999991</v>
      </c>
      <c r="J270" s="680">
        <f t="shared" si="16"/>
        <v>8.2099999999999991</v>
      </c>
      <c r="K270" s="680"/>
      <c r="L270" s="680"/>
      <c r="M270" s="990"/>
      <c r="N270" s="1229"/>
      <c r="O270" s="684"/>
      <c r="P270" s="680"/>
      <c r="Q270" s="960">
        <f>SUM(Q271:Q274)</f>
        <v>2</v>
      </c>
      <c r="R270" s="958">
        <f>SUM(R271:R274)</f>
        <v>6.2099999999999991</v>
      </c>
      <c r="S270" s="105"/>
      <c r="T270" s="253"/>
      <c r="U270" s="105"/>
      <c r="V270" s="105"/>
      <c r="W270" s="146">
        <v>1</v>
      </c>
      <c r="X270" s="253">
        <v>10</v>
      </c>
      <c r="Y270" s="146"/>
      <c r="Z270" s="1713"/>
      <c r="AB270" s="3">
        <v>1</v>
      </c>
      <c r="AE270" s="2461"/>
      <c r="AF270" s="68"/>
    </row>
    <row r="271" spans="1:32" x14ac:dyDescent="0.35">
      <c r="A271" s="1580"/>
      <c r="B271" s="1026">
        <v>10865</v>
      </c>
      <c r="C271" s="1026"/>
      <c r="D271" s="368"/>
      <c r="E271" s="1228" t="s">
        <v>1847</v>
      </c>
      <c r="F271" s="93" t="s">
        <v>827</v>
      </c>
      <c r="G271" s="93">
        <v>5</v>
      </c>
      <c r="H271" s="93">
        <v>6</v>
      </c>
      <c r="I271" s="685"/>
      <c r="J271" s="685"/>
      <c r="K271" s="685"/>
      <c r="L271" s="685"/>
      <c r="M271" s="1225"/>
      <c r="N271" s="1232"/>
      <c r="O271" s="686"/>
      <c r="P271" s="685"/>
      <c r="Q271" s="1222">
        <v>1.1000000000000001</v>
      </c>
      <c r="R271" s="1219"/>
      <c r="S271" s="93"/>
      <c r="T271" s="252"/>
      <c r="U271" s="93"/>
      <c r="V271" s="93"/>
      <c r="W271" s="147"/>
      <c r="X271" s="252"/>
      <c r="Y271" s="147"/>
      <c r="Z271" s="1715"/>
      <c r="AE271" s="2461"/>
      <c r="AF271" s="68"/>
    </row>
    <row r="272" spans="1:32" x14ac:dyDescent="0.35">
      <c r="A272" s="1580"/>
      <c r="B272" s="1026">
        <v>10865</v>
      </c>
      <c r="C272" s="1026"/>
      <c r="D272" s="368"/>
      <c r="E272" s="1227" t="s">
        <v>1848</v>
      </c>
      <c r="F272" s="93" t="s">
        <v>664</v>
      </c>
      <c r="G272" s="93">
        <v>5</v>
      </c>
      <c r="H272" s="93">
        <v>6</v>
      </c>
      <c r="I272" s="685"/>
      <c r="J272" s="685"/>
      <c r="K272" s="685"/>
      <c r="L272" s="685"/>
      <c r="M272" s="1225"/>
      <c r="N272" s="1232"/>
      <c r="O272" s="686"/>
      <c r="P272" s="685"/>
      <c r="Q272" s="1222"/>
      <c r="R272" s="1219">
        <v>1.9</v>
      </c>
      <c r="S272" s="93"/>
      <c r="T272" s="252"/>
      <c r="U272" s="93"/>
      <c r="V272" s="93"/>
      <c r="W272" s="147"/>
      <c r="X272" s="252"/>
      <c r="Y272" s="147"/>
      <c r="Z272" s="1715"/>
      <c r="AE272" s="2461"/>
      <c r="AF272" s="68"/>
    </row>
    <row r="273" spans="1:32" x14ac:dyDescent="0.35">
      <c r="A273" s="1580"/>
      <c r="B273" s="1026">
        <v>10865</v>
      </c>
      <c r="C273" s="1026"/>
      <c r="D273" s="368"/>
      <c r="E273" s="1228" t="s">
        <v>395</v>
      </c>
      <c r="F273" s="93" t="s">
        <v>827</v>
      </c>
      <c r="G273" s="93">
        <v>5</v>
      </c>
      <c r="H273" s="93">
        <v>6</v>
      </c>
      <c r="I273" s="685"/>
      <c r="J273" s="685"/>
      <c r="K273" s="685"/>
      <c r="L273" s="685"/>
      <c r="M273" s="1225"/>
      <c r="N273" s="1232"/>
      <c r="O273" s="686"/>
      <c r="P273" s="685"/>
      <c r="Q273" s="1222">
        <v>0.9</v>
      </c>
      <c r="R273" s="1219"/>
      <c r="S273" s="93"/>
      <c r="T273" s="252"/>
      <c r="U273" s="93"/>
      <c r="V273" s="93"/>
      <c r="W273" s="147"/>
      <c r="X273" s="252"/>
      <c r="Y273" s="147"/>
      <c r="Z273" s="1715"/>
      <c r="AE273" s="2461"/>
      <c r="AF273" s="68"/>
    </row>
    <row r="274" spans="1:32" x14ac:dyDescent="0.35">
      <c r="A274" s="1580"/>
      <c r="B274" s="1026">
        <v>10865</v>
      </c>
      <c r="C274" s="1026"/>
      <c r="D274" s="368"/>
      <c r="E274" s="1227" t="s">
        <v>396</v>
      </c>
      <c r="F274" s="93" t="s">
        <v>664</v>
      </c>
      <c r="G274" s="93">
        <v>5</v>
      </c>
      <c r="H274" s="93">
        <v>6</v>
      </c>
      <c r="I274" s="685"/>
      <c r="J274" s="685"/>
      <c r="K274" s="685"/>
      <c r="L274" s="685"/>
      <c r="M274" s="1225"/>
      <c r="N274" s="1232"/>
      <c r="O274" s="686"/>
      <c r="P274" s="685"/>
      <c r="Q274" s="1222"/>
      <c r="R274" s="1219">
        <v>4.3099999999999996</v>
      </c>
      <c r="S274" s="93"/>
      <c r="T274" s="252"/>
      <c r="U274" s="93"/>
      <c r="V274" s="93"/>
      <c r="W274" s="147"/>
      <c r="X274" s="252"/>
      <c r="Y274" s="147"/>
      <c r="Z274" s="1715"/>
      <c r="AE274" s="2461"/>
      <c r="AF274" s="68"/>
    </row>
    <row r="275" spans="1:32" ht="45" x14ac:dyDescent="0.35">
      <c r="A275" s="2001">
        <v>112</v>
      </c>
      <c r="B275" s="365">
        <v>10865</v>
      </c>
      <c r="C275" s="358" t="s">
        <v>1656</v>
      </c>
      <c r="D275" s="2463" t="s">
        <v>5240</v>
      </c>
      <c r="E275" s="322" t="s">
        <v>8657</v>
      </c>
      <c r="F275" s="93" t="s">
        <v>664</v>
      </c>
      <c r="G275" s="93">
        <v>5</v>
      </c>
      <c r="H275" s="93">
        <v>6</v>
      </c>
      <c r="I275" s="297">
        <f>J275+K275+L275</f>
        <v>0.6</v>
      </c>
      <c r="J275" s="297">
        <f>SUM(M275:R275)</f>
        <v>0.6</v>
      </c>
      <c r="K275" s="680"/>
      <c r="L275" s="680"/>
      <c r="M275" s="2384"/>
      <c r="N275" s="680"/>
      <c r="O275" s="684"/>
      <c r="P275" s="680"/>
      <c r="Q275" s="2385"/>
      <c r="R275" s="1830">
        <v>0.6</v>
      </c>
      <c r="S275" s="105"/>
      <c r="T275" s="253"/>
      <c r="U275" s="105"/>
      <c r="V275" s="105"/>
      <c r="W275" s="146"/>
      <c r="X275" s="253"/>
      <c r="Y275" s="146"/>
      <c r="Z275" s="1713"/>
      <c r="AB275" s="3">
        <v>1</v>
      </c>
      <c r="AE275" s="2461"/>
      <c r="AF275" s="68"/>
    </row>
    <row r="276" spans="1:32" ht="30" x14ac:dyDescent="0.35">
      <c r="A276" s="370">
        <v>113</v>
      </c>
      <c r="B276" s="1026">
        <v>10866</v>
      </c>
      <c r="C276" s="1026"/>
      <c r="D276" s="365" t="s">
        <v>74</v>
      </c>
      <c r="E276" s="322" t="s">
        <v>204</v>
      </c>
      <c r="F276" s="93"/>
      <c r="G276" s="93" t="s">
        <v>191</v>
      </c>
      <c r="H276" s="93" t="s">
        <v>191</v>
      </c>
      <c r="I276" s="680">
        <f>J276+K276+L276</f>
        <v>5.51</v>
      </c>
      <c r="J276" s="680">
        <f>SUM(M276:R276)</f>
        <v>5.51</v>
      </c>
      <c r="K276" s="680"/>
      <c r="L276" s="680"/>
      <c r="M276" s="990"/>
      <c r="N276" s="1229">
        <f>SUM(N277:N281)</f>
        <v>0.3</v>
      </c>
      <c r="O276" s="684"/>
      <c r="P276" s="680"/>
      <c r="Q276" s="960">
        <f>SUM(Q277:Q281)</f>
        <v>2.9939999999999998</v>
      </c>
      <c r="R276" s="958">
        <f>SUM(R277:R281)</f>
        <v>2.2160000000000002</v>
      </c>
      <c r="S276" s="105"/>
      <c r="T276" s="253"/>
      <c r="U276" s="105"/>
      <c r="V276" s="105"/>
      <c r="W276" s="146">
        <v>5</v>
      </c>
      <c r="X276" s="253">
        <v>60.71</v>
      </c>
      <c r="Y276" s="146">
        <v>2</v>
      </c>
      <c r="Z276" s="1713">
        <v>15</v>
      </c>
      <c r="AB276" s="3">
        <v>1</v>
      </c>
      <c r="AE276" s="2461"/>
      <c r="AF276" s="68"/>
    </row>
    <row r="277" spans="1:32" x14ac:dyDescent="0.35">
      <c r="A277" s="1580"/>
      <c r="B277" s="1026">
        <v>10866</v>
      </c>
      <c r="C277" s="1026"/>
      <c r="D277" s="368"/>
      <c r="E277" s="1228" t="s">
        <v>1706</v>
      </c>
      <c r="F277" s="93" t="s">
        <v>827</v>
      </c>
      <c r="G277" s="93">
        <v>5</v>
      </c>
      <c r="H277" s="93">
        <v>6</v>
      </c>
      <c r="I277" s="685"/>
      <c r="J277" s="685"/>
      <c r="K277" s="685"/>
      <c r="L277" s="685"/>
      <c r="M277" s="1225"/>
      <c r="N277" s="1232"/>
      <c r="O277" s="686"/>
      <c r="P277" s="685"/>
      <c r="Q277" s="1222">
        <v>2.5299999999999998</v>
      </c>
      <c r="R277" s="1219"/>
      <c r="S277" s="93"/>
      <c r="T277" s="252"/>
      <c r="U277" s="93"/>
      <c r="V277" s="93"/>
      <c r="W277" s="147"/>
      <c r="X277" s="252"/>
      <c r="Y277" s="147"/>
      <c r="Z277" s="1715"/>
      <c r="AE277" s="2461"/>
      <c r="AF277" s="68"/>
    </row>
    <row r="278" spans="1:32" x14ac:dyDescent="0.35">
      <c r="A278" s="1580"/>
      <c r="B278" s="1026">
        <v>10866</v>
      </c>
      <c r="C278" s="1026"/>
      <c r="D278" s="368"/>
      <c r="E278" s="1227" t="s">
        <v>1707</v>
      </c>
      <c r="F278" s="93" t="s">
        <v>664</v>
      </c>
      <c r="G278" s="93">
        <v>5</v>
      </c>
      <c r="H278" s="93">
        <v>6</v>
      </c>
      <c r="I278" s="685"/>
      <c r="J278" s="685"/>
      <c r="K278" s="685"/>
      <c r="L278" s="685"/>
      <c r="M278" s="1225"/>
      <c r="N278" s="1232"/>
      <c r="O278" s="686"/>
      <c r="P278" s="685"/>
      <c r="Q278" s="1222"/>
      <c r="R278" s="1219">
        <f>3.656-2.53</f>
        <v>1.1260000000000003</v>
      </c>
      <c r="S278" s="93"/>
      <c r="T278" s="252"/>
      <c r="U278" s="93"/>
      <c r="V278" s="93"/>
      <c r="W278" s="147"/>
      <c r="X278" s="252"/>
      <c r="Y278" s="147"/>
      <c r="Z278" s="1715"/>
      <c r="AE278" s="2461"/>
      <c r="AF278" s="68"/>
    </row>
    <row r="279" spans="1:32" x14ac:dyDescent="0.35">
      <c r="A279" s="1580"/>
      <c r="B279" s="1026">
        <v>10866</v>
      </c>
      <c r="C279" s="1026"/>
      <c r="D279" s="368"/>
      <c r="E279" s="1228" t="s">
        <v>1708</v>
      </c>
      <c r="F279" s="93" t="s">
        <v>827</v>
      </c>
      <c r="G279" s="93">
        <v>5</v>
      </c>
      <c r="H279" s="93">
        <v>6</v>
      </c>
      <c r="I279" s="685"/>
      <c r="J279" s="685"/>
      <c r="K279" s="685"/>
      <c r="L279" s="685"/>
      <c r="M279" s="1225"/>
      <c r="N279" s="1232"/>
      <c r="O279" s="686"/>
      <c r="P279" s="685"/>
      <c r="Q279" s="1222">
        <f>4.12-3.656</f>
        <v>0.46399999999999997</v>
      </c>
      <c r="R279" s="1219"/>
      <c r="S279" s="93"/>
      <c r="T279" s="252"/>
      <c r="U279" s="93"/>
      <c r="V279" s="93"/>
      <c r="W279" s="147"/>
      <c r="X279" s="252"/>
      <c r="Y279" s="147"/>
      <c r="Z279" s="1715"/>
      <c r="AE279" s="2461"/>
      <c r="AF279" s="68"/>
    </row>
    <row r="280" spans="1:32" x14ac:dyDescent="0.35">
      <c r="A280" s="1580"/>
      <c r="B280" s="1026">
        <v>10866</v>
      </c>
      <c r="C280" s="1026"/>
      <c r="D280" s="368"/>
      <c r="E280" s="1227" t="s">
        <v>1709</v>
      </c>
      <c r="F280" s="93" t="s">
        <v>664</v>
      </c>
      <c r="G280" s="93">
        <v>5</v>
      </c>
      <c r="H280" s="93">
        <v>6</v>
      </c>
      <c r="I280" s="685"/>
      <c r="J280" s="685"/>
      <c r="K280" s="685"/>
      <c r="L280" s="685"/>
      <c r="M280" s="1225"/>
      <c r="N280" s="1232"/>
      <c r="O280" s="686"/>
      <c r="P280" s="685"/>
      <c r="Q280" s="1222"/>
      <c r="R280" s="1219">
        <f>5.21-4.12</f>
        <v>1.0899999999999999</v>
      </c>
      <c r="S280" s="93"/>
      <c r="T280" s="252"/>
      <c r="U280" s="93"/>
      <c r="V280" s="93"/>
      <c r="W280" s="147"/>
      <c r="X280" s="252"/>
      <c r="Y280" s="147"/>
      <c r="Z280" s="1715"/>
      <c r="AC280" s="3" t="s">
        <v>2570</v>
      </c>
      <c r="AE280" s="2461"/>
      <c r="AF280" s="68"/>
    </row>
    <row r="281" spans="1:32" x14ac:dyDescent="0.35">
      <c r="A281" s="1580"/>
      <c r="B281" s="1026">
        <v>10866</v>
      </c>
      <c r="C281" s="1026"/>
      <c r="D281" s="368"/>
      <c r="E281" s="324" t="s">
        <v>996</v>
      </c>
      <c r="F281" s="93" t="s">
        <v>827</v>
      </c>
      <c r="G281" s="93">
        <v>5</v>
      </c>
      <c r="H281" s="93">
        <v>6</v>
      </c>
      <c r="I281" s="685"/>
      <c r="J281" s="685"/>
      <c r="K281" s="685"/>
      <c r="L281" s="685"/>
      <c r="M281" s="1225"/>
      <c r="N281" s="1232">
        <v>0.3</v>
      </c>
      <c r="O281" s="686"/>
      <c r="P281" s="685"/>
      <c r="Q281" s="1222"/>
      <c r="R281" s="1219"/>
      <c r="S281" s="93"/>
      <c r="T281" s="252"/>
      <c r="U281" s="93"/>
      <c r="V281" s="93"/>
      <c r="W281" s="147"/>
      <c r="X281" s="252"/>
      <c r="Y281" s="147"/>
      <c r="Z281" s="1715"/>
      <c r="AE281" s="2461"/>
      <c r="AF281" s="68"/>
    </row>
    <row r="282" spans="1:32" ht="45" x14ac:dyDescent="0.35">
      <c r="A282" s="1829">
        <v>114</v>
      </c>
      <c r="B282" s="1026">
        <v>10866</v>
      </c>
      <c r="C282" s="365" t="s">
        <v>1656</v>
      </c>
      <c r="D282" s="2463" t="s">
        <v>5241</v>
      </c>
      <c r="E282" s="1831" t="s">
        <v>8658</v>
      </c>
      <c r="F282" s="93" t="s">
        <v>664</v>
      </c>
      <c r="G282" s="93">
        <v>5</v>
      </c>
      <c r="H282" s="93">
        <v>6</v>
      </c>
      <c r="I282" s="1229">
        <v>0.1</v>
      </c>
      <c r="J282" s="1229">
        <v>0.1</v>
      </c>
      <c r="K282" s="685"/>
      <c r="L282" s="685"/>
      <c r="M282" s="1225"/>
      <c r="N282" s="1232"/>
      <c r="O282" s="686"/>
      <c r="P282" s="685"/>
      <c r="Q282" s="1222"/>
      <c r="R282" s="958">
        <v>0.1</v>
      </c>
      <c r="S282" s="93"/>
      <c r="T282" s="252"/>
      <c r="U282" s="93"/>
      <c r="V282" s="93"/>
      <c r="W282" s="147"/>
      <c r="X282" s="252"/>
      <c r="Y282" s="147"/>
      <c r="Z282" s="1715"/>
      <c r="AB282" s="3">
        <v>1</v>
      </c>
      <c r="AE282" s="2461"/>
      <c r="AF282" s="68"/>
    </row>
    <row r="283" spans="1:32" ht="45" x14ac:dyDescent="0.35">
      <c r="A283" s="2001">
        <v>115</v>
      </c>
      <c r="B283" s="365">
        <v>10866</v>
      </c>
      <c r="C283" s="358" t="s">
        <v>1656</v>
      </c>
      <c r="D283" s="2463" t="s">
        <v>5242</v>
      </c>
      <c r="E283" s="322" t="s">
        <v>8659</v>
      </c>
      <c r="F283" s="93" t="s">
        <v>664</v>
      </c>
      <c r="G283" s="93">
        <v>5</v>
      </c>
      <c r="H283" s="93">
        <v>6</v>
      </c>
      <c r="I283" s="297">
        <f t="shared" ref="I283:I288" si="17">J283+K283+L283</f>
        <v>0.2</v>
      </c>
      <c r="J283" s="297">
        <f t="shared" ref="J283:J288" si="18">SUM(M283:R283)</f>
        <v>0.2</v>
      </c>
      <c r="K283" s="685"/>
      <c r="L283" s="685"/>
      <c r="M283" s="2384"/>
      <c r="N283" s="680"/>
      <c r="O283" s="684"/>
      <c r="P283" s="680"/>
      <c r="Q283" s="2385"/>
      <c r="R283" s="1830">
        <v>0.2</v>
      </c>
      <c r="S283" s="93"/>
      <c r="T283" s="252"/>
      <c r="U283" s="93"/>
      <c r="V283" s="93"/>
      <c r="W283" s="147"/>
      <c r="X283" s="252"/>
      <c r="Y283" s="147"/>
      <c r="Z283" s="1715"/>
      <c r="AB283" s="3">
        <v>1</v>
      </c>
      <c r="AE283" s="2461"/>
      <c r="AF283" s="68"/>
    </row>
    <row r="284" spans="1:32" ht="45" x14ac:dyDescent="0.35">
      <c r="A284" s="1829">
        <v>116</v>
      </c>
      <c r="B284" s="365">
        <v>10866</v>
      </c>
      <c r="C284" s="358" t="s">
        <v>1656</v>
      </c>
      <c r="D284" s="2463" t="s">
        <v>5243</v>
      </c>
      <c r="E284" s="322" t="s">
        <v>8660</v>
      </c>
      <c r="F284" s="93" t="s">
        <v>664</v>
      </c>
      <c r="G284" s="93">
        <v>5</v>
      </c>
      <c r="H284" s="93">
        <v>6</v>
      </c>
      <c r="I284" s="297">
        <f t="shared" si="17"/>
        <v>0.1</v>
      </c>
      <c r="J284" s="297">
        <f t="shared" si="18"/>
        <v>0.1</v>
      </c>
      <c r="K284" s="685"/>
      <c r="L284" s="685"/>
      <c r="M284" s="2384"/>
      <c r="N284" s="680"/>
      <c r="O284" s="684"/>
      <c r="P284" s="680"/>
      <c r="Q284" s="2385"/>
      <c r="R284" s="1830">
        <v>0.1</v>
      </c>
      <c r="S284" s="93"/>
      <c r="T284" s="252"/>
      <c r="U284" s="93"/>
      <c r="V284" s="93"/>
      <c r="W284" s="147"/>
      <c r="X284" s="252"/>
      <c r="Y284" s="147"/>
      <c r="Z284" s="1715"/>
      <c r="AB284" s="3">
        <v>1</v>
      </c>
      <c r="AE284" s="2461"/>
      <c r="AF284" s="68"/>
    </row>
    <row r="285" spans="1:32" ht="30" x14ac:dyDescent="0.35">
      <c r="A285" s="2001">
        <v>117</v>
      </c>
      <c r="B285" s="1026">
        <v>10867</v>
      </c>
      <c r="C285" s="1026"/>
      <c r="D285" s="365" t="s">
        <v>75</v>
      </c>
      <c r="E285" s="322" t="s">
        <v>545</v>
      </c>
      <c r="F285" s="93" t="s">
        <v>1490</v>
      </c>
      <c r="G285" s="93">
        <v>5</v>
      </c>
      <c r="H285" s="93">
        <v>6</v>
      </c>
      <c r="I285" s="680">
        <f t="shared" si="17"/>
        <v>2.7</v>
      </c>
      <c r="J285" s="680">
        <f t="shared" si="18"/>
        <v>2.7</v>
      </c>
      <c r="K285" s="680"/>
      <c r="L285" s="680"/>
      <c r="M285" s="990"/>
      <c r="N285" s="1229"/>
      <c r="O285" s="684"/>
      <c r="P285" s="680"/>
      <c r="Q285" s="960"/>
      <c r="R285" s="958">
        <v>2.7</v>
      </c>
      <c r="S285" s="105">
        <v>1</v>
      </c>
      <c r="T285" s="253">
        <v>12.6</v>
      </c>
      <c r="U285" s="105"/>
      <c r="V285" s="105"/>
      <c r="W285" s="146"/>
      <c r="X285" s="253"/>
      <c r="Y285" s="146"/>
      <c r="Z285" s="1713"/>
      <c r="AB285" s="3">
        <v>1</v>
      </c>
      <c r="AE285" s="2461"/>
      <c r="AF285" s="68"/>
    </row>
    <row r="286" spans="1:32" ht="45" x14ac:dyDescent="0.35">
      <c r="A286" s="1829">
        <v>118</v>
      </c>
      <c r="B286" s="365">
        <v>10867</v>
      </c>
      <c r="C286" s="358" t="s">
        <v>1656</v>
      </c>
      <c r="D286" s="2463" t="s">
        <v>5244</v>
      </c>
      <c r="E286" s="322" t="s">
        <v>8661</v>
      </c>
      <c r="F286" s="93" t="s">
        <v>664</v>
      </c>
      <c r="G286" s="93">
        <v>5</v>
      </c>
      <c r="H286" s="93">
        <v>6</v>
      </c>
      <c r="I286" s="297">
        <f t="shared" si="17"/>
        <v>1.143</v>
      </c>
      <c r="J286" s="297">
        <f t="shared" si="18"/>
        <v>1.143</v>
      </c>
      <c r="K286" s="685"/>
      <c r="L286" s="685"/>
      <c r="M286" s="2384"/>
      <c r="N286" s="680"/>
      <c r="O286" s="684"/>
      <c r="P286" s="680"/>
      <c r="Q286" s="2385"/>
      <c r="R286" s="1830">
        <v>1.143</v>
      </c>
      <c r="S286" s="105"/>
      <c r="T286" s="253"/>
      <c r="U286" s="105"/>
      <c r="V286" s="105"/>
      <c r="W286" s="146"/>
      <c r="X286" s="253"/>
      <c r="Y286" s="146"/>
      <c r="Z286" s="1713"/>
      <c r="AB286" s="3">
        <v>1</v>
      </c>
      <c r="AE286" s="2461"/>
      <c r="AF286" s="68"/>
    </row>
    <row r="287" spans="1:32" ht="30" x14ac:dyDescent="0.35">
      <c r="A287" s="2001">
        <v>119</v>
      </c>
      <c r="B287" s="1026">
        <v>10868</v>
      </c>
      <c r="C287" s="1026"/>
      <c r="D287" s="365" t="s">
        <v>76</v>
      </c>
      <c r="E287" s="322" t="s">
        <v>393</v>
      </c>
      <c r="F287" s="93" t="s">
        <v>1490</v>
      </c>
      <c r="G287" s="93">
        <v>5</v>
      </c>
      <c r="H287" s="93">
        <v>6</v>
      </c>
      <c r="I287" s="680">
        <f t="shared" si="17"/>
        <v>1.32</v>
      </c>
      <c r="J287" s="680">
        <f t="shared" si="18"/>
        <v>1.32</v>
      </c>
      <c r="K287" s="680"/>
      <c r="L287" s="680"/>
      <c r="M287" s="990"/>
      <c r="N287" s="1229"/>
      <c r="O287" s="684"/>
      <c r="P287" s="680"/>
      <c r="Q287" s="960"/>
      <c r="R287" s="958">
        <v>1.32</v>
      </c>
      <c r="S287" s="105"/>
      <c r="T287" s="253"/>
      <c r="U287" s="105"/>
      <c r="V287" s="105"/>
      <c r="W287" s="146">
        <v>1</v>
      </c>
      <c r="X287" s="253">
        <v>7.5</v>
      </c>
      <c r="Y287" s="146"/>
      <c r="Z287" s="1713"/>
      <c r="AB287" s="3">
        <v>1</v>
      </c>
      <c r="AC287" s="3" t="s">
        <v>2570</v>
      </c>
      <c r="AE287" s="2461"/>
      <c r="AF287" s="68"/>
    </row>
    <row r="288" spans="1:32" ht="30" x14ac:dyDescent="0.35">
      <c r="A288" s="1829">
        <v>120</v>
      </c>
      <c r="B288" s="1026">
        <v>10869</v>
      </c>
      <c r="C288" s="1026"/>
      <c r="D288" s="365" t="s">
        <v>1178</v>
      </c>
      <c r="E288" s="322" t="s">
        <v>9942</v>
      </c>
      <c r="F288" s="93"/>
      <c r="G288" s="93" t="s">
        <v>191</v>
      </c>
      <c r="H288" s="93" t="s">
        <v>191</v>
      </c>
      <c r="I288" s="680">
        <f t="shared" si="17"/>
        <v>1.7</v>
      </c>
      <c r="J288" s="680">
        <f t="shared" si="18"/>
        <v>1.7</v>
      </c>
      <c r="K288" s="680"/>
      <c r="L288" s="680"/>
      <c r="M288" s="990"/>
      <c r="N288" s="1229"/>
      <c r="O288" s="684"/>
      <c r="P288" s="680"/>
      <c r="Q288" s="960">
        <f>SUM(Q289:Q291)</f>
        <v>1</v>
      </c>
      <c r="R288" s="958">
        <f>SUM(R289:R291)</f>
        <v>0.7</v>
      </c>
      <c r="S288" s="105"/>
      <c r="T288" s="253"/>
      <c r="U288" s="105"/>
      <c r="V288" s="105"/>
      <c r="W288" s="146">
        <v>2</v>
      </c>
      <c r="X288" s="253">
        <v>20.100000000000001</v>
      </c>
      <c r="Y288" s="146"/>
      <c r="Z288" s="1713"/>
      <c r="AB288" s="3">
        <v>1</v>
      </c>
      <c r="AE288" s="2461"/>
      <c r="AF288" s="68"/>
    </row>
    <row r="289" spans="1:32" x14ac:dyDescent="0.35">
      <c r="A289" s="1580"/>
      <c r="B289" s="1026">
        <v>10869</v>
      </c>
      <c r="C289" s="1026"/>
      <c r="D289" s="368"/>
      <c r="E289" s="1228" t="s">
        <v>3336</v>
      </c>
      <c r="F289" s="93">
        <v>5</v>
      </c>
      <c r="G289" s="93">
        <v>5</v>
      </c>
      <c r="H289" s="93">
        <v>6</v>
      </c>
      <c r="I289" s="685"/>
      <c r="J289" s="685"/>
      <c r="K289" s="685"/>
      <c r="L289" s="685"/>
      <c r="M289" s="1225"/>
      <c r="N289" s="1232"/>
      <c r="O289" s="686"/>
      <c r="P289" s="685"/>
      <c r="Q289" s="1222">
        <v>0.627</v>
      </c>
      <c r="R289" s="1219"/>
      <c r="S289" s="93"/>
      <c r="T289" s="252"/>
      <c r="U289" s="93"/>
      <c r="V289" s="93"/>
      <c r="W289" s="147"/>
      <c r="X289" s="252"/>
      <c r="Y289" s="147"/>
      <c r="Z289" s="1715"/>
      <c r="AE289" s="2461"/>
      <c r="AF289" s="68"/>
    </row>
    <row r="290" spans="1:32" x14ac:dyDescent="0.35">
      <c r="A290" s="1580"/>
      <c r="B290" s="1026">
        <v>10869</v>
      </c>
      <c r="C290" s="1026"/>
      <c r="D290" s="368"/>
      <c r="E290" s="1228" t="s">
        <v>3337</v>
      </c>
      <c r="F290" s="93" t="s">
        <v>827</v>
      </c>
      <c r="G290" s="93">
        <v>5</v>
      </c>
      <c r="H290" s="93">
        <v>6</v>
      </c>
      <c r="I290" s="685"/>
      <c r="J290" s="685"/>
      <c r="K290" s="685"/>
      <c r="L290" s="685"/>
      <c r="M290" s="1225"/>
      <c r="N290" s="1232"/>
      <c r="O290" s="686"/>
      <c r="P290" s="685"/>
      <c r="Q290" s="1222">
        <f>1-0.627</f>
        <v>0.373</v>
      </c>
      <c r="R290" s="1219"/>
      <c r="S290" s="93"/>
      <c r="T290" s="252"/>
      <c r="U290" s="93"/>
      <c r="V290" s="93"/>
      <c r="W290" s="147"/>
      <c r="X290" s="252"/>
      <c r="Y290" s="147"/>
      <c r="Z290" s="1715"/>
      <c r="AE290" s="2461"/>
      <c r="AF290" s="68"/>
    </row>
    <row r="291" spans="1:32" x14ac:dyDescent="0.35">
      <c r="A291" s="1580"/>
      <c r="B291" s="1026">
        <v>10869</v>
      </c>
      <c r="C291" s="1026"/>
      <c r="D291" s="368"/>
      <c r="E291" s="1227" t="s">
        <v>2276</v>
      </c>
      <c r="F291" s="93" t="s">
        <v>827</v>
      </c>
      <c r="G291" s="93">
        <v>5</v>
      </c>
      <c r="H291" s="93">
        <v>6</v>
      </c>
      <c r="I291" s="685"/>
      <c r="J291" s="685"/>
      <c r="K291" s="685"/>
      <c r="L291" s="685"/>
      <c r="M291" s="1225"/>
      <c r="N291" s="1232"/>
      <c r="O291" s="686"/>
      <c r="P291" s="685"/>
      <c r="Q291" s="1222"/>
      <c r="R291" s="1219">
        <f>1.7-1</f>
        <v>0.7</v>
      </c>
      <c r="S291" s="93"/>
      <c r="T291" s="252"/>
      <c r="U291" s="93"/>
      <c r="V291" s="93"/>
      <c r="W291" s="147"/>
      <c r="X291" s="252"/>
      <c r="Y291" s="147"/>
      <c r="Z291" s="1715"/>
      <c r="AE291" s="2461"/>
      <c r="AF291" s="68"/>
    </row>
    <row r="292" spans="1:32" ht="45" x14ac:dyDescent="0.35">
      <c r="A292" s="2001">
        <v>121</v>
      </c>
      <c r="B292" s="365">
        <v>10869</v>
      </c>
      <c r="C292" s="358" t="s">
        <v>1656</v>
      </c>
      <c r="D292" s="2463" t="s">
        <v>5245</v>
      </c>
      <c r="E292" s="322" t="s">
        <v>9943</v>
      </c>
      <c r="F292" s="93" t="s">
        <v>664</v>
      </c>
      <c r="G292" s="93">
        <v>5</v>
      </c>
      <c r="H292" s="93">
        <v>6</v>
      </c>
      <c r="I292" s="297">
        <f>J292+K292+L292</f>
        <v>0.1</v>
      </c>
      <c r="J292" s="297">
        <f>SUM(M292:R292)</f>
        <v>0.1</v>
      </c>
      <c r="K292" s="680"/>
      <c r="L292" s="680"/>
      <c r="M292" s="2384"/>
      <c r="N292" s="680"/>
      <c r="O292" s="684"/>
      <c r="P292" s="680"/>
      <c r="Q292" s="2385"/>
      <c r="R292" s="1830">
        <v>0.1</v>
      </c>
      <c r="S292" s="105"/>
      <c r="T292" s="253"/>
      <c r="U292" s="105"/>
      <c r="V292" s="105"/>
      <c r="W292" s="146"/>
      <c r="X292" s="253"/>
      <c r="Y292" s="146"/>
      <c r="Z292" s="1713"/>
      <c r="AB292" s="3">
        <v>1</v>
      </c>
      <c r="AE292" s="2461"/>
      <c r="AF292" s="68"/>
    </row>
    <row r="293" spans="1:32" ht="30" x14ac:dyDescent="0.35">
      <c r="A293" s="2001">
        <v>122</v>
      </c>
      <c r="B293" s="1026">
        <v>10871</v>
      </c>
      <c r="C293" s="1026"/>
      <c r="D293" s="365" t="s">
        <v>3235</v>
      </c>
      <c r="E293" s="322" t="s">
        <v>809</v>
      </c>
      <c r="F293" s="93" t="s">
        <v>664</v>
      </c>
      <c r="G293" s="93">
        <v>5</v>
      </c>
      <c r="H293" s="93">
        <v>6</v>
      </c>
      <c r="I293" s="680">
        <f t="shared" ref="I293:I303" si="19">J293+K293+L293</f>
        <v>1.2</v>
      </c>
      <c r="J293" s="680">
        <f t="shared" ref="J293:J303" si="20">SUM(M293:R293)</f>
        <v>1.2</v>
      </c>
      <c r="K293" s="680"/>
      <c r="L293" s="680"/>
      <c r="M293" s="990"/>
      <c r="N293" s="1229"/>
      <c r="O293" s="684"/>
      <c r="P293" s="680"/>
      <c r="Q293" s="960"/>
      <c r="R293" s="958">
        <v>1.2</v>
      </c>
      <c r="S293" s="105"/>
      <c r="T293" s="253"/>
      <c r="U293" s="105"/>
      <c r="V293" s="105"/>
      <c r="W293" s="146"/>
      <c r="X293" s="253"/>
      <c r="Y293" s="146"/>
      <c r="Z293" s="1713"/>
      <c r="AB293" s="3">
        <v>1</v>
      </c>
      <c r="AE293" s="2461"/>
      <c r="AF293" s="68"/>
    </row>
    <row r="294" spans="1:32" ht="30" x14ac:dyDescent="0.35">
      <c r="A294" s="2001">
        <v>123</v>
      </c>
      <c r="B294" s="1026">
        <v>10872</v>
      </c>
      <c r="C294" s="1026"/>
      <c r="D294" s="365" t="s">
        <v>3236</v>
      </c>
      <c r="E294" s="322" t="s">
        <v>7149</v>
      </c>
      <c r="F294" s="93" t="s">
        <v>827</v>
      </c>
      <c r="G294" s="93">
        <v>5</v>
      </c>
      <c r="H294" s="93">
        <v>6</v>
      </c>
      <c r="I294" s="680">
        <f t="shared" si="19"/>
        <v>2.1</v>
      </c>
      <c r="J294" s="680">
        <f t="shared" si="20"/>
        <v>2.1</v>
      </c>
      <c r="K294" s="680"/>
      <c r="L294" s="680"/>
      <c r="M294" s="990"/>
      <c r="N294" s="1229"/>
      <c r="O294" s="684"/>
      <c r="P294" s="680"/>
      <c r="Q294" s="960"/>
      <c r="R294" s="958">
        <v>2.1</v>
      </c>
      <c r="S294" s="105"/>
      <c r="T294" s="253"/>
      <c r="U294" s="105"/>
      <c r="V294" s="105"/>
      <c r="W294" s="146"/>
      <c r="X294" s="253"/>
      <c r="Y294" s="146"/>
      <c r="Z294" s="1713"/>
      <c r="AB294" s="3">
        <v>1</v>
      </c>
      <c r="AE294" s="2461"/>
      <c r="AF294" s="68"/>
    </row>
    <row r="295" spans="1:32" ht="30" x14ac:dyDescent="0.35">
      <c r="A295" s="2001">
        <v>124</v>
      </c>
      <c r="B295" s="1026">
        <v>10874</v>
      </c>
      <c r="C295" s="1026"/>
      <c r="D295" s="365" t="s">
        <v>3237</v>
      </c>
      <c r="E295" s="322" t="s">
        <v>9944</v>
      </c>
      <c r="F295" s="93" t="s">
        <v>664</v>
      </c>
      <c r="G295" s="93">
        <v>5</v>
      </c>
      <c r="H295" s="93">
        <v>6</v>
      </c>
      <c r="I295" s="680">
        <f t="shared" si="19"/>
        <v>1.5</v>
      </c>
      <c r="J295" s="680">
        <f t="shared" si="20"/>
        <v>1.5</v>
      </c>
      <c r="K295" s="680"/>
      <c r="L295" s="680"/>
      <c r="M295" s="990"/>
      <c r="N295" s="1229"/>
      <c r="O295" s="684"/>
      <c r="P295" s="680"/>
      <c r="Q295" s="960"/>
      <c r="R295" s="958">
        <v>1.5</v>
      </c>
      <c r="S295" s="105"/>
      <c r="T295" s="253"/>
      <c r="U295" s="105"/>
      <c r="V295" s="105"/>
      <c r="W295" s="146"/>
      <c r="X295" s="253"/>
      <c r="Y295" s="146"/>
      <c r="Z295" s="1713"/>
      <c r="AB295" s="3">
        <v>1</v>
      </c>
      <c r="AE295" s="2461"/>
      <c r="AF295" s="68"/>
    </row>
    <row r="296" spans="1:32" ht="30" x14ac:dyDescent="0.35">
      <c r="A296" s="2001">
        <v>125</v>
      </c>
      <c r="B296" s="365">
        <v>10829</v>
      </c>
      <c r="C296" s="358" t="s">
        <v>1656</v>
      </c>
      <c r="D296" s="2463" t="s">
        <v>5246</v>
      </c>
      <c r="E296" s="322" t="s">
        <v>9945</v>
      </c>
      <c r="F296" s="93" t="s">
        <v>664</v>
      </c>
      <c r="G296" s="93">
        <v>5</v>
      </c>
      <c r="H296" s="93">
        <v>6</v>
      </c>
      <c r="I296" s="297">
        <f>J296+K296+L296</f>
        <v>0.12</v>
      </c>
      <c r="J296" s="297">
        <f>SUM(M296:R296)</f>
        <v>0.12</v>
      </c>
      <c r="K296" s="680"/>
      <c r="L296" s="680"/>
      <c r="M296" s="2384"/>
      <c r="N296" s="680"/>
      <c r="O296" s="684"/>
      <c r="P296" s="680"/>
      <c r="Q296" s="2385"/>
      <c r="R296" s="1830">
        <v>0.12</v>
      </c>
      <c r="S296" s="105"/>
      <c r="T296" s="253"/>
      <c r="U296" s="105"/>
      <c r="V296" s="105"/>
      <c r="W296" s="146"/>
      <c r="X296" s="253"/>
      <c r="Y296" s="146"/>
      <c r="Z296" s="1713"/>
      <c r="AB296" s="3">
        <v>1</v>
      </c>
      <c r="AE296" s="2461"/>
      <c r="AF296" s="68"/>
    </row>
    <row r="297" spans="1:32" ht="30.5" x14ac:dyDescent="0.35">
      <c r="A297" s="370"/>
      <c r="B297" s="1026" t="s">
        <v>2894</v>
      </c>
      <c r="C297" s="1026"/>
      <c r="D297" s="365"/>
      <c r="E297" s="1596" t="s">
        <v>2070</v>
      </c>
      <c r="F297" s="93"/>
      <c r="G297" s="93"/>
      <c r="H297" s="93"/>
      <c r="I297" s="680"/>
      <c r="J297" s="680"/>
      <c r="K297" s="680"/>
      <c r="L297" s="680"/>
      <c r="M297" s="990"/>
      <c r="N297" s="1229"/>
      <c r="O297" s="684"/>
      <c r="P297" s="680"/>
      <c r="Q297" s="960"/>
      <c r="R297" s="958"/>
      <c r="S297" s="105"/>
      <c r="T297" s="253"/>
      <c r="U297" s="105"/>
      <c r="V297" s="105"/>
      <c r="W297" s="146"/>
      <c r="X297" s="253"/>
      <c r="Y297" s="146"/>
      <c r="Z297" s="1713"/>
      <c r="AE297" s="2461"/>
      <c r="AF297" s="68"/>
    </row>
    <row r="298" spans="1:32" ht="30" x14ac:dyDescent="0.35">
      <c r="A298" s="370">
        <v>126</v>
      </c>
      <c r="B298" s="1026" t="s">
        <v>2894</v>
      </c>
      <c r="C298" s="1026"/>
      <c r="D298" s="2463" t="s">
        <v>5247</v>
      </c>
      <c r="E298" s="322" t="s">
        <v>7785</v>
      </c>
      <c r="F298" s="93" t="s">
        <v>1490</v>
      </c>
      <c r="G298" s="93">
        <v>5</v>
      </c>
      <c r="H298" s="2875">
        <v>6</v>
      </c>
      <c r="I298" s="680">
        <f t="shared" si="19"/>
        <v>1.6</v>
      </c>
      <c r="J298" s="680">
        <f t="shared" si="20"/>
        <v>1.6</v>
      </c>
      <c r="K298" s="680"/>
      <c r="L298" s="680"/>
      <c r="M298" s="990"/>
      <c r="N298" s="1229"/>
      <c r="O298" s="684"/>
      <c r="P298" s="680"/>
      <c r="Q298" s="960">
        <v>1.6</v>
      </c>
      <c r="R298" s="2931">
        <v>0</v>
      </c>
      <c r="S298" s="105"/>
      <c r="T298" s="253"/>
      <c r="U298" s="105"/>
      <c r="V298" s="105"/>
      <c r="W298" s="146"/>
      <c r="X298" s="253"/>
      <c r="Y298" s="146"/>
      <c r="Z298" s="1713"/>
      <c r="AB298" s="3">
        <v>1</v>
      </c>
      <c r="AE298" s="2461"/>
      <c r="AF298" s="68"/>
    </row>
    <row r="299" spans="1:32" ht="30" x14ac:dyDescent="0.35">
      <c r="A299" s="370">
        <v>127</v>
      </c>
      <c r="B299" s="1026" t="s">
        <v>2894</v>
      </c>
      <c r="C299" s="1026"/>
      <c r="D299" s="2463" t="s">
        <v>5248</v>
      </c>
      <c r="E299" s="322" t="s">
        <v>9946</v>
      </c>
      <c r="F299" s="93">
        <v>5</v>
      </c>
      <c r="G299" s="93">
        <v>5</v>
      </c>
      <c r="H299" s="93">
        <v>6</v>
      </c>
      <c r="I299" s="680">
        <f t="shared" si="19"/>
        <v>0.7</v>
      </c>
      <c r="J299" s="680">
        <f t="shared" si="20"/>
        <v>0.7</v>
      </c>
      <c r="K299" s="680"/>
      <c r="L299" s="680"/>
      <c r="M299" s="990"/>
      <c r="N299" s="1229"/>
      <c r="O299" s="684"/>
      <c r="P299" s="680"/>
      <c r="Q299" s="960">
        <v>0.7</v>
      </c>
      <c r="R299" s="958"/>
      <c r="S299" s="105"/>
      <c r="T299" s="253"/>
      <c r="U299" s="105"/>
      <c r="V299" s="105"/>
      <c r="W299" s="146"/>
      <c r="X299" s="253"/>
      <c r="Y299" s="146"/>
      <c r="Z299" s="1713"/>
      <c r="AB299" s="3">
        <v>1</v>
      </c>
      <c r="AE299" s="2461"/>
      <c r="AF299" s="68"/>
    </row>
    <row r="300" spans="1:32" ht="30" x14ac:dyDescent="0.35">
      <c r="A300" s="370">
        <v>128</v>
      </c>
      <c r="B300" s="1026" t="s">
        <v>2894</v>
      </c>
      <c r="C300" s="1026"/>
      <c r="D300" s="2463" t="s">
        <v>5249</v>
      </c>
      <c r="E300" s="322" t="s">
        <v>7786</v>
      </c>
      <c r="F300" s="93">
        <v>4</v>
      </c>
      <c r="G300" s="93">
        <v>5</v>
      </c>
      <c r="H300" s="93">
        <v>6</v>
      </c>
      <c r="I300" s="680">
        <f t="shared" si="19"/>
        <v>1.55</v>
      </c>
      <c r="J300" s="680">
        <f t="shared" si="20"/>
        <v>1.55</v>
      </c>
      <c r="K300" s="680"/>
      <c r="L300" s="680"/>
      <c r="M300" s="990"/>
      <c r="N300" s="1229">
        <v>1.55</v>
      </c>
      <c r="O300" s="684"/>
      <c r="P300" s="680"/>
      <c r="Q300" s="960"/>
      <c r="R300" s="958"/>
      <c r="S300" s="105"/>
      <c r="T300" s="253"/>
      <c r="U300" s="105"/>
      <c r="V300" s="105"/>
      <c r="W300" s="146">
        <v>1</v>
      </c>
      <c r="X300" s="253">
        <v>10.3</v>
      </c>
      <c r="Y300" s="146"/>
      <c r="Z300" s="1713"/>
      <c r="AB300" s="3">
        <v>1</v>
      </c>
      <c r="AE300" s="2461"/>
      <c r="AF300" s="68"/>
    </row>
    <row r="301" spans="1:32" ht="30" x14ac:dyDescent="0.35">
      <c r="A301" s="370">
        <v>129</v>
      </c>
      <c r="B301" s="1026" t="s">
        <v>2894</v>
      </c>
      <c r="C301" s="1026"/>
      <c r="D301" s="2463" t="s">
        <v>5250</v>
      </c>
      <c r="E301" s="322" t="s">
        <v>9947</v>
      </c>
      <c r="F301" s="93">
        <v>5</v>
      </c>
      <c r="G301" s="93">
        <v>5</v>
      </c>
      <c r="H301" s="93">
        <v>6</v>
      </c>
      <c r="I301" s="680">
        <f t="shared" si="19"/>
        <v>1.1000000000000001</v>
      </c>
      <c r="J301" s="680">
        <f t="shared" si="20"/>
        <v>1.1000000000000001</v>
      </c>
      <c r="K301" s="680"/>
      <c r="L301" s="680"/>
      <c r="M301" s="990"/>
      <c r="N301" s="1229"/>
      <c r="O301" s="684"/>
      <c r="P301" s="680"/>
      <c r="Q301" s="960">
        <v>1.1000000000000001</v>
      </c>
      <c r="R301" s="958"/>
      <c r="S301" s="105"/>
      <c r="T301" s="253"/>
      <c r="U301" s="105"/>
      <c r="V301" s="105"/>
      <c r="W301" s="146"/>
      <c r="X301" s="253"/>
      <c r="Y301" s="146"/>
      <c r="Z301" s="1713"/>
      <c r="AB301" s="3">
        <v>1</v>
      </c>
      <c r="AE301" s="2461"/>
      <c r="AF301" s="68"/>
    </row>
    <row r="302" spans="1:32" ht="60.5" x14ac:dyDescent="0.35">
      <c r="A302" s="370"/>
      <c r="B302" s="1066" t="s">
        <v>164</v>
      </c>
      <c r="C302" s="1066"/>
      <c r="D302" s="1155"/>
      <c r="E302" s="1596" t="s">
        <v>1115</v>
      </c>
      <c r="F302" s="1139"/>
      <c r="G302" s="93"/>
      <c r="H302" s="93"/>
      <c r="I302" s="680"/>
      <c r="J302" s="680"/>
      <c r="K302" s="681"/>
      <c r="L302" s="681"/>
      <c r="M302" s="991"/>
      <c r="N302" s="1230"/>
      <c r="O302" s="687"/>
      <c r="P302" s="681"/>
      <c r="Q302" s="961"/>
      <c r="R302" s="959"/>
      <c r="S302" s="325"/>
      <c r="T302" s="326"/>
      <c r="U302" s="325"/>
      <c r="V302" s="325"/>
      <c r="W302" s="327"/>
      <c r="X302" s="326"/>
      <c r="Y302" s="327"/>
      <c r="Z302" s="1716"/>
      <c r="AE302" s="2461"/>
      <c r="AF302" s="68"/>
    </row>
    <row r="303" spans="1:32" ht="75" x14ac:dyDescent="0.35">
      <c r="A303" s="370">
        <v>130</v>
      </c>
      <c r="B303" s="1066" t="s">
        <v>164</v>
      </c>
      <c r="C303" s="1066"/>
      <c r="D303" s="2463" t="s">
        <v>5251</v>
      </c>
      <c r="E303" s="322" t="s">
        <v>7787</v>
      </c>
      <c r="F303" s="1139"/>
      <c r="G303" s="93" t="s">
        <v>191</v>
      </c>
      <c r="H303" s="93" t="s">
        <v>191</v>
      </c>
      <c r="I303" s="680">
        <f t="shared" si="19"/>
        <v>1.04</v>
      </c>
      <c r="J303" s="680">
        <f t="shared" si="20"/>
        <v>1</v>
      </c>
      <c r="K303" s="681"/>
      <c r="L303" s="1230">
        <f>SUM(L304:L306)</f>
        <v>4.0000000000000036E-2</v>
      </c>
      <c r="M303" s="991"/>
      <c r="N303" s="1230">
        <f>SUM(N304:N306)</f>
        <v>0.4</v>
      </c>
      <c r="O303" s="687"/>
      <c r="P303" s="681"/>
      <c r="Q303" s="961">
        <f>SUM(Q304:Q306)</f>
        <v>0.6</v>
      </c>
      <c r="R303" s="959"/>
      <c r="S303" s="325"/>
      <c r="T303" s="326"/>
      <c r="U303" s="325"/>
      <c r="V303" s="325"/>
      <c r="W303" s="327"/>
      <c r="X303" s="326"/>
      <c r="Y303" s="327"/>
      <c r="Z303" s="1716"/>
      <c r="AB303" s="3">
        <v>1</v>
      </c>
      <c r="AE303" s="2461"/>
      <c r="AF303" s="68"/>
    </row>
    <row r="304" spans="1:32" x14ac:dyDescent="0.35">
      <c r="A304" s="1580"/>
      <c r="B304" s="1066" t="s">
        <v>164</v>
      </c>
      <c r="C304" s="1066"/>
      <c r="D304" s="1581"/>
      <c r="E304" s="1228" t="s">
        <v>1503</v>
      </c>
      <c r="F304" s="93">
        <v>5</v>
      </c>
      <c r="G304" s="93">
        <v>5</v>
      </c>
      <c r="H304" s="93">
        <v>6</v>
      </c>
      <c r="I304" s="685"/>
      <c r="J304" s="685"/>
      <c r="K304" s="1140"/>
      <c r="L304" s="1140"/>
      <c r="M304" s="1226"/>
      <c r="N304" s="1233"/>
      <c r="O304" s="1141"/>
      <c r="P304" s="1140"/>
      <c r="Q304" s="1223">
        <v>0.6</v>
      </c>
      <c r="R304" s="1220"/>
      <c r="S304" s="1139"/>
      <c r="T304" s="1142"/>
      <c r="U304" s="1139"/>
      <c r="V304" s="1139"/>
      <c r="W304" s="1143"/>
      <c r="X304" s="1142"/>
      <c r="Y304" s="1143"/>
      <c r="Z304" s="1717"/>
      <c r="AE304" s="2461"/>
      <c r="AF304" s="68"/>
    </row>
    <row r="305" spans="1:32" ht="31" x14ac:dyDescent="0.35">
      <c r="A305" s="1580"/>
      <c r="B305" s="1066"/>
      <c r="C305" s="1066"/>
      <c r="D305" s="1581"/>
      <c r="E305" s="2067" t="s">
        <v>7150</v>
      </c>
      <c r="F305" s="1139">
        <v>5</v>
      </c>
      <c r="G305" s="93">
        <v>5</v>
      </c>
      <c r="H305" s="93" t="s">
        <v>191</v>
      </c>
      <c r="I305" s="685"/>
      <c r="J305" s="685"/>
      <c r="K305" s="1140"/>
      <c r="L305" s="1140">
        <f>0.64-0.6</f>
        <v>4.0000000000000036E-2</v>
      </c>
      <c r="M305" s="1226"/>
      <c r="N305" s="1233"/>
      <c r="O305" s="1141"/>
      <c r="P305" s="1140"/>
      <c r="Q305" s="1223"/>
      <c r="R305" s="1220"/>
      <c r="S305" s="1139"/>
      <c r="T305" s="1142"/>
      <c r="U305" s="1139"/>
      <c r="V305" s="1139"/>
      <c r="W305" s="1143"/>
      <c r="X305" s="1142"/>
      <c r="Y305" s="1143"/>
      <c r="Z305" s="1717"/>
      <c r="AE305" s="2461"/>
      <c r="AF305" s="68"/>
    </row>
    <row r="306" spans="1:32" x14ac:dyDescent="0.35">
      <c r="A306" s="1580"/>
      <c r="B306" s="1066" t="s">
        <v>164</v>
      </c>
      <c r="C306" s="1066"/>
      <c r="D306" s="1581"/>
      <c r="E306" s="324" t="s">
        <v>7151</v>
      </c>
      <c r="F306" s="1139">
        <v>5</v>
      </c>
      <c r="G306" s="93">
        <v>5</v>
      </c>
      <c r="H306" s="93">
        <v>6</v>
      </c>
      <c r="I306" s="685"/>
      <c r="J306" s="685"/>
      <c r="K306" s="1140"/>
      <c r="L306" s="1140"/>
      <c r="M306" s="1226"/>
      <c r="N306" s="1233">
        <f>1.04-0.64</f>
        <v>0.4</v>
      </c>
      <c r="O306" s="1141"/>
      <c r="P306" s="1140"/>
      <c r="Q306" s="1223"/>
      <c r="R306" s="1220"/>
      <c r="S306" s="1139"/>
      <c r="T306" s="1142"/>
      <c r="U306" s="1139"/>
      <c r="V306" s="1139"/>
      <c r="W306" s="1143"/>
      <c r="X306" s="1142"/>
      <c r="Y306" s="1143"/>
      <c r="Z306" s="1717"/>
      <c r="AE306" s="2461"/>
      <c r="AF306" s="68"/>
    </row>
    <row r="307" spans="1:32" ht="75" x14ac:dyDescent="0.35">
      <c r="A307" s="370">
        <v>131</v>
      </c>
      <c r="B307" s="1066" t="s">
        <v>164</v>
      </c>
      <c r="C307" s="1066"/>
      <c r="D307" s="2463" t="s">
        <v>7152</v>
      </c>
      <c r="E307" s="322" t="s">
        <v>7788</v>
      </c>
      <c r="F307" s="1139">
        <v>5</v>
      </c>
      <c r="G307" s="93">
        <v>5</v>
      </c>
      <c r="H307" s="93">
        <v>6</v>
      </c>
      <c r="I307" s="680">
        <f>J307+K307+L307</f>
        <v>1.1000000000000001</v>
      </c>
      <c r="J307" s="680">
        <f>SUM(M307:R307)</f>
        <v>1.1000000000000001</v>
      </c>
      <c r="K307" s="681"/>
      <c r="L307" s="681"/>
      <c r="M307" s="991"/>
      <c r="N307" s="1230"/>
      <c r="O307" s="687"/>
      <c r="P307" s="681"/>
      <c r="Q307" s="961"/>
      <c r="R307" s="959">
        <v>1.1000000000000001</v>
      </c>
      <c r="S307" s="325"/>
      <c r="T307" s="326"/>
      <c r="U307" s="325"/>
      <c r="V307" s="325"/>
      <c r="W307" s="327"/>
      <c r="X307" s="326"/>
      <c r="Y307" s="327"/>
      <c r="Z307" s="1716"/>
      <c r="AB307" s="3">
        <v>1</v>
      </c>
      <c r="AE307" s="2461"/>
      <c r="AF307" s="68"/>
    </row>
    <row r="308" spans="1:32" ht="60" x14ac:dyDescent="0.35">
      <c r="A308" s="370">
        <v>132</v>
      </c>
      <c r="B308" s="1066" t="s">
        <v>164</v>
      </c>
      <c r="C308" s="1066"/>
      <c r="D308" s="2463" t="s">
        <v>5252</v>
      </c>
      <c r="E308" s="322" t="s">
        <v>7789</v>
      </c>
      <c r="F308" s="1139">
        <v>5</v>
      </c>
      <c r="G308" s="93">
        <v>5</v>
      </c>
      <c r="H308" s="93">
        <v>10</v>
      </c>
      <c r="I308" s="680">
        <f>J308+K308+L308</f>
        <v>1.6</v>
      </c>
      <c r="J308" s="680">
        <f>SUM(M308:R308)</f>
        <v>1.6</v>
      </c>
      <c r="K308" s="681"/>
      <c r="L308" s="681"/>
      <c r="M308" s="991">
        <v>1.6</v>
      </c>
      <c r="N308" s="1230"/>
      <c r="O308" s="687"/>
      <c r="P308" s="681"/>
      <c r="Q308" s="961"/>
      <c r="R308" s="959"/>
      <c r="S308" s="325"/>
      <c r="T308" s="326"/>
      <c r="U308" s="325"/>
      <c r="V308" s="325"/>
      <c r="W308" s="327">
        <v>3</v>
      </c>
      <c r="X308" s="326">
        <v>28.7</v>
      </c>
      <c r="Y308" s="327"/>
      <c r="Z308" s="1716"/>
      <c r="AB308" s="3">
        <v>1</v>
      </c>
      <c r="AE308" s="2461"/>
      <c r="AF308" s="68"/>
    </row>
    <row r="309" spans="1:32" ht="90" x14ac:dyDescent="0.35">
      <c r="A309" s="2001">
        <v>133</v>
      </c>
      <c r="B309" s="365" t="s">
        <v>164</v>
      </c>
      <c r="C309" s="358" t="s">
        <v>1656</v>
      </c>
      <c r="D309" s="2463" t="s">
        <v>5253</v>
      </c>
      <c r="E309" s="322" t="s">
        <v>8662</v>
      </c>
      <c r="F309" s="93" t="s">
        <v>664</v>
      </c>
      <c r="G309" s="93">
        <v>5</v>
      </c>
      <c r="H309" s="93">
        <v>6</v>
      </c>
      <c r="I309" s="297">
        <f>J309+K309+L309</f>
        <v>0.02</v>
      </c>
      <c r="J309" s="297">
        <f>SUM(M309:R309)</f>
        <v>0.02</v>
      </c>
      <c r="K309" s="685"/>
      <c r="L309" s="685"/>
      <c r="M309" s="2384"/>
      <c r="N309" s="680"/>
      <c r="O309" s="684"/>
      <c r="P309" s="680"/>
      <c r="Q309" s="2385"/>
      <c r="R309" s="1830">
        <v>0.02</v>
      </c>
      <c r="S309" s="93"/>
      <c r="T309" s="252"/>
      <c r="U309" s="93"/>
      <c r="V309" s="93"/>
      <c r="W309" s="147"/>
      <c r="X309" s="252"/>
      <c r="Y309" s="147"/>
      <c r="Z309" s="1715"/>
      <c r="AB309" s="3">
        <v>1</v>
      </c>
      <c r="AE309" s="2461"/>
      <c r="AF309" s="68"/>
    </row>
    <row r="310" spans="1:32" ht="60" x14ac:dyDescent="0.35">
      <c r="A310" s="370">
        <v>134</v>
      </c>
      <c r="B310" s="1066" t="s">
        <v>164</v>
      </c>
      <c r="C310" s="1066"/>
      <c r="D310" s="2463" t="s">
        <v>5254</v>
      </c>
      <c r="E310" s="322" t="s">
        <v>7790</v>
      </c>
      <c r="F310" s="93"/>
      <c r="G310" s="93" t="s">
        <v>191</v>
      </c>
      <c r="H310" s="93" t="s">
        <v>191</v>
      </c>
      <c r="I310" s="680">
        <f>J310+K310+L310</f>
        <v>3.0179999999999998</v>
      </c>
      <c r="J310" s="680">
        <f>SUM(M310:R310)</f>
        <v>3.0179999999999998</v>
      </c>
      <c r="K310" s="681"/>
      <c r="L310" s="681"/>
      <c r="M310" s="991"/>
      <c r="N310" s="1230">
        <f>SUM(N311:N313)</f>
        <v>2.8000000000000001E-2</v>
      </c>
      <c r="O310" s="687"/>
      <c r="P310" s="681"/>
      <c r="Q310" s="961">
        <f>SUM(Q311:Q313)</f>
        <v>1.972</v>
      </c>
      <c r="R310" s="959">
        <f>SUM(R311:R313)</f>
        <v>1.018</v>
      </c>
      <c r="S310" s="325"/>
      <c r="T310" s="326"/>
      <c r="U310" s="325"/>
      <c r="V310" s="325"/>
      <c r="W310" s="327">
        <v>4</v>
      </c>
      <c r="X310" s="326">
        <v>47.57</v>
      </c>
      <c r="Y310" s="327">
        <v>1</v>
      </c>
      <c r="Z310" s="1716">
        <v>10</v>
      </c>
      <c r="AB310" s="3">
        <v>1</v>
      </c>
      <c r="AE310" s="2461"/>
      <c r="AF310" s="68"/>
    </row>
    <row r="311" spans="1:32" x14ac:dyDescent="0.35">
      <c r="A311" s="370"/>
      <c r="B311" s="1066" t="s">
        <v>164</v>
      </c>
      <c r="C311" s="1066"/>
      <c r="D311" s="1155"/>
      <c r="E311" s="324" t="s">
        <v>3338</v>
      </c>
      <c r="F311" s="1139">
        <v>5</v>
      </c>
      <c r="G311" s="93">
        <v>5</v>
      </c>
      <c r="H311" s="93">
        <v>6</v>
      </c>
      <c r="I311" s="685"/>
      <c r="J311" s="685"/>
      <c r="K311" s="1140"/>
      <c r="L311" s="1140"/>
      <c r="M311" s="2406"/>
      <c r="N311" s="1140">
        <v>2.8000000000000001E-2</v>
      </c>
      <c r="O311" s="1141"/>
      <c r="P311" s="1140"/>
      <c r="Q311" s="2407"/>
      <c r="R311" s="2408"/>
      <c r="S311" s="325"/>
      <c r="T311" s="326"/>
      <c r="U311" s="325"/>
      <c r="V311" s="325"/>
      <c r="W311" s="327"/>
      <c r="X311" s="326"/>
      <c r="Y311" s="327"/>
      <c r="Z311" s="1716"/>
      <c r="AE311" s="2461"/>
      <c r="AF311" s="68"/>
    </row>
    <row r="312" spans="1:32" x14ac:dyDescent="0.35">
      <c r="A312" s="1580"/>
      <c r="B312" s="1066" t="s">
        <v>164</v>
      </c>
      <c r="C312" s="1066"/>
      <c r="D312" s="1581"/>
      <c r="E312" s="1228" t="s">
        <v>3339</v>
      </c>
      <c r="F312" s="1139">
        <v>5</v>
      </c>
      <c r="G312" s="93">
        <v>5</v>
      </c>
      <c r="H312" s="93">
        <v>6</v>
      </c>
      <c r="I312" s="685"/>
      <c r="J312" s="685"/>
      <c r="K312" s="1140"/>
      <c r="L312" s="1140"/>
      <c r="M312" s="1226"/>
      <c r="N312" s="1233"/>
      <c r="O312" s="1141"/>
      <c r="P312" s="1140"/>
      <c r="Q312" s="1223">
        <f>2-0.028</f>
        <v>1.972</v>
      </c>
      <c r="R312" s="1220"/>
      <c r="S312" s="1139"/>
      <c r="T312" s="1142"/>
      <c r="U312" s="1139"/>
      <c r="V312" s="1139"/>
      <c r="W312" s="1143"/>
      <c r="X312" s="1142"/>
      <c r="Y312" s="1143"/>
      <c r="Z312" s="1717"/>
      <c r="AE312" s="2461"/>
      <c r="AF312" s="68"/>
    </row>
    <row r="313" spans="1:32" x14ac:dyDescent="0.35">
      <c r="A313" s="1580"/>
      <c r="B313" s="1066" t="s">
        <v>164</v>
      </c>
      <c r="C313" s="1066"/>
      <c r="D313" s="1581"/>
      <c r="E313" s="1227" t="s">
        <v>2363</v>
      </c>
      <c r="F313" s="93" t="s">
        <v>827</v>
      </c>
      <c r="G313" s="93">
        <v>5</v>
      </c>
      <c r="H313" s="93">
        <v>6</v>
      </c>
      <c r="I313" s="685"/>
      <c r="J313" s="685"/>
      <c r="K313" s="1140"/>
      <c r="L313" s="1140"/>
      <c r="M313" s="1226"/>
      <c r="N313" s="1233"/>
      <c r="O313" s="1141"/>
      <c r="P313" s="1140"/>
      <c r="Q313" s="1223"/>
      <c r="R313" s="1220">
        <f>0.53+0.488</f>
        <v>1.018</v>
      </c>
      <c r="S313" s="1139"/>
      <c r="T313" s="1142"/>
      <c r="U313" s="1139"/>
      <c r="V313" s="1139"/>
      <c r="W313" s="1143"/>
      <c r="X313" s="1142"/>
      <c r="Y313" s="1143"/>
      <c r="Z313" s="1717"/>
      <c r="AE313" s="2461"/>
      <c r="AF313" s="68"/>
    </row>
    <row r="314" spans="1:32" ht="90" x14ac:dyDescent="0.35">
      <c r="A314" s="2001">
        <v>135</v>
      </c>
      <c r="B314" s="365" t="s">
        <v>164</v>
      </c>
      <c r="C314" s="358" t="s">
        <v>1656</v>
      </c>
      <c r="D314" s="2463" t="s">
        <v>5255</v>
      </c>
      <c r="E314" s="322" t="s">
        <v>8663</v>
      </c>
      <c r="F314" s="93" t="s">
        <v>664</v>
      </c>
      <c r="G314" s="93">
        <v>5</v>
      </c>
      <c r="H314" s="93">
        <v>6</v>
      </c>
      <c r="I314" s="297">
        <f>J314+K314+L314</f>
        <v>0.9</v>
      </c>
      <c r="J314" s="297">
        <f>SUM(M314:R314)</f>
        <v>0.9</v>
      </c>
      <c r="K314" s="680"/>
      <c r="L314" s="680"/>
      <c r="M314" s="2384"/>
      <c r="N314" s="680"/>
      <c r="O314" s="684"/>
      <c r="P314" s="680"/>
      <c r="Q314" s="2385"/>
      <c r="R314" s="1830">
        <v>0.9</v>
      </c>
      <c r="S314" s="105"/>
      <c r="T314" s="253"/>
      <c r="U314" s="105"/>
      <c r="V314" s="105"/>
      <c r="W314" s="146"/>
      <c r="X314" s="253"/>
      <c r="Y314" s="146"/>
      <c r="Z314" s="1713"/>
      <c r="AB314" s="3">
        <v>1</v>
      </c>
      <c r="AC314" s="2331"/>
      <c r="AD314" s="1784"/>
      <c r="AE314" s="2461"/>
      <c r="AF314" s="68"/>
    </row>
    <row r="315" spans="1:32" ht="60" x14ac:dyDescent="0.35">
      <c r="A315" s="370">
        <v>136</v>
      </c>
      <c r="B315" s="1066" t="s">
        <v>164</v>
      </c>
      <c r="C315" s="1066"/>
      <c r="D315" s="2463" t="s">
        <v>5256</v>
      </c>
      <c r="E315" s="322" t="s">
        <v>7791</v>
      </c>
      <c r="F315" s="1139"/>
      <c r="G315" s="93" t="s">
        <v>191</v>
      </c>
      <c r="H315" s="93" t="s">
        <v>191</v>
      </c>
      <c r="I315" s="680">
        <f>J315+K315+L315</f>
        <v>2.4</v>
      </c>
      <c r="J315" s="680">
        <f>SUM(M315:R315)</f>
        <v>2.4</v>
      </c>
      <c r="K315" s="681"/>
      <c r="L315" s="681"/>
      <c r="M315" s="991"/>
      <c r="N315" s="1230">
        <f>SUM(N316:N317)</f>
        <v>1.3</v>
      </c>
      <c r="O315" s="687"/>
      <c r="P315" s="681"/>
      <c r="Q315" s="961"/>
      <c r="R315" s="959">
        <f>SUM(R316:R317)</f>
        <v>1.0999999999999999</v>
      </c>
      <c r="S315" s="325"/>
      <c r="T315" s="326"/>
      <c r="U315" s="325"/>
      <c r="V315" s="325"/>
      <c r="W315" s="327">
        <v>5</v>
      </c>
      <c r="X315" s="326">
        <v>56.53</v>
      </c>
      <c r="Y315" s="327">
        <v>1</v>
      </c>
      <c r="Z315" s="1716">
        <v>10.66</v>
      </c>
      <c r="AB315" s="3">
        <v>1</v>
      </c>
      <c r="AE315" s="2461"/>
      <c r="AF315" s="68"/>
    </row>
    <row r="316" spans="1:32" x14ac:dyDescent="0.35">
      <c r="A316" s="1580"/>
      <c r="B316" s="1066" t="s">
        <v>164</v>
      </c>
      <c r="C316" s="1066"/>
      <c r="D316" s="1581"/>
      <c r="E316" s="324" t="s">
        <v>2466</v>
      </c>
      <c r="F316" s="1139">
        <v>5</v>
      </c>
      <c r="G316" s="93">
        <v>5</v>
      </c>
      <c r="H316" s="93">
        <v>6</v>
      </c>
      <c r="I316" s="685"/>
      <c r="J316" s="685"/>
      <c r="K316" s="1140"/>
      <c r="L316" s="1140"/>
      <c r="M316" s="1226"/>
      <c r="N316" s="1233">
        <v>1.3</v>
      </c>
      <c r="O316" s="1141"/>
      <c r="P316" s="1140"/>
      <c r="Q316" s="1223"/>
      <c r="R316" s="1220"/>
      <c r="S316" s="1139"/>
      <c r="T316" s="1142"/>
      <c r="U316" s="1139"/>
      <c r="V316" s="1139"/>
      <c r="W316" s="1143"/>
      <c r="X316" s="1142"/>
      <c r="Y316" s="1143"/>
      <c r="Z316" s="1717"/>
      <c r="AE316" s="2461"/>
      <c r="AF316" s="68"/>
    </row>
    <row r="317" spans="1:32" x14ac:dyDescent="0.35">
      <c r="A317" s="1580"/>
      <c r="B317" s="1066" t="s">
        <v>164</v>
      </c>
      <c r="C317" s="1066"/>
      <c r="D317" s="1581"/>
      <c r="E317" s="1227" t="s">
        <v>906</v>
      </c>
      <c r="F317" s="93" t="s">
        <v>1490</v>
      </c>
      <c r="G317" s="93">
        <v>5</v>
      </c>
      <c r="H317" s="93">
        <v>6</v>
      </c>
      <c r="I317" s="685"/>
      <c r="J317" s="685"/>
      <c r="K317" s="1140"/>
      <c r="L317" s="1140"/>
      <c r="M317" s="1226"/>
      <c r="N317" s="1233"/>
      <c r="O317" s="1141"/>
      <c r="P317" s="1140"/>
      <c r="Q317" s="1223"/>
      <c r="R317" s="1220">
        <f>2.4-1.3</f>
        <v>1.0999999999999999</v>
      </c>
      <c r="S317" s="1139"/>
      <c r="T317" s="1142"/>
      <c r="U317" s="1139"/>
      <c r="V317" s="1139"/>
      <c r="W317" s="1143"/>
      <c r="X317" s="1142"/>
      <c r="Y317" s="1143"/>
      <c r="Z317" s="1717"/>
      <c r="AE317" s="2461"/>
      <c r="AF317" s="68"/>
    </row>
    <row r="318" spans="1:32" ht="90" x14ac:dyDescent="0.35">
      <c r="A318" s="370">
        <v>137</v>
      </c>
      <c r="B318" s="1066" t="s">
        <v>164</v>
      </c>
      <c r="C318" s="1066"/>
      <c r="D318" s="2463" t="s">
        <v>5257</v>
      </c>
      <c r="E318" s="322" t="s">
        <v>7792</v>
      </c>
      <c r="F318" s="1139">
        <v>5</v>
      </c>
      <c r="G318" s="93">
        <v>5</v>
      </c>
      <c r="H318" s="93">
        <v>6</v>
      </c>
      <c r="I318" s="680">
        <f>J318+K318+L318</f>
        <v>0.7</v>
      </c>
      <c r="J318" s="680">
        <f>SUM(M318:R318)</f>
        <v>0.7</v>
      </c>
      <c r="K318" s="681"/>
      <c r="L318" s="681"/>
      <c r="M318" s="991"/>
      <c r="N318" s="1230">
        <v>0.7</v>
      </c>
      <c r="O318" s="687"/>
      <c r="P318" s="681"/>
      <c r="Q318" s="961"/>
      <c r="R318" s="959"/>
      <c r="S318" s="325"/>
      <c r="T318" s="326"/>
      <c r="U318" s="325"/>
      <c r="V318" s="325"/>
      <c r="W318" s="327"/>
      <c r="X318" s="326"/>
      <c r="Y318" s="327"/>
      <c r="Z318" s="1716"/>
      <c r="AB318" s="3">
        <v>1</v>
      </c>
      <c r="AE318" s="2461"/>
      <c r="AF318" s="68"/>
    </row>
    <row r="319" spans="1:32" ht="90" x14ac:dyDescent="0.35">
      <c r="A319" s="2001">
        <v>138</v>
      </c>
      <c r="B319" s="365" t="s">
        <v>164</v>
      </c>
      <c r="C319" s="358" t="s">
        <v>1656</v>
      </c>
      <c r="D319" s="2463" t="s">
        <v>5258</v>
      </c>
      <c r="E319" s="322" t="s">
        <v>8664</v>
      </c>
      <c r="F319" s="93" t="s">
        <v>664</v>
      </c>
      <c r="G319" s="93">
        <v>5</v>
      </c>
      <c r="H319" s="93">
        <v>6</v>
      </c>
      <c r="I319" s="297">
        <f>J319+K319+L319</f>
        <v>0.15</v>
      </c>
      <c r="J319" s="297">
        <f>SUM(M319:R319)</f>
        <v>0.15</v>
      </c>
      <c r="K319" s="680"/>
      <c r="L319" s="680"/>
      <c r="M319" s="2384"/>
      <c r="N319" s="680"/>
      <c r="O319" s="684"/>
      <c r="P319" s="680"/>
      <c r="Q319" s="2385"/>
      <c r="R319" s="1830">
        <v>0.15</v>
      </c>
      <c r="S319" s="105"/>
      <c r="T319" s="253"/>
      <c r="U319" s="105"/>
      <c r="V319" s="105"/>
      <c r="W319" s="146"/>
      <c r="X319" s="253"/>
      <c r="Y319" s="146"/>
      <c r="Z319" s="1713"/>
      <c r="AB319" s="3">
        <v>1</v>
      </c>
      <c r="AE319" s="2461"/>
      <c r="AF319" s="68"/>
    </row>
    <row r="320" spans="1:32" x14ac:dyDescent="0.35">
      <c r="F320" s="963"/>
      <c r="G320" s="963"/>
      <c r="H320" s="963"/>
    </row>
    <row r="321" spans="6:8" x14ac:dyDescent="0.35">
      <c r="F321" s="963"/>
      <c r="G321" s="963"/>
      <c r="H321" s="963"/>
    </row>
    <row r="322" spans="6:8" x14ac:dyDescent="0.35">
      <c r="F322" s="963"/>
      <c r="G322" s="963"/>
      <c r="H322" s="963"/>
    </row>
    <row r="323" spans="6:8" x14ac:dyDescent="0.35">
      <c r="F323" s="963"/>
      <c r="G323" s="963"/>
      <c r="H323" s="963"/>
    </row>
    <row r="324" spans="6:8" x14ac:dyDescent="0.35">
      <c r="F324" s="963"/>
      <c r="G324" s="963"/>
      <c r="H324" s="963"/>
    </row>
    <row r="325" spans="6:8" x14ac:dyDescent="0.35">
      <c r="F325" s="963"/>
      <c r="G325" s="963"/>
      <c r="H325" s="963"/>
    </row>
    <row r="326" spans="6:8" x14ac:dyDescent="0.35">
      <c r="F326" s="963"/>
      <c r="G326" s="963"/>
      <c r="H326" s="963"/>
    </row>
    <row r="327" spans="6:8" x14ac:dyDescent="0.35">
      <c r="F327" s="963"/>
      <c r="G327" s="963"/>
      <c r="H327" s="963"/>
    </row>
    <row r="328" spans="6:8" x14ac:dyDescent="0.35">
      <c r="F328" s="963"/>
      <c r="G328" s="963"/>
      <c r="H328" s="963"/>
    </row>
    <row r="329" spans="6:8" x14ac:dyDescent="0.35">
      <c r="F329" s="963"/>
      <c r="G329" s="963"/>
      <c r="H329" s="963"/>
    </row>
    <row r="330" spans="6:8" x14ac:dyDescent="0.35">
      <c r="F330" s="963"/>
      <c r="G330" s="963"/>
      <c r="H330" s="963"/>
    </row>
    <row r="331" spans="6:8" x14ac:dyDescent="0.35">
      <c r="F331" s="963"/>
      <c r="G331" s="963"/>
      <c r="H331" s="963"/>
    </row>
    <row r="332" spans="6:8" x14ac:dyDescent="0.35">
      <c r="F332" s="963"/>
      <c r="G332" s="963"/>
      <c r="H332" s="963"/>
    </row>
    <row r="333" spans="6:8" x14ac:dyDescent="0.35">
      <c r="F333" s="963"/>
      <c r="G333" s="963"/>
      <c r="H333" s="963"/>
    </row>
    <row r="334" spans="6:8" x14ac:dyDescent="0.35">
      <c r="F334" s="963"/>
      <c r="G334" s="963"/>
      <c r="H334" s="963"/>
    </row>
    <row r="335" spans="6:8" x14ac:dyDescent="0.35">
      <c r="F335" s="963"/>
      <c r="G335" s="963"/>
      <c r="H335" s="963"/>
    </row>
    <row r="336" spans="6:8" x14ac:dyDescent="0.35">
      <c r="F336" s="963"/>
      <c r="G336" s="963"/>
      <c r="H336" s="963"/>
    </row>
    <row r="337" spans="6:8" x14ac:dyDescent="0.35">
      <c r="F337" s="963"/>
      <c r="G337" s="963"/>
      <c r="H337" s="963"/>
    </row>
    <row r="338" spans="6:8" x14ac:dyDescent="0.35">
      <c r="F338" s="963"/>
      <c r="G338" s="963"/>
      <c r="H338" s="963"/>
    </row>
    <row r="339" spans="6:8" x14ac:dyDescent="0.35">
      <c r="F339" s="963"/>
      <c r="G339" s="963"/>
      <c r="H339" s="963"/>
    </row>
    <row r="340" spans="6:8" x14ac:dyDescent="0.35">
      <c r="F340" s="963"/>
      <c r="G340" s="963"/>
      <c r="H340" s="963"/>
    </row>
    <row r="341" spans="6:8" x14ac:dyDescent="0.35">
      <c r="F341" s="963"/>
      <c r="G341" s="963"/>
      <c r="H341" s="963"/>
    </row>
    <row r="342" spans="6:8" x14ac:dyDescent="0.35">
      <c r="F342" s="963"/>
      <c r="G342" s="963"/>
      <c r="H342" s="963"/>
    </row>
    <row r="343" spans="6:8" x14ac:dyDescent="0.35">
      <c r="F343" s="963"/>
      <c r="G343" s="963"/>
      <c r="H343" s="963"/>
    </row>
    <row r="344" spans="6:8" x14ac:dyDescent="0.35">
      <c r="F344" s="963"/>
      <c r="G344" s="963"/>
      <c r="H344" s="963"/>
    </row>
    <row r="345" spans="6:8" x14ac:dyDescent="0.35">
      <c r="F345" s="963"/>
      <c r="G345" s="963"/>
      <c r="H345" s="963"/>
    </row>
    <row r="346" spans="6:8" x14ac:dyDescent="0.35">
      <c r="F346" s="963"/>
      <c r="G346" s="963"/>
      <c r="H346" s="963"/>
    </row>
    <row r="347" spans="6:8" x14ac:dyDescent="0.35">
      <c r="F347" s="963"/>
      <c r="G347" s="963"/>
      <c r="H347" s="963"/>
    </row>
    <row r="348" spans="6:8" x14ac:dyDescent="0.35">
      <c r="F348" s="963"/>
      <c r="G348" s="963"/>
      <c r="H348" s="963"/>
    </row>
    <row r="349" spans="6:8" x14ac:dyDescent="0.35">
      <c r="F349" s="963"/>
      <c r="G349" s="963"/>
      <c r="H349" s="963"/>
    </row>
    <row r="350" spans="6:8" x14ac:dyDescent="0.35">
      <c r="F350" s="963"/>
      <c r="G350" s="963"/>
      <c r="H350" s="963"/>
    </row>
    <row r="351" spans="6:8" x14ac:dyDescent="0.35">
      <c r="F351" s="963"/>
      <c r="G351" s="963"/>
      <c r="H351" s="963"/>
    </row>
    <row r="352" spans="6:8" x14ac:dyDescent="0.35">
      <c r="F352" s="963"/>
      <c r="G352" s="963"/>
      <c r="H352" s="963"/>
    </row>
    <row r="353" spans="6:8" x14ac:dyDescent="0.35">
      <c r="F353" s="963"/>
      <c r="G353" s="963"/>
      <c r="H353" s="963"/>
    </row>
    <row r="354" spans="6:8" x14ac:dyDescent="0.35">
      <c r="F354" s="963"/>
      <c r="G354" s="963"/>
      <c r="H354" s="963"/>
    </row>
    <row r="355" spans="6:8" x14ac:dyDescent="0.35">
      <c r="F355" s="963"/>
      <c r="G355" s="963"/>
      <c r="H355" s="963"/>
    </row>
    <row r="356" spans="6:8" x14ac:dyDescent="0.35">
      <c r="F356" s="963"/>
      <c r="G356" s="963"/>
      <c r="H356" s="963"/>
    </row>
    <row r="357" spans="6:8" x14ac:dyDescent="0.35">
      <c r="F357" s="963"/>
      <c r="G357" s="963"/>
      <c r="H357" s="963"/>
    </row>
    <row r="358" spans="6:8" x14ac:dyDescent="0.35">
      <c r="F358" s="963"/>
      <c r="G358" s="963"/>
      <c r="H358" s="963"/>
    </row>
    <row r="359" spans="6:8" x14ac:dyDescent="0.35">
      <c r="F359" s="963"/>
      <c r="G359" s="963"/>
      <c r="H359" s="963"/>
    </row>
    <row r="360" spans="6:8" x14ac:dyDescent="0.35">
      <c r="F360" s="963"/>
      <c r="G360" s="963"/>
      <c r="H360" s="963"/>
    </row>
    <row r="361" spans="6:8" x14ac:dyDescent="0.35">
      <c r="F361" s="963"/>
      <c r="G361" s="963"/>
      <c r="H361" s="963"/>
    </row>
    <row r="362" spans="6:8" x14ac:dyDescent="0.35">
      <c r="F362" s="963"/>
      <c r="G362" s="963"/>
      <c r="H362" s="963"/>
    </row>
    <row r="363" spans="6:8" x14ac:dyDescent="0.35">
      <c r="F363" s="963"/>
      <c r="G363" s="963"/>
      <c r="H363" s="963"/>
    </row>
    <row r="364" spans="6:8" x14ac:dyDescent="0.35">
      <c r="F364" s="963"/>
      <c r="G364" s="963"/>
      <c r="H364" s="963"/>
    </row>
  </sheetData>
  <autoFilter ref="A29:AB319"/>
  <mergeCells count="35">
    <mergeCell ref="A2:Z2"/>
    <mergeCell ref="A3:Z3"/>
    <mergeCell ref="W5:Z5"/>
    <mergeCell ref="A5:A8"/>
    <mergeCell ref="D5:D8"/>
    <mergeCell ref="E5:E8"/>
    <mergeCell ref="F5:F8"/>
    <mergeCell ref="B5:B8"/>
    <mergeCell ref="G5:G8"/>
    <mergeCell ref="L6:L8"/>
    <mergeCell ref="U6:V6"/>
    <mergeCell ref="V7:V8"/>
    <mergeCell ref="Y7:Y8"/>
    <mergeCell ref="Y6:Z6"/>
    <mergeCell ref="W7:W8"/>
    <mergeCell ref="X7:X8"/>
    <mergeCell ref="H5:H8"/>
    <mergeCell ref="I5:L5"/>
    <mergeCell ref="M5:R5"/>
    <mergeCell ref="I6:I8"/>
    <mergeCell ref="J6:J8"/>
    <mergeCell ref="K6:K8"/>
    <mergeCell ref="R6:R8"/>
    <mergeCell ref="M6:M8"/>
    <mergeCell ref="N6:N8"/>
    <mergeCell ref="O6:O8"/>
    <mergeCell ref="P6:P8"/>
    <mergeCell ref="Q6:Q8"/>
    <mergeCell ref="Z7:Z8"/>
    <mergeCell ref="S6:T6"/>
    <mergeCell ref="W6:X6"/>
    <mergeCell ref="S5:V5"/>
    <mergeCell ref="U7:U8"/>
    <mergeCell ref="T7:T8"/>
    <mergeCell ref="S7:S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Roman,обычный"&amp;10Кричевское ДРСУ-198&amp;R&amp;"Times New Roman,обычный"&amp;10&amp;P</oddFooter>
  </headerFooter>
  <rowBreaks count="7" manualBreakCount="7">
    <brk id="44" max="24" man="1"/>
    <brk id="80" max="24" man="1"/>
    <brk id="131" max="24" man="1"/>
    <brk id="173" max="24" man="1"/>
    <brk id="213" max="24" man="1"/>
    <brk id="258" max="24" man="1"/>
    <brk id="293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2:AM309"/>
  <sheetViews>
    <sheetView zoomScale="90" zoomScaleNormal="90"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8.9140625" defaultRowHeight="15.5" x14ac:dyDescent="0.35"/>
  <cols>
    <col min="1" max="1" width="4.4140625" style="5" customWidth="1"/>
    <col min="2" max="3" width="7.25" style="5" hidden="1" customWidth="1"/>
    <col min="4" max="4" width="7.33203125" style="5" customWidth="1"/>
    <col min="5" max="5" width="43.4140625" style="3" customWidth="1"/>
    <col min="6" max="6" width="6.75" style="5" customWidth="1"/>
    <col min="7" max="9" width="7.25" style="5" customWidth="1"/>
    <col min="10" max="10" width="7.08203125" style="5" customWidth="1"/>
    <col min="11" max="13" width="6.6640625" style="5" customWidth="1"/>
    <col min="14" max="14" width="7.25" style="5" customWidth="1"/>
    <col min="15" max="15" width="6.75" style="5" customWidth="1"/>
    <col min="16" max="16" width="6.6640625" style="5" customWidth="1"/>
    <col min="17" max="17" width="7" style="5" customWidth="1"/>
    <col min="18" max="18" width="6.6640625" style="5" customWidth="1"/>
    <col min="19" max="19" width="4.4140625" style="5" customWidth="1"/>
    <col min="20" max="20" width="7.25" style="5" customWidth="1"/>
    <col min="21" max="21" width="4.58203125" style="5" customWidth="1"/>
    <col min="22" max="22" width="5.6640625" style="5" customWidth="1"/>
    <col min="23" max="23" width="4.58203125" style="5" customWidth="1"/>
    <col min="24" max="24" width="7.6640625" style="5" customWidth="1"/>
    <col min="25" max="25" width="4.58203125" style="5" customWidth="1"/>
    <col min="26" max="26" width="7.9140625" style="5" customWidth="1"/>
    <col min="27" max="36" width="8.9140625" style="3"/>
    <col min="37" max="37" width="22" style="3" customWidth="1"/>
    <col min="38" max="16384" width="8.9140625" style="3"/>
  </cols>
  <sheetData>
    <row r="2" spans="1:39" ht="20" x14ac:dyDescent="0.35">
      <c r="A2" s="3117" t="s">
        <v>10627</v>
      </c>
      <c r="B2" s="3117"/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71"/>
      <c r="B4" s="71"/>
      <c r="C4" s="71"/>
      <c r="D4" s="71"/>
      <c r="E4" s="71"/>
      <c r="F4" s="71"/>
      <c r="G4" s="71"/>
      <c r="H4" s="71"/>
      <c r="I4" s="71"/>
      <c r="J4" s="2313"/>
      <c r="K4" s="71"/>
      <c r="L4" s="71"/>
      <c r="M4" s="71"/>
      <c r="N4" s="71"/>
      <c r="O4" s="2303"/>
      <c r="P4" s="71"/>
      <c r="Q4" s="71"/>
      <c r="R4" s="1833"/>
      <c r="S4" s="71"/>
      <c r="T4" s="71"/>
      <c r="U4" s="71"/>
      <c r="V4" s="71"/>
      <c r="W4" s="244"/>
      <c r="X4" s="243"/>
      <c r="Y4" s="71"/>
    </row>
    <row r="5" spans="1:39" ht="15.7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0.75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" thickBot="1" x14ac:dyDescent="0.4">
      <c r="A10" s="450"/>
      <c r="B10" s="1267"/>
      <c r="C10" s="1267"/>
      <c r="D10" s="462"/>
      <c r="E10" s="1207" t="s">
        <v>2392</v>
      </c>
      <c r="F10" s="451"/>
      <c r="G10" s="451"/>
      <c r="H10" s="451"/>
      <c r="I10" s="845">
        <f>J10+K10+L10</f>
        <v>384.50200000000001</v>
      </c>
      <c r="J10" s="845">
        <f>M10+N10+O10+P10+Q10+R10</f>
        <v>383.42700000000002</v>
      </c>
      <c r="K10" s="845">
        <f t="shared" ref="K10:R10" si="0">K11+K12+K13+K14</f>
        <v>0</v>
      </c>
      <c r="L10" s="845">
        <f t="shared" si="0"/>
        <v>1.0750000000000008</v>
      </c>
      <c r="M10" s="845">
        <f t="shared" si="0"/>
        <v>0</v>
      </c>
      <c r="N10" s="845">
        <f t="shared" si="0"/>
        <v>181.94199999999998</v>
      </c>
      <c r="O10" s="849">
        <f t="shared" si="0"/>
        <v>14.925000000000001</v>
      </c>
      <c r="P10" s="845">
        <f t="shared" si="0"/>
        <v>0</v>
      </c>
      <c r="Q10" s="858">
        <f t="shared" si="0"/>
        <v>117.72499999999999</v>
      </c>
      <c r="R10" s="868">
        <f t="shared" si="0"/>
        <v>68.835000000000008</v>
      </c>
      <c r="S10" s="846">
        <f>SUM(S30:S988)</f>
        <v>12</v>
      </c>
      <c r="T10" s="847">
        <f t="shared" ref="T10:Z10" si="1">SUM(T30:T988)</f>
        <v>491.00000000000006</v>
      </c>
      <c r="U10" s="846">
        <f t="shared" si="1"/>
        <v>0</v>
      </c>
      <c r="V10" s="847">
        <f t="shared" si="1"/>
        <v>0</v>
      </c>
      <c r="W10" s="846">
        <f t="shared" si="1"/>
        <v>704</v>
      </c>
      <c r="X10" s="847">
        <f t="shared" si="1"/>
        <v>8709.8199906539921</v>
      </c>
      <c r="Y10" s="846">
        <f t="shared" si="1"/>
        <v>247</v>
      </c>
      <c r="Z10" s="1669">
        <f t="shared" si="1"/>
        <v>2648.4000076293946</v>
      </c>
      <c r="AB10" s="846">
        <f>SUM(AB30:AB488)</f>
        <v>152</v>
      </c>
      <c r="AK10" s="2150" t="s">
        <v>11226</v>
      </c>
      <c r="AL10" s="43"/>
      <c r="AM10" s="2812" t="s">
        <v>11227</v>
      </c>
    </row>
    <row r="11" spans="1:39" x14ac:dyDescent="0.35">
      <c r="A11" s="182"/>
      <c r="B11" s="992"/>
      <c r="C11" s="992"/>
      <c r="D11" s="183"/>
      <c r="E11" s="1264" t="s">
        <v>909</v>
      </c>
      <c r="F11" s="1245">
        <v>3</v>
      </c>
      <c r="G11" s="1245"/>
      <c r="H11" s="1245"/>
      <c r="I11" s="1276"/>
      <c r="J11" s="1276"/>
      <c r="K11" s="1276"/>
      <c r="L11" s="1276"/>
      <c r="M11" s="1276"/>
      <c r="N11" s="1276"/>
      <c r="O11" s="1277"/>
      <c r="P11" s="1276"/>
      <c r="Q11" s="1278"/>
      <c r="R11" s="1279"/>
      <c r="S11" s="186"/>
      <c r="T11" s="185"/>
      <c r="U11" s="186"/>
      <c r="V11" s="186"/>
      <c r="W11" s="185"/>
      <c r="X11" s="385"/>
      <c r="Y11" s="185"/>
      <c r="Z11" s="402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832">
        <f t="shared" ref="I12:I20" si="2">J12+K12+L12</f>
        <v>229.88899999999998</v>
      </c>
      <c r="J12" s="1281">
        <f t="shared" ref="J12:J20" si="3">R12+Q12+P12+O12+N12+M12</f>
        <v>229.64899999999997</v>
      </c>
      <c r="K12" s="1281">
        <f>SUMIF(F30:F897,4,K30:K897)</f>
        <v>0</v>
      </c>
      <c r="L12" s="1281">
        <f>SUMIF(F30:F897,4,L30:L897)</f>
        <v>0.24000000000000082</v>
      </c>
      <c r="M12" s="1281">
        <f>SUMIF(F30:F897,4,M30:M897)</f>
        <v>0</v>
      </c>
      <c r="N12" s="1281">
        <f>SUMIF(F30:F897,4,N30:N897)</f>
        <v>156.84699999999998</v>
      </c>
      <c r="O12" s="1282">
        <f>SUMIF(F30:F897,4,O30:O897)</f>
        <v>2.27</v>
      </c>
      <c r="P12" s="1281">
        <f>SUMIF(F30:F897,4,P30:P897)</f>
        <v>0</v>
      </c>
      <c r="Q12" s="1283">
        <f>SUMIF(F30:F897,4,Q30:Q897)</f>
        <v>70.531999999999996</v>
      </c>
      <c r="R12" s="1284">
        <f>SUMIF(F30:F897,4,R30:R897)</f>
        <v>0</v>
      </c>
      <c r="S12" s="286"/>
      <c r="T12" s="96"/>
      <c r="U12" s="286"/>
      <c r="V12" s="286"/>
      <c r="W12" s="96"/>
      <c r="X12" s="386"/>
      <c r="Y12" s="96"/>
      <c r="Z12" s="403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285"/>
      <c r="B13" s="993"/>
      <c r="C13" s="993"/>
      <c r="D13" s="274"/>
      <c r="E13" s="640"/>
      <c r="F13" s="1249">
        <v>5</v>
      </c>
      <c r="G13" s="1249"/>
      <c r="H13" s="1249"/>
      <c r="I13" s="1280">
        <f t="shared" si="2"/>
        <v>72.554000000000002</v>
      </c>
      <c r="J13" s="1281">
        <f t="shared" si="3"/>
        <v>72.519000000000005</v>
      </c>
      <c r="K13" s="1281">
        <f>SUMIF(F30:F897,5,K30:K897)</f>
        <v>0</v>
      </c>
      <c r="L13" s="1281">
        <f>SUMIF(F30:F897,5,L30:L897)</f>
        <v>3.4999999999999899E-2</v>
      </c>
      <c r="M13" s="1281">
        <f>SUMIF(F30:F897,5,M30:M897)</f>
        <v>0</v>
      </c>
      <c r="N13" s="1281">
        <f>SUMIF(F30:F897,5,N30:N897)</f>
        <v>18.061</v>
      </c>
      <c r="O13" s="1282">
        <f>SUMIF(F30:F897,5,O30:O897)</f>
        <v>8.2250000000000014</v>
      </c>
      <c r="P13" s="1281">
        <f>SUMIF(F30:F897,5,P30:P897)</f>
        <v>0</v>
      </c>
      <c r="Q13" s="1283">
        <f>SUMIF(F30:F897,5,Q30:Q897)</f>
        <v>46.233000000000004</v>
      </c>
      <c r="R13" s="1284">
        <f>SUMIF(F30:F897,5,R30:R897)</f>
        <v>0</v>
      </c>
      <c r="S13" s="286"/>
      <c r="T13" s="96"/>
      <c r="U13" s="286"/>
      <c r="V13" s="286"/>
      <c r="W13" s="96"/>
      <c r="X13" s="386"/>
      <c r="Y13" s="96"/>
      <c r="Z13" s="403"/>
      <c r="AD13" s="2777" t="s">
        <v>11126</v>
      </c>
      <c r="AE13" s="2776"/>
      <c r="AF13" s="2778">
        <v>79</v>
      </c>
      <c r="AG13" s="2783">
        <f>M12+N12+O12</f>
        <v>159.11699999999999</v>
      </c>
      <c r="AH13" s="2783">
        <f>M13+N13+O13</f>
        <v>26.286000000000001</v>
      </c>
      <c r="AI13" s="2784">
        <f>M14+N14+O14</f>
        <v>11.464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>J14+K14+L14</f>
        <v>82.058999999999997</v>
      </c>
      <c r="J14" s="1250">
        <f>R14+Q14+P14+O14+N14+M14</f>
        <v>81.259</v>
      </c>
      <c r="K14" s="1250">
        <f>K15+K16+K17</f>
        <v>0</v>
      </c>
      <c r="L14" s="1250">
        <f>L15+L16+L17</f>
        <v>0.8</v>
      </c>
      <c r="M14" s="1250">
        <f t="shared" ref="M14:R14" si="4">M15+M16+M17</f>
        <v>0</v>
      </c>
      <c r="N14" s="1250">
        <f t="shared" si="4"/>
        <v>7.0340000000000007</v>
      </c>
      <c r="O14" s="1251">
        <f t="shared" si="4"/>
        <v>4.43</v>
      </c>
      <c r="P14" s="1317">
        <f t="shared" si="4"/>
        <v>0</v>
      </c>
      <c r="Q14" s="1252">
        <f t="shared" si="4"/>
        <v>0.96</v>
      </c>
      <c r="R14" s="1256">
        <f t="shared" si="4"/>
        <v>68.835000000000008</v>
      </c>
      <c r="S14" s="286"/>
      <c r="T14" s="96"/>
      <c r="U14" s="286"/>
      <c r="V14" s="286"/>
      <c r="W14" s="96"/>
      <c r="X14" s="386"/>
      <c r="Y14" s="96"/>
      <c r="Z14" s="403"/>
      <c r="AD14" s="2777" t="s">
        <v>11127</v>
      </c>
      <c r="AE14" s="2776"/>
      <c r="AF14" s="2778">
        <v>80</v>
      </c>
      <c r="AG14" s="2785">
        <f>P12+Q12</f>
        <v>70.531999999999996</v>
      </c>
      <c r="AH14" s="2785">
        <f>P13+Q13</f>
        <v>46.233000000000004</v>
      </c>
      <c r="AI14" s="2786">
        <f>P14+Q14</f>
        <v>0.96</v>
      </c>
      <c r="AK14" s="2815" t="s">
        <v>11230</v>
      </c>
      <c r="AL14" s="2579">
        <f>SUMIFS(M30:M973,F30:F973,4,G30:G973,3)</f>
        <v>0</v>
      </c>
      <c r="AM14" s="2817"/>
    </row>
    <row r="15" spans="1:39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>J15+K15+L15</f>
        <v>13.254</v>
      </c>
      <c r="J15" s="1318">
        <f>R15+Q15+P15+O15+N15+M15</f>
        <v>13.254</v>
      </c>
      <c r="K15" s="1318">
        <f>SUMIF(F30:F982,"=6а",K30:K982)</f>
        <v>0</v>
      </c>
      <c r="L15" s="1318">
        <f>SUMIF(F30:F982,"=6а",L30:L982)</f>
        <v>0</v>
      </c>
      <c r="M15" s="1318">
        <f>SUMIF(F30:F982,"=6а",M30:M982)</f>
        <v>0</v>
      </c>
      <c r="N15" s="1318">
        <f>SUMIF(F30:F982,"=6а",N30:N982)</f>
        <v>6.7940000000000005</v>
      </c>
      <c r="O15" s="1319">
        <f>SUMIF(F30:F982,"=6а",O30:O982)</f>
        <v>1.7299999999999993</v>
      </c>
      <c r="P15" s="1320">
        <f>SUMIF(F30:F982,"=6а",P30:P982)</f>
        <v>0</v>
      </c>
      <c r="Q15" s="1321">
        <f>SUMIF(F30:F982,"=6а",Q30:Q982)</f>
        <v>0.96</v>
      </c>
      <c r="R15" s="1322">
        <f>SUMIF(F30:F982,"=6а",R30:R982)</f>
        <v>3.7699999999999996</v>
      </c>
      <c r="S15" s="286"/>
      <c r="T15" s="96"/>
      <c r="U15" s="286"/>
      <c r="V15" s="286"/>
      <c r="W15" s="96"/>
      <c r="X15" s="386"/>
      <c r="Y15" s="96"/>
      <c r="Z15" s="403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0</v>
      </c>
      <c r="AI15" s="2788">
        <f>R14</f>
        <v>68.835000000000008</v>
      </c>
      <c r="AK15" s="2815" t="s">
        <v>11231</v>
      </c>
      <c r="AL15" s="2579">
        <f>SUMIFS(N30:N973,F30:F973,4,G30:G973,3)</f>
        <v>0</v>
      </c>
      <c r="AM15" s="2817"/>
    </row>
    <row r="16" spans="1:39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>J16+K16+L16</f>
        <v>61.075000000000003</v>
      </c>
      <c r="J16" s="1318">
        <f>R16+Q16+P16+O16+N16+M16</f>
        <v>60.275000000000006</v>
      </c>
      <c r="K16" s="1318">
        <f>SUMIF(F30:F983,"=6б",K30:K983)</f>
        <v>0</v>
      </c>
      <c r="L16" s="1318">
        <f>SUMIF(F30:F983,"=6б",L30:L983)</f>
        <v>0.8</v>
      </c>
      <c r="M16" s="1318">
        <f>SUMIF(F30:F983,"=6б",M30:M983)</f>
        <v>0</v>
      </c>
      <c r="N16" s="1318">
        <f>SUMIF(F30:F983,"=6б",N30:N983)</f>
        <v>0.24000000000000002</v>
      </c>
      <c r="O16" s="1319">
        <f>SUMIF(F30:F983,"=6б",O30:O983)</f>
        <v>2.7</v>
      </c>
      <c r="P16" s="1320">
        <f>SUMIF(F30:F983,"=6б",P30:P983)</f>
        <v>0</v>
      </c>
      <c r="Q16" s="1321">
        <f>SUMIF(F30:F983,"=6б",Q30:Q983)</f>
        <v>0</v>
      </c>
      <c r="R16" s="1322">
        <f>SUMIF(F30:F983,"=6б",R30:R983)</f>
        <v>57.335000000000001</v>
      </c>
      <c r="S16" s="286"/>
      <c r="T16" s="96"/>
      <c r="U16" s="286"/>
      <c r="V16" s="286"/>
      <c r="W16" s="96"/>
      <c r="X16" s="386"/>
      <c r="Y16" s="96"/>
      <c r="Z16" s="403"/>
      <c r="AK16" s="2815" t="s">
        <v>11232</v>
      </c>
      <c r="AL16" s="2579">
        <f>SUMIFS(O30:O973,F30:F973,4,G30:G973,3)</f>
        <v>0</v>
      </c>
      <c r="AM16" s="2817"/>
    </row>
    <row r="17" spans="1:39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72">
        <f>J17+K17+L17</f>
        <v>7.7299999999999995</v>
      </c>
      <c r="J17" s="2272">
        <f>R17+Q17+P17+O17+N17+M17</f>
        <v>7.7299999999999995</v>
      </c>
      <c r="K17" s="2272">
        <f>SUMIF(F30:F984,"=б/к",K30:K984)</f>
        <v>0</v>
      </c>
      <c r="L17" s="2272">
        <f>SUMIF(F30:F984,"=б/к",L30:L984)</f>
        <v>0</v>
      </c>
      <c r="M17" s="2272">
        <f>SUMIF(F30:F984,"=б/к",M30:M984)</f>
        <v>0</v>
      </c>
      <c r="N17" s="2272">
        <f>SUMIF(F30:F984,"=б/к",N30:N984)</f>
        <v>0</v>
      </c>
      <c r="O17" s="2272">
        <f>SUMIF(F30:F984,"=б/к",O30:O984)</f>
        <v>0</v>
      </c>
      <c r="P17" s="2272">
        <f>SUMIF(F30:F984,"=б/к",P30:P984)</f>
        <v>0</v>
      </c>
      <c r="Q17" s="2273">
        <f>SUMIF(F30:F984,"=б/к",Q30:Q984)</f>
        <v>0</v>
      </c>
      <c r="R17" s="2274">
        <f>SUMIF(F30:F984,"=б/к",R30:R984)</f>
        <v>7.7299999999999995</v>
      </c>
      <c r="S17" s="286"/>
      <c r="T17" s="96"/>
      <c r="U17" s="286"/>
      <c r="V17" s="286"/>
      <c r="W17" s="96"/>
      <c r="X17" s="386"/>
      <c r="Y17" s="96"/>
      <c r="Z17" s="403"/>
      <c r="AK17" s="2815" t="s">
        <v>11233</v>
      </c>
      <c r="AL17" s="2579">
        <f>SUMIFS(P30:P973,F30:F973,4,G30:G973,3)+SUMIFS(Q30:Q973,F30:F973,4,G30:G973,3)</f>
        <v>0</v>
      </c>
      <c r="AM17" s="2817"/>
    </row>
    <row r="18" spans="1:39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285">
        <f t="shared" si="2"/>
        <v>0</v>
      </c>
      <c r="J18" s="1286">
        <f t="shared" si="3"/>
        <v>0</v>
      </c>
      <c r="K18" s="1286">
        <f>SUMIF(G30:G897,3,K30:K897)</f>
        <v>0</v>
      </c>
      <c r="L18" s="1286">
        <f>SUMIF(G30:G897,3,L30:L897)</f>
        <v>0</v>
      </c>
      <c r="M18" s="1286">
        <f>SUMIF(G30:G897,3,M30:M897)</f>
        <v>0</v>
      </c>
      <c r="N18" s="1286">
        <f>SUMIF(G30:G897,3,N30:N897)</f>
        <v>0</v>
      </c>
      <c r="O18" s="1773">
        <f>SUMIF(G30:G897,3,O30:O897)</f>
        <v>0</v>
      </c>
      <c r="P18" s="1286">
        <f>SUMIF(G30:G897,3,P30:P897)</f>
        <v>0</v>
      </c>
      <c r="Q18" s="1775">
        <f>SUMIF(G30:G897,3,Q30:Q897)</f>
        <v>0</v>
      </c>
      <c r="R18" s="1491">
        <f>SUMIF(G30:G897,3,R30:R897)</f>
        <v>0</v>
      </c>
      <c r="S18" s="286"/>
      <c r="T18" s="96"/>
      <c r="U18" s="286"/>
      <c r="V18" s="286"/>
      <c r="W18" s="96"/>
      <c r="X18" s="386"/>
      <c r="Y18" s="96"/>
      <c r="Z18" s="403"/>
      <c r="AK18" s="2815" t="s">
        <v>910</v>
      </c>
      <c r="AL18" s="2579">
        <f>SUMIFS(R30:R973,F30:F973,4,G30:G973,3)</f>
        <v>0</v>
      </c>
      <c r="AM18" s="2817"/>
    </row>
    <row r="19" spans="1:39" x14ac:dyDescent="0.35">
      <c r="A19" s="285"/>
      <c r="B19" s="993"/>
      <c r="C19" s="993"/>
      <c r="D19" s="274"/>
      <c r="E19" s="98"/>
      <c r="F19" s="1240"/>
      <c r="G19" s="1241">
        <v>4</v>
      </c>
      <c r="H19" s="1241"/>
      <c r="I19" s="1285">
        <f t="shared" si="2"/>
        <v>137.357</v>
      </c>
      <c r="J19" s="1286">
        <f t="shared" si="3"/>
        <v>137.262</v>
      </c>
      <c r="K19" s="1286">
        <f>SUMIF(G30:G897,4,K30:K897)</f>
        <v>0</v>
      </c>
      <c r="L19" s="1286">
        <f>SUMIF(G30:G897,4,L30:L897)</f>
        <v>9.5000000000000001E-2</v>
      </c>
      <c r="M19" s="1286">
        <f>SUMIF(G30:G897,4,M30:M897)</f>
        <v>0</v>
      </c>
      <c r="N19" s="1286">
        <f>SUMIF(G30:G897,4,N30:N897)</f>
        <v>124.50900000000001</v>
      </c>
      <c r="O19" s="1773">
        <f>SUMIF(G30:G897,4,O30:O897)</f>
        <v>0</v>
      </c>
      <c r="P19" s="1286">
        <f>SUMIF(G30:G897,4,P30:P897)</f>
        <v>0</v>
      </c>
      <c r="Q19" s="1775">
        <f>SUMIF(G30:G897,4,Q30:Q897)</f>
        <v>11.957999999999998</v>
      </c>
      <c r="R19" s="1491">
        <f>SUMIF(G30:G897,4,R30:R897)</f>
        <v>0.79499999999999993</v>
      </c>
      <c r="S19" s="286"/>
      <c r="T19" s="96"/>
      <c r="U19" s="286"/>
      <c r="V19" s="286"/>
      <c r="W19" s="96"/>
      <c r="X19" s="386"/>
      <c r="Y19" s="96"/>
      <c r="Z19" s="403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387"/>
      <c r="B20" s="994"/>
      <c r="C20" s="994"/>
      <c r="D20" s="388"/>
      <c r="E20" s="319"/>
      <c r="F20" s="1258"/>
      <c r="G20" s="1259">
        <v>5</v>
      </c>
      <c r="H20" s="1259"/>
      <c r="I20" s="1601">
        <f t="shared" si="2"/>
        <v>247.14500000000001</v>
      </c>
      <c r="J20" s="1290">
        <f t="shared" si="3"/>
        <v>246.16500000000002</v>
      </c>
      <c r="K20" s="1290">
        <f>SUMIF(G30:G897,5,K30:K897)</f>
        <v>0</v>
      </c>
      <c r="L20" s="1290">
        <f>SUMIF(G30:G897,5,L30:L897)</f>
        <v>0.98000000000000087</v>
      </c>
      <c r="M20" s="1290">
        <f>SUMIF(G30:G897,5,M30:M897)</f>
        <v>0</v>
      </c>
      <c r="N20" s="1290">
        <f>SUMIF(G30:G897,5,N30:N897)</f>
        <v>57.433000000000007</v>
      </c>
      <c r="O20" s="1774">
        <f>SUMIF(G30:G897,5,O30:O897)</f>
        <v>14.924999999999997</v>
      </c>
      <c r="P20" s="1290">
        <f>SUMIF(G30:G897,5,P30:P897)</f>
        <v>0</v>
      </c>
      <c r="Q20" s="1776">
        <f>SUMIF(G30:G897,5,Q30:Q897)</f>
        <v>105.76700000000001</v>
      </c>
      <c r="R20" s="1492">
        <f>SUMIF(G30:G897,5,R30:R897)</f>
        <v>68.040000000000006</v>
      </c>
      <c r="S20" s="391"/>
      <c r="T20" s="390"/>
      <c r="U20" s="391"/>
      <c r="V20" s="391"/>
      <c r="W20" s="390"/>
      <c r="X20" s="392"/>
      <c r="Y20" s="390"/>
      <c r="Z20" s="1602"/>
      <c r="AK20" s="2815" t="s">
        <v>11230</v>
      </c>
      <c r="AL20" s="2579">
        <f>SUMIFS(M30:M973,F30:F973,5,G30:G973,3)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SUMIFS(N30:N973,F30:F973,5,G30:G973,3)</f>
        <v>0</v>
      </c>
      <c r="AM21" s="2817"/>
    </row>
    <row r="22" spans="1:39" customFormat="1" x14ac:dyDescent="0.35">
      <c r="A22" s="285"/>
      <c r="B22" s="993"/>
      <c r="C22" s="993"/>
      <c r="D22" s="538">
        <f>SUMIF(C30:C914,"=сад",AB30:AB914)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SUMIF(C30:C914,"=сад",K30:K914)</f>
        <v>0</v>
      </c>
      <c r="L22" s="2247">
        <f>SUMIF(C30:C914,"=сад",L30:L914)</f>
        <v>0</v>
      </c>
      <c r="M22" s="2247">
        <f>SUMIF(C30:C914,"=сад",M30:M914)</f>
        <v>0</v>
      </c>
      <c r="N22" s="2247">
        <f>SUMIF(C30:C914,"=сад",N30:N914)</f>
        <v>0</v>
      </c>
      <c r="O22" s="2248">
        <f>SUMIF(C30:C914,"=сад",O30:O914)</f>
        <v>0</v>
      </c>
      <c r="P22" s="2247">
        <f>SUMIF(C30:C914,"=сад",P30:P914)</f>
        <v>0</v>
      </c>
      <c r="Q22" s="2249">
        <f>SUMIF(C30:C914,"=сад",Q30:Q914)</f>
        <v>0</v>
      </c>
      <c r="R22" s="2250">
        <f>SUMIF(C30:C914,"=сад",R30:R914)</f>
        <v>0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SUMIFS(O30:O973,F30:F973,5,G30:G973,3)</f>
        <v>0</v>
      </c>
      <c r="AM22" s="2817"/>
    </row>
    <row r="23" spans="1:39" customFormat="1" x14ac:dyDescent="0.35">
      <c r="A23" s="285"/>
      <c r="B23" s="993"/>
      <c r="C23" s="993"/>
      <c r="D23" s="538">
        <f>SUMIF(C30:C915,"=индив",AB30:AB915)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SUMIF(C30:C915,"=индив",K30:K915)</f>
        <v>0</v>
      </c>
      <c r="L23" s="2247">
        <f>SUMIF(C30:C915,"=индив",L30:L915)</f>
        <v>0</v>
      </c>
      <c r="M23" s="2247">
        <f>SUMIF(C30:C915,"=индив",M30:M915)</f>
        <v>0</v>
      </c>
      <c r="N23" s="2247">
        <f>SUMIF(C30:C915,"=индив",N30:N915)</f>
        <v>0</v>
      </c>
      <c r="O23" s="2248">
        <f>SUMIF(C30:C915,"=индив",O30:O915)</f>
        <v>0</v>
      </c>
      <c r="P23" s="2247">
        <f>SUMIF(C30:C915,"=индив",P30:P915)</f>
        <v>0</v>
      </c>
      <c r="Q23" s="2249">
        <f>SUMIF(C30:C915,"=индив",Q30:Q915)</f>
        <v>0</v>
      </c>
      <c r="R23" s="2250">
        <f>SUMIF(C30:C915,"=индив",R30:R915)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SUMIFS(P30:P973,F30:F973,5,G30:G973,3)+SUMIFS(Q30:Q973,F30:F973,5,G30:G973,3)</f>
        <v>0</v>
      </c>
      <c r="AM23" s="2817"/>
    </row>
    <row r="24" spans="1:39" customFormat="1" x14ac:dyDescent="0.35">
      <c r="A24" s="285"/>
      <c r="B24" s="993"/>
      <c r="C24" s="993"/>
      <c r="D24" s="538">
        <f>SUMIF(C30:C916,"=кладб",AB30:AB916)</f>
        <v>69</v>
      </c>
      <c r="E24" s="2241" t="s">
        <v>2761</v>
      </c>
      <c r="F24" s="98"/>
      <c r="G24" s="226"/>
      <c r="H24" s="226"/>
      <c r="I24" s="2247">
        <f>J24+K24+L24</f>
        <v>32.369999999999997</v>
      </c>
      <c r="J24" s="2247">
        <f>R24+Q24+P24+O24+N24+M24</f>
        <v>31.569999999999997</v>
      </c>
      <c r="K24" s="2247">
        <f>SUMIF(C30:C916,"=кладб",K30:K916)</f>
        <v>0</v>
      </c>
      <c r="L24" s="2247">
        <f>SUMIF(C30:C916,"=кладб",L30:L916)</f>
        <v>0.8</v>
      </c>
      <c r="M24" s="2247">
        <f>SUMIF(C30:C916,"=кладб",M30:M916)</f>
        <v>0</v>
      </c>
      <c r="N24" s="2247">
        <f>SUMIF(C30:C916,"=кладб",N30:N916)</f>
        <v>0.55000000000000004</v>
      </c>
      <c r="O24" s="2248">
        <f>SUMIF(C30:C916,"=кладб",O30:O916)</f>
        <v>0.2</v>
      </c>
      <c r="P24" s="2247">
        <f>SUMIF(C30:C916,"=кладб",P30:P916)</f>
        <v>0</v>
      </c>
      <c r="Q24" s="2249">
        <f>SUMIF(C30:C916,"=кладб",Q30:Q916)</f>
        <v>0</v>
      </c>
      <c r="R24" s="2250">
        <f>SUMIF(C30:C916,"=кладб",R30:R916)</f>
        <v>30.819999999999997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SUMIFS(R30:R973,F30:F973,5,G30:G973,3)</f>
        <v>0</v>
      </c>
      <c r="AM24" s="2817"/>
    </row>
    <row r="25" spans="1:39" customFormat="1" x14ac:dyDescent="0.35">
      <c r="A25" s="387"/>
      <c r="B25" s="994"/>
      <c r="C25" s="994"/>
      <c r="D25" s="538">
        <f>SUMIF(C30:C917,"=прир",AB30:AB917)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SUMIF(C30:C917,"=прир",K30:K917)</f>
        <v>0</v>
      </c>
      <c r="L25" s="2259">
        <f>SUMIF(C30:C917,"=прир",L30:L917)</f>
        <v>0</v>
      </c>
      <c r="M25" s="2259">
        <f>SUMIF(C30:C917,"=прир",M30:M917)</f>
        <v>0</v>
      </c>
      <c r="N25" s="2259">
        <f>SUMIF(C30:C917,"=прир",N30:N917)</f>
        <v>0</v>
      </c>
      <c r="O25" s="2260">
        <f>SUMIF(C30:C917,"=прир",O30:O917)</f>
        <v>0</v>
      </c>
      <c r="P25" s="2259">
        <f>SUMIF(C30:C917,"=прир",P30:P917)</f>
        <v>0</v>
      </c>
      <c r="Q25" s="2261">
        <f>SUMIF(C30:C917,"=прир",Q30:Q917)</f>
        <v>0</v>
      </c>
      <c r="R25" s="2262">
        <f>SUMIF(C30:C917,"=прир",R30:R917)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SUMIF(C30:C918,"=ист",AB30:AB918)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SUMIF(C30:C918,"=ист",K30:K918)</f>
        <v>0</v>
      </c>
      <c r="L26" s="2259">
        <f>SUMIF(C30:C918,"=ист",L30:L918)</f>
        <v>0</v>
      </c>
      <c r="M26" s="2259">
        <f>SUMIF(C30:C918,"=ист",M30:M918)</f>
        <v>0</v>
      </c>
      <c r="N26" s="2259">
        <f>SUMIF(C30:C918,"=ист",N30:N918)</f>
        <v>0</v>
      </c>
      <c r="O26" s="2260">
        <f>SUMIF(C30:C918,"=ист",O30:O918)</f>
        <v>0</v>
      </c>
      <c r="P26" s="2259">
        <f>SUMIF(C30:C918,"=ист",P30:P918)</f>
        <v>0</v>
      </c>
      <c r="Q26" s="2261">
        <f>SUMIF(C30:C918,"=ист",Q30:Q918)</f>
        <v>0</v>
      </c>
      <c r="R26" s="2262">
        <f>SUMIF(C30:C918,"=ист",R30:R918)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SUMIFS(M30:M973,F30:F973,"6а",G30:G973,3)+SUMIFS(M30:M973,F30:F973,"6б",G30:G973,3)+SUMIFS(M30:M973,F30:F973,"б/к",G30:G973,3)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SUMIFS(N30:N973,F30:F973,"6а",G30:G973,3)+SUMIFS(N30:N973,F30:F973,"6б",G30:G973,3)+SUMIFS(N30:N973,F30:F973,"б/к",G30:G973,3)</f>
        <v>0</v>
      </c>
      <c r="AM27" s="2817"/>
    </row>
    <row r="28" spans="1:39" ht="16" thickBot="1" x14ac:dyDescent="0.4">
      <c r="A28" s="450"/>
      <c r="B28" s="1267"/>
      <c r="C28" s="1267"/>
      <c r="D28" s="462"/>
      <c r="E28" s="451"/>
      <c r="F28" s="451"/>
      <c r="G28" s="451"/>
      <c r="H28" s="451"/>
      <c r="I28" s="2324">
        <f t="shared" ref="I28:R28" si="5">SUBTOTAL(9,I30:I410)</f>
        <v>384.5019999999999</v>
      </c>
      <c r="J28" s="2324">
        <f t="shared" si="5"/>
        <v>383.42699999999985</v>
      </c>
      <c r="K28" s="2324">
        <f t="shared" si="5"/>
        <v>0</v>
      </c>
      <c r="L28" s="2324">
        <f t="shared" si="5"/>
        <v>2.1500000000000008</v>
      </c>
      <c r="M28" s="2324">
        <f t="shared" si="5"/>
        <v>0</v>
      </c>
      <c r="N28" s="2324">
        <f t="shared" si="5"/>
        <v>313.2120000000001</v>
      </c>
      <c r="O28" s="2324">
        <f t="shared" si="5"/>
        <v>20.904999999999994</v>
      </c>
      <c r="P28" s="2324">
        <f t="shared" si="5"/>
        <v>0</v>
      </c>
      <c r="Q28" s="2324">
        <f t="shared" si="5"/>
        <v>223.56000000000006</v>
      </c>
      <c r="R28" s="2324">
        <f t="shared" si="5"/>
        <v>86.03000000000003</v>
      </c>
      <c r="S28" s="480"/>
      <c r="T28" s="481"/>
      <c r="U28" s="480"/>
      <c r="V28" s="480"/>
      <c r="W28" s="481"/>
      <c r="X28" s="1603"/>
      <c r="Y28" s="481"/>
      <c r="Z28" s="1704"/>
      <c r="AB28" s="2334">
        <f>SUBTOTAL(9,AB30:AB410)</f>
        <v>152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SUMIFS(O30:O973,F30:F973,"6а",G30:G973,3)+SUMIFS(O30:O973,F30:F973,"6б",G30:G973,3)+SUMIFS(O30:O973,F30:F973,"б/к",G30:G973,3)</f>
        <v>0</v>
      </c>
      <c r="AM28" s="2817"/>
    </row>
    <row r="29" spans="1:39" x14ac:dyDescent="0.35">
      <c r="A29" s="152"/>
      <c r="B29" s="1051"/>
      <c r="C29" s="1051"/>
      <c r="D29" s="153"/>
      <c r="E29" s="381" t="s">
        <v>2871</v>
      </c>
      <c r="F29" s="153"/>
      <c r="G29" s="153"/>
      <c r="H29" s="153"/>
      <c r="I29" s="689"/>
      <c r="J29" s="689"/>
      <c r="K29" s="689"/>
      <c r="L29" s="689"/>
      <c r="M29" s="689"/>
      <c r="N29" s="689"/>
      <c r="O29" s="1237"/>
      <c r="P29" s="689"/>
      <c r="Q29" s="1236"/>
      <c r="R29" s="1235"/>
      <c r="S29" s="396"/>
      <c r="T29" s="153"/>
      <c r="U29" s="153"/>
      <c r="V29" s="153"/>
      <c r="W29" s="153"/>
      <c r="X29" s="153"/>
      <c r="Y29" s="153"/>
      <c r="Z29" s="382"/>
      <c r="AD29" s="2578" t="s">
        <v>7180</v>
      </c>
      <c r="AE29" s="2579">
        <f>SUMIFS(M30:M908,F30:F908,3,G30:G908,3)+SUMIFS(N30:N908,F30:F908,3,G30:G908,3)+SUMIFS(O30:O908,F30:F908,3,G30:G908,3)+SUMIFS(P30:P908,F30:F908,3,G30:G908,3)+SUMIFS(Q30:Q908,F30:F908,3,G30:G908,3)+SUMIFS(R30:R908,F30:F908,3,G30:G908,3)</f>
        <v>0</v>
      </c>
      <c r="AF29" s="2579">
        <f>SUMIFS(M30:M908,F30:F908,4,G30:G908,3)+SUMIFS(N30:N908,F30:F908,4,G30:G908,3)+SUMIFS(O30:O908,F30:F908,4,G30:G908,3)+SUMIFS(P30:P908,F30:F908,4,G30:G908,3)+SUMIFS(Q30:Q908,F30:F908,4,G30:G908,3)+SUMIFS(R30:R908,F30:F908,4,G30:G908,3)</f>
        <v>0</v>
      </c>
      <c r="AG29" s="2579">
        <f>SUMIFS(M30:M908,F30:F908,5,G30:G908,3)+SUMIFS(N30:N908,F30:F908,5,G30:G908,3)+SUMIFS(O30:O908,F30:F908,5,G30:G908,3)+SUMIFS(P30:P908,F30:F908,5,G30:G908,3)+SUMIFS(Q30:Q908,F30:F908,5,G30:G908,3)+SUMIFS(R30:R908,F30:F908,5,G30:G908,3)</f>
        <v>0</v>
      </c>
      <c r="AH29" s="2579">
        <f>SUMIFS(M30:M908,F30:F908,"6а",G30:G908,3)+SUMIFS(N30:N908,F30:F908,"6а",G30:G908,3)+SUMIFS(O30:O908,F30:F908,"6а",G30:G908,3)+SUMIFS(P30:P908,F30:F908,"6а",G30:G908,3)+SUMIFS(Q30:Q908,F30:F908,"6а",G30:G908,3)+SUMIFS(R30:R908,F30:F908,"6а",G30:G908,3)</f>
        <v>0</v>
      </c>
      <c r="AI29" s="2579">
        <f>SUMIFS(M30:M908,F30:F908,"6б",G30:G908,3)+SUMIFS(N30:N908,F30:F908,"6б",G30:G908,3)+SUMIFS(O30:O908,F30:F908,"6б",G30:G908,3)+SUMIFS(P30:P908,F30:F908,"6б",G30:G908,3)+SUMIFS(Q30:Q908,F30:F908,"6б",G30:G908,3)+SUMIFS(R30:R908,F30:F908,"6б",G30:G908,3)</f>
        <v>0</v>
      </c>
      <c r="AJ29" s="2580">
        <f>SUMIFS(M30:M908,F30:F908,"б/к",G30:G908,3)+SUMIFS(N30:N908,F30:F908,"б/к",G30:G908,3)+SUMIFS(O30:O908,F30:F908,"б/к",G30:G908,3)+SUMIFS(P30:P908,F30:F908,"б/к",G30:G908,3)+SUMIFS(Q30:Q908,F30:F908,"б/к",G30:G908,3)+SUMIFS(R30:R908,F30:F908,"б/к",G30:G908,3)</f>
        <v>0</v>
      </c>
      <c r="AK29" s="2815" t="s">
        <v>11233</v>
      </c>
      <c r="AL29" s="2579">
        <f>SUMIFS(P30:P973,F30:F973,"6а",G30:G973,3)+SUMIFS(Q30:Q973,F30:F973,"6а",G30:G973,3)+SUMIFS(P30:P973,F30:F973,"6б",G30:G973,3)+SUMIFS(Q30:Q973,F30:F973,"6б",G30:G973,3)+SUMIFS(P30:P973,F30:F973,"б/к",G30:G973,3)+SUMIFS(Q30:Q973,F30:F973,"б/к",G30:G973,3)</f>
        <v>0</v>
      </c>
      <c r="AM29" s="2817"/>
    </row>
    <row r="30" spans="1:39" ht="30.5" x14ac:dyDescent="0.35">
      <c r="A30" s="525">
        <v>1</v>
      </c>
      <c r="B30" s="693">
        <v>10001</v>
      </c>
      <c r="C30" s="693"/>
      <c r="D30" s="693" t="s">
        <v>986</v>
      </c>
      <c r="E30" s="269" t="s">
        <v>11402</v>
      </c>
      <c r="F30" s="92"/>
      <c r="G30" s="92" t="s">
        <v>191</v>
      </c>
      <c r="H30" s="92" t="s">
        <v>191</v>
      </c>
      <c r="I30" s="688">
        <f>J30+K30+L30</f>
        <v>22.090000000000003</v>
      </c>
      <c r="J30" s="688">
        <f>SUM(M30:R30)</f>
        <v>22.090000000000003</v>
      </c>
      <c r="K30" s="688"/>
      <c r="L30" s="688"/>
      <c r="M30" s="688"/>
      <c r="N30" s="688">
        <f>SUM(N31:N34)</f>
        <v>8.4659999999999993</v>
      </c>
      <c r="O30" s="1238"/>
      <c r="P30" s="688"/>
      <c r="Q30" s="1088">
        <f>SUM(Q31:Q34)</f>
        <v>13.624000000000002</v>
      </c>
      <c r="R30" s="1083"/>
      <c r="S30" s="397">
        <f>1+1</f>
        <v>2</v>
      </c>
      <c r="T30" s="250">
        <f>54.6+36.8</f>
        <v>91.4</v>
      </c>
      <c r="U30" s="250"/>
      <c r="V30" s="250"/>
      <c r="W30" s="67">
        <v>32</v>
      </c>
      <c r="X30" s="250">
        <v>406</v>
      </c>
      <c r="Y30" s="67">
        <v>7</v>
      </c>
      <c r="Z30" s="343">
        <v>70.5</v>
      </c>
      <c r="AB30" s="3">
        <v>1</v>
      </c>
      <c r="AD30" s="2578" t="s">
        <v>7181</v>
      </c>
      <c r="AE30" s="2579">
        <f>SUMIFS(M30:M908,F30:F908,3,G30:G908,4)+SUMIFS(N30:N908,F30:F908,3,G30:G908,4)+SUMIFS(O30:O908,F30:F908,3,G30:G908,4)+SUMIFS(P30:P908,F30:F908,3,G30:G908,4)+SUMIFS(Q30:Q908,F30:F908,3,G30:G908,4)+SUMIFS(R30:R908,F30:F908,3,G30:G908,4)</f>
        <v>0</v>
      </c>
      <c r="AF30" s="2579">
        <f>SUMIFS(M30:M908,F30:F908,4,G30:G908,4)+SUMIFS(N30:N908,F30:F908,4,G30:G908,4)+SUMIFS(O30:O908,F30:F908,4,G30:G908,4)+SUMIFS(P30:P908,F30:F908,4,G30:G908,4)+SUMIFS(Q30:Q908,F30:F908,4,G30:G908,4)+SUMIFS(R30:R908,F30:F908,4,G30:G908,4)</f>
        <v>130.34</v>
      </c>
      <c r="AG30" s="2579">
        <f>SUMIFS(M30:M908,F30:F908,5,G30:G908,4)+SUMIFS(N30:N908,F30:F908,5,G30:G908,4)+SUMIFS(O30:O908,F30:F908,5,G30:G908,4)+SUMIFS(P30:P908,F30:F908,5,G30:G908,4)+SUMIFS(Q30:Q908,F30:F908,5,G30:G908,4)+SUMIFS(R30:R908,F30:F908,5,G30:G908,4)</f>
        <v>3.9390000000000001</v>
      </c>
      <c r="AH30" s="2579">
        <f>SUMIFS(M30:M908,F30:F908,"6а",G30:G908,4)+SUMIFS(N30:N908,F30:F908,"6а",G30:G908,4)+SUMIFS(O30:O908,F30:F908,"6а",G30:G908,4)+SUMIFS(P30:P908,F30:F908,"6а",G30:G908,4)+SUMIFS(Q30:Q908,F30:F908,"6а",G30:G908,4)+SUMIFS(R30:R908,F30:F908,"6а",G30:G908,4)</f>
        <v>2.1880000000000006</v>
      </c>
      <c r="AI30" s="2579">
        <f>SUMIFS(M30:M908,F30:F908,"6б",G30:G908,4)+SUMIFS(N30:N908,F30:F908,"6б",G30:G908,4)+SUMIFS(O30:O908,F30:F908,"6б",G30:G908,4)+SUMIFS(P30:P908,F30:F908,"6б",G30:G908,4)+SUMIFS(Q30:Q908,F30:F908,"6б",G30:G908,4)+SUMIFS(R30:R908,F30:F908,"6б",G30:G908,4)</f>
        <v>0.79499999999999993</v>
      </c>
      <c r="AJ30" s="2580">
        <f>SUMIFS(M30:M908,F30:F908,"б/к",G30:G908,4)+SUMIFS(N30:N908,F30:F908,"б/к",G30:G908,4)+SUMIFS(O30:O908,F30:F908,"б/к",G30:G908,4)+SUMIFS(P30:P908,F30:F908,"б/к",G30:G908,4)+SUMIFS(Q30:Q908,F30:F908,"б/к",G30:G908,4)+SUMIFS(R30:R908,F30:F908,"б/к",G30:G908,4)</f>
        <v>0</v>
      </c>
      <c r="AK30" s="2815" t="s">
        <v>910</v>
      </c>
      <c r="AL30" s="2579">
        <f>SUMIFS(R30:R973,F30:F973,"6а",G30:G973,3)+SUMIFS(R30:R973,F30:F973,"6б",G30:G973,3)+SUMIFS(R30:R973,F30:F973,"б/к",G30:G973,3)</f>
        <v>0</v>
      </c>
      <c r="AM30" s="2817"/>
    </row>
    <row r="31" spans="1:39" x14ac:dyDescent="0.35">
      <c r="A31" s="694"/>
      <c r="B31" s="693">
        <v>10001</v>
      </c>
      <c r="C31" s="693"/>
      <c r="D31" s="695"/>
      <c r="E31" s="270" t="s">
        <v>11403</v>
      </c>
      <c r="F31" s="92">
        <v>4</v>
      </c>
      <c r="G31" s="92">
        <v>4</v>
      </c>
      <c r="H31" s="92">
        <v>6</v>
      </c>
      <c r="I31" s="691"/>
      <c r="J31" s="691"/>
      <c r="K31" s="691"/>
      <c r="L31" s="691"/>
      <c r="M31" s="691"/>
      <c r="N31" s="691">
        <f>20.482-13.324</f>
        <v>7.1579999999999995</v>
      </c>
      <c r="O31" s="1239"/>
      <c r="P31" s="691"/>
      <c r="Q31" s="1090"/>
      <c r="R31" s="1085"/>
      <c r="S31" s="398"/>
      <c r="T31" s="254"/>
      <c r="U31" s="254"/>
      <c r="V31" s="254"/>
      <c r="W31" s="66"/>
      <c r="X31" s="254"/>
      <c r="Y31" s="254"/>
      <c r="Z31" s="344"/>
      <c r="AD31" s="2581" t="s">
        <v>7182</v>
      </c>
      <c r="AE31" s="2582">
        <f>SUMIFS(M30:M908,F30:F908,3,G30:G908,5)+SUMIFS(N30:N908,F30:F908,3,G30:G908,5)+SUMIFS(O30:O908,F30:F908,3,G30:G908,5)+SUMIFS(P30:P908,F30:F908,3,G30:G908,5)+SUMIFS(Q30:Q908,F30:F908,3,G30:G908,5)+SUMIFS(R30:R908,F30:F908,3,G30:G908,5)</f>
        <v>0</v>
      </c>
      <c r="AF31" s="2582">
        <f>SUMIFS(M30:M908,F30:F908,4,G30:G908,5)+SUMIFS(N30:N908,F30:F908,4,G30:G908,5)+SUMIFS(O30:O908,F30:F908,4,G30:G908,5)+SUMIFS(P30:P908,F30:F908,4,G30:G908,5)+SUMIFS(Q30:Q908,F30:F908,4,G30:G908,5)+SUMIFS(R30:R908,F30:F908,4,G30:G908,5)</f>
        <v>99.308999999999997</v>
      </c>
      <c r="AG31" s="2582">
        <f>SUMIFS(M30:M908,F30:F908,5,G30:G908,5)+SUMIFS(N30:N908,F30:F908,5,G30:G908,5)+SUMIFS(O30:O908,F30:F908,5,G30:G908,5)+SUMIFS(P30:P908,F30:F908,5,G30:G908,5)+SUMIFS(Q30:Q908,F30:F908,5,G30:G908,5)+SUMIFS(R30:R908,F30:F908,5,G30:G908,5)</f>
        <v>68.580000000000013</v>
      </c>
      <c r="AH31" s="2582">
        <f>SUMIFS(M30:M908,F30:F908,"6а",G30:G908,5)+SUMIFS(N30:N908,F30:F908,"6а",G30:G908,5)+SUMIFS(O30:O908,F30:F908,"6а",G30:G908,5)+SUMIFS(P30:P908,F30:F908,"6а",G30:G908,5)+SUMIFS(Q30:Q908,F30:F908,"6а",G30:G908,5)+SUMIFS(R30:R908,F30:F908,"6а",G30:G908,5)</f>
        <v>11.065999999999999</v>
      </c>
      <c r="AI31" s="2582">
        <f>SUMIFS(M30:M908,F30:F908,"6б",G30:G908,5)+SUMIFS(N30:N908,F30:F908,"6б",G30:G908,5)+SUMIFS(O30:O908,F30:F908,"6б",G30:G908,5)+SUMIFS(P30:P908,F30:F908,"6б",G30:G908,5)+SUMIFS(Q30:Q908,F30:F908,"6б",G30:G908,5)+SUMIFS(R30:R908,F30:F908,"6б",G30:G908,5)</f>
        <v>59.480000000000004</v>
      </c>
      <c r="AJ31" s="2583">
        <f>SUMIFS(M30:M908,F30:F908,"б/к",G30:G908,5)+SUMIFS(N30:N908,F30:F908,"б/к",G30:G908,5)+SUMIFS(O30:O908,F30:F908,"б/к",G30:G908,5)+SUMIFS(P30:P908,F30:F908,"б/к",G30:G908,5)+SUMIFS(Q30:Q908,F30:F908,"б/к",G30:G908,5)+SUMIFS(R30:R908,F30:F908,"б/к",G30:G908,5)</f>
        <v>7.7299999999999995</v>
      </c>
      <c r="AK31" s="2815"/>
      <c r="AL31" s="2579"/>
      <c r="AM31" s="2817"/>
    </row>
    <row r="32" spans="1:39" x14ac:dyDescent="0.35">
      <c r="A32" s="694"/>
      <c r="B32" s="693">
        <v>10001</v>
      </c>
      <c r="C32" s="693"/>
      <c r="D32" s="695"/>
      <c r="E32" s="900" t="s">
        <v>11284</v>
      </c>
      <c r="F32" s="92">
        <v>4</v>
      </c>
      <c r="G32" s="92">
        <v>5</v>
      </c>
      <c r="H32" s="92">
        <v>6</v>
      </c>
      <c r="I32" s="691"/>
      <c r="J32" s="691"/>
      <c r="K32" s="691"/>
      <c r="L32" s="691"/>
      <c r="M32" s="691"/>
      <c r="N32" s="2835"/>
      <c r="O32" s="1239"/>
      <c r="P32" s="691"/>
      <c r="Q32" s="1090">
        <f>27.3-20.482</f>
        <v>6.8180000000000014</v>
      </c>
      <c r="R32" s="1085"/>
      <c r="S32" s="398"/>
      <c r="T32" s="254"/>
      <c r="U32" s="254"/>
      <c r="V32" s="254"/>
      <c r="W32" s="66"/>
      <c r="X32" s="254"/>
      <c r="Y32" s="254"/>
      <c r="Z32" s="344"/>
      <c r="AD32"/>
      <c r="AE32" s="1572"/>
      <c r="AF32"/>
      <c r="AG32"/>
      <c r="AH32"/>
      <c r="AI32" s="2584" t="s">
        <v>7183</v>
      </c>
      <c r="AJ32" s="2585">
        <f>SUMIF(AB30:AB908,"=1",J30:J908)</f>
        <v>383.42699999999985</v>
      </c>
      <c r="AK32" s="2818" t="s">
        <v>11235</v>
      </c>
      <c r="AL32" s="2821">
        <f>AL34+AL40+AL46</f>
        <v>137.262</v>
      </c>
      <c r="AM32" s="2820">
        <f>AL32-J19</f>
        <v>0</v>
      </c>
    </row>
    <row r="33" spans="1:39" x14ac:dyDescent="0.35">
      <c r="A33" s="694"/>
      <c r="B33" s="693">
        <v>10001</v>
      </c>
      <c r="C33" s="693"/>
      <c r="D33" s="695"/>
      <c r="E33" s="900" t="s">
        <v>11285</v>
      </c>
      <c r="F33" s="92">
        <v>4</v>
      </c>
      <c r="G33" s="92">
        <v>5</v>
      </c>
      <c r="H33" s="92">
        <v>6</v>
      </c>
      <c r="I33" s="691"/>
      <c r="J33" s="691"/>
      <c r="K33" s="691"/>
      <c r="L33" s="691"/>
      <c r="M33" s="691"/>
      <c r="N33" s="2835"/>
      <c r="O33" s="1239"/>
      <c r="P33" s="691"/>
      <c r="Q33" s="1090">
        <f>34.106-27.3</f>
        <v>6.8060000000000009</v>
      </c>
      <c r="R33" s="1085"/>
      <c r="S33" s="398"/>
      <c r="T33" s="254"/>
      <c r="U33" s="254"/>
      <c r="V33" s="254"/>
      <c r="W33" s="66"/>
      <c r="X33" s="254"/>
      <c r="Y33" s="254"/>
      <c r="Z33" s="344"/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x14ac:dyDescent="0.35">
      <c r="A34" s="694"/>
      <c r="B34" s="693">
        <v>10001</v>
      </c>
      <c r="C34" s="693"/>
      <c r="D34" s="695"/>
      <c r="E34" s="270" t="s">
        <v>11286</v>
      </c>
      <c r="F34" s="92">
        <v>4</v>
      </c>
      <c r="G34" s="92">
        <v>5</v>
      </c>
      <c r="H34" s="92">
        <v>6</v>
      </c>
      <c r="I34" s="691"/>
      <c r="J34" s="691"/>
      <c r="K34" s="691"/>
      <c r="L34" s="691"/>
      <c r="M34" s="691"/>
      <c r="N34" s="691">
        <f>35.414-34.106</f>
        <v>1.3079999999999998</v>
      </c>
      <c r="O34" s="1239"/>
      <c r="P34" s="691"/>
      <c r="Q34" s="1090"/>
      <c r="R34" s="1085"/>
      <c r="S34" s="398"/>
      <c r="T34" s="254"/>
      <c r="U34" s="254"/>
      <c r="V34" s="254"/>
      <c r="W34" s="66"/>
      <c r="X34" s="254"/>
      <c r="Y34" s="254"/>
      <c r="Z34" s="344"/>
      <c r="AK34" s="2818" t="s">
        <v>7184</v>
      </c>
      <c r="AL34" s="2821">
        <f>AL35+AL36+AL37+AL38+AL39</f>
        <v>130.34</v>
      </c>
      <c r="AM34" s="2820">
        <f>AL34-AF30</f>
        <v>0</v>
      </c>
    </row>
    <row r="35" spans="1:39" ht="30.5" x14ac:dyDescent="0.35">
      <c r="A35" s="525">
        <v>2</v>
      </c>
      <c r="B35" s="693">
        <v>10001</v>
      </c>
      <c r="C35" s="693"/>
      <c r="D35" s="2469" t="s">
        <v>5259</v>
      </c>
      <c r="E35" s="269" t="s">
        <v>7793</v>
      </c>
      <c r="F35" s="92" t="s">
        <v>664</v>
      </c>
      <c r="G35" s="92">
        <v>5</v>
      </c>
      <c r="H35" s="92">
        <v>6</v>
      </c>
      <c r="I35" s="688">
        <f t="shared" ref="I35:I46" si="6">J35+K35+L35</f>
        <v>0.8</v>
      </c>
      <c r="J35" s="688">
        <f t="shared" ref="J35:J46" si="7">SUM(M35:R35)</f>
        <v>0.8</v>
      </c>
      <c r="K35" s="688"/>
      <c r="L35" s="688"/>
      <c r="M35" s="688"/>
      <c r="N35" s="688"/>
      <c r="O35" s="1238"/>
      <c r="P35" s="688"/>
      <c r="Q35" s="1088"/>
      <c r="R35" s="1083">
        <v>0.8</v>
      </c>
      <c r="S35" s="397"/>
      <c r="T35" s="250"/>
      <c r="U35" s="250"/>
      <c r="V35" s="250"/>
      <c r="W35" s="67"/>
      <c r="X35" s="250"/>
      <c r="Y35" s="67"/>
      <c r="Z35" s="343"/>
      <c r="AB35" s="3">
        <v>1</v>
      </c>
      <c r="AE35" s="2461"/>
      <c r="AF35" s="2462"/>
      <c r="AK35" s="2815" t="s">
        <v>11230</v>
      </c>
      <c r="AL35" s="2579">
        <f>SUMIFS(M30:M973,F30:F973,4,G30:G973,4)</f>
        <v>0</v>
      </c>
      <c r="AM35" s="2817"/>
    </row>
    <row r="36" spans="1:39" ht="45.5" x14ac:dyDescent="0.35">
      <c r="A36" s="2001">
        <v>3</v>
      </c>
      <c r="B36" s="693">
        <v>10001</v>
      </c>
      <c r="C36" s="358" t="s">
        <v>1656</v>
      </c>
      <c r="D36" s="2469" t="s">
        <v>5260</v>
      </c>
      <c r="E36" s="269" t="s">
        <v>8665</v>
      </c>
      <c r="F36" s="92" t="s">
        <v>1490</v>
      </c>
      <c r="G36" s="92">
        <v>5</v>
      </c>
      <c r="H36" s="92">
        <v>6</v>
      </c>
      <c r="I36" s="297">
        <f t="shared" si="6"/>
        <v>1</v>
      </c>
      <c r="J36" s="297">
        <f t="shared" si="7"/>
        <v>1</v>
      </c>
      <c r="K36" s="688"/>
      <c r="L36" s="688"/>
      <c r="M36" s="688"/>
      <c r="N36" s="688"/>
      <c r="O36" s="2386"/>
      <c r="P36" s="688"/>
      <c r="Q36" s="2387"/>
      <c r="R36" s="2388">
        <v>1</v>
      </c>
      <c r="S36" s="397"/>
      <c r="T36" s="250"/>
      <c r="U36" s="250"/>
      <c r="V36" s="250"/>
      <c r="W36" s="67"/>
      <c r="X36" s="250"/>
      <c r="Y36" s="67"/>
      <c r="Z36" s="343"/>
      <c r="AB36" s="3">
        <v>1</v>
      </c>
      <c r="AE36" s="2461"/>
      <c r="AF36" s="68"/>
      <c r="AK36" s="2815" t="s">
        <v>11231</v>
      </c>
      <c r="AL36" s="2579">
        <f>SUMIFS(N30:N973,F30:F973,4,G30:G973,4)</f>
        <v>120.33700000000002</v>
      </c>
      <c r="AM36" s="2817"/>
    </row>
    <row r="37" spans="1:39" ht="30.5" x14ac:dyDescent="0.35">
      <c r="A37" s="525">
        <v>4</v>
      </c>
      <c r="B37" s="693">
        <v>10001</v>
      </c>
      <c r="C37" s="693"/>
      <c r="D37" s="2469" t="s">
        <v>5261</v>
      </c>
      <c r="E37" s="269" t="s">
        <v>7794</v>
      </c>
      <c r="F37" s="92" t="s">
        <v>664</v>
      </c>
      <c r="G37" s="92">
        <v>5</v>
      </c>
      <c r="H37" s="92">
        <v>6</v>
      </c>
      <c r="I37" s="688">
        <f t="shared" si="6"/>
        <v>5.85</v>
      </c>
      <c r="J37" s="688">
        <f t="shared" si="7"/>
        <v>5.85</v>
      </c>
      <c r="K37" s="688"/>
      <c r="L37" s="688"/>
      <c r="M37" s="688"/>
      <c r="N37" s="688"/>
      <c r="O37" s="1238"/>
      <c r="P37" s="688"/>
      <c r="Q37" s="1088"/>
      <c r="R37" s="1083">
        <v>5.85</v>
      </c>
      <c r="S37" s="397"/>
      <c r="T37" s="250"/>
      <c r="U37" s="250"/>
      <c r="V37" s="250"/>
      <c r="W37" s="67">
        <v>1</v>
      </c>
      <c r="X37" s="250">
        <v>10</v>
      </c>
      <c r="Y37" s="67"/>
      <c r="Z37" s="343"/>
      <c r="AB37" s="3">
        <v>1</v>
      </c>
      <c r="AE37" s="2461"/>
      <c r="AF37" s="68"/>
      <c r="AK37" s="2815" t="s">
        <v>11232</v>
      </c>
      <c r="AL37" s="2579">
        <f>SUMIFS(O30:O973,F30:F973,4,G30:G973,4)</f>
        <v>0</v>
      </c>
      <c r="AM37" s="2817"/>
    </row>
    <row r="38" spans="1:39" ht="45.5" x14ac:dyDescent="0.35">
      <c r="A38" s="2001">
        <v>5</v>
      </c>
      <c r="B38" s="693">
        <v>10001</v>
      </c>
      <c r="C38" s="358" t="s">
        <v>1656</v>
      </c>
      <c r="D38" s="2469" t="s">
        <v>5262</v>
      </c>
      <c r="E38" s="269" t="s">
        <v>8666</v>
      </c>
      <c r="F38" s="92" t="s">
        <v>1490</v>
      </c>
      <c r="G38" s="92">
        <v>5</v>
      </c>
      <c r="H38" s="92">
        <v>6</v>
      </c>
      <c r="I38" s="297">
        <f t="shared" si="6"/>
        <v>0.27</v>
      </c>
      <c r="J38" s="297">
        <f t="shared" si="7"/>
        <v>0.27</v>
      </c>
      <c r="K38" s="688"/>
      <c r="L38" s="688"/>
      <c r="M38" s="688"/>
      <c r="N38" s="688"/>
      <c r="O38" s="2386"/>
      <c r="P38" s="688"/>
      <c r="Q38" s="2387"/>
      <c r="R38" s="2388">
        <v>0.27</v>
      </c>
      <c r="S38" s="397"/>
      <c r="T38" s="250"/>
      <c r="U38" s="250"/>
      <c r="V38" s="250"/>
      <c r="W38" s="67"/>
      <c r="X38" s="250"/>
      <c r="Y38" s="67"/>
      <c r="Z38" s="343"/>
      <c r="AB38" s="3">
        <v>1</v>
      </c>
      <c r="AE38" s="2461"/>
      <c r="AF38" s="68"/>
      <c r="AK38" s="2815" t="s">
        <v>11233</v>
      </c>
      <c r="AL38" s="2579">
        <f>SUMIFS(P30:P973,F30:F973,4,G30:G973,4)+SUMIFS(Q30:Q973,F30:F973,4,G30:G973,4)</f>
        <v>10.002999999999997</v>
      </c>
      <c r="AM38" s="2817"/>
    </row>
    <row r="39" spans="1:39" ht="30.5" x14ac:dyDescent="0.35">
      <c r="A39" s="525">
        <v>6</v>
      </c>
      <c r="B39" s="693">
        <v>10001</v>
      </c>
      <c r="C39" s="693"/>
      <c r="D39" s="2469" t="s">
        <v>5263</v>
      </c>
      <c r="E39" s="269" t="s">
        <v>7795</v>
      </c>
      <c r="F39" s="92" t="s">
        <v>1490</v>
      </c>
      <c r="G39" s="92">
        <v>5</v>
      </c>
      <c r="H39" s="92">
        <v>6</v>
      </c>
      <c r="I39" s="688">
        <f t="shared" si="6"/>
        <v>0.7</v>
      </c>
      <c r="J39" s="688">
        <f t="shared" si="7"/>
        <v>0.7</v>
      </c>
      <c r="K39" s="688"/>
      <c r="L39" s="688"/>
      <c r="M39" s="688"/>
      <c r="N39" s="688"/>
      <c r="O39" s="1238"/>
      <c r="P39" s="688"/>
      <c r="Q39" s="1088"/>
      <c r="R39" s="1083">
        <v>0.7</v>
      </c>
      <c r="S39" s="397"/>
      <c r="T39" s="250"/>
      <c r="U39" s="250"/>
      <c r="V39" s="250"/>
      <c r="W39" s="67">
        <v>1</v>
      </c>
      <c r="X39" s="250">
        <v>10.1</v>
      </c>
      <c r="Y39" s="67"/>
      <c r="Z39" s="343"/>
      <c r="AB39" s="3">
        <v>1</v>
      </c>
      <c r="AE39" s="2461"/>
      <c r="AF39" s="68"/>
      <c r="AK39" s="2815" t="s">
        <v>910</v>
      </c>
      <c r="AL39" s="2579">
        <f>SUMIFS(R30:R973,F30:F973,4,G30:G973,4)</f>
        <v>0</v>
      </c>
      <c r="AM39" s="2817"/>
    </row>
    <row r="40" spans="1:39" ht="45" x14ac:dyDescent="0.35">
      <c r="A40" s="2001">
        <v>7</v>
      </c>
      <c r="B40" s="693">
        <v>10001</v>
      </c>
      <c r="C40" s="358" t="s">
        <v>1656</v>
      </c>
      <c r="D40" s="2469" t="s">
        <v>5264</v>
      </c>
      <c r="E40" s="322" t="s">
        <v>8667</v>
      </c>
      <c r="F40" s="92" t="s">
        <v>1490</v>
      </c>
      <c r="G40" s="92">
        <v>5</v>
      </c>
      <c r="H40" s="92">
        <v>6</v>
      </c>
      <c r="I40" s="297">
        <f t="shared" si="6"/>
        <v>0.4</v>
      </c>
      <c r="J40" s="297">
        <f t="shared" si="7"/>
        <v>0.4</v>
      </c>
      <c r="K40" s="690"/>
      <c r="L40" s="688"/>
      <c r="M40" s="688"/>
      <c r="N40" s="688"/>
      <c r="O40" s="2386"/>
      <c r="P40" s="688"/>
      <c r="Q40" s="2387"/>
      <c r="R40" s="2388">
        <v>0.4</v>
      </c>
      <c r="S40" s="397"/>
      <c r="T40" s="250"/>
      <c r="U40" s="250"/>
      <c r="V40" s="250"/>
      <c r="W40" s="67"/>
      <c r="X40" s="250"/>
      <c r="Y40" s="67"/>
      <c r="Z40" s="343"/>
      <c r="AB40" s="3">
        <v>1</v>
      </c>
      <c r="AE40" s="2461"/>
      <c r="AF40" s="68"/>
      <c r="AK40" s="2818" t="s">
        <v>7185</v>
      </c>
      <c r="AL40" s="2821">
        <f>AL41+AL42+AL43+AL44+AL45</f>
        <v>3.9390000000000001</v>
      </c>
      <c r="AM40" s="2820">
        <f>AL40-AG30</f>
        <v>0</v>
      </c>
    </row>
    <row r="41" spans="1:39" ht="45.5" x14ac:dyDescent="0.35">
      <c r="A41" s="525">
        <v>8</v>
      </c>
      <c r="B41" s="693">
        <v>10001</v>
      </c>
      <c r="C41" s="358" t="s">
        <v>1656</v>
      </c>
      <c r="D41" s="2469" t="s">
        <v>5265</v>
      </c>
      <c r="E41" s="269" t="s">
        <v>8668</v>
      </c>
      <c r="F41" s="92" t="s">
        <v>1490</v>
      </c>
      <c r="G41" s="92">
        <v>5</v>
      </c>
      <c r="H41" s="92">
        <v>6</v>
      </c>
      <c r="I41" s="297">
        <f t="shared" si="6"/>
        <v>0.2</v>
      </c>
      <c r="J41" s="297">
        <f t="shared" si="7"/>
        <v>0.2</v>
      </c>
      <c r="K41" s="688"/>
      <c r="L41" s="688"/>
      <c r="M41" s="688"/>
      <c r="N41" s="688"/>
      <c r="O41" s="2386"/>
      <c r="P41" s="688"/>
      <c r="Q41" s="2387"/>
      <c r="R41" s="2388">
        <v>0.2</v>
      </c>
      <c r="S41" s="397"/>
      <c r="T41" s="250"/>
      <c r="U41" s="250"/>
      <c r="V41" s="250"/>
      <c r="W41" s="67"/>
      <c r="X41" s="250"/>
      <c r="Y41" s="67"/>
      <c r="Z41" s="343"/>
      <c r="AB41" s="3">
        <v>1</v>
      </c>
      <c r="AE41" s="2461"/>
      <c r="AF41" s="68"/>
      <c r="AK41" s="2815" t="s">
        <v>11230</v>
      </c>
      <c r="AL41" s="2579">
        <f>SUMIFS(M30:M973,F30:F973,5,G30:G973,4)</f>
        <v>0</v>
      </c>
      <c r="AM41" s="2817"/>
    </row>
    <row r="42" spans="1:39" ht="30.5" x14ac:dyDescent="0.35">
      <c r="A42" s="2001">
        <v>9</v>
      </c>
      <c r="B42" s="693">
        <v>10001</v>
      </c>
      <c r="C42" s="358" t="s">
        <v>1656</v>
      </c>
      <c r="D42" s="2469" t="s">
        <v>5266</v>
      </c>
      <c r="E42" s="269" t="s">
        <v>8669</v>
      </c>
      <c r="F42" s="92" t="s">
        <v>1490</v>
      </c>
      <c r="G42" s="92">
        <v>5</v>
      </c>
      <c r="H42" s="92">
        <v>6</v>
      </c>
      <c r="I42" s="297">
        <f t="shared" si="6"/>
        <v>0.95</v>
      </c>
      <c r="J42" s="297">
        <f t="shared" si="7"/>
        <v>0.95</v>
      </c>
      <c r="K42" s="691"/>
      <c r="L42" s="691"/>
      <c r="M42" s="688"/>
      <c r="N42" s="688"/>
      <c r="O42" s="2386"/>
      <c r="P42" s="688"/>
      <c r="Q42" s="2387"/>
      <c r="R42" s="2388">
        <v>0.95</v>
      </c>
      <c r="S42" s="398"/>
      <c r="T42" s="254"/>
      <c r="U42" s="254"/>
      <c r="V42" s="254"/>
      <c r="W42" s="66"/>
      <c r="X42" s="254"/>
      <c r="Y42" s="66"/>
      <c r="Z42" s="344"/>
      <c r="AB42" s="3">
        <v>1</v>
      </c>
      <c r="AE42" s="2461"/>
      <c r="AF42" s="68"/>
      <c r="AK42" s="2815" t="s">
        <v>11231</v>
      </c>
      <c r="AL42" s="2579">
        <f>SUMIFS(N30:N973,F30:F973,5,G30:G973,4)</f>
        <v>1.9840000000000009</v>
      </c>
      <c r="AM42" s="2817"/>
    </row>
    <row r="43" spans="1:39" ht="30.5" x14ac:dyDescent="0.35">
      <c r="A43" s="525">
        <v>10</v>
      </c>
      <c r="B43" s="693">
        <v>10001</v>
      </c>
      <c r="C43" s="693"/>
      <c r="D43" s="2469" t="s">
        <v>5267</v>
      </c>
      <c r="E43" s="269" t="s">
        <v>7796</v>
      </c>
      <c r="F43" s="92" t="s">
        <v>1490</v>
      </c>
      <c r="G43" s="92">
        <v>5</v>
      </c>
      <c r="H43" s="92">
        <v>6</v>
      </c>
      <c r="I43" s="688">
        <f t="shared" si="6"/>
        <v>0.4</v>
      </c>
      <c r="J43" s="688">
        <f t="shared" si="7"/>
        <v>0.4</v>
      </c>
      <c r="K43" s="688"/>
      <c r="L43" s="688"/>
      <c r="M43" s="688"/>
      <c r="N43" s="688"/>
      <c r="O43" s="1238"/>
      <c r="P43" s="688"/>
      <c r="Q43" s="1088"/>
      <c r="R43" s="1083">
        <v>0.4</v>
      </c>
      <c r="S43" s="397"/>
      <c r="T43" s="250"/>
      <c r="U43" s="250"/>
      <c r="V43" s="250"/>
      <c r="W43" s="67"/>
      <c r="X43" s="250"/>
      <c r="Y43" s="67"/>
      <c r="Z43" s="343"/>
      <c r="AB43" s="3">
        <v>1</v>
      </c>
      <c r="AE43" s="2461"/>
      <c r="AF43" s="68"/>
      <c r="AK43" s="2815" t="s">
        <v>11232</v>
      </c>
      <c r="AL43" s="2579">
        <f>SUMIFS(O30:O973,F30:F973,5,G30:G973,4)</f>
        <v>0</v>
      </c>
      <c r="AM43" s="2817"/>
    </row>
    <row r="44" spans="1:39" x14ac:dyDescent="0.35">
      <c r="A44" s="2001"/>
      <c r="B44" s="1144">
        <v>10001</v>
      </c>
      <c r="C44" s="1144"/>
      <c r="D44" s="2854"/>
      <c r="E44" s="2853"/>
      <c r="F44" s="92"/>
      <c r="G44" s="92"/>
      <c r="H44" s="92"/>
      <c r="I44" s="688"/>
      <c r="J44" s="688"/>
      <c r="K44" s="691"/>
      <c r="L44" s="691"/>
      <c r="M44" s="691"/>
      <c r="N44" s="688"/>
      <c r="O44" s="1238"/>
      <c r="P44" s="691"/>
      <c r="Q44" s="1090"/>
      <c r="R44" s="1085"/>
      <c r="S44" s="398"/>
      <c r="T44" s="92"/>
      <c r="U44" s="92"/>
      <c r="V44" s="92"/>
      <c r="W44" s="66"/>
      <c r="X44" s="92"/>
      <c r="Y44" s="66"/>
      <c r="Z44" s="342"/>
      <c r="AE44" s="2461"/>
      <c r="AF44" s="68"/>
      <c r="AK44" s="2815" t="s">
        <v>11233</v>
      </c>
      <c r="AL44" s="2579">
        <f>SUMIFS(P30:P973,F30:F973,5,G30:G973,4)+SUMIFS(Q30:Q973,F30:F973,5,G30:G973,4)</f>
        <v>1.9549999999999992</v>
      </c>
      <c r="AM44" s="2817"/>
    </row>
    <row r="45" spans="1:39" ht="45.5" x14ac:dyDescent="0.35">
      <c r="A45" s="525">
        <v>11</v>
      </c>
      <c r="B45" s="693">
        <v>10001</v>
      </c>
      <c r="C45" s="358" t="s">
        <v>1656</v>
      </c>
      <c r="D45" s="2469" t="s">
        <v>5268</v>
      </c>
      <c r="E45" s="269" t="s">
        <v>8670</v>
      </c>
      <c r="F45" s="92" t="s">
        <v>1490</v>
      </c>
      <c r="G45" s="92">
        <v>5</v>
      </c>
      <c r="H45" s="92">
        <v>6</v>
      </c>
      <c r="I45" s="297">
        <f t="shared" si="6"/>
        <v>1</v>
      </c>
      <c r="J45" s="297">
        <f t="shared" si="7"/>
        <v>1</v>
      </c>
      <c r="K45" s="691"/>
      <c r="L45" s="691"/>
      <c r="M45" s="688"/>
      <c r="N45" s="688"/>
      <c r="O45" s="2386"/>
      <c r="P45" s="688"/>
      <c r="Q45" s="2387"/>
      <c r="R45" s="2388">
        <v>1</v>
      </c>
      <c r="S45" s="398"/>
      <c r="T45" s="254"/>
      <c r="U45" s="254"/>
      <c r="V45" s="254"/>
      <c r="W45" s="66"/>
      <c r="X45" s="254"/>
      <c r="Y45" s="254"/>
      <c r="Z45" s="344"/>
      <c r="AB45" s="3">
        <v>1</v>
      </c>
      <c r="AE45" s="2461"/>
      <c r="AF45" s="68"/>
      <c r="AK45" s="2815" t="s">
        <v>910</v>
      </c>
      <c r="AL45" s="2579">
        <f>SUMIFS(R30:R973,F30:F973,5,G30:G973,4)</f>
        <v>0</v>
      </c>
      <c r="AM45" s="2817"/>
    </row>
    <row r="46" spans="1:39" x14ac:dyDescent="0.35">
      <c r="A46" s="2001">
        <v>12</v>
      </c>
      <c r="B46" s="693">
        <v>10901</v>
      </c>
      <c r="C46" s="693"/>
      <c r="D46" s="693" t="s">
        <v>985</v>
      </c>
      <c r="E46" s="269" t="s">
        <v>1883</v>
      </c>
      <c r="F46" s="92"/>
      <c r="G46" s="92" t="s">
        <v>191</v>
      </c>
      <c r="H46" s="92" t="s">
        <v>191</v>
      </c>
      <c r="I46" s="688">
        <f t="shared" si="6"/>
        <v>25.353999999999999</v>
      </c>
      <c r="J46" s="688">
        <f t="shared" si="7"/>
        <v>25.353999999999999</v>
      </c>
      <c r="K46" s="690"/>
      <c r="L46" s="688"/>
      <c r="M46" s="688"/>
      <c r="N46" s="688">
        <f>SUM(N47:N49)</f>
        <v>22.6</v>
      </c>
      <c r="O46" s="1238"/>
      <c r="P46" s="688"/>
      <c r="Q46" s="1088">
        <f>SUM(Q47:Q49)</f>
        <v>2.7539999999999978</v>
      </c>
      <c r="R46" s="1083"/>
      <c r="S46" s="397">
        <v>2</v>
      </c>
      <c r="T46" s="250">
        <v>157.5</v>
      </c>
      <c r="U46" s="250"/>
      <c r="V46" s="250"/>
      <c r="W46" s="2830">
        <v>36</v>
      </c>
      <c r="X46" s="2533">
        <f>285.43+193.4</f>
        <v>478.83000000000004</v>
      </c>
      <c r="Y46" s="2830">
        <v>18</v>
      </c>
      <c r="Z46" s="2831">
        <v>193.4</v>
      </c>
      <c r="AB46" s="3">
        <v>1</v>
      </c>
      <c r="AE46" s="2461"/>
      <c r="AF46" s="68"/>
      <c r="AK46" s="2818" t="s">
        <v>11234</v>
      </c>
      <c r="AL46" s="2821">
        <f>AL47+AL48+AL49+AL50+AL51</f>
        <v>2.9830000000000005</v>
      </c>
      <c r="AM46" s="2820">
        <f>AL46-AH30-AI30-AJ30</f>
        <v>0</v>
      </c>
    </row>
    <row r="47" spans="1:39" ht="46.5" x14ac:dyDescent="0.35">
      <c r="A47" s="525"/>
      <c r="B47" s="693">
        <v>10901</v>
      </c>
      <c r="C47" s="693"/>
      <c r="D47" s="693"/>
      <c r="E47" s="324" t="s">
        <v>9885</v>
      </c>
      <c r="F47" s="92"/>
      <c r="G47" s="92" t="s">
        <v>191</v>
      </c>
      <c r="H47" s="92" t="s">
        <v>191</v>
      </c>
      <c r="I47" s="691"/>
      <c r="J47" s="691"/>
      <c r="K47" s="690"/>
      <c r="L47" s="688"/>
      <c r="M47" s="688"/>
      <c r="N47" s="688"/>
      <c r="O47" s="1238"/>
      <c r="P47" s="688"/>
      <c r="Q47" s="1088"/>
      <c r="R47" s="1083"/>
      <c r="S47" s="397"/>
      <c r="T47" s="250"/>
      <c r="U47" s="250"/>
      <c r="V47" s="250"/>
      <c r="W47" s="67"/>
      <c r="X47" s="250"/>
      <c r="Y47" s="67"/>
      <c r="Z47" s="343"/>
      <c r="AE47" s="2461"/>
      <c r="AF47" s="68"/>
      <c r="AK47" s="2815" t="s">
        <v>11230</v>
      </c>
      <c r="AL47" s="2579">
        <f>SUMIFS(M30:M973,F30:F973,"6а",G30:G973,4)+SUMIFS(M30:M973,F30:F973,"6б",G30:G973,4)+SUMIFS(M30:M973,F30:F973,"б/к",G30:G973,4)</f>
        <v>0</v>
      </c>
      <c r="AM47" s="2817"/>
    </row>
    <row r="48" spans="1:39" x14ac:dyDescent="0.35">
      <c r="A48" s="525"/>
      <c r="B48" s="693"/>
      <c r="C48" s="693"/>
      <c r="D48" s="693"/>
      <c r="E48" s="270" t="s">
        <v>940</v>
      </c>
      <c r="F48" s="92">
        <v>4</v>
      </c>
      <c r="G48" s="92">
        <v>4</v>
      </c>
      <c r="H48" s="92">
        <v>6</v>
      </c>
      <c r="I48" s="688"/>
      <c r="J48" s="688"/>
      <c r="K48" s="690"/>
      <c r="L48" s="688"/>
      <c r="M48" s="688"/>
      <c r="N48" s="691">
        <v>22.6</v>
      </c>
      <c r="O48" s="1238"/>
      <c r="P48" s="688"/>
      <c r="Q48" s="1088"/>
      <c r="R48" s="1083"/>
      <c r="S48" s="397"/>
      <c r="T48" s="250"/>
      <c r="U48" s="250"/>
      <c r="V48" s="250"/>
      <c r="W48" s="67"/>
      <c r="X48" s="250"/>
      <c r="Y48" s="67"/>
      <c r="Z48" s="343"/>
      <c r="AE48" s="2461"/>
      <c r="AF48" s="68"/>
      <c r="AK48" s="2815" t="s">
        <v>11231</v>
      </c>
      <c r="AL48" s="2579">
        <f>SUMIFS(N30:N973,F30:F973,"6а",G30:G973,4)+SUMIFS(N30:N973,F30:F973,"6б",G30:G973,4)+SUMIFS(N30:N973,F30:F973,"б/к",G30:G973,4)</f>
        <v>2.1880000000000006</v>
      </c>
      <c r="AM48" s="2817"/>
    </row>
    <row r="49" spans="1:39" x14ac:dyDescent="0.35">
      <c r="A49" s="525"/>
      <c r="B49" s="693"/>
      <c r="C49" s="693"/>
      <c r="D49" s="693"/>
      <c r="E49" s="900" t="s">
        <v>1884</v>
      </c>
      <c r="F49" s="92">
        <v>4</v>
      </c>
      <c r="G49" s="92">
        <v>4</v>
      </c>
      <c r="H49" s="92">
        <v>6</v>
      </c>
      <c r="I49" s="688"/>
      <c r="J49" s="688"/>
      <c r="K49" s="690"/>
      <c r="L49" s="688"/>
      <c r="M49" s="688"/>
      <c r="N49" s="688"/>
      <c r="O49" s="1238"/>
      <c r="P49" s="688"/>
      <c r="Q49" s="2285">
        <f>25.354-22.6</f>
        <v>2.7539999999999978</v>
      </c>
      <c r="R49" s="1083"/>
      <c r="S49" s="397"/>
      <c r="T49" s="250"/>
      <c r="U49" s="250"/>
      <c r="V49" s="250"/>
      <c r="W49" s="67"/>
      <c r="X49" s="250"/>
      <c r="Y49" s="67"/>
      <c r="Z49" s="343"/>
      <c r="AE49" s="2461"/>
      <c r="AF49" s="68"/>
      <c r="AK49" s="2815" t="s">
        <v>11232</v>
      </c>
      <c r="AL49" s="2579">
        <f>SUMIFS(O30:O973,F30:F973,"6а",G30:G973,4)+SUMIFS(O30:O973,F30:F973,"6б",G30:G973,4)+SUMIFS(O30:O973,F30:F973,"б/к",G30:G973,4)</f>
        <v>0</v>
      </c>
      <c r="AM49" s="2817"/>
    </row>
    <row r="50" spans="1:39" ht="30.5" x14ac:dyDescent="0.35">
      <c r="A50" s="525">
        <v>13</v>
      </c>
      <c r="B50" s="693">
        <v>10901</v>
      </c>
      <c r="C50" s="693"/>
      <c r="D50" s="2469" t="s">
        <v>5269</v>
      </c>
      <c r="E50" s="269" t="s">
        <v>7797</v>
      </c>
      <c r="F50" s="92"/>
      <c r="G50" s="92" t="s">
        <v>191</v>
      </c>
      <c r="H50" s="92" t="s">
        <v>191</v>
      </c>
      <c r="I50" s="688">
        <f>J50+K50+L50</f>
        <v>2.29</v>
      </c>
      <c r="J50" s="688">
        <f>SUM(M50:R50)</f>
        <v>2.29</v>
      </c>
      <c r="K50" s="688"/>
      <c r="L50" s="688"/>
      <c r="M50" s="688"/>
      <c r="N50" s="688"/>
      <c r="O50" s="1238">
        <f>SUM(O51:O52)</f>
        <v>1.25</v>
      </c>
      <c r="P50" s="688"/>
      <c r="Q50" s="1088"/>
      <c r="R50" s="1083">
        <f>SUM(R51:R52)</f>
        <v>1.04</v>
      </c>
      <c r="S50" s="397"/>
      <c r="T50" s="250"/>
      <c r="U50" s="250"/>
      <c r="V50" s="250"/>
      <c r="W50" s="67">
        <v>1</v>
      </c>
      <c r="X50" s="250">
        <v>10.1</v>
      </c>
      <c r="Y50" s="67"/>
      <c r="Z50" s="343"/>
      <c r="AB50" s="3">
        <v>1</v>
      </c>
      <c r="AE50" s="2461"/>
      <c r="AF50" s="68"/>
      <c r="AK50" s="2815" t="s">
        <v>11233</v>
      </c>
      <c r="AL50" s="2579">
        <f>SUMIFS(P30:P973,F30:F973,"6а",G30:G973,4)+SUMIFS(Q30:Q973,F30:F973,"6а",G30:G973,4)+SUMIFS(P30:P973,F30:F973,"6б",G30:G973,4)+SUMIFS(Q30:Q973,F30:F973,"6б",G30:G973,4)+SUMIFS(O30:O973,F30:F973,"б/к",G30:G973,4)+SUMIFS(P30:P973,F30:F973,"б/к",G30:G973,4)+SUMIFS(Q30:Q973,F30:F973,"б/к",G30:G973,4)</f>
        <v>0</v>
      </c>
      <c r="AM50" s="2817"/>
    </row>
    <row r="51" spans="1:39" x14ac:dyDescent="0.35">
      <c r="A51" s="694"/>
      <c r="B51" s="693">
        <v>10901</v>
      </c>
      <c r="C51" s="693"/>
      <c r="D51" s="695"/>
      <c r="E51" s="921" t="s">
        <v>2446</v>
      </c>
      <c r="F51" s="92" t="s">
        <v>1490</v>
      </c>
      <c r="G51" s="92">
        <v>5</v>
      </c>
      <c r="H51" s="92">
        <v>6</v>
      </c>
      <c r="I51" s="691"/>
      <c r="J51" s="691"/>
      <c r="K51" s="691"/>
      <c r="L51" s="691"/>
      <c r="M51" s="691"/>
      <c r="N51" s="691"/>
      <c r="O51" s="1239">
        <v>1.25</v>
      </c>
      <c r="P51" s="691"/>
      <c r="Q51" s="1090"/>
      <c r="R51" s="1085"/>
      <c r="S51" s="398"/>
      <c r="T51" s="254"/>
      <c r="U51" s="254"/>
      <c r="V51" s="254"/>
      <c r="W51" s="66"/>
      <c r="X51" s="254"/>
      <c r="Y51" s="66"/>
      <c r="Z51" s="344"/>
      <c r="AE51" s="2461"/>
      <c r="AF51" s="68"/>
      <c r="AK51" s="2815" t="s">
        <v>910</v>
      </c>
      <c r="AL51" s="2579">
        <f>SUMIFS(R30:R973,F30:F973,"6а",G30:G973,4)+SUMIFS(R30:R973,F30:F973,"6б",G30:G973,4)+SUMIFS(R30:R973,F30:F973,"б/к",G30:G973,4)</f>
        <v>0.79499999999999993</v>
      </c>
      <c r="AM51" s="2817"/>
    </row>
    <row r="52" spans="1:39" x14ac:dyDescent="0.35">
      <c r="A52" s="694"/>
      <c r="B52" s="693">
        <v>10901</v>
      </c>
      <c r="C52" s="693"/>
      <c r="D52" s="695"/>
      <c r="E52" s="878" t="s">
        <v>2858</v>
      </c>
      <c r="F52" s="92" t="s">
        <v>1490</v>
      </c>
      <c r="G52" s="92">
        <v>5</v>
      </c>
      <c r="H52" s="92">
        <v>6</v>
      </c>
      <c r="I52" s="691"/>
      <c r="J52" s="691"/>
      <c r="K52" s="691"/>
      <c r="L52" s="691"/>
      <c r="M52" s="691"/>
      <c r="N52" s="691"/>
      <c r="O52" s="1239"/>
      <c r="P52" s="691"/>
      <c r="Q52" s="1090"/>
      <c r="R52" s="1085">
        <f>2.29-1.25</f>
        <v>1.04</v>
      </c>
      <c r="S52" s="398"/>
      <c r="T52" s="254"/>
      <c r="U52" s="254"/>
      <c r="V52" s="254"/>
      <c r="W52" s="66"/>
      <c r="X52" s="254"/>
      <c r="Y52" s="66"/>
      <c r="Z52" s="344"/>
      <c r="AE52" s="2461"/>
      <c r="AF52" s="68"/>
      <c r="AK52" s="2815"/>
      <c r="AL52" s="2579"/>
      <c r="AM52" s="2817"/>
    </row>
    <row r="53" spans="1:39" ht="45.5" x14ac:dyDescent="0.35">
      <c r="A53" s="2001">
        <v>14</v>
      </c>
      <c r="B53" s="693">
        <v>10901</v>
      </c>
      <c r="C53" s="358" t="s">
        <v>1656</v>
      </c>
      <c r="D53" s="2469" t="s">
        <v>5270</v>
      </c>
      <c r="E53" s="269" t="s">
        <v>8671</v>
      </c>
      <c r="F53" s="92" t="s">
        <v>1490</v>
      </c>
      <c r="G53" s="92">
        <v>5</v>
      </c>
      <c r="H53" s="92">
        <v>6</v>
      </c>
      <c r="I53" s="297">
        <f>J53+K53+L53</f>
        <v>1.3</v>
      </c>
      <c r="J53" s="297">
        <f>SUM(M53:R53)</f>
        <v>1.3</v>
      </c>
      <c r="K53" s="688"/>
      <c r="L53" s="688"/>
      <c r="M53" s="688"/>
      <c r="N53" s="688"/>
      <c r="O53" s="2386"/>
      <c r="P53" s="688"/>
      <c r="Q53" s="2387"/>
      <c r="R53" s="2388">
        <v>1.3</v>
      </c>
      <c r="S53" s="397"/>
      <c r="T53" s="250"/>
      <c r="U53" s="250"/>
      <c r="V53" s="250"/>
      <c r="W53" s="67"/>
      <c r="X53" s="250"/>
      <c r="Y53" s="67"/>
      <c r="Z53" s="343"/>
      <c r="AB53" s="3">
        <v>1</v>
      </c>
      <c r="AE53" s="2461"/>
      <c r="AF53" s="68"/>
      <c r="AK53" s="2818" t="s">
        <v>11236</v>
      </c>
      <c r="AL53" s="2821">
        <f>AL55+AL61+AL67</f>
        <v>246.16500000000002</v>
      </c>
      <c r="AM53" s="2820">
        <f>AL53-J20</f>
        <v>0</v>
      </c>
    </row>
    <row r="54" spans="1:39" ht="30.5" x14ac:dyDescent="0.35">
      <c r="A54" s="525">
        <v>15</v>
      </c>
      <c r="B54" s="693">
        <v>10901</v>
      </c>
      <c r="C54" s="693"/>
      <c r="D54" s="2469" t="s">
        <v>5271</v>
      </c>
      <c r="E54" s="269" t="s">
        <v>7798</v>
      </c>
      <c r="F54" s="92" t="s">
        <v>1490</v>
      </c>
      <c r="G54" s="92">
        <v>5</v>
      </c>
      <c r="H54" s="92">
        <v>6</v>
      </c>
      <c r="I54" s="688">
        <f t="shared" ref="I54:I58" si="8">J54+K54+L54</f>
        <v>0.44</v>
      </c>
      <c r="J54" s="688">
        <f t="shared" ref="J54:J58" si="9">SUM(M54:R54)</f>
        <v>0.44</v>
      </c>
      <c r="K54" s="688"/>
      <c r="L54" s="688"/>
      <c r="M54" s="688"/>
      <c r="N54" s="688"/>
      <c r="O54" s="1238"/>
      <c r="P54" s="688"/>
      <c r="Q54" s="1088"/>
      <c r="R54" s="1083">
        <v>0.44</v>
      </c>
      <c r="S54" s="397"/>
      <c r="T54" s="250"/>
      <c r="U54" s="250"/>
      <c r="V54" s="250"/>
      <c r="W54" s="67">
        <v>2</v>
      </c>
      <c r="X54" s="250">
        <v>21</v>
      </c>
      <c r="Y54" s="67"/>
      <c r="Z54" s="343"/>
      <c r="AB54" s="3">
        <v>1</v>
      </c>
      <c r="AE54" s="2461"/>
      <c r="AF54" s="68"/>
      <c r="AK54" s="2815" t="s">
        <v>11229</v>
      </c>
      <c r="AL54" s="2579"/>
      <c r="AM54" s="2817"/>
    </row>
    <row r="55" spans="1:39" ht="30.5" x14ac:dyDescent="0.35">
      <c r="A55" s="2001">
        <v>16</v>
      </c>
      <c r="B55" s="693">
        <v>10901</v>
      </c>
      <c r="C55" s="693"/>
      <c r="D55" s="2469" t="s">
        <v>5272</v>
      </c>
      <c r="E55" s="269" t="s">
        <v>7799</v>
      </c>
      <c r="F55" s="92" t="s">
        <v>1490</v>
      </c>
      <c r="G55" s="92">
        <v>5</v>
      </c>
      <c r="H55" s="92">
        <v>6</v>
      </c>
      <c r="I55" s="688">
        <f t="shared" si="8"/>
        <v>0.43</v>
      </c>
      <c r="J55" s="688">
        <f t="shared" si="9"/>
        <v>0.43</v>
      </c>
      <c r="K55" s="688"/>
      <c r="L55" s="688"/>
      <c r="M55" s="688"/>
      <c r="N55" s="688"/>
      <c r="O55" s="1238"/>
      <c r="P55" s="688"/>
      <c r="Q55" s="1088"/>
      <c r="R55" s="1083">
        <v>0.43</v>
      </c>
      <c r="S55" s="397"/>
      <c r="T55" s="250"/>
      <c r="U55" s="250"/>
      <c r="V55" s="250"/>
      <c r="W55" s="67"/>
      <c r="X55" s="250"/>
      <c r="Y55" s="67"/>
      <c r="Z55" s="343"/>
      <c r="AB55" s="3">
        <v>1</v>
      </c>
      <c r="AE55" s="2461"/>
      <c r="AF55" s="68"/>
      <c r="AK55" s="2818" t="s">
        <v>7184</v>
      </c>
      <c r="AL55" s="2821">
        <f>AL56+AL57+AL58+AL59+AL60</f>
        <v>99.308999999999997</v>
      </c>
      <c r="AM55" s="2820">
        <f>AL55-AF31</f>
        <v>0</v>
      </c>
    </row>
    <row r="56" spans="1:39" ht="30.5" x14ac:dyDescent="0.35">
      <c r="A56" s="525">
        <v>17</v>
      </c>
      <c r="B56" s="693">
        <v>10901</v>
      </c>
      <c r="C56" s="693"/>
      <c r="D56" s="2469" t="s">
        <v>5273</v>
      </c>
      <c r="E56" s="269" t="s">
        <v>7800</v>
      </c>
      <c r="F56" s="92">
        <v>4</v>
      </c>
      <c r="G56" s="92">
        <v>5</v>
      </c>
      <c r="H56" s="92">
        <v>6</v>
      </c>
      <c r="I56" s="688">
        <f t="shared" si="8"/>
        <v>1.91</v>
      </c>
      <c r="J56" s="688">
        <f t="shared" si="9"/>
        <v>1.91</v>
      </c>
      <c r="K56" s="688"/>
      <c r="L56" s="688"/>
      <c r="M56" s="688"/>
      <c r="N56" s="688">
        <v>1.91</v>
      </c>
      <c r="O56" s="1238"/>
      <c r="P56" s="688"/>
      <c r="Q56" s="1088"/>
      <c r="R56" s="1083"/>
      <c r="S56" s="397"/>
      <c r="T56" s="250"/>
      <c r="U56" s="250"/>
      <c r="V56" s="250"/>
      <c r="W56" s="67">
        <v>2</v>
      </c>
      <c r="X56" s="250">
        <v>25</v>
      </c>
      <c r="Y56" s="67">
        <v>1</v>
      </c>
      <c r="Z56" s="343">
        <v>10</v>
      </c>
      <c r="AB56" s="3">
        <v>1</v>
      </c>
      <c r="AE56" s="2461"/>
      <c r="AF56" s="68"/>
      <c r="AK56" s="2815" t="s">
        <v>11230</v>
      </c>
      <c r="AL56" s="2579">
        <f>SUMIFS(M30:M973,F30:F973,4,G30:G973,5)</f>
        <v>0</v>
      </c>
      <c r="AM56" s="2817"/>
    </row>
    <row r="57" spans="1:39" ht="45.5" x14ac:dyDescent="0.35">
      <c r="A57" s="2001">
        <v>18</v>
      </c>
      <c r="B57" s="693">
        <v>10901</v>
      </c>
      <c r="C57" s="358" t="s">
        <v>1656</v>
      </c>
      <c r="D57" s="2469" t="s">
        <v>5274</v>
      </c>
      <c r="E57" s="269" t="s">
        <v>8672</v>
      </c>
      <c r="F57" s="92" t="s">
        <v>1490</v>
      </c>
      <c r="G57" s="92">
        <v>5</v>
      </c>
      <c r="H57" s="92">
        <v>6</v>
      </c>
      <c r="I57" s="297">
        <f>J57+K57+L57</f>
        <v>0.57999999999999996</v>
      </c>
      <c r="J57" s="297">
        <f>SUM(M57:R57)</f>
        <v>0.57999999999999996</v>
      </c>
      <c r="K57" s="688"/>
      <c r="L57" s="688"/>
      <c r="M57" s="688"/>
      <c r="N57" s="688"/>
      <c r="O57" s="2386"/>
      <c r="P57" s="688"/>
      <c r="Q57" s="2387"/>
      <c r="R57" s="2388">
        <v>0.57999999999999996</v>
      </c>
      <c r="S57" s="397"/>
      <c r="T57" s="250"/>
      <c r="U57" s="250"/>
      <c r="V57" s="250"/>
      <c r="W57" s="67"/>
      <c r="X57" s="250"/>
      <c r="Y57" s="67"/>
      <c r="Z57" s="343"/>
      <c r="AB57" s="3">
        <v>1</v>
      </c>
      <c r="AE57" s="2461"/>
      <c r="AF57" s="68"/>
      <c r="AK57" s="2815" t="s">
        <v>11231</v>
      </c>
      <c r="AL57" s="2579">
        <f>SUMIFS(N30:N973,F30:F973,4,G30:G973,5)</f>
        <v>36.51</v>
      </c>
      <c r="AM57" s="2817"/>
    </row>
    <row r="58" spans="1:39" ht="30.5" x14ac:dyDescent="0.35">
      <c r="A58" s="525">
        <v>19</v>
      </c>
      <c r="B58" s="693">
        <v>10901</v>
      </c>
      <c r="C58" s="693"/>
      <c r="D58" s="2469" t="s">
        <v>5275</v>
      </c>
      <c r="E58" s="269" t="s">
        <v>7801</v>
      </c>
      <c r="F58" s="92" t="s">
        <v>1490</v>
      </c>
      <c r="G58" s="92">
        <v>5</v>
      </c>
      <c r="H58" s="92">
        <v>6</v>
      </c>
      <c r="I58" s="688">
        <f t="shared" si="8"/>
        <v>2.25</v>
      </c>
      <c r="J58" s="688">
        <f t="shared" si="9"/>
        <v>2.25</v>
      </c>
      <c r="K58" s="688"/>
      <c r="L58" s="688"/>
      <c r="M58" s="688"/>
      <c r="N58" s="688"/>
      <c r="O58" s="1238"/>
      <c r="P58" s="688"/>
      <c r="Q58" s="1088"/>
      <c r="R58" s="1083">
        <v>2.25</v>
      </c>
      <c r="S58" s="397"/>
      <c r="T58" s="250"/>
      <c r="U58" s="250"/>
      <c r="V58" s="250"/>
      <c r="W58" s="67">
        <v>2</v>
      </c>
      <c r="X58" s="250">
        <v>35.4</v>
      </c>
      <c r="Y58" s="67"/>
      <c r="Z58" s="343"/>
      <c r="AB58" s="3">
        <v>1</v>
      </c>
      <c r="AE58" s="2461"/>
      <c r="AF58" s="68"/>
      <c r="AK58" s="2815" t="s">
        <v>11232</v>
      </c>
      <c r="AL58" s="2579">
        <f>SUMIFS(O30:O973,F30:F973,4,G30:G973,5)</f>
        <v>2.27</v>
      </c>
      <c r="AM58" s="2817"/>
    </row>
    <row r="59" spans="1:39" x14ac:dyDescent="0.35">
      <c r="A59" s="2001"/>
      <c r="B59" s="693">
        <v>10901</v>
      </c>
      <c r="C59" s="693"/>
      <c r="D59" s="2854"/>
      <c r="E59" s="2853"/>
      <c r="F59" s="92"/>
      <c r="G59" s="92"/>
      <c r="H59" s="92"/>
      <c r="I59" s="688"/>
      <c r="J59" s="688"/>
      <c r="K59" s="688"/>
      <c r="L59" s="688"/>
      <c r="M59" s="688"/>
      <c r="N59" s="688"/>
      <c r="O59" s="1238"/>
      <c r="P59" s="688"/>
      <c r="Q59" s="1088"/>
      <c r="R59" s="1083"/>
      <c r="S59" s="397"/>
      <c r="T59" s="250"/>
      <c r="U59" s="250"/>
      <c r="V59" s="250"/>
      <c r="W59" s="67"/>
      <c r="X59" s="250"/>
      <c r="Y59" s="67"/>
      <c r="Z59" s="343"/>
      <c r="AE59" s="2461"/>
      <c r="AF59" s="68"/>
      <c r="AK59" s="2815" t="s">
        <v>11233</v>
      </c>
      <c r="AL59" s="2579">
        <f>SUMIFS(P30:P973,F30:F973,4,G30:G973,5)+SUMIFS(Q30:Q973,F30:F973,4,G30:G973,5)</f>
        <v>60.529000000000003</v>
      </c>
      <c r="AM59" s="2817"/>
    </row>
    <row r="60" spans="1:39" x14ac:dyDescent="0.35">
      <c r="A60" s="525"/>
      <c r="B60" s="693">
        <v>10901</v>
      </c>
      <c r="C60" s="693"/>
      <c r="D60" s="693"/>
      <c r="E60" s="2836"/>
      <c r="F60" s="92"/>
      <c r="G60" s="92"/>
      <c r="H60" s="92"/>
      <c r="I60" s="688"/>
      <c r="J60" s="688"/>
      <c r="K60" s="688"/>
      <c r="L60" s="688"/>
      <c r="M60" s="688"/>
      <c r="N60" s="692"/>
      <c r="O60" s="1238"/>
      <c r="P60" s="688"/>
      <c r="Q60" s="1088"/>
      <c r="R60" s="1083"/>
      <c r="S60" s="397"/>
      <c r="T60" s="250"/>
      <c r="U60" s="250"/>
      <c r="V60" s="250"/>
      <c r="W60" s="67"/>
      <c r="X60" s="250"/>
      <c r="Y60" s="67"/>
      <c r="Z60" s="343"/>
      <c r="AE60" s="2461"/>
      <c r="AF60" s="68"/>
      <c r="AK60" s="2815" t="s">
        <v>910</v>
      </c>
      <c r="AL60" s="2579">
        <f>SUMIFS(R30:R973,F30:F973,4,G30:G973,5)</f>
        <v>0</v>
      </c>
      <c r="AM60" s="2817"/>
    </row>
    <row r="61" spans="1:39" x14ac:dyDescent="0.35">
      <c r="A61" s="525"/>
      <c r="B61" s="693">
        <v>10901</v>
      </c>
      <c r="C61" s="693"/>
      <c r="D61" s="693"/>
      <c r="E61" s="2836"/>
      <c r="F61" s="92"/>
      <c r="G61" s="92"/>
      <c r="H61" s="92"/>
      <c r="I61" s="688"/>
      <c r="J61" s="688"/>
      <c r="K61" s="688"/>
      <c r="L61" s="688"/>
      <c r="M61" s="688"/>
      <c r="N61" s="688"/>
      <c r="O61" s="1238"/>
      <c r="P61" s="688"/>
      <c r="Q61" s="1088"/>
      <c r="R61" s="1085"/>
      <c r="S61" s="397"/>
      <c r="T61" s="250"/>
      <c r="U61" s="250"/>
      <c r="V61" s="250"/>
      <c r="W61" s="67"/>
      <c r="X61" s="250"/>
      <c r="Y61" s="67"/>
      <c r="Z61" s="343"/>
      <c r="AE61" s="2461"/>
      <c r="AF61" s="68"/>
      <c r="AK61" s="2818" t="s">
        <v>7185</v>
      </c>
      <c r="AL61" s="2821">
        <f>AL62+AL63+AL64+AL65+AL66</f>
        <v>68.580000000000013</v>
      </c>
      <c r="AM61" s="2820">
        <f>AL61-AG31</f>
        <v>0</v>
      </c>
    </row>
    <row r="62" spans="1:39" ht="30.5" x14ac:dyDescent="0.35">
      <c r="A62" s="2001">
        <v>20</v>
      </c>
      <c r="B62" s="693">
        <v>10901</v>
      </c>
      <c r="C62" s="358" t="s">
        <v>1656</v>
      </c>
      <c r="D62" s="2469" t="s">
        <v>5276</v>
      </c>
      <c r="E62" s="269" t="s">
        <v>11404</v>
      </c>
      <c r="F62" s="92" t="s">
        <v>1490</v>
      </c>
      <c r="G62" s="92">
        <v>5</v>
      </c>
      <c r="H62" s="92">
        <v>6</v>
      </c>
      <c r="I62" s="486">
        <f t="shared" ref="I62:I73" si="10">J62+K62+L62</f>
        <v>5.3</v>
      </c>
      <c r="J62" s="486">
        <f t="shared" ref="J62:J73" si="11">SUM(M62:R62)</f>
        <v>5.3</v>
      </c>
      <c r="K62" s="691"/>
      <c r="L62" s="691"/>
      <c r="M62" s="688"/>
      <c r="N62" s="688"/>
      <c r="O62" s="2386"/>
      <c r="P62" s="688"/>
      <c r="Q62" s="2387"/>
      <c r="R62" s="2388">
        <v>5.3</v>
      </c>
      <c r="S62" s="398"/>
      <c r="T62" s="254"/>
      <c r="U62" s="254"/>
      <c r="V62" s="254"/>
      <c r="W62" s="67">
        <v>3</v>
      </c>
      <c r="X62" s="250">
        <v>40.6</v>
      </c>
      <c r="Y62" s="67">
        <v>1</v>
      </c>
      <c r="Z62" s="343">
        <v>15.5</v>
      </c>
      <c r="AB62" s="3">
        <v>1</v>
      </c>
      <c r="AE62" s="2461"/>
      <c r="AF62" s="68"/>
      <c r="AK62" s="2815" t="s">
        <v>11230</v>
      </c>
      <c r="AL62" s="2579">
        <f>SUMIFS(M30:M973,F30:F973,5,G30:G973,5)</f>
        <v>0</v>
      </c>
      <c r="AM62" s="2817"/>
    </row>
    <row r="63" spans="1:39" ht="30.5" x14ac:dyDescent="0.35">
      <c r="A63" s="698">
        <v>21</v>
      </c>
      <c r="B63" s="1144">
        <v>10901</v>
      </c>
      <c r="C63" s="1144" t="s">
        <v>1656</v>
      </c>
      <c r="D63" s="2469" t="s">
        <v>5277</v>
      </c>
      <c r="E63" s="394" t="s">
        <v>8673</v>
      </c>
      <c r="F63" s="92" t="s">
        <v>664</v>
      </c>
      <c r="G63" s="92">
        <v>5</v>
      </c>
      <c r="H63" s="92">
        <v>6</v>
      </c>
      <c r="I63" s="688">
        <f t="shared" si="10"/>
        <v>0.15</v>
      </c>
      <c r="J63" s="688">
        <f t="shared" si="11"/>
        <v>0.15</v>
      </c>
      <c r="K63" s="558"/>
      <c r="L63" s="558"/>
      <c r="M63" s="558"/>
      <c r="N63" s="558"/>
      <c r="O63" s="857"/>
      <c r="P63" s="558"/>
      <c r="Q63" s="867"/>
      <c r="R63" s="1083">
        <v>0.15</v>
      </c>
      <c r="S63" s="400"/>
      <c r="T63" s="383"/>
      <c r="U63" s="383"/>
      <c r="V63" s="383"/>
      <c r="W63" s="401"/>
      <c r="X63" s="383"/>
      <c r="Y63" s="401"/>
      <c r="Z63" s="384"/>
      <c r="AB63" s="3">
        <v>1</v>
      </c>
      <c r="AE63" s="2461"/>
      <c r="AF63" s="68"/>
      <c r="AK63" s="2815" t="s">
        <v>11231</v>
      </c>
      <c r="AL63" s="2579">
        <f>SUMIFS(N30:N973,F30:F973,5,G30:G973,5)</f>
        <v>16.076999999999998</v>
      </c>
      <c r="AM63" s="2817"/>
    </row>
    <row r="64" spans="1:39" ht="30" x14ac:dyDescent="0.35">
      <c r="A64" s="2001">
        <v>22</v>
      </c>
      <c r="B64" s="693">
        <v>10901</v>
      </c>
      <c r="C64" s="1144" t="s">
        <v>1656</v>
      </c>
      <c r="D64" s="2469" t="s">
        <v>5278</v>
      </c>
      <c r="E64" s="2187" t="s">
        <v>8674</v>
      </c>
      <c r="F64" s="92" t="s">
        <v>664</v>
      </c>
      <c r="G64" s="92">
        <v>5</v>
      </c>
      <c r="H64" s="92">
        <v>6</v>
      </c>
      <c r="I64" s="702">
        <f t="shared" si="10"/>
        <v>0.2</v>
      </c>
      <c r="J64" s="702">
        <f t="shared" si="11"/>
        <v>0.2</v>
      </c>
      <c r="K64" s="622"/>
      <c r="L64" s="622"/>
      <c r="M64" s="622"/>
      <c r="N64" s="622"/>
      <c r="O64" s="622"/>
      <c r="P64" s="622"/>
      <c r="Q64" s="622"/>
      <c r="R64" s="906">
        <v>0.2</v>
      </c>
      <c r="S64" s="106"/>
      <c r="T64" s="106"/>
      <c r="U64" s="106"/>
      <c r="V64" s="106"/>
      <c r="W64" s="105"/>
      <c r="X64" s="105"/>
      <c r="Y64" s="105"/>
      <c r="Z64" s="105"/>
      <c r="AB64" s="3">
        <v>1</v>
      </c>
      <c r="AE64" s="2461"/>
      <c r="AF64" s="68"/>
      <c r="AK64" s="2815" t="s">
        <v>11232</v>
      </c>
      <c r="AL64" s="2579">
        <f>SUMIFS(O30:O973,F30:F973,5,G30:G973,5)</f>
        <v>8.2250000000000014</v>
      </c>
      <c r="AM64" s="2817"/>
    </row>
    <row r="65" spans="1:39" x14ac:dyDescent="0.35">
      <c r="A65" s="2001">
        <v>23</v>
      </c>
      <c r="B65" s="693">
        <v>10903</v>
      </c>
      <c r="C65" s="693"/>
      <c r="D65" s="693" t="s">
        <v>987</v>
      </c>
      <c r="E65" s="269" t="s">
        <v>11405</v>
      </c>
      <c r="F65" s="92">
        <v>4</v>
      </c>
      <c r="G65" s="92">
        <v>4</v>
      </c>
      <c r="H65" s="92">
        <v>6</v>
      </c>
      <c r="I65" s="688">
        <f t="shared" si="10"/>
        <v>9.7100000000000009</v>
      </c>
      <c r="J65" s="688">
        <f t="shared" si="11"/>
        <v>9.7100000000000009</v>
      </c>
      <c r="K65" s="688"/>
      <c r="L65" s="688"/>
      <c r="M65" s="688"/>
      <c r="N65" s="688">
        <v>9.7100000000000009</v>
      </c>
      <c r="O65" s="1238"/>
      <c r="P65" s="688"/>
      <c r="Q65" s="1088"/>
      <c r="R65" s="1083"/>
      <c r="S65" s="397"/>
      <c r="T65" s="250"/>
      <c r="U65" s="250"/>
      <c r="V65" s="250"/>
      <c r="W65" s="67">
        <v>28</v>
      </c>
      <c r="X65" s="250">
        <v>382.4</v>
      </c>
      <c r="Y65" s="67">
        <v>11</v>
      </c>
      <c r="Z65" s="343">
        <v>130.5</v>
      </c>
      <c r="AB65" s="3">
        <v>1</v>
      </c>
      <c r="AE65" s="2461"/>
      <c r="AF65" s="68"/>
      <c r="AK65" s="2815" t="s">
        <v>11233</v>
      </c>
      <c r="AL65" s="2579">
        <f>SUMIFS(P30:P973,F30:F973,5,G30:G973,5)+SUMIFS(Q30:Q973,F30:F973,5,G30:G973,5)</f>
        <v>44.278000000000006</v>
      </c>
      <c r="AM65" s="2817"/>
    </row>
    <row r="66" spans="1:39" ht="30.5" x14ac:dyDescent="0.35">
      <c r="A66" s="698">
        <v>24</v>
      </c>
      <c r="B66" s="693">
        <v>10903</v>
      </c>
      <c r="C66" s="693"/>
      <c r="D66" s="2469" t="s">
        <v>5279</v>
      </c>
      <c r="E66" s="269" t="s">
        <v>7802</v>
      </c>
      <c r="F66" s="92" t="s">
        <v>827</v>
      </c>
      <c r="G66" s="92">
        <v>5</v>
      </c>
      <c r="H66" s="92">
        <v>6</v>
      </c>
      <c r="I66" s="688">
        <f t="shared" si="10"/>
        <v>1.17</v>
      </c>
      <c r="J66" s="688">
        <f t="shared" si="11"/>
        <v>1.17</v>
      </c>
      <c r="K66" s="688"/>
      <c r="L66" s="688"/>
      <c r="M66" s="688"/>
      <c r="N66" s="688">
        <v>1.17</v>
      </c>
      <c r="O66" s="1238"/>
      <c r="P66" s="688"/>
      <c r="Q66" s="1088"/>
      <c r="R66" s="1083"/>
      <c r="S66" s="397"/>
      <c r="T66" s="250"/>
      <c r="U66" s="250"/>
      <c r="V66" s="250"/>
      <c r="W66" s="67">
        <v>5</v>
      </c>
      <c r="X66" s="250">
        <v>45</v>
      </c>
      <c r="Y66" s="67">
        <v>4</v>
      </c>
      <c r="Z66" s="343">
        <v>35</v>
      </c>
      <c r="AB66" s="3">
        <v>1</v>
      </c>
      <c r="AE66" s="2461"/>
      <c r="AF66" s="68"/>
      <c r="AK66" s="2815" t="s">
        <v>910</v>
      </c>
      <c r="AL66" s="2579">
        <f>SUMIFS(R30:R973,F30:F973,5,G30:G973,5)</f>
        <v>0</v>
      </c>
      <c r="AM66" s="2817"/>
    </row>
    <row r="67" spans="1:39" ht="30.5" x14ac:dyDescent="0.35">
      <c r="A67" s="2001">
        <v>25</v>
      </c>
      <c r="B67" s="693">
        <v>10903</v>
      </c>
      <c r="C67" s="358" t="s">
        <v>1656</v>
      </c>
      <c r="D67" s="2469" t="s">
        <v>5280</v>
      </c>
      <c r="E67" s="269" t="s">
        <v>8675</v>
      </c>
      <c r="F67" s="92" t="s">
        <v>1490</v>
      </c>
      <c r="G67" s="92">
        <v>5</v>
      </c>
      <c r="H67" s="92">
        <v>6</v>
      </c>
      <c r="I67" s="297">
        <f t="shared" si="10"/>
        <v>0.7</v>
      </c>
      <c r="J67" s="297">
        <f t="shared" si="11"/>
        <v>0.7</v>
      </c>
      <c r="K67" s="622"/>
      <c r="L67" s="622"/>
      <c r="M67" s="622"/>
      <c r="N67" s="622"/>
      <c r="O67" s="622"/>
      <c r="P67" s="622"/>
      <c r="Q67" s="622"/>
      <c r="R67" s="906">
        <v>0.7</v>
      </c>
      <c r="S67" s="106"/>
      <c r="T67" s="106"/>
      <c r="U67" s="106"/>
      <c r="V67" s="106"/>
      <c r="W67" s="105"/>
      <c r="X67" s="105"/>
      <c r="Y67" s="105"/>
      <c r="Z67" s="2389"/>
      <c r="AB67" s="3">
        <v>1</v>
      </c>
      <c r="AE67" s="2461"/>
      <c r="AF67" s="68"/>
      <c r="AK67" s="2818" t="s">
        <v>11234</v>
      </c>
      <c r="AL67" s="2821">
        <f>AL68+AL69+AL70+AL71+AL72</f>
        <v>78.27600000000001</v>
      </c>
      <c r="AM67" s="2820">
        <f>AL67-AH31-AI31-AJ31</f>
        <v>0</v>
      </c>
    </row>
    <row r="68" spans="1:39" ht="30.5" x14ac:dyDescent="0.35">
      <c r="A68" s="698">
        <v>26</v>
      </c>
      <c r="B68" s="1144">
        <v>10903</v>
      </c>
      <c r="C68" s="1144" t="s">
        <v>1656</v>
      </c>
      <c r="D68" s="2469" t="s">
        <v>5281</v>
      </c>
      <c r="E68" s="394" t="s">
        <v>9267</v>
      </c>
      <c r="F68" s="92" t="s">
        <v>1490</v>
      </c>
      <c r="G68" s="92">
        <v>5</v>
      </c>
      <c r="H68" s="92">
        <v>6</v>
      </c>
      <c r="I68" s="688">
        <f t="shared" si="10"/>
        <v>0.1</v>
      </c>
      <c r="J68" s="688">
        <f t="shared" si="11"/>
        <v>0.1</v>
      </c>
      <c r="K68" s="691"/>
      <c r="L68" s="691"/>
      <c r="M68" s="691"/>
      <c r="N68" s="691"/>
      <c r="O68" s="1239"/>
      <c r="P68" s="691"/>
      <c r="Q68" s="1090"/>
      <c r="R68" s="1083">
        <v>0.1</v>
      </c>
      <c r="S68" s="398"/>
      <c r="T68" s="254"/>
      <c r="U68" s="254"/>
      <c r="V68" s="254"/>
      <c r="W68" s="67">
        <v>1</v>
      </c>
      <c r="X68" s="250">
        <v>10</v>
      </c>
      <c r="Y68" s="67">
        <v>1</v>
      </c>
      <c r="Z68" s="343">
        <v>10</v>
      </c>
      <c r="AB68" s="3">
        <v>1</v>
      </c>
      <c r="AE68" s="2461"/>
      <c r="AF68" s="68"/>
      <c r="AK68" s="2815" t="s">
        <v>11230</v>
      </c>
      <c r="AL68" s="2579">
        <f>SUMIFS(M30:M973,F30:F973,"6а",G30:G973,5)+SUMIFS(M30:M973,F30:F973,"6б",G30:G973,5)+SUMIFS(M30:M973,F30:F973,"б/к",G30:G973,5)</f>
        <v>0</v>
      </c>
      <c r="AM68" s="2817"/>
    </row>
    <row r="69" spans="1:39" ht="30.5" x14ac:dyDescent="0.35">
      <c r="A69" s="2001">
        <v>27</v>
      </c>
      <c r="B69" s="693">
        <v>10903</v>
      </c>
      <c r="C69" s="358" t="s">
        <v>1656</v>
      </c>
      <c r="D69" s="2469" t="s">
        <v>5282</v>
      </c>
      <c r="E69" s="269" t="s">
        <v>9268</v>
      </c>
      <c r="F69" s="92"/>
      <c r="G69" s="92" t="s">
        <v>191</v>
      </c>
      <c r="H69" s="92" t="s">
        <v>191</v>
      </c>
      <c r="I69" s="297">
        <f t="shared" si="10"/>
        <v>1.1200000000000001</v>
      </c>
      <c r="J69" s="297">
        <f t="shared" si="11"/>
        <v>0.32000000000000006</v>
      </c>
      <c r="K69" s="688"/>
      <c r="L69" s="688">
        <f>SUM(L70:L71)</f>
        <v>0.8</v>
      </c>
      <c r="M69" s="688"/>
      <c r="N69" s="688"/>
      <c r="O69" s="2386"/>
      <c r="P69" s="688"/>
      <c r="Q69" s="2387"/>
      <c r="R69" s="2388">
        <f>SUM(R70:R71)</f>
        <v>0.32000000000000006</v>
      </c>
      <c r="S69" s="397"/>
      <c r="T69" s="250"/>
      <c r="U69" s="250"/>
      <c r="V69" s="250"/>
      <c r="W69" s="67"/>
      <c r="X69" s="250"/>
      <c r="Y69" s="67"/>
      <c r="Z69" s="343"/>
      <c r="AB69" s="3">
        <v>1</v>
      </c>
      <c r="AE69" s="2461"/>
      <c r="AF69" s="68"/>
      <c r="AK69" s="2815" t="s">
        <v>11231</v>
      </c>
      <c r="AL69" s="2579">
        <f>SUMIFS(N30:N973,F30:F973,"6а",G30:G973,5)+SUMIFS(N30:N973,F30:F973,"6б",G30:G973,5)+SUMIFS(N30:N973,F30:F973,"б/к",G30:G973,5)</f>
        <v>4.8460000000000001</v>
      </c>
      <c r="AM69" s="2817"/>
    </row>
    <row r="70" spans="1:39" x14ac:dyDescent="0.35">
      <c r="A70" s="2001"/>
      <c r="B70" s="693"/>
      <c r="C70" s="358"/>
      <c r="D70" s="2469"/>
      <c r="E70" s="324" t="s">
        <v>7153</v>
      </c>
      <c r="F70" s="92" t="s">
        <v>1490</v>
      </c>
      <c r="G70" s="92">
        <v>5</v>
      </c>
      <c r="H70" s="92">
        <v>6</v>
      </c>
      <c r="I70" s="298"/>
      <c r="J70" s="298"/>
      <c r="K70" s="691"/>
      <c r="L70" s="691">
        <v>0.8</v>
      </c>
      <c r="M70" s="691"/>
      <c r="N70" s="691"/>
      <c r="O70" s="2284"/>
      <c r="P70" s="691"/>
      <c r="Q70" s="2285"/>
      <c r="R70" s="2286"/>
      <c r="S70" s="397"/>
      <c r="T70" s="250"/>
      <c r="U70" s="250"/>
      <c r="V70" s="250"/>
      <c r="W70" s="67"/>
      <c r="X70" s="250"/>
      <c r="Y70" s="67"/>
      <c r="Z70" s="343"/>
      <c r="AE70" s="2461"/>
      <c r="AF70" s="68"/>
      <c r="AK70" s="2815" t="s">
        <v>11232</v>
      </c>
      <c r="AL70" s="2579">
        <f>SUMIFS(O30:O973,F30:F973,"6а",G30:G973,5)+SUMIFS(O30:O973,F30:F973,"6б",G30:G973,5)+SUMIFS(O30:O973,F30:F973,"б/к",G30:G973,5)</f>
        <v>4.43</v>
      </c>
      <c r="AM70" s="2817"/>
    </row>
    <row r="71" spans="1:39" x14ac:dyDescent="0.35">
      <c r="A71" s="2001"/>
      <c r="B71" s="693"/>
      <c r="C71" s="358"/>
      <c r="D71" s="2469"/>
      <c r="E71" s="878" t="s">
        <v>7154</v>
      </c>
      <c r="F71" s="92" t="s">
        <v>1490</v>
      </c>
      <c r="G71" s="92">
        <v>5</v>
      </c>
      <c r="H71" s="92">
        <v>6</v>
      </c>
      <c r="I71" s="298"/>
      <c r="J71" s="298"/>
      <c r="K71" s="691"/>
      <c r="L71" s="691"/>
      <c r="M71" s="691"/>
      <c r="N71" s="691"/>
      <c r="O71" s="2284"/>
      <c r="P71" s="691"/>
      <c r="Q71" s="2285"/>
      <c r="R71" s="2286">
        <f>1.12-0.8</f>
        <v>0.32000000000000006</v>
      </c>
      <c r="S71" s="397"/>
      <c r="T71" s="250"/>
      <c r="U71" s="250"/>
      <c r="V71" s="250"/>
      <c r="W71" s="67"/>
      <c r="X71" s="250"/>
      <c r="Y71" s="67"/>
      <c r="Z71" s="343"/>
      <c r="AE71" s="2461"/>
      <c r="AF71" s="68"/>
      <c r="AK71" s="2815" t="s">
        <v>11233</v>
      </c>
      <c r="AL71" s="2579">
        <f>SUMIFS(P30:P973,F30:F973,"6а",G30:G973,5)+SUMIFS(Q30:Q973,F30:F973,"6а",G30:G973,5)+SUMIFS(P30:P973,F30:F973,"6б",G30:G973,5)+SUMIFS(Q30:Q973,F30:F973,"6б",G30:G973,5)+SUMIFS(P30:P973,F30:F973,"б/к",G30:G973,5)+SUMIFS(Q30:Q973,F30:F973,"б/к",G30:G973,5)</f>
        <v>0.96</v>
      </c>
      <c r="AM71" s="2817"/>
    </row>
    <row r="72" spans="1:39" ht="30.5" x14ac:dyDescent="0.35">
      <c r="A72" s="698">
        <v>28</v>
      </c>
      <c r="B72" s="693">
        <v>10903</v>
      </c>
      <c r="C72" s="358" t="s">
        <v>1656</v>
      </c>
      <c r="D72" s="2469" t="s">
        <v>5283</v>
      </c>
      <c r="E72" s="269" t="s">
        <v>8676</v>
      </c>
      <c r="F72" s="92" t="s">
        <v>1490</v>
      </c>
      <c r="G72" s="92">
        <v>5</v>
      </c>
      <c r="H72" s="92">
        <v>6</v>
      </c>
      <c r="I72" s="297">
        <f t="shared" si="10"/>
        <v>0.3</v>
      </c>
      <c r="J72" s="297">
        <f t="shared" si="11"/>
        <v>0.3</v>
      </c>
      <c r="K72" s="688"/>
      <c r="L72" s="688"/>
      <c r="M72" s="688"/>
      <c r="N72" s="688"/>
      <c r="O72" s="2386"/>
      <c r="P72" s="688"/>
      <c r="Q72" s="2387"/>
      <c r="R72" s="2388">
        <v>0.3</v>
      </c>
      <c r="S72" s="397"/>
      <c r="T72" s="250"/>
      <c r="U72" s="250"/>
      <c r="V72" s="250"/>
      <c r="W72" s="67"/>
      <c r="X72" s="250"/>
      <c r="Y72" s="67"/>
      <c r="Z72" s="343"/>
      <c r="AB72" s="3">
        <v>1</v>
      </c>
      <c r="AE72" s="2461"/>
      <c r="AF72" s="68"/>
      <c r="AK72" s="2815" t="s">
        <v>910</v>
      </c>
      <c r="AL72" s="2579">
        <f>SUMIFS(R30:R973,F30:F973,"6а",G30:G973,5)+SUMIFS(R30:R973,F30:F973,"6б",G30:G973,5)+SUMIFS(R30:R973,F30:F973,"б/к",G30:G973,5)</f>
        <v>68.040000000000006</v>
      </c>
      <c r="AM72" s="2817"/>
    </row>
    <row r="73" spans="1:39" x14ac:dyDescent="0.35">
      <c r="A73" s="2001">
        <v>29</v>
      </c>
      <c r="B73" s="693">
        <v>10904</v>
      </c>
      <c r="C73" s="693"/>
      <c r="D73" s="693" t="s">
        <v>988</v>
      </c>
      <c r="E73" s="269" t="s">
        <v>3444</v>
      </c>
      <c r="F73" s="92"/>
      <c r="G73" s="92" t="s">
        <v>191</v>
      </c>
      <c r="H73" s="92" t="s">
        <v>191</v>
      </c>
      <c r="I73" s="688">
        <f t="shared" si="10"/>
        <v>4.79</v>
      </c>
      <c r="J73" s="688">
        <f t="shared" si="11"/>
        <v>4.79</v>
      </c>
      <c r="K73" s="688"/>
      <c r="L73" s="688"/>
      <c r="M73" s="688"/>
      <c r="N73" s="688">
        <f>SUM(N74:N76)</f>
        <v>0.16500000000000015</v>
      </c>
      <c r="O73" s="1238"/>
      <c r="P73" s="688"/>
      <c r="Q73" s="1088">
        <f>SUM(Q74:Q76)</f>
        <v>4.625</v>
      </c>
      <c r="R73" s="1083"/>
      <c r="S73" s="397"/>
      <c r="T73" s="250"/>
      <c r="U73" s="250"/>
      <c r="V73" s="250"/>
      <c r="W73" s="67">
        <v>14</v>
      </c>
      <c r="X73" s="250">
        <v>158.600006103515</v>
      </c>
      <c r="Y73" s="67">
        <v>9</v>
      </c>
      <c r="Z73" s="343">
        <v>93.599998474121094</v>
      </c>
      <c r="AB73" s="3">
        <v>1</v>
      </c>
      <c r="AE73" s="2461"/>
      <c r="AF73" s="68"/>
      <c r="AK73" s="2815"/>
      <c r="AL73" s="2579"/>
      <c r="AM73" s="2817"/>
    </row>
    <row r="74" spans="1:39" x14ac:dyDescent="0.35">
      <c r="A74" s="2001"/>
      <c r="B74" s="693">
        <v>10904</v>
      </c>
      <c r="C74" s="693"/>
      <c r="D74" s="693"/>
      <c r="E74" s="324" t="s">
        <v>358</v>
      </c>
      <c r="F74" s="92">
        <v>4</v>
      </c>
      <c r="G74" s="92">
        <v>5</v>
      </c>
      <c r="H74" s="92">
        <v>6</v>
      </c>
      <c r="I74" s="691"/>
      <c r="J74" s="691"/>
      <c r="K74" s="691"/>
      <c r="L74" s="691"/>
      <c r="M74" s="691"/>
      <c r="N74" s="691">
        <f>0.138</f>
        <v>0.13800000000000001</v>
      </c>
      <c r="O74" s="2284"/>
      <c r="P74" s="691"/>
      <c r="Q74" s="2285"/>
      <c r="R74" s="2286"/>
      <c r="S74" s="397"/>
      <c r="T74" s="250"/>
      <c r="U74" s="250"/>
      <c r="V74" s="250"/>
      <c r="W74" s="67"/>
      <c r="X74" s="250"/>
      <c r="Y74" s="67"/>
      <c r="Z74" s="343"/>
      <c r="AE74" s="2461"/>
      <c r="AF74" s="68"/>
      <c r="AK74" s="2822" t="s">
        <v>11237</v>
      </c>
      <c r="AL74" s="2823">
        <f>AL11+AL32+AL53</f>
        <v>383.42700000000002</v>
      </c>
      <c r="AM74" s="2824">
        <f>AL74-J10</f>
        <v>0</v>
      </c>
    </row>
    <row r="75" spans="1:39" x14ac:dyDescent="0.35">
      <c r="A75" s="2001"/>
      <c r="B75" s="693">
        <v>10904</v>
      </c>
      <c r="C75" s="693"/>
      <c r="D75" s="693"/>
      <c r="E75" s="900" t="s">
        <v>359</v>
      </c>
      <c r="F75" s="92">
        <v>4</v>
      </c>
      <c r="G75" s="92">
        <v>5</v>
      </c>
      <c r="H75" s="92">
        <v>6</v>
      </c>
      <c r="I75" s="691"/>
      <c r="J75" s="691"/>
      <c r="K75" s="691"/>
      <c r="L75" s="691"/>
      <c r="M75" s="691"/>
      <c r="N75" s="691"/>
      <c r="O75" s="2284"/>
      <c r="P75" s="691"/>
      <c r="Q75" s="2285">
        <f>4.763-0.138</f>
        <v>4.625</v>
      </c>
      <c r="R75" s="2286"/>
      <c r="S75" s="397"/>
      <c r="T75" s="250"/>
      <c r="U75" s="250"/>
      <c r="V75" s="250"/>
      <c r="W75" s="67"/>
      <c r="X75" s="250"/>
      <c r="Y75" s="67"/>
      <c r="Z75" s="343"/>
      <c r="AE75" s="2461"/>
      <c r="AF75" s="68"/>
      <c r="AK75" s="2825" t="s">
        <v>11238</v>
      </c>
      <c r="AL75" s="2826">
        <f>AL34+AL55+AL13</f>
        <v>229.649</v>
      </c>
      <c r="AM75" s="2827">
        <f>AL75-J12</f>
        <v>0</v>
      </c>
    </row>
    <row r="76" spans="1:39" x14ac:dyDescent="0.35">
      <c r="A76" s="2001"/>
      <c r="B76" s="693">
        <v>10904</v>
      </c>
      <c r="C76" s="693"/>
      <c r="D76" s="693"/>
      <c r="E76" s="324" t="s">
        <v>360</v>
      </c>
      <c r="F76" s="92">
        <v>4</v>
      </c>
      <c r="G76" s="92">
        <v>5</v>
      </c>
      <c r="H76" s="92">
        <v>6</v>
      </c>
      <c r="I76" s="691"/>
      <c r="J76" s="691"/>
      <c r="K76" s="691"/>
      <c r="L76" s="691"/>
      <c r="M76" s="691"/>
      <c r="N76" s="691">
        <f>4.79-4.763</f>
        <v>2.7000000000000135E-2</v>
      </c>
      <c r="O76" s="2284"/>
      <c r="P76" s="691"/>
      <c r="Q76" s="2285"/>
      <c r="R76" s="2286"/>
      <c r="S76" s="397"/>
      <c r="T76" s="250"/>
      <c r="U76" s="250"/>
      <c r="V76" s="250"/>
      <c r="W76" s="67"/>
      <c r="X76" s="250"/>
      <c r="Y76" s="67"/>
      <c r="Z76" s="343"/>
      <c r="AE76" s="2461"/>
      <c r="AF76" s="68"/>
      <c r="AK76" s="2828" t="s">
        <v>11239</v>
      </c>
      <c r="AL76" s="2826">
        <f>AL19+AL40+AL61</f>
        <v>72.519000000000005</v>
      </c>
      <c r="AM76" s="2827">
        <f>AL76-J13</f>
        <v>0</v>
      </c>
    </row>
    <row r="77" spans="1:39" ht="30.5" x14ac:dyDescent="0.35">
      <c r="A77" s="698">
        <v>30</v>
      </c>
      <c r="B77" s="693">
        <v>10904</v>
      </c>
      <c r="C77" s="693"/>
      <c r="D77" s="2469" t="s">
        <v>5284</v>
      </c>
      <c r="E77" s="269" t="s">
        <v>7803</v>
      </c>
      <c r="F77" s="92" t="s">
        <v>827</v>
      </c>
      <c r="G77" s="92">
        <v>5</v>
      </c>
      <c r="H77" s="92">
        <v>6</v>
      </c>
      <c r="I77" s="688">
        <f>J77+K77+L77</f>
        <v>2.1800000000000002</v>
      </c>
      <c r="J77" s="688">
        <f>SUM(M77:R77)</f>
        <v>2.1800000000000002</v>
      </c>
      <c r="K77" s="688"/>
      <c r="L77" s="688"/>
      <c r="M77" s="688"/>
      <c r="N77" s="688"/>
      <c r="O77" s="1238"/>
      <c r="P77" s="688"/>
      <c r="Q77" s="1088"/>
      <c r="R77" s="1083">
        <v>2.1800000000000002</v>
      </c>
      <c r="S77" s="397"/>
      <c r="T77" s="250"/>
      <c r="U77" s="250"/>
      <c r="V77" s="250"/>
      <c r="W77" s="67">
        <v>1</v>
      </c>
      <c r="X77" s="250">
        <v>10</v>
      </c>
      <c r="Y77" s="67"/>
      <c r="Z77" s="343"/>
      <c r="AB77" s="3">
        <v>1</v>
      </c>
      <c r="AE77" s="2461"/>
      <c r="AF77" s="68"/>
      <c r="AK77" s="2828" t="s">
        <v>11240</v>
      </c>
      <c r="AL77" s="2826">
        <f>AL25+AL46+AL67</f>
        <v>81.259000000000015</v>
      </c>
      <c r="AM77" s="2827">
        <f>AL77-J14</f>
        <v>0</v>
      </c>
    </row>
    <row r="78" spans="1:39" ht="45.5" x14ac:dyDescent="0.35">
      <c r="A78" s="2001">
        <v>31</v>
      </c>
      <c r="B78" s="693">
        <v>10904</v>
      </c>
      <c r="C78" s="358" t="s">
        <v>1656</v>
      </c>
      <c r="D78" s="2469" t="s">
        <v>5285</v>
      </c>
      <c r="E78" s="269" t="s">
        <v>8677</v>
      </c>
      <c r="F78" s="92" t="s">
        <v>1490</v>
      </c>
      <c r="G78" s="92">
        <v>5</v>
      </c>
      <c r="H78" s="92">
        <v>6</v>
      </c>
      <c r="I78" s="297">
        <f>J78+K78+L78</f>
        <v>0.4</v>
      </c>
      <c r="J78" s="297">
        <f>SUM(M78:R78)</f>
        <v>0.4</v>
      </c>
      <c r="K78" s="688"/>
      <c r="L78" s="688"/>
      <c r="M78" s="688"/>
      <c r="N78" s="688"/>
      <c r="O78" s="2386"/>
      <c r="P78" s="688"/>
      <c r="Q78" s="2387"/>
      <c r="R78" s="2388">
        <v>0.4</v>
      </c>
      <c r="S78" s="397"/>
      <c r="T78" s="250"/>
      <c r="U78" s="250"/>
      <c r="V78" s="250"/>
      <c r="W78" s="67"/>
      <c r="X78" s="250"/>
      <c r="Y78" s="67"/>
      <c r="Z78" s="343"/>
      <c r="AB78" s="3">
        <v>1</v>
      </c>
      <c r="AE78" s="2461"/>
      <c r="AF78" s="68"/>
    </row>
    <row r="79" spans="1:39" x14ac:dyDescent="0.35">
      <c r="A79" s="698">
        <v>32</v>
      </c>
      <c r="B79" s="693">
        <v>10905</v>
      </c>
      <c r="C79" s="693"/>
      <c r="D79" s="693" t="s">
        <v>1185</v>
      </c>
      <c r="E79" s="269" t="s">
        <v>3340</v>
      </c>
      <c r="F79" s="92"/>
      <c r="G79" s="92" t="s">
        <v>191</v>
      </c>
      <c r="H79" s="92" t="s">
        <v>191</v>
      </c>
      <c r="I79" s="688">
        <f>J79+K79+L79</f>
        <v>13.18</v>
      </c>
      <c r="J79" s="2870">
        <f>SUM(M79:R79)</f>
        <v>13.161999999999999</v>
      </c>
      <c r="K79" s="690"/>
      <c r="L79" s="2870">
        <f>SUM(L80:L85)</f>
        <v>1.7999999999999999E-2</v>
      </c>
      <c r="M79" s="688"/>
      <c r="N79" s="2870">
        <f>SUM(N80:N85)</f>
        <v>10.309000000000001</v>
      </c>
      <c r="O79" s="1238"/>
      <c r="P79" s="688"/>
      <c r="Q79" s="1088">
        <f>SUM(Q80:Q85)</f>
        <v>2.8529999999999989</v>
      </c>
      <c r="R79" s="1083"/>
      <c r="S79" s="397">
        <f>1</f>
        <v>1</v>
      </c>
      <c r="T79" s="250">
        <f>9.6</f>
        <v>9.6</v>
      </c>
      <c r="U79" s="250"/>
      <c r="V79" s="250"/>
      <c r="W79" s="2830">
        <v>25</v>
      </c>
      <c r="X79" s="2533">
        <v>321.2</v>
      </c>
      <c r="Y79" s="2830">
        <v>9</v>
      </c>
      <c r="Z79" s="2831">
        <v>76.2</v>
      </c>
      <c r="AB79" s="3">
        <v>1</v>
      </c>
      <c r="AE79" s="2461"/>
      <c r="AF79" s="68"/>
    </row>
    <row r="80" spans="1:39" ht="46.5" x14ac:dyDescent="0.35">
      <c r="A80" s="525"/>
      <c r="B80" s="693">
        <v>10905</v>
      </c>
      <c r="C80" s="693"/>
      <c r="D80" s="693"/>
      <c r="E80" s="2907" t="s">
        <v>11473</v>
      </c>
      <c r="F80" s="92">
        <v>4</v>
      </c>
      <c r="G80" s="92">
        <v>4</v>
      </c>
      <c r="H80" s="92" t="s">
        <v>191</v>
      </c>
      <c r="I80" s="691"/>
      <c r="J80" s="691"/>
      <c r="K80" s="690"/>
      <c r="L80" s="2835">
        <v>1.7999999999999999E-2</v>
      </c>
      <c r="M80" s="688"/>
      <c r="N80" s="2870"/>
      <c r="O80" s="1238"/>
      <c r="P80" s="688"/>
      <c r="Q80" s="1088"/>
      <c r="R80" s="1083"/>
      <c r="S80" s="397"/>
      <c r="T80" s="250"/>
      <c r="U80" s="250"/>
      <c r="V80" s="250"/>
      <c r="W80" s="67"/>
      <c r="X80" s="250"/>
      <c r="Y80" s="67"/>
      <c r="Z80" s="343"/>
      <c r="AE80" s="2461"/>
      <c r="AF80" s="68"/>
    </row>
    <row r="81" spans="1:32" ht="46.5" x14ac:dyDescent="0.35">
      <c r="A81" s="525"/>
      <c r="B81" s="693"/>
      <c r="C81" s="693"/>
      <c r="D81" s="693"/>
      <c r="E81" s="324" t="s">
        <v>11478</v>
      </c>
      <c r="F81" s="92"/>
      <c r="G81" s="92" t="s">
        <v>191</v>
      </c>
      <c r="H81" s="92" t="s">
        <v>191</v>
      </c>
      <c r="I81" s="691"/>
      <c r="J81" s="691"/>
      <c r="K81" s="690"/>
      <c r="L81" s="688"/>
      <c r="M81" s="688"/>
      <c r="N81" s="2870"/>
      <c r="O81" s="1238"/>
      <c r="P81" s="688"/>
      <c r="Q81" s="1088"/>
      <c r="R81" s="1083"/>
      <c r="S81" s="397"/>
      <c r="T81" s="250"/>
      <c r="U81" s="250"/>
      <c r="V81" s="250"/>
      <c r="W81" s="67"/>
      <c r="X81" s="250"/>
      <c r="Y81" s="67"/>
      <c r="Z81" s="343"/>
      <c r="AE81" s="2461"/>
      <c r="AF81" s="68"/>
    </row>
    <row r="82" spans="1:32" x14ac:dyDescent="0.35">
      <c r="A82" s="525"/>
      <c r="B82" s="693">
        <v>10905</v>
      </c>
      <c r="C82" s="693"/>
      <c r="D82" s="693"/>
      <c r="E82" s="2907" t="s">
        <v>11474</v>
      </c>
      <c r="F82" s="92">
        <v>4</v>
      </c>
      <c r="G82" s="92">
        <v>4</v>
      </c>
      <c r="H82" s="92">
        <v>6</v>
      </c>
      <c r="I82" s="688"/>
      <c r="J82" s="688"/>
      <c r="K82" s="690"/>
      <c r="L82" s="688"/>
      <c r="M82" s="688"/>
      <c r="N82" s="2835">
        <f>6.421-0.018</f>
        <v>6.4030000000000005</v>
      </c>
      <c r="O82" s="1238"/>
      <c r="P82" s="688"/>
      <c r="Q82" s="1088"/>
      <c r="R82" s="1083"/>
      <c r="S82" s="397"/>
      <c r="T82" s="250"/>
      <c r="U82" s="250"/>
      <c r="V82" s="250"/>
      <c r="W82" s="67"/>
      <c r="X82" s="250"/>
      <c r="Y82" s="67"/>
      <c r="Z82" s="343"/>
      <c r="AE82" s="2461"/>
      <c r="AF82" s="68"/>
    </row>
    <row r="83" spans="1:32" x14ac:dyDescent="0.35">
      <c r="A83" s="525"/>
      <c r="B83" s="693">
        <v>10905</v>
      </c>
      <c r="C83" s="693"/>
      <c r="D83" s="693"/>
      <c r="E83" s="900" t="s">
        <v>11475</v>
      </c>
      <c r="F83" s="92">
        <v>4</v>
      </c>
      <c r="G83" s="92">
        <v>4</v>
      </c>
      <c r="H83" s="92">
        <v>6</v>
      </c>
      <c r="I83" s="688"/>
      <c r="J83" s="688"/>
      <c r="K83" s="690"/>
      <c r="L83" s="688"/>
      <c r="M83" s="688"/>
      <c r="N83" s="2870"/>
      <c r="O83" s="1238"/>
      <c r="P83" s="688"/>
      <c r="Q83" s="2285">
        <f>9.274-6.421</f>
        <v>2.8529999999999989</v>
      </c>
      <c r="R83" s="1083"/>
      <c r="S83" s="397"/>
      <c r="T83" s="250"/>
      <c r="U83" s="250"/>
      <c r="V83" s="250"/>
      <c r="W83" s="67"/>
      <c r="X83" s="250"/>
      <c r="Y83" s="67"/>
      <c r="Z83" s="343"/>
      <c r="AE83" s="2461"/>
      <c r="AF83" s="68"/>
    </row>
    <row r="84" spans="1:32" x14ac:dyDescent="0.35">
      <c r="A84" s="525"/>
      <c r="B84" s="693">
        <v>10905</v>
      </c>
      <c r="C84" s="693"/>
      <c r="D84" s="693"/>
      <c r="E84" s="2907" t="s">
        <v>11476</v>
      </c>
      <c r="F84" s="92">
        <v>4</v>
      </c>
      <c r="G84" s="92">
        <v>4</v>
      </c>
      <c r="H84" s="92">
        <v>6</v>
      </c>
      <c r="I84" s="688"/>
      <c r="J84" s="688"/>
      <c r="K84" s="690"/>
      <c r="L84" s="688"/>
      <c r="M84" s="688"/>
      <c r="N84" s="2835">
        <f>12.1-9.274</f>
        <v>2.8260000000000005</v>
      </c>
      <c r="O84" s="1238"/>
      <c r="P84" s="688"/>
      <c r="Q84" s="1088"/>
      <c r="R84" s="1083"/>
      <c r="S84" s="397"/>
      <c r="T84" s="250"/>
      <c r="U84" s="250"/>
      <c r="V84" s="250"/>
      <c r="W84" s="67"/>
      <c r="X84" s="250"/>
      <c r="Y84" s="67"/>
      <c r="Z84" s="343"/>
      <c r="AE84" s="2461"/>
      <c r="AF84" s="68"/>
    </row>
    <row r="85" spans="1:32" x14ac:dyDescent="0.35">
      <c r="A85" s="525"/>
      <c r="B85" s="693">
        <v>10905</v>
      </c>
      <c r="C85" s="693"/>
      <c r="D85" s="693"/>
      <c r="E85" s="2907" t="s">
        <v>11477</v>
      </c>
      <c r="F85" s="2872">
        <v>5</v>
      </c>
      <c r="G85" s="2872">
        <v>4</v>
      </c>
      <c r="H85" s="2872">
        <v>6</v>
      </c>
      <c r="I85" s="688"/>
      <c r="J85" s="688"/>
      <c r="K85" s="690"/>
      <c r="L85" s="688"/>
      <c r="M85" s="688"/>
      <c r="N85" s="2835">
        <f>13.18-12.1</f>
        <v>1.08</v>
      </c>
      <c r="O85" s="1238"/>
      <c r="P85" s="688"/>
      <c r="Q85" s="1088"/>
      <c r="R85" s="1083"/>
      <c r="S85" s="397"/>
      <c r="T85" s="250"/>
      <c r="U85" s="250"/>
      <c r="V85" s="250"/>
      <c r="W85" s="67"/>
      <c r="X85" s="250"/>
      <c r="Y85" s="67"/>
      <c r="Z85" s="343"/>
      <c r="AE85" s="2461"/>
      <c r="AF85" s="68"/>
    </row>
    <row r="86" spans="1:32" ht="45.5" x14ac:dyDescent="0.35">
      <c r="A86" s="525">
        <v>33</v>
      </c>
      <c r="B86" s="693">
        <v>10906</v>
      </c>
      <c r="C86" s="693"/>
      <c r="D86" s="693" t="s">
        <v>1186</v>
      </c>
      <c r="E86" s="269" t="s">
        <v>11406</v>
      </c>
      <c r="F86" s="92"/>
      <c r="G86" s="92" t="s">
        <v>191</v>
      </c>
      <c r="H86" s="92" t="s">
        <v>191</v>
      </c>
      <c r="I86" s="688">
        <f>J86+K86+L86</f>
        <v>10.436999999999999</v>
      </c>
      <c r="J86" s="688">
        <f>SUM(M86:R86)</f>
        <v>10.436999999999999</v>
      </c>
      <c r="K86" s="688"/>
      <c r="L86" s="688"/>
      <c r="M86" s="688"/>
      <c r="N86" s="688">
        <f>SUM(N87:N90)</f>
        <v>7.3010000000000002</v>
      </c>
      <c r="O86" s="1238"/>
      <c r="P86" s="688"/>
      <c r="Q86" s="1088">
        <f>SUM(Q87:Q90)</f>
        <v>2.3409999999999993</v>
      </c>
      <c r="R86" s="1083">
        <f>SUM(R87:R90)</f>
        <v>0.79499999999999993</v>
      </c>
      <c r="S86" s="397"/>
      <c r="T86" s="250"/>
      <c r="U86" s="250"/>
      <c r="V86" s="250"/>
      <c r="W86" s="67">
        <v>24</v>
      </c>
      <c r="X86" s="250">
        <v>305.60000000000002</v>
      </c>
      <c r="Y86" s="67">
        <v>11</v>
      </c>
      <c r="Z86" s="343">
        <v>110.4</v>
      </c>
      <c r="AB86" s="3">
        <v>1</v>
      </c>
      <c r="AE86" s="2461"/>
      <c r="AF86" s="68"/>
    </row>
    <row r="87" spans="1:32" x14ac:dyDescent="0.35">
      <c r="A87" s="694"/>
      <c r="B87" s="693">
        <v>10906</v>
      </c>
      <c r="C87" s="693"/>
      <c r="D87" s="695"/>
      <c r="E87" s="270" t="s">
        <v>11407</v>
      </c>
      <c r="F87" s="92">
        <v>4</v>
      </c>
      <c r="G87" s="92">
        <v>4</v>
      </c>
      <c r="H87" s="92">
        <v>6</v>
      </c>
      <c r="I87" s="691"/>
      <c r="J87" s="691"/>
      <c r="K87" s="691"/>
      <c r="L87" s="691"/>
      <c r="M87" s="691"/>
      <c r="N87" s="691">
        <v>7.3010000000000002</v>
      </c>
      <c r="O87" s="1239"/>
      <c r="P87" s="691"/>
      <c r="Q87" s="1090"/>
      <c r="R87" s="1085"/>
      <c r="S87" s="398"/>
      <c r="T87" s="254"/>
      <c r="U87" s="254"/>
      <c r="V87" s="254"/>
      <c r="W87" s="66"/>
      <c r="X87" s="254"/>
      <c r="Y87" s="66"/>
      <c r="Z87" s="344"/>
      <c r="AE87" s="2461"/>
      <c r="AF87" s="68"/>
    </row>
    <row r="88" spans="1:32" x14ac:dyDescent="0.35">
      <c r="A88" s="694"/>
      <c r="B88" s="693">
        <v>10906</v>
      </c>
      <c r="C88" s="693"/>
      <c r="D88" s="695"/>
      <c r="E88" s="900" t="s">
        <v>11327</v>
      </c>
      <c r="F88" s="92">
        <v>4</v>
      </c>
      <c r="G88" s="92">
        <v>4</v>
      </c>
      <c r="H88" s="92">
        <v>6</v>
      </c>
      <c r="I88" s="691"/>
      <c r="J88" s="691"/>
      <c r="K88" s="691"/>
      <c r="L88" s="691"/>
      <c r="M88" s="691"/>
      <c r="N88" s="691"/>
      <c r="O88" s="2743"/>
      <c r="P88" s="691"/>
      <c r="Q88" s="1090">
        <f>7.687-7.301</f>
        <v>0.38600000000000012</v>
      </c>
      <c r="R88" s="1085"/>
      <c r="S88" s="398"/>
      <c r="T88" s="254"/>
      <c r="U88" s="254"/>
      <c r="V88" s="254"/>
      <c r="W88" s="66"/>
      <c r="X88" s="254"/>
      <c r="Y88" s="66"/>
      <c r="Z88" s="344"/>
      <c r="AE88" s="2461"/>
      <c r="AF88" s="68"/>
    </row>
    <row r="89" spans="1:32" x14ac:dyDescent="0.35">
      <c r="A89" s="694"/>
      <c r="B89" s="693">
        <v>10906</v>
      </c>
      <c r="C89" s="693"/>
      <c r="D89" s="695"/>
      <c r="E89" s="900" t="s">
        <v>11328</v>
      </c>
      <c r="F89" s="92">
        <v>5</v>
      </c>
      <c r="G89" s="92">
        <v>4</v>
      </c>
      <c r="H89" s="92">
        <v>6</v>
      </c>
      <c r="I89" s="691"/>
      <c r="J89" s="691"/>
      <c r="K89" s="691"/>
      <c r="L89" s="691"/>
      <c r="M89" s="691"/>
      <c r="N89" s="691"/>
      <c r="O89" s="1239"/>
      <c r="P89" s="691"/>
      <c r="Q89" s="1090">
        <f>9.642-7.687</f>
        <v>1.9549999999999992</v>
      </c>
      <c r="R89" s="1085"/>
      <c r="S89" s="398"/>
      <c r="T89" s="254"/>
      <c r="U89" s="254"/>
      <c r="V89" s="254"/>
      <c r="W89" s="66"/>
      <c r="X89" s="254"/>
      <c r="Y89" s="66"/>
      <c r="Z89" s="344"/>
      <c r="AE89" s="2461"/>
      <c r="AF89" s="68"/>
    </row>
    <row r="90" spans="1:32" x14ac:dyDescent="0.35">
      <c r="A90" s="694"/>
      <c r="B90" s="693">
        <v>10906</v>
      </c>
      <c r="C90" s="693"/>
      <c r="D90" s="695" t="s">
        <v>1516</v>
      </c>
      <c r="E90" s="878" t="s">
        <v>11326</v>
      </c>
      <c r="F90" s="92" t="s">
        <v>1490</v>
      </c>
      <c r="G90" s="92">
        <v>4</v>
      </c>
      <c r="H90" s="92">
        <v>6</v>
      </c>
      <c r="I90" s="691"/>
      <c r="J90" s="691"/>
      <c r="K90" s="691"/>
      <c r="L90" s="691"/>
      <c r="M90" s="691"/>
      <c r="N90" s="691"/>
      <c r="O90" s="1239"/>
      <c r="P90" s="691"/>
      <c r="Q90" s="1090"/>
      <c r="R90" s="1085">
        <f>10.437-9.642</f>
        <v>0.79499999999999993</v>
      </c>
      <c r="S90" s="398"/>
      <c r="T90" s="254"/>
      <c r="U90" s="254"/>
      <c r="V90" s="254"/>
      <c r="W90" s="66"/>
      <c r="X90" s="254"/>
      <c r="Y90" s="66"/>
      <c r="Z90" s="344"/>
      <c r="AE90" s="2461"/>
      <c r="AF90" s="68"/>
    </row>
    <row r="91" spans="1:32" ht="45.5" x14ac:dyDescent="0.35">
      <c r="A91" s="525">
        <v>34</v>
      </c>
      <c r="B91" s="693">
        <v>10907</v>
      </c>
      <c r="C91" s="693"/>
      <c r="D91" s="693" t="s">
        <v>2792</v>
      </c>
      <c r="E91" s="269" t="s">
        <v>9950</v>
      </c>
      <c r="F91" s="92">
        <v>4</v>
      </c>
      <c r="G91" s="92">
        <v>4</v>
      </c>
      <c r="H91" s="92">
        <v>6</v>
      </c>
      <c r="I91" s="688">
        <f t="shared" ref="I91:I98" si="12">J91+K91+L91</f>
        <v>5.09</v>
      </c>
      <c r="J91" s="688">
        <f t="shared" ref="J91:J98" si="13">SUM(M91:R91)</f>
        <v>5.09</v>
      </c>
      <c r="K91" s="688"/>
      <c r="L91" s="688"/>
      <c r="M91" s="688"/>
      <c r="N91" s="688">
        <v>5.09</v>
      </c>
      <c r="O91" s="1238"/>
      <c r="P91" s="688"/>
      <c r="Q91" s="1088"/>
      <c r="R91" s="1083"/>
      <c r="S91" s="397"/>
      <c r="T91" s="250"/>
      <c r="U91" s="250"/>
      <c r="V91" s="250"/>
      <c r="W91" s="67">
        <v>16</v>
      </c>
      <c r="X91" s="250">
        <v>202.5</v>
      </c>
      <c r="Y91" s="67">
        <v>3</v>
      </c>
      <c r="Z91" s="343">
        <v>32.5</v>
      </c>
      <c r="AB91" s="3">
        <v>1</v>
      </c>
      <c r="AE91" s="2461"/>
      <c r="AF91" s="68"/>
    </row>
    <row r="92" spans="1:32" ht="60.5" x14ac:dyDescent="0.35">
      <c r="A92" s="698">
        <v>35</v>
      </c>
      <c r="B92" s="1144">
        <v>10907</v>
      </c>
      <c r="C92" s="1144" t="s">
        <v>1656</v>
      </c>
      <c r="D92" s="2469" t="s">
        <v>5286</v>
      </c>
      <c r="E92" s="394" t="s">
        <v>9951</v>
      </c>
      <c r="F92" s="92" t="s">
        <v>664</v>
      </c>
      <c r="G92" s="92">
        <v>5</v>
      </c>
      <c r="H92" s="92">
        <v>6</v>
      </c>
      <c r="I92" s="688">
        <f t="shared" si="12"/>
        <v>0.3</v>
      </c>
      <c r="J92" s="688">
        <f t="shared" si="13"/>
        <v>0.3</v>
      </c>
      <c r="K92" s="691"/>
      <c r="L92" s="691"/>
      <c r="M92" s="691"/>
      <c r="N92" s="691"/>
      <c r="O92" s="1239"/>
      <c r="P92" s="691"/>
      <c r="Q92" s="1090"/>
      <c r="R92" s="1083">
        <v>0.3</v>
      </c>
      <c r="S92" s="398"/>
      <c r="T92" s="92"/>
      <c r="U92" s="92"/>
      <c r="V92" s="92"/>
      <c r="W92" s="66"/>
      <c r="X92" s="92"/>
      <c r="Y92" s="66"/>
      <c r="Z92" s="342"/>
      <c r="AB92" s="3">
        <v>1</v>
      </c>
      <c r="AE92" s="2461"/>
      <c r="AF92" s="68"/>
    </row>
    <row r="93" spans="1:32" ht="60.5" x14ac:dyDescent="0.35">
      <c r="A93" s="525">
        <v>36</v>
      </c>
      <c r="B93" s="693">
        <v>10907</v>
      </c>
      <c r="C93" s="1144" t="s">
        <v>1656</v>
      </c>
      <c r="D93" s="2469" t="s">
        <v>5287</v>
      </c>
      <c r="E93" s="269" t="s">
        <v>9952</v>
      </c>
      <c r="F93" s="92" t="s">
        <v>664</v>
      </c>
      <c r="G93" s="92">
        <v>5</v>
      </c>
      <c r="H93" s="92">
        <v>6</v>
      </c>
      <c r="I93" s="702">
        <f>J93+K93+L93</f>
        <v>0.18</v>
      </c>
      <c r="J93" s="702">
        <f>SUM(M93:R93)</f>
        <v>0.18</v>
      </c>
      <c r="K93" s="622"/>
      <c r="L93" s="622"/>
      <c r="M93" s="622"/>
      <c r="N93" s="622"/>
      <c r="O93" s="622"/>
      <c r="P93" s="622"/>
      <c r="Q93" s="622"/>
      <c r="R93" s="906">
        <v>0.18</v>
      </c>
      <c r="S93" s="106"/>
      <c r="T93" s="106"/>
      <c r="U93" s="106"/>
      <c r="V93" s="106"/>
      <c r="W93" s="105"/>
      <c r="X93" s="105"/>
      <c r="Y93" s="105"/>
      <c r="Z93" s="105"/>
      <c r="AB93" s="3">
        <v>1</v>
      </c>
      <c r="AE93" s="2461"/>
      <c r="AF93" s="68"/>
    </row>
    <row r="94" spans="1:32" ht="60" x14ac:dyDescent="0.35">
      <c r="A94" s="698">
        <v>37</v>
      </c>
      <c r="B94" s="693">
        <v>10907</v>
      </c>
      <c r="C94" s="1144" t="s">
        <v>1656</v>
      </c>
      <c r="D94" s="2469" t="s">
        <v>5288</v>
      </c>
      <c r="E94" s="2187" t="s">
        <v>9953</v>
      </c>
      <c r="F94" s="92" t="s">
        <v>827</v>
      </c>
      <c r="G94" s="92">
        <v>5</v>
      </c>
      <c r="H94" s="92">
        <v>6</v>
      </c>
      <c r="I94" s="702">
        <f>J94+K94+L94</f>
        <v>0.25</v>
      </c>
      <c r="J94" s="702">
        <f>SUM(M94:R94)</f>
        <v>0.25</v>
      </c>
      <c r="K94" s="622"/>
      <c r="L94" s="622"/>
      <c r="M94" s="622"/>
      <c r="N94" s="622">
        <v>0.25</v>
      </c>
      <c r="O94" s="622"/>
      <c r="P94" s="622"/>
      <c r="Q94" s="622"/>
      <c r="R94" s="906"/>
      <c r="S94" s="106"/>
      <c r="T94" s="106"/>
      <c r="U94" s="106"/>
      <c r="V94" s="106"/>
      <c r="W94" s="105"/>
      <c r="X94" s="105"/>
      <c r="Y94" s="105"/>
      <c r="Z94" s="105"/>
      <c r="AB94" s="3">
        <v>1</v>
      </c>
      <c r="AE94" s="2461"/>
      <c r="AF94" s="68"/>
    </row>
    <row r="95" spans="1:32" x14ac:dyDescent="0.35">
      <c r="A95" s="525">
        <v>38</v>
      </c>
      <c r="B95" s="693">
        <v>10908</v>
      </c>
      <c r="C95" s="693"/>
      <c r="D95" s="693" t="s">
        <v>2995</v>
      </c>
      <c r="E95" s="269" t="s">
        <v>10705</v>
      </c>
      <c r="F95" s="92">
        <v>4</v>
      </c>
      <c r="G95" s="92">
        <v>4</v>
      </c>
      <c r="H95" s="92">
        <v>6</v>
      </c>
      <c r="I95" s="688">
        <f t="shared" si="12"/>
        <v>18.677</v>
      </c>
      <c r="J95" s="688">
        <f t="shared" si="13"/>
        <v>18.677</v>
      </c>
      <c r="K95" s="688"/>
      <c r="L95" s="688"/>
      <c r="M95" s="688"/>
      <c r="N95" s="688">
        <v>18.677</v>
      </c>
      <c r="O95" s="1238"/>
      <c r="P95" s="688"/>
      <c r="Q95" s="1088"/>
      <c r="R95" s="1083"/>
      <c r="S95" s="397"/>
      <c r="T95" s="250"/>
      <c r="U95" s="250"/>
      <c r="V95" s="250"/>
      <c r="W95" s="67">
        <v>36</v>
      </c>
      <c r="X95" s="250">
        <v>482.3</v>
      </c>
      <c r="Y95" s="67">
        <v>18</v>
      </c>
      <c r="Z95" s="343">
        <v>193.4</v>
      </c>
      <c r="AB95" s="3">
        <v>1</v>
      </c>
      <c r="AE95" s="2461"/>
      <c r="AF95" s="68"/>
    </row>
    <row r="96" spans="1:32" ht="30.5" x14ac:dyDescent="0.35">
      <c r="A96" s="698">
        <v>39</v>
      </c>
      <c r="B96" s="693">
        <v>10908</v>
      </c>
      <c r="C96" s="693"/>
      <c r="D96" s="2469" t="s">
        <v>5289</v>
      </c>
      <c r="E96" s="269" t="s">
        <v>10706</v>
      </c>
      <c r="F96" s="92" t="s">
        <v>1490</v>
      </c>
      <c r="G96" s="92">
        <v>5</v>
      </c>
      <c r="H96" s="92">
        <v>6</v>
      </c>
      <c r="I96" s="688">
        <f t="shared" si="12"/>
        <v>0.4</v>
      </c>
      <c r="J96" s="688">
        <f t="shared" si="13"/>
        <v>0.4</v>
      </c>
      <c r="K96" s="688"/>
      <c r="L96" s="688"/>
      <c r="M96" s="688"/>
      <c r="N96" s="688"/>
      <c r="O96" s="1238"/>
      <c r="P96" s="688"/>
      <c r="Q96" s="1088"/>
      <c r="R96" s="1083">
        <v>0.4</v>
      </c>
      <c r="S96" s="397"/>
      <c r="T96" s="250"/>
      <c r="U96" s="250"/>
      <c r="V96" s="250"/>
      <c r="W96" s="67"/>
      <c r="X96" s="250"/>
      <c r="Y96" s="67"/>
      <c r="Z96" s="343"/>
      <c r="AB96" s="3">
        <v>1</v>
      </c>
      <c r="AE96" s="2461"/>
      <c r="AF96" s="68"/>
    </row>
    <row r="97" spans="1:32" ht="30.5" x14ac:dyDescent="0.35">
      <c r="A97" s="525">
        <v>40</v>
      </c>
      <c r="B97" s="693">
        <v>10908</v>
      </c>
      <c r="C97" s="693"/>
      <c r="D97" s="2469" t="s">
        <v>5290</v>
      </c>
      <c r="E97" s="269" t="s">
        <v>10707</v>
      </c>
      <c r="F97" s="92" t="s">
        <v>1490</v>
      </c>
      <c r="G97" s="92">
        <v>5</v>
      </c>
      <c r="H97" s="92">
        <v>6</v>
      </c>
      <c r="I97" s="688">
        <f t="shared" si="12"/>
        <v>1.63</v>
      </c>
      <c r="J97" s="688">
        <f t="shared" si="13"/>
        <v>1.63</v>
      </c>
      <c r="K97" s="688"/>
      <c r="L97" s="688"/>
      <c r="M97" s="688"/>
      <c r="N97" s="688"/>
      <c r="O97" s="1238"/>
      <c r="P97" s="688"/>
      <c r="Q97" s="1088"/>
      <c r="R97" s="1083">
        <v>1.63</v>
      </c>
      <c r="S97" s="397"/>
      <c r="T97" s="250"/>
      <c r="U97" s="250"/>
      <c r="V97" s="250"/>
      <c r="W97" s="67">
        <v>2</v>
      </c>
      <c r="X97" s="250">
        <v>20</v>
      </c>
      <c r="Y97" s="67"/>
      <c r="Z97" s="343"/>
      <c r="AB97" s="3">
        <v>1</v>
      </c>
      <c r="AC97" s="62" t="s">
        <v>2130</v>
      </c>
      <c r="AD97" s="353">
        <v>36706</v>
      </c>
      <c r="AE97" s="2461"/>
      <c r="AF97" s="68"/>
    </row>
    <row r="98" spans="1:32" ht="30.5" x14ac:dyDescent="0.35">
      <c r="A98" s="698">
        <v>41</v>
      </c>
      <c r="B98" s="693">
        <v>10908</v>
      </c>
      <c r="C98" s="693"/>
      <c r="D98" s="2469" t="s">
        <v>5291</v>
      </c>
      <c r="E98" s="269" t="s">
        <v>10708</v>
      </c>
      <c r="F98" s="92"/>
      <c r="G98" s="92" t="s">
        <v>191</v>
      </c>
      <c r="H98" s="92" t="s">
        <v>191</v>
      </c>
      <c r="I98" s="688">
        <f t="shared" si="12"/>
        <v>1.4200000000000002</v>
      </c>
      <c r="J98" s="688">
        <f t="shared" si="13"/>
        <v>1.4200000000000002</v>
      </c>
      <c r="K98" s="688"/>
      <c r="L98" s="688"/>
      <c r="M98" s="688"/>
      <c r="N98" s="688"/>
      <c r="O98" s="1238"/>
      <c r="P98" s="688"/>
      <c r="Q98" s="1088">
        <f>SUM(Q99:Q100)</f>
        <v>1.1000000000000001</v>
      </c>
      <c r="R98" s="1083">
        <f>SUM(R99:R100)</f>
        <v>0.32</v>
      </c>
      <c r="S98" s="397"/>
      <c r="T98" s="250"/>
      <c r="U98" s="250"/>
      <c r="V98" s="250"/>
      <c r="W98" s="67">
        <v>7</v>
      </c>
      <c r="X98" s="250">
        <v>122.9</v>
      </c>
      <c r="Y98" s="67">
        <v>1</v>
      </c>
      <c r="Z98" s="343">
        <v>14</v>
      </c>
      <c r="AB98" s="3">
        <v>1</v>
      </c>
      <c r="AE98" s="2461"/>
      <c r="AF98" s="68"/>
    </row>
    <row r="99" spans="1:32" x14ac:dyDescent="0.35">
      <c r="A99" s="694"/>
      <c r="B99" s="693">
        <v>10908</v>
      </c>
      <c r="C99" s="693"/>
      <c r="D99" s="695"/>
      <c r="E99" s="900" t="s">
        <v>3164</v>
      </c>
      <c r="F99" s="92">
        <v>4</v>
      </c>
      <c r="G99" s="92">
        <v>5</v>
      </c>
      <c r="H99" s="92">
        <v>6</v>
      </c>
      <c r="I99" s="691"/>
      <c r="J99" s="691"/>
      <c r="K99" s="691"/>
      <c r="L99" s="691"/>
      <c r="M99" s="691"/>
      <c r="N99" s="691"/>
      <c r="O99" s="1239"/>
      <c r="P99" s="691"/>
      <c r="Q99" s="1090">
        <v>1.1000000000000001</v>
      </c>
      <c r="R99" s="1085" t="s">
        <v>2041</v>
      </c>
      <c r="S99" s="398"/>
      <c r="T99" s="254"/>
      <c r="U99" s="254"/>
      <c r="V99" s="254"/>
      <c r="W99" s="66"/>
      <c r="X99" s="254"/>
      <c r="Y99" s="66"/>
      <c r="Z99" s="344"/>
      <c r="AE99" s="2461"/>
      <c r="AF99" s="68"/>
    </row>
    <row r="100" spans="1:32" x14ac:dyDescent="0.35">
      <c r="A100" s="694"/>
      <c r="B100" s="693">
        <v>10908</v>
      </c>
      <c r="C100" s="693"/>
      <c r="D100" s="695"/>
      <c r="E100" s="878" t="s">
        <v>2042</v>
      </c>
      <c r="F100" s="92" t="s">
        <v>827</v>
      </c>
      <c r="G100" s="92">
        <v>5</v>
      </c>
      <c r="H100" s="92">
        <v>6</v>
      </c>
      <c r="I100" s="691"/>
      <c r="J100" s="691"/>
      <c r="K100" s="691"/>
      <c r="L100" s="691"/>
      <c r="M100" s="691"/>
      <c r="N100" s="691"/>
      <c r="O100" s="1239"/>
      <c r="P100" s="691"/>
      <c r="Q100" s="1090"/>
      <c r="R100" s="1085">
        <v>0.32</v>
      </c>
      <c r="S100" s="398"/>
      <c r="T100" s="254"/>
      <c r="U100" s="254"/>
      <c r="V100" s="254"/>
      <c r="W100" s="66"/>
      <c r="X100" s="254"/>
      <c r="Y100" s="66"/>
      <c r="Z100" s="344"/>
      <c r="AE100" s="2461"/>
      <c r="AF100" s="68"/>
    </row>
    <row r="101" spans="1:32" ht="45.5" x14ac:dyDescent="0.35">
      <c r="A101" s="698">
        <v>42</v>
      </c>
      <c r="B101" s="693">
        <v>10908</v>
      </c>
      <c r="C101" s="693"/>
      <c r="D101" s="2469" t="s">
        <v>7155</v>
      </c>
      <c r="E101" s="269" t="s">
        <v>10709</v>
      </c>
      <c r="F101" s="92" t="s">
        <v>827</v>
      </c>
      <c r="G101" s="92">
        <v>5</v>
      </c>
      <c r="H101" s="92">
        <v>6</v>
      </c>
      <c r="I101" s="688">
        <f>J101+K101+L101</f>
        <v>0.32</v>
      </c>
      <c r="J101" s="688">
        <f>SUM(M101:R101)</f>
        <v>0.32</v>
      </c>
      <c r="K101" s="688"/>
      <c r="L101" s="688"/>
      <c r="M101" s="688"/>
      <c r="N101" s="688"/>
      <c r="O101" s="1238"/>
      <c r="P101" s="688"/>
      <c r="Q101" s="1088"/>
      <c r="R101" s="1083">
        <v>0.32</v>
      </c>
      <c r="S101" s="397"/>
      <c r="T101" s="250"/>
      <c r="U101" s="250"/>
      <c r="V101" s="250"/>
      <c r="W101" s="67"/>
      <c r="X101" s="250"/>
      <c r="Y101" s="67"/>
      <c r="Z101" s="343"/>
      <c r="AB101" s="3">
        <v>1</v>
      </c>
      <c r="AE101" s="2461"/>
      <c r="AF101" s="68"/>
    </row>
    <row r="102" spans="1:32" ht="45.5" x14ac:dyDescent="0.35">
      <c r="A102" s="2001">
        <v>43</v>
      </c>
      <c r="B102" s="693">
        <v>10908</v>
      </c>
      <c r="C102" s="358" t="s">
        <v>1656</v>
      </c>
      <c r="D102" s="2469" t="s">
        <v>5292</v>
      </c>
      <c r="E102" s="269" t="s">
        <v>10710</v>
      </c>
      <c r="F102" s="92" t="s">
        <v>1490</v>
      </c>
      <c r="G102" s="92">
        <v>5</v>
      </c>
      <c r="H102" s="92">
        <v>6</v>
      </c>
      <c r="I102" s="297">
        <f>J102+K102+L102</f>
        <v>0.1</v>
      </c>
      <c r="J102" s="297">
        <f>SUM(M102:R102)</f>
        <v>0.1</v>
      </c>
      <c r="K102" s="688"/>
      <c r="L102" s="688"/>
      <c r="M102" s="688"/>
      <c r="N102" s="688"/>
      <c r="O102" s="2386"/>
      <c r="P102" s="688"/>
      <c r="Q102" s="2387"/>
      <c r="R102" s="2388">
        <v>0.1</v>
      </c>
      <c r="S102" s="397"/>
      <c r="T102" s="250"/>
      <c r="U102" s="250"/>
      <c r="V102" s="250"/>
      <c r="W102" s="67"/>
      <c r="X102" s="250"/>
      <c r="Y102" s="67"/>
      <c r="Z102" s="343"/>
      <c r="AB102" s="3">
        <v>1</v>
      </c>
      <c r="AE102" s="2461"/>
      <c r="AF102" s="68"/>
    </row>
    <row r="103" spans="1:32" ht="60.5" x14ac:dyDescent="0.35">
      <c r="A103" s="2001">
        <v>44</v>
      </c>
      <c r="B103" s="693">
        <v>10908</v>
      </c>
      <c r="C103" s="358" t="s">
        <v>1656</v>
      </c>
      <c r="D103" s="2469" t="s">
        <v>5293</v>
      </c>
      <c r="E103" s="269" t="s">
        <v>10711</v>
      </c>
      <c r="F103" s="92" t="s">
        <v>1490</v>
      </c>
      <c r="G103" s="92">
        <v>5</v>
      </c>
      <c r="H103" s="92">
        <v>6</v>
      </c>
      <c r="I103" s="297">
        <f>J103+K103+L103</f>
        <v>0.46200000000000002</v>
      </c>
      <c r="J103" s="297">
        <f>SUM(M103:R103)</f>
        <v>0.46200000000000002</v>
      </c>
      <c r="K103" s="688"/>
      <c r="L103" s="688"/>
      <c r="M103" s="688"/>
      <c r="N103" s="688"/>
      <c r="O103" s="2386"/>
      <c r="P103" s="688"/>
      <c r="Q103" s="2387"/>
      <c r="R103" s="2388">
        <v>0.46200000000000002</v>
      </c>
      <c r="S103" s="397"/>
      <c r="T103" s="250"/>
      <c r="U103" s="250"/>
      <c r="V103" s="250"/>
      <c r="W103" s="67"/>
      <c r="X103" s="250"/>
      <c r="Y103" s="67"/>
      <c r="Z103" s="343"/>
      <c r="AB103" s="3">
        <v>1</v>
      </c>
      <c r="AE103" s="2461"/>
      <c r="AF103" s="68"/>
    </row>
    <row r="104" spans="1:32" ht="30.5" x14ac:dyDescent="0.35">
      <c r="A104" s="525">
        <v>45</v>
      </c>
      <c r="B104" s="693">
        <v>10908</v>
      </c>
      <c r="C104" s="693"/>
      <c r="D104" s="2469" t="s">
        <v>5294</v>
      </c>
      <c r="E104" s="269" t="s">
        <v>10712</v>
      </c>
      <c r="F104" s="92"/>
      <c r="G104" s="92" t="s">
        <v>191</v>
      </c>
      <c r="H104" s="92" t="s">
        <v>191</v>
      </c>
      <c r="I104" s="688">
        <f>J104+K104+L104</f>
        <v>1.27</v>
      </c>
      <c r="J104" s="688">
        <f>SUM(M104:R104)</f>
        <v>1.27</v>
      </c>
      <c r="K104" s="688"/>
      <c r="L104" s="688"/>
      <c r="M104" s="688"/>
      <c r="N104" s="688">
        <f>SUM(N105:N106)</f>
        <v>0.78</v>
      </c>
      <c r="O104" s="1238"/>
      <c r="P104" s="688"/>
      <c r="Q104" s="1088"/>
      <c r="R104" s="1083">
        <f>SUM(R105:R106)</f>
        <v>0.49</v>
      </c>
      <c r="S104" s="397"/>
      <c r="T104" s="250"/>
      <c r="U104" s="250"/>
      <c r="V104" s="250"/>
      <c r="W104" s="67">
        <v>3</v>
      </c>
      <c r="X104" s="250">
        <v>30</v>
      </c>
      <c r="Y104" s="67"/>
      <c r="Z104" s="343"/>
      <c r="AB104" s="3">
        <v>1</v>
      </c>
      <c r="AE104" s="2461"/>
      <c r="AF104" s="68"/>
    </row>
    <row r="105" spans="1:32" x14ac:dyDescent="0.35">
      <c r="A105" s="525"/>
      <c r="B105" s="693"/>
      <c r="C105" s="693"/>
      <c r="D105" s="693"/>
      <c r="E105" s="270" t="s">
        <v>357</v>
      </c>
      <c r="F105" s="92" t="s">
        <v>827</v>
      </c>
      <c r="G105" s="92">
        <v>5</v>
      </c>
      <c r="H105" s="92">
        <v>6</v>
      </c>
      <c r="I105" s="691"/>
      <c r="J105" s="691"/>
      <c r="K105" s="691"/>
      <c r="L105" s="691"/>
      <c r="M105" s="691"/>
      <c r="N105" s="691">
        <v>0.78</v>
      </c>
      <c r="O105" s="2284"/>
      <c r="P105" s="691"/>
      <c r="Q105" s="2285"/>
      <c r="R105" s="2286"/>
      <c r="S105" s="397"/>
      <c r="T105" s="250"/>
      <c r="U105" s="250"/>
      <c r="V105" s="250"/>
      <c r="W105" s="67"/>
      <c r="X105" s="250"/>
      <c r="Y105" s="67"/>
      <c r="Z105" s="343"/>
      <c r="AE105" s="2461"/>
      <c r="AF105" s="68"/>
    </row>
    <row r="106" spans="1:32" x14ac:dyDescent="0.35">
      <c r="A106" s="525"/>
      <c r="B106" s="693">
        <v>10908</v>
      </c>
      <c r="C106" s="693"/>
      <c r="D106" s="693"/>
      <c r="E106" s="878" t="s">
        <v>891</v>
      </c>
      <c r="F106" s="92" t="s">
        <v>1490</v>
      </c>
      <c r="G106" s="92">
        <v>5</v>
      </c>
      <c r="H106" s="92">
        <v>6</v>
      </c>
      <c r="I106" s="691"/>
      <c r="J106" s="691"/>
      <c r="K106" s="691"/>
      <c r="L106" s="691"/>
      <c r="M106" s="691"/>
      <c r="N106" s="691"/>
      <c r="O106" s="1239"/>
      <c r="P106" s="691"/>
      <c r="Q106" s="1090"/>
      <c r="R106" s="1085">
        <f>1.27-0.78</f>
        <v>0.49</v>
      </c>
      <c r="S106" s="397"/>
      <c r="T106" s="250"/>
      <c r="U106" s="250"/>
      <c r="V106" s="250"/>
      <c r="W106" s="67"/>
      <c r="X106" s="250"/>
      <c r="Y106" s="67"/>
      <c r="Z106" s="343"/>
      <c r="AE106" s="2461"/>
      <c r="AF106" s="68"/>
    </row>
    <row r="107" spans="1:32" ht="45" x14ac:dyDescent="0.35">
      <c r="A107" s="693">
        <v>46</v>
      </c>
      <c r="B107" s="693">
        <v>10908</v>
      </c>
      <c r="C107" s="1144" t="s">
        <v>1656</v>
      </c>
      <c r="D107" s="2469" t="s">
        <v>5295</v>
      </c>
      <c r="E107" s="2187" t="s">
        <v>10713</v>
      </c>
      <c r="F107" s="92" t="s">
        <v>827</v>
      </c>
      <c r="G107" s="92">
        <v>5</v>
      </c>
      <c r="H107" s="92">
        <v>6</v>
      </c>
      <c r="I107" s="702">
        <f t="shared" ref="I107:I112" si="14">J107+K107+L107</f>
        <v>0.3</v>
      </c>
      <c r="J107" s="702">
        <f t="shared" ref="J107:J112" si="15">SUM(M107:R107)</f>
        <v>0.3</v>
      </c>
      <c r="K107" s="622"/>
      <c r="L107" s="622"/>
      <c r="M107" s="622"/>
      <c r="N107" s="622">
        <v>0.3</v>
      </c>
      <c r="O107" s="622"/>
      <c r="P107" s="622"/>
      <c r="Q107" s="622"/>
      <c r="R107" s="906"/>
      <c r="S107" s="106"/>
      <c r="T107" s="106"/>
      <c r="U107" s="106"/>
      <c r="V107" s="106"/>
      <c r="W107" s="105"/>
      <c r="X107" s="105"/>
      <c r="Y107" s="105"/>
      <c r="Z107" s="105"/>
      <c r="AB107" s="3">
        <v>1</v>
      </c>
      <c r="AE107" s="2461"/>
      <c r="AF107" s="68"/>
    </row>
    <row r="108" spans="1:32" ht="60" x14ac:dyDescent="0.35">
      <c r="A108" s="1040">
        <v>47</v>
      </c>
      <c r="B108" s="693">
        <v>10908</v>
      </c>
      <c r="C108" s="1144"/>
      <c r="D108" s="2469" t="s">
        <v>5296</v>
      </c>
      <c r="E108" s="2187" t="s">
        <v>10714</v>
      </c>
      <c r="F108" s="92" t="s">
        <v>827</v>
      </c>
      <c r="G108" s="92">
        <v>5</v>
      </c>
      <c r="H108" s="92">
        <v>6</v>
      </c>
      <c r="I108" s="702">
        <f t="shared" si="14"/>
        <v>0.78100000000000003</v>
      </c>
      <c r="J108" s="702">
        <f t="shared" si="15"/>
        <v>0.78100000000000003</v>
      </c>
      <c r="K108" s="622"/>
      <c r="L108" s="622"/>
      <c r="M108" s="622"/>
      <c r="N108" s="622">
        <v>0.78100000000000003</v>
      </c>
      <c r="O108" s="622"/>
      <c r="P108" s="622"/>
      <c r="Q108" s="622"/>
      <c r="R108" s="906"/>
      <c r="S108" s="106"/>
      <c r="T108" s="106"/>
      <c r="U108" s="106"/>
      <c r="V108" s="106"/>
      <c r="W108" s="105">
        <v>2</v>
      </c>
      <c r="X108" s="105">
        <v>22.5</v>
      </c>
      <c r="Y108" s="105">
        <v>1</v>
      </c>
      <c r="Z108" s="2389">
        <v>10</v>
      </c>
      <c r="AB108" s="3">
        <v>1</v>
      </c>
      <c r="AE108" s="2461"/>
      <c r="AF108" s="68"/>
    </row>
    <row r="109" spans="1:32" ht="45.5" x14ac:dyDescent="0.35">
      <c r="A109" s="693">
        <v>48</v>
      </c>
      <c r="B109" s="693">
        <v>10908</v>
      </c>
      <c r="C109" s="693"/>
      <c r="D109" s="2469" t="s">
        <v>5297</v>
      </c>
      <c r="E109" s="269" t="s">
        <v>10715</v>
      </c>
      <c r="F109" s="92" t="s">
        <v>827</v>
      </c>
      <c r="G109" s="92">
        <v>5</v>
      </c>
      <c r="H109" s="92">
        <v>6</v>
      </c>
      <c r="I109" s="688">
        <f t="shared" si="14"/>
        <v>1.325</v>
      </c>
      <c r="J109" s="688">
        <f t="shared" si="15"/>
        <v>1.325</v>
      </c>
      <c r="K109" s="688"/>
      <c r="L109" s="688"/>
      <c r="M109" s="688"/>
      <c r="N109" s="688">
        <v>1.325</v>
      </c>
      <c r="O109" s="1238"/>
      <c r="P109" s="688"/>
      <c r="Q109" s="1088"/>
      <c r="R109" s="1083"/>
      <c r="S109" s="397"/>
      <c r="T109" s="250"/>
      <c r="U109" s="250"/>
      <c r="V109" s="250"/>
      <c r="W109" s="67">
        <v>5</v>
      </c>
      <c r="X109" s="250">
        <v>77.400000000000006</v>
      </c>
      <c r="Y109" s="67">
        <v>1</v>
      </c>
      <c r="Z109" s="343">
        <v>20</v>
      </c>
      <c r="AB109" s="3">
        <v>1</v>
      </c>
      <c r="AE109" s="2461"/>
      <c r="AF109" s="68"/>
    </row>
    <row r="110" spans="1:32" ht="30.5" x14ac:dyDescent="0.35">
      <c r="A110" s="1040">
        <v>49</v>
      </c>
      <c r="B110" s="693">
        <v>10908</v>
      </c>
      <c r="C110" s="693"/>
      <c r="D110" s="2469" t="s">
        <v>5298</v>
      </c>
      <c r="E110" s="269" t="s">
        <v>10716</v>
      </c>
      <c r="F110" s="92">
        <v>5</v>
      </c>
      <c r="G110" s="92">
        <v>5</v>
      </c>
      <c r="H110" s="92">
        <v>6</v>
      </c>
      <c r="I110" s="688">
        <f t="shared" si="14"/>
        <v>2.1</v>
      </c>
      <c r="J110" s="688">
        <f t="shared" si="15"/>
        <v>2.1</v>
      </c>
      <c r="K110" s="688"/>
      <c r="L110" s="688"/>
      <c r="M110" s="688"/>
      <c r="N110" s="688"/>
      <c r="O110" s="1238"/>
      <c r="P110" s="688"/>
      <c r="Q110" s="1088">
        <v>2.1</v>
      </c>
      <c r="R110" s="1083"/>
      <c r="S110" s="397"/>
      <c r="T110" s="250"/>
      <c r="U110" s="250"/>
      <c r="V110" s="250"/>
      <c r="W110" s="67">
        <v>12</v>
      </c>
      <c r="X110" s="250">
        <v>147.80000000000001</v>
      </c>
      <c r="Y110" s="67">
        <v>4</v>
      </c>
      <c r="Z110" s="343">
        <v>40</v>
      </c>
      <c r="AB110" s="3">
        <v>1</v>
      </c>
      <c r="AE110" s="2461"/>
      <c r="AF110" s="68"/>
    </row>
    <row r="111" spans="1:32" ht="45.5" x14ac:dyDescent="0.35">
      <c r="A111" s="693">
        <v>50</v>
      </c>
      <c r="B111" s="693">
        <v>10908</v>
      </c>
      <c r="C111" s="693"/>
      <c r="D111" s="2469" t="s">
        <v>7156</v>
      </c>
      <c r="E111" s="269" t="s">
        <v>10717</v>
      </c>
      <c r="F111" s="92">
        <v>5</v>
      </c>
      <c r="G111" s="92">
        <v>5</v>
      </c>
      <c r="H111" s="92">
        <v>6</v>
      </c>
      <c r="I111" s="688">
        <f t="shared" si="14"/>
        <v>0.57999999999999996</v>
      </c>
      <c r="J111" s="688">
        <f t="shared" si="15"/>
        <v>0.57999999999999996</v>
      </c>
      <c r="K111" s="688"/>
      <c r="L111" s="688"/>
      <c r="M111" s="688"/>
      <c r="N111" s="688"/>
      <c r="O111" s="1238"/>
      <c r="P111" s="688"/>
      <c r="Q111" s="1088">
        <v>0.57999999999999996</v>
      </c>
      <c r="R111" s="1083"/>
      <c r="S111" s="397"/>
      <c r="T111" s="250"/>
      <c r="U111" s="250"/>
      <c r="V111" s="250"/>
      <c r="W111" s="67">
        <v>2</v>
      </c>
      <c r="X111" s="250">
        <v>20</v>
      </c>
      <c r="Y111" s="67"/>
      <c r="Z111" s="343"/>
      <c r="AB111" s="3">
        <v>1</v>
      </c>
      <c r="AE111" s="2461"/>
      <c r="AF111" s="68"/>
    </row>
    <row r="112" spans="1:32" ht="30.5" x14ac:dyDescent="0.35">
      <c r="A112" s="1040">
        <v>51</v>
      </c>
      <c r="B112" s="693">
        <v>10908</v>
      </c>
      <c r="C112" s="693"/>
      <c r="D112" s="2469" t="s">
        <v>5299</v>
      </c>
      <c r="E112" s="269" t="s">
        <v>10718</v>
      </c>
      <c r="F112" s="92"/>
      <c r="G112" s="92" t="s">
        <v>191</v>
      </c>
      <c r="H112" s="92" t="s">
        <v>191</v>
      </c>
      <c r="I112" s="688">
        <f t="shared" si="14"/>
        <v>3.22</v>
      </c>
      <c r="J112" s="688">
        <f t="shared" si="15"/>
        <v>3.22</v>
      </c>
      <c r="K112" s="688"/>
      <c r="L112" s="688"/>
      <c r="M112" s="688"/>
      <c r="N112" s="688"/>
      <c r="O112" s="1238">
        <f>SUM(O113:O115)</f>
        <v>0.01</v>
      </c>
      <c r="P112" s="688"/>
      <c r="Q112" s="1088">
        <f>SUM(Q113:Q115)</f>
        <v>0.85</v>
      </c>
      <c r="R112" s="1083">
        <f>SUM(R113:R115)</f>
        <v>2.3600000000000003</v>
      </c>
      <c r="S112" s="397"/>
      <c r="T112" s="250"/>
      <c r="U112" s="250"/>
      <c r="V112" s="250"/>
      <c r="W112" s="67">
        <v>9</v>
      </c>
      <c r="X112" s="250">
        <v>102.2</v>
      </c>
      <c r="Y112" s="67">
        <v>1</v>
      </c>
      <c r="Z112" s="343">
        <v>15</v>
      </c>
      <c r="AB112" s="3">
        <v>1</v>
      </c>
      <c r="AE112" s="2461"/>
      <c r="AF112" s="68"/>
    </row>
    <row r="113" spans="1:32" x14ac:dyDescent="0.35">
      <c r="A113" s="525"/>
      <c r="B113" s="693">
        <v>10908</v>
      </c>
      <c r="C113" s="693"/>
      <c r="D113" s="693"/>
      <c r="E113" s="921" t="s">
        <v>11012</v>
      </c>
      <c r="F113" s="92">
        <v>5</v>
      </c>
      <c r="G113" s="92">
        <v>5</v>
      </c>
      <c r="H113" s="92">
        <v>6</v>
      </c>
      <c r="I113" s="688"/>
      <c r="J113" s="688"/>
      <c r="K113" s="688"/>
      <c r="L113" s="688"/>
      <c r="M113" s="688"/>
      <c r="N113" s="688"/>
      <c r="O113" s="1239">
        <v>0.01</v>
      </c>
      <c r="P113" s="692"/>
      <c r="Q113" s="1090"/>
      <c r="R113" s="1085"/>
      <c r="S113" s="397"/>
      <c r="T113" s="250"/>
      <c r="U113" s="250"/>
      <c r="V113" s="250"/>
      <c r="W113" s="67"/>
      <c r="X113" s="250"/>
      <c r="Y113" s="67"/>
      <c r="Z113" s="343"/>
      <c r="AE113" s="2461"/>
      <c r="AF113" s="68"/>
    </row>
    <row r="114" spans="1:32" x14ac:dyDescent="0.35">
      <c r="A114" s="525"/>
      <c r="B114" s="693"/>
      <c r="C114" s="693"/>
      <c r="D114" s="693"/>
      <c r="E114" s="900" t="s">
        <v>11011</v>
      </c>
      <c r="F114" s="92">
        <v>5</v>
      </c>
      <c r="G114" s="92">
        <v>5</v>
      </c>
      <c r="H114" s="92">
        <v>6</v>
      </c>
      <c r="I114" s="688"/>
      <c r="J114" s="688"/>
      <c r="K114" s="688"/>
      <c r="L114" s="688"/>
      <c r="M114" s="688"/>
      <c r="N114" s="688"/>
      <c r="O114" s="1239"/>
      <c r="P114" s="692"/>
      <c r="Q114" s="1090">
        <f>0.86-0.01</f>
        <v>0.85</v>
      </c>
      <c r="R114" s="1085"/>
      <c r="S114" s="397"/>
      <c r="T114" s="250"/>
      <c r="U114" s="250"/>
      <c r="V114" s="250"/>
      <c r="W114" s="67"/>
      <c r="X114" s="250"/>
      <c r="Y114" s="67"/>
      <c r="Z114" s="343"/>
      <c r="AE114" s="2461"/>
      <c r="AF114" s="68"/>
    </row>
    <row r="115" spans="1:32" x14ac:dyDescent="0.35">
      <c r="A115" s="525"/>
      <c r="B115" s="693">
        <v>10908</v>
      </c>
      <c r="C115" s="693"/>
      <c r="D115" s="693"/>
      <c r="E115" s="878" t="s">
        <v>2187</v>
      </c>
      <c r="F115" s="92" t="s">
        <v>1490</v>
      </c>
      <c r="G115" s="92">
        <v>5</v>
      </c>
      <c r="H115" s="92">
        <v>6</v>
      </c>
      <c r="I115" s="688"/>
      <c r="J115" s="688"/>
      <c r="K115" s="688"/>
      <c r="L115" s="688"/>
      <c r="M115" s="688"/>
      <c r="N115" s="688"/>
      <c r="O115" s="1239"/>
      <c r="P115" s="692"/>
      <c r="Q115" s="1090"/>
      <c r="R115" s="1085">
        <f>3.22-0.86</f>
        <v>2.3600000000000003</v>
      </c>
      <c r="S115" s="397"/>
      <c r="T115" s="250"/>
      <c r="U115" s="250"/>
      <c r="V115" s="250"/>
      <c r="W115" s="67"/>
      <c r="X115" s="250"/>
      <c r="Y115" s="67"/>
      <c r="Z115" s="343"/>
      <c r="AE115" s="2461"/>
      <c r="AF115" s="68"/>
    </row>
    <row r="116" spans="1:32" ht="45.5" x14ac:dyDescent="0.35">
      <c r="A116" s="2001">
        <v>52</v>
      </c>
      <c r="B116" s="1144">
        <v>10908</v>
      </c>
      <c r="C116" s="358" t="s">
        <v>1656</v>
      </c>
      <c r="D116" s="2469" t="s">
        <v>5300</v>
      </c>
      <c r="E116" s="269" t="s">
        <v>10719</v>
      </c>
      <c r="F116" s="92" t="s">
        <v>1490</v>
      </c>
      <c r="G116" s="92">
        <v>5</v>
      </c>
      <c r="H116" s="92">
        <v>6</v>
      </c>
      <c r="I116" s="297">
        <f>J116+K116+L116</f>
        <v>0.1</v>
      </c>
      <c r="J116" s="297">
        <f>SUM(M116:R116)</f>
        <v>0.1</v>
      </c>
      <c r="K116" s="558"/>
      <c r="L116" s="558"/>
      <c r="M116" s="557"/>
      <c r="N116" s="557"/>
      <c r="O116" s="2390"/>
      <c r="P116" s="557"/>
      <c r="Q116" s="2391"/>
      <c r="R116" s="2388">
        <v>0.1</v>
      </c>
      <c r="S116" s="400"/>
      <c r="T116" s="383"/>
      <c r="U116" s="383"/>
      <c r="V116" s="383"/>
      <c r="W116" s="401"/>
      <c r="X116" s="383"/>
      <c r="Y116" s="401"/>
      <c r="Z116" s="384"/>
      <c r="AB116" s="3">
        <v>1</v>
      </c>
      <c r="AE116" s="2461"/>
      <c r="AF116" s="68"/>
    </row>
    <row r="117" spans="1:32" ht="30" x14ac:dyDescent="0.35">
      <c r="A117" s="693">
        <v>53</v>
      </c>
      <c r="B117" s="693">
        <v>10908</v>
      </c>
      <c r="C117" s="1144" t="s">
        <v>1656</v>
      </c>
      <c r="D117" s="2469" t="s">
        <v>5301</v>
      </c>
      <c r="E117" s="2187" t="s">
        <v>10720</v>
      </c>
      <c r="F117" s="92" t="s">
        <v>664</v>
      </c>
      <c r="G117" s="92">
        <v>5</v>
      </c>
      <c r="H117" s="92">
        <v>6</v>
      </c>
      <c r="I117" s="702">
        <f>J117+K117+L117</f>
        <v>0.05</v>
      </c>
      <c r="J117" s="702">
        <f>SUM(M117:R117)</f>
        <v>0.05</v>
      </c>
      <c r="K117" s="622"/>
      <c r="L117" s="622"/>
      <c r="M117" s="622"/>
      <c r="N117" s="622"/>
      <c r="O117" s="622"/>
      <c r="P117" s="622"/>
      <c r="Q117" s="622"/>
      <c r="R117" s="906">
        <v>0.05</v>
      </c>
      <c r="S117" s="106"/>
      <c r="T117" s="106"/>
      <c r="U117" s="106"/>
      <c r="V117" s="106"/>
      <c r="W117" s="105"/>
      <c r="X117" s="105"/>
      <c r="Y117" s="105"/>
      <c r="Z117" s="105"/>
      <c r="AB117" s="3">
        <v>1</v>
      </c>
      <c r="AE117" s="2461"/>
      <c r="AF117" s="68"/>
    </row>
    <row r="118" spans="1:32" x14ac:dyDescent="0.35">
      <c r="A118" s="693">
        <v>54</v>
      </c>
      <c r="B118" s="693">
        <v>10909</v>
      </c>
      <c r="C118" s="693"/>
      <c r="D118" s="693" t="s">
        <v>828</v>
      </c>
      <c r="E118" s="269" t="s">
        <v>11408</v>
      </c>
      <c r="F118" s="92"/>
      <c r="G118" s="92" t="s">
        <v>191</v>
      </c>
      <c r="H118" s="92" t="s">
        <v>191</v>
      </c>
      <c r="I118" s="688">
        <f>J118+K118+L118</f>
        <v>22.132999999999996</v>
      </c>
      <c r="J118" s="688">
        <f>SUM(M118:R118)</f>
        <v>22.132999999999996</v>
      </c>
      <c r="K118" s="688"/>
      <c r="L118" s="688"/>
      <c r="M118" s="688"/>
      <c r="N118" s="688">
        <f>SUM(N119:N125)</f>
        <v>3.8059999999999983</v>
      </c>
      <c r="O118" s="1238"/>
      <c r="P118" s="688"/>
      <c r="Q118" s="1088">
        <f>SUM(Q119:Q125)</f>
        <v>18.326999999999998</v>
      </c>
      <c r="R118" s="1083"/>
      <c r="S118" s="397">
        <f>1</f>
        <v>1</v>
      </c>
      <c r="T118" s="250">
        <f>9.6</f>
        <v>9.6</v>
      </c>
      <c r="U118" s="250"/>
      <c r="V118" s="250"/>
      <c r="W118" s="67">
        <v>47</v>
      </c>
      <c r="X118" s="2533">
        <v>633.4</v>
      </c>
      <c r="Y118" s="67">
        <v>15</v>
      </c>
      <c r="Z118" s="343">
        <v>179.3</v>
      </c>
      <c r="AB118" s="3">
        <v>1</v>
      </c>
      <c r="AE118" s="2461"/>
      <c r="AF118" s="68"/>
    </row>
    <row r="119" spans="1:32" x14ac:dyDescent="0.35">
      <c r="A119" s="694"/>
      <c r="B119" s="693">
        <v>10909</v>
      </c>
      <c r="C119" s="693"/>
      <c r="D119" s="695"/>
      <c r="E119" s="270" t="s">
        <v>3428</v>
      </c>
      <c r="F119" s="92">
        <v>4</v>
      </c>
      <c r="G119" s="92">
        <v>5</v>
      </c>
      <c r="H119" s="92">
        <v>6</v>
      </c>
      <c r="I119" s="691"/>
      <c r="J119" s="691"/>
      <c r="K119" s="691"/>
      <c r="L119" s="691"/>
      <c r="M119" s="691"/>
      <c r="N119" s="691">
        <v>1.2</v>
      </c>
      <c r="O119" s="1239"/>
      <c r="P119" s="691"/>
      <c r="Q119" s="1090"/>
      <c r="R119" s="1085"/>
      <c r="S119" s="398"/>
      <c r="T119" s="254"/>
      <c r="U119" s="254"/>
      <c r="V119" s="254"/>
      <c r="W119" s="66"/>
      <c r="X119" s="254"/>
      <c r="Y119" s="66"/>
      <c r="Z119" s="344"/>
      <c r="AE119" s="2461"/>
      <c r="AF119" s="68"/>
    </row>
    <row r="120" spans="1:32" x14ac:dyDescent="0.35">
      <c r="A120" s="694"/>
      <c r="B120" s="693">
        <v>10909</v>
      </c>
      <c r="C120" s="693"/>
      <c r="D120" s="695"/>
      <c r="E120" s="900" t="s">
        <v>11259</v>
      </c>
      <c r="F120" s="92">
        <v>4</v>
      </c>
      <c r="G120" s="92">
        <v>5</v>
      </c>
      <c r="H120" s="92">
        <v>6</v>
      </c>
      <c r="I120" s="691"/>
      <c r="J120" s="691"/>
      <c r="K120" s="691"/>
      <c r="L120" s="691"/>
      <c r="M120" s="691"/>
      <c r="N120" s="691"/>
      <c r="O120" s="1239"/>
      <c r="P120" s="691"/>
      <c r="Q120" s="1090">
        <f>8.909-1.2</f>
        <v>7.7090000000000005</v>
      </c>
      <c r="R120" s="1085"/>
      <c r="S120" s="398"/>
      <c r="T120" s="254"/>
      <c r="U120" s="254"/>
      <c r="V120" s="254"/>
      <c r="W120" s="66"/>
      <c r="X120" s="254"/>
      <c r="Y120" s="66"/>
      <c r="Z120" s="344"/>
      <c r="AE120" s="2461"/>
      <c r="AF120" s="68"/>
    </row>
    <row r="121" spans="1:32" x14ac:dyDescent="0.35">
      <c r="A121" s="694"/>
      <c r="B121" s="693">
        <v>10909</v>
      </c>
      <c r="C121" s="693"/>
      <c r="D121" s="695"/>
      <c r="E121" s="270" t="s">
        <v>11260</v>
      </c>
      <c r="F121" s="92">
        <v>4</v>
      </c>
      <c r="G121" s="92">
        <v>5</v>
      </c>
      <c r="H121" s="92">
        <v>6</v>
      </c>
      <c r="I121" s="691"/>
      <c r="J121" s="691"/>
      <c r="K121" s="691"/>
      <c r="L121" s="691"/>
      <c r="M121" s="691"/>
      <c r="N121" s="691">
        <f>9.369-8.909</f>
        <v>0.45999999999999908</v>
      </c>
      <c r="O121" s="1239"/>
      <c r="P121" s="691"/>
      <c r="Q121" s="1090"/>
      <c r="R121" s="1085"/>
      <c r="S121" s="398"/>
      <c r="T121" s="254"/>
      <c r="U121" s="254"/>
      <c r="V121" s="254"/>
      <c r="W121" s="66"/>
      <c r="X121" s="254"/>
      <c r="Y121" s="66"/>
      <c r="Z121" s="344"/>
      <c r="AE121" s="2461"/>
      <c r="AF121" s="68"/>
    </row>
    <row r="122" spans="1:32" x14ac:dyDescent="0.35">
      <c r="A122" s="694"/>
      <c r="B122" s="693">
        <v>10909</v>
      </c>
      <c r="C122" s="693"/>
      <c r="D122" s="695"/>
      <c r="E122" s="900" t="s">
        <v>11261</v>
      </c>
      <c r="F122" s="92">
        <v>4</v>
      </c>
      <c r="G122" s="92">
        <v>5</v>
      </c>
      <c r="H122" s="92">
        <v>6</v>
      </c>
      <c r="I122" s="691"/>
      <c r="J122" s="691"/>
      <c r="K122" s="691"/>
      <c r="L122" s="691"/>
      <c r="M122" s="691"/>
      <c r="N122" s="691"/>
      <c r="O122" s="1239"/>
      <c r="P122" s="691"/>
      <c r="Q122" s="1090">
        <f>11.285-9.369</f>
        <v>1.9160000000000004</v>
      </c>
      <c r="R122" s="1085"/>
      <c r="S122" s="398"/>
      <c r="T122" s="254"/>
      <c r="U122" s="254"/>
      <c r="V122" s="254"/>
      <c r="W122" s="66"/>
      <c r="X122" s="254"/>
      <c r="Y122" s="66"/>
      <c r="Z122" s="344"/>
      <c r="AE122" s="2461"/>
      <c r="AF122" s="68"/>
    </row>
    <row r="123" spans="1:32" x14ac:dyDescent="0.35">
      <c r="A123" s="694"/>
      <c r="B123" s="693">
        <v>10909</v>
      </c>
      <c r="C123" s="693"/>
      <c r="D123" s="695"/>
      <c r="E123" s="270" t="s">
        <v>11262</v>
      </c>
      <c r="F123" s="92">
        <v>4</v>
      </c>
      <c r="G123" s="92">
        <v>5</v>
      </c>
      <c r="H123" s="92">
        <v>6</v>
      </c>
      <c r="I123" s="691"/>
      <c r="J123" s="691"/>
      <c r="K123" s="691"/>
      <c r="L123" s="691"/>
      <c r="M123" s="691"/>
      <c r="N123" s="691">
        <f>12.446-11.285</f>
        <v>1.1609999999999996</v>
      </c>
      <c r="O123" s="1239"/>
      <c r="P123" s="691"/>
      <c r="Q123" s="1090"/>
      <c r="R123" s="1085"/>
      <c r="S123" s="398"/>
      <c r="T123" s="254"/>
      <c r="U123" s="254"/>
      <c r="V123" s="254"/>
      <c r="W123" s="66"/>
      <c r="X123" s="254"/>
      <c r="Y123" s="66"/>
      <c r="Z123" s="344"/>
      <c r="AE123" s="2461"/>
      <c r="AF123" s="68"/>
    </row>
    <row r="124" spans="1:32" x14ac:dyDescent="0.35">
      <c r="A124" s="694"/>
      <c r="B124" s="693">
        <v>10909</v>
      </c>
      <c r="C124" s="693"/>
      <c r="D124" s="695"/>
      <c r="E124" s="900" t="s">
        <v>11263</v>
      </c>
      <c r="F124" s="92">
        <v>4</v>
      </c>
      <c r="G124" s="92">
        <v>5</v>
      </c>
      <c r="H124" s="92">
        <v>6</v>
      </c>
      <c r="I124" s="691"/>
      <c r="J124" s="691"/>
      <c r="K124" s="691"/>
      <c r="L124" s="691"/>
      <c r="M124" s="691"/>
      <c r="N124" s="691"/>
      <c r="O124" s="1239"/>
      <c r="P124" s="691"/>
      <c r="Q124" s="1090">
        <f>21.148-12.446</f>
        <v>8.702</v>
      </c>
      <c r="R124" s="1085"/>
      <c r="S124" s="398"/>
      <c r="T124" s="254"/>
      <c r="U124" s="254"/>
      <c r="V124" s="254"/>
      <c r="W124" s="66"/>
      <c r="X124" s="254"/>
      <c r="Y124" s="66"/>
      <c r="Z124" s="344"/>
      <c r="AE124" s="2461"/>
      <c r="AF124" s="68"/>
    </row>
    <row r="125" spans="1:32" x14ac:dyDescent="0.35">
      <c r="A125" s="694"/>
      <c r="B125" s="693">
        <v>10909</v>
      </c>
      <c r="C125" s="693"/>
      <c r="D125" s="695"/>
      <c r="E125" s="270" t="s">
        <v>11264</v>
      </c>
      <c r="F125" s="92">
        <v>4</v>
      </c>
      <c r="G125" s="92">
        <v>5</v>
      </c>
      <c r="H125" s="92">
        <v>6</v>
      </c>
      <c r="I125" s="691"/>
      <c r="J125" s="691"/>
      <c r="K125" s="691"/>
      <c r="L125" s="691"/>
      <c r="M125" s="691"/>
      <c r="N125" s="691">
        <f>22.133-21.148</f>
        <v>0.98499999999999943</v>
      </c>
      <c r="O125" s="1239"/>
      <c r="P125" s="691"/>
      <c r="Q125" s="1090"/>
      <c r="R125" s="1085"/>
      <c r="S125" s="398"/>
      <c r="T125" s="254"/>
      <c r="U125" s="254"/>
      <c r="V125" s="254"/>
      <c r="W125" s="66"/>
      <c r="X125" s="254"/>
      <c r="Y125" s="66"/>
      <c r="Z125" s="344"/>
      <c r="AE125" s="2461"/>
      <c r="AF125" s="68"/>
    </row>
    <row r="126" spans="1:32" ht="30.5" x14ac:dyDescent="0.35">
      <c r="A126" s="525">
        <v>55</v>
      </c>
      <c r="B126" s="693">
        <v>10909</v>
      </c>
      <c r="C126" s="693"/>
      <c r="D126" s="2469" t="s">
        <v>5302</v>
      </c>
      <c r="E126" s="269" t="s">
        <v>7804</v>
      </c>
      <c r="F126" s="92" t="s">
        <v>1490</v>
      </c>
      <c r="G126" s="92">
        <v>5</v>
      </c>
      <c r="H126" s="92">
        <v>6</v>
      </c>
      <c r="I126" s="688">
        <f>J126+K126+L126</f>
        <v>1.23</v>
      </c>
      <c r="J126" s="688">
        <f>SUM(M126:R126)</f>
        <v>1.23</v>
      </c>
      <c r="K126" s="688"/>
      <c r="L126" s="688"/>
      <c r="M126" s="688"/>
      <c r="N126" s="688"/>
      <c r="O126" s="1238"/>
      <c r="P126" s="688"/>
      <c r="Q126" s="1088"/>
      <c r="R126" s="1083">
        <v>1.23</v>
      </c>
      <c r="S126" s="397"/>
      <c r="T126" s="250"/>
      <c r="U126" s="250"/>
      <c r="V126" s="250"/>
      <c r="W126" s="67">
        <v>2</v>
      </c>
      <c r="X126" s="250">
        <v>20</v>
      </c>
      <c r="Y126" s="67"/>
      <c r="Z126" s="343"/>
      <c r="AB126" s="3">
        <v>1</v>
      </c>
      <c r="AE126" s="2461"/>
      <c r="AF126" s="68"/>
    </row>
    <row r="127" spans="1:32" ht="45.5" x14ac:dyDescent="0.35">
      <c r="A127" s="2001">
        <v>56</v>
      </c>
      <c r="B127" s="693">
        <v>10909</v>
      </c>
      <c r="C127" s="358" t="s">
        <v>1656</v>
      </c>
      <c r="D127" s="2469" t="s">
        <v>5303</v>
      </c>
      <c r="E127" s="269" t="s">
        <v>8678</v>
      </c>
      <c r="F127" s="92" t="s">
        <v>1490</v>
      </c>
      <c r="G127" s="92">
        <v>5</v>
      </c>
      <c r="H127" s="92">
        <v>6</v>
      </c>
      <c r="I127" s="297">
        <f>J127+K127+L127</f>
        <v>0.49199999999999999</v>
      </c>
      <c r="J127" s="297">
        <f>SUM(M127:R127)</f>
        <v>0.49199999999999999</v>
      </c>
      <c r="K127" s="688"/>
      <c r="L127" s="688"/>
      <c r="M127" s="688"/>
      <c r="N127" s="688"/>
      <c r="O127" s="2386"/>
      <c r="P127" s="688"/>
      <c r="Q127" s="2387"/>
      <c r="R127" s="2388">
        <v>0.49199999999999999</v>
      </c>
      <c r="S127" s="397"/>
      <c r="T127" s="250"/>
      <c r="U127" s="250"/>
      <c r="V127" s="250"/>
      <c r="W127" s="67"/>
      <c r="X127" s="250"/>
      <c r="Y127" s="67"/>
      <c r="Z127" s="343"/>
      <c r="AB127" s="3">
        <v>1</v>
      </c>
      <c r="AE127" s="2461"/>
      <c r="AF127" s="68"/>
    </row>
    <row r="128" spans="1:32" ht="45.5" x14ac:dyDescent="0.35">
      <c r="A128" s="525">
        <v>57</v>
      </c>
      <c r="B128" s="693">
        <v>10909</v>
      </c>
      <c r="C128" s="358" t="s">
        <v>1656</v>
      </c>
      <c r="D128" s="2469" t="s">
        <v>5304</v>
      </c>
      <c r="E128" s="269" t="s">
        <v>8679</v>
      </c>
      <c r="F128" s="92" t="s">
        <v>1490</v>
      </c>
      <c r="G128" s="2289">
        <v>5</v>
      </c>
      <c r="H128" s="92">
        <v>6</v>
      </c>
      <c r="I128" s="297">
        <f>J128+K128+L128</f>
        <v>0.05</v>
      </c>
      <c r="J128" s="297">
        <f>SUM(M128:R128)</f>
        <v>0.05</v>
      </c>
      <c r="K128" s="688"/>
      <c r="L128" s="688"/>
      <c r="M128" s="688"/>
      <c r="N128" s="688"/>
      <c r="O128" s="2386"/>
      <c r="P128" s="688"/>
      <c r="Q128" s="2387"/>
      <c r="R128" s="2388">
        <v>0.05</v>
      </c>
      <c r="S128" s="397"/>
      <c r="T128" s="250"/>
      <c r="U128" s="250"/>
      <c r="V128" s="250"/>
      <c r="W128" s="67"/>
      <c r="X128" s="250"/>
      <c r="Y128" s="67"/>
      <c r="Z128" s="343"/>
      <c r="AB128" s="3">
        <v>1</v>
      </c>
      <c r="AE128" s="2461"/>
      <c r="AF128" s="68"/>
    </row>
    <row r="129" spans="1:32" ht="30.5" x14ac:dyDescent="0.35">
      <c r="A129" s="2001">
        <v>58</v>
      </c>
      <c r="B129" s="693">
        <v>10909</v>
      </c>
      <c r="C129" s="693"/>
      <c r="D129" s="2469" t="s">
        <v>5305</v>
      </c>
      <c r="E129" s="269" t="s">
        <v>7805</v>
      </c>
      <c r="F129" s="92"/>
      <c r="G129" s="92" t="s">
        <v>191</v>
      </c>
      <c r="H129" s="92" t="s">
        <v>191</v>
      </c>
      <c r="I129" s="688">
        <f>J129+K129+L129</f>
        <v>0.3</v>
      </c>
      <c r="J129" s="688">
        <f>SUM(M129:R129)</f>
        <v>0.3</v>
      </c>
      <c r="K129" s="688"/>
      <c r="L129" s="688"/>
      <c r="M129" s="688"/>
      <c r="N129" s="688">
        <f>SUM(N130:N131)</f>
        <v>0.1</v>
      </c>
      <c r="O129" s="1238"/>
      <c r="P129" s="688"/>
      <c r="Q129" s="1088"/>
      <c r="R129" s="1083">
        <f>SUM(R130:R131)</f>
        <v>0.19999999999999998</v>
      </c>
      <c r="S129" s="397"/>
      <c r="T129" s="250"/>
      <c r="U129" s="250"/>
      <c r="V129" s="250"/>
      <c r="W129" s="67">
        <v>1</v>
      </c>
      <c r="X129" s="250">
        <v>15.1</v>
      </c>
      <c r="Y129" s="67"/>
      <c r="Z129" s="343"/>
      <c r="AB129" s="3">
        <v>1</v>
      </c>
      <c r="AE129" s="2461"/>
      <c r="AF129" s="68"/>
    </row>
    <row r="130" spans="1:32" x14ac:dyDescent="0.35">
      <c r="A130" s="525"/>
      <c r="B130" s="693">
        <v>10909</v>
      </c>
      <c r="C130" s="693"/>
      <c r="D130" s="693"/>
      <c r="E130" s="393" t="s">
        <v>1332</v>
      </c>
      <c r="F130" s="92">
        <v>5</v>
      </c>
      <c r="G130" s="92">
        <v>5</v>
      </c>
      <c r="H130" s="92">
        <v>6</v>
      </c>
      <c r="I130" s="688"/>
      <c r="J130" s="688"/>
      <c r="K130" s="688"/>
      <c r="L130" s="688"/>
      <c r="M130" s="688"/>
      <c r="N130" s="692">
        <v>0.1</v>
      </c>
      <c r="O130" s="1239"/>
      <c r="P130" s="692"/>
      <c r="Q130" s="1090"/>
      <c r="R130" s="1085"/>
      <c r="S130" s="397"/>
      <c r="T130" s="250"/>
      <c r="U130" s="250"/>
      <c r="V130" s="250"/>
      <c r="W130" s="67"/>
      <c r="X130" s="250"/>
      <c r="Y130" s="67"/>
      <c r="Z130" s="343"/>
      <c r="AE130" s="2461"/>
      <c r="AF130" s="68"/>
    </row>
    <row r="131" spans="1:32" x14ac:dyDescent="0.35">
      <c r="A131" s="525"/>
      <c r="B131" s="693">
        <v>10909</v>
      </c>
      <c r="C131" s="693"/>
      <c r="D131" s="693"/>
      <c r="E131" s="878" t="s">
        <v>1692</v>
      </c>
      <c r="F131" s="92" t="s">
        <v>1490</v>
      </c>
      <c r="G131" s="92">
        <v>5</v>
      </c>
      <c r="H131" s="92">
        <v>6</v>
      </c>
      <c r="I131" s="688"/>
      <c r="J131" s="688"/>
      <c r="K131" s="688"/>
      <c r="L131" s="688"/>
      <c r="M131" s="688"/>
      <c r="N131" s="692"/>
      <c r="O131" s="1239"/>
      <c r="P131" s="692"/>
      <c r="Q131" s="1090"/>
      <c r="R131" s="1085">
        <f>0.3-0.1</f>
        <v>0.19999999999999998</v>
      </c>
      <c r="S131" s="397"/>
      <c r="T131" s="250"/>
      <c r="U131" s="250"/>
      <c r="V131" s="250"/>
      <c r="W131" s="67"/>
      <c r="X131" s="250"/>
      <c r="Y131" s="67"/>
      <c r="Z131" s="343"/>
      <c r="AE131" s="2461"/>
      <c r="AF131" s="68"/>
    </row>
    <row r="132" spans="1:32" ht="45.5" x14ac:dyDescent="0.35">
      <c r="A132" s="2001">
        <v>59</v>
      </c>
      <c r="B132" s="693">
        <v>10909</v>
      </c>
      <c r="C132" s="358" t="s">
        <v>1656</v>
      </c>
      <c r="D132" s="2469" t="s">
        <v>5306</v>
      </c>
      <c r="E132" s="269" t="s">
        <v>8680</v>
      </c>
      <c r="F132" s="92" t="s">
        <v>1490</v>
      </c>
      <c r="G132" s="92">
        <v>5</v>
      </c>
      <c r="H132" s="92">
        <v>6</v>
      </c>
      <c r="I132" s="297">
        <f>J132+K132+L132</f>
        <v>0.8</v>
      </c>
      <c r="J132" s="297">
        <f>SUM(M132:R132)</f>
        <v>0.8</v>
      </c>
      <c r="K132" s="691"/>
      <c r="L132" s="691"/>
      <c r="M132" s="688"/>
      <c r="N132" s="688"/>
      <c r="O132" s="2386"/>
      <c r="P132" s="688"/>
      <c r="Q132" s="2387"/>
      <c r="R132" s="2388">
        <v>0.8</v>
      </c>
      <c r="S132" s="398"/>
      <c r="T132" s="254"/>
      <c r="U132" s="254"/>
      <c r="V132" s="254"/>
      <c r="W132" s="66"/>
      <c r="X132" s="254"/>
      <c r="Y132" s="66"/>
      <c r="Z132" s="344"/>
      <c r="AB132" s="3">
        <v>1</v>
      </c>
      <c r="AE132" s="2461"/>
      <c r="AF132" s="68"/>
    </row>
    <row r="133" spans="1:32" ht="45.5" x14ac:dyDescent="0.35">
      <c r="A133" s="2001">
        <v>60</v>
      </c>
      <c r="B133" s="693">
        <v>10909</v>
      </c>
      <c r="C133" s="358" t="s">
        <v>1656</v>
      </c>
      <c r="D133" s="2469" t="s">
        <v>5307</v>
      </c>
      <c r="E133" s="269" t="s">
        <v>8681</v>
      </c>
      <c r="F133" s="92" t="s">
        <v>1490</v>
      </c>
      <c r="G133" s="92">
        <v>5</v>
      </c>
      <c r="H133" s="92">
        <v>6</v>
      </c>
      <c r="I133" s="297">
        <f>J133+K133+L133</f>
        <v>0.7</v>
      </c>
      <c r="J133" s="297">
        <f>SUM(M133:R133)</f>
        <v>0.7</v>
      </c>
      <c r="K133" s="688"/>
      <c r="L133" s="688"/>
      <c r="M133" s="688"/>
      <c r="N133" s="688"/>
      <c r="O133" s="2386"/>
      <c r="P133" s="688"/>
      <c r="Q133" s="2387"/>
      <c r="R133" s="2388">
        <v>0.7</v>
      </c>
      <c r="S133" s="397"/>
      <c r="T133" s="250"/>
      <c r="U133" s="250"/>
      <c r="V133" s="250"/>
      <c r="W133" s="67"/>
      <c r="X133" s="250"/>
      <c r="Y133" s="67"/>
      <c r="Z133" s="343"/>
      <c r="AB133" s="3">
        <v>1</v>
      </c>
      <c r="AE133" s="2461"/>
      <c r="AF133" s="68"/>
    </row>
    <row r="134" spans="1:32" ht="45.5" x14ac:dyDescent="0.35">
      <c r="A134" s="2001">
        <v>61</v>
      </c>
      <c r="B134" s="693">
        <v>10909</v>
      </c>
      <c r="C134" s="358" t="s">
        <v>1656</v>
      </c>
      <c r="D134" s="2469" t="s">
        <v>5308</v>
      </c>
      <c r="E134" s="269" t="s">
        <v>9954</v>
      </c>
      <c r="F134" s="92" t="s">
        <v>1490</v>
      </c>
      <c r="G134" s="2289">
        <v>5</v>
      </c>
      <c r="H134" s="92">
        <v>6</v>
      </c>
      <c r="I134" s="297">
        <f>J134+K134+L134</f>
        <v>0.8</v>
      </c>
      <c r="J134" s="297">
        <f>SUM(M134:R134)</f>
        <v>0.8</v>
      </c>
      <c r="K134" s="691"/>
      <c r="L134" s="691"/>
      <c r="M134" s="688"/>
      <c r="N134" s="688"/>
      <c r="O134" s="2386"/>
      <c r="P134" s="688"/>
      <c r="Q134" s="2387"/>
      <c r="R134" s="2388">
        <v>0.8</v>
      </c>
      <c r="S134" s="398"/>
      <c r="T134" s="254"/>
      <c r="U134" s="254"/>
      <c r="V134" s="254"/>
      <c r="W134" s="66"/>
      <c r="X134" s="254"/>
      <c r="Y134" s="66"/>
      <c r="Z134" s="344"/>
      <c r="AB134" s="3">
        <v>1</v>
      </c>
      <c r="AE134" s="2461"/>
      <c r="AF134" s="68"/>
    </row>
    <row r="135" spans="1:32" x14ac:dyDescent="0.35">
      <c r="A135" s="2001">
        <v>62</v>
      </c>
      <c r="B135" s="693">
        <v>10910</v>
      </c>
      <c r="C135" s="693"/>
      <c r="D135" s="693" t="s">
        <v>217</v>
      </c>
      <c r="E135" s="269" t="s">
        <v>11459</v>
      </c>
      <c r="F135" s="92"/>
      <c r="G135" s="92" t="s">
        <v>191</v>
      </c>
      <c r="H135" s="92" t="s">
        <v>191</v>
      </c>
      <c r="I135" s="688">
        <f>J135+K135+L135</f>
        <v>10.446</v>
      </c>
      <c r="J135" s="2870">
        <f>SUM(M135:R135)</f>
        <v>10.354999999999999</v>
      </c>
      <c r="K135" s="688"/>
      <c r="L135" s="2870">
        <f>SUM(L136:L141)</f>
        <v>9.1000000000000719E-2</v>
      </c>
      <c r="M135" s="688"/>
      <c r="N135" s="2870">
        <f>SUM(N136:N141)</f>
        <v>9.0449999999999999</v>
      </c>
      <c r="O135" s="1238">
        <f>SUM(O136:O141)</f>
        <v>0.52999999999999936</v>
      </c>
      <c r="P135" s="688"/>
      <c r="Q135" s="1088">
        <f>SUM(Q136:Q141)</f>
        <v>0.77999999999999936</v>
      </c>
      <c r="R135" s="1083"/>
      <c r="S135" s="397"/>
      <c r="T135" s="250"/>
      <c r="U135" s="250"/>
      <c r="V135" s="250"/>
      <c r="W135" s="2830">
        <v>34</v>
      </c>
      <c r="X135" s="2533">
        <v>427.8</v>
      </c>
      <c r="Y135" s="67">
        <v>13</v>
      </c>
      <c r="Z135" s="2831">
        <v>131</v>
      </c>
      <c r="AB135" s="3">
        <v>1</v>
      </c>
      <c r="AE135" s="2461"/>
      <c r="AF135" s="68"/>
    </row>
    <row r="136" spans="1:32" ht="31" x14ac:dyDescent="0.35">
      <c r="A136" s="694"/>
      <c r="B136" s="693">
        <v>10910</v>
      </c>
      <c r="C136" s="693"/>
      <c r="D136" s="695"/>
      <c r="E136" s="2871" t="s">
        <v>11457</v>
      </c>
      <c r="F136" s="92">
        <v>4</v>
      </c>
      <c r="G136" s="92">
        <v>5</v>
      </c>
      <c r="H136" s="92" t="s">
        <v>191</v>
      </c>
      <c r="I136" s="691"/>
      <c r="J136" s="691"/>
      <c r="K136" s="691"/>
      <c r="L136" s="2835">
        <v>4.1000000000000002E-2</v>
      </c>
      <c r="M136" s="691"/>
      <c r="N136" s="2835"/>
      <c r="O136" s="1239"/>
      <c r="P136" s="691"/>
      <c r="Q136" s="1090"/>
      <c r="R136" s="1085"/>
      <c r="S136" s="398"/>
      <c r="T136" s="254"/>
      <c r="U136" s="254"/>
      <c r="V136" s="254"/>
      <c r="W136" s="66"/>
      <c r="X136" s="254"/>
      <c r="Y136" s="66"/>
      <c r="Z136" s="344"/>
      <c r="AA136" s="3" t="s">
        <v>1629</v>
      </c>
      <c r="AE136" s="2461"/>
      <c r="AF136" s="68"/>
    </row>
    <row r="137" spans="1:32" x14ac:dyDescent="0.35">
      <c r="A137" s="694"/>
      <c r="B137" s="693"/>
      <c r="C137" s="693"/>
      <c r="D137" s="695"/>
      <c r="E137" s="2871" t="s">
        <v>11517</v>
      </c>
      <c r="F137" s="92">
        <v>4</v>
      </c>
      <c r="G137" s="92">
        <v>5</v>
      </c>
      <c r="H137" s="92">
        <v>6</v>
      </c>
      <c r="I137" s="691"/>
      <c r="J137" s="691"/>
      <c r="K137" s="691"/>
      <c r="L137" s="2835"/>
      <c r="M137" s="691"/>
      <c r="N137" s="2835">
        <f>8.346-0.041</f>
        <v>8.3049999999999997</v>
      </c>
      <c r="O137" s="1239"/>
      <c r="P137" s="691"/>
      <c r="Q137" s="1090"/>
      <c r="R137" s="1085"/>
      <c r="S137" s="398"/>
      <c r="T137" s="254"/>
      <c r="U137" s="254"/>
      <c r="V137" s="254"/>
      <c r="W137" s="66"/>
      <c r="X137" s="254"/>
      <c r="Y137" s="66"/>
      <c r="Z137" s="344"/>
      <c r="AE137" s="2461"/>
      <c r="AF137" s="68"/>
    </row>
    <row r="138" spans="1:32" x14ac:dyDescent="0.35">
      <c r="A138" s="694"/>
      <c r="B138" s="693"/>
      <c r="C138" s="693"/>
      <c r="D138" s="695"/>
      <c r="E138" s="900" t="s">
        <v>11516</v>
      </c>
      <c r="F138" s="92">
        <v>4</v>
      </c>
      <c r="G138" s="92">
        <v>5</v>
      </c>
      <c r="H138" s="92">
        <v>6</v>
      </c>
      <c r="I138" s="691"/>
      <c r="J138" s="691"/>
      <c r="K138" s="691"/>
      <c r="L138" s="2835"/>
      <c r="M138" s="691"/>
      <c r="N138" s="2835"/>
      <c r="O138" s="1239"/>
      <c r="P138" s="691"/>
      <c r="Q138" s="1090">
        <f>9.126-8.346</f>
        <v>0.77999999999999936</v>
      </c>
      <c r="R138" s="1085"/>
      <c r="S138" s="398"/>
      <c r="T138" s="254"/>
      <c r="U138" s="254"/>
      <c r="V138" s="254"/>
      <c r="W138" s="66"/>
      <c r="X138" s="254"/>
      <c r="Y138" s="66"/>
      <c r="Z138" s="344"/>
      <c r="AE138" s="2461"/>
      <c r="AF138" s="68"/>
    </row>
    <row r="139" spans="1:32" ht="31" x14ac:dyDescent="0.35">
      <c r="A139" s="694"/>
      <c r="B139" s="693"/>
      <c r="C139" s="693"/>
      <c r="D139" s="695"/>
      <c r="E139" s="2871" t="s">
        <v>11458</v>
      </c>
      <c r="F139" s="92">
        <v>4</v>
      </c>
      <c r="G139" s="92">
        <v>5</v>
      </c>
      <c r="H139" s="92" t="s">
        <v>191</v>
      </c>
      <c r="I139" s="691"/>
      <c r="J139" s="691"/>
      <c r="K139" s="691"/>
      <c r="L139" s="2835">
        <f>9.176-9.126</f>
        <v>5.0000000000000711E-2</v>
      </c>
      <c r="M139" s="691"/>
      <c r="N139" s="2835"/>
      <c r="O139" s="1239"/>
      <c r="P139" s="691"/>
      <c r="Q139" s="1090"/>
      <c r="R139" s="1085"/>
      <c r="S139" s="398"/>
      <c r="T139" s="254"/>
      <c r="U139" s="254"/>
      <c r="V139" s="254"/>
      <c r="W139" s="66"/>
      <c r="X139" s="254"/>
      <c r="Y139" s="66"/>
      <c r="Z139" s="344"/>
      <c r="AE139" s="2461"/>
      <c r="AF139" s="68"/>
    </row>
    <row r="140" spans="1:32" x14ac:dyDescent="0.35">
      <c r="A140" s="694"/>
      <c r="B140" s="693"/>
      <c r="C140" s="693"/>
      <c r="D140" s="695"/>
      <c r="E140" s="2871" t="s">
        <v>11455</v>
      </c>
      <c r="F140" s="92">
        <v>4</v>
      </c>
      <c r="G140" s="92">
        <v>5</v>
      </c>
      <c r="H140" s="92">
        <v>6</v>
      </c>
      <c r="I140" s="691"/>
      <c r="J140" s="691"/>
      <c r="K140" s="691"/>
      <c r="L140" s="691"/>
      <c r="M140" s="691"/>
      <c r="N140" s="2835">
        <f>9.916-9.176</f>
        <v>0.74000000000000021</v>
      </c>
      <c r="O140" s="1239"/>
      <c r="P140" s="691"/>
      <c r="Q140" s="1090"/>
      <c r="R140" s="1085"/>
      <c r="S140" s="398"/>
      <c r="T140" s="254"/>
      <c r="U140" s="254"/>
      <c r="V140" s="254"/>
      <c r="W140" s="66"/>
      <c r="X140" s="254"/>
      <c r="Y140" s="66"/>
      <c r="Z140" s="344"/>
      <c r="AE140" s="2461"/>
      <c r="AF140" s="68"/>
    </row>
    <row r="141" spans="1:32" x14ac:dyDescent="0.35">
      <c r="A141" s="694"/>
      <c r="B141" s="693">
        <v>10910</v>
      </c>
      <c r="C141" s="693"/>
      <c r="D141" s="695"/>
      <c r="E141" s="921" t="s">
        <v>11456</v>
      </c>
      <c r="F141" s="2872" t="s">
        <v>827</v>
      </c>
      <c r="G141" s="92">
        <v>5</v>
      </c>
      <c r="H141" s="92">
        <v>6</v>
      </c>
      <c r="I141" s="691"/>
      <c r="J141" s="691"/>
      <c r="K141" s="691"/>
      <c r="L141" s="691"/>
      <c r="M141" s="691"/>
      <c r="N141" s="691"/>
      <c r="O141" s="1239">
        <f>10.446-9.916</f>
        <v>0.52999999999999936</v>
      </c>
      <c r="P141" s="691"/>
      <c r="Q141" s="1090"/>
      <c r="R141" s="1085"/>
      <c r="S141" s="398"/>
      <c r="T141" s="254"/>
      <c r="U141" s="254"/>
      <c r="V141" s="254"/>
      <c r="W141" s="66"/>
      <c r="X141" s="254"/>
      <c r="Y141" s="66"/>
      <c r="Z141" s="344"/>
      <c r="AC141" s="62" t="s">
        <v>2130</v>
      </c>
      <c r="AD141" s="353">
        <v>36706</v>
      </c>
      <c r="AE141" s="2461"/>
      <c r="AF141" s="68"/>
    </row>
    <row r="142" spans="1:32" ht="30.5" x14ac:dyDescent="0.35">
      <c r="A142" s="525">
        <v>63</v>
      </c>
      <c r="B142" s="693">
        <v>10910</v>
      </c>
      <c r="C142" s="693"/>
      <c r="D142" s="2469" t="s">
        <v>5309</v>
      </c>
      <c r="E142" s="269" t="s">
        <v>7806</v>
      </c>
      <c r="F142" s="92"/>
      <c r="G142" s="92" t="s">
        <v>191</v>
      </c>
      <c r="H142" s="92" t="s">
        <v>191</v>
      </c>
      <c r="I142" s="688">
        <f>J142+K142+L142</f>
        <v>1.3</v>
      </c>
      <c r="J142" s="688">
        <f>SUM(M142:R142)</f>
        <v>1.3</v>
      </c>
      <c r="K142" s="688"/>
      <c r="L142" s="688"/>
      <c r="M142" s="688"/>
      <c r="N142" s="688">
        <f>SUM(N143:N145)</f>
        <v>0.75</v>
      </c>
      <c r="O142" s="1238"/>
      <c r="P142" s="688"/>
      <c r="Q142" s="1088"/>
      <c r="R142" s="1083">
        <f>SUM(R143:R145)</f>
        <v>0.55000000000000004</v>
      </c>
      <c r="S142" s="397"/>
      <c r="T142" s="250"/>
      <c r="U142" s="250"/>
      <c r="V142" s="250"/>
      <c r="W142" s="67">
        <v>2</v>
      </c>
      <c r="X142" s="250">
        <v>30.5</v>
      </c>
      <c r="Y142" s="67"/>
      <c r="Z142" s="343"/>
      <c r="AB142" s="3">
        <v>1</v>
      </c>
      <c r="AE142" s="2461"/>
      <c r="AF142" s="68"/>
    </row>
    <row r="143" spans="1:32" x14ac:dyDescent="0.35">
      <c r="A143" s="525"/>
      <c r="B143" s="693">
        <v>10910</v>
      </c>
      <c r="C143" s="693"/>
      <c r="D143" s="693"/>
      <c r="E143" s="393" t="s">
        <v>1795</v>
      </c>
      <c r="F143" s="92">
        <v>4</v>
      </c>
      <c r="G143" s="92">
        <v>5</v>
      </c>
      <c r="H143" s="92">
        <v>6</v>
      </c>
      <c r="I143" s="688"/>
      <c r="J143" s="688"/>
      <c r="K143" s="688"/>
      <c r="L143" s="688"/>
      <c r="M143" s="688"/>
      <c r="N143" s="691">
        <v>0.2</v>
      </c>
      <c r="O143" s="1238"/>
      <c r="P143" s="688"/>
      <c r="Q143" s="1088"/>
      <c r="R143" s="1083"/>
      <c r="S143" s="397"/>
      <c r="T143" s="250"/>
      <c r="U143" s="250"/>
      <c r="V143" s="250"/>
      <c r="W143" s="67"/>
      <c r="X143" s="250"/>
      <c r="Y143" s="67"/>
      <c r="Z143" s="343"/>
      <c r="AE143" s="2461"/>
      <c r="AF143" s="68"/>
    </row>
    <row r="144" spans="1:32" x14ac:dyDescent="0.35">
      <c r="A144" s="525"/>
      <c r="B144" s="693">
        <v>10910</v>
      </c>
      <c r="C144" s="693"/>
      <c r="D144" s="693"/>
      <c r="E144" s="393" t="s">
        <v>2463</v>
      </c>
      <c r="F144" s="92">
        <v>5</v>
      </c>
      <c r="G144" s="92">
        <v>5</v>
      </c>
      <c r="H144" s="92">
        <v>6</v>
      </c>
      <c r="I144" s="688"/>
      <c r="J144" s="688"/>
      <c r="K144" s="688"/>
      <c r="L144" s="688"/>
      <c r="M144" s="688"/>
      <c r="N144" s="692">
        <v>0.55000000000000004</v>
      </c>
      <c r="O144" s="1239"/>
      <c r="P144" s="692"/>
      <c r="Q144" s="1090"/>
      <c r="R144" s="1085"/>
      <c r="S144" s="397"/>
      <c r="T144" s="250"/>
      <c r="U144" s="250"/>
      <c r="V144" s="250"/>
      <c r="W144" s="67"/>
      <c r="X144" s="250"/>
      <c r="Y144" s="67"/>
      <c r="Z144" s="343"/>
      <c r="AE144" s="2461"/>
      <c r="AF144" s="68"/>
    </row>
    <row r="145" spans="1:32" x14ac:dyDescent="0.35">
      <c r="A145" s="525"/>
      <c r="B145" s="693">
        <v>10910</v>
      </c>
      <c r="C145" s="693"/>
      <c r="D145" s="693"/>
      <c r="E145" s="878" t="s">
        <v>7157</v>
      </c>
      <c r="F145" s="92" t="s">
        <v>1490</v>
      </c>
      <c r="G145" s="92">
        <v>5</v>
      </c>
      <c r="H145" s="92">
        <v>6</v>
      </c>
      <c r="I145" s="688"/>
      <c r="J145" s="688"/>
      <c r="K145" s="688"/>
      <c r="L145" s="688"/>
      <c r="M145" s="688"/>
      <c r="N145" s="692"/>
      <c r="O145" s="1239"/>
      <c r="P145" s="692"/>
      <c r="Q145" s="1090"/>
      <c r="R145" s="1085">
        <f>1.3-0.75</f>
        <v>0.55000000000000004</v>
      </c>
      <c r="S145" s="397"/>
      <c r="T145" s="250"/>
      <c r="U145" s="250"/>
      <c r="V145" s="250"/>
      <c r="W145" s="67"/>
      <c r="X145" s="250"/>
      <c r="Y145" s="67"/>
      <c r="Z145" s="343"/>
      <c r="AE145" s="2461"/>
      <c r="AF145" s="68"/>
    </row>
    <row r="146" spans="1:32" ht="45.5" x14ac:dyDescent="0.35">
      <c r="A146" s="2001">
        <v>64</v>
      </c>
      <c r="B146" s="693">
        <v>1910</v>
      </c>
      <c r="C146" s="358" t="s">
        <v>1656</v>
      </c>
      <c r="D146" s="2469" t="s">
        <v>5310</v>
      </c>
      <c r="E146" s="269" t="s">
        <v>8682</v>
      </c>
      <c r="F146" s="92" t="s">
        <v>1490</v>
      </c>
      <c r="G146" s="92">
        <v>5</v>
      </c>
      <c r="H146" s="92">
        <v>6</v>
      </c>
      <c r="I146" s="297">
        <f>J146+K146+L146</f>
        <v>0.5</v>
      </c>
      <c r="J146" s="297">
        <f>SUM(M146:R146)</f>
        <v>0.5</v>
      </c>
      <c r="K146" s="691"/>
      <c r="L146" s="691"/>
      <c r="M146" s="688"/>
      <c r="N146" s="688"/>
      <c r="O146" s="2386"/>
      <c r="P146" s="688"/>
      <c r="Q146" s="2387"/>
      <c r="R146" s="2388">
        <v>0.5</v>
      </c>
      <c r="S146" s="398"/>
      <c r="T146" s="254"/>
      <c r="U146" s="254"/>
      <c r="V146" s="254"/>
      <c r="W146" s="66"/>
      <c r="X146" s="254"/>
      <c r="Y146" s="254"/>
      <c r="Z146" s="344"/>
      <c r="AB146" s="3">
        <v>1</v>
      </c>
      <c r="AE146" s="2461"/>
      <c r="AF146" s="68"/>
    </row>
    <row r="147" spans="1:32" ht="45.5" x14ac:dyDescent="0.35">
      <c r="A147" s="2001">
        <v>65</v>
      </c>
      <c r="B147" s="693">
        <v>10910</v>
      </c>
      <c r="C147" s="358" t="s">
        <v>1656</v>
      </c>
      <c r="D147" s="2469" t="s">
        <v>5311</v>
      </c>
      <c r="E147" s="269" t="s">
        <v>8683</v>
      </c>
      <c r="F147" s="92" t="s">
        <v>1490</v>
      </c>
      <c r="G147" s="92">
        <v>5</v>
      </c>
      <c r="H147" s="92">
        <v>6</v>
      </c>
      <c r="I147" s="297">
        <f>J147+K147+L147</f>
        <v>0.35</v>
      </c>
      <c r="J147" s="297">
        <f>SUM(M147:R147)</f>
        <v>0.35</v>
      </c>
      <c r="K147" s="691"/>
      <c r="L147" s="691"/>
      <c r="M147" s="688"/>
      <c r="N147" s="688"/>
      <c r="O147" s="2386"/>
      <c r="P147" s="688"/>
      <c r="Q147" s="2387"/>
      <c r="R147" s="2388">
        <v>0.35</v>
      </c>
      <c r="S147" s="398"/>
      <c r="T147" s="254"/>
      <c r="U147" s="254"/>
      <c r="V147" s="254"/>
      <c r="W147" s="66"/>
      <c r="X147" s="254"/>
      <c r="Y147" s="254"/>
      <c r="Z147" s="344"/>
      <c r="AB147" s="3">
        <v>1</v>
      </c>
      <c r="AE147" s="2461"/>
      <c r="AF147" s="68"/>
    </row>
    <row r="148" spans="1:32" x14ac:dyDescent="0.35">
      <c r="A148" s="525">
        <v>66</v>
      </c>
      <c r="B148" s="693">
        <v>10911</v>
      </c>
      <c r="C148" s="693"/>
      <c r="D148" s="693" t="s">
        <v>1545</v>
      </c>
      <c r="E148" s="269" t="s">
        <v>712</v>
      </c>
      <c r="F148" s="92"/>
      <c r="G148" s="92" t="s">
        <v>191</v>
      </c>
      <c r="H148" s="92" t="s">
        <v>191</v>
      </c>
      <c r="I148" s="688">
        <f>J148+K148+L148</f>
        <v>5.67</v>
      </c>
      <c r="J148" s="688">
        <f>SUM(M148:R148)</f>
        <v>5.67</v>
      </c>
      <c r="K148" s="688"/>
      <c r="L148" s="688"/>
      <c r="M148" s="688"/>
      <c r="N148" s="688">
        <f>SUM(N149:N152)</f>
        <v>1.71</v>
      </c>
      <c r="O148" s="1238">
        <f>SUM(O149:O152)</f>
        <v>2.27</v>
      </c>
      <c r="P148" s="688"/>
      <c r="Q148" s="1088">
        <f>SUM(Q149:Q152)</f>
        <v>1.69</v>
      </c>
      <c r="R148" s="1083"/>
      <c r="S148" s="397"/>
      <c r="T148" s="250"/>
      <c r="U148" s="250"/>
      <c r="V148" s="250"/>
      <c r="W148" s="67">
        <v>9</v>
      </c>
      <c r="X148" s="250">
        <v>138.10000610351563</v>
      </c>
      <c r="Y148" s="67"/>
      <c r="Z148" s="343"/>
      <c r="AA148" s="3" t="s">
        <v>1622</v>
      </c>
      <c r="AB148" s="3">
        <v>1</v>
      </c>
      <c r="AE148" s="2461"/>
      <c r="AF148" s="68"/>
    </row>
    <row r="149" spans="1:32" x14ac:dyDescent="0.35">
      <c r="A149" s="694"/>
      <c r="B149" s="693">
        <v>10911</v>
      </c>
      <c r="C149" s="693"/>
      <c r="D149" s="695"/>
      <c r="E149" s="270" t="s">
        <v>431</v>
      </c>
      <c r="F149" s="92">
        <v>4</v>
      </c>
      <c r="G149" s="92">
        <v>5</v>
      </c>
      <c r="H149" s="92">
        <v>6</v>
      </c>
      <c r="I149" s="691"/>
      <c r="J149" s="691"/>
      <c r="K149" s="691"/>
      <c r="L149" s="691"/>
      <c r="M149" s="691"/>
      <c r="N149" s="691">
        <v>1.38</v>
      </c>
      <c r="O149" s="1239"/>
      <c r="P149" s="691"/>
      <c r="Q149" s="1090"/>
      <c r="R149" s="1085"/>
      <c r="S149" s="398"/>
      <c r="T149" s="254"/>
      <c r="U149" s="254"/>
      <c r="V149" s="254"/>
      <c r="W149" s="66"/>
      <c r="X149" s="254"/>
      <c r="Y149" s="66"/>
      <c r="Z149" s="344"/>
      <c r="AE149" s="2461"/>
      <c r="AF149" s="68"/>
    </row>
    <row r="150" spans="1:32" x14ac:dyDescent="0.35">
      <c r="A150" s="694"/>
      <c r="B150" s="693">
        <v>10911</v>
      </c>
      <c r="C150" s="693"/>
      <c r="D150" s="695"/>
      <c r="E150" s="900" t="s">
        <v>713</v>
      </c>
      <c r="F150" s="92">
        <v>4</v>
      </c>
      <c r="G150" s="92">
        <v>5</v>
      </c>
      <c r="H150" s="92">
        <v>6</v>
      </c>
      <c r="I150" s="691"/>
      <c r="J150" s="691"/>
      <c r="K150" s="691"/>
      <c r="L150" s="691"/>
      <c r="M150" s="691"/>
      <c r="N150" s="691"/>
      <c r="O150" s="1239"/>
      <c r="P150" s="691"/>
      <c r="Q150" s="1090">
        <f>3.07-1.38</f>
        <v>1.69</v>
      </c>
      <c r="R150" s="1085"/>
      <c r="S150" s="398"/>
      <c r="T150" s="254"/>
      <c r="U150" s="254"/>
      <c r="V150" s="254"/>
      <c r="W150" s="66"/>
      <c r="X150" s="254"/>
      <c r="Y150" s="66"/>
      <c r="Z150" s="344"/>
      <c r="AE150" s="2461"/>
      <c r="AF150" s="68"/>
    </row>
    <row r="151" spans="1:32" x14ac:dyDescent="0.35">
      <c r="A151" s="694"/>
      <c r="B151" s="693">
        <v>10911</v>
      </c>
      <c r="C151" s="693"/>
      <c r="D151" s="695"/>
      <c r="E151" s="270" t="s">
        <v>714</v>
      </c>
      <c r="F151" s="92">
        <v>4</v>
      </c>
      <c r="G151" s="92">
        <v>5</v>
      </c>
      <c r="H151" s="92">
        <v>6</v>
      </c>
      <c r="I151" s="691"/>
      <c r="J151" s="691"/>
      <c r="K151" s="691"/>
      <c r="L151" s="691"/>
      <c r="M151" s="691"/>
      <c r="N151" s="691">
        <f>3.4-3.07</f>
        <v>0.33000000000000007</v>
      </c>
      <c r="O151" s="1239"/>
      <c r="P151" s="691"/>
      <c r="Q151" s="1090"/>
      <c r="R151" s="1085"/>
      <c r="S151" s="398"/>
      <c r="T151" s="254"/>
      <c r="U151" s="254"/>
      <c r="V151" s="254"/>
      <c r="W151" s="66"/>
      <c r="X151" s="254"/>
      <c r="Y151" s="66"/>
      <c r="Z151" s="344"/>
      <c r="AE151" s="2461"/>
      <c r="AF151" s="68"/>
    </row>
    <row r="152" spans="1:32" x14ac:dyDescent="0.35">
      <c r="A152" s="694"/>
      <c r="B152" s="693">
        <v>10911</v>
      </c>
      <c r="C152" s="693"/>
      <c r="D152" s="695"/>
      <c r="E152" s="921" t="s">
        <v>678</v>
      </c>
      <c r="F152" s="92">
        <v>4</v>
      </c>
      <c r="G152" s="92">
        <v>5</v>
      </c>
      <c r="H152" s="92">
        <v>6</v>
      </c>
      <c r="I152" s="691"/>
      <c r="J152" s="691"/>
      <c r="K152" s="691"/>
      <c r="L152" s="691"/>
      <c r="M152" s="691"/>
      <c r="N152" s="691"/>
      <c r="O152" s="1239">
        <v>2.27</v>
      </c>
      <c r="P152" s="691"/>
      <c r="Q152" s="1090"/>
      <c r="R152" s="1085"/>
      <c r="S152" s="398"/>
      <c r="T152" s="254"/>
      <c r="U152" s="254"/>
      <c r="V152" s="254"/>
      <c r="W152" s="66"/>
      <c r="X152" s="254"/>
      <c r="Y152" s="66"/>
      <c r="Z152" s="344"/>
      <c r="AE152" s="2461"/>
      <c r="AF152" s="68"/>
    </row>
    <row r="153" spans="1:32" ht="30.5" x14ac:dyDescent="0.35">
      <c r="A153" s="2001">
        <v>67</v>
      </c>
      <c r="B153" s="693">
        <v>10911</v>
      </c>
      <c r="C153" s="358" t="s">
        <v>1656</v>
      </c>
      <c r="D153" s="2469" t="s">
        <v>5312</v>
      </c>
      <c r="E153" s="269" t="s">
        <v>8684</v>
      </c>
      <c r="F153" s="92" t="s">
        <v>1490</v>
      </c>
      <c r="G153" s="92">
        <v>5</v>
      </c>
      <c r="H153" s="92">
        <v>6</v>
      </c>
      <c r="I153" s="297">
        <f>J153+K153+L153</f>
        <v>0.25</v>
      </c>
      <c r="J153" s="297">
        <f>SUM(M153:R153)</f>
        <v>0.25</v>
      </c>
      <c r="K153" s="691"/>
      <c r="L153" s="691"/>
      <c r="M153" s="688"/>
      <c r="N153" s="688"/>
      <c r="O153" s="2386"/>
      <c r="P153" s="688"/>
      <c r="Q153" s="2387"/>
      <c r="R153" s="2388">
        <v>0.25</v>
      </c>
      <c r="S153" s="398"/>
      <c r="T153" s="254"/>
      <c r="U153" s="254"/>
      <c r="V153" s="254"/>
      <c r="W153" s="66"/>
      <c r="X153" s="254"/>
      <c r="Y153" s="66"/>
      <c r="Z153" s="344"/>
      <c r="AB153" s="3">
        <v>1</v>
      </c>
      <c r="AE153" s="2461"/>
      <c r="AF153" s="68"/>
    </row>
    <row r="154" spans="1:32" x14ac:dyDescent="0.35">
      <c r="A154" s="525">
        <v>68</v>
      </c>
      <c r="B154" s="693">
        <v>10912</v>
      </c>
      <c r="C154" s="693"/>
      <c r="D154" s="693" t="s">
        <v>1546</v>
      </c>
      <c r="E154" s="269" t="s">
        <v>11409</v>
      </c>
      <c r="F154" s="92"/>
      <c r="G154" s="92" t="s">
        <v>191</v>
      </c>
      <c r="H154" s="92" t="s">
        <v>191</v>
      </c>
      <c r="I154" s="688">
        <f>J154+K154+L154</f>
        <v>7.7590000000000003</v>
      </c>
      <c r="J154" s="688">
        <f>SUM(M154:R154)</f>
        <v>7.7590000000000003</v>
      </c>
      <c r="K154" s="688"/>
      <c r="L154" s="688"/>
      <c r="M154" s="688"/>
      <c r="N154" s="688">
        <f>SUM(N155:N159)</f>
        <v>2.6970000000000005</v>
      </c>
      <c r="O154" s="1238"/>
      <c r="P154" s="688"/>
      <c r="Q154" s="1088">
        <f>SUM(Q155:Q159)</f>
        <v>5.0620000000000003</v>
      </c>
      <c r="R154" s="1083"/>
      <c r="S154" s="397">
        <f>1</f>
        <v>1</v>
      </c>
      <c r="T154" s="250">
        <v>27</v>
      </c>
      <c r="U154" s="250"/>
      <c r="V154" s="250"/>
      <c r="W154" s="67">
        <v>17</v>
      </c>
      <c r="X154" s="250">
        <v>213.7</v>
      </c>
      <c r="Y154" s="67">
        <v>8</v>
      </c>
      <c r="Z154" s="343">
        <v>91.5</v>
      </c>
      <c r="AB154" s="3">
        <v>1</v>
      </c>
      <c r="AE154" s="2461"/>
      <c r="AF154" s="68"/>
    </row>
    <row r="155" spans="1:32" x14ac:dyDescent="0.35">
      <c r="A155" s="525"/>
      <c r="B155" s="693"/>
      <c r="C155" s="693"/>
      <c r="D155" s="693"/>
      <c r="E155" s="270" t="s">
        <v>3209</v>
      </c>
      <c r="F155" s="92">
        <v>4</v>
      </c>
      <c r="G155" s="92">
        <v>5</v>
      </c>
      <c r="H155" s="92">
        <v>6</v>
      </c>
      <c r="I155" s="688"/>
      <c r="J155" s="688"/>
      <c r="K155" s="688"/>
      <c r="L155" s="688"/>
      <c r="M155" s="688"/>
      <c r="N155" s="691">
        <v>0.02</v>
      </c>
      <c r="O155" s="1238"/>
      <c r="P155" s="688"/>
      <c r="Q155" s="1088"/>
      <c r="R155" s="1083"/>
      <c r="S155" s="397"/>
      <c r="T155" s="2533"/>
      <c r="U155" s="250"/>
      <c r="V155" s="250"/>
      <c r="W155" s="2830"/>
      <c r="X155" s="2533"/>
      <c r="Y155" s="2830"/>
      <c r="Z155" s="2831"/>
      <c r="AE155" s="2461"/>
      <c r="AF155" s="68"/>
    </row>
    <row r="156" spans="1:32" x14ac:dyDescent="0.35">
      <c r="A156" s="694"/>
      <c r="B156" s="693">
        <v>10912</v>
      </c>
      <c r="C156" s="693"/>
      <c r="D156" s="695"/>
      <c r="E156" s="900" t="s">
        <v>11280</v>
      </c>
      <c r="F156" s="92">
        <v>4</v>
      </c>
      <c r="G156" s="92">
        <v>5</v>
      </c>
      <c r="H156" s="92">
        <v>6</v>
      </c>
      <c r="I156" s="691"/>
      <c r="J156" s="691"/>
      <c r="K156" s="691"/>
      <c r="L156" s="691"/>
      <c r="M156" s="691"/>
      <c r="N156" s="691"/>
      <c r="O156" s="1239"/>
      <c r="P156" s="691"/>
      <c r="Q156" s="1090">
        <f>4.286-0.02</f>
        <v>4.266</v>
      </c>
      <c r="R156" s="1085"/>
      <c r="S156" s="398"/>
      <c r="T156" s="254"/>
      <c r="U156" s="254"/>
      <c r="V156" s="254"/>
      <c r="W156" s="66"/>
      <c r="X156" s="254"/>
      <c r="Y156" s="66"/>
      <c r="Z156" s="344"/>
      <c r="AE156" s="2461"/>
      <c r="AF156" s="68"/>
    </row>
    <row r="157" spans="1:32" x14ac:dyDescent="0.35">
      <c r="A157" s="694"/>
      <c r="B157" s="693">
        <v>10912</v>
      </c>
      <c r="C157" s="693"/>
      <c r="D157" s="695"/>
      <c r="E157" s="270" t="s">
        <v>11281</v>
      </c>
      <c r="F157" s="92">
        <v>4</v>
      </c>
      <c r="G157" s="92">
        <v>5</v>
      </c>
      <c r="H157" s="92">
        <v>6</v>
      </c>
      <c r="I157" s="691"/>
      <c r="J157" s="691"/>
      <c r="K157" s="691"/>
      <c r="L157" s="691"/>
      <c r="M157" s="691"/>
      <c r="N157" s="691">
        <f>5.811-4.286</f>
        <v>1.5250000000000004</v>
      </c>
      <c r="O157" s="1239"/>
      <c r="P157" s="691"/>
      <c r="Q157" s="1090"/>
      <c r="R157" s="1085"/>
      <c r="S157" s="398"/>
      <c r="T157" s="254"/>
      <c r="U157" s="254"/>
      <c r="V157" s="254"/>
      <c r="W157" s="66"/>
      <c r="X157" s="254"/>
      <c r="Y157" s="66"/>
      <c r="Z157" s="344"/>
      <c r="AE157" s="2461"/>
      <c r="AF157" s="68"/>
    </row>
    <row r="158" spans="1:32" x14ac:dyDescent="0.35">
      <c r="A158" s="694"/>
      <c r="B158" s="693">
        <v>10912</v>
      </c>
      <c r="C158" s="693"/>
      <c r="D158" s="695"/>
      <c r="E158" s="900" t="s">
        <v>11282</v>
      </c>
      <c r="F158" s="92">
        <v>5</v>
      </c>
      <c r="G158" s="92">
        <v>5</v>
      </c>
      <c r="H158" s="92">
        <v>6</v>
      </c>
      <c r="I158" s="691"/>
      <c r="J158" s="691"/>
      <c r="K158" s="691"/>
      <c r="L158" s="691"/>
      <c r="M158" s="691"/>
      <c r="N158" s="691"/>
      <c r="O158" s="1239"/>
      <c r="P158" s="691"/>
      <c r="Q158" s="1090">
        <f>6.607-5.811</f>
        <v>0.79600000000000026</v>
      </c>
      <c r="R158" s="1085"/>
      <c r="S158" s="398"/>
      <c r="T158" s="254"/>
      <c r="U158" s="254"/>
      <c r="V158" s="254"/>
      <c r="W158" s="66"/>
      <c r="X158" s="254"/>
      <c r="Y158" s="66"/>
      <c r="Z158" s="344"/>
      <c r="AE158" s="2461"/>
      <c r="AF158" s="68"/>
    </row>
    <row r="159" spans="1:32" x14ac:dyDescent="0.35">
      <c r="A159" s="694"/>
      <c r="B159" s="693">
        <v>10912</v>
      </c>
      <c r="C159" s="693"/>
      <c r="D159" s="695"/>
      <c r="E159" s="270" t="s">
        <v>11283</v>
      </c>
      <c r="F159" s="92">
        <v>5</v>
      </c>
      <c r="G159" s="92">
        <v>5</v>
      </c>
      <c r="H159" s="92">
        <v>6</v>
      </c>
      <c r="I159" s="691"/>
      <c r="J159" s="691"/>
      <c r="K159" s="691"/>
      <c r="L159" s="691"/>
      <c r="M159" s="691"/>
      <c r="N159" s="691">
        <f>7.759-6.607</f>
        <v>1.1520000000000001</v>
      </c>
      <c r="O159" s="1239"/>
      <c r="P159" s="691"/>
      <c r="Q159" s="1090"/>
      <c r="R159" s="1085"/>
      <c r="S159" s="398"/>
      <c r="T159" s="254"/>
      <c r="U159" s="254"/>
      <c r="V159" s="254"/>
      <c r="W159" s="66"/>
      <c r="X159" s="254"/>
      <c r="Y159" s="66"/>
      <c r="Z159" s="344"/>
      <c r="AE159" s="2461"/>
      <c r="AF159" s="68"/>
    </row>
    <row r="160" spans="1:32" ht="30.5" x14ac:dyDescent="0.35">
      <c r="A160" s="525">
        <v>69</v>
      </c>
      <c r="B160" s="693">
        <v>10912</v>
      </c>
      <c r="C160" s="693"/>
      <c r="D160" s="2469" t="s">
        <v>5313</v>
      </c>
      <c r="E160" s="269" t="s">
        <v>11410</v>
      </c>
      <c r="F160" s="92">
        <v>5</v>
      </c>
      <c r="G160" s="92">
        <v>5</v>
      </c>
      <c r="H160" s="92">
        <v>6</v>
      </c>
      <c r="I160" s="688">
        <f>J160+K160+L160</f>
        <v>1.4590000000000001</v>
      </c>
      <c r="J160" s="688">
        <f>SUM(M160:R160)</f>
        <v>1.4590000000000001</v>
      </c>
      <c r="K160" s="688"/>
      <c r="L160" s="688"/>
      <c r="M160" s="688"/>
      <c r="N160" s="688">
        <v>1.4590000000000001</v>
      </c>
      <c r="O160" s="2837"/>
      <c r="P160" s="688"/>
      <c r="Q160" s="1088"/>
      <c r="R160" s="1083"/>
      <c r="S160" s="397"/>
      <c r="T160" s="250"/>
      <c r="U160" s="250"/>
      <c r="V160" s="250"/>
      <c r="W160" s="67">
        <v>5</v>
      </c>
      <c r="X160" s="250">
        <v>67</v>
      </c>
      <c r="Y160" s="67">
        <v>2</v>
      </c>
      <c r="Z160" s="343">
        <v>22</v>
      </c>
      <c r="AB160" s="3">
        <v>1</v>
      </c>
      <c r="AE160" s="2461"/>
      <c r="AF160" s="68"/>
    </row>
    <row r="161" spans="1:32" ht="60" x14ac:dyDescent="0.35">
      <c r="A161" s="2001">
        <v>70</v>
      </c>
      <c r="B161" s="693">
        <v>10912</v>
      </c>
      <c r="C161" s="358" t="s">
        <v>1656</v>
      </c>
      <c r="D161" s="2469" t="s">
        <v>5314</v>
      </c>
      <c r="E161" s="322" t="s">
        <v>8685</v>
      </c>
      <c r="F161" s="92" t="s">
        <v>1490</v>
      </c>
      <c r="G161" s="92">
        <v>5</v>
      </c>
      <c r="H161" s="92">
        <v>6</v>
      </c>
      <c r="I161" s="297">
        <f>J161+K161+L161</f>
        <v>0.45</v>
      </c>
      <c r="J161" s="297">
        <f>SUM(M161:R161)</f>
        <v>0.45</v>
      </c>
      <c r="K161" s="690"/>
      <c r="L161" s="688"/>
      <c r="M161" s="688"/>
      <c r="N161" s="688"/>
      <c r="O161" s="2386"/>
      <c r="P161" s="688"/>
      <c r="Q161" s="2387"/>
      <c r="R161" s="2388">
        <v>0.45</v>
      </c>
      <c r="S161" s="397"/>
      <c r="T161" s="250"/>
      <c r="U161" s="250"/>
      <c r="V161" s="250"/>
      <c r="W161" s="67"/>
      <c r="X161" s="250"/>
      <c r="Y161" s="67"/>
      <c r="Z161" s="343"/>
      <c r="AB161" s="3">
        <v>1</v>
      </c>
      <c r="AE161" s="2461"/>
      <c r="AF161" s="68"/>
    </row>
    <row r="162" spans="1:32" ht="30.5" x14ac:dyDescent="0.35">
      <c r="A162" s="525">
        <v>71</v>
      </c>
      <c r="B162" s="1144">
        <v>10912</v>
      </c>
      <c r="C162" s="358" t="s">
        <v>1656</v>
      </c>
      <c r="D162" s="2469" t="s">
        <v>5315</v>
      </c>
      <c r="E162" s="269" t="s">
        <v>8686</v>
      </c>
      <c r="F162" s="92" t="s">
        <v>1490</v>
      </c>
      <c r="G162" s="92">
        <v>5</v>
      </c>
      <c r="H162" s="92">
        <v>6</v>
      </c>
      <c r="I162" s="297">
        <f>J162+K162+L162</f>
        <v>0.05</v>
      </c>
      <c r="J162" s="297">
        <f>SUM(M162:R162)</f>
        <v>0.05</v>
      </c>
      <c r="K162" s="691"/>
      <c r="L162" s="691"/>
      <c r="M162" s="688"/>
      <c r="N162" s="688"/>
      <c r="O162" s="2386"/>
      <c r="P162" s="688"/>
      <c r="Q162" s="2387"/>
      <c r="R162" s="2388">
        <v>0.05</v>
      </c>
      <c r="S162" s="398"/>
      <c r="T162" s="92"/>
      <c r="U162" s="92"/>
      <c r="V162" s="92"/>
      <c r="W162" s="66"/>
      <c r="X162" s="92"/>
      <c r="Y162" s="66"/>
      <c r="Z162" s="342"/>
      <c r="AB162" s="3">
        <v>1</v>
      </c>
      <c r="AE162" s="2461"/>
      <c r="AF162" s="68"/>
    </row>
    <row r="163" spans="1:32" ht="45.5" x14ac:dyDescent="0.35">
      <c r="A163" s="2001">
        <v>72</v>
      </c>
      <c r="B163" s="693">
        <v>10912</v>
      </c>
      <c r="C163" s="358" t="s">
        <v>1656</v>
      </c>
      <c r="D163" s="2469" t="s">
        <v>5316</v>
      </c>
      <c r="E163" s="269" t="s">
        <v>8687</v>
      </c>
      <c r="F163" s="92" t="s">
        <v>1490</v>
      </c>
      <c r="G163" s="92">
        <v>5</v>
      </c>
      <c r="H163" s="92">
        <v>6</v>
      </c>
      <c r="I163" s="297">
        <f>J163+K163+L163</f>
        <v>0.3</v>
      </c>
      <c r="J163" s="297">
        <f>SUM(M163:R163)</f>
        <v>0.3</v>
      </c>
      <c r="K163" s="690"/>
      <c r="L163" s="688"/>
      <c r="M163" s="688"/>
      <c r="N163" s="688"/>
      <c r="O163" s="2386"/>
      <c r="P163" s="688"/>
      <c r="Q163" s="2387"/>
      <c r="R163" s="2388">
        <v>0.3</v>
      </c>
      <c r="S163" s="397"/>
      <c r="T163" s="250"/>
      <c r="U163" s="250"/>
      <c r="V163" s="250"/>
      <c r="W163" s="67"/>
      <c r="X163" s="250"/>
      <c r="Y163" s="67"/>
      <c r="Z163" s="343"/>
      <c r="AB163" s="3">
        <v>1</v>
      </c>
      <c r="AE163" s="2461"/>
      <c r="AF163" s="68"/>
    </row>
    <row r="164" spans="1:32" x14ac:dyDescent="0.35">
      <c r="A164" s="525">
        <v>73</v>
      </c>
      <c r="B164" s="693">
        <v>10913</v>
      </c>
      <c r="C164" s="693"/>
      <c r="D164" s="693" t="s">
        <v>2992</v>
      </c>
      <c r="E164" s="269" t="s">
        <v>2983</v>
      </c>
      <c r="F164" s="92"/>
      <c r="G164" s="92" t="s">
        <v>191</v>
      </c>
      <c r="H164" s="92" t="s">
        <v>191</v>
      </c>
      <c r="I164" s="688">
        <f>J164+K164+L164</f>
        <v>5.8</v>
      </c>
      <c r="J164" s="688">
        <f>SUM(M164:R164)</f>
        <v>5.8</v>
      </c>
      <c r="K164" s="688"/>
      <c r="L164" s="688"/>
      <c r="M164" s="688"/>
      <c r="N164" s="688">
        <v>5.0999999999999996</v>
      </c>
      <c r="O164" s="1238"/>
      <c r="P164" s="688"/>
      <c r="Q164" s="1088"/>
      <c r="R164" s="1083">
        <v>0.7</v>
      </c>
      <c r="S164" s="397"/>
      <c r="T164" s="250"/>
      <c r="U164" s="250"/>
      <c r="V164" s="250"/>
      <c r="W164" s="67">
        <v>17</v>
      </c>
      <c r="X164" s="250">
        <v>202.80000305175781</v>
      </c>
      <c r="Y164" s="67">
        <v>9</v>
      </c>
      <c r="Z164" s="343">
        <v>88.800003051757813</v>
      </c>
      <c r="AB164" s="3">
        <v>1</v>
      </c>
      <c r="AE164" s="2461"/>
      <c r="AF164" s="68"/>
    </row>
    <row r="165" spans="1:32" x14ac:dyDescent="0.35">
      <c r="A165" s="525"/>
      <c r="B165" s="693">
        <v>10913</v>
      </c>
      <c r="C165" s="693"/>
      <c r="D165" s="693"/>
      <c r="E165" s="270" t="s">
        <v>1192</v>
      </c>
      <c r="F165" s="92">
        <v>4</v>
      </c>
      <c r="G165" s="92">
        <v>5</v>
      </c>
      <c r="H165" s="92">
        <v>6</v>
      </c>
      <c r="I165" s="691"/>
      <c r="J165" s="691"/>
      <c r="K165" s="691"/>
      <c r="L165" s="691"/>
      <c r="M165" s="691"/>
      <c r="N165" s="691">
        <v>5.0999999999999996</v>
      </c>
      <c r="O165" s="2284"/>
      <c r="P165" s="691"/>
      <c r="Q165" s="2285"/>
      <c r="R165" s="2286"/>
      <c r="S165" s="397"/>
      <c r="T165" s="250"/>
      <c r="U165" s="250"/>
      <c r="V165" s="250"/>
      <c r="W165" s="67"/>
      <c r="X165" s="250"/>
      <c r="Y165" s="67"/>
      <c r="Z165" s="343"/>
      <c r="AE165" s="2461"/>
      <c r="AF165" s="68"/>
    </row>
    <row r="166" spans="1:32" x14ac:dyDescent="0.35">
      <c r="A166" s="525"/>
      <c r="B166" s="693">
        <v>10913</v>
      </c>
      <c r="C166" s="693"/>
      <c r="D166" s="693"/>
      <c r="E166" s="2054" t="s">
        <v>3003</v>
      </c>
      <c r="F166" s="92" t="s">
        <v>1490</v>
      </c>
      <c r="G166" s="92">
        <v>5</v>
      </c>
      <c r="H166" s="92">
        <v>6</v>
      </c>
      <c r="I166" s="691"/>
      <c r="J166" s="691"/>
      <c r="K166" s="691"/>
      <c r="L166" s="691"/>
      <c r="M166" s="691"/>
      <c r="N166" s="691"/>
      <c r="O166" s="2284"/>
      <c r="P166" s="691"/>
      <c r="Q166" s="2285"/>
      <c r="R166" s="2286">
        <v>0.7</v>
      </c>
      <c r="S166" s="397"/>
      <c r="T166" s="250"/>
      <c r="U166" s="250"/>
      <c r="V166" s="250"/>
      <c r="W166" s="67"/>
      <c r="X166" s="250"/>
      <c r="Y166" s="67"/>
      <c r="Z166" s="343"/>
      <c r="AE166" s="2461"/>
      <c r="AF166" s="68"/>
    </row>
    <row r="167" spans="1:32" ht="30.5" x14ac:dyDescent="0.35">
      <c r="A167" s="525">
        <v>74</v>
      </c>
      <c r="B167" s="693">
        <v>10913</v>
      </c>
      <c r="C167" s="693"/>
      <c r="D167" s="2469" t="s">
        <v>5317</v>
      </c>
      <c r="E167" s="269" t="s">
        <v>7807</v>
      </c>
      <c r="F167" s="92"/>
      <c r="G167" s="92" t="s">
        <v>191</v>
      </c>
      <c r="H167" s="92" t="s">
        <v>191</v>
      </c>
      <c r="I167" s="688">
        <f>J167+K167+L167</f>
        <v>1.7200000000000002</v>
      </c>
      <c r="J167" s="688">
        <f>SUM(M167:R167)</f>
        <v>1.7200000000000002</v>
      </c>
      <c r="K167" s="688"/>
      <c r="L167" s="688"/>
      <c r="M167" s="688"/>
      <c r="N167" s="688"/>
      <c r="O167" s="1238">
        <f>SUM(O168:O169)</f>
        <v>0.62</v>
      </c>
      <c r="P167" s="688"/>
      <c r="Q167" s="1088"/>
      <c r="R167" s="1083">
        <f>SUM(R168:R169)</f>
        <v>1.1000000000000001</v>
      </c>
      <c r="S167" s="397"/>
      <c r="T167" s="250"/>
      <c r="U167" s="250"/>
      <c r="V167" s="250"/>
      <c r="W167" s="67"/>
      <c r="X167" s="250"/>
      <c r="Y167" s="67"/>
      <c r="Z167" s="343"/>
      <c r="AB167" s="3">
        <v>1</v>
      </c>
      <c r="AE167" s="2461"/>
      <c r="AF167" s="68"/>
    </row>
    <row r="168" spans="1:32" x14ac:dyDescent="0.35">
      <c r="A168" s="694"/>
      <c r="B168" s="693">
        <v>10913</v>
      </c>
      <c r="C168" s="693"/>
      <c r="D168" s="695"/>
      <c r="E168" s="878" t="s">
        <v>3164</v>
      </c>
      <c r="F168" s="92" t="s">
        <v>1490</v>
      </c>
      <c r="G168" s="92">
        <v>5</v>
      </c>
      <c r="H168" s="92">
        <v>6</v>
      </c>
      <c r="I168" s="691"/>
      <c r="J168" s="691"/>
      <c r="K168" s="691"/>
      <c r="L168" s="691"/>
      <c r="M168" s="691"/>
      <c r="N168" s="691"/>
      <c r="O168" s="1239"/>
      <c r="P168" s="691"/>
      <c r="Q168" s="1090"/>
      <c r="R168" s="1085">
        <v>1.1000000000000001</v>
      </c>
      <c r="S168" s="398"/>
      <c r="T168" s="254"/>
      <c r="U168" s="254"/>
      <c r="V168" s="254"/>
      <c r="W168" s="66"/>
      <c r="X168" s="254"/>
      <c r="Y168" s="66"/>
      <c r="Z168" s="344"/>
      <c r="AE168" s="2461"/>
      <c r="AF168" s="68"/>
    </row>
    <row r="169" spans="1:32" x14ac:dyDescent="0.35">
      <c r="A169" s="694"/>
      <c r="B169" s="693">
        <v>10913</v>
      </c>
      <c r="C169" s="693"/>
      <c r="D169" s="695"/>
      <c r="E169" s="921" t="s">
        <v>1225</v>
      </c>
      <c r="F169" s="92" t="s">
        <v>1490</v>
      </c>
      <c r="G169" s="92">
        <v>5</v>
      </c>
      <c r="H169" s="92">
        <v>6</v>
      </c>
      <c r="I169" s="691"/>
      <c r="J169" s="691"/>
      <c r="K169" s="691"/>
      <c r="L169" s="691"/>
      <c r="M169" s="691"/>
      <c r="N169" s="691"/>
      <c r="O169" s="1239">
        <v>0.62</v>
      </c>
      <c r="P169" s="691"/>
      <c r="Q169" s="1090"/>
      <c r="R169" s="1085"/>
      <c r="S169" s="398"/>
      <c r="T169" s="254"/>
      <c r="U169" s="254"/>
      <c r="V169" s="254"/>
      <c r="W169" s="66"/>
      <c r="X169" s="254"/>
      <c r="Y169" s="66"/>
      <c r="Z169" s="344"/>
      <c r="AE169" s="2461"/>
      <c r="AF169" s="68"/>
    </row>
    <row r="170" spans="1:32" ht="45" x14ac:dyDescent="0.35">
      <c r="A170" s="2001">
        <v>75</v>
      </c>
      <c r="B170" s="693">
        <v>10913</v>
      </c>
      <c r="C170" s="358" t="s">
        <v>1656</v>
      </c>
      <c r="D170" s="2469" t="s">
        <v>5318</v>
      </c>
      <c r="E170" s="322" t="s">
        <v>8688</v>
      </c>
      <c r="F170" s="92" t="s">
        <v>1490</v>
      </c>
      <c r="G170" s="2289">
        <v>5</v>
      </c>
      <c r="H170" s="92">
        <v>6</v>
      </c>
      <c r="I170" s="297">
        <f>J170+K170+L170</f>
        <v>0.4</v>
      </c>
      <c r="J170" s="297">
        <f>SUM(M170:R170)</f>
        <v>0.4</v>
      </c>
      <c r="K170" s="690"/>
      <c r="L170" s="688"/>
      <c r="M170" s="688"/>
      <c r="N170" s="688"/>
      <c r="O170" s="2386"/>
      <c r="P170" s="688"/>
      <c r="Q170" s="2387"/>
      <c r="R170" s="2388">
        <v>0.4</v>
      </c>
      <c r="S170" s="397"/>
      <c r="T170" s="250"/>
      <c r="U170" s="250"/>
      <c r="V170" s="250"/>
      <c r="W170" s="67"/>
      <c r="X170" s="250"/>
      <c r="Y170" s="67"/>
      <c r="Z170" s="343"/>
      <c r="AB170" s="3">
        <v>1</v>
      </c>
      <c r="AE170" s="2461"/>
      <c r="AF170" s="68"/>
    </row>
    <row r="171" spans="1:32" ht="30.5" x14ac:dyDescent="0.35">
      <c r="A171" s="2001">
        <v>76</v>
      </c>
      <c r="B171" s="693">
        <v>10913</v>
      </c>
      <c r="C171" s="358" t="s">
        <v>1656</v>
      </c>
      <c r="D171" s="2469" t="s">
        <v>5319</v>
      </c>
      <c r="E171" s="269" t="s">
        <v>8689</v>
      </c>
      <c r="F171" s="92" t="s">
        <v>1490</v>
      </c>
      <c r="G171" s="92">
        <v>5</v>
      </c>
      <c r="H171" s="92">
        <v>6</v>
      </c>
      <c r="I171" s="297">
        <f t="shared" ref="I171:I181" si="16">J171+K171+L171</f>
        <v>0.77</v>
      </c>
      <c r="J171" s="297">
        <f t="shared" ref="J171:J181" si="17">SUM(M171:R171)</f>
        <v>0.77</v>
      </c>
      <c r="K171" s="688"/>
      <c r="L171" s="688"/>
      <c r="M171" s="688"/>
      <c r="N171" s="688"/>
      <c r="O171" s="2386"/>
      <c r="P171" s="688"/>
      <c r="Q171" s="2387"/>
      <c r="R171" s="2388">
        <v>0.77</v>
      </c>
      <c r="S171" s="397"/>
      <c r="T171" s="250"/>
      <c r="U171" s="250"/>
      <c r="V171" s="250"/>
      <c r="W171" s="67"/>
      <c r="X171" s="250"/>
      <c r="Y171" s="67"/>
      <c r="Z171" s="250"/>
      <c r="AB171" s="3">
        <v>1</v>
      </c>
      <c r="AE171" s="2461"/>
      <c r="AF171" s="68"/>
    </row>
    <row r="172" spans="1:32" ht="30.5" x14ac:dyDescent="0.35">
      <c r="A172" s="2001">
        <v>77</v>
      </c>
      <c r="B172" s="693">
        <v>10914</v>
      </c>
      <c r="C172" s="693"/>
      <c r="D172" s="693" t="s">
        <v>2993</v>
      </c>
      <c r="E172" s="269" t="s">
        <v>11411</v>
      </c>
      <c r="F172" s="92"/>
      <c r="G172" s="92" t="s">
        <v>191</v>
      </c>
      <c r="H172" s="92" t="s">
        <v>191</v>
      </c>
      <c r="I172" s="688">
        <f t="shared" si="16"/>
        <v>5.0430000000000001</v>
      </c>
      <c r="J172" s="688">
        <f t="shared" si="17"/>
        <v>5.0280000000000005</v>
      </c>
      <c r="K172" s="688"/>
      <c r="L172" s="688">
        <f>SUM(L173:L174)</f>
        <v>1.4999999999999999E-2</v>
      </c>
      <c r="M172" s="688"/>
      <c r="N172" s="688">
        <f>SUM(N173:N174)</f>
        <v>5.0280000000000005</v>
      </c>
      <c r="O172" s="1238"/>
      <c r="P172" s="688"/>
      <c r="Q172" s="1088"/>
      <c r="R172" s="1083"/>
      <c r="S172" s="397">
        <f>1</f>
        <v>1</v>
      </c>
      <c r="T172" s="250">
        <v>10</v>
      </c>
      <c r="U172" s="250"/>
      <c r="V172" s="250"/>
      <c r="W172" s="67">
        <v>11</v>
      </c>
      <c r="X172" s="250">
        <v>135</v>
      </c>
      <c r="Y172" s="67">
        <v>5</v>
      </c>
      <c r="Z172" s="343">
        <v>57.3</v>
      </c>
      <c r="AB172" s="3">
        <v>1</v>
      </c>
      <c r="AE172" s="2461"/>
      <c r="AF172" s="68"/>
    </row>
    <row r="173" spans="1:32" ht="31" x14ac:dyDescent="0.35">
      <c r="A173" s="2001"/>
      <c r="B173" s="693"/>
      <c r="C173" s="693"/>
      <c r="D173" s="693"/>
      <c r="E173" s="270" t="s">
        <v>11268</v>
      </c>
      <c r="F173" s="92">
        <v>4</v>
      </c>
      <c r="G173" s="92">
        <v>5</v>
      </c>
      <c r="H173" s="92" t="s">
        <v>191</v>
      </c>
      <c r="I173" s="691"/>
      <c r="J173" s="691"/>
      <c r="K173" s="691"/>
      <c r="L173" s="691">
        <v>1.4999999999999999E-2</v>
      </c>
      <c r="M173" s="691"/>
      <c r="N173" s="691"/>
      <c r="O173" s="2284"/>
      <c r="P173" s="691"/>
      <c r="Q173" s="2285"/>
      <c r="R173" s="2286"/>
      <c r="S173" s="397"/>
      <c r="T173" s="250"/>
      <c r="U173" s="250"/>
      <c r="V173" s="250"/>
      <c r="W173" s="67"/>
      <c r="X173" s="250"/>
      <c r="Y173" s="67"/>
      <c r="Z173" s="343"/>
      <c r="AE173" s="2461"/>
      <c r="AF173" s="68"/>
    </row>
    <row r="174" spans="1:32" x14ac:dyDescent="0.35">
      <c r="A174" s="2001"/>
      <c r="B174" s="693"/>
      <c r="C174" s="693"/>
      <c r="D174" s="693"/>
      <c r="E174" s="270" t="s">
        <v>11267</v>
      </c>
      <c r="F174" s="92">
        <v>4</v>
      </c>
      <c r="G174" s="92">
        <v>5</v>
      </c>
      <c r="H174" s="92">
        <v>6</v>
      </c>
      <c r="I174" s="691"/>
      <c r="J174" s="691"/>
      <c r="K174" s="691"/>
      <c r="L174" s="691"/>
      <c r="M174" s="691"/>
      <c r="N174" s="691">
        <f>5.043-0.015</f>
        <v>5.0280000000000005</v>
      </c>
      <c r="O174" s="2284"/>
      <c r="P174" s="691"/>
      <c r="Q174" s="2285"/>
      <c r="R174" s="2286"/>
      <c r="S174" s="397"/>
      <c r="T174" s="250"/>
      <c r="U174" s="250"/>
      <c r="V174" s="250"/>
      <c r="W174" s="67"/>
      <c r="X174" s="250"/>
      <c r="Y174" s="67"/>
      <c r="Z174" s="343"/>
      <c r="AE174" s="2461"/>
      <c r="AF174" s="68"/>
    </row>
    <row r="175" spans="1:32" ht="30.5" x14ac:dyDescent="0.35">
      <c r="A175" s="2001">
        <v>78</v>
      </c>
      <c r="B175" s="693">
        <v>10914</v>
      </c>
      <c r="C175" s="693"/>
      <c r="D175" s="2469" t="s">
        <v>5320</v>
      </c>
      <c r="E175" s="269" t="s">
        <v>11412</v>
      </c>
      <c r="F175" s="92"/>
      <c r="G175" s="92" t="s">
        <v>191</v>
      </c>
      <c r="H175" s="92" t="s">
        <v>191</v>
      </c>
      <c r="I175" s="688">
        <f t="shared" si="16"/>
        <v>2.8860000000000001</v>
      </c>
      <c r="J175" s="688">
        <f t="shared" si="17"/>
        <v>2.8860000000000001</v>
      </c>
      <c r="K175" s="688"/>
      <c r="L175" s="688"/>
      <c r="M175" s="688"/>
      <c r="N175" s="688">
        <f>SUM(N176:N178)</f>
        <v>1.506</v>
      </c>
      <c r="O175" s="1238"/>
      <c r="P175" s="688"/>
      <c r="Q175" s="1088">
        <f>SUM(Q176:Q178)</f>
        <v>1.3800000000000001</v>
      </c>
      <c r="R175" s="1083"/>
      <c r="S175" s="397"/>
      <c r="T175" s="250"/>
      <c r="U175" s="250"/>
      <c r="V175" s="250"/>
      <c r="W175" s="67">
        <v>5</v>
      </c>
      <c r="X175" s="250">
        <v>63.8</v>
      </c>
      <c r="Y175" s="67"/>
      <c r="Z175" s="343"/>
      <c r="AB175" s="3">
        <v>1</v>
      </c>
      <c r="AE175" s="2461"/>
      <c r="AF175" s="68"/>
    </row>
    <row r="176" spans="1:32" x14ac:dyDescent="0.35">
      <c r="A176" s="2001"/>
      <c r="B176" s="693"/>
      <c r="C176" s="693"/>
      <c r="D176" s="2469"/>
      <c r="E176" s="270" t="s">
        <v>3415</v>
      </c>
      <c r="F176" s="92">
        <v>4</v>
      </c>
      <c r="G176" s="92">
        <v>5</v>
      </c>
      <c r="H176" s="92">
        <v>6</v>
      </c>
      <c r="I176" s="691"/>
      <c r="J176" s="691"/>
      <c r="K176" s="691"/>
      <c r="L176" s="691"/>
      <c r="M176" s="691"/>
      <c r="N176" s="691">
        <v>1.4999999999999999E-2</v>
      </c>
      <c r="O176" s="2284"/>
      <c r="P176" s="691"/>
      <c r="Q176" s="2285"/>
      <c r="R176" s="1083"/>
      <c r="S176" s="397"/>
      <c r="T176" s="250"/>
      <c r="U176" s="250"/>
      <c r="V176" s="250"/>
      <c r="W176" s="67"/>
      <c r="X176" s="250"/>
      <c r="Y176" s="67"/>
      <c r="Z176" s="343"/>
      <c r="AE176" s="2461"/>
      <c r="AF176" s="68"/>
    </row>
    <row r="177" spans="1:32" x14ac:dyDescent="0.35">
      <c r="A177" s="2001"/>
      <c r="B177" s="693"/>
      <c r="C177" s="693"/>
      <c r="D177" s="2469"/>
      <c r="E177" s="900" t="s">
        <v>11265</v>
      </c>
      <c r="F177" s="92">
        <v>4</v>
      </c>
      <c r="G177" s="92">
        <v>5</v>
      </c>
      <c r="H177" s="92">
        <v>6</v>
      </c>
      <c r="I177" s="691"/>
      <c r="J177" s="691"/>
      <c r="K177" s="691"/>
      <c r="L177" s="691"/>
      <c r="M177" s="691"/>
      <c r="N177" s="691"/>
      <c r="O177" s="2284"/>
      <c r="P177" s="691"/>
      <c r="Q177" s="2285">
        <f>1.395-0.015</f>
        <v>1.3800000000000001</v>
      </c>
      <c r="R177" s="1083"/>
      <c r="S177" s="397"/>
      <c r="T177" s="250"/>
      <c r="U177" s="250"/>
      <c r="V177" s="250"/>
      <c r="W177" s="67"/>
      <c r="X177" s="250"/>
      <c r="Y177" s="67"/>
      <c r="Z177" s="343"/>
      <c r="AE177" s="2461"/>
      <c r="AF177" s="68"/>
    </row>
    <row r="178" spans="1:32" x14ac:dyDescent="0.35">
      <c r="A178" s="2001"/>
      <c r="B178" s="693"/>
      <c r="C178" s="693"/>
      <c r="D178" s="2469"/>
      <c r="E178" s="270" t="s">
        <v>11266</v>
      </c>
      <c r="F178" s="92">
        <v>4</v>
      </c>
      <c r="G178" s="92">
        <v>5</v>
      </c>
      <c r="H178" s="92">
        <v>6</v>
      </c>
      <c r="I178" s="691"/>
      <c r="J178" s="691"/>
      <c r="K178" s="691"/>
      <c r="L178" s="691"/>
      <c r="M178" s="691"/>
      <c r="N178" s="691">
        <f>2.886-1.395</f>
        <v>1.4910000000000001</v>
      </c>
      <c r="O178" s="2284"/>
      <c r="P178" s="691"/>
      <c r="Q178" s="2285"/>
      <c r="R178" s="1083"/>
      <c r="S178" s="397"/>
      <c r="T178" s="250"/>
      <c r="U178" s="250"/>
      <c r="V178" s="250"/>
      <c r="W178" s="67"/>
      <c r="X178" s="250"/>
      <c r="Y178" s="67"/>
      <c r="Z178" s="343"/>
      <c r="AE178" s="2461"/>
      <c r="AF178" s="68"/>
    </row>
    <row r="179" spans="1:32" ht="45.5" x14ac:dyDescent="0.35">
      <c r="A179" s="2001">
        <v>79</v>
      </c>
      <c r="B179" s="693">
        <v>10914</v>
      </c>
      <c r="C179" s="358" t="s">
        <v>1656</v>
      </c>
      <c r="D179" s="2469" t="s">
        <v>5321</v>
      </c>
      <c r="E179" s="269" t="s">
        <v>8690</v>
      </c>
      <c r="F179" s="92" t="s">
        <v>1490</v>
      </c>
      <c r="G179" s="92">
        <v>5</v>
      </c>
      <c r="H179" s="92">
        <v>6</v>
      </c>
      <c r="I179" s="297">
        <f t="shared" si="16"/>
        <v>0.1</v>
      </c>
      <c r="J179" s="297">
        <f t="shared" si="17"/>
        <v>0.1</v>
      </c>
      <c r="K179" s="688"/>
      <c r="L179" s="688"/>
      <c r="M179" s="688"/>
      <c r="N179" s="688"/>
      <c r="O179" s="2386"/>
      <c r="P179" s="688"/>
      <c r="Q179" s="2387"/>
      <c r="R179" s="2388">
        <v>0.1</v>
      </c>
      <c r="S179" s="397"/>
      <c r="T179" s="250"/>
      <c r="U179" s="250"/>
      <c r="V179" s="250"/>
      <c r="W179" s="67"/>
      <c r="X179" s="250"/>
      <c r="Y179" s="67"/>
      <c r="Z179" s="343"/>
      <c r="AB179" s="3">
        <v>1</v>
      </c>
      <c r="AE179" s="2461"/>
      <c r="AF179" s="68"/>
    </row>
    <row r="180" spans="1:32" ht="45.5" x14ac:dyDescent="0.35">
      <c r="A180" s="2001">
        <v>80</v>
      </c>
      <c r="B180" s="693">
        <v>10914</v>
      </c>
      <c r="C180" s="358" t="s">
        <v>1656</v>
      </c>
      <c r="D180" s="2469" t="s">
        <v>5322</v>
      </c>
      <c r="E180" s="269" t="s">
        <v>9955</v>
      </c>
      <c r="F180" s="92" t="s">
        <v>1490</v>
      </c>
      <c r="G180" s="2289">
        <v>5</v>
      </c>
      <c r="H180" s="92">
        <v>6</v>
      </c>
      <c r="I180" s="297">
        <f t="shared" si="16"/>
        <v>0.1</v>
      </c>
      <c r="J180" s="297">
        <f>SUM(M180:R180)</f>
        <v>0.1</v>
      </c>
      <c r="K180" s="688"/>
      <c r="L180" s="688"/>
      <c r="M180" s="688"/>
      <c r="N180" s="688"/>
      <c r="O180" s="2386"/>
      <c r="P180" s="688"/>
      <c r="Q180" s="2387"/>
      <c r="R180" s="2388">
        <v>0.1</v>
      </c>
      <c r="S180" s="397"/>
      <c r="T180" s="250"/>
      <c r="U180" s="250"/>
      <c r="V180" s="250"/>
      <c r="W180" s="67"/>
      <c r="X180" s="250"/>
      <c r="Y180" s="67"/>
      <c r="Z180" s="343"/>
      <c r="AB180" s="3">
        <v>1</v>
      </c>
      <c r="AE180" s="2461"/>
      <c r="AF180" s="68"/>
    </row>
    <row r="181" spans="1:32" x14ac:dyDescent="0.35">
      <c r="A181" s="2001">
        <v>81</v>
      </c>
      <c r="B181" s="693">
        <v>10915</v>
      </c>
      <c r="C181" s="693"/>
      <c r="D181" s="693" t="s">
        <v>2994</v>
      </c>
      <c r="E181" s="269" t="s">
        <v>1886</v>
      </c>
      <c r="F181" s="92"/>
      <c r="G181" s="92" t="s">
        <v>191</v>
      </c>
      <c r="H181" s="92" t="s">
        <v>191</v>
      </c>
      <c r="I181" s="688">
        <f t="shared" si="16"/>
        <v>8.6910000000000007</v>
      </c>
      <c r="J181" s="688">
        <f t="shared" si="17"/>
        <v>8.6910000000000007</v>
      </c>
      <c r="K181" s="688"/>
      <c r="L181" s="688"/>
      <c r="M181" s="688"/>
      <c r="N181" s="688">
        <f>SUM(N182:N186)</f>
        <v>8.6910000000000007</v>
      </c>
      <c r="O181" s="1238"/>
      <c r="P181" s="688"/>
      <c r="Q181" s="1088"/>
      <c r="R181" s="1083"/>
      <c r="S181" s="397"/>
      <c r="T181" s="250"/>
      <c r="U181" s="250"/>
      <c r="V181" s="250"/>
      <c r="W181" s="67">
        <v>14</v>
      </c>
      <c r="X181" s="250">
        <v>156.56</v>
      </c>
      <c r="Y181" s="67">
        <v>6</v>
      </c>
      <c r="Z181" s="343">
        <v>58</v>
      </c>
      <c r="AB181" s="3">
        <v>1</v>
      </c>
      <c r="AE181" s="2461"/>
      <c r="AF181" s="68"/>
    </row>
    <row r="182" spans="1:32" x14ac:dyDescent="0.35">
      <c r="A182" s="694"/>
      <c r="B182" s="1040">
        <v>10915</v>
      </c>
      <c r="C182" s="1040"/>
      <c r="D182" s="695"/>
      <c r="E182" s="270" t="s">
        <v>2854</v>
      </c>
      <c r="F182" s="92">
        <v>4</v>
      </c>
      <c r="G182" s="92">
        <v>4</v>
      </c>
      <c r="H182" s="92">
        <v>6</v>
      </c>
      <c r="I182" s="691"/>
      <c r="J182" s="691"/>
      <c r="K182" s="691"/>
      <c r="L182" s="691"/>
      <c r="M182" s="691"/>
      <c r="N182" s="691">
        <v>5.3639999999999999</v>
      </c>
      <c r="O182" s="1239"/>
      <c r="P182" s="691"/>
      <c r="Q182" s="1090"/>
      <c r="R182" s="1085"/>
      <c r="S182" s="398"/>
      <c r="T182" s="254"/>
      <c r="U182" s="254"/>
      <c r="V182" s="254"/>
      <c r="W182" s="66"/>
      <c r="X182" s="254"/>
      <c r="Y182" s="66"/>
      <c r="Z182" s="344"/>
      <c r="AE182" s="2461"/>
      <c r="AF182" s="68"/>
    </row>
    <row r="183" spans="1:32" x14ac:dyDescent="0.35">
      <c r="A183" s="694"/>
      <c r="B183" s="1040">
        <v>10915</v>
      </c>
      <c r="C183" s="1040"/>
      <c r="D183" s="695"/>
      <c r="E183" s="270" t="s">
        <v>3112</v>
      </c>
      <c r="F183" s="92">
        <v>5</v>
      </c>
      <c r="G183" s="92">
        <v>4</v>
      </c>
      <c r="H183" s="92">
        <v>6</v>
      </c>
      <c r="I183" s="691"/>
      <c r="J183" s="691"/>
      <c r="K183" s="691"/>
      <c r="L183" s="691"/>
      <c r="M183" s="691"/>
      <c r="N183" s="691">
        <f>6.24-5.364</f>
        <v>0.87600000000000033</v>
      </c>
      <c r="O183" s="1239"/>
      <c r="P183" s="691"/>
      <c r="Q183" s="1090"/>
      <c r="R183" s="1085"/>
      <c r="S183" s="398"/>
      <c r="T183" s="254"/>
      <c r="U183" s="254"/>
      <c r="V183" s="254"/>
      <c r="W183" s="66"/>
      <c r="X183" s="254"/>
      <c r="Y183" s="66"/>
      <c r="Z183" s="344"/>
      <c r="AE183" s="2461"/>
      <c r="AF183" s="68"/>
    </row>
    <row r="184" spans="1:32" x14ac:dyDescent="0.35">
      <c r="A184" s="694"/>
      <c r="B184" s="1040">
        <v>10915</v>
      </c>
      <c r="C184" s="1040"/>
      <c r="D184" s="695"/>
      <c r="E184" s="393" t="s">
        <v>3231</v>
      </c>
      <c r="F184" s="92">
        <v>4</v>
      </c>
      <c r="G184" s="92">
        <v>4</v>
      </c>
      <c r="H184" s="92">
        <v>6</v>
      </c>
      <c r="I184" s="691"/>
      <c r="J184" s="691"/>
      <c r="K184" s="691"/>
      <c r="L184" s="691"/>
      <c r="M184" s="691"/>
      <c r="N184" s="691">
        <f>6.475-6.24</f>
        <v>0.23499999999999943</v>
      </c>
      <c r="O184" s="1239"/>
      <c r="P184" s="691"/>
      <c r="Q184" s="1090"/>
      <c r="R184" s="1085"/>
      <c r="S184" s="398"/>
      <c r="T184" s="254"/>
      <c r="U184" s="254"/>
      <c r="V184" s="254"/>
      <c r="W184" s="66"/>
      <c r="X184" s="254"/>
      <c r="Y184" s="66"/>
      <c r="Z184" s="344"/>
      <c r="AE184" s="2461"/>
      <c r="AF184" s="68"/>
    </row>
    <row r="185" spans="1:32" x14ac:dyDescent="0.35">
      <c r="A185" s="694"/>
      <c r="B185" s="1040">
        <v>10915</v>
      </c>
      <c r="C185" s="1040"/>
      <c r="D185" s="695"/>
      <c r="E185" s="270" t="s">
        <v>3232</v>
      </c>
      <c r="F185" s="92">
        <v>5</v>
      </c>
      <c r="G185" s="92">
        <v>4</v>
      </c>
      <c r="H185" s="92">
        <v>6</v>
      </c>
      <c r="I185" s="691"/>
      <c r="J185" s="691"/>
      <c r="K185" s="691"/>
      <c r="L185" s="691"/>
      <c r="M185" s="691"/>
      <c r="N185" s="691">
        <f>6.503-6.475</f>
        <v>2.8000000000000469E-2</v>
      </c>
      <c r="O185" s="1239"/>
      <c r="P185" s="691"/>
      <c r="Q185" s="1090"/>
      <c r="R185" s="1085"/>
      <c r="S185" s="398"/>
      <c r="T185" s="254"/>
      <c r="U185" s="254"/>
      <c r="V185" s="254"/>
      <c r="W185" s="66"/>
      <c r="X185" s="254"/>
      <c r="Y185" s="66"/>
      <c r="Z185" s="344"/>
      <c r="AE185" s="2461"/>
      <c r="AF185" s="68"/>
    </row>
    <row r="186" spans="1:32" x14ac:dyDescent="0.35">
      <c r="A186" s="694"/>
      <c r="B186" s="1040">
        <v>10915</v>
      </c>
      <c r="C186" s="1040"/>
      <c r="D186" s="695"/>
      <c r="E186" s="270" t="s">
        <v>1885</v>
      </c>
      <c r="F186" s="92" t="s">
        <v>827</v>
      </c>
      <c r="G186" s="92">
        <v>4</v>
      </c>
      <c r="H186" s="92">
        <v>6</v>
      </c>
      <c r="I186" s="691"/>
      <c r="J186" s="691"/>
      <c r="K186" s="691"/>
      <c r="L186" s="691"/>
      <c r="M186" s="691"/>
      <c r="N186" s="691">
        <f>8.691-6.503</f>
        <v>2.1880000000000006</v>
      </c>
      <c r="O186" s="1239"/>
      <c r="P186" s="691"/>
      <c r="Q186" s="1090"/>
      <c r="R186" s="1085"/>
      <c r="S186" s="398"/>
      <c r="T186" s="254"/>
      <c r="U186" s="254"/>
      <c r="V186" s="254"/>
      <c r="W186" s="66"/>
      <c r="X186" s="254"/>
      <c r="Y186" s="66"/>
      <c r="Z186" s="344"/>
      <c r="AE186" s="2461"/>
      <c r="AF186" s="68"/>
    </row>
    <row r="187" spans="1:32" ht="30.5" x14ac:dyDescent="0.35">
      <c r="A187" s="525">
        <v>82</v>
      </c>
      <c r="B187" s="1040">
        <v>10915</v>
      </c>
      <c r="C187" s="1040"/>
      <c r="D187" s="2469" t="s">
        <v>5323</v>
      </c>
      <c r="E187" s="269" t="s">
        <v>7808</v>
      </c>
      <c r="F187" s="92" t="s">
        <v>1490</v>
      </c>
      <c r="G187" s="92">
        <v>5</v>
      </c>
      <c r="H187" s="92">
        <v>6</v>
      </c>
      <c r="I187" s="688">
        <f>J187+K187+L187</f>
        <v>0.65</v>
      </c>
      <c r="J187" s="688">
        <f>SUM(M187:R187)</f>
        <v>0.65</v>
      </c>
      <c r="K187" s="688"/>
      <c r="L187" s="688"/>
      <c r="M187" s="688"/>
      <c r="N187" s="688"/>
      <c r="O187" s="1238"/>
      <c r="P187" s="688"/>
      <c r="Q187" s="1088"/>
      <c r="R187" s="1083">
        <v>0.65</v>
      </c>
      <c r="S187" s="397"/>
      <c r="T187" s="250"/>
      <c r="U187" s="250"/>
      <c r="V187" s="250"/>
      <c r="W187" s="67"/>
      <c r="X187" s="250"/>
      <c r="Y187" s="67"/>
      <c r="Z187" s="343"/>
      <c r="AB187" s="3">
        <v>1</v>
      </c>
      <c r="AE187" s="2461"/>
      <c r="AF187" s="68"/>
    </row>
    <row r="188" spans="1:32" ht="30.5" x14ac:dyDescent="0.35">
      <c r="A188" s="2001">
        <v>83</v>
      </c>
      <c r="B188" s="693">
        <v>10915</v>
      </c>
      <c r="C188" s="358" t="s">
        <v>1656</v>
      </c>
      <c r="D188" s="2469" t="s">
        <v>5324</v>
      </c>
      <c r="E188" s="269" t="s">
        <v>8691</v>
      </c>
      <c r="F188" s="92" t="s">
        <v>1490</v>
      </c>
      <c r="G188" s="2289">
        <v>5</v>
      </c>
      <c r="H188" s="92">
        <v>6</v>
      </c>
      <c r="I188" s="297">
        <f>J188+K188+L188</f>
        <v>0.5</v>
      </c>
      <c r="J188" s="297">
        <f>SUM(M188:R188)</f>
        <v>0.5</v>
      </c>
      <c r="K188" s="691"/>
      <c r="L188" s="691"/>
      <c r="M188" s="688"/>
      <c r="N188" s="688"/>
      <c r="O188" s="2386"/>
      <c r="P188" s="688"/>
      <c r="Q188" s="2387"/>
      <c r="R188" s="2388">
        <v>0.5</v>
      </c>
      <c r="S188" s="398"/>
      <c r="T188" s="254"/>
      <c r="U188" s="254"/>
      <c r="V188" s="254"/>
      <c r="W188" s="66"/>
      <c r="X188" s="254"/>
      <c r="Y188" s="254"/>
      <c r="Z188" s="344"/>
      <c r="AB188" s="3">
        <v>1</v>
      </c>
      <c r="AE188" s="2461"/>
      <c r="AF188" s="68"/>
    </row>
    <row r="189" spans="1:32" ht="30.5" x14ac:dyDescent="0.35">
      <c r="A189" s="2001">
        <v>84</v>
      </c>
      <c r="B189" s="693">
        <v>10915</v>
      </c>
      <c r="C189" s="358" t="s">
        <v>1656</v>
      </c>
      <c r="D189" s="2469" t="s">
        <v>5325</v>
      </c>
      <c r="E189" s="269" t="s">
        <v>8692</v>
      </c>
      <c r="F189" s="92" t="s">
        <v>1490</v>
      </c>
      <c r="G189" s="92">
        <v>5</v>
      </c>
      <c r="H189" s="92">
        <v>6</v>
      </c>
      <c r="I189" s="297">
        <f>J189+K189+L189</f>
        <v>0.6</v>
      </c>
      <c r="J189" s="297">
        <f>SUM(M189:R189)</f>
        <v>0.6</v>
      </c>
      <c r="K189" s="688"/>
      <c r="L189" s="688"/>
      <c r="M189" s="688"/>
      <c r="N189" s="688"/>
      <c r="O189" s="2386"/>
      <c r="P189" s="688"/>
      <c r="Q189" s="2387"/>
      <c r="R189" s="2388">
        <v>0.6</v>
      </c>
      <c r="S189" s="397"/>
      <c r="T189" s="250"/>
      <c r="U189" s="250"/>
      <c r="V189" s="250"/>
      <c r="W189" s="67"/>
      <c r="X189" s="250"/>
      <c r="Y189" s="67"/>
      <c r="Z189" s="343"/>
      <c r="AB189" s="3">
        <v>1</v>
      </c>
      <c r="AE189" s="2461"/>
      <c r="AF189" s="68"/>
    </row>
    <row r="190" spans="1:32" ht="30.5" x14ac:dyDescent="0.35">
      <c r="A190" s="525">
        <v>85</v>
      </c>
      <c r="B190" s="1040">
        <v>10916</v>
      </c>
      <c r="C190" s="1040"/>
      <c r="D190" s="693" t="s">
        <v>3104</v>
      </c>
      <c r="E190" s="269" t="s">
        <v>1687</v>
      </c>
      <c r="F190" s="92" t="s">
        <v>1516</v>
      </c>
      <c r="G190" s="92" t="s">
        <v>191</v>
      </c>
      <c r="H190" s="92" t="s">
        <v>191</v>
      </c>
      <c r="I190" s="688">
        <f>J190+K190+L190</f>
        <v>11.935</v>
      </c>
      <c r="J190" s="688">
        <f>SUM(M190:R190)</f>
        <v>11.935</v>
      </c>
      <c r="K190" s="688"/>
      <c r="L190" s="688"/>
      <c r="M190" s="688"/>
      <c r="N190" s="2870">
        <f>SUM(N191:N195)</f>
        <v>6</v>
      </c>
      <c r="O190" s="1238"/>
      <c r="P190" s="688"/>
      <c r="Q190" s="1088">
        <f>SUM(Q191:Q195)</f>
        <v>5.9350000000000005</v>
      </c>
      <c r="R190" s="1083"/>
      <c r="S190" s="397"/>
      <c r="T190" s="250"/>
      <c r="U190" s="250"/>
      <c r="V190" s="250"/>
      <c r="W190" s="67">
        <v>22</v>
      </c>
      <c r="X190" s="250">
        <v>261.23</v>
      </c>
      <c r="Y190" s="67">
        <v>3</v>
      </c>
      <c r="Z190" s="343">
        <v>30</v>
      </c>
      <c r="AB190" s="3">
        <v>1</v>
      </c>
      <c r="AE190" s="2461"/>
      <c r="AF190" s="68"/>
    </row>
    <row r="191" spans="1:32" x14ac:dyDescent="0.35">
      <c r="A191" s="694"/>
      <c r="B191" s="1040">
        <v>10916</v>
      </c>
      <c r="C191" s="1040"/>
      <c r="D191" s="695"/>
      <c r="E191" s="900" t="s">
        <v>1738</v>
      </c>
      <c r="F191" s="92">
        <v>5</v>
      </c>
      <c r="G191" s="92">
        <v>5</v>
      </c>
      <c r="H191" s="92">
        <v>6</v>
      </c>
      <c r="I191" s="691"/>
      <c r="J191" s="691"/>
      <c r="K191" s="691"/>
      <c r="L191" s="691"/>
      <c r="M191" s="691"/>
      <c r="N191" s="691"/>
      <c r="O191" s="1239"/>
      <c r="P191" s="691"/>
      <c r="Q191" s="1090">
        <f>1.7</f>
        <v>1.7</v>
      </c>
      <c r="R191" s="1085"/>
      <c r="S191" s="398"/>
      <c r="T191" s="254"/>
      <c r="U191" s="254"/>
      <c r="V191" s="254"/>
      <c r="W191" s="66"/>
      <c r="X191" s="254"/>
      <c r="Y191" s="66"/>
      <c r="Z191" s="344"/>
      <c r="AE191" s="2461"/>
      <c r="AF191" s="68"/>
    </row>
    <row r="192" spans="1:32" x14ac:dyDescent="0.35">
      <c r="A192" s="694"/>
      <c r="B192" s="1040">
        <v>10916</v>
      </c>
      <c r="C192" s="1040"/>
      <c r="D192" s="695"/>
      <c r="E192" s="270" t="s">
        <v>11583</v>
      </c>
      <c r="F192" s="92">
        <v>5</v>
      </c>
      <c r="G192" s="92">
        <v>5</v>
      </c>
      <c r="H192" s="92">
        <v>6</v>
      </c>
      <c r="I192" s="691"/>
      <c r="J192" s="691"/>
      <c r="K192" s="691"/>
      <c r="L192" s="691"/>
      <c r="M192" s="691"/>
      <c r="N192" s="2835">
        <f>2.513-1.7</f>
        <v>0.81299999999999994</v>
      </c>
      <c r="O192" s="1239"/>
      <c r="P192" s="691"/>
      <c r="Q192" s="1090"/>
      <c r="R192" s="1085"/>
      <c r="S192" s="398"/>
      <c r="T192" s="254"/>
      <c r="U192" s="254"/>
      <c r="V192" s="254"/>
      <c r="W192" s="66"/>
      <c r="X192" s="254"/>
      <c r="Y192" s="66"/>
      <c r="Z192" s="344"/>
      <c r="AE192" s="2461"/>
      <c r="AF192" s="68"/>
    </row>
    <row r="193" spans="1:32" x14ac:dyDescent="0.35">
      <c r="A193" s="694"/>
      <c r="B193" s="1040">
        <v>10916</v>
      </c>
      <c r="C193" s="1040"/>
      <c r="D193" s="695"/>
      <c r="E193" s="270" t="s">
        <v>11586</v>
      </c>
      <c r="F193" s="92">
        <v>4</v>
      </c>
      <c r="G193" s="92">
        <v>5</v>
      </c>
      <c r="H193" s="92">
        <v>6</v>
      </c>
      <c r="I193" s="691"/>
      <c r="J193" s="691"/>
      <c r="K193" s="691"/>
      <c r="L193" s="691"/>
      <c r="M193" s="691"/>
      <c r="N193" s="2835">
        <f>7.7-2.513</f>
        <v>5.1870000000000003</v>
      </c>
      <c r="O193" s="1239"/>
      <c r="P193" s="691"/>
      <c r="Q193" s="1090"/>
      <c r="R193" s="1085"/>
      <c r="S193" s="398"/>
      <c r="T193" s="254"/>
      <c r="U193" s="254"/>
      <c r="V193" s="254"/>
      <c r="W193" s="66"/>
      <c r="X193" s="254"/>
      <c r="Y193" s="66"/>
      <c r="Z193" s="344"/>
      <c r="AE193" s="2461"/>
      <c r="AF193" s="68"/>
    </row>
    <row r="194" spans="1:32" x14ac:dyDescent="0.35">
      <c r="A194" s="694"/>
      <c r="B194" s="1040">
        <v>10916</v>
      </c>
      <c r="C194" s="1040"/>
      <c r="D194" s="695"/>
      <c r="E194" s="900" t="s">
        <v>11584</v>
      </c>
      <c r="F194" s="2872">
        <v>4</v>
      </c>
      <c r="G194" s="2872">
        <v>5</v>
      </c>
      <c r="H194" s="2872">
        <v>6</v>
      </c>
      <c r="I194" s="691"/>
      <c r="J194" s="691"/>
      <c r="K194" s="691"/>
      <c r="L194" s="691"/>
      <c r="M194" s="691"/>
      <c r="N194" s="691"/>
      <c r="O194" s="1239"/>
      <c r="P194" s="691"/>
      <c r="Q194" s="1090">
        <f>8.211-7.7</f>
        <v>0.51100000000000012</v>
      </c>
      <c r="R194" s="1085"/>
      <c r="S194" s="398"/>
      <c r="T194" s="254"/>
      <c r="U194" s="254"/>
      <c r="V194" s="254"/>
      <c r="W194" s="66"/>
      <c r="X194" s="254"/>
      <c r="Y194" s="66"/>
      <c r="Z194" s="344"/>
      <c r="AE194" s="2461"/>
      <c r="AF194" s="68"/>
    </row>
    <row r="195" spans="1:32" x14ac:dyDescent="0.35">
      <c r="A195" s="694"/>
      <c r="B195" s="1040">
        <v>10916</v>
      </c>
      <c r="C195" s="1040"/>
      <c r="D195" s="695"/>
      <c r="E195" s="900" t="s">
        <v>11585</v>
      </c>
      <c r="F195" s="92">
        <v>5</v>
      </c>
      <c r="G195" s="92">
        <v>5</v>
      </c>
      <c r="H195" s="92">
        <v>6</v>
      </c>
      <c r="I195" s="691"/>
      <c r="J195" s="691"/>
      <c r="K195" s="691"/>
      <c r="L195" s="691"/>
      <c r="M195" s="691"/>
      <c r="N195" s="691"/>
      <c r="O195" s="1239"/>
      <c r="P195" s="691"/>
      <c r="Q195" s="1090">
        <f>11.935-8.211</f>
        <v>3.7240000000000002</v>
      </c>
      <c r="R195" s="1085"/>
      <c r="S195" s="398"/>
      <c r="T195" s="254"/>
      <c r="U195" s="254"/>
      <c r="V195" s="254"/>
      <c r="W195" s="66"/>
      <c r="X195" s="254"/>
      <c r="Y195" s="66"/>
      <c r="Z195" s="344"/>
      <c r="AE195" s="2461"/>
      <c r="AF195" s="68"/>
    </row>
    <row r="196" spans="1:32" ht="45.5" x14ac:dyDescent="0.35">
      <c r="A196" s="525">
        <v>86</v>
      </c>
      <c r="B196" s="1040">
        <v>10916</v>
      </c>
      <c r="C196" s="1040"/>
      <c r="D196" s="2469" t="s">
        <v>5326</v>
      </c>
      <c r="E196" s="269" t="s">
        <v>7809</v>
      </c>
      <c r="F196" s="92">
        <v>5</v>
      </c>
      <c r="G196" s="92">
        <v>5</v>
      </c>
      <c r="H196" s="92">
        <v>6</v>
      </c>
      <c r="I196" s="688">
        <f>J196+K196+L196</f>
        <v>0.43</v>
      </c>
      <c r="J196" s="688">
        <f>SUM(M196:R196)</f>
        <v>0.43</v>
      </c>
      <c r="K196" s="688"/>
      <c r="L196" s="688"/>
      <c r="M196" s="688"/>
      <c r="N196" s="688"/>
      <c r="O196" s="1238">
        <v>0.43</v>
      </c>
      <c r="P196" s="688"/>
      <c r="Q196" s="1088"/>
      <c r="R196" s="1083"/>
      <c r="S196" s="397"/>
      <c r="T196" s="250"/>
      <c r="U196" s="250"/>
      <c r="V196" s="250"/>
      <c r="W196" s="67"/>
      <c r="X196" s="250"/>
      <c r="Y196" s="67"/>
      <c r="Z196" s="343"/>
      <c r="AB196" s="3">
        <v>1</v>
      </c>
      <c r="AC196" s="62" t="s">
        <v>2736</v>
      </c>
      <c r="AD196" s="353">
        <v>37602</v>
      </c>
      <c r="AE196" s="2461"/>
      <c r="AF196" s="68"/>
    </row>
    <row r="197" spans="1:32" ht="60.5" x14ac:dyDescent="0.35">
      <c r="A197" s="525">
        <v>87</v>
      </c>
      <c r="B197" s="1053">
        <v>10916</v>
      </c>
      <c r="C197" s="1053"/>
      <c r="D197" s="2469" t="s">
        <v>5327</v>
      </c>
      <c r="E197" s="394" t="s">
        <v>7381</v>
      </c>
      <c r="F197" s="92" t="s">
        <v>1490</v>
      </c>
      <c r="G197" s="92">
        <v>5</v>
      </c>
      <c r="H197" s="92">
        <v>6</v>
      </c>
      <c r="I197" s="688">
        <f>J197+K197+L197</f>
        <v>0.1</v>
      </c>
      <c r="J197" s="688">
        <f>SUM(M197:R197)</f>
        <v>0.1</v>
      </c>
      <c r="K197" s="691"/>
      <c r="L197" s="691"/>
      <c r="M197" s="691"/>
      <c r="N197" s="688">
        <v>0.1</v>
      </c>
      <c r="O197" s="1238"/>
      <c r="P197" s="691"/>
      <c r="Q197" s="1090"/>
      <c r="R197" s="1085"/>
      <c r="S197" s="398"/>
      <c r="T197" s="92"/>
      <c r="U197" s="92"/>
      <c r="V197" s="92"/>
      <c r="W197" s="66"/>
      <c r="X197" s="92"/>
      <c r="Y197" s="66"/>
      <c r="Z197" s="342"/>
      <c r="AB197" s="3">
        <v>1</v>
      </c>
      <c r="AE197" s="2461"/>
      <c r="AF197" s="68"/>
    </row>
    <row r="198" spans="1:32" ht="30.5" x14ac:dyDescent="0.35">
      <c r="A198" s="525">
        <v>88</v>
      </c>
      <c r="B198" s="1040">
        <v>10917</v>
      </c>
      <c r="C198" s="1040"/>
      <c r="D198" s="693" t="s">
        <v>1526</v>
      </c>
      <c r="E198" s="269" t="s">
        <v>2237</v>
      </c>
      <c r="F198" s="92"/>
      <c r="G198" s="92" t="s">
        <v>191</v>
      </c>
      <c r="H198" s="92" t="s">
        <v>191</v>
      </c>
      <c r="I198" s="688">
        <f>J198+K198+L198</f>
        <v>11.43</v>
      </c>
      <c r="J198" s="688">
        <f>SUM(M198:R198)</f>
        <v>11.43</v>
      </c>
      <c r="K198" s="688"/>
      <c r="L198" s="688"/>
      <c r="M198" s="688"/>
      <c r="N198" s="688">
        <f>SUM(N199:N202)</f>
        <v>8.86</v>
      </c>
      <c r="O198" s="1238"/>
      <c r="P198" s="688"/>
      <c r="Q198" s="1088">
        <f>SUM(Q199:Q202)</f>
        <v>2.5700000000000003</v>
      </c>
      <c r="R198" s="1083"/>
      <c r="S198" s="397">
        <f>1</f>
        <v>1</v>
      </c>
      <c r="T198" s="250">
        <f>12.6</f>
        <v>12.6</v>
      </c>
      <c r="U198" s="250"/>
      <c r="V198" s="250"/>
      <c r="W198" s="67">
        <v>40</v>
      </c>
      <c r="X198" s="250">
        <v>532.5999755859375</v>
      </c>
      <c r="Y198" s="67">
        <v>18</v>
      </c>
      <c r="Z198" s="343">
        <v>220.60000610351563</v>
      </c>
      <c r="AB198" s="3">
        <v>1</v>
      </c>
      <c r="AE198" s="2461"/>
      <c r="AF198" s="68"/>
    </row>
    <row r="199" spans="1:32" x14ac:dyDescent="0.35">
      <c r="A199" s="694"/>
      <c r="B199" s="1040">
        <v>10917</v>
      </c>
      <c r="C199" s="1040"/>
      <c r="D199" s="695"/>
      <c r="E199" s="270" t="s">
        <v>2585</v>
      </c>
      <c r="F199" s="92">
        <v>4</v>
      </c>
      <c r="G199" s="92">
        <v>4</v>
      </c>
      <c r="H199" s="92">
        <v>6</v>
      </c>
      <c r="I199" s="691"/>
      <c r="J199" s="691"/>
      <c r="K199" s="691"/>
      <c r="L199" s="691"/>
      <c r="M199" s="691"/>
      <c r="N199" s="691">
        <v>0.7</v>
      </c>
      <c r="O199" s="1239"/>
      <c r="P199" s="691"/>
      <c r="Q199" s="1090"/>
      <c r="R199" s="1085"/>
      <c r="S199" s="398"/>
      <c r="T199" s="254"/>
      <c r="U199" s="254"/>
      <c r="V199" s="254"/>
      <c r="W199" s="66"/>
      <c r="X199" s="254"/>
      <c r="Y199" s="66"/>
      <c r="Z199" s="344"/>
      <c r="AE199" s="2461"/>
      <c r="AF199" s="68"/>
    </row>
    <row r="200" spans="1:32" x14ac:dyDescent="0.35">
      <c r="A200" s="694"/>
      <c r="B200" s="1040">
        <v>10917</v>
      </c>
      <c r="C200" s="1040"/>
      <c r="D200" s="695"/>
      <c r="E200" s="900" t="s">
        <v>780</v>
      </c>
      <c r="F200" s="92">
        <v>4</v>
      </c>
      <c r="G200" s="92">
        <v>4</v>
      </c>
      <c r="H200" s="92">
        <v>6</v>
      </c>
      <c r="I200" s="691"/>
      <c r="J200" s="691"/>
      <c r="K200" s="691"/>
      <c r="L200" s="691"/>
      <c r="M200" s="691"/>
      <c r="N200" s="691"/>
      <c r="O200" s="1239"/>
      <c r="P200" s="691"/>
      <c r="Q200" s="1090">
        <f>3.27-0.7</f>
        <v>2.5700000000000003</v>
      </c>
      <c r="R200" s="1085"/>
      <c r="S200" s="398"/>
      <c r="T200" s="254"/>
      <c r="U200" s="254"/>
      <c r="V200" s="254"/>
      <c r="W200" s="66"/>
      <c r="X200" s="254"/>
      <c r="Y200" s="66"/>
      <c r="Z200" s="344"/>
      <c r="AE200" s="2461"/>
      <c r="AF200" s="68"/>
    </row>
    <row r="201" spans="1:32" x14ac:dyDescent="0.35">
      <c r="A201" s="694"/>
      <c r="B201" s="1040">
        <v>10917</v>
      </c>
      <c r="C201" s="1040"/>
      <c r="D201" s="695"/>
      <c r="E201" s="270" t="s">
        <v>3442</v>
      </c>
      <c r="F201" s="92">
        <v>4</v>
      </c>
      <c r="G201" s="92">
        <v>4</v>
      </c>
      <c r="H201" s="92">
        <v>6</v>
      </c>
      <c r="I201" s="691"/>
      <c r="J201" s="691"/>
      <c r="K201" s="691"/>
      <c r="L201" s="691"/>
      <c r="M201" s="691"/>
      <c r="N201" s="691">
        <f>8-3.27</f>
        <v>4.7300000000000004</v>
      </c>
      <c r="O201" s="1239"/>
      <c r="P201" s="691"/>
      <c r="Q201" s="1090"/>
      <c r="R201" s="1085"/>
      <c r="S201" s="398"/>
      <c r="T201" s="254"/>
      <c r="U201" s="254"/>
      <c r="V201" s="254"/>
      <c r="W201" s="66"/>
      <c r="X201" s="254"/>
      <c r="Y201" s="66"/>
      <c r="Z201" s="344"/>
      <c r="AE201" s="2461"/>
      <c r="AF201" s="68"/>
    </row>
    <row r="202" spans="1:32" x14ac:dyDescent="0.35">
      <c r="A202" s="694"/>
      <c r="B202" s="1040">
        <v>10917</v>
      </c>
      <c r="C202" s="1040"/>
      <c r="D202" s="695"/>
      <c r="E202" s="270" t="s">
        <v>3443</v>
      </c>
      <c r="F202" s="92">
        <v>4</v>
      </c>
      <c r="G202" s="92">
        <v>4</v>
      </c>
      <c r="H202" s="92">
        <v>6</v>
      </c>
      <c r="I202" s="691"/>
      <c r="J202" s="691"/>
      <c r="K202" s="691"/>
      <c r="L202" s="691"/>
      <c r="M202" s="691"/>
      <c r="N202" s="691">
        <f>11.43-8</f>
        <v>3.4299999999999997</v>
      </c>
      <c r="O202" s="1239"/>
      <c r="P202" s="691"/>
      <c r="Q202" s="1090"/>
      <c r="R202" s="1085"/>
      <c r="S202" s="398"/>
      <c r="T202" s="254"/>
      <c r="U202" s="254"/>
      <c r="V202" s="254"/>
      <c r="W202" s="66"/>
      <c r="X202" s="254"/>
      <c r="Y202" s="66"/>
      <c r="Z202" s="344"/>
      <c r="AE202" s="2461"/>
      <c r="AF202" s="68"/>
    </row>
    <row r="203" spans="1:32" ht="45.5" x14ac:dyDescent="0.35">
      <c r="A203" s="525">
        <v>89</v>
      </c>
      <c r="B203" s="1040">
        <v>10917</v>
      </c>
      <c r="C203" s="1040"/>
      <c r="D203" s="2469" t="s">
        <v>5328</v>
      </c>
      <c r="E203" s="269" t="s">
        <v>7810</v>
      </c>
      <c r="F203" s="92"/>
      <c r="G203" s="92" t="s">
        <v>191</v>
      </c>
      <c r="H203" s="92" t="s">
        <v>191</v>
      </c>
      <c r="I203" s="688">
        <f>J203+K203+L203</f>
        <v>1</v>
      </c>
      <c r="J203" s="688">
        <f>SUM(M203:R203)</f>
        <v>1</v>
      </c>
      <c r="K203" s="688"/>
      <c r="L203" s="688"/>
      <c r="M203" s="688"/>
      <c r="N203" s="688"/>
      <c r="O203" s="1238">
        <f>SUM(O204:O205)</f>
        <v>0.83</v>
      </c>
      <c r="P203" s="688"/>
      <c r="Q203" s="1088"/>
      <c r="R203" s="1083">
        <f>SUM(R204:R205)</f>
        <v>0.17000000000000004</v>
      </c>
      <c r="S203" s="397"/>
      <c r="T203" s="250"/>
      <c r="U203" s="250"/>
      <c r="V203" s="250"/>
      <c r="W203" s="67"/>
      <c r="X203" s="250"/>
      <c r="Y203" s="67"/>
      <c r="Z203" s="343"/>
      <c r="AB203" s="3">
        <v>1</v>
      </c>
      <c r="AE203" s="2461"/>
      <c r="AF203" s="68"/>
    </row>
    <row r="204" spans="1:32" x14ac:dyDescent="0.35">
      <c r="A204" s="525"/>
      <c r="B204" s="1040">
        <v>10917</v>
      </c>
      <c r="C204" s="1040"/>
      <c r="D204" s="693"/>
      <c r="E204" s="921" t="s">
        <v>1138</v>
      </c>
      <c r="F204" s="92" t="s">
        <v>1490</v>
      </c>
      <c r="G204" s="92">
        <v>5</v>
      </c>
      <c r="H204" s="92">
        <v>6</v>
      </c>
      <c r="I204" s="691"/>
      <c r="J204" s="691"/>
      <c r="K204" s="691"/>
      <c r="L204" s="691"/>
      <c r="M204" s="691"/>
      <c r="N204" s="691"/>
      <c r="O204" s="1239">
        <v>0.83</v>
      </c>
      <c r="P204" s="691"/>
      <c r="Q204" s="1090"/>
      <c r="R204" s="1085"/>
      <c r="S204" s="397"/>
      <c r="T204" s="250"/>
      <c r="U204" s="250"/>
      <c r="V204" s="250"/>
      <c r="W204" s="67"/>
      <c r="X204" s="250"/>
      <c r="Y204" s="67"/>
      <c r="Z204" s="343"/>
      <c r="AE204" s="2461"/>
      <c r="AF204" s="68"/>
    </row>
    <row r="205" spans="1:32" x14ac:dyDescent="0.35">
      <c r="A205" s="694"/>
      <c r="B205" s="1040">
        <v>10917</v>
      </c>
      <c r="C205" s="1040"/>
      <c r="D205" s="695"/>
      <c r="E205" s="878" t="s">
        <v>995</v>
      </c>
      <c r="F205" s="92" t="s">
        <v>1490</v>
      </c>
      <c r="G205" s="92">
        <v>5</v>
      </c>
      <c r="H205" s="92">
        <v>6</v>
      </c>
      <c r="I205" s="691"/>
      <c r="J205" s="691"/>
      <c r="K205" s="691"/>
      <c r="L205" s="691"/>
      <c r="M205" s="691"/>
      <c r="N205" s="691"/>
      <c r="O205" s="1239"/>
      <c r="P205" s="691"/>
      <c r="Q205" s="1090"/>
      <c r="R205" s="1085">
        <f>1-0.83</f>
        <v>0.17000000000000004</v>
      </c>
      <c r="S205" s="400"/>
      <c r="T205" s="383"/>
      <c r="U205" s="383"/>
      <c r="V205" s="383"/>
      <c r="W205" s="401"/>
      <c r="X205" s="383"/>
      <c r="Y205" s="401"/>
      <c r="Z205" s="384"/>
      <c r="AE205" s="2461"/>
      <c r="AF205" s="68"/>
    </row>
    <row r="206" spans="1:32" ht="45.5" x14ac:dyDescent="0.35">
      <c r="A206" s="2001">
        <v>90</v>
      </c>
      <c r="B206" s="693">
        <v>10917</v>
      </c>
      <c r="C206" s="358" t="s">
        <v>1656</v>
      </c>
      <c r="D206" s="2469" t="s">
        <v>5329</v>
      </c>
      <c r="E206" s="269" t="s">
        <v>8693</v>
      </c>
      <c r="F206" s="92" t="s">
        <v>1490</v>
      </c>
      <c r="G206" s="92">
        <v>5</v>
      </c>
      <c r="H206" s="92">
        <v>6</v>
      </c>
      <c r="I206" s="297">
        <f>J206+K206+L206</f>
        <v>0.09</v>
      </c>
      <c r="J206" s="297">
        <f>SUM(M206:R206)</f>
        <v>0.09</v>
      </c>
      <c r="K206" s="691"/>
      <c r="L206" s="691"/>
      <c r="M206" s="688"/>
      <c r="N206" s="688"/>
      <c r="O206" s="2386"/>
      <c r="P206" s="688"/>
      <c r="Q206" s="2387"/>
      <c r="R206" s="2388">
        <v>0.09</v>
      </c>
      <c r="S206" s="398"/>
      <c r="T206" s="254"/>
      <c r="U206" s="254"/>
      <c r="V206" s="254"/>
      <c r="W206" s="66"/>
      <c r="X206" s="254"/>
      <c r="Y206" s="66"/>
      <c r="Z206" s="344"/>
      <c r="AB206" s="3">
        <v>1</v>
      </c>
      <c r="AE206" s="2461"/>
      <c r="AF206" s="68"/>
    </row>
    <row r="207" spans="1:32" x14ac:dyDescent="0.35">
      <c r="A207" s="696">
        <v>91</v>
      </c>
      <c r="B207" s="1052">
        <v>10918</v>
      </c>
      <c r="C207" s="1052"/>
      <c r="D207" s="697" t="s">
        <v>467</v>
      </c>
      <c r="E207" s="312" t="s">
        <v>11470</v>
      </c>
      <c r="F207" s="92"/>
      <c r="G207" s="92" t="s">
        <v>191</v>
      </c>
      <c r="H207" s="92" t="s">
        <v>191</v>
      </c>
      <c r="I207" s="2870">
        <f t="shared" ref="I207:I217" si="18">J207+K207+L207</f>
        <v>15.78</v>
      </c>
      <c r="J207" s="2870">
        <f t="shared" ref="J207:J217" si="19">SUM(M207:R207)</f>
        <v>15.702999999999999</v>
      </c>
      <c r="K207" s="690"/>
      <c r="L207" s="2905">
        <f>SUM(L208:L209)</f>
        <v>7.6999999999999999E-2</v>
      </c>
      <c r="M207" s="2905"/>
      <c r="N207" s="2905">
        <f>SUM(N208:N209)</f>
        <v>15.702999999999999</v>
      </c>
      <c r="O207" s="854"/>
      <c r="P207" s="690"/>
      <c r="Q207" s="864"/>
      <c r="R207" s="874"/>
      <c r="S207" s="399">
        <f>1+1+1</f>
        <v>3</v>
      </c>
      <c r="T207" s="260">
        <f>105.9+48.72+18.68</f>
        <v>173.3</v>
      </c>
      <c r="U207" s="260"/>
      <c r="V207" s="260"/>
      <c r="W207" s="2447">
        <v>29</v>
      </c>
      <c r="X207" s="2723">
        <v>362.3</v>
      </c>
      <c r="Y207" s="2447">
        <v>20</v>
      </c>
      <c r="Z207" s="2900">
        <v>222.9</v>
      </c>
      <c r="AB207" s="3">
        <v>1</v>
      </c>
      <c r="AE207" s="2461"/>
      <c r="AF207" s="68"/>
    </row>
    <row r="208" spans="1:32" ht="31" x14ac:dyDescent="0.35">
      <c r="A208" s="696"/>
      <c r="B208" s="1052"/>
      <c r="C208" s="1052"/>
      <c r="D208" s="697"/>
      <c r="E208" s="2871" t="s">
        <v>11471</v>
      </c>
      <c r="F208" s="1944">
        <v>4</v>
      </c>
      <c r="G208" s="1944">
        <v>4</v>
      </c>
      <c r="H208" s="92" t="s">
        <v>191</v>
      </c>
      <c r="I208" s="691"/>
      <c r="J208" s="691"/>
      <c r="K208" s="2739"/>
      <c r="L208" s="2906">
        <v>7.6999999999999999E-2</v>
      </c>
      <c r="M208" s="2906"/>
      <c r="N208" s="2906"/>
      <c r="O208" s="2901"/>
      <c r="P208" s="2739"/>
      <c r="Q208" s="2741"/>
      <c r="R208" s="2430"/>
      <c r="S208" s="2902"/>
      <c r="T208" s="2497"/>
      <c r="U208" s="2497"/>
      <c r="V208" s="2497"/>
      <c r="W208" s="2709"/>
      <c r="X208" s="2903"/>
      <c r="Y208" s="2709"/>
      <c r="Z208" s="2904"/>
      <c r="AE208" s="2461"/>
      <c r="AF208" s="68"/>
    </row>
    <row r="209" spans="1:32" x14ac:dyDescent="0.35">
      <c r="A209" s="696"/>
      <c r="B209" s="1052"/>
      <c r="C209" s="1052"/>
      <c r="D209" s="697"/>
      <c r="E209" s="2871" t="s">
        <v>11472</v>
      </c>
      <c r="F209" s="1944">
        <v>4</v>
      </c>
      <c r="G209" s="1944">
        <v>4</v>
      </c>
      <c r="H209" s="92">
        <v>6</v>
      </c>
      <c r="I209" s="691"/>
      <c r="J209" s="691"/>
      <c r="K209" s="2739"/>
      <c r="L209" s="2906"/>
      <c r="M209" s="2906"/>
      <c r="N209" s="2906">
        <f>15.78-0.077</f>
        <v>15.702999999999999</v>
      </c>
      <c r="O209" s="2901"/>
      <c r="P209" s="2739"/>
      <c r="Q209" s="2741"/>
      <c r="R209" s="2430"/>
      <c r="S209" s="2902"/>
      <c r="T209" s="2497"/>
      <c r="U209" s="2497"/>
      <c r="V209" s="2497"/>
      <c r="W209" s="2709"/>
      <c r="X209" s="2903"/>
      <c r="Y209" s="2709"/>
      <c r="Z209" s="2904"/>
      <c r="AE209" s="2461"/>
      <c r="AF209" s="68"/>
    </row>
    <row r="210" spans="1:32" ht="30.5" x14ac:dyDescent="0.35">
      <c r="A210" s="2001">
        <v>92</v>
      </c>
      <c r="B210" s="1052">
        <v>10918</v>
      </c>
      <c r="C210" s="1052"/>
      <c r="D210" s="2469" t="s">
        <v>5330</v>
      </c>
      <c r="E210" s="269" t="s">
        <v>7811</v>
      </c>
      <c r="F210" s="92">
        <v>5</v>
      </c>
      <c r="G210" s="92">
        <v>5</v>
      </c>
      <c r="H210" s="92">
        <v>6</v>
      </c>
      <c r="I210" s="688">
        <f t="shared" si="18"/>
        <v>0.85</v>
      </c>
      <c r="J210" s="688">
        <f t="shared" si="19"/>
        <v>0.85</v>
      </c>
      <c r="K210" s="688"/>
      <c r="L210" s="688"/>
      <c r="M210" s="688"/>
      <c r="N210" s="688">
        <v>0.85</v>
      </c>
      <c r="O210" s="1238"/>
      <c r="P210" s="688"/>
      <c r="Q210" s="1088"/>
      <c r="R210" s="1083"/>
      <c r="S210" s="397"/>
      <c r="T210" s="250"/>
      <c r="U210" s="250"/>
      <c r="V210" s="250"/>
      <c r="W210" s="67">
        <v>2</v>
      </c>
      <c r="X210" s="250">
        <v>20</v>
      </c>
      <c r="Y210" s="67">
        <v>1</v>
      </c>
      <c r="Z210" s="343">
        <v>10</v>
      </c>
      <c r="AB210" s="3">
        <v>1</v>
      </c>
      <c r="AE210" s="2461"/>
      <c r="AF210" s="68"/>
    </row>
    <row r="211" spans="1:32" ht="30.5" x14ac:dyDescent="0.35">
      <c r="A211" s="696">
        <v>93</v>
      </c>
      <c r="B211" s="1052">
        <v>10918</v>
      </c>
      <c r="C211" s="1052"/>
      <c r="D211" s="2469" t="s">
        <v>5331</v>
      </c>
      <c r="E211" s="269" t="s">
        <v>7812</v>
      </c>
      <c r="F211" s="92" t="s">
        <v>827</v>
      </c>
      <c r="G211" s="92">
        <v>5</v>
      </c>
      <c r="H211" s="92">
        <v>6</v>
      </c>
      <c r="I211" s="688">
        <f t="shared" si="18"/>
        <v>1</v>
      </c>
      <c r="J211" s="688">
        <f t="shared" si="19"/>
        <v>1</v>
      </c>
      <c r="K211" s="688"/>
      <c r="L211" s="688"/>
      <c r="M211" s="688"/>
      <c r="N211" s="688"/>
      <c r="O211" s="1238">
        <v>1</v>
      </c>
      <c r="P211" s="688"/>
      <c r="Q211" s="1088"/>
      <c r="R211" s="1083"/>
      <c r="S211" s="397"/>
      <c r="T211" s="250"/>
      <c r="U211" s="250"/>
      <c r="V211" s="250"/>
      <c r="W211" s="67">
        <v>2</v>
      </c>
      <c r="X211" s="250">
        <v>20.6</v>
      </c>
      <c r="Y211" s="67"/>
      <c r="Z211" s="343"/>
      <c r="AB211" s="3">
        <v>1</v>
      </c>
      <c r="AE211" s="2461"/>
      <c r="AF211" s="68"/>
    </row>
    <row r="212" spans="1:32" ht="30" x14ac:dyDescent="0.35">
      <c r="A212" s="2001">
        <v>94</v>
      </c>
      <c r="B212" s="693">
        <v>10918</v>
      </c>
      <c r="C212" s="358" t="s">
        <v>1656</v>
      </c>
      <c r="D212" s="2469" t="s">
        <v>5332</v>
      </c>
      <c r="E212" s="2187" t="s">
        <v>8694</v>
      </c>
      <c r="F212" s="92" t="s">
        <v>1490</v>
      </c>
      <c r="G212" s="92">
        <v>5</v>
      </c>
      <c r="H212" s="92">
        <v>6</v>
      </c>
      <c r="I212" s="297">
        <f>J212+K212+L212</f>
        <v>0.4</v>
      </c>
      <c r="J212" s="297">
        <f>SUM(M212:R212)</f>
        <v>0.4</v>
      </c>
      <c r="K212" s="622"/>
      <c r="L212" s="622"/>
      <c r="M212" s="622"/>
      <c r="N212" s="622"/>
      <c r="O212" s="622"/>
      <c r="P212" s="622"/>
      <c r="Q212" s="622"/>
      <c r="R212" s="906">
        <v>0.4</v>
      </c>
      <c r="S212" s="106"/>
      <c r="T212" s="106"/>
      <c r="U212" s="106"/>
      <c r="V212" s="106"/>
      <c r="W212" s="105"/>
      <c r="X212" s="105"/>
      <c r="Y212" s="105"/>
      <c r="Z212" s="2389"/>
      <c r="AB212" s="3">
        <v>1</v>
      </c>
      <c r="AE212" s="2461"/>
      <c r="AF212" s="68"/>
    </row>
    <row r="213" spans="1:32" x14ac:dyDescent="0.35">
      <c r="A213" s="696">
        <v>95</v>
      </c>
      <c r="B213" s="1040">
        <v>10919</v>
      </c>
      <c r="C213" s="1040"/>
      <c r="D213" s="693" t="s">
        <v>468</v>
      </c>
      <c r="E213" s="269" t="s">
        <v>1230</v>
      </c>
      <c r="F213" s="92">
        <v>4</v>
      </c>
      <c r="G213" s="92">
        <v>4</v>
      </c>
      <c r="H213" s="92">
        <v>6</v>
      </c>
      <c r="I213" s="688">
        <f t="shared" si="18"/>
        <v>4.3499999999999996</v>
      </c>
      <c r="J213" s="688">
        <f t="shared" si="19"/>
        <v>4.3499999999999996</v>
      </c>
      <c r="K213" s="688"/>
      <c r="L213" s="688"/>
      <c r="M213" s="688"/>
      <c r="N213" s="688">
        <v>4.3499999999999996</v>
      </c>
      <c r="O213" s="1238"/>
      <c r="P213" s="688"/>
      <c r="Q213" s="1088"/>
      <c r="R213" s="1083"/>
      <c r="S213" s="397"/>
      <c r="T213" s="250"/>
      <c r="U213" s="250"/>
      <c r="V213" s="250"/>
      <c r="W213" s="67">
        <v>8</v>
      </c>
      <c r="X213" s="2723">
        <f>36.2+50+2.3</f>
        <v>88.5</v>
      </c>
      <c r="Y213" s="67">
        <v>5</v>
      </c>
      <c r="Z213" s="343">
        <v>50</v>
      </c>
      <c r="AB213" s="3">
        <v>1</v>
      </c>
      <c r="AE213" s="2461"/>
      <c r="AF213" s="68"/>
    </row>
    <row r="214" spans="1:32" ht="30.5" x14ac:dyDescent="0.35">
      <c r="A214" s="2001">
        <v>96</v>
      </c>
      <c r="B214" s="1040">
        <v>10919</v>
      </c>
      <c r="C214" s="1040"/>
      <c r="D214" s="2469" t="s">
        <v>5333</v>
      </c>
      <c r="E214" s="269" t="s">
        <v>7813</v>
      </c>
      <c r="F214" s="92">
        <v>5</v>
      </c>
      <c r="G214" s="92">
        <v>5</v>
      </c>
      <c r="H214" s="92">
        <v>6</v>
      </c>
      <c r="I214" s="688">
        <f t="shared" si="18"/>
        <v>0.81299999999999994</v>
      </c>
      <c r="J214" s="688">
        <f t="shared" si="19"/>
        <v>0.81299999999999994</v>
      </c>
      <c r="K214" s="688"/>
      <c r="L214" s="688"/>
      <c r="M214" s="688"/>
      <c r="N214" s="688"/>
      <c r="O214" s="1238">
        <v>0.81299999999999994</v>
      </c>
      <c r="P214" s="688"/>
      <c r="Q214" s="1088"/>
      <c r="R214" s="1083"/>
      <c r="S214" s="397"/>
      <c r="T214" s="250"/>
      <c r="U214" s="250"/>
      <c r="V214" s="250"/>
      <c r="W214" s="67">
        <v>2</v>
      </c>
      <c r="X214" s="250">
        <v>20</v>
      </c>
      <c r="Y214" s="67"/>
      <c r="Z214" s="343"/>
      <c r="AB214" s="3">
        <v>1</v>
      </c>
      <c r="AE214" s="2461"/>
      <c r="AF214" s="68"/>
    </row>
    <row r="215" spans="1:32" ht="60.5" x14ac:dyDescent="0.35">
      <c r="A215" s="696">
        <v>97</v>
      </c>
      <c r="B215" s="1040">
        <v>10919</v>
      </c>
      <c r="C215" s="1040"/>
      <c r="D215" s="2469" t="s">
        <v>7158</v>
      </c>
      <c r="E215" s="269" t="s">
        <v>7814</v>
      </c>
      <c r="F215" s="92">
        <v>5</v>
      </c>
      <c r="G215" s="92">
        <v>5</v>
      </c>
      <c r="H215" s="92">
        <v>6</v>
      </c>
      <c r="I215" s="688">
        <f>J215+K215+L215</f>
        <v>0.28199999999999997</v>
      </c>
      <c r="J215" s="688">
        <f>SUM(M215:R215)</f>
        <v>0.28199999999999997</v>
      </c>
      <c r="K215" s="688"/>
      <c r="L215" s="688"/>
      <c r="M215" s="688"/>
      <c r="N215" s="688"/>
      <c r="O215" s="1238">
        <v>0.28199999999999997</v>
      </c>
      <c r="P215" s="688"/>
      <c r="Q215" s="1088"/>
      <c r="R215" s="1083"/>
      <c r="S215" s="397"/>
      <c r="T215" s="250"/>
      <c r="U215" s="250"/>
      <c r="V215" s="250"/>
      <c r="W215" s="67"/>
      <c r="X215" s="250"/>
      <c r="Y215" s="67"/>
      <c r="Z215" s="343"/>
      <c r="AB215" s="3">
        <v>1</v>
      </c>
      <c r="AE215" s="2461"/>
      <c r="AF215" s="68"/>
    </row>
    <row r="216" spans="1:32" ht="45.5" x14ac:dyDescent="0.35">
      <c r="A216" s="2001">
        <v>98</v>
      </c>
      <c r="B216" s="693">
        <v>10919</v>
      </c>
      <c r="C216" s="358" t="s">
        <v>1656</v>
      </c>
      <c r="D216" s="2469" t="s">
        <v>5334</v>
      </c>
      <c r="E216" s="269" t="s">
        <v>8695</v>
      </c>
      <c r="F216" s="92" t="s">
        <v>1490</v>
      </c>
      <c r="G216" s="92">
        <v>5</v>
      </c>
      <c r="H216" s="92">
        <v>6</v>
      </c>
      <c r="I216" s="297">
        <f>J216+K216+L216</f>
        <v>1</v>
      </c>
      <c r="J216" s="297">
        <f>SUM(M216:R216)</f>
        <v>1</v>
      </c>
      <c r="K216" s="691"/>
      <c r="L216" s="691"/>
      <c r="M216" s="688"/>
      <c r="N216" s="688"/>
      <c r="O216" s="2386"/>
      <c r="P216" s="688"/>
      <c r="Q216" s="2387"/>
      <c r="R216" s="2388">
        <v>1</v>
      </c>
      <c r="S216" s="398"/>
      <c r="T216" s="254"/>
      <c r="U216" s="254"/>
      <c r="V216" s="254"/>
      <c r="W216" s="66"/>
      <c r="X216" s="254"/>
      <c r="Y216" s="254"/>
      <c r="Z216" s="344"/>
      <c r="AB216" s="3">
        <v>1</v>
      </c>
      <c r="AE216" s="2461"/>
      <c r="AF216" s="68"/>
    </row>
    <row r="217" spans="1:32" ht="30.5" x14ac:dyDescent="0.35">
      <c r="A217" s="696">
        <v>99</v>
      </c>
      <c r="B217" s="1040">
        <v>10919</v>
      </c>
      <c r="C217" s="1040"/>
      <c r="D217" s="2469" t="s">
        <v>5335</v>
      </c>
      <c r="E217" s="269" t="s">
        <v>7815</v>
      </c>
      <c r="F217" s="92"/>
      <c r="G217" s="92" t="s">
        <v>191</v>
      </c>
      <c r="H217" s="92" t="s">
        <v>191</v>
      </c>
      <c r="I217" s="688">
        <f t="shared" si="18"/>
        <v>2</v>
      </c>
      <c r="J217" s="688">
        <f t="shared" si="19"/>
        <v>2</v>
      </c>
      <c r="K217" s="688"/>
      <c r="L217" s="688"/>
      <c r="M217" s="688"/>
      <c r="N217" s="688">
        <f>SUM(N218:N219)</f>
        <v>0.14000000000000001</v>
      </c>
      <c r="O217" s="1238"/>
      <c r="P217" s="688"/>
      <c r="Q217" s="1088"/>
      <c r="R217" s="1083">
        <f>SUM(R218:R219)</f>
        <v>1.86</v>
      </c>
      <c r="S217" s="397"/>
      <c r="T217" s="250"/>
      <c r="U217" s="250"/>
      <c r="V217" s="250"/>
      <c r="W217" s="67">
        <v>1</v>
      </c>
      <c r="X217" s="250">
        <v>5</v>
      </c>
      <c r="Y217" s="67"/>
      <c r="Z217" s="343"/>
      <c r="AB217" s="3">
        <v>1</v>
      </c>
      <c r="AE217" s="2461"/>
      <c r="AF217" s="68"/>
    </row>
    <row r="218" spans="1:32" x14ac:dyDescent="0.35">
      <c r="A218" s="525"/>
      <c r="B218" s="1040">
        <v>10919</v>
      </c>
      <c r="C218" s="1040"/>
      <c r="D218" s="693"/>
      <c r="E218" s="393" t="s">
        <v>1321</v>
      </c>
      <c r="F218" s="92" t="s">
        <v>1490</v>
      </c>
      <c r="G218" s="92">
        <v>5</v>
      </c>
      <c r="H218" s="92">
        <v>6</v>
      </c>
      <c r="I218" s="691"/>
      <c r="J218" s="691"/>
      <c r="K218" s="691"/>
      <c r="L218" s="691"/>
      <c r="M218" s="691"/>
      <c r="N218" s="691">
        <v>0.14000000000000001</v>
      </c>
      <c r="O218" s="1239"/>
      <c r="P218" s="691"/>
      <c r="Q218" s="1090"/>
      <c r="R218" s="1085"/>
      <c r="S218" s="397"/>
      <c r="T218" s="250"/>
      <c r="U218" s="250"/>
      <c r="V218" s="250"/>
      <c r="W218" s="67"/>
      <c r="X218" s="250"/>
      <c r="Y218" s="67"/>
      <c r="Z218" s="343"/>
      <c r="AE218" s="2461"/>
      <c r="AF218" s="68"/>
    </row>
    <row r="219" spans="1:32" x14ac:dyDescent="0.35">
      <c r="A219" s="525"/>
      <c r="B219" s="1040">
        <v>10919</v>
      </c>
      <c r="C219" s="1040"/>
      <c r="D219" s="693"/>
      <c r="E219" s="878" t="s">
        <v>2395</v>
      </c>
      <c r="F219" s="92" t="s">
        <v>1490</v>
      </c>
      <c r="G219" s="92">
        <v>5</v>
      </c>
      <c r="H219" s="92">
        <v>6</v>
      </c>
      <c r="I219" s="691"/>
      <c r="J219" s="691"/>
      <c r="K219" s="691"/>
      <c r="L219" s="691"/>
      <c r="M219" s="691"/>
      <c r="N219" s="691"/>
      <c r="O219" s="1239"/>
      <c r="P219" s="691"/>
      <c r="Q219" s="1090"/>
      <c r="R219" s="1085">
        <v>1.86</v>
      </c>
      <c r="S219" s="397"/>
      <c r="T219" s="250"/>
      <c r="U219" s="250"/>
      <c r="V219" s="250"/>
      <c r="W219" s="67"/>
      <c r="X219" s="250"/>
      <c r="Y219" s="67"/>
      <c r="Z219" s="343"/>
      <c r="AE219" s="2461"/>
      <c r="AF219" s="68"/>
    </row>
    <row r="220" spans="1:32" ht="45.5" x14ac:dyDescent="0.35">
      <c r="A220" s="2001">
        <v>100</v>
      </c>
      <c r="B220" s="693">
        <v>10919</v>
      </c>
      <c r="C220" s="358" t="s">
        <v>1656</v>
      </c>
      <c r="D220" s="2469" t="s">
        <v>5336</v>
      </c>
      <c r="E220" s="269" t="s">
        <v>9956</v>
      </c>
      <c r="F220" s="92" t="s">
        <v>1490</v>
      </c>
      <c r="G220" s="92">
        <v>5</v>
      </c>
      <c r="H220" s="92">
        <v>6</v>
      </c>
      <c r="I220" s="297">
        <f>J220+K220+L220</f>
        <v>0.3</v>
      </c>
      <c r="J220" s="297">
        <f>SUM(M220:R220)</f>
        <v>0.3</v>
      </c>
      <c r="K220" s="691"/>
      <c r="L220" s="691"/>
      <c r="M220" s="688"/>
      <c r="N220" s="688"/>
      <c r="O220" s="2386"/>
      <c r="P220" s="688"/>
      <c r="Q220" s="2387"/>
      <c r="R220" s="2388">
        <v>0.3</v>
      </c>
      <c r="S220" s="398"/>
      <c r="T220" s="254"/>
      <c r="U220" s="254"/>
      <c r="V220" s="254"/>
      <c r="W220" s="66"/>
      <c r="X220" s="254"/>
      <c r="Y220" s="254"/>
      <c r="Z220" s="344"/>
      <c r="AB220" s="3">
        <v>1</v>
      </c>
      <c r="AE220" s="2461"/>
      <c r="AF220" s="68"/>
    </row>
    <row r="221" spans="1:32" x14ac:dyDescent="0.35">
      <c r="A221" s="525">
        <v>101</v>
      </c>
      <c r="B221" s="1040">
        <v>10920</v>
      </c>
      <c r="C221" s="1040"/>
      <c r="D221" s="693" t="s">
        <v>2406</v>
      </c>
      <c r="E221" s="269" t="s">
        <v>3282</v>
      </c>
      <c r="F221" s="92"/>
      <c r="G221" s="92" t="s">
        <v>191</v>
      </c>
      <c r="H221" s="92" t="s">
        <v>191</v>
      </c>
      <c r="I221" s="688">
        <f>J221+K221+L221</f>
        <v>7.5</v>
      </c>
      <c r="J221" s="688">
        <f>SUM(M221:R221)</f>
        <v>7.5</v>
      </c>
      <c r="K221" s="688"/>
      <c r="L221" s="688"/>
      <c r="M221" s="688"/>
      <c r="N221" s="2870">
        <f>SUM(N222:N223)</f>
        <v>6.06</v>
      </c>
      <c r="O221" s="1238"/>
      <c r="P221" s="688"/>
      <c r="Q221" s="1088">
        <f>SUM(Q222:Q223)</f>
        <v>1.4400000000000004</v>
      </c>
      <c r="R221" s="1083"/>
      <c r="S221" s="397"/>
      <c r="T221" s="250"/>
      <c r="U221" s="250"/>
      <c r="V221" s="250"/>
      <c r="W221" s="67">
        <v>22</v>
      </c>
      <c r="X221" s="2723">
        <v>260.10000000000002</v>
      </c>
      <c r="Y221" s="67">
        <v>5</v>
      </c>
      <c r="Z221" s="343">
        <v>50</v>
      </c>
      <c r="AB221" s="3">
        <v>1</v>
      </c>
      <c r="AE221" s="2461"/>
      <c r="AF221" s="68"/>
    </row>
    <row r="222" spans="1:32" x14ac:dyDescent="0.35">
      <c r="A222" s="525"/>
      <c r="B222" s="1040">
        <v>10920</v>
      </c>
      <c r="C222" s="1040"/>
      <c r="D222" s="693"/>
      <c r="E222" s="270" t="s">
        <v>11518</v>
      </c>
      <c r="F222" s="92">
        <v>4</v>
      </c>
      <c r="G222" s="92">
        <v>4</v>
      </c>
      <c r="H222" s="92">
        <v>6</v>
      </c>
      <c r="I222" s="691"/>
      <c r="J222" s="691"/>
      <c r="K222" s="691"/>
      <c r="L222" s="691"/>
      <c r="M222" s="691"/>
      <c r="N222" s="2835">
        <f>6.06</f>
        <v>6.06</v>
      </c>
      <c r="O222" s="2284"/>
      <c r="P222" s="691"/>
      <c r="Q222" s="2285"/>
      <c r="R222" s="2286"/>
      <c r="S222" s="397"/>
      <c r="T222" s="250"/>
      <c r="U222" s="250"/>
      <c r="V222" s="250"/>
      <c r="W222" s="67"/>
      <c r="X222" s="250"/>
      <c r="Y222" s="67"/>
      <c r="Z222" s="343"/>
      <c r="AE222" s="2461"/>
      <c r="AF222" s="68"/>
    </row>
    <row r="223" spans="1:32" x14ac:dyDescent="0.35">
      <c r="A223" s="525"/>
      <c r="B223" s="1040">
        <v>10920</v>
      </c>
      <c r="C223" s="1040"/>
      <c r="D223" s="693"/>
      <c r="E223" s="900" t="s">
        <v>11519</v>
      </c>
      <c r="F223" s="92">
        <v>4</v>
      </c>
      <c r="G223" s="92">
        <v>4</v>
      </c>
      <c r="H223" s="92">
        <v>6</v>
      </c>
      <c r="I223" s="691"/>
      <c r="J223" s="691"/>
      <c r="K223" s="691"/>
      <c r="L223" s="691"/>
      <c r="M223" s="691"/>
      <c r="N223" s="691"/>
      <c r="O223" s="2284"/>
      <c r="P223" s="691"/>
      <c r="Q223" s="2285">
        <f>7.5-6.06</f>
        <v>1.4400000000000004</v>
      </c>
      <c r="R223" s="2286"/>
      <c r="S223" s="397"/>
      <c r="T223" s="250"/>
      <c r="U223" s="250"/>
      <c r="V223" s="250"/>
      <c r="W223" s="67"/>
      <c r="X223" s="250"/>
      <c r="Y223" s="67"/>
      <c r="Z223" s="343"/>
      <c r="AE223" s="2461"/>
      <c r="AF223" s="68"/>
    </row>
    <row r="224" spans="1:32" ht="45.5" x14ac:dyDescent="0.35">
      <c r="A224" s="2001">
        <v>102</v>
      </c>
      <c r="B224" s="1144">
        <v>10920</v>
      </c>
      <c r="C224" s="358" t="s">
        <v>1656</v>
      </c>
      <c r="D224" s="2469" t="s">
        <v>5337</v>
      </c>
      <c r="E224" s="269" t="s">
        <v>9957</v>
      </c>
      <c r="F224" s="92" t="s">
        <v>1490</v>
      </c>
      <c r="G224" s="92">
        <v>5</v>
      </c>
      <c r="H224" s="92">
        <v>6</v>
      </c>
      <c r="I224" s="297">
        <f>J224+K224+L224</f>
        <v>0.45</v>
      </c>
      <c r="J224" s="297">
        <f>SUM(M224:R224)</f>
        <v>0.45</v>
      </c>
      <c r="K224" s="691"/>
      <c r="L224" s="691"/>
      <c r="M224" s="688"/>
      <c r="N224" s="688"/>
      <c r="O224" s="2386"/>
      <c r="P224" s="688"/>
      <c r="Q224" s="2387"/>
      <c r="R224" s="2388">
        <v>0.45</v>
      </c>
      <c r="S224" s="398"/>
      <c r="T224" s="254"/>
      <c r="U224" s="254"/>
      <c r="V224" s="254"/>
      <c r="W224" s="67"/>
      <c r="X224" s="250"/>
      <c r="Y224" s="67"/>
      <c r="Z224" s="343"/>
      <c r="AB224" s="3">
        <v>1</v>
      </c>
      <c r="AE224" s="2461"/>
      <c r="AF224" s="68"/>
    </row>
    <row r="225" spans="1:32" x14ac:dyDescent="0.35">
      <c r="A225" s="525">
        <v>103</v>
      </c>
      <c r="B225" s="1040">
        <v>10921</v>
      </c>
      <c r="C225" s="1040"/>
      <c r="D225" s="693" t="s">
        <v>1479</v>
      </c>
      <c r="E225" s="269" t="s">
        <v>3283</v>
      </c>
      <c r="F225" s="92"/>
      <c r="G225" s="92" t="s">
        <v>191</v>
      </c>
      <c r="H225" s="92" t="s">
        <v>191</v>
      </c>
      <c r="I225" s="688">
        <f>J225+K225+L225</f>
        <v>6.3</v>
      </c>
      <c r="J225" s="688">
        <f>SUM(M225:R225)</f>
        <v>6.3</v>
      </c>
      <c r="K225" s="688"/>
      <c r="L225" s="688"/>
      <c r="M225" s="688"/>
      <c r="N225" s="688">
        <f>SUM(N226:N228)</f>
        <v>1.1100000000000001</v>
      </c>
      <c r="O225" s="1238"/>
      <c r="P225" s="688"/>
      <c r="Q225" s="1088">
        <f>SUM(Q226:Q228)</f>
        <v>3.1599999999999993</v>
      </c>
      <c r="R225" s="1083">
        <f>SUM(R226:R228)</f>
        <v>2.0300000000000002</v>
      </c>
      <c r="S225" s="397"/>
      <c r="T225" s="250"/>
      <c r="U225" s="250"/>
      <c r="V225" s="250"/>
      <c r="W225" s="67">
        <v>7</v>
      </c>
      <c r="X225" s="250">
        <v>76.5</v>
      </c>
      <c r="Y225" s="67"/>
      <c r="Z225" s="343"/>
      <c r="AB225" s="3">
        <v>1</v>
      </c>
      <c r="AE225" s="2461"/>
      <c r="AF225" s="68"/>
    </row>
    <row r="226" spans="1:32" x14ac:dyDescent="0.35">
      <c r="A226" s="694"/>
      <c r="B226" s="1040">
        <v>10921</v>
      </c>
      <c r="C226" s="1040"/>
      <c r="D226" s="695"/>
      <c r="E226" s="270" t="s">
        <v>2503</v>
      </c>
      <c r="F226" s="92">
        <v>5</v>
      </c>
      <c r="G226" s="92">
        <v>5</v>
      </c>
      <c r="H226" s="92">
        <v>6</v>
      </c>
      <c r="I226" s="691"/>
      <c r="J226" s="691"/>
      <c r="K226" s="691"/>
      <c r="L226" s="691"/>
      <c r="M226" s="691"/>
      <c r="N226" s="691">
        <v>1.1100000000000001</v>
      </c>
      <c r="O226" s="1239"/>
      <c r="P226" s="691"/>
      <c r="Q226" s="1090"/>
      <c r="R226" s="1085"/>
      <c r="S226" s="398"/>
      <c r="T226" s="254"/>
      <c r="U226" s="254"/>
      <c r="V226" s="254"/>
      <c r="W226" s="66"/>
      <c r="X226" s="254"/>
      <c r="Y226" s="66"/>
      <c r="Z226" s="344"/>
      <c r="AE226" s="2461"/>
      <c r="AF226" s="68"/>
    </row>
    <row r="227" spans="1:32" x14ac:dyDescent="0.35">
      <c r="A227" s="694"/>
      <c r="B227" s="1040">
        <v>10921</v>
      </c>
      <c r="C227" s="1040"/>
      <c r="D227" s="695"/>
      <c r="E227" s="900" t="s">
        <v>2861</v>
      </c>
      <c r="F227" s="92">
        <v>5</v>
      </c>
      <c r="G227" s="92">
        <v>5</v>
      </c>
      <c r="H227" s="92">
        <v>6</v>
      </c>
      <c r="I227" s="691"/>
      <c r="J227" s="691"/>
      <c r="K227" s="691"/>
      <c r="L227" s="691"/>
      <c r="M227" s="691"/>
      <c r="N227" s="691"/>
      <c r="O227" s="1239"/>
      <c r="P227" s="691"/>
      <c r="Q227" s="1090">
        <f>4.27-1.11</f>
        <v>3.1599999999999993</v>
      </c>
      <c r="R227" s="1085"/>
      <c r="S227" s="398"/>
      <c r="T227" s="254"/>
      <c r="U227" s="254"/>
      <c r="V227" s="254"/>
      <c r="W227" s="66"/>
      <c r="X227" s="254"/>
      <c r="Y227" s="66"/>
      <c r="Z227" s="344"/>
      <c r="AE227" s="2461"/>
      <c r="AF227" s="68"/>
    </row>
    <row r="228" spans="1:32" x14ac:dyDescent="0.35">
      <c r="A228" s="694"/>
      <c r="B228" s="1040">
        <v>10921</v>
      </c>
      <c r="C228" s="1040"/>
      <c r="D228" s="695"/>
      <c r="E228" s="878" t="s">
        <v>2862</v>
      </c>
      <c r="F228" s="92" t="s">
        <v>1490</v>
      </c>
      <c r="G228" s="92">
        <v>5</v>
      </c>
      <c r="H228" s="92">
        <v>6</v>
      </c>
      <c r="I228" s="691"/>
      <c r="J228" s="691"/>
      <c r="K228" s="691"/>
      <c r="L228" s="691"/>
      <c r="M228" s="691"/>
      <c r="N228" s="691"/>
      <c r="O228" s="1239"/>
      <c r="P228" s="691"/>
      <c r="Q228" s="1090"/>
      <c r="R228" s="1085">
        <f>6.3-4.27</f>
        <v>2.0300000000000002</v>
      </c>
      <c r="S228" s="398"/>
      <c r="T228" s="254"/>
      <c r="U228" s="254"/>
      <c r="V228" s="254"/>
      <c r="W228" s="66"/>
      <c r="X228" s="254"/>
      <c r="Y228" s="66"/>
      <c r="Z228" s="344"/>
      <c r="AC228" s="2331" t="s">
        <v>3114</v>
      </c>
      <c r="AD228" s="1784">
        <v>37350</v>
      </c>
      <c r="AE228" s="2461"/>
      <c r="AF228" s="68"/>
    </row>
    <row r="229" spans="1:32" ht="30.5" x14ac:dyDescent="0.35">
      <c r="A229" s="2001">
        <v>104</v>
      </c>
      <c r="B229" s="693">
        <v>10921</v>
      </c>
      <c r="C229" s="358" t="s">
        <v>1656</v>
      </c>
      <c r="D229" s="2469" t="s">
        <v>5338</v>
      </c>
      <c r="E229" s="269" t="s">
        <v>8696</v>
      </c>
      <c r="F229" s="92" t="s">
        <v>1490</v>
      </c>
      <c r="G229" s="92">
        <v>5</v>
      </c>
      <c r="H229" s="92">
        <v>6</v>
      </c>
      <c r="I229" s="297">
        <f>J229+K229+L229</f>
        <v>0.08</v>
      </c>
      <c r="J229" s="297">
        <f>SUM(M229:R229)</f>
        <v>0.08</v>
      </c>
      <c r="K229" s="688"/>
      <c r="L229" s="688"/>
      <c r="M229" s="688"/>
      <c r="N229" s="688"/>
      <c r="O229" s="2386"/>
      <c r="P229" s="688"/>
      <c r="Q229" s="2387"/>
      <c r="R229" s="2388">
        <v>0.08</v>
      </c>
      <c r="S229" s="397"/>
      <c r="T229" s="250"/>
      <c r="U229" s="250"/>
      <c r="V229" s="250"/>
      <c r="W229" s="67"/>
      <c r="X229" s="250"/>
      <c r="Y229" s="67"/>
      <c r="Z229" s="343"/>
      <c r="AB229" s="3">
        <v>1</v>
      </c>
      <c r="AE229" s="2461"/>
      <c r="AF229" s="68"/>
    </row>
    <row r="230" spans="1:32" ht="30.5" x14ac:dyDescent="0.35">
      <c r="A230" s="2001">
        <v>105</v>
      </c>
      <c r="B230" s="693">
        <v>10921</v>
      </c>
      <c r="C230" s="358" t="s">
        <v>1656</v>
      </c>
      <c r="D230" s="2469" t="s">
        <v>5339</v>
      </c>
      <c r="E230" s="269" t="s">
        <v>8697</v>
      </c>
      <c r="F230" s="92" t="s">
        <v>1490</v>
      </c>
      <c r="G230" s="92">
        <v>5</v>
      </c>
      <c r="H230" s="92">
        <v>6</v>
      </c>
      <c r="I230" s="297">
        <f>J230+K230+L230</f>
        <v>0.2</v>
      </c>
      <c r="J230" s="297">
        <f>SUM(M230:R230)</f>
        <v>0.2</v>
      </c>
      <c r="K230" s="688"/>
      <c r="L230" s="688"/>
      <c r="M230" s="688"/>
      <c r="N230" s="688"/>
      <c r="O230" s="2386"/>
      <c r="P230" s="688"/>
      <c r="Q230" s="2387"/>
      <c r="R230" s="2388">
        <v>0.2</v>
      </c>
      <c r="S230" s="397"/>
      <c r="T230" s="250"/>
      <c r="U230" s="250"/>
      <c r="V230" s="250"/>
      <c r="W230" s="67"/>
      <c r="X230" s="250"/>
      <c r="Y230" s="67"/>
      <c r="Z230" s="343"/>
      <c r="AB230" s="3">
        <v>1</v>
      </c>
      <c r="AE230" s="2461"/>
      <c r="AF230" s="68"/>
    </row>
    <row r="231" spans="1:32" ht="60.5" x14ac:dyDescent="0.35">
      <c r="A231" s="525">
        <v>106</v>
      </c>
      <c r="B231" s="1040">
        <v>10922</v>
      </c>
      <c r="C231" s="1040"/>
      <c r="D231" s="693" t="s">
        <v>1497</v>
      </c>
      <c r="E231" s="269" t="s">
        <v>11413</v>
      </c>
      <c r="F231" s="92"/>
      <c r="G231" s="92" t="s">
        <v>191</v>
      </c>
      <c r="H231" s="92" t="s">
        <v>191</v>
      </c>
      <c r="I231" s="688">
        <f>J231+K231+L231</f>
        <v>7.0100000000000007</v>
      </c>
      <c r="J231" s="688">
        <f>SUM(M231:R231)</f>
        <v>6.9750000000000005</v>
      </c>
      <c r="K231" s="688"/>
      <c r="L231" s="688">
        <f>SUM(L232:L237)</f>
        <v>3.4999999999999899E-2</v>
      </c>
      <c r="M231" s="688"/>
      <c r="N231" s="688">
        <f>SUM(N232:N237)</f>
        <v>4.2330000000000005</v>
      </c>
      <c r="O231" s="1238"/>
      <c r="P231" s="688"/>
      <c r="Q231" s="1088">
        <f>SUM(Q232:Q237)</f>
        <v>2.742</v>
      </c>
      <c r="R231" s="1083"/>
      <c r="S231" s="397"/>
      <c r="T231" s="250"/>
      <c r="U231" s="250"/>
      <c r="V231" s="250"/>
      <c r="W231" s="67">
        <v>9</v>
      </c>
      <c r="X231" s="250">
        <v>93.4</v>
      </c>
      <c r="Y231" s="67">
        <v>0</v>
      </c>
      <c r="Z231" s="343">
        <v>0</v>
      </c>
      <c r="AB231" s="3">
        <v>1</v>
      </c>
      <c r="AE231" s="2461"/>
      <c r="AF231" s="68"/>
    </row>
    <row r="232" spans="1:32" ht="31" x14ac:dyDescent="0.35">
      <c r="A232" s="694"/>
      <c r="B232" s="1040">
        <v>10922</v>
      </c>
      <c r="C232" s="1040"/>
      <c r="D232" s="695"/>
      <c r="E232" s="270" t="s">
        <v>10643</v>
      </c>
      <c r="F232" s="92">
        <v>5</v>
      </c>
      <c r="G232" s="92">
        <v>5</v>
      </c>
      <c r="H232" s="92" t="s">
        <v>191</v>
      </c>
      <c r="I232" s="691"/>
      <c r="J232" s="691"/>
      <c r="K232" s="691"/>
      <c r="L232" s="691">
        <v>2.1999999999999999E-2</v>
      </c>
      <c r="M232" s="691"/>
      <c r="N232" s="691"/>
      <c r="O232" s="1239"/>
      <c r="P232" s="691"/>
      <c r="Q232" s="1090"/>
      <c r="R232" s="1085"/>
      <c r="S232" s="398"/>
      <c r="T232" s="254"/>
      <c r="U232" s="254"/>
      <c r="V232" s="254"/>
      <c r="W232" s="66"/>
      <c r="X232" s="254"/>
      <c r="Y232" s="66"/>
      <c r="Z232" s="344"/>
      <c r="AE232" s="2461"/>
      <c r="AF232" s="68"/>
    </row>
    <row r="233" spans="1:32" x14ac:dyDescent="0.35">
      <c r="A233" s="694"/>
      <c r="B233" s="1040">
        <v>10922</v>
      </c>
      <c r="C233" s="1040"/>
      <c r="D233" s="695"/>
      <c r="E233" s="900" t="s">
        <v>11298</v>
      </c>
      <c r="F233" s="92">
        <v>5</v>
      </c>
      <c r="G233" s="92">
        <v>5</v>
      </c>
      <c r="H233" s="92">
        <v>6</v>
      </c>
      <c r="I233" s="691"/>
      <c r="J233" s="691"/>
      <c r="K233" s="691"/>
      <c r="L233" s="2835"/>
      <c r="M233" s="691"/>
      <c r="N233" s="691"/>
      <c r="O233" s="1239"/>
      <c r="P233" s="691"/>
      <c r="Q233" s="1090">
        <f>1.5-0.022</f>
        <v>1.478</v>
      </c>
      <c r="R233" s="1085"/>
      <c r="S233" s="398"/>
      <c r="T233" s="254"/>
      <c r="U233" s="254"/>
      <c r="V233" s="254"/>
      <c r="W233" s="66"/>
      <c r="X233" s="254"/>
      <c r="Y233" s="66"/>
      <c r="Z233" s="344"/>
      <c r="AE233" s="2461"/>
      <c r="AF233" s="68"/>
    </row>
    <row r="234" spans="1:32" x14ac:dyDescent="0.35">
      <c r="A234" s="694"/>
      <c r="B234" s="1040"/>
      <c r="C234" s="1040"/>
      <c r="D234" s="695"/>
      <c r="E234" s="393" t="s">
        <v>11297</v>
      </c>
      <c r="F234" s="92">
        <v>5</v>
      </c>
      <c r="G234" s="92">
        <v>5</v>
      </c>
      <c r="H234" s="92">
        <v>6</v>
      </c>
      <c r="I234" s="691"/>
      <c r="J234" s="691"/>
      <c r="K234" s="691"/>
      <c r="L234" s="2835"/>
      <c r="M234" s="691"/>
      <c r="N234" s="691">
        <f>2.6-1.5</f>
        <v>1.1000000000000001</v>
      </c>
      <c r="O234" s="1239"/>
      <c r="P234" s="691"/>
      <c r="Q234" s="1090"/>
      <c r="R234" s="1085"/>
      <c r="S234" s="398"/>
      <c r="T234" s="254"/>
      <c r="U234" s="254"/>
      <c r="V234" s="254"/>
      <c r="W234" s="66"/>
      <c r="X234" s="254"/>
      <c r="Y234" s="66"/>
      <c r="Z234" s="344"/>
      <c r="AE234" s="2461"/>
      <c r="AF234" s="68"/>
    </row>
    <row r="235" spans="1:32" x14ac:dyDescent="0.35">
      <c r="A235" s="694"/>
      <c r="B235" s="1040"/>
      <c r="C235" s="1040"/>
      <c r="D235" s="695"/>
      <c r="E235" s="900" t="s">
        <v>11299</v>
      </c>
      <c r="F235" s="92">
        <v>5</v>
      </c>
      <c r="G235" s="92">
        <v>5</v>
      </c>
      <c r="H235" s="92">
        <v>6</v>
      </c>
      <c r="I235" s="691"/>
      <c r="J235" s="691"/>
      <c r="K235" s="691"/>
      <c r="L235" s="2835"/>
      <c r="M235" s="691"/>
      <c r="N235" s="691"/>
      <c r="O235" s="1239"/>
      <c r="P235" s="691"/>
      <c r="Q235" s="1090">
        <f>3.864-2.6</f>
        <v>1.2639999999999998</v>
      </c>
      <c r="R235" s="1085"/>
      <c r="S235" s="398"/>
      <c r="T235" s="254"/>
      <c r="U235" s="254"/>
      <c r="V235" s="254"/>
      <c r="W235" s="66"/>
      <c r="X235" s="254"/>
      <c r="Y235" s="66"/>
      <c r="Z235" s="344"/>
      <c r="AE235" s="2461"/>
      <c r="AF235" s="68"/>
    </row>
    <row r="236" spans="1:32" x14ac:dyDescent="0.35">
      <c r="A236" s="694"/>
      <c r="B236" s="1040">
        <v>10922</v>
      </c>
      <c r="C236" s="1040"/>
      <c r="D236" s="695"/>
      <c r="E236" s="393" t="s">
        <v>11257</v>
      </c>
      <c r="F236" s="92">
        <v>5</v>
      </c>
      <c r="G236" s="92">
        <v>5</v>
      </c>
      <c r="H236" s="92">
        <v>6</v>
      </c>
      <c r="I236" s="691"/>
      <c r="J236" s="691"/>
      <c r="K236" s="691"/>
      <c r="L236" s="2835"/>
      <c r="M236" s="691"/>
      <c r="N236" s="691">
        <f>6.997-3.864</f>
        <v>3.133</v>
      </c>
      <c r="O236" s="1239"/>
      <c r="P236" s="691"/>
      <c r="Q236" s="1090"/>
      <c r="R236" s="1085"/>
      <c r="S236" s="398"/>
      <c r="T236" s="254"/>
      <c r="U236" s="254"/>
      <c r="V236" s="254"/>
      <c r="W236" s="66"/>
      <c r="X236" s="254"/>
      <c r="Y236" s="66"/>
      <c r="Z236" s="344"/>
      <c r="AE236" s="2461"/>
      <c r="AF236" s="68"/>
    </row>
    <row r="237" spans="1:32" ht="31" x14ac:dyDescent="0.35">
      <c r="A237" s="694"/>
      <c r="B237" s="1040">
        <v>10922</v>
      </c>
      <c r="C237" s="1040"/>
      <c r="D237" s="695"/>
      <c r="E237" s="393" t="s">
        <v>11256</v>
      </c>
      <c r="F237" s="92">
        <v>5</v>
      </c>
      <c r="G237" s="92">
        <v>5</v>
      </c>
      <c r="H237" s="92" t="s">
        <v>191</v>
      </c>
      <c r="I237" s="691"/>
      <c r="J237" s="691"/>
      <c r="K237" s="691"/>
      <c r="L237" s="691">
        <f>7.01-6.997</f>
        <v>1.2999999999999901E-2</v>
      </c>
      <c r="M237" s="691"/>
      <c r="N237" s="691"/>
      <c r="O237" s="1239"/>
      <c r="P237" s="691"/>
      <c r="Q237" s="1090"/>
      <c r="R237" s="1085"/>
      <c r="S237" s="398"/>
      <c r="T237" s="254"/>
      <c r="U237" s="254"/>
      <c r="V237" s="254"/>
      <c r="W237" s="66"/>
      <c r="X237" s="254"/>
      <c r="Y237" s="66"/>
      <c r="Z237" s="344"/>
      <c r="AE237" s="2461"/>
      <c r="AF237" s="68"/>
    </row>
    <row r="238" spans="1:32" ht="75.5" x14ac:dyDescent="0.35">
      <c r="A238" s="525">
        <v>107</v>
      </c>
      <c r="B238" s="1040">
        <v>10922</v>
      </c>
      <c r="C238" s="1040"/>
      <c r="D238" s="2469" t="s">
        <v>5340</v>
      </c>
      <c r="E238" s="269" t="s">
        <v>9958</v>
      </c>
      <c r="F238" s="92">
        <v>4</v>
      </c>
      <c r="G238" s="92">
        <v>5</v>
      </c>
      <c r="H238" s="92">
        <v>6</v>
      </c>
      <c r="I238" s="688">
        <f t="shared" ref="I238:I244" si="20">J238+K238+L238</f>
        <v>1.72</v>
      </c>
      <c r="J238" s="688">
        <f t="shared" ref="J238:J244" si="21">SUM(M238:R238)</f>
        <v>1.72</v>
      </c>
      <c r="K238" s="688"/>
      <c r="L238" s="688"/>
      <c r="M238" s="688"/>
      <c r="N238" s="688"/>
      <c r="O238" s="1238"/>
      <c r="P238" s="688"/>
      <c r="Q238" s="1088">
        <v>1.72</v>
      </c>
      <c r="R238" s="1083"/>
      <c r="S238" s="397"/>
      <c r="T238" s="250"/>
      <c r="U238" s="250"/>
      <c r="V238" s="250"/>
      <c r="W238" s="67">
        <v>4</v>
      </c>
      <c r="X238" s="2723">
        <v>44</v>
      </c>
      <c r="Y238" s="67">
        <v>1</v>
      </c>
      <c r="Z238" s="343">
        <v>5</v>
      </c>
      <c r="AB238" s="3">
        <v>1</v>
      </c>
      <c r="AC238" s="62" t="s">
        <v>2130</v>
      </c>
      <c r="AD238" s="353">
        <v>36706</v>
      </c>
      <c r="AE238" s="2461"/>
      <c r="AF238" s="68"/>
    </row>
    <row r="239" spans="1:32" ht="90.5" x14ac:dyDescent="0.35">
      <c r="A239" s="2001">
        <v>108</v>
      </c>
      <c r="B239" s="693">
        <v>10922</v>
      </c>
      <c r="C239" s="358" t="s">
        <v>1656</v>
      </c>
      <c r="D239" s="2469" t="s">
        <v>5341</v>
      </c>
      <c r="E239" s="269" t="s">
        <v>9959</v>
      </c>
      <c r="F239" s="92" t="s">
        <v>1490</v>
      </c>
      <c r="G239" s="92">
        <v>5</v>
      </c>
      <c r="H239" s="92">
        <v>6</v>
      </c>
      <c r="I239" s="297">
        <f t="shared" si="20"/>
        <v>5.5E-2</v>
      </c>
      <c r="J239" s="297">
        <f t="shared" si="21"/>
        <v>5.5E-2</v>
      </c>
      <c r="K239" s="688"/>
      <c r="L239" s="688"/>
      <c r="M239" s="688"/>
      <c r="N239" s="688"/>
      <c r="O239" s="2386"/>
      <c r="P239" s="688"/>
      <c r="Q239" s="2387"/>
      <c r="R239" s="2388">
        <v>5.5E-2</v>
      </c>
      <c r="S239" s="397"/>
      <c r="T239" s="250"/>
      <c r="U239" s="250"/>
      <c r="V239" s="250"/>
      <c r="W239" s="67"/>
      <c r="X239" s="250"/>
      <c r="Y239" s="67"/>
      <c r="Z239" s="343"/>
      <c r="AB239" s="3">
        <v>1</v>
      </c>
      <c r="AE239" s="2461"/>
      <c r="AF239" s="68"/>
    </row>
    <row r="240" spans="1:32" ht="75" x14ac:dyDescent="0.35">
      <c r="A240" s="525">
        <v>109</v>
      </c>
      <c r="B240" s="693">
        <v>10922</v>
      </c>
      <c r="C240" s="1144" t="s">
        <v>1656</v>
      </c>
      <c r="D240" s="2469" t="s">
        <v>5342</v>
      </c>
      <c r="E240" s="2187" t="s">
        <v>9960</v>
      </c>
      <c r="F240" s="92" t="s">
        <v>827</v>
      </c>
      <c r="G240" s="92">
        <v>5</v>
      </c>
      <c r="H240" s="92">
        <v>6</v>
      </c>
      <c r="I240" s="702">
        <f t="shared" si="20"/>
        <v>0.2</v>
      </c>
      <c r="J240" s="702">
        <f t="shared" si="21"/>
        <v>0.2</v>
      </c>
      <c r="K240" s="622"/>
      <c r="L240" s="622"/>
      <c r="M240" s="622"/>
      <c r="N240" s="622"/>
      <c r="O240" s="2095">
        <v>0.2</v>
      </c>
      <c r="P240" s="622"/>
      <c r="Q240" s="622"/>
      <c r="R240" s="906"/>
      <c r="S240" s="106"/>
      <c r="T240" s="106"/>
      <c r="U240" s="106"/>
      <c r="V240" s="106"/>
      <c r="W240" s="105"/>
      <c r="X240" s="105"/>
      <c r="Y240" s="105"/>
      <c r="Z240" s="181"/>
      <c r="AB240" s="3">
        <v>1</v>
      </c>
      <c r="AE240" s="2461"/>
      <c r="AF240" s="68"/>
    </row>
    <row r="241" spans="1:32" ht="75.5" x14ac:dyDescent="0.35">
      <c r="A241" s="2001">
        <v>110</v>
      </c>
      <c r="B241" s="1040">
        <v>10922</v>
      </c>
      <c r="C241" s="1040"/>
      <c r="D241" s="2469" t="s">
        <v>5343</v>
      </c>
      <c r="E241" s="269" t="s">
        <v>9961</v>
      </c>
      <c r="F241" s="92">
        <v>5</v>
      </c>
      <c r="G241" s="92">
        <v>5</v>
      </c>
      <c r="H241" s="92">
        <v>6</v>
      </c>
      <c r="I241" s="688">
        <f t="shared" si="20"/>
        <v>0.56999999999999995</v>
      </c>
      <c r="J241" s="688">
        <f t="shared" si="21"/>
        <v>0.56999999999999995</v>
      </c>
      <c r="K241" s="688"/>
      <c r="L241" s="688"/>
      <c r="M241" s="688"/>
      <c r="N241" s="688"/>
      <c r="O241" s="1238">
        <v>0.56999999999999995</v>
      </c>
      <c r="P241" s="688"/>
      <c r="Q241" s="1088"/>
      <c r="R241" s="1083"/>
      <c r="S241" s="397"/>
      <c r="T241" s="250"/>
      <c r="U241" s="250"/>
      <c r="V241" s="250"/>
      <c r="W241" s="67">
        <v>1</v>
      </c>
      <c r="X241" s="250">
        <v>10</v>
      </c>
      <c r="Y241" s="67"/>
      <c r="Z241" s="343"/>
      <c r="AB241" s="3">
        <v>1</v>
      </c>
      <c r="AE241" s="2461"/>
      <c r="AF241" s="68"/>
    </row>
    <row r="242" spans="1:32" ht="30.5" x14ac:dyDescent="0.35">
      <c r="A242" s="525">
        <v>111</v>
      </c>
      <c r="B242" s="1040">
        <v>10923</v>
      </c>
      <c r="C242" s="1040"/>
      <c r="D242" s="693" t="s">
        <v>1498</v>
      </c>
      <c r="E242" s="269" t="s">
        <v>7159</v>
      </c>
      <c r="F242" s="92">
        <v>4</v>
      </c>
      <c r="G242" s="92">
        <v>5</v>
      </c>
      <c r="H242" s="92">
        <v>6</v>
      </c>
      <c r="I242" s="688">
        <f t="shared" si="20"/>
        <v>1.63</v>
      </c>
      <c r="J242" s="688">
        <f t="shared" si="21"/>
        <v>1.63</v>
      </c>
      <c r="K242" s="688"/>
      <c r="L242" s="688"/>
      <c r="M242" s="688"/>
      <c r="N242" s="688"/>
      <c r="O242" s="1238"/>
      <c r="P242" s="688"/>
      <c r="Q242" s="1088">
        <v>1.63</v>
      </c>
      <c r="R242" s="1083"/>
      <c r="S242" s="397"/>
      <c r="T242" s="250"/>
      <c r="U242" s="250"/>
      <c r="V242" s="250"/>
      <c r="W242" s="67">
        <v>7</v>
      </c>
      <c r="X242" s="250">
        <v>70</v>
      </c>
      <c r="Y242" s="67">
        <v>2</v>
      </c>
      <c r="Z242" s="343">
        <v>20</v>
      </c>
      <c r="AB242" s="3">
        <v>1</v>
      </c>
      <c r="AE242" s="2461"/>
      <c r="AF242" s="68"/>
    </row>
    <row r="243" spans="1:32" ht="45.5" x14ac:dyDescent="0.35">
      <c r="A243" s="2001">
        <v>112</v>
      </c>
      <c r="B243" s="693">
        <v>10923</v>
      </c>
      <c r="C243" s="358" t="s">
        <v>1656</v>
      </c>
      <c r="D243" s="2469" t="s">
        <v>5344</v>
      </c>
      <c r="E243" s="269" t="s">
        <v>8698</v>
      </c>
      <c r="F243" s="92" t="s">
        <v>1490</v>
      </c>
      <c r="G243" s="2289">
        <v>5</v>
      </c>
      <c r="H243" s="92">
        <v>6</v>
      </c>
      <c r="I243" s="297">
        <f t="shared" si="20"/>
        <v>0.45</v>
      </c>
      <c r="J243" s="297">
        <f>SUM(M243:R243)</f>
        <v>0.45</v>
      </c>
      <c r="K243" s="688"/>
      <c r="L243" s="688"/>
      <c r="M243" s="688"/>
      <c r="N243" s="688"/>
      <c r="O243" s="2386"/>
      <c r="P243" s="688"/>
      <c r="Q243" s="2387"/>
      <c r="R243" s="2388">
        <v>0.45</v>
      </c>
      <c r="S243" s="397"/>
      <c r="T243" s="250"/>
      <c r="U243" s="250"/>
      <c r="V243" s="250"/>
      <c r="W243" s="67"/>
      <c r="X243" s="250"/>
      <c r="Y243" s="67"/>
      <c r="Z243" s="343"/>
      <c r="AB243" s="3">
        <v>1</v>
      </c>
      <c r="AE243" s="2461"/>
      <c r="AF243" s="68"/>
    </row>
    <row r="244" spans="1:32" ht="30.5" x14ac:dyDescent="0.35">
      <c r="A244" s="525">
        <v>113</v>
      </c>
      <c r="B244" s="1040">
        <v>10925</v>
      </c>
      <c r="C244" s="1040"/>
      <c r="D244" s="693" t="s">
        <v>1499</v>
      </c>
      <c r="E244" s="269" t="s">
        <v>2068</v>
      </c>
      <c r="F244" s="92"/>
      <c r="G244" s="92" t="s">
        <v>191</v>
      </c>
      <c r="H244" s="92" t="s">
        <v>191</v>
      </c>
      <c r="I244" s="688">
        <f t="shared" si="20"/>
        <v>4.0999999999999996</v>
      </c>
      <c r="J244" s="688">
        <f t="shared" si="21"/>
        <v>4.0999999999999996</v>
      </c>
      <c r="K244" s="688"/>
      <c r="L244" s="688"/>
      <c r="M244" s="688"/>
      <c r="N244" s="688"/>
      <c r="O244" s="1238"/>
      <c r="P244" s="688"/>
      <c r="Q244" s="1088">
        <f>SUM(Q245:Q246)</f>
        <v>2.9</v>
      </c>
      <c r="R244" s="1083">
        <f>SUM(R245:R246)</f>
        <v>1.2</v>
      </c>
      <c r="S244" s="397"/>
      <c r="T244" s="250"/>
      <c r="U244" s="250"/>
      <c r="V244" s="250"/>
      <c r="W244" s="67">
        <v>1</v>
      </c>
      <c r="X244" s="250">
        <v>12.5</v>
      </c>
      <c r="Y244" s="67"/>
      <c r="Z244" s="343"/>
      <c r="AB244" s="3">
        <v>1</v>
      </c>
      <c r="AE244" s="2461"/>
      <c r="AF244" s="68"/>
    </row>
    <row r="245" spans="1:32" x14ac:dyDescent="0.35">
      <c r="A245" s="694"/>
      <c r="B245" s="1040">
        <v>10925</v>
      </c>
      <c r="C245" s="1040"/>
      <c r="D245" s="695"/>
      <c r="E245" s="900" t="s">
        <v>562</v>
      </c>
      <c r="F245" s="92">
        <v>5</v>
      </c>
      <c r="G245" s="92">
        <v>5</v>
      </c>
      <c r="H245" s="92">
        <v>6</v>
      </c>
      <c r="I245" s="691"/>
      <c r="J245" s="691"/>
      <c r="K245" s="691"/>
      <c r="L245" s="691"/>
      <c r="M245" s="691"/>
      <c r="N245" s="691"/>
      <c r="O245" s="1239"/>
      <c r="P245" s="691"/>
      <c r="Q245" s="1090">
        <v>2.9</v>
      </c>
      <c r="R245" s="1085"/>
      <c r="S245" s="398"/>
      <c r="T245" s="254"/>
      <c r="U245" s="254"/>
      <c r="V245" s="254"/>
      <c r="W245" s="66"/>
      <c r="X245" s="254"/>
      <c r="Y245" s="66"/>
      <c r="Z245" s="344"/>
      <c r="AE245" s="2461"/>
      <c r="AF245" s="68"/>
    </row>
    <row r="246" spans="1:32" x14ac:dyDescent="0.35">
      <c r="A246" s="694"/>
      <c r="B246" s="1040">
        <v>10925</v>
      </c>
      <c r="C246" s="1040"/>
      <c r="D246" s="695"/>
      <c r="E246" s="878" t="s">
        <v>2069</v>
      </c>
      <c r="F246" s="92" t="s">
        <v>1490</v>
      </c>
      <c r="G246" s="92">
        <v>5</v>
      </c>
      <c r="H246" s="92">
        <v>6</v>
      </c>
      <c r="I246" s="691"/>
      <c r="J246" s="691"/>
      <c r="K246" s="691"/>
      <c r="L246" s="691"/>
      <c r="M246" s="691"/>
      <c r="N246" s="691"/>
      <c r="O246" s="1239"/>
      <c r="P246" s="691"/>
      <c r="Q246" s="1090"/>
      <c r="R246" s="1085">
        <v>1.2</v>
      </c>
      <c r="S246" s="398"/>
      <c r="T246" s="254"/>
      <c r="U246" s="254"/>
      <c r="V246" s="254"/>
      <c r="W246" s="66"/>
      <c r="X246" s="254"/>
      <c r="Y246" s="66"/>
      <c r="Z246" s="344"/>
      <c r="AE246" s="2461"/>
      <c r="AF246" s="68"/>
    </row>
    <row r="247" spans="1:32" ht="45.5" x14ac:dyDescent="0.35">
      <c r="A247" s="2001">
        <v>114</v>
      </c>
      <c r="B247" s="1144">
        <v>10925</v>
      </c>
      <c r="C247" s="358" t="s">
        <v>1656</v>
      </c>
      <c r="D247" s="2469" t="s">
        <v>5345</v>
      </c>
      <c r="E247" s="269" t="s">
        <v>8699</v>
      </c>
      <c r="F247" s="92" t="s">
        <v>1490</v>
      </c>
      <c r="G247" s="92">
        <v>5</v>
      </c>
      <c r="H247" s="92">
        <v>6</v>
      </c>
      <c r="I247" s="297">
        <f t="shared" ref="I247:I260" si="22">J247+K247+L247</f>
        <v>1</v>
      </c>
      <c r="J247" s="297">
        <f t="shared" ref="J247:J260" si="23">SUM(M247:R247)</f>
        <v>1</v>
      </c>
      <c r="K247" s="691"/>
      <c r="L247" s="691"/>
      <c r="M247" s="688"/>
      <c r="N247" s="688"/>
      <c r="O247" s="2386"/>
      <c r="P247" s="688"/>
      <c r="Q247" s="2387"/>
      <c r="R247" s="2388">
        <v>1</v>
      </c>
      <c r="S247" s="398"/>
      <c r="T247" s="92"/>
      <c r="U247" s="92"/>
      <c r="V247" s="92"/>
      <c r="W247" s="66"/>
      <c r="X247" s="92"/>
      <c r="Y247" s="66"/>
      <c r="Z247" s="342"/>
      <c r="AB247" s="3">
        <v>1</v>
      </c>
      <c r="AE247" s="2461"/>
      <c r="AF247" s="68"/>
    </row>
    <row r="248" spans="1:32" x14ac:dyDescent="0.35">
      <c r="A248" s="525">
        <v>115</v>
      </c>
      <c r="B248" s="1040">
        <v>10927</v>
      </c>
      <c r="C248" s="1040"/>
      <c r="D248" s="693" t="s">
        <v>466</v>
      </c>
      <c r="E248" s="269" t="s">
        <v>11414</v>
      </c>
      <c r="F248" s="92"/>
      <c r="G248" s="92" t="s">
        <v>191</v>
      </c>
      <c r="H248" s="92" t="s">
        <v>191</v>
      </c>
      <c r="I248" s="688">
        <f t="shared" si="22"/>
        <v>8.8079999999999998</v>
      </c>
      <c r="J248" s="688">
        <f t="shared" si="23"/>
        <v>8.7690000000000001</v>
      </c>
      <c r="K248" s="688"/>
      <c r="L248" s="688">
        <f>SUM(L249:L255)</f>
        <v>3.9000000000000132E-2</v>
      </c>
      <c r="M248" s="688"/>
      <c r="N248" s="688"/>
      <c r="O248" s="1238"/>
      <c r="P248" s="688"/>
      <c r="Q248" s="1088">
        <f>SUM(Q249:Q255)</f>
        <v>8.7690000000000001</v>
      </c>
      <c r="R248" s="1083"/>
      <c r="S248" s="397"/>
      <c r="T248" s="250"/>
      <c r="U248" s="250"/>
      <c r="V248" s="250"/>
      <c r="W248" s="67">
        <v>28</v>
      </c>
      <c r="X248" s="250">
        <v>302.89999999999998</v>
      </c>
      <c r="Y248" s="67">
        <v>7</v>
      </c>
      <c r="Z248" s="343">
        <v>70</v>
      </c>
      <c r="AA248" s="3" t="s">
        <v>2607</v>
      </c>
      <c r="AB248" s="3">
        <v>1</v>
      </c>
      <c r="AE248" s="2461"/>
      <c r="AF248" s="68"/>
    </row>
    <row r="249" spans="1:32" ht="31" x14ac:dyDescent="0.35">
      <c r="A249" s="525"/>
      <c r="B249" s="1040"/>
      <c r="C249" s="1040"/>
      <c r="D249" s="693"/>
      <c r="E249" s="270" t="s">
        <v>11243</v>
      </c>
      <c r="F249" s="92">
        <v>4</v>
      </c>
      <c r="G249" s="92">
        <v>5</v>
      </c>
      <c r="H249" s="92" t="s">
        <v>191</v>
      </c>
      <c r="I249" s="691"/>
      <c r="J249" s="691"/>
      <c r="K249" s="691"/>
      <c r="L249" s="691">
        <v>0.02</v>
      </c>
      <c r="M249" s="691"/>
      <c r="N249" s="691"/>
      <c r="O249" s="2284"/>
      <c r="P249" s="691"/>
      <c r="Q249" s="2285"/>
      <c r="R249" s="2286"/>
      <c r="S249" s="397"/>
      <c r="T249" s="250"/>
      <c r="U249" s="250"/>
      <c r="V249" s="250"/>
      <c r="W249" s="67"/>
      <c r="X249" s="250"/>
      <c r="Y249" s="67"/>
      <c r="Z249" s="343"/>
      <c r="AE249" s="2461"/>
      <c r="AF249" s="68"/>
    </row>
    <row r="250" spans="1:32" x14ac:dyDescent="0.35">
      <c r="A250" s="525"/>
      <c r="B250" s="1040"/>
      <c r="C250" s="1040"/>
      <c r="D250" s="693"/>
      <c r="E250" s="900" t="s">
        <v>11244</v>
      </c>
      <c r="F250" s="92">
        <v>4</v>
      </c>
      <c r="G250" s="92">
        <v>5</v>
      </c>
      <c r="H250" s="92">
        <v>6</v>
      </c>
      <c r="I250" s="691"/>
      <c r="J250" s="691"/>
      <c r="K250" s="691"/>
      <c r="L250" s="691"/>
      <c r="M250" s="691"/>
      <c r="N250" s="691"/>
      <c r="O250" s="2284"/>
      <c r="P250" s="691"/>
      <c r="Q250" s="2285">
        <f>3.821-0.02</f>
        <v>3.8010000000000002</v>
      </c>
      <c r="R250" s="2286"/>
      <c r="S250" s="397"/>
      <c r="T250" s="250"/>
      <c r="U250" s="250"/>
      <c r="V250" s="250"/>
      <c r="W250" s="67"/>
      <c r="X250" s="250"/>
      <c r="Y250" s="67"/>
      <c r="Z250" s="343"/>
      <c r="AE250" s="2461"/>
      <c r="AF250" s="68"/>
    </row>
    <row r="251" spans="1:32" x14ac:dyDescent="0.35">
      <c r="A251" s="525"/>
      <c r="B251" s="1040"/>
      <c r="C251" s="1040"/>
      <c r="D251" s="693"/>
      <c r="E251" s="900" t="s">
        <v>11245</v>
      </c>
      <c r="F251" s="92">
        <v>5</v>
      </c>
      <c r="G251" s="92">
        <v>5</v>
      </c>
      <c r="H251" s="92">
        <v>6</v>
      </c>
      <c r="I251" s="691"/>
      <c r="J251" s="691"/>
      <c r="K251" s="691"/>
      <c r="L251" s="691"/>
      <c r="M251" s="691"/>
      <c r="N251" s="691"/>
      <c r="O251" s="2284"/>
      <c r="P251" s="691"/>
      <c r="Q251" s="2285">
        <f>4.352-3.821</f>
        <v>0.53100000000000014</v>
      </c>
      <c r="R251" s="2286"/>
      <c r="S251" s="397"/>
      <c r="T251" s="250"/>
      <c r="U251" s="250"/>
      <c r="V251" s="250"/>
      <c r="W251" s="67"/>
      <c r="X251" s="250"/>
      <c r="Y251" s="67"/>
      <c r="Z251" s="343"/>
      <c r="AE251" s="2461"/>
      <c r="AF251" s="68"/>
    </row>
    <row r="252" spans="1:32" x14ac:dyDescent="0.35">
      <c r="A252" s="525"/>
      <c r="B252" s="1040"/>
      <c r="C252" s="1040"/>
      <c r="D252" s="693"/>
      <c r="E252" s="900" t="s">
        <v>11246</v>
      </c>
      <c r="F252" s="92">
        <v>4</v>
      </c>
      <c r="G252" s="92">
        <v>5</v>
      </c>
      <c r="H252" s="92">
        <v>6</v>
      </c>
      <c r="I252" s="691"/>
      <c r="J252" s="691"/>
      <c r="K252" s="691"/>
      <c r="L252" s="691"/>
      <c r="M252" s="691"/>
      <c r="N252" s="691"/>
      <c r="O252" s="2284"/>
      <c r="P252" s="691"/>
      <c r="Q252" s="2285">
        <f>7.621-4.352</f>
        <v>3.2690000000000001</v>
      </c>
      <c r="R252" s="2286"/>
      <c r="S252" s="397"/>
      <c r="T252" s="250"/>
      <c r="U252" s="250"/>
      <c r="V252" s="250"/>
      <c r="W252" s="67"/>
      <c r="X252" s="250"/>
      <c r="Y252" s="67"/>
      <c r="Z252" s="343"/>
      <c r="AE252" s="2461"/>
      <c r="AF252" s="68"/>
    </row>
    <row r="253" spans="1:32" x14ac:dyDescent="0.35">
      <c r="A253" s="525"/>
      <c r="B253" s="1040"/>
      <c r="C253" s="1040"/>
      <c r="D253" s="693"/>
      <c r="E253" s="900" t="s">
        <v>11247</v>
      </c>
      <c r="F253" s="92">
        <v>5</v>
      </c>
      <c r="G253" s="92">
        <v>5</v>
      </c>
      <c r="H253" s="92">
        <v>6</v>
      </c>
      <c r="I253" s="691"/>
      <c r="J253" s="691"/>
      <c r="K253" s="691"/>
      <c r="L253" s="691"/>
      <c r="M253" s="691"/>
      <c r="N253" s="691"/>
      <c r="O253" s="2284"/>
      <c r="P253" s="691"/>
      <c r="Q253" s="2285">
        <f>8.243-7.621</f>
        <v>0.62199999999999989</v>
      </c>
      <c r="R253" s="2286"/>
      <c r="S253" s="397"/>
      <c r="T253" s="250"/>
      <c r="U253" s="250"/>
      <c r="V253" s="250"/>
      <c r="W253" s="67"/>
      <c r="X253" s="250"/>
      <c r="Y253" s="67"/>
      <c r="Z253" s="343"/>
      <c r="AE253" s="2461"/>
      <c r="AF253" s="68"/>
    </row>
    <row r="254" spans="1:32" x14ac:dyDescent="0.35">
      <c r="A254" s="525"/>
      <c r="B254" s="1040"/>
      <c r="C254" s="1040"/>
      <c r="D254" s="693"/>
      <c r="E254" s="900" t="s">
        <v>11249</v>
      </c>
      <c r="F254" s="92">
        <v>4</v>
      </c>
      <c r="G254" s="92">
        <v>5</v>
      </c>
      <c r="H254" s="92">
        <v>6</v>
      </c>
      <c r="I254" s="691"/>
      <c r="J254" s="691"/>
      <c r="K254" s="691"/>
      <c r="L254" s="691"/>
      <c r="M254" s="691"/>
      <c r="N254" s="691"/>
      <c r="O254" s="2284"/>
      <c r="P254" s="691"/>
      <c r="Q254" s="2285">
        <f>8.789-8.243</f>
        <v>0.54599999999999937</v>
      </c>
      <c r="R254" s="2286"/>
      <c r="S254" s="397"/>
      <c r="T254" s="250"/>
      <c r="U254" s="250"/>
      <c r="V254" s="250"/>
      <c r="W254" s="67"/>
      <c r="X254" s="250"/>
      <c r="Y254" s="67"/>
      <c r="Z254" s="343"/>
      <c r="AE254" s="2461"/>
      <c r="AF254" s="68"/>
    </row>
    <row r="255" spans="1:32" ht="31" x14ac:dyDescent="0.35">
      <c r="A255" s="525"/>
      <c r="B255" s="1040"/>
      <c r="C255" s="1040"/>
      <c r="D255" s="693"/>
      <c r="E255" s="270" t="s">
        <v>11248</v>
      </c>
      <c r="F255" s="92">
        <v>4</v>
      </c>
      <c r="G255" s="92">
        <v>5</v>
      </c>
      <c r="H255" s="92" t="s">
        <v>191</v>
      </c>
      <c r="I255" s="691"/>
      <c r="J255" s="691"/>
      <c r="K255" s="691"/>
      <c r="L255" s="691">
        <f>8.808-8.789</f>
        <v>1.9000000000000128E-2</v>
      </c>
      <c r="M255" s="691"/>
      <c r="N255" s="691"/>
      <c r="O255" s="2284"/>
      <c r="P255" s="691"/>
      <c r="Q255" s="2285"/>
      <c r="R255" s="2286"/>
      <c r="S255" s="397"/>
      <c r="T255" s="250"/>
      <c r="U255" s="250"/>
      <c r="V255" s="250"/>
      <c r="W255" s="67"/>
      <c r="X255" s="250"/>
      <c r="Y255" s="67"/>
      <c r="Z255" s="343"/>
      <c r="AE255" s="2461"/>
      <c r="AF255" s="68"/>
    </row>
    <row r="256" spans="1:32" ht="30" x14ac:dyDescent="0.35">
      <c r="A256" s="2001">
        <v>116</v>
      </c>
      <c r="B256" s="693">
        <v>10927</v>
      </c>
      <c r="C256" s="358" t="s">
        <v>1656</v>
      </c>
      <c r="D256" s="2469" t="s">
        <v>5346</v>
      </c>
      <c r="E256" s="2187" t="s">
        <v>8700</v>
      </c>
      <c r="F256" s="92" t="s">
        <v>1490</v>
      </c>
      <c r="G256" s="2289">
        <v>5</v>
      </c>
      <c r="H256" s="92">
        <v>6</v>
      </c>
      <c r="I256" s="297">
        <f t="shared" si="22"/>
        <v>0.05</v>
      </c>
      <c r="J256" s="297">
        <f t="shared" si="23"/>
        <v>0.05</v>
      </c>
      <c r="K256" s="622"/>
      <c r="L256" s="622"/>
      <c r="M256" s="622"/>
      <c r="N256" s="622"/>
      <c r="O256" s="622"/>
      <c r="P256" s="622"/>
      <c r="Q256" s="622"/>
      <c r="R256" s="906">
        <v>0.05</v>
      </c>
      <c r="S256" s="106"/>
      <c r="T256" s="106"/>
      <c r="U256" s="106"/>
      <c r="V256" s="106"/>
      <c r="W256" s="105"/>
      <c r="X256" s="105"/>
      <c r="Y256" s="105"/>
      <c r="Z256" s="2389"/>
      <c r="AB256" s="3">
        <v>1</v>
      </c>
      <c r="AE256" s="2461"/>
      <c r="AF256" s="68"/>
    </row>
    <row r="257" spans="1:32" ht="45.5" x14ac:dyDescent="0.35">
      <c r="A257" s="525">
        <v>117</v>
      </c>
      <c r="B257" s="693">
        <v>10927</v>
      </c>
      <c r="C257" s="358" t="s">
        <v>1656</v>
      </c>
      <c r="D257" s="2469" t="s">
        <v>5347</v>
      </c>
      <c r="E257" s="269" t="s">
        <v>8701</v>
      </c>
      <c r="F257" s="92" t="s">
        <v>1490</v>
      </c>
      <c r="G257" s="2289">
        <v>5</v>
      </c>
      <c r="H257" s="92">
        <v>6</v>
      </c>
      <c r="I257" s="297">
        <f t="shared" si="22"/>
        <v>0.08</v>
      </c>
      <c r="J257" s="297">
        <f t="shared" si="23"/>
        <v>0.08</v>
      </c>
      <c r="K257" s="688"/>
      <c r="L257" s="688"/>
      <c r="M257" s="688"/>
      <c r="N257" s="688"/>
      <c r="O257" s="2386"/>
      <c r="P257" s="688"/>
      <c r="Q257" s="2387"/>
      <c r="R257" s="2388">
        <v>0.08</v>
      </c>
      <c r="S257" s="397"/>
      <c r="T257" s="250"/>
      <c r="U257" s="250"/>
      <c r="V257" s="250"/>
      <c r="W257" s="67"/>
      <c r="X257" s="250"/>
      <c r="Y257" s="67"/>
      <c r="Z257" s="343"/>
      <c r="AB257" s="3">
        <v>1</v>
      </c>
      <c r="AE257" s="2461"/>
      <c r="AF257" s="68"/>
    </row>
    <row r="258" spans="1:32" ht="45.5" x14ac:dyDescent="0.35">
      <c r="A258" s="2001">
        <v>118</v>
      </c>
      <c r="B258" s="693">
        <v>10927</v>
      </c>
      <c r="C258" s="358" t="s">
        <v>1656</v>
      </c>
      <c r="D258" s="2469" t="s">
        <v>5348</v>
      </c>
      <c r="E258" s="269" t="s">
        <v>8702</v>
      </c>
      <c r="F258" s="92" t="s">
        <v>1490</v>
      </c>
      <c r="G258" s="2289">
        <v>5</v>
      </c>
      <c r="H258" s="92">
        <v>6</v>
      </c>
      <c r="I258" s="297">
        <f t="shared" si="22"/>
        <v>0.08</v>
      </c>
      <c r="J258" s="297">
        <f t="shared" si="23"/>
        <v>0.08</v>
      </c>
      <c r="K258" s="691"/>
      <c r="L258" s="691"/>
      <c r="M258" s="688"/>
      <c r="N258" s="688"/>
      <c r="O258" s="2386"/>
      <c r="P258" s="688"/>
      <c r="Q258" s="2387"/>
      <c r="R258" s="2388">
        <v>0.08</v>
      </c>
      <c r="S258" s="398"/>
      <c r="T258" s="254"/>
      <c r="U258" s="254"/>
      <c r="V258" s="254"/>
      <c r="W258" s="66"/>
      <c r="X258" s="254"/>
      <c r="Y258" s="66"/>
      <c r="Z258" s="344"/>
      <c r="AB258" s="3">
        <v>1</v>
      </c>
      <c r="AE258" s="2461"/>
      <c r="AF258" s="68"/>
    </row>
    <row r="259" spans="1:32" ht="30.5" x14ac:dyDescent="0.35">
      <c r="A259" s="525">
        <v>119</v>
      </c>
      <c r="B259" s="693">
        <v>10927</v>
      </c>
      <c r="C259" s="358" t="s">
        <v>1656</v>
      </c>
      <c r="D259" s="2469" t="s">
        <v>5349</v>
      </c>
      <c r="E259" s="269" t="s">
        <v>8703</v>
      </c>
      <c r="F259" s="92" t="s">
        <v>1490</v>
      </c>
      <c r="G259" s="92">
        <v>5</v>
      </c>
      <c r="H259" s="92">
        <v>6</v>
      </c>
      <c r="I259" s="297">
        <f t="shared" si="22"/>
        <v>0.2</v>
      </c>
      <c r="J259" s="297">
        <f t="shared" si="23"/>
        <v>0.2</v>
      </c>
      <c r="K259" s="691"/>
      <c r="L259" s="691"/>
      <c r="M259" s="688"/>
      <c r="N259" s="688"/>
      <c r="O259" s="2386"/>
      <c r="P259" s="688"/>
      <c r="Q259" s="2387"/>
      <c r="R259" s="2388">
        <v>0.2</v>
      </c>
      <c r="S259" s="398"/>
      <c r="T259" s="254"/>
      <c r="U259" s="254"/>
      <c r="V259" s="254"/>
      <c r="W259" s="66"/>
      <c r="X259" s="254"/>
      <c r="Y259" s="66"/>
      <c r="Z259" s="254"/>
      <c r="AB259" s="3">
        <v>1</v>
      </c>
      <c r="AE259" s="2461"/>
      <c r="AF259" s="68"/>
    </row>
    <row r="260" spans="1:32" x14ac:dyDescent="0.35">
      <c r="A260" s="2001">
        <v>120</v>
      </c>
      <c r="B260" s="1040">
        <v>10928</v>
      </c>
      <c r="C260" s="1040"/>
      <c r="D260" s="693" t="s">
        <v>2978</v>
      </c>
      <c r="E260" s="269" t="s">
        <v>859</v>
      </c>
      <c r="F260" s="92"/>
      <c r="G260" s="92" t="s">
        <v>191</v>
      </c>
      <c r="H260" s="92" t="s">
        <v>191</v>
      </c>
      <c r="I260" s="688">
        <f t="shared" si="22"/>
        <v>2.48</v>
      </c>
      <c r="J260" s="688">
        <f t="shared" si="23"/>
        <v>2.48</v>
      </c>
      <c r="K260" s="688"/>
      <c r="L260" s="688"/>
      <c r="M260" s="688"/>
      <c r="N260" s="688">
        <f>SUM(N261:N262)</f>
        <v>0.62</v>
      </c>
      <c r="O260" s="1238"/>
      <c r="P260" s="688"/>
      <c r="Q260" s="1088">
        <f>SUM(Q261:Q262)</f>
        <v>1.8599999999999999</v>
      </c>
      <c r="R260" s="1083"/>
      <c r="S260" s="397"/>
      <c r="T260" s="250"/>
      <c r="U260" s="250"/>
      <c r="V260" s="250"/>
      <c r="W260" s="67">
        <v>8</v>
      </c>
      <c r="X260" s="250">
        <v>88</v>
      </c>
      <c r="Y260" s="67">
        <v>5</v>
      </c>
      <c r="Z260" s="343">
        <v>56</v>
      </c>
      <c r="AA260" s="3" t="s">
        <v>1729</v>
      </c>
      <c r="AB260" s="3">
        <v>1</v>
      </c>
      <c r="AE260" s="2461"/>
      <c r="AF260" s="68"/>
    </row>
    <row r="261" spans="1:32" x14ac:dyDescent="0.35">
      <c r="A261" s="694"/>
      <c r="B261" s="1040">
        <v>10928</v>
      </c>
      <c r="C261" s="1040"/>
      <c r="D261" s="695"/>
      <c r="E261" s="270" t="s">
        <v>1069</v>
      </c>
      <c r="F261" s="92">
        <v>5</v>
      </c>
      <c r="G261" s="92">
        <v>5</v>
      </c>
      <c r="H261" s="92">
        <v>6</v>
      </c>
      <c r="I261" s="691"/>
      <c r="J261" s="691"/>
      <c r="K261" s="691"/>
      <c r="L261" s="691"/>
      <c r="M261" s="691"/>
      <c r="N261" s="691">
        <v>0.62</v>
      </c>
      <c r="O261" s="1239"/>
      <c r="P261" s="691"/>
      <c r="Q261" s="1090"/>
      <c r="R261" s="1085"/>
      <c r="S261" s="398"/>
      <c r="T261" s="254"/>
      <c r="U261" s="254"/>
      <c r="V261" s="254"/>
      <c r="W261" s="66"/>
      <c r="X261" s="254"/>
      <c r="Y261" s="66"/>
      <c r="Z261" s="344"/>
      <c r="AE261" s="2461"/>
      <c r="AF261" s="68"/>
    </row>
    <row r="262" spans="1:32" x14ac:dyDescent="0.35">
      <c r="A262" s="694"/>
      <c r="B262" s="1040">
        <v>10928</v>
      </c>
      <c r="C262" s="1040"/>
      <c r="D262" s="695"/>
      <c r="E262" s="900" t="s">
        <v>311</v>
      </c>
      <c r="F262" s="92">
        <v>4</v>
      </c>
      <c r="G262" s="92">
        <v>5</v>
      </c>
      <c r="H262" s="92">
        <v>6</v>
      </c>
      <c r="I262" s="691"/>
      <c r="J262" s="691"/>
      <c r="K262" s="691"/>
      <c r="L262" s="691"/>
      <c r="M262" s="691"/>
      <c r="N262" s="691"/>
      <c r="O262" s="1239"/>
      <c r="P262" s="691"/>
      <c r="Q262" s="1090">
        <f>2.48-0.62</f>
        <v>1.8599999999999999</v>
      </c>
      <c r="R262" s="1085"/>
      <c r="S262" s="398"/>
      <c r="T262" s="254"/>
      <c r="U262" s="254"/>
      <c r="V262" s="254"/>
      <c r="W262" s="66"/>
      <c r="X262" s="254"/>
      <c r="Y262" s="66"/>
      <c r="Z262" s="344"/>
      <c r="AE262" s="2461"/>
      <c r="AF262" s="68"/>
    </row>
    <row r="263" spans="1:32" ht="30.5" x14ac:dyDescent="0.35">
      <c r="A263" s="2001">
        <v>121</v>
      </c>
      <c r="B263" s="693">
        <v>10928</v>
      </c>
      <c r="C263" s="358" t="s">
        <v>1656</v>
      </c>
      <c r="D263" s="2469" t="s">
        <v>5350</v>
      </c>
      <c r="E263" s="269" t="s">
        <v>8704</v>
      </c>
      <c r="F263" s="92" t="s">
        <v>1490</v>
      </c>
      <c r="G263" s="92">
        <v>5</v>
      </c>
      <c r="H263" s="92">
        <v>6</v>
      </c>
      <c r="I263" s="297">
        <f>J263+K263+L263</f>
        <v>1</v>
      </c>
      <c r="J263" s="297">
        <f>SUM(M263:R263)</f>
        <v>1</v>
      </c>
      <c r="K263" s="691"/>
      <c r="L263" s="691"/>
      <c r="M263" s="688"/>
      <c r="N263" s="688"/>
      <c r="O263" s="2386"/>
      <c r="P263" s="688"/>
      <c r="Q263" s="2387"/>
      <c r="R263" s="2388">
        <v>1</v>
      </c>
      <c r="S263" s="398"/>
      <c r="T263" s="254"/>
      <c r="U263" s="254"/>
      <c r="V263" s="254"/>
      <c r="W263" s="66"/>
      <c r="X263" s="254"/>
      <c r="Y263" s="66"/>
      <c r="Z263" s="344"/>
      <c r="AB263" s="3">
        <v>1</v>
      </c>
      <c r="AE263" s="2461"/>
      <c r="AF263" s="68"/>
    </row>
    <row r="264" spans="1:32" x14ac:dyDescent="0.35">
      <c r="A264" s="525">
        <v>122</v>
      </c>
      <c r="B264" s="1040">
        <v>10929</v>
      </c>
      <c r="C264" s="1040"/>
      <c r="D264" s="693" t="s">
        <v>2979</v>
      </c>
      <c r="E264" s="269" t="s">
        <v>581</v>
      </c>
      <c r="F264" s="92"/>
      <c r="G264" s="92" t="s">
        <v>191</v>
      </c>
      <c r="H264" s="92" t="s">
        <v>191</v>
      </c>
      <c r="I264" s="688">
        <f>J264+K264+L264</f>
        <v>13.233000000000001</v>
      </c>
      <c r="J264" s="688">
        <f>SUM(M264:R264)</f>
        <v>13.233000000000001</v>
      </c>
      <c r="K264" s="688"/>
      <c r="L264" s="688"/>
      <c r="M264" s="688"/>
      <c r="N264" s="688"/>
      <c r="O264" s="2837">
        <f>SUM(O265:O268)</f>
        <v>0</v>
      </c>
      <c r="P264" s="688"/>
      <c r="Q264" s="1088">
        <f>SUM(Q265:Q268)</f>
        <v>13.233000000000001</v>
      </c>
      <c r="R264" s="1083"/>
      <c r="S264" s="397"/>
      <c r="T264" s="250"/>
      <c r="U264" s="250"/>
      <c r="V264" s="250"/>
      <c r="W264" s="67">
        <v>25</v>
      </c>
      <c r="X264" s="250">
        <v>261</v>
      </c>
      <c r="Y264" s="67">
        <v>16</v>
      </c>
      <c r="Z264" s="343">
        <v>161</v>
      </c>
      <c r="AA264" s="3" t="s">
        <v>1901</v>
      </c>
      <c r="AB264" s="3">
        <v>1</v>
      </c>
      <c r="AE264" s="2461"/>
      <c r="AF264" s="68"/>
    </row>
    <row r="265" spans="1:32" x14ac:dyDescent="0.35">
      <c r="A265" s="694"/>
      <c r="B265" s="1040">
        <v>10929</v>
      </c>
      <c r="C265" s="1040"/>
      <c r="D265" s="695"/>
      <c r="E265" s="2836" t="s">
        <v>1191</v>
      </c>
      <c r="F265" s="92">
        <v>5</v>
      </c>
      <c r="G265" s="92">
        <v>5</v>
      </c>
      <c r="H265" s="92">
        <v>6</v>
      </c>
      <c r="I265" s="691"/>
      <c r="J265" s="691"/>
      <c r="K265" s="691"/>
      <c r="L265" s="691"/>
      <c r="M265" s="691"/>
      <c r="N265" s="691"/>
      <c r="O265" s="2743">
        <v>0</v>
      </c>
      <c r="P265" s="691"/>
      <c r="Q265" s="1090">
        <v>2</v>
      </c>
      <c r="R265" s="1085"/>
      <c r="S265" s="398"/>
      <c r="T265" s="254"/>
      <c r="U265" s="254"/>
      <c r="V265" s="254"/>
      <c r="W265" s="66"/>
      <c r="X265" s="254"/>
      <c r="Y265" s="66"/>
      <c r="Z265" s="344"/>
      <c r="AE265" s="2461"/>
      <c r="AF265" s="68"/>
    </row>
    <row r="266" spans="1:32" x14ac:dyDescent="0.35">
      <c r="A266" s="694"/>
      <c r="B266" s="1040">
        <v>10929</v>
      </c>
      <c r="C266" s="1040"/>
      <c r="D266" s="695"/>
      <c r="E266" s="900" t="s">
        <v>1573</v>
      </c>
      <c r="F266" s="92">
        <v>5</v>
      </c>
      <c r="G266" s="92">
        <v>5</v>
      </c>
      <c r="H266" s="92">
        <v>6</v>
      </c>
      <c r="I266" s="691"/>
      <c r="J266" s="691"/>
      <c r="K266" s="691"/>
      <c r="L266" s="691"/>
      <c r="M266" s="691"/>
      <c r="N266" s="691"/>
      <c r="O266" s="2743"/>
      <c r="P266" s="691"/>
      <c r="Q266" s="1090">
        <v>1.5</v>
      </c>
      <c r="R266" s="1085"/>
      <c r="S266" s="398"/>
      <c r="T266" s="254"/>
      <c r="U266" s="254"/>
      <c r="V266" s="254"/>
      <c r="W266" s="66"/>
      <c r="X266" s="254"/>
      <c r="Y266" s="66"/>
      <c r="Z266" s="344"/>
      <c r="AE266" s="2461"/>
      <c r="AF266" s="68"/>
    </row>
    <row r="267" spans="1:32" x14ac:dyDescent="0.35">
      <c r="A267" s="694"/>
      <c r="B267" s="1040">
        <v>10929</v>
      </c>
      <c r="C267" s="1040"/>
      <c r="D267" s="695"/>
      <c r="E267" s="2836" t="s">
        <v>2421</v>
      </c>
      <c r="F267" s="92">
        <v>5</v>
      </c>
      <c r="G267" s="92">
        <v>5</v>
      </c>
      <c r="H267" s="92">
        <v>6</v>
      </c>
      <c r="I267" s="691"/>
      <c r="J267" s="691"/>
      <c r="K267" s="691"/>
      <c r="L267" s="691"/>
      <c r="M267" s="691"/>
      <c r="N267" s="691"/>
      <c r="O267" s="2743">
        <v>0</v>
      </c>
      <c r="P267" s="691"/>
      <c r="Q267" s="1090">
        <f>4-3.5</f>
        <v>0.5</v>
      </c>
      <c r="R267" s="1085"/>
      <c r="S267" s="398"/>
      <c r="T267" s="254"/>
      <c r="U267" s="254"/>
      <c r="V267" s="254"/>
      <c r="W267" s="66"/>
      <c r="X267" s="254"/>
      <c r="Y267" s="66"/>
      <c r="Z267" s="344"/>
      <c r="AE267" s="2461"/>
      <c r="AF267" s="68"/>
    </row>
    <row r="268" spans="1:32" x14ac:dyDescent="0.35">
      <c r="A268" s="694"/>
      <c r="B268" s="1040">
        <v>10929</v>
      </c>
      <c r="C268" s="1040"/>
      <c r="D268" s="695"/>
      <c r="E268" s="900" t="s">
        <v>1574</v>
      </c>
      <c r="F268" s="92">
        <v>5</v>
      </c>
      <c r="G268" s="92">
        <v>5</v>
      </c>
      <c r="H268" s="92">
        <v>6</v>
      </c>
      <c r="I268" s="691"/>
      <c r="J268" s="691"/>
      <c r="K268" s="691"/>
      <c r="L268" s="691"/>
      <c r="M268" s="691"/>
      <c r="N268" s="691"/>
      <c r="O268" s="1239"/>
      <c r="P268" s="691"/>
      <c r="Q268" s="1090">
        <v>9.2330000000000005</v>
      </c>
      <c r="R268" s="1085"/>
      <c r="S268" s="398"/>
      <c r="T268" s="254"/>
      <c r="U268" s="254"/>
      <c r="V268" s="254"/>
      <c r="W268" s="66"/>
      <c r="X268" s="254"/>
      <c r="Y268" s="66"/>
      <c r="Z268" s="344"/>
      <c r="AE268" s="2461"/>
      <c r="AF268" s="68"/>
    </row>
    <row r="269" spans="1:32" ht="30.5" x14ac:dyDescent="0.35">
      <c r="A269" s="525">
        <v>123</v>
      </c>
      <c r="B269" s="1040">
        <v>10929</v>
      </c>
      <c r="C269" s="1040"/>
      <c r="D269" s="2469" t="s">
        <v>5351</v>
      </c>
      <c r="E269" s="269" t="s">
        <v>9962</v>
      </c>
      <c r="F269" s="92" t="s">
        <v>827</v>
      </c>
      <c r="G269" s="92">
        <v>5</v>
      </c>
      <c r="H269" s="92">
        <v>6</v>
      </c>
      <c r="I269" s="688">
        <f t="shared" ref="I269:I274" si="24">J269+K269+L269</f>
        <v>0.96</v>
      </c>
      <c r="J269" s="688">
        <f t="shared" ref="J269:J274" si="25">SUM(M269:R269)</f>
        <v>0.96</v>
      </c>
      <c r="K269" s="688"/>
      <c r="L269" s="688"/>
      <c r="M269" s="688"/>
      <c r="N269" s="688"/>
      <c r="O269" s="1238"/>
      <c r="P269" s="688"/>
      <c r="Q269" s="1088">
        <v>0.96</v>
      </c>
      <c r="R269" s="1083"/>
      <c r="S269" s="397"/>
      <c r="T269" s="250"/>
      <c r="U269" s="250"/>
      <c r="V269" s="250"/>
      <c r="W269" s="67"/>
      <c r="X269" s="250"/>
      <c r="Y269" s="67"/>
      <c r="Z269" s="343"/>
      <c r="AB269" s="3">
        <v>1</v>
      </c>
      <c r="AE269" s="2461"/>
      <c r="AF269" s="68"/>
    </row>
    <row r="270" spans="1:32" ht="30.5" x14ac:dyDescent="0.35">
      <c r="A270" s="525">
        <v>124</v>
      </c>
      <c r="B270" s="1040">
        <v>10929</v>
      </c>
      <c r="C270" s="1040"/>
      <c r="D270" s="2469" t="s">
        <v>5352</v>
      </c>
      <c r="E270" s="269" t="s">
        <v>7816</v>
      </c>
      <c r="F270" s="92" t="s">
        <v>1490</v>
      </c>
      <c r="G270" s="92">
        <v>5</v>
      </c>
      <c r="H270" s="92">
        <v>6</v>
      </c>
      <c r="I270" s="688">
        <f t="shared" si="24"/>
        <v>0.66</v>
      </c>
      <c r="J270" s="688">
        <f t="shared" si="25"/>
        <v>0.66</v>
      </c>
      <c r="K270" s="688"/>
      <c r="L270" s="688"/>
      <c r="M270" s="688"/>
      <c r="N270" s="688"/>
      <c r="O270" s="1238"/>
      <c r="P270" s="688"/>
      <c r="Q270" s="1088"/>
      <c r="R270" s="1083">
        <v>0.66</v>
      </c>
      <c r="S270" s="397"/>
      <c r="T270" s="250"/>
      <c r="U270" s="250"/>
      <c r="V270" s="250"/>
      <c r="W270" s="67">
        <v>1</v>
      </c>
      <c r="X270" s="2723">
        <v>10.1</v>
      </c>
      <c r="Y270" s="67"/>
      <c r="Z270" s="343"/>
      <c r="AB270" s="3">
        <v>1</v>
      </c>
      <c r="AE270" s="2461"/>
      <c r="AF270" s="68"/>
    </row>
    <row r="271" spans="1:32" ht="30.5" x14ac:dyDescent="0.35">
      <c r="A271" s="525">
        <v>125</v>
      </c>
      <c r="B271" s="693">
        <v>10929</v>
      </c>
      <c r="C271" s="358" t="s">
        <v>1656</v>
      </c>
      <c r="D271" s="2469" t="s">
        <v>5353</v>
      </c>
      <c r="E271" s="269" t="s">
        <v>8705</v>
      </c>
      <c r="F271" s="92" t="s">
        <v>1490</v>
      </c>
      <c r="G271" s="92">
        <v>5</v>
      </c>
      <c r="H271" s="92">
        <v>6</v>
      </c>
      <c r="I271" s="297">
        <f t="shared" si="24"/>
        <v>0.5</v>
      </c>
      <c r="J271" s="297">
        <f t="shared" si="25"/>
        <v>0.5</v>
      </c>
      <c r="K271" s="690"/>
      <c r="L271" s="688"/>
      <c r="M271" s="688"/>
      <c r="N271" s="688"/>
      <c r="O271" s="2386"/>
      <c r="P271" s="688"/>
      <c r="Q271" s="2387"/>
      <c r="R271" s="2388">
        <v>0.5</v>
      </c>
      <c r="S271" s="397"/>
      <c r="T271" s="250"/>
      <c r="U271" s="250"/>
      <c r="V271" s="250"/>
      <c r="W271" s="67"/>
      <c r="X271" s="250"/>
      <c r="Y271" s="67"/>
      <c r="Z271" s="343"/>
      <c r="AB271" s="3">
        <v>1</v>
      </c>
      <c r="AE271" s="2461"/>
      <c r="AF271" s="68"/>
    </row>
    <row r="272" spans="1:32" ht="30.5" x14ac:dyDescent="0.35">
      <c r="A272" s="525">
        <v>126</v>
      </c>
      <c r="B272" s="693">
        <v>10929</v>
      </c>
      <c r="C272" s="358" t="s">
        <v>1656</v>
      </c>
      <c r="D272" s="2469" t="s">
        <v>5354</v>
      </c>
      <c r="E272" s="269" t="s">
        <v>8706</v>
      </c>
      <c r="F272" s="92" t="s">
        <v>1490</v>
      </c>
      <c r="G272" s="2289">
        <v>5</v>
      </c>
      <c r="H272" s="92">
        <v>6</v>
      </c>
      <c r="I272" s="297">
        <f t="shared" si="24"/>
        <v>0.251</v>
      </c>
      <c r="J272" s="297">
        <f t="shared" si="25"/>
        <v>0.251</v>
      </c>
      <c r="K272" s="688"/>
      <c r="L272" s="688"/>
      <c r="M272" s="688"/>
      <c r="N272" s="688"/>
      <c r="O272" s="2386"/>
      <c r="P272" s="688"/>
      <c r="Q272" s="2387"/>
      <c r="R272" s="2388">
        <v>0.251</v>
      </c>
      <c r="S272" s="397"/>
      <c r="T272" s="250"/>
      <c r="U272" s="250"/>
      <c r="V272" s="250"/>
      <c r="W272" s="67"/>
      <c r="X272" s="250"/>
      <c r="Y272" s="67"/>
      <c r="Z272" s="343"/>
      <c r="AB272" s="3">
        <v>1</v>
      </c>
      <c r="AE272" s="2461"/>
      <c r="AF272" s="68"/>
    </row>
    <row r="273" spans="1:32" ht="30.5" x14ac:dyDescent="0.35">
      <c r="A273" s="525">
        <v>127</v>
      </c>
      <c r="B273" s="1040">
        <v>10930</v>
      </c>
      <c r="C273" s="1040"/>
      <c r="D273" s="693" t="s">
        <v>2980</v>
      </c>
      <c r="E273" s="269" t="s">
        <v>7160</v>
      </c>
      <c r="F273" s="92">
        <v>5</v>
      </c>
      <c r="G273" s="92">
        <v>5</v>
      </c>
      <c r="H273" s="92">
        <v>6</v>
      </c>
      <c r="I273" s="688">
        <f t="shared" si="24"/>
        <v>3.5</v>
      </c>
      <c r="J273" s="688">
        <f t="shared" si="25"/>
        <v>3.5</v>
      </c>
      <c r="K273" s="688"/>
      <c r="L273" s="688"/>
      <c r="M273" s="688"/>
      <c r="N273" s="688"/>
      <c r="O273" s="1238"/>
      <c r="P273" s="688"/>
      <c r="Q273" s="1088">
        <v>3.5</v>
      </c>
      <c r="R273" s="1083"/>
      <c r="S273" s="397"/>
      <c r="T273" s="250"/>
      <c r="U273" s="250"/>
      <c r="V273" s="250"/>
      <c r="W273" s="67">
        <v>10</v>
      </c>
      <c r="X273" s="250">
        <v>117.5</v>
      </c>
      <c r="Y273" s="67">
        <v>2</v>
      </c>
      <c r="Z273" s="343">
        <v>20</v>
      </c>
      <c r="AA273" s="3" t="s">
        <v>577</v>
      </c>
      <c r="AB273" s="3">
        <v>1</v>
      </c>
      <c r="AE273" s="2461"/>
      <c r="AF273" s="68"/>
    </row>
    <row r="274" spans="1:32" x14ac:dyDescent="0.35">
      <c r="A274" s="525">
        <v>128</v>
      </c>
      <c r="B274" s="1040">
        <v>10932</v>
      </c>
      <c r="C274" s="1040"/>
      <c r="D274" s="693" t="s">
        <v>2934</v>
      </c>
      <c r="E274" s="269" t="s">
        <v>1604</v>
      </c>
      <c r="F274" s="92"/>
      <c r="G274" s="92" t="s">
        <v>191</v>
      </c>
      <c r="H274" s="92" t="s">
        <v>191</v>
      </c>
      <c r="I274" s="688">
        <f t="shared" si="24"/>
        <v>4.8499999999999996</v>
      </c>
      <c r="J274" s="688">
        <f t="shared" si="25"/>
        <v>4.8499999999999996</v>
      </c>
      <c r="K274" s="688"/>
      <c r="L274" s="688"/>
      <c r="M274" s="688"/>
      <c r="N274" s="688"/>
      <c r="O274" s="1238"/>
      <c r="P274" s="688"/>
      <c r="Q274" s="1088">
        <v>4.0999999999999996</v>
      </c>
      <c r="R274" s="1083">
        <v>0.75</v>
      </c>
      <c r="S274" s="397"/>
      <c r="T274" s="250"/>
      <c r="U274" s="250"/>
      <c r="V274" s="250"/>
      <c r="W274" s="67">
        <v>8</v>
      </c>
      <c r="X274" s="250">
        <v>85.1</v>
      </c>
      <c r="Y274" s="67"/>
      <c r="Z274" s="343"/>
      <c r="AB274" s="3">
        <v>1</v>
      </c>
      <c r="AE274" s="2461"/>
      <c r="AF274" s="68"/>
    </row>
    <row r="275" spans="1:32" x14ac:dyDescent="0.35">
      <c r="A275" s="525"/>
      <c r="B275" s="1040">
        <v>10932</v>
      </c>
      <c r="C275" s="1040"/>
      <c r="D275" s="693"/>
      <c r="E275" s="900" t="s">
        <v>1605</v>
      </c>
      <c r="F275" s="92">
        <v>5</v>
      </c>
      <c r="G275" s="92">
        <v>5</v>
      </c>
      <c r="H275" s="92">
        <v>6</v>
      </c>
      <c r="I275" s="688"/>
      <c r="J275" s="688"/>
      <c r="K275" s="688"/>
      <c r="L275" s="688"/>
      <c r="M275" s="688"/>
      <c r="N275" s="688"/>
      <c r="O275" s="1238"/>
      <c r="P275" s="688"/>
      <c r="Q275" s="1090">
        <v>4.0999999999999996</v>
      </c>
      <c r="R275" s="1085"/>
      <c r="S275" s="397"/>
      <c r="T275" s="250"/>
      <c r="U275" s="250"/>
      <c r="V275" s="250"/>
      <c r="W275" s="67"/>
      <c r="X275" s="250"/>
      <c r="Y275" s="67"/>
      <c r="Z275" s="343"/>
      <c r="AE275" s="2461"/>
      <c r="AF275" s="68"/>
    </row>
    <row r="276" spans="1:32" x14ac:dyDescent="0.35">
      <c r="A276" s="525"/>
      <c r="B276" s="1040">
        <v>10932</v>
      </c>
      <c r="C276" s="1040"/>
      <c r="D276" s="693"/>
      <c r="E276" s="878" t="s">
        <v>1446</v>
      </c>
      <c r="F276" s="92" t="s">
        <v>1490</v>
      </c>
      <c r="G276" s="92">
        <v>5</v>
      </c>
      <c r="H276" s="92">
        <v>6</v>
      </c>
      <c r="I276" s="688"/>
      <c r="J276" s="688"/>
      <c r="K276" s="688"/>
      <c r="L276" s="688"/>
      <c r="M276" s="688"/>
      <c r="N276" s="688"/>
      <c r="O276" s="1238"/>
      <c r="P276" s="688"/>
      <c r="Q276" s="1090"/>
      <c r="R276" s="1085">
        <f>4.85-4.1</f>
        <v>0.75</v>
      </c>
      <c r="S276" s="397"/>
      <c r="T276" s="250"/>
      <c r="U276" s="250"/>
      <c r="V276" s="250"/>
      <c r="W276" s="67"/>
      <c r="X276" s="250"/>
      <c r="Y276" s="67"/>
      <c r="Z276" s="343"/>
      <c r="AE276" s="2461"/>
      <c r="AF276" s="68"/>
    </row>
    <row r="277" spans="1:32" ht="29.25" customHeight="1" x14ac:dyDescent="0.35">
      <c r="A277" s="525">
        <v>129</v>
      </c>
      <c r="B277" s="1040">
        <v>10933</v>
      </c>
      <c r="C277" s="1040"/>
      <c r="D277" s="693" t="s">
        <v>992</v>
      </c>
      <c r="E277" s="269" t="s">
        <v>11010</v>
      </c>
      <c r="F277" s="92"/>
      <c r="G277" s="92" t="s">
        <v>191</v>
      </c>
      <c r="H277" s="92" t="s">
        <v>191</v>
      </c>
      <c r="I277" s="688">
        <f>J277+K277+L277</f>
        <v>5.8</v>
      </c>
      <c r="J277" s="688">
        <f>SUM(M277:R277)</f>
        <v>5.8</v>
      </c>
      <c r="K277" s="688"/>
      <c r="L277" s="688"/>
      <c r="M277" s="688"/>
      <c r="N277" s="688">
        <f>SUM(N278:N280)</f>
        <v>0.49</v>
      </c>
      <c r="O277" s="1238"/>
      <c r="P277" s="688"/>
      <c r="Q277" s="1088">
        <f>SUM(Q278:Q280)</f>
        <v>2</v>
      </c>
      <c r="R277" s="1083">
        <f>SUM(R278:R280)</f>
        <v>3.3099999999999996</v>
      </c>
      <c r="S277" s="397"/>
      <c r="T277" s="250"/>
      <c r="U277" s="250"/>
      <c r="V277" s="250"/>
      <c r="W277" s="67">
        <v>6</v>
      </c>
      <c r="X277" s="250">
        <v>60.1</v>
      </c>
      <c r="Y277" s="67"/>
      <c r="Z277" s="343"/>
      <c r="AB277" s="3">
        <v>1</v>
      </c>
      <c r="AE277" s="2461"/>
      <c r="AF277" s="68"/>
    </row>
    <row r="278" spans="1:32" x14ac:dyDescent="0.35">
      <c r="A278" s="525"/>
      <c r="B278" s="1040">
        <v>10933</v>
      </c>
      <c r="C278" s="1040"/>
      <c r="D278" s="693"/>
      <c r="E278" s="393" t="s">
        <v>1425</v>
      </c>
      <c r="F278" s="92">
        <v>5</v>
      </c>
      <c r="G278" s="92">
        <v>5</v>
      </c>
      <c r="H278" s="92">
        <v>6</v>
      </c>
      <c r="I278" s="688"/>
      <c r="J278" s="688"/>
      <c r="K278" s="688"/>
      <c r="L278" s="688"/>
      <c r="M278" s="688"/>
      <c r="N278" s="692">
        <v>0.49</v>
      </c>
      <c r="O278" s="1239"/>
      <c r="P278" s="692"/>
      <c r="Q278" s="1090"/>
      <c r="R278" s="1085"/>
      <c r="S278" s="397"/>
      <c r="T278" s="250"/>
      <c r="U278" s="250"/>
      <c r="V278" s="250"/>
      <c r="W278" s="67"/>
      <c r="X278" s="250"/>
      <c r="Y278" s="67"/>
      <c r="Z278" s="343"/>
      <c r="AE278" s="2461"/>
      <c r="AF278" s="68"/>
    </row>
    <row r="279" spans="1:32" x14ac:dyDescent="0.35">
      <c r="A279" s="525"/>
      <c r="B279" s="1040">
        <v>10933</v>
      </c>
      <c r="C279" s="1040"/>
      <c r="D279" s="693"/>
      <c r="E279" s="900" t="s">
        <v>1426</v>
      </c>
      <c r="F279" s="92">
        <v>5</v>
      </c>
      <c r="G279" s="92">
        <v>5</v>
      </c>
      <c r="H279" s="92">
        <v>6</v>
      </c>
      <c r="I279" s="688"/>
      <c r="J279" s="688"/>
      <c r="K279" s="688"/>
      <c r="L279" s="688"/>
      <c r="M279" s="688"/>
      <c r="N279" s="692"/>
      <c r="O279" s="1239"/>
      <c r="P279" s="692"/>
      <c r="Q279" s="1090">
        <v>2</v>
      </c>
      <c r="R279" s="1085"/>
      <c r="S279" s="397"/>
      <c r="T279" s="250"/>
      <c r="U279" s="250"/>
      <c r="V279" s="250"/>
      <c r="W279" s="67"/>
      <c r="X279" s="250"/>
      <c r="Y279" s="67"/>
      <c r="Z279" s="343"/>
      <c r="AE279" s="2461"/>
      <c r="AF279" s="68"/>
    </row>
    <row r="280" spans="1:32" x14ac:dyDescent="0.35">
      <c r="A280" s="525"/>
      <c r="B280" s="1040">
        <v>10933</v>
      </c>
      <c r="C280" s="1040"/>
      <c r="D280" s="693"/>
      <c r="E280" s="878" t="s">
        <v>979</v>
      </c>
      <c r="F280" s="92" t="s">
        <v>1490</v>
      </c>
      <c r="G280" s="92">
        <v>5</v>
      </c>
      <c r="H280" s="92">
        <v>6</v>
      </c>
      <c r="I280" s="688"/>
      <c r="J280" s="688"/>
      <c r="K280" s="688"/>
      <c r="L280" s="688"/>
      <c r="M280" s="688"/>
      <c r="N280" s="692"/>
      <c r="O280" s="1239"/>
      <c r="P280" s="692"/>
      <c r="Q280" s="1090"/>
      <c r="R280" s="1085">
        <f>5.8-2.49</f>
        <v>3.3099999999999996</v>
      </c>
      <c r="S280" s="397"/>
      <c r="T280" s="250"/>
      <c r="U280" s="250"/>
      <c r="V280" s="250"/>
      <c r="W280" s="67"/>
      <c r="X280" s="250"/>
      <c r="Y280" s="67"/>
      <c r="Z280" s="343"/>
      <c r="AE280" s="2461"/>
      <c r="AF280" s="68"/>
    </row>
    <row r="281" spans="1:32" ht="45.5" x14ac:dyDescent="0.35">
      <c r="A281" s="2001">
        <v>130</v>
      </c>
      <c r="B281" s="693">
        <v>10933</v>
      </c>
      <c r="C281" s="358" t="s">
        <v>1656</v>
      </c>
      <c r="D281" s="2469" t="s">
        <v>5355</v>
      </c>
      <c r="E281" s="269" t="s">
        <v>11494</v>
      </c>
      <c r="F281" s="92" t="s">
        <v>1490</v>
      </c>
      <c r="G281" s="92">
        <v>5</v>
      </c>
      <c r="H281" s="92">
        <v>6</v>
      </c>
      <c r="I281" s="297">
        <f>J281+K281+L281</f>
        <v>0.05</v>
      </c>
      <c r="J281" s="297">
        <f>SUM(M281:R281)</f>
        <v>0.05</v>
      </c>
      <c r="K281" s="688"/>
      <c r="L281" s="688"/>
      <c r="M281" s="688"/>
      <c r="N281" s="688"/>
      <c r="O281" s="2386"/>
      <c r="P281" s="688"/>
      <c r="Q281" s="2387"/>
      <c r="R281" s="2388">
        <v>0.05</v>
      </c>
      <c r="S281" s="397"/>
      <c r="T281" s="250"/>
      <c r="U281" s="250"/>
      <c r="V281" s="250"/>
      <c r="W281" s="67"/>
      <c r="X281" s="250"/>
      <c r="Y281" s="67"/>
      <c r="Z281" s="250"/>
      <c r="AB281" s="3">
        <v>1</v>
      </c>
      <c r="AE281" s="2461"/>
      <c r="AF281" s="68"/>
    </row>
    <row r="282" spans="1:32" ht="30.5" x14ac:dyDescent="0.35">
      <c r="A282" s="694"/>
      <c r="B282" s="1040" t="s">
        <v>2924</v>
      </c>
      <c r="C282" s="1040"/>
      <c r="D282" s="695"/>
      <c r="E282" s="1596" t="s">
        <v>1222</v>
      </c>
      <c r="F282" s="92"/>
      <c r="G282" s="92"/>
      <c r="H282" s="92"/>
      <c r="I282" s="691"/>
      <c r="J282" s="691"/>
      <c r="K282" s="691"/>
      <c r="L282" s="691"/>
      <c r="M282" s="691"/>
      <c r="N282" s="691"/>
      <c r="O282" s="1239"/>
      <c r="P282" s="691"/>
      <c r="Q282" s="1090"/>
      <c r="R282" s="1085"/>
      <c r="S282" s="398"/>
      <c r="T282" s="254"/>
      <c r="U282" s="254"/>
      <c r="V282" s="254"/>
      <c r="W282" s="66"/>
      <c r="X282" s="254"/>
      <c r="Y282" s="66"/>
      <c r="Z282" s="344"/>
      <c r="AE282" s="2461"/>
      <c r="AF282" s="68"/>
    </row>
    <row r="283" spans="1:32" ht="30.5" x14ac:dyDescent="0.35">
      <c r="A283" s="525">
        <v>131</v>
      </c>
      <c r="B283" s="1040" t="s">
        <v>2924</v>
      </c>
      <c r="C283" s="1040"/>
      <c r="D283" s="2469" t="s">
        <v>5356</v>
      </c>
      <c r="E283" s="269" t="s">
        <v>9192</v>
      </c>
      <c r="F283" s="92">
        <v>5</v>
      </c>
      <c r="G283" s="92">
        <v>5</v>
      </c>
      <c r="H283" s="92">
        <v>6</v>
      </c>
      <c r="I283" s="688">
        <f t="shared" ref="I283:I293" si="26">J283+K283+L283</f>
        <v>1.48</v>
      </c>
      <c r="J283" s="688">
        <f t="shared" ref="J283:J293" si="27">SUM(M283:R283)</f>
        <v>1.48</v>
      </c>
      <c r="K283" s="688"/>
      <c r="L283" s="688"/>
      <c r="M283" s="688"/>
      <c r="N283" s="688"/>
      <c r="O283" s="1238">
        <v>1.48</v>
      </c>
      <c r="P283" s="688"/>
      <c r="Q283" s="1088"/>
      <c r="R283" s="1083"/>
      <c r="S283" s="397"/>
      <c r="T283" s="250"/>
      <c r="U283" s="250"/>
      <c r="V283" s="250"/>
      <c r="W283" s="67">
        <v>6</v>
      </c>
      <c r="X283" s="250">
        <v>70.400001525878906</v>
      </c>
      <c r="Y283" s="67">
        <v>1</v>
      </c>
      <c r="Z283" s="343">
        <v>10</v>
      </c>
      <c r="AB283" s="3">
        <v>1</v>
      </c>
      <c r="AE283" s="2461"/>
      <c r="AF283" s="68"/>
    </row>
    <row r="284" spans="1:32" ht="30.5" x14ac:dyDescent="0.35">
      <c r="A284" s="2001">
        <v>132</v>
      </c>
      <c r="B284" s="693" t="s">
        <v>2924</v>
      </c>
      <c r="C284" s="358" t="s">
        <v>1656</v>
      </c>
      <c r="D284" s="2469" t="s">
        <v>5357</v>
      </c>
      <c r="E284" s="269" t="s">
        <v>9963</v>
      </c>
      <c r="F284" s="92" t="s">
        <v>1490</v>
      </c>
      <c r="G284" s="92">
        <v>5</v>
      </c>
      <c r="H284" s="92">
        <v>6</v>
      </c>
      <c r="I284" s="297">
        <f>J284+K284+L284</f>
        <v>0.05</v>
      </c>
      <c r="J284" s="297">
        <f>SUM(M284:R284)</f>
        <v>0.05</v>
      </c>
      <c r="K284" s="688"/>
      <c r="L284" s="688"/>
      <c r="M284" s="688"/>
      <c r="N284" s="688"/>
      <c r="O284" s="2386"/>
      <c r="P284" s="688"/>
      <c r="Q284" s="2387"/>
      <c r="R284" s="2388">
        <v>0.05</v>
      </c>
      <c r="S284" s="397"/>
      <c r="T284" s="250"/>
      <c r="U284" s="250"/>
      <c r="V284" s="250"/>
      <c r="W284" s="67"/>
      <c r="X284" s="250"/>
      <c r="Y284" s="67"/>
      <c r="Z284" s="343"/>
      <c r="AB284" s="3">
        <v>1</v>
      </c>
      <c r="AE284" s="2461"/>
      <c r="AF284" s="68"/>
    </row>
    <row r="285" spans="1:32" ht="30.5" x14ac:dyDescent="0.35">
      <c r="A285" s="2001">
        <v>133</v>
      </c>
      <c r="B285" s="693" t="s">
        <v>2924</v>
      </c>
      <c r="C285" s="358" t="s">
        <v>1656</v>
      </c>
      <c r="D285" s="2469" t="s">
        <v>5358</v>
      </c>
      <c r="E285" s="269" t="s">
        <v>8707</v>
      </c>
      <c r="F285" s="92" t="s">
        <v>1490</v>
      </c>
      <c r="G285" s="92">
        <v>5</v>
      </c>
      <c r="H285" s="92">
        <v>6</v>
      </c>
      <c r="I285" s="297">
        <f>J285+K285+L285</f>
        <v>0.99</v>
      </c>
      <c r="J285" s="297">
        <f>SUM(M285:R285)</f>
        <v>0.99</v>
      </c>
      <c r="K285" s="688"/>
      <c r="L285" s="688"/>
      <c r="M285" s="688"/>
      <c r="N285" s="688"/>
      <c r="O285" s="2386"/>
      <c r="P285" s="688"/>
      <c r="Q285" s="2387"/>
      <c r="R285" s="2388">
        <v>0.99</v>
      </c>
      <c r="S285" s="397"/>
      <c r="T285" s="250"/>
      <c r="U285" s="250"/>
      <c r="V285" s="250"/>
      <c r="W285" s="67"/>
      <c r="X285" s="250"/>
      <c r="Y285" s="67"/>
      <c r="Z285" s="343"/>
      <c r="AB285" s="3">
        <v>1</v>
      </c>
      <c r="AE285" s="2461"/>
      <c r="AF285" s="68"/>
    </row>
    <row r="286" spans="1:32" ht="30.5" x14ac:dyDescent="0.35">
      <c r="A286" s="525"/>
      <c r="B286" s="1040" t="s">
        <v>299</v>
      </c>
      <c r="C286" s="1040"/>
      <c r="D286" s="693"/>
      <c r="E286" s="1582" t="s">
        <v>446</v>
      </c>
      <c r="F286" s="92"/>
      <c r="G286" s="92"/>
      <c r="H286" s="92"/>
      <c r="I286" s="688"/>
      <c r="J286" s="688"/>
      <c r="K286" s="688"/>
      <c r="L286" s="688"/>
      <c r="M286" s="688"/>
      <c r="N286" s="688"/>
      <c r="O286" s="1238"/>
      <c r="P286" s="688"/>
      <c r="Q286" s="1088"/>
      <c r="R286" s="1083"/>
      <c r="S286" s="397"/>
      <c r="T286" s="250"/>
      <c r="U286" s="250"/>
      <c r="V286" s="250"/>
      <c r="W286" s="67"/>
      <c r="X286" s="250"/>
      <c r="Y286" s="67"/>
      <c r="Z286" s="343"/>
      <c r="AE286" s="2461"/>
      <c r="AF286" s="68"/>
    </row>
    <row r="287" spans="1:32" ht="30.5" x14ac:dyDescent="0.35">
      <c r="A287" s="525">
        <v>134</v>
      </c>
      <c r="B287" s="1040" t="s">
        <v>299</v>
      </c>
      <c r="C287" s="1040"/>
      <c r="D287" s="2469" t="s">
        <v>5359</v>
      </c>
      <c r="E287" s="269" t="s">
        <v>7817</v>
      </c>
      <c r="F287" s="92" t="s">
        <v>1490</v>
      </c>
      <c r="G287" s="92">
        <v>5</v>
      </c>
      <c r="H287" s="92">
        <v>6</v>
      </c>
      <c r="I287" s="688">
        <f t="shared" si="26"/>
        <v>1.47</v>
      </c>
      <c r="J287" s="688">
        <f t="shared" si="27"/>
        <v>1.47</v>
      </c>
      <c r="K287" s="688"/>
      <c r="L287" s="688"/>
      <c r="M287" s="688"/>
      <c r="N287" s="688"/>
      <c r="O287" s="1238"/>
      <c r="P287" s="688"/>
      <c r="Q287" s="1088"/>
      <c r="R287" s="1083">
        <v>1.47</v>
      </c>
      <c r="S287" s="397"/>
      <c r="T287" s="250"/>
      <c r="U287" s="250"/>
      <c r="V287" s="250"/>
      <c r="W287" s="67">
        <v>2</v>
      </c>
      <c r="X287" s="250">
        <v>20</v>
      </c>
      <c r="Y287" s="67"/>
      <c r="Z287" s="343"/>
      <c r="AB287" s="3">
        <v>1</v>
      </c>
      <c r="AC287" s="62" t="s">
        <v>2130</v>
      </c>
      <c r="AD287" s="353">
        <v>36706</v>
      </c>
      <c r="AE287" s="2461"/>
      <c r="AF287" s="68"/>
    </row>
    <row r="288" spans="1:32" ht="30.5" x14ac:dyDescent="0.35">
      <c r="A288" s="525">
        <v>135</v>
      </c>
      <c r="B288" s="1040" t="s">
        <v>299</v>
      </c>
      <c r="C288" s="1040"/>
      <c r="D288" s="2469" t="s">
        <v>5360</v>
      </c>
      <c r="E288" s="269" t="s">
        <v>7818</v>
      </c>
      <c r="F288" s="92">
        <v>5</v>
      </c>
      <c r="G288" s="92">
        <v>5</v>
      </c>
      <c r="H288" s="92">
        <v>6</v>
      </c>
      <c r="I288" s="688">
        <f t="shared" si="26"/>
        <v>1.19</v>
      </c>
      <c r="J288" s="688">
        <f t="shared" si="27"/>
        <v>1.19</v>
      </c>
      <c r="K288" s="688"/>
      <c r="L288" s="688"/>
      <c r="M288" s="688"/>
      <c r="N288" s="688"/>
      <c r="O288" s="1238">
        <v>1.19</v>
      </c>
      <c r="P288" s="688"/>
      <c r="Q288" s="1088"/>
      <c r="R288" s="1083"/>
      <c r="S288" s="397"/>
      <c r="T288" s="250"/>
      <c r="U288" s="250"/>
      <c r="V288" s="250"/>
      <c r="W288" s="67">
        <v>2</v>
      </c>
      <c r="X288" s="250">
        <v>22</v>
      </c>
      <c r="Y288" s="67"/>
      <c r="Z288" s="343"/>
      <c r="AB288" s="3">
        <v>1</v>
      </c>
      <c r="AC288" s="62" t="s">
        <v>2130</v>
      </c>
      <c r="AD288" s="353">
        <v>36706</v>
      </c>
      <c r="AE288" s="2461"/>
      <c r="AF288" s="68"/>
    </row>
    <row r="289" spans="1:32" ht="45.5" x14ac:dyDescent="0.35">
      <c r="A289" s="525">
        <v>136</v>
      </c>
      <c r="B289" s="1040" t="s">
        <v>299</v>
      </c>
      <c r="C289" s="1040"/>
      <c r="D289" s="2469" t="s">
        <v>7161</v>
      </c>
      <c r="E289" s="269" t="s">
        <v>7819</v>
      </c>
      <c r="F289" s="92">
        <v>5</v>
      </c>
      <c r="G289" s="92">
        <v>5</v>
      </c>
      <c r="H289" s="92">
        <v>6</v>
      </c>
      <c r="I289" s="688">
        <f>J289+K289+L289</f>
        <v>0.28000000000000003</v>
      </c>
      <c r="J289" s="688">
        <f>SUM(M289:R289)</f>
        <v>0.28000000000000003</v>
      </c>
      <c r="K289" s="688"/>
      <c r="L289" s="688"/>
      <c r="M289" s="688"/>
      <c r="N289" s="688"/>
      <c r="O289" s="1238">
        <v>0.28000000000000003</v>
      </c>
      <c r="P289" s="688"/>
      <c r="Q289" s="1088"/>
      <c r="R289" s="1083"/>
      <c r="S289" s="397"/>
      <c r="T289" s="250"/>
      <c r="U289" s="250"/>
      <c r="V289" s="250"/>
      <c r="W289" s="67"/>
      <c r="X289" s="250"/>
      <c r="Y289" s="67"/>
      <c r="Z289" s="343"/>
      <c r="AB289" s="3">
        <v>1</v>
      </c>
      <c r="AC289" s="62" t="s">
        <v>2130</v>
      </c>
      <c r="AD289" s="353">
        <v>36706</v>
      </c>
      <c r="AE289" s="2461"/>
      <c r="AF289" s="68"/>
    </row>
    <row r="290" spans="1:32" ht="30.5" x14ac:dyDescent="0.35">
      <c r="A290" s="525">
        <v>137</v>
      </c>
      <c r="B290" s="1040" t="s">
        <v>299</v>
      </c>
      <c r="C290" s="1040"/>
      <c r="D290" s="2469" t="s">
        <v>5361</v>
      </c>
      <c r="E290" s="269" t="s">
        <v>7820</v>
      </c>
      <c r="F290" s="92">
        <v>5</v>
      </c>
      <c r="G290" s="92">
        <v>5</v>
      </c>
      <c r="H290" s="92">
        <v>6</v>
      </c>
      <c r="I290" s="688">
        <f t="shared" si="26"/>
        <v>1.04</v>
      </c>
      <c r="J290" s="688">
        <f t="shared" si="27"/>
        <v>1.04</v>
      </c>
      <c r="K290" s="688"/>
      <c r="L290" s="688"/>
      <c r="M290" s="688"/>
      <c r="N290" s="688">
        <v>1.04</v>
      </c>
      <c r="O290" s="1238"/>
      <c r="P290" s="688"/>
      <c r="Q290" s="1088"/>
      <c r="R290" s="1083"/>
      <c r="S290" s="397"/>
      <c r="T290" s="250"/>
      <c r="U290" s="250"/>
      <c r="V290" s="250"/>
      <c r="W290" s="67">
        <v>1</v>
      </c>
      <c r="X290" s="2723">
        <v>10</v>
      </c>
      <c r="Y290" s="67"/>
      <c r="Z290" s="343"/>
      <c r="AB290" s="3">
        <v>1</v>
      </c>
      <c r="AE290" s="2461"/>
      <c r="AF290" s="68"/>
    </row>
    <row r="291" spans="1:32" ht="30.5" x14ac:dyDescent="0.35">
      <c r="A291" s="525">
        <v>138</v>
      </c>
      <c r="B291" s="1040" t="s">
        <v>299</v>
      </c>
      <c r="C291" s="1040"/>
      <c r="D291" s="2469" t="s">
        <v>5362</v>
      </c>
      <c r="E291" s="269" t="s">
        <v>7821</v>
      </c>
      <c r="F291" s="92">
        <v>5</v>
      </c>
      <c r="G291" s="92">
        <v>5</v>
      </c>
      <c r="H291" s="92">
        <v>6</v>
      </c>
      <c r="I291" s="688">
        <f t="shared" si="26"/>
        <v>2.0299999999999998</v>
      </c>
      <c r="J291" s="688">
        <f t="shared" si="27"/>
        <v>2.0299999999999998</v>
      </c>
      <c r="K291" s="688"/>
      <c r="L291" s="688"/>
      <c r="M291" s="688"/>
      <c r="N291" s="688">
        <v>2.0299999999999998</v>
      </c>
      <c r="O291" s="1238"/>
      <c r="P291" s="688"/>
      <c r="Q291" s="1088"/>
      <c r="R291" s="1083"/>
      <c r="S291" s="397"/>
      <c r="T291" s="250"/>
      <c r="U291" s="250"/>
      <c r="V291" s="250"/>
      <c r="W291" s="67">
        <v>4</v>
      </c>
      <c r="X291" s="250">
        <v>75</v>
      </c>
      <c r="Y291" s="67">
        <v>1</v>
      </c>
      <c r="Z291" s="343">
        <v>15</v>
      </c>
      <c r="AB291" s="3">
        <v>1</v>
      </c>
      <c r="AE291" s="2461"/>
      <c r="AF291" s="68"/>
    </row>
    <row r="292" spans="1:32" ht="30.5" x14ac:dyDescent="0.35">
      <c r="A292" s="525">
        <v>139</v>
      </c>
      <c r="B292" s="693" t="s">
        <v>299</v>
      </c>
      <c r="C292" s="693"/>
      <c r="D292" s="2469" t="s">
        <v>5363</v>
      </c>
      <c r="E292" s="269" t="s">
        <v>7822</v>
      </c>
      <c r="F292" s="92">
        <v>4</v>
      </c>
      <c r="G292" s="92">
        <v>5</v>
      </c>
      <c r="H292" s="92">
        <v>6</v>
      </c>
      <c r="I292" s="688">
        <f t="shared" si="26"/>
        <v>1.4</v>
      </c>
      <c r="J292" s="688">
        <f t="shared" si="27"/>
        <v>1.4</v>
      </c>
      <c r="K292" s="688"/>
      <c r="L292" s="688"/>
      <c r="M292" s="688"/>
      <c r="N292" s="688"/>
      <c r="O292" s="1238"/>
      <c r="P292" s="688"/>
      <c r="Q292" s="1088">
        <v>1.4</v>
      </c>
      <c r="R292" s="1083"/>
      <c r="S292" s="397"/>
      <c r="T292" s="250"/>
      <c r="U292" s="250"/>
      <c r="V292" s="250"/>
      <c r="W292" s="67">
        <v>1</v>
      </c>
      <c r="X292" s="250">
        <v>10.199999809265137</v>
      </c>
      <c r="Y292" s="67"/>
      <c r="Z292" s="250"/>
      <c r="AB292" s="3">
        <v>1</v>
      </c>
      <c r="AC292" s="62" t="s">
        <v>2219</v>
      </c>
      <c r="AD292" s="353">
        <v>33818</v>
      </c>
      <c r="AE292" s="2461"/>
      <c r="AF292" s="68"/>
    </row>
    <row r="293" spans="1:32" ht="30.5" x14ac:dyDescent="0.35">
      <c r="A293" s="525">
        <v>140</v>
      </c>
      <c r="B293" s="1040" t="s">
        <v>299</v>
      </c>
      <c r="C293" s="1040"/>
      <c r="D293" s="2469" t="s">
        <v>5364</v>
      </c>
      <c r="E293" s="269" t="s">
        <v>7823</v>
      </c>
      <c r="F293" s="92"/>
      <c r="G293" s="92" t="s">
        <v>191</v>
      </c>
      <c r="H293" s="92" t="s">
        <v>191</v>
      </c>
      <c r="I293" s="688">
        <f t="shared" si="26"/>
        <v>2.21</v>
      </c>
      <c r="J293" s="688">
        <f t="shared" si="27"/>
        <v>2.21</v>
      </c>
      <c r="K293" s="688"/>
      <c r="L293" s="688"/>
      <c r="M293" s="688"/>
      <c r="N293" s="688"/>
      <c r="O293" s="1238">
        <f>SUM(O294:O295)</f>
        <v>0.47</v>
      </c>
      <c r="P293" s="688"/>
      <c r="Q293" s="1088">
        <f>SUM(Q294:Q295)</f>
        <v>1.74</v>
      </c>
      <c r="R293" s="1083"/>
      <c r="S293" s="397"/>
      <c r="T293" s="250"/>
      <c r="U293" s="250"/>
      <c r="V293" s="250"/>
      <c r="W293" s="67">
        <v>4</v>
      </c>
      <c r="X293" s="250">
        <v>50.599998474121094</v>
      </c>
      <c r="Y293" s="67">
        <v>1</v>
      </c>
      <c r="Z293" s="343">
        <v>10</v>
      </c>
      <c r="AB293" s="3">
        <v>1</v>
      </c>
      <c r="AE293" s="2461"/>
      <c r="AF293" s="68"/>
    </row>
    <row r="294" spans="1:32" x14ac:dyDescent="0.35">
      <c r="A294" s="694"/>
      <c r="B294" s="1040" t="s">
        <v>299</v>
      </c>
      <c r="C294" s="1040"/>
      <c r="D294" s="695"/>
      <c r="E294" s="900" t="s">
        <v>2153</v>
      </c>
      <c r="F294" s="92">
        <v>5</v>
      </c>
      <c r="G294" s="92">
        <v>5</v>
      </c>
      <c r="H294" s="92">
        <v>6</v>
      </c>
      <c r="I294" s="691"/>
      <c r="J294" s="691"/>
      <c r="K294" s="691"/>
      <c r="L294" s="691"/>
      <c r="M294" s="691"/>
      <c r="N294" s="691"/>
      <c r="O294" s="1239"/>
      <c r="P294" s="691"/>
      <c r="Q294" s="1090">
        <v>1.74</v>
      </c>
      <c r="R294" s="1085"/>
      <c r="S294" s="398"/>
      <c r="T294" s="254"/>
      <c r="U294" s="254"/>
      <c r="V294" s="254"/>
      <c r="W294" s="66"/>
      <c r="X294" s="254"/>
      <c r="Y294" s="66"/>
      <c r="Z294" s="344"/>
      <c r="AE294" s="2461"/>
      <c r="AF294" s="68"/>
    </row>
    <row r="295" spans="1:32" x14ac:dyDescent="0.35">
      <c r="A295" s="694"/>
      <c r="B295" s="1040" t="s">
        <v>299</v>
      </c>
      <c r="C295" s="1040"/>
      <c r="D295" s="695"/>
      <c r="E295" s="921" t="s">
        <v>2154</v>
      </c>
      <c r="F295" s="92">
        <v>5</v>
      </c>
      <c r="G295" s="92">
        <v>5</v>
      </c>
      <c r="H295" s="92">
        <v>6</v>
      </c>
      <c r="I295" s="691"/>
      <c r="J295" s="691"/>
      <c r="K295" s="691"/>
      <c r="L295" s="691"/>
      <c r="M295" s="691"/>
      <c r="N295" s="691"/>
      <c r="O295" s="1239">
        <f>2.21-1.74</f>
        <v>0.47</v>
      </c>
      <c r="P295" s="691"/>
      <c r="Q295" s="1090"/>
      <c r="R295" s="1085"/>
      <c r="S295" s="398"/>
      <c r="T295" s="254"/>
      <c r="U295" s="254"/>
      <c r="V295" s="254"/>
      <c r="W295" s="66"/>
      <c r="X295" s="254"/>
      <c r="Y295" s="66"/>
      <c r="Z295" s="344"/>
      <c r="AE295" s="2461"/>
      <c r="AF295" s="68"/>
    </row>
    <row r="296" spans="1:32" ht="45.5" x14ac:dyDescent="0.35">
      <c r="A296" s="2001">
        <v>141</v>
      </c>
      <c r="B296" s="693" t="s">
        <v>299</v>
      </c>
      <c r="C296" s="358" t="s">
        <v>1656</v>
      </c>
      <c r="D296" s="2469" t="s">
        <v>5365</v>
      </c>
      <c r="E296" s="269" t="s">
        <v>8708</v>
      </c>
      <c r="F296" s="92" t="s">
        <v>1490</v>
      </c>
      <c r="G296" s="92">
        <v>5</v>
      </c>
      <c r="H296" s="92">
        <v>6</v>
      </c>
      <c r="I296" s="297">
        <f>J296+K296+L296</f>
        <v>0.11</v>
      </c>
      <c r="J296" s="297">
        <f>SUM(M296:R296)</f>
        <v>0.11</v>
      </c>
      <c r="K296" s="688"/>
      <c r="L296" s="688"/>
      <c r="M296" s="688"/>
      <c r="N296" s="688"/>
      <c r="O296" s="2386"/>
      <c r="P296" s="688"/>
      <c r="Q296" s="2387"/>
      <c r="R296" s="2388">
        <v>0.11</v>
      </c>
      <c r="S296" s="397"/>
      <c r="T296" s="250"/>
      <c r="U296" s="250"/>
      <c r="V296" s="250"/>
      <c r="W296" s="67"/>
      <c r="X296" s="250"/>
      <c r="Y296" s="67"/>
      <c r="Z296" s="343"/>
      <c r="AB296" s="3">
        <v>1</v>
      </c>
      <c r="AE296" s="2461"/>
      <c r="AF296" s="68"/>
    </row>
    <row r="297" spans="1:32" ht="30.5" x14ac:dyDescent="0.35">
      <c r="A297" s="525">
        <v>142</v>
      </c>
      <c r="B297" s="1040" t="s">
        <v>299</v>
      </c>
      <c r="C297" s="1040"/>
      <c r="D297" s="2469" t="s">
        <v>5366</v>
      </c>
      <c r="E297" s="269" t="s">
        <v>7824</v>
      </c>
      <c r="F297" s="92">
        <v>5</v>
      </c>
      <c r="G297" s="92">
        <v>5</v>
      </c>
      <c r="H297" s="92">
        <v>6</v>
      </c>
      <c r="I297" s="688">
        <f>J297+K297+L297</f>
        <v>0.7</v>
      </c>
      <c r="J297" s="688">
        <f>SUM(M297:R297)</f>
        <v>0.7</v>
      </c>
      <c r="K297" s="688"/>
      <c r="L297" s="688"/>
      <c r="M297" s="688"/>
      <c r="N297" s="688"/>
      <c r="O297" s="1238">
        <v>0.7</v>
      </c>
      <c r="P297" s="688"/>
      <c r="Q297" s="1088"/>
      <c r="R297" s="1083"/>
      <c r="S297" s="397"/>
      <c r="T297" s="250"/>
      <c r="U297" s="250"/>
      <c r="V297" s="250"/>
      <c r="W297" s="67">
        <v>1</v>
      </c>
      <c r="X297" s="250">
        <v>10.5</v>
      </c>
      <c r="Y297" s="67"/>
      <c r="Z297" s="343"/>
      <c r="AB297" s="3">
        <v>1</v>
      </c>
      <c r="AE297" s="2461"/>
      <c r="AF297" s="68"/>
    </row>
    <row r="298" spans="1:32" ht="30.5" x14ac:dyDescent="0.35">
      <c r="A298" s="2001">
        <v>143</v>
      </c>
      <c r="B298" s="693" t="s">
        <v>299</v>
      </c>
      <c r="C298" s="358" t="s">
        <v>1656</v>
      </c>
      <c r="D298" s="2469" t="s">
        <v>5367</v>
      </c>
      <c r="E298" s="269" t="s">
        <v>8709</v>
      </c>
      <c r="F298" s="92" t="s">
        <v>1490</v>
      </c>
      <c r="G298" s="92">
        <v>5</v>
      </c>
      <c r="H298" s="92">
        <v>6</v>
      </c>
      <c r="I298" s="297">
        <f>J298+K298+L298</f>
        <v>0.15</v>
      </c>
      <c r="J298" s="297">
        <f>SUM(M298:R298)</f>
        <v>0.15</v>
      </c>
      <c r="K298" s="691"/>
      <c r="L298" s="691"/>
      <c r="M298" s="688"/>
      <c r="N298" s="688"/>
      <c r="O298" s="2386"/>
      <c r="P298" s="688"/>
      <c r="Q298" s="2387"/>
      <c r="R298" s="2388">
        <v>0.15</v>
      </c>
      <c r="S298" s="398"/>
      <c r="T298" s="254"/>
      <c r="U298" s="254"/>
      <c r="V298" s="254"/>
      <c r="W298" s="66"/>
      <c r="X298" s="254"/>
      <c r="Y298" s="66"/>
      <c r="Z298" s="344"/>
      <c r="AB298" s="3">
        <v>1</v>
      </c>
      <c r="AC298" s="62"/>
      <c r="AD298" s="353"/>
      <c r="AE298" s="2461"/>
      <c r="AF298" s="68"/>
    </row>
    <row r="299" spans="1:32" ht="30.5" x14ac:dyDescent="0.35">
      <c r="A299" s="525">
        <v>144</v>
      </c>
      <c r="B299" s="693" t="s">
        <v>299</v>
      </c>
      <c r="C299" s="358" t="s">
        <v>1656</v>
      </c>
      <c r="D299" s="2469" t="s">
        <v>5368</v>
      </c>
      <c r="E299" s="269" t="s">
        <v>8710</v>
      </c>
      <c r="F299" s="92" t="s">
        <v>1490</v>
      </c>
      <c r="G299" s="92">
        <v>5</v>
      </c>
      <c r="H299" s="92">
        <v>6</v>
      </c>
      <c r="I299" s="297">
        <f>J299+K299+L299</f>
        <v>0.4</v>
      </c>
      <c r="J299" s="297">
        <f>SUM(M299:R299)</f>
        <v>0.4</v>
      </c>
      <c r="K299" s="688"/>
      <c r="L299" s="688"/>
      <c r="M299" s="688"/>
      <c r="N299" s="688"/>
      <c r="O299" s="2386"/>
      <c r="P299" s="688"/>
      <c r="Q299" s="2387"/>
      <c r="R299" s="2388">
        <v>0.4</v>
      </c>
      <c r="S299" s="397"/>
      <c r="T299" s="250"/>
      <c r="U299" s="250"/>
      <c r="V299" s="250"/>
      <c r="W299" s="67"/>
      <c r="X299" s="250"/>
      <c r="Y299" s="67"/>
      <c r="Z299" s="343"/>
      <c r="AB299" s="3">
        <v>1</v>
      </c>
      <c r="AE299" s="2461"/>
      <c r="AF299" s="68"/>
    </row>
    <row r="300" spans="1:32" ht="30.5" x14ac:dyDescent="0.35">
      <c r="A300" s="2001">
        <v>145</v>
      </c>
      <c r="B300" s="693" t="s">
        <v>299</v>
      </c>
      <c r="C300" s="358" t="s">
        <v>1656</v>
      </c>
      <c r="D300" s="2469" t="s">
        <v>5369</v>
      </c>
      <c r="E300" s="269" t="s">
        <v>9964</v>
      </c>
      <c r="F300" s="92" t="s">
        <v>1490</v>
      </c>
      <c r="G300" s="92">
        <v>5</v>
      </c>
      <c r="H300" s="92">
        <v>6</v>
      </c>
      <c r="I300" s="297">
        <f>J300+K300+L300</f>
        <v>0.5</v>
      </c>
      <c r="J300" s="297">
        <f>SUM(M300:R300)</f>
        <v>0.5</v>
      </c>
      <c r="K300" s="691"/>
      <c r="L300" s="691"/>
      <c r="M300" s="688"/>
      <c r="N300" s="688"/>
      <c r="O300" s="2386"/>
      <c r="P300" s="688"/>
      <c r="Q300" s="2387"/>
      <c r="R300" s="2388">
        <v>0.5</v>
      </c>
      <c r="S300" s="398"/>
      <c r="T300" s="254"/>
      <c r="U300" s="254"/>
      <c r="V300" s="254"/>
      <c r="W300" s="66"/>
      <c r="X300" s="254"/>
      <c r="Y300" s="66"/>
      <c r="Z300" s="344"/>
      <c r="AB300" s="3">
        <v>1</v>
      </c>
      <c r="AE300" s="2461"/>
      <c r="AF300" s="68"/>
    </row>
    <row r="301" spans="1:32" ht="30.5" x14ac:dyDescent="0.35">
      <c r="A301" s="525"/>
      <c r="B301" s="1040" t="s">
        <v>300</v>
      </c>
      <c r="C301" s="1040"/>
      <c r="D301" s="693"/>
      <c r="E301" s="1582" t="s">
        <v>11346</v>
      </c>
      <c r="F301" s="92"/>
      <c r="G301" s="92"/>
      <c r="H301" s="92"/>
      <c r="I301" s="688"/>
      <c r="J301" s="688"/>
      <c r="K301" s="688"/>
      <c r="L301" s="688"/>
      <c r="M301" s="688"/>
      <c r="N301" s="688"/>
      <c r="O301" s="1238"/>
      <c r="P301" s="688"/>
      <c r="Q301" s="1088"/>
      <c r="R301" s="1083"/>
      <c r="S301" s="397"/>
      <c r="T301" s="250"/>
      <c r="U301" s="250"/>
      <c r="V301" s="250"/>
      <c r="W301" s="67"/>
      <c r="X301" s="250"/>
      <c r="Y301" s="67"/>
      <c r="Z301" s="343"/>
      <c r="AE301" s="2461"/>
      <c r="AF301" s="68"/>
    </row>
    <row r="302" spans="1:32" ht="30.5" x14ac:dyDescent="0.35">
      <c r="A302" s="525">
        <v>146</v>
      </c>
      <c r="B302" s="1040" t="s">
        <v>300</v>
      </c>
      <c r="C302" s="1040"/>
      <c r="D302" s="2469" t="s">
        <v>5370</v>
      </c>
      <c r="E302" s="269" t="s">
        <v>7825</v>
      </c>
      <c r="F302" s="92">
        <v>5</v>
      </c>
      <c r="G302" s="92">
        <v>5</v>
      </c>
      <c r="H302" s="92">
        <v>6</v>
      </c>
      <c r="I302" s="688">
        <f t="shared" ref="I302:I307" si="28">J302+K302+L302</f>
        <v>2</v>
      </c>
      <c r="J302" s="688">
        <f t="shared" ref="J302:J307" si="29">SUM(M302:R302)</f>
        <v>2</v>
      </c>
      <c r="K302" s="688"/>
      <c r="L302" s="688"/>
      <c r="M302" s="688"/>
      <c r="N302" s="688"/>
      <c r="O302" s="1238">
        <v>2</v>
      </c>
      <c r="P302" s="688"/>
      <c r="Q302" s="1088"/>
      <c r="R302" s="1083"/>
      <c r="S302" s="397"/>
      <c r="T302" s="250"/>
      <c r="U302" s="250"/>
      <c r="V302" s="250"/>
      <c r="W302" s="67">
        <v>3</v>
      </c>
      <c r="X302" s="250">
        <v>28.5</v>
      </c>
      <c r="Y302" s="67"/>
      <c r="Z302" s="343"/>
      <c r="AB302" s="3">
        <v>1</v>
      </c>
      <c r="AE302" s="2461"/>
      <c r="AF302" s="68"/>
    </row>
    <row r="303" spans="1:32" ht="60.5" x14ac:dyDescent="0.35">
      <c r="A303" s="2001">
        <v>147</v>
      </c>
      <c r="B303" s="693" t="s">
        <v>300</v>
      </c>
      <c r="C303" s="358" t="s">
        <v>1656</v>
      </c>
      <c r="D303" s="2469" t="s">
        <v>5371</v>
      </c>
      <c r="E303" s="269" t="s">
        <v>8711</v>
      </c>
      <c r="F303" s="92" t="s">
        <v>1490</v>
      </c>
      <c r="G303" s="92">
        <v>5</v>
      </c>
      <c r="H303" s="92">
        <v>6</v>
      </c>
      <c r="I303" s="297">
        <f t="shared" si="28"/>
        <v>0.26</v>
      </c>
      <c r="J303" s="297">
        <f t="shared" si="29"/>
        <v>0.26</v>
      </c>
      <c r="K303" s="688"/>
      <c r="L303" s="688"/>
      <c r="M303" s="688"/>
      <c r="N303" s="688"/>
      <c r="O303" s="2386"/>
      <c r="P303" s="688"/>
      <c r="Q303" s="2387"/>
      <c r="R303" s="2388">
        <v>0.26</v>
      </c>
      <c r="S303" s="397"/>
      <c r="T303" s="250"/>
      <c r="U303" s="250"/>
      <c r="V303" s="250"/>
      <c r="W303" s="67"/>
      <c r="X303" s="250"/>
      <c r="Y303" s="67"/>
      <c r="Z303" s="343"/>
      <c r="AB303" s="3">
        <v>1</v>
      </c>
      <c r="AE303" s="2461"/>
      <c r="AF303" s="68"/>
    </row>
    <row r="304" spans="1:32" ht="30.5" x14ac:dyDescent="0.35">
      <c r="A304" s="525">
        <v>148</v>
      </c>
      <c r="B304" s="1040" t="s">
        <v>300</v>
      </c>
      <c r="C304" s="1040"/>
      <c r="D304" s="2469" t="s">
        <v>5372</v>
      </c>
      <c r="E304" s="269" t="s">
        <v>7826</v>
      </c>
      <c r="F304" s="92" t="s">
        <v>1490</v>
      </c>
      <c r="G304" s="92">
        <v>5</v>
      </c>
      <c r="H304" s="92">
        <v>6</v>
      </c>
      <c r="I304" s="688">
        <f t="shared" si="28"/>
        <v>0.78</v>
      </c>
      <c r="J304" s="688">
        <f t="shared" si="29"/>
        <v>0.78</v>
      </c>
      <c r="K304" s="688"/>
      <c r="L304" s="688"/>
      <c r="M304" s="688"/>
      <c r="N304" s="688"/>
      <c r="O304" s="1238"/>
      <c r="P304" s="688"/>
      <c r="Q304" s="1088"/>
      <c r="R304" s="1083">
        <v>0.78</v>
      </c>
      <c r="S304" s="397"/>
      <c r="T304" s="250"/>
      <c r="U304" s="250"/>
      <c r="V304" s="250"/>
      <c r="W304" s="67"/>
      <c r="X304" s="250"/>
      <c r="Y304" s="67"/>
      <c r="Z304" s="343"/>
      <c r="AB304" s="3">
        <v>1</v>
      </c>
      <c r="AE304" s="2461"/>
      <c r="AF304" s="68"/>
    </row>
    <row r="305" spans="1:32" ht="45.5" x14ac:dyDescent="0.35">
      <c r="A305" s="2001">
        <v>149</v>
      </c>
      <c r="B305" s="693" t="s">
        <v>300</v>
      </c>
      <c r="C305" s="693"/>
      <c r="D305" s="2469" t="s">
        <v>5373</v>
      </c>
      <c r="E305" s="269" t="s">
        <v>9965</v>
      </c>
      <c r="F305" s="92">
        <v>5</v>
      </c>
      <c r="G305" s="92">
        <v>5</v>
      </c>
      <c r="H305" s="92">
        <v>6</v>
      </c>
      <c r="I305" s="688">
        <f t="shared" si="28"/>
        <v>1.63</v>
      </c>
      <c r="J305" s="688">
        <f t="shared" si="29"/>
        <v>1.63</v>
      </c>
      <c r="K305" s="688"/>
      <c r="L305" s="688"/>
      <c r="M305" s="688"/>
      <c r="N305" s="688">
        <v>1.63</v>
      </c>
      <c r="O305" s="1238"/>
      <c r="P305" s="688"/>
      <c r="Q305" s="1088"/>
      <c r="R305" s="1083"/>
      <c r="S305" s="397"/>
      <c r="T305" s="250"/>
      <c r="U305" s="250"/>
      <c r="V305" s="250"/>
      <c r="W305" s="67"/>
      <c r="X305" s="250"/>
      <c r="Y305" s="67"/>
      <c r="Z305" s="250"/>
      <c r="AB305" s="3">
        <v>1</v>
      </c>
      <c r="AE305" s="2461"/>
      <c r="AF305" s="68"/>
    </row>
    <row r="306" spans="1:32" ht="45" x14ac:dyDescent="0.35">
      <c r="A306" s="525">
        <v>150</v>
      </c>
      <c r="B306" s="693" t="s">
        <v>300</v>
      </c>
      <c r="C306" s="1144" t="s">
        <v>1656</v>
      </c>
      <c r="D306" s="2469" t="s">
        <v>5374</v>
      </c>
      <c r="E306" s="2187" t="s">
        <v>9966</v>
      </c>
      <c r="F306" s="92" t="s">
        <v>664</v>
      </c>
      <c r="G306" s="92">
        <v>5</v>
      </c>
      <c r="H306" s="92">
        <v>6</v>
      </c>
      <c r="I306" s="702">
        <f t="shared" si="28"/>
        <v>0.2</v>
      </c>
      <c r="J306" s="702">
        <f t="shared" si="29"/>
        <v>0.2</v>
      </c>
      <c r="K306" s="622"/>
      <c r="L306" s="622"/>
      <c r="M306" s="622"/>
      <c r="N306" s="622"/>
      <c r="O306" s="622"/>
      <c r="P306" s="622"/>
      <c r="Q306" s="622"/>
      <c r="R306" s="906">
        <v>0.2</v>
      </c>
      <c r="S306" s="106"/>
      <c r="T306" s="106"/>
      <c r="U306" s="106"/>
      <c r="V306" s="106"/>
      <c r="W306" s="105"/>
      <c r="X306" s="105"/>
      <c r="Y306" s="105"/>
      <c r="Z306" s="105"/>
      <c r="AB306" s="3">
        <v>1</v>
      </c>
      <c r="AE306" s="2461"/>
      <c r="AF306" s="68"/>
    </row>
    <row r="307" spans="1:32" ht="45.5" x14ac:dyDescent="0.35">
      <c r="A307" s="2001">
        <v>151</v>
      </c>
      <c r="B307" s="693" t="s">
        <v>300</v>
      </c>
      <c r="C307" s="358" t="s">
        <v>1656</v>
      </c>
      <c r="D307" s="2469" t="s">
        <v>5375</v>
      </c>
      <c r="E307" s="269" t="s">
        <v>9967</v>
      </c>
      <c r="F307" s="92" t="s">
        <v>1490</v>
      </c>
      <c r="G307" s="2289">
        <v>5</v>
      </c>
      <c r="H307" s="92">
        <v>6</v>
      </c>
      <c r="I307" s="297">
        <f t="shared" si="28"/>
        <v>0.35</v>
      </c>
      <c r="J307" s="297">
        <f t="shared" si="29"/>
        <v>0.35</v>
      </c>
      <c r="K307" s="688"/>
      <c r="L307" s="688"/>
      <c r="M307" s="688"/>
      <c r="N307" s="688"/>
      <c r="O307" s="2386"/>
      <c r="P307" s="688"/>
      <c r="Q307" s="2387"/>
      <c r="R307" s="2388">
        <v>0.35</v>
      </c>
      <c r="S307" s="397"/>
      <c r="T307" s="250"/>
      <c r="U307" s="250"/>
      <c r="V307" s="250"/>
      <c r="W307" s="67"/>
      <c r="X307" s="250"/>
      <c r="Y307" s="67"/>
      <c r="Z307" s="343"/>
      <c r="AB307" s="3">
        <v>1</v>
      </c>
      <c r="AE307" s="2461"/>
      <c r="AF307" s="68"/>
    </row>
    <row r="308" spans="1:32" x14ac:dyDescent="0.35">
      <c r="A308" s="525"/>
      <c r="B308" s="1040" t="s">
        <v>2284</v>
      </c>
      <c r="C308" s="1040"/>
      <c r="D308" s="693"/>
      <c r="E308" s="1582" t="s">
        <v>7226</v>
      </c>
      <c r="F308" s="92"/>
      <c r="G308" s="92"/>
      <c r="H308" s="92"/>
      <c r="I308" s="688"/>
      <c r="J308" s="688"/>
      <c r="K308" s="688"/>
      <c r="L308" s="688"/>
      <c r="M308" s="688"/>
      <c r="N308" s="688"/>
      <c r="O308" s="1238"/>
      <c r="P308" s="688"/>
      <c r="Q308" s="1088"/>
      <c r="R308" s="1083"/>
      <c r="S308" s="397"/>
      <c r="T308" s="250"/>
      <c r="U308" s="250"/>
      <c r="V308" s="250"/>
      <c r="W308" s="67"/>
      <c r="X308" s="250"/>
      <c r="Y308" s="67"/>
      <c r="Z308" s="343"/>
      <c r="AE308" s="2461"/>
      <c r="AF308" s="68"/>
    </row>
    <row r="309" spans="1:32" ht="30.5" x14ac:dyDescent="0.35">
      <c r="A309" s="525">
        <v>152</v>
      </c>
      <c r="B309" s="693" t="s">
        <v>2284</v>
      </c>
      <c r="C309" s="693"/>
      <c r="D309" s="2469" t="s">
        <v>5376</v>
      </c>
      <c r="E309" s="269" t="s">
        <v>9968</v>
      </c>
      <c r="F309" s="92" t="s">
        <v>827</v>
      </c>
      <c r="G309" s="92">
        <v>5</v>
      </c>
      <c r="H309" s="92">
        <v>6</v>
      </c>
      <c r="I309" s="688">
        <f>J309+K309+L309</f>
        <v>0.95</v>
      </c>
      <c r="J309" s="688">
        <f>SUM(M309:R309)</f>
        <v>0.95</v>
      </c>
      <c r="K309" s="688"/>
      <c r="L309" s="688"/>
      <c r="M309" s="688"/>
      <c r="N309" s="688"/>
      <c r="O309" s="1238"/>
      <c r="P309" s="688"/>
      <c r="Q309" s="1088"/>
      <c r="R309" s="1083">
        <v>0.95</v>
      </c>
      <c r="S309" s="397"/>
      <c r="T309" s="250"/>
      <c r="U309" s="250"/>
      <c r="V309" s="250"/>
      <c r="W309" s="67">
        <v>1</v>
      </c>
      <c r="X309" s="250">
        <v>10</v>
      </c>
      <c r="Y309" s="67"/>
      <c r="Z309" s="250"/>
      <c r="AB309" s="3">
        <v>1</v>
      </c>
      <c r="AC309" s="62" t="s">
        <v>2130</v>
      </c>
      <c r="AD309" s="353">
        <v>36706</v>
      </c>
      <c r="AE309" s="2461"/>
      <c r="AF309" s="68"/>
    </row>
  </sheetData>
  <autoFilter ref="A29:AB309"/>
  <mergeCells count="35">
    <mergeCell ref="A2:Z2"/>
    <mergeCell ref="A3:Z3"/>
    <mergeCell ref="A5:A8"/>
    <mergeCell ref="D5:D8"/>
    <mergeCell ref="E5:E8"/>
    <mergeCell ref="F5:F8"/>
    <mergeCell ref="I5:L5"/>
    <mergeCell ref="M5:R5"/>
    <mergeCell ref="I6:I8"/>
    <mergeCell ref="J6:J8"/>
    <mergeCell ref="B5:B8"/>
    <mergeCell ref="K6:K8"/>
    <mergeCell ref="H5:H8"/>
    <mergeCell ref="G5:G8"/>
    <mergeCell ref="M6:M8"/>
    <mergeCell ref="N6:N8"/>
    <mergeCell ref="O6:O8"/>
    <mergeCell ref="L6:L8"/>
    <mergeCell ref="V7:V8"/>
    <mergeCell ref="T7:T8"/>
    <mergeCell ref="P6:P8"/>
    <mergeCell ref="Q6:Q8"/>
    <mergeCell ref="Y7:Y8"/>
    <mergeCell ref="Z7:Z8"/>
    <mergeCell ref="R6:R8"/>
    <mergeCell ref="W5:Z5"/>
    <mergeCell ref="S6:T6"/>
    <mergeCell ref="W6:X6"/>
    <mergeCell ref="Y6:Z6"/>
    <mergeCell ref="S7:S8"/>
    <mergeCell ref="W7:W8"/>
    <mergeCell ref="X7:X8"/>
    <mergeCell ref="S5:V5"/>
    <mergeCell ref="U6:V6"/>
    <mergeCell ref="U7:U8"/>
  </mergeCells>
  <phoneticPr fontId="0" type="noConversion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Roman,обычный"&amp;10Круглянское ДРСУ-214&amp;R&amp;"Times New Roman,обычный"&amp;10&amp;P</oddFooter>
  </headerFooter>
  <rowBreaks count="5" manualBreakCount="5">
    <brk id="109" max="24" man="1"/>
    <brk id="147" max="24" man="1"/>
    <brk id="187" max="24" man="1"/>
    <brk id="224" max="24" man="1"/>
    <brk id="300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M929"/>
  <sheetViews>
    <sheetView zoomScale="90" zoomScaleNormal="90"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9.75" defaultRowHeight="15.5" x14ac:dyDescent="0.35"/>
  <cols>
    <col min="1" max="1" width="4.4140625" style="65" customWidth="1"/>
    <col min="2" max="3" width="7.33203125" style="65" hidden="1" customWidth="1"/>
    <col min="4" max="4" width="7.33203125" style="5" customWidth="1"/>
    <col min="5" max="5" width="43.4140625" style="3" customWidth="1"/>
    <col min="6" max="6" width="6.75" style="65" customWidth="1"/>
    <col min="7" max="8" width="7.33203125" style="111" customWidth="1"/>
    <col min="9" max="9" width="7.58203125" style="151" customWidth="1"/>
    <col min="10" max="10" width="7.33203125" style="151" customWidth="1"/>
    <col min="11" max="12" width="6.58203125" style="5" customWidth="1"/>
    <col min="13" max="14" width="7" style="5" customWidth="1"/>
    <col min="15" max="15" width="6.75" style="5" customWidth="1"/>
    <col min="16" max="16" width="6.58203125" style="5" customWidth="1"/>
    <col min="17" max="18" width="7" style="5" customWidth="1"/>
    <col min="19" max="19" width="4.4140625" style="5" customWidth="1"/>
    <col min="20" max="20" width="7.25" style="5" customWidth="1"/>
    <col min="21" max="21" width="4.4140625" style="5" customWidth="1"/>
    <col min="22" max="22" width="5.58203125" style="5" customWidth="1"/>
    <col min="23" max="23" width="4.4140625" style="5" customWidth="1"/>
    <col min="24" max="24" width="8" style="5" customWidth="1"/>
    <col min="25" max="25" width="4.58203125" style="5" customWidth="1"/>
    <col min="26" max="26" width="7.75" style="5" customWidth="1"/>
    <col min="27" max="27" width="13" style="3" customWidth="1"/>
    <col min="28" max="36" width="9.75" style="3"/>
    <col min="37" max="37" width="22.33203125" style="3" customWidth="1"/>
    <col min="38" max="16384" width="9.75" style="3"/>
  </cols>
  <sheetData>
    <row r="1" spans="1:39" ht="13.5" customHeight="1" x14ac:dyDescent="0.35">
      <c r="I1" s="1995"/>
      <c r="J1" s="1995"/>
      <c r="K1" s="1995"/>
      <c r="L1" s="1995"/>
      <c r="M1" s="1995"/>
      <c r="N1" s="1995"/>
      <c r="O1" s="1995"/>
      <c r="P1" s="1995"/>
      <c r="Q1" s="1995"/>
      <c r="R1" s="1995"/>
    </row>
    <row r="2" spans="1:39" ht="20" x14ac:dyDescent="0.35">
      <c r="A2" s="3117" t="s">
        <v>10628</v>
      </c>
      <c r="B2" s="3117"/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149"/>
      <c r="B4" s="149"/>
      <c r="C4" s="149"/>
      <c r="D4" s="29"/>
      <c r="E4" s="2308"/>
      <c r="F4" s="161"/>
      <c r="G4" s="162"/>
      <c r="H4" s="162"/>
      <c r="I4" s="1994"/>
      <c r="J4" s="1994"/>
      <c r="K4" s="1994"/>
      <c r="L4" s="1994"/>
      <c r="M4" s="1994"/>
      <c r="N4" s="1994"/>
      <c r="O4" s="1994"/>
      <c r="P4" s="1994"/>
      <c r="Q4" s="1994"/>
      <c r="R4" s="1994"/>
      <c r="S4" s="2643"/>
      <c r="T4" s="2644"/>
      <c r="U4" s="2645"/>
      <c r="V4" s="2645"/>
    </row>
    <row r="5" spans="1:39" s="16" customFormat="1" ht="15.75" customHeight="1" x14ac:dyDescent="0.3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105" t="s">
        <v>3086</v>
      </c>
      <c r="T5" s="3106"/>
      <c r="U5" s="3106"/>
      <c r="V5" s="3108"/>
      <c r="W5" s="3105" t="s">
        <v>2907</v>
      </c>
      <c r="X5" s="3106"/>
      <c r="Y5" s="3106"/>
      <c r="Z5" s="3107"/>
    </row>
    <row r="6" spans="1:39" s="16" customFormat="1" ht="33" customHeight="1" x14ac:dyDescent="0.3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100" t="s">
        <v>911</v>
      </c>
      <c r="T6" s="3101"/>
      <c r="U6" s="3109" t="s">
        <v>24</v>
      </c>
      <c r="V6" s="3109"/>
      <c r="W6" s="3110" t="s">
        <v>911</v>
      </c>
      <c r="X6" s="3111"/>
      <c r="Y6" s="3115" t="s">
        <v>926</v>
      </c>
      <c r="Z6" s="3116"/>
    </row>
    <row r="7" spans="1:39" s="16" customFormat="1" ht="15.75" customHeight="1" x14ac:dyDescent="0.3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73" t="s">
        <v>3087</v>
      </c>
      <c r="T7" s="3073" t="s">
        <v>2487</v>
      </c>
      <c r="U7" s="3112" t="s">
        <v>3087</v>
      </c>
      <c r="V7" s="3112" t="s">
        <v>2487</v>
      </c>
      <c r="W7" s="3104" t="s">
        <v>3087</v>
      </c>
      <c r="X7" s="3104" t="s">
        <v>2487</v>
      </c>
      <c r="Y7" s="3104" t="s">
        <v>3087</v>
      </c>
      <c r="Z7" s="3102" t="s">
        <v>2487</v>
      </c>
    </row>
    <row r="8" spans="1:39" s="16" customFormat="1" thickBot="1" x14ac:dyDescent="0.35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73"/>
      <c r="T8" s="3073"/>
      <c r="U8" s="3113"/>
      <c r="V8" s="3113"/>
      <c r="W8" s="3073"/>
      <c r="X8" s="3073"/>
      <c r="Y8" s="3073"/>
      <c r="Z8" s="3103"/>
    </row>
    <row r="9" spans="1:39" s="5" customFormat="1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4">
        <v>16</v>
      </c>
      <c r="T9" s="1274">
        <v>17</v>
      </c>
      <c r="U9" s="1274">
        <v>18</v>
      </c>
      <c r="V9" s="1274">
        <v>19</v>
      </c>
      <c r="W9" s="1274">
        <v>20</v>
      </c>
      <c r="X9" s="1274">
        <v>21</v>
      </c>
      <c r="Y9" s="1274">
        <v>22</v>
      </c>
      <c r="Z9" s="1275">
        <v>23</v>
      </c>
    </row>
    <row r="10" spans="1:39" s="16" customFormat="1" thickBot="1" x14ac:dyDescent="0.35">
      <c r="A10" s="542"/>
      <c r="B10" s="1054"/>
      <c r="C10" s="1054"/>
      <c r="D10" s="543"/>
      <c r="E10" s="1347" t="s">
        <v>2392</v>
      </c>
      <c r="F10" s="451"/>
      <c r="G10" s="451"/>
      <c r="H10" s="451"/>
      <c r="I10" s="803">
        <f>J10+K10+L10</f>
        <v>928.69699999999989</v>
      </c>
      <c r="J10" s="803">
        <f>M10+N10+O10+P10+Q10+R10</f>
        <v>918.57199999999989</v>
      </c>
      <c r="K10" s="803">
        <f t="shared" ref="K10:R10" si="0">K11+K12+K13+K14</f>
        <v>2.0369999999999995</v>
      </c>
      <c r="L10" s="803">
        <f t="shared" si="0"/>
        <v>8.088000000000001</v>
      </c>
      <c r="M10" s="1382">
        <f t="shared" si="0"/>
        <v>79.61999999999999</v>
      </c>
      <c r="N10" s="803">
        <f t="shared" si="0"/>
        <v>281.50199999999995</v>
      </c>
      <c r="O10" s="613">
        <f t="shared" si="0"/>
        <v>3</v>
      </c>
      <c r="P10" s="1367">
        <f t="shared" si="0"/>
        <v>0.9</v>
      </c>
      <c r="Q10" s="1359">
        <f t="shared" si="0"/>
        <v>252.90599999999992</v>
      </c>
      <c r="R10" s="1349">
        <f t="shared" si="0"/>
        <v>300.64399999999995</v>
      </c>
      <c r="S10" s="1268">
        <f>SUM(S30:S1001)</f>
        <v>28</v>
      </c>
      <c r="T10" s="1208">
        <f t="shared" ref="T10:Z10" si="1">SUM(T30:T1001)</f>
        <v>735.25000000000011</v>
      </c>
      <c r="U10" s="1268">
        <f t="shared" si="1"/>
        <v>0</v>
      </c>
      <c r="V10" s="1208">
        <f t="shared" si="1"/>
        <v>0</v>
      </c>
      <c r="W10" s="1268">
        <f t="shared" si="1"/>
        <v>1290</v>
      </c>
      <c r="X10" s="1208">
        <f t="shared" si="1"/>
        <v>16290.660000000009</v>
      </c>
      <c r="Y10" s="1268">
        <f t="shared" si="1"/>
        <v>380</v>
      </c>
      <c r="Z10" s="1208">
        <f t="shared" si="1"/>
        <v>4152.95</v>
      </c>
      <c r="AB10" s="1268">
        <f>SUM(AB30:AB1008)</f>
        <v>429</v>
      </c>
      <c r="AK10" s="2150" t="s">
        <v>11226</v>
      </c>
      <c r="AL10" s="43"/>
      <c r="AM10" s="2812" t="s">
        <v>11227</v>
      </c>
    </row>
    <row r="11" spans="1:39" s="16" customFormat="1" ht="15" x14ac:dyDescent="0.3">
      <c r="A11" s="544"/>
      <c r="B11" s="1055"/>
      <c r="C11" s="1055"/>
      <c r="D11" s="545"/>
      <c r="E11" s="1264" t="s">
        <v>909</v>
      </c>
      <c r="F11" s="1245">
        <v>3</v>
      </c>
      <c r="G11" s="1245"/>
      <c r="H11" s="1658"/>
      <c r="I11" s="1401"/>
      <c r="J11" s="1401"/>
      <c r="K11" s="1401"/>
      <c r="L11" s="1401"/>
      <c r="M11" s="1402"/>
      <c r="N11" s="1401"/>
      <c r="O11" s="1403"/>
      <c r="P11" s="1404"/>
      <c r="Q11" s="1326"/>
      <c r="R11" s="1327"/>
      <c r="S11" s="1765"/>
      <c r="T11" s="1766"/>
      <c r="U11" s="1765"/>
      <c r="V11" s="1765"/>
      <c r="W11" s="2646"/>
      <c r="X11" s="2647"/>
      <c r="Y11" s="2646"/>
      <c r="Z11" s="2648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38.230999999999995</v>
      </c>
      <c r="AM11" s="2814">
        <f>AL11-J18</f>
        <v>0</v>
      </c>
    </row>
    <row r="12" spans="1:39" s="16" customFormat="1" x14ac:dyDescent="0.35">
      <c r="A12" s="544"/>
      <c r="B12" s="1055"/>
      <c r="C12" s="1055"/>
      <c r="D12" s="761"/>
      <c r="E12" s="640"/>
      <c r="F12" s="1249">
        <v>4</v>
      </c>
      <c r="G12" s="1249"/>
      <c r="H12" s="1249"/>
      <c r="I12" s="1250">
        <f t="shared" ref="I12:I20" si="2">J12+K12+L12</f>
        <v>397.02899999999988</v>
      </c>
      <c r="J12" s="1250">
        <f t="shared" ref="J12:J20" si="3">R12+Q12+P12+O12+N12+M12</f>
        <v>389.68099999999987</v>
      </c>
      <c r="K12" s="1324">
        <f>SUMIF(F30:F995,4,K30:K995)</f>
        <v>2.0109999999999997</v>
      </c>
      <c r="L12" s="1324">
        <f>SUMIF(F30:F995,4,L30:L995)</f>
        <v>5.3369999999999997</v>
      </c>
      <c r="M12" s="1402">
        <f>SUMIF(F30:F995,4,M30:M995)</f>
        <v>79.47699999999999</v>
      </c>
      <c r="N12" s="1324">
        <f>SUMIF(F30:F995,4,N30:N995)</f>
        <v>211.70299999999995</v>
      </c>
      <c r="O12" s="1403">
        <f>SUMIF(F30:F995,4,O30:O995)</f>
        <v>0</v>
      </c>
      <c r="P12" s="1404">
        <f>SUMIF(F30:F995,4,P30:P995)</f>
        <v>0</v>
      </c>
      <c r="Q12" s="1326">
        <f>SUMIF(F30:F995,4,Q30:Q995)</f>
        <v>98.500999999999962</v>
      </c>
      <c r="R12" s="1327">
        <f>SUMIF(F30:F995,4,R30:R995)</f>
        <v>0</v>
      </c>
      <c r="S12" s="1765"/>
      <c r="T12" s="1767"/>
      <c r="U12" s="1765"/>
      <c r="V12" s="1765"/>
      <c r="W12" s="2646"/>
      <c r="X12" s="2647"/>
      <c r="Y12" s="2646"/>
      <c r="Z12" s="2649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s="16" customFormat="1" ht="15" x14ac:dyDescent="0.3">
      <c r="A13" s="544"/>
      <c r="B13" s="1055"/>
      <c r="C13" s="1055"/>
      <c r="D13" s="545"/>
      <c r="E13" s="640"/>
      <c r="F13" s="1249">
        <v>5</v>
      </c>
      <c r="G13" s="1249"/>
      <c r="H13" s="1249"/>
      <c r="I13" s="1250">
        <f t="shared" si="2"/>
        <v>171.39899999999994</v>
      </c>
      <c r="J13" s="1250">
        <f t="shared" si="3"/>
        <v>171.24999999999994</v>
      </c>
      <c r="K13" s="1324">
        <f>SUMIF(F30:F995,5,K30:K995)</f>
        <v>2.5999999999999999E-2</v>
      </c>
      <c r="L13" s="1324">
        <f>SUMIF(F30:F995,5,L30:L995)</f>
        <v>0.12300000000000008</v>
      </c>
      <c r="M13" s="1402">
        <f>SUMIF(F30:F995,5,M30:M995)</f>
        <v>0.14300000000000013</v>
      </c>
      <c r="N13" s="1324">
        <f>SUMIF(F30:F995,5,N30:N995)</f>
        <v>48.143999999999998</v>
      </c>
      <c r="O13" s="1403">
        <f>SUMIF(F30:F995,5,O30:O995)</f>
        <v>3</v>
      </c>
      <c r="P13" s="1404">
        <f>SUMIF(F30:F995,5,P30:P995)</f>
        <v>0</v>
      </c>
      <c r="Q13" s="1326">
        <f>SUMIF(F30:F995,5,Q30:Q995)</f>
        <v>106.60399999999994</v>
      </c>
      <c r="R13" s="1327">
        <f>SUMIF(F30:F995,5,R30:R995)</f>
        <v>13.359</v>
      </c>
      <c r="S13" s="1765"/>
      <c r="T13" s="1767"/>
      <c r="U13" s="1765"/>
      <c r="V13" s="1765"/>
      <c r="W13" s="2646"/>
      <c r="X13" s="2647"/>
      <c r="Y13" s="2646"/>
      <c r="Z13" s="2649"/>
      <c r="AD13" s="2777" t="s">
        <v>11126</v>
      </c>
      <c r="AE13" s="2776"/>
      <c r="AF13" s="2778">
        <v>79</v>
      </c>
      <c r="AG13" s="2783">
        <f>M12+N12+O12</f>
        <v>291.17999999999995</v>
      </c>
      <c r="AH13" s="2783">
        <f>M13+N13+O13</f>
        <v>51.286999999999999</v>
      </c>
      <c r="AI13" s="2784">
        <f>M14+N14+O14</f>
        <v>21.655000000000005</v>
      </c>
      <c r="AK13" s="2818" t="s">
        <v>7184</v>
      </c>
      <c r="AL13" s="2819">
        <f>AL14+AL15+AL16+AL17+AL18</f>
        <v>38.230999999999995</v>
      </c>
      <c r="AM13" s="2820">
        <f>AL13-AF29</f>
        <v>0</v>
      </c>
    </row>
    <row r="14" spans="1:39" s="16" customFormat="1" x14ac:dyDescent="0.35">
      <c r="A14" s="544"/>
      <c r="B14" s="1055"/>
      <c r="C14" s="1055"/>
      <c r="D14" s="545"/>
      <c r="E14" s="640"/>
      <c r="F14" s="1249" t="s">
        <v>448</v>
      </c>
      <c r="G14" s="1249"/>
      <c r="H14" s="1249"/>
      <c r="I14" s="1250">
        <f t="shared" si="2"/>
        <v>360.26900000000001</v>
      </c>
      <c r="J14" s="1250">
        <f t="shared" si="3"/>
        <v>357.64100000000002</v>
      </c>
      <c r="K14" s="1250">
        <f>K15+K16+K17</f>
        <v>0</v>
      </c>
      <c r="L14" s="1250">
        <f>L15+L16+L17</f>
        <v>2.6280000000000001</v>
      </c>
      <c r="M14" s="1250">
        <f t="shared" ref="M14:R14" si="4">M15+M16+M17</f>
        <v>0</v>
      </c>
      <c r="N14" s="1250">
        <f t="shared" si="4"/>
        <v>21.655000000000005</v>
      </c>
      <c r="O14" s="1251">
        <f t="shared" si="4"/>
        <v>0</v>
      </c>
      <c r="P14" s="1317">
        <f t="shared" si="4"/>
        <v>0.9</v>
      </c>
      <c r="Q14" s="1252">
        <f t="shared" si="4"/>
        <v>47.801000000000016</v>
      </c>
      <c r="R14" s="1256">
        <f t="shared" si="4"/>
        <v>287.28499999999997</v>
      </c>
      <c r="S14" s="1765"/>
      <c r="T14" s="1767"/>
      <c r="U14" s="1765"/>
      <c r="V14" s="1765"/>
      <c r="W14" s="2646"/>
      <c r="X14" s="2647"/>
      <c r="Y14" s="2646"/>
      <c r="Z14" s="2649"/>
      <c r="AD14" s="2777" t="s">
        <v>11127</v>
      </c>
      <c r="AE14" s="2776"/>
      <c r="AF14" s="2778">
        <v>80</v>
      </c>
      <c r="AG14" s="2785">
        <f>P12+Q12</f>
        <v>98.500999999999962</v>
      </c>
      <c r="AH14" s="2785">
        <f>P13+Q13</f>
        <v>106.60399999999994</v>
      </c>
      <c r="AI14" s="2786">
        <f>P14+Q14</f>
        <v>48.701000000000015</v>
      </c>
      <c r="AK14" s="2815" t="s">
        <v>11230</v>
      </c>
      <c r="AL14" s="2579">
        <f>SUMIFS(M30:M959,F30:F959,4,G30:G959,3)</f>
        <v>12.799000000000001</v>
      </c>
      <c r="AM14" s="2817"/>
    </row>
    <row r="15" spans="1:39" s="16" customFormat="1" x14ac:dyDescent="0.35">
      <c r="A15" s="544"/>
      <c r="B15" s="1055"/>
      <c r="C15" s="1055"/>
      <c r="D15" s="545"/>
      <c r="E15" s="640"/>
      <c r="F15" s="1253" t="s">
        <v>827</v>
      </c>
      <c r="G15" s="1249"/>
      <c r="H15" s="1249"/>
      <c r="I15" s="1318">
        <f t="shared" si="2"/>
        <v>91.954000000000022</v>
      </c>
      <c r="J15" s="1318">
        <f t="shared" si="3"/>
        <v>91.954000000000022</v>
      </c>
      <c r="K15" s="1318">
        <f>SUMIF(F30:F1012,"=6а",K30:K1012)</f>
        <v>0</v>
      </c>
      <c r="L15" s="1318">
        <f>SUMIF(F30:F1012,"=6а",L30:L1012)</f>
        <v>0</v>
      </c>
      <c r="M15" s="1318">
        <f>SUMIF(F30:F1012,"=6а",M30:M1012)</f>
        <v>0</v>
      </c>
      <c r="N15" s="1318">
        <f>SUMIF(F30:F1012,"=6а",N30:N1012)</f>
        <v>18.259000000000004</v>
      </c>
      <c r="O15" s="1319">
        <f>SUMIF(F30:F1012,"=6а",O30:O1012)</f>
        <v>0</v>
      </c>
      <c r="P15" s="1320">
        <f>SUMIF(F30:F1012,"=6а",P30:P1012)</f>
        <v>0.9</v>
      </c>
      <c r="Q15" s="1321">
        <f>SUMIF(F30:F1012,"=6а",Q30:Q1012)</f>
        <v>41.227000000000018</v>
      </c>
      <c r="R15" s="1322">
        <f>SUMIF(F30:F1012,"=6а",R30:R1012)</f>
        <v>31.567999999999994</v>
      </c>
      <c r="S15" s="1765"/>
      <c r="T15" s="1766"/>
      <c r="U15" s="1765"/>
      <c r="V15" s="1765"/>
      <c r="W15" s="2646"/>
      <c r="X15" s="2647"/>
      <c r="Y15" s="2646"/>
      <c r="Z15" s="2649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13.359</v>
      </c>
      <c r="AI15" s="2788">
        <f>R14</f>
        <v>287.28499999999997</v>
      </c>
      <c r="AK15" s="2815" t="s">
        <v>11231</v>
      </c>
      <c r="AL15" s="2579">
        <f>SUMIFS(N30:N959,F30:F959,4,G30:G959,3)</f>
        <v>25.431999999999995</v>
      </c>
      <c r="AM15" s="2817"/>
    </row>
    <row r="16" spans="1:39" s="16" customFormat="1" x14ac:dyDescent="0.35">
      <c r="A16" s="544"/>
      <c r="B16" s="1055"/>
      <c r="C16" s="1055"/>
      <c r="D16" s="545"/>
      <c r="E16" s="1265"/>
      <c r="F16" s="1254" t="s">
        <v>1490</v>
      </c>
      <c r="G16" s="1249"/>
      <c r="H16" s="1249"/>
      <c r="I16" s="1318">
        <f t="shared" si="2"/>
        <v>46.878999999999998</v>
      </c>
      <c r="J16" s="1318">
        <f t="shared" si="3"/>
        <v>46.864999999999995</v>
      </c>
      <c r="K16" s="1318">
        <f>SUMIF(F30:F1013,"=6б",K30:K1013)</f>
        <v>0</v>
      </c>
      <c r="L16" s="1318">
        <f>SUMIF(F30:F1013,"=6б",L30:L1013)</f>
        <v>1.4E-2</v>
      </c>
      <c r="M16" s="1318">
        <f>SUMIF(F30:F1013,"=6б",M30:M1013)</f>
        <v>0</v>
      </c>
      <c r="N16" s="1318">
        <f>SUMIF(F30:F1013,"=6б",N30:N1013)</f>
        <v>2.3959999999999999</v>
      </c>
      <c r="O16" s="1319">
        <f>SUMIF(F30:F1013,"=6б",O30:O1013)</f>
        <v>0</v>
      </c>
      <c r="P16" s="1320">
        <f>SUMIF(F30:F1013,"=6б",P30:P1013)</f>
        <v>0</v>
      </c>
      <c r="Q16" s="1321">
        <f>SUMIF(F30:F1013,"=6б",Q30:Q1013)</f>
        <v>6.2160000000000002</v>
      </c>
      <c r="R16" s="1322">
        <f>SUMIF(F30:F1013,"=6б",R30:R1013)</f>
        <v>38.252999999999993</v>
      </c>
      <c r="S16" s="1765"/>
      <c r="T16" s="1766"/>
      <c r="U16" s="1765"/>
      <c r="V16" s="1765"/>
      <c r="W16" s="2646"/>
      <c r="X16" s="2647"/>
      <c r="Y16" s="2646"/>
      <c r="Z16" s="2649"/>
      <c r="AK16" s="2815" t="s">
        <v>11232</v>
      </c>
      <c r="AL16" s="2579">
        <f>SUMIFS(O30:O959,F30:F959,4,G30:G959,3)</f>
        <v>0</v>
      </c>
      <c r="AM16" s="2817"/>
    </row>
    <row r="17" spans="1:39" s="16" customFormat="1" x14ac:dyDescent="0.35">
      <c r="A17" s="544"/>
      <c r="B17" s="1055"/>
      <c r="C17" s="1055"/>
      <c r="D17" s="545"/>
      <c r="E17" s="1265"/>
      <c r="F17" s="2271" t="s">
        <v>449</v>
      </c>
      <c r="G17" s="1249"/>
      <c r="H17" s="1249"/>
      <c r="I17" s="2272">
        <f t="shared" si="2"/>
        <v>221.43599999999998</v>
      </c>
      <c r="J17" s="2272">
        <f t="shared" si="3"/>
        <v>218.82199999999997</v>
      </c>
      <c r="K17" s="2272">
        <f>SUMIF(F30:F1014,"=б/к",K30:K1014)</f>
        <v>0</v>
      </c>
      <c r="L17" s="2272">
        <f>SUMIF(F30:F1014,"=б/к",L30:L1014)</f>
        <v>2.6140000000000003</v>
      </c>
      <c r="M17" s="2272">
        <f>SUMIF(F30:F1014,"=б/к",M30:M1014)</f>
        <v>0</v>
      </c>
      <c r="N17" s="2272">
        <f>SUMIF(F30:F1014,"=б/к",N30:N1014)</f>
        <v>1</v>
      </c>
      <c r="O17" s="2272">
        <f>SUMIF(F30:F1014,"=б/к",O30:O1014)</f>
        <v>0</v>
      </c>
      <c r="P17" s="2272">
        <f>SUMIF(F30:F1014,"=б/к",P30:P1014)</f>
        <v>0</v>
      </c>
      <c r="Q17" s="2273">
        <f>SUMIF(F30:F1014,"=б/к",Q30:Q1014)</f>
        <v>0.35799999999999965</v>
      </c>
      <c r="R17" s="2274">
        <f>SUMIF(F30:F1014,"=б/к",R30:R1014)</f>
        <v>217.46399999999997</v>
      </c>
      <c r="S17" s="1765"/>
      <c r="T17" s="1766"/>
      <c r="U17" s="1765"/>
      <c r="V17" s="1765"/>
      <c r="W17" s="2646"/>
      <c r="X17" s="2647"/>
      <c r="Y17" s="2646"/>
      <c r="Z17" s="2649"/>
      <c r="AK17" s="2815" t="s">
        <v>11233</v>
      </c>
      <c r="AL17" s="2579">
        <f>SUMIFS(P30:P959,F30:F959,4,G30:G959,3)+SUMIFS(Q30:Q959,F30:F959,4,G30:G959,3)</f>
        <v>0</v>
      </c>
      <c r="AM17" s="2817"/>
    </row>
    <row r="18" spans="1:39" s="16" customFormat="1" x14ac:dyDescent="0.35">
      <c r="A18" s="544"/>
      <c r="B18" s="1055"/>
      <c r="C18" s="1055"/>
      <c r="D18" s="545"/>
      <c r="E18" s="1266"/>
      <c r="F18" s="1266" t="s">
        <v>3303</v>
      </c>
      <c r="G18" s="1241">
        <v>3</v>
      </c>
      <c r="H18" s="2415"/>
      <c r="I18" s="1405">
        <f t="shared" si="2"/>
        <v>38.679999999999993</v>
      </c>
      <c r="J18" s="1405">
        <f t="shared" si="3"/>
        <v>38.230999999999995</v>
      </c>
      <c r="K18" s="1405">
        <f>SUMIF(G30:G995,3,K30:K995)</f>
        <v>0.44899999999999995</v>
      </c>
      <c r="L18" s="1405">
        <f>SUMIF(G30:G995,3,L30:L995)</f>
        <v>0</v>
      </c>
      <c r="M18" s="1406">
        <f>SUMIF(G30:G995,3,M30:M995)</f>
        <v>12.799000000000001</v>
      </c>
      <c r="N18" s="1405">
        <f>SUMIF(G30:G995,3,N30:N995)</f>
        <v>25.431999999999995</v>
      </c>
      <c r="O18" s="1407">
        <f>SUMIF(G30:G995,3,O30:O995)</f>
        <v>0</v>
      </c>
      <c r="P18" s="1408">
        <f>SUMIF(G30:G995,3,P30:P995)</f>
        <v>0</v>
      </c>
      <c r="Q18" s="1409">
        <f>SUMIF(G30:G995,3,Q30:Q995)</f>
        <v>0</v>
      </c>
      <c r="R18" s="1410">
        <f>SUMIF(G30:G995,3,R30:R995)</f>
        <v>0</v>
      </c>
      <c r="S18" s="1765"/>
      <c r="T18" s="1767"/>
      <c r="U18" s="1765"/>
      <c r="V18" s="1765"/>
      <c r="W18" s="2646"/>
      <c r="X18" s="2647"/>
      <c r="Y18" s="2646"/>
      <c r="Z18" s="2649"/>
      <c r="AK18" s="2815" t="s">
        <v>910</v>
      </c>
      <c r="AL18" s="2579">
        <f>SUMIFS(R30:R959,F30:F959,4,G30:G959,3)</f>
        <v>0</v>
      </c>
      <c r="AM18" s="2817"/>
    </row>
    <row r="19" spans="1:39" s="16" customFormat="1" ht="15" x14ac:dyDescent="0.3">
      <c r="A19" s="544"/>
      <c r="B19" s="1055"/>
      <c r="C19" s="1055"/>
      <c r="D19" s="545"/>
      <c r="E19" s="98"/>
      <c r="F19" s="1240"/>
      <c r="G19" s="1241">
        <v>4</v>
      </c>
      <c r="H19" s="2415"/>
      <c r="I19" s="1405">
        <f t="shared" si="2"/>
        <v>201.946</v>
      </c>
      <c r="J19" s="1405">
        <f t="shared" si="3"/>
        <v>196.60599999999999</v>
      </c>
      <c r="K19" s="1405">
        <f>SUMIF(G30:G995,4,K30:K995)</f>
        <v>1.536</v>
      </c>
      <c r="L19" s="1405">
        <f>SUMIF(G30:G995,4,L30:L995)</f>
        <v>3.8040000000000007</v>
      </c>
      <c r="M19" s="1406">
        <f>SUMIF(G30:G995,4,M30:M995)</f>
        <v>51.247</v>
      </c>
      <c r="N19" s="1405">
        <f>SUMIF(G30:G995,4,N30:N995)</f>
        <v>108.39700000000001</v>
      </c>
      <c r="O19" s="1407">
        <f>SUMIF(G30:G995,4,O30:O995)</f>
        <v>0</v>
      </c>
      <c r="P19" s="1408">
        <f>SUMIF(G30:G995,4,P30:P995)</f>
        <v>0</v>
      </c>
      <c r="Q19" s="1409">
        <f>SUMIF(G30:G995,4,Q30:Q995)</f>
        <v>33.113999999999997</v>
      </c>
      <c r="R19" s="1410">
        <f>SUMIF(G30:G995,4,R30:R995)</f>
        <v>3.847999999999999</v>
      </c>
      <c r="S19" s="1765"/>
      <c r="T19" s="1767"/>
      <c r="U19" s="1765"/>
      <c r="V19" s="1765"/>
      <c r="W19" s="2646"/>
      <c r="X19" s="2647"/>
      <c r="Y19" s="2646"/>
      <c r="Z19" s="2649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s="16" customFormat="1" x14ac:dyDescent="0.35">
      <c r="A20" s="547"/>
      <c r="B20" s="1056"/>
      <c r="C20" s="1056"/>
      <c r="D20" s="548"/>
      <c r="E20" s="319"/>
      <c r="F20" s="1258"/>
      <c r="G20" s="1259">
        <v>5</v>
      </c>
      <c r="H20" s="2416"/>
      <c r="I20" s="1405">
        <f t="shared" si="2"/>
        <v>688.07100000000003</v>
      </c>
      <c r="J20" s="1405">
        <f t="shared" si="3"/>
        <v>683.73500000000001</v>
      </c>
      <c r="K20" s="1411">
        <f>SUMIF(G30:G995,5,K30:K995)</f>
        <v>5.1999999999999998E-2</v>
      </c>
      <c r="L20" s="1411">
        <f>SUMIF(G30:G995,5,L30:L995)</f>
        <v>4.2839999999999998</v>
      </c>
      <c r="M20" s="1412">
        <f>SUMIF(G30:G995,5,M30:M995)</f>
        <v>15.574</v>
      </c>
      <c r="N20" s="1411">
        <f>SUMIF(G30:G995,5,N30:N995)</f>
        <v>147.67299999999994</v>
      </c>
      <c r="O20" s="1413">
        <f>SUMIF(G30:G995,5,O30:O995)</f>
        <v>3</v>
      </c>
      <c r="P20" s="1414">
        <f>SUMIF(G30:G995,5,P30:P995)</f>
        <v>0.9</v>
      </c>
      <c r="Q20" s="1415">
        <f>SUMIF(G30:G995,5,Q30:Q995)</f>
        <v>219.79200000000006</v>
      </c>
      <c r="R20" s="1416">
        <f>SUMIF(G30:G995,5,R30:R995)</f>
        <v>296.79600000000005</v>
      </c>
      <c r="S20" s="1768"/>
      <c r="T20" s="2650"/>
      <c r="U20" s="1768"/>
      <c r="V20" s="1768"/>
      <c r="W20" s="2651"/>
      <c r="X20" s="2652"/>
      <c r="Y20" s="2651"/>
      <c r="Z20" s="2653"/>
      <c r="AK20" s="2815" t="s">
        <v>11230</v>
      </c>
      <c r="AL20" s="2579">
        <f>SUMIFS(M30:M959,F30:F959,5,G30:G959,3)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49"/>
      <c r="T21" s="249"/>
      <c r="U21" s="249"/>
      <c r="V21" s="249"/>
      <c r="W21" s="249"/>
      <c r="X21" s="249"/>
      <c r="Y21" s="249"/>
      <c r="Z21" s="2623"/>
      <c r="AA21" s="3"/>
      <c r="AB21" s="3"/>
      <c r="AK21" s="2815" t="s">
        <v>11231</v>
      </c>
      <c r="AL21" s="2579">
        <f>SUMIFS(N30:N959,F30:F959,5,G30:G959,3)</f>
        <v>0</v>
      </c>
      <c r="AM21" s="2817"/>
    </row>
    <row r="22" spans="1:39" customFormat="1" x14ac:dyDescent="0.35">
      <c r="A22" s="285"/>
      <c r="B22" s="993"/>
      <c r="C22" s="993"/>
      <c r="D22" s="538">
        <f>SUMIF(C30:C945,"=сад",AB30:AB945)</f>
        <v>69</v>
      </c>
      <c r="E22" s="2241" t="s">
        <v>2763</v>
      </c>
      <c r="F22" s="98"/>
      <c r="G22" s="226"/>
      <c r="H22" s="226"/>
      <c r="I22" s="2247">
        <f>J22+K22+L22</f>
        <v>57.08700000000001</v>
      </c>
      <c r="J22" s="2247">
        <f>R22+Q22+P22+O22+N22+M22</f>
        <v>55.821000000000012</v>
      </c>
      <c r="K22" s="2247">
        <f>SUMIF(C30:C945,"=сад",K30:K945)</f>
        <v>0</v>
      </c>
      <c r="L22" s="2247">
        <f>SUMIF(C30:C945,"=сад",L30:L945)</f>
        <v>1.266</v>
      </c>
      <c r="M22" s="2247">
        <f>SUMIF(C30:C945,"=сад",M30:M945)</f>
        <v>0</v>
      </c>
      <c r="N22" s="2247">
        <f>SUMIF(C30:C945,"=сад",N30:N945)</f>
        <v>0.26500000000000001</v>
      </c>
      <c r="O22" s="2248">
        <f>SUMIF(C30:C945,"=сад",O30:O945)</f>
        <v>0</v>
      </c>
      <c r="P22" s="2247">
        <f>SUMIF(C30:C945,"=сад",P30:P945)</f>
        <v>0</v>
      </c>
      <c r="Q22" s="2249">
        <f>SUMIF(C30:C945,"=сад",Q30:Q945)</f>
        <v>1.6759999999999999</v>
      </c>
      <c r="R22" s="2250">
        <f>SUMIF(C30:C945,"=сад",R30:R945)</f>
        <v>53.88000000000001</v>
      </c>
      <c r="S22" s="249"/>
      <c r="T22" s="249"/>
      <c r="U22" s="249"/>
      <c r="V22" s="249"/>
      <c r="W22" s="249"/>
      <c r="X22" s="249"/>
      <c r="Y22" s="249"/>
      <c r="Z22" s="2623"/>
      <c r="AA22" s="3"/>
      <c r="AB22" s="3"/>
      <c r="AK22" s="2815" t="s">
        <v>11232</v>
      </c>
      <c r="AL22" s="2579">
        <f>SUMIFS(O30:O959,F30:F959,5,G30:G959,3)</f>
        <v>0</v>
      </c>
      <c r="AM22" s="2817"/>
    </row>
    <row r="23" spans="1:39" customFormat="1" x14ac:dyDescent="0.35">
      <c r="A23" s="285"/>
      <c r="B23" s="993"/>
      <c r="C23" s="993"/>
      <c r="D23" s="538">
        <f>SUMIF(C30:C946,"=индив",AB30:AB946)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SUMIF(C30:C946,"=индив",K30:K946)</f>
        <v>0</v>
      </c>
      <c r="L23" s="2247">
        <f>SUMIF(C30:C946,"=индив",L30:L946)</f>
        <v>0</v>
      </c>
      <c r="M23" s="2247">
        <f>SUMIF(C30:C946,"=индив",M30:M946)</f>
        <v>0</v>
      </c>
      <c r="N23" s="2247">
        <f>SUMIF(C30:C946,"=индив",N30:N946)</f>
        <v>0</v>
      </c>
      <c r="O23" s="2248">
        <f>SUMIF(C30:C946,"=индив",O30:O946)</f>
        <v>0</v>
      </c>
      <c r="P23" s="2247">
        <f>SUMIF(C30:C946,"=индив",P30:P946)</f>
        <v>0</v>
      </c>
      <c r="Q23" s="2249">
        <f>SUMIF(C30:C946,"=индив",Q30:Q946)</f>
        <v>0</v>
      </c>
      <c r="R23" s="2250">
        <f>SUMIF(C30:C946,"=индив",R30:R946)</f>
        <v>0</v>
      </c>
      <c r="S23" s="249"/>
      <c r="T23" s="249"/>
      <c r="U23" s="249"/>
      <c r="V23" s="249"/>
      <c r="W23" s="249"/>
      <c r="X23" s="249"/>
      <c r="Y23" s="249"/>
      <c r="Z23" s="2623"/>
      <c r="AA23" s="3"/>
      <c r="AB23" s="3"/>
      <c r="AK23" s="2815" t="s">
        <v>11233</v>
      </c>
      <c r="AL23" s="2579">
        <f>SUMIFS(P30:P959,F30:F959,5,G30:G959,3)+SUMIFS(Q30:Q959,F30:F959,5,G30:G959,3)</f>
        <v>0</v>
      </c>
      <c r="AM23" s="2817"/>
    </row>
    <row r="24" spans="1:39" customFormat="1" x14ac:dyDescent="0.35">
      <c r="A24" s="285"/>
      <c r="B24" s="993"/>
      <c r="C24" s="993"/>
      <c r="D24" s="538">
        <f>SUMIF(C30:C947,"=кладб",AB30:AB947)</f>
        <v>118</v>
      </c>
      <c r="E24" s="2241" t="s">
        <v>2761</v>
      </c>
      <c r="F24" s="98"/>
      <c r="G24" s="226"/>
      <c r="H24" s="226"/>
      <c r="I24" s="2247">
        <f>J24+K24+L24</f>
        <v>77.698000000000008</v>
      </c>
      <c r="J24" s="2247">
        <f>R24+Q24+P24+O24+N24+M24</f>
        <v>76.373000000000005</v>
      </c>
      <c r="K24" s="2247">
        <f>SUMIF(C30:C947,"=кладб",K30:K947)</f>
        <v>0</v>
      </c>
      <c r="L24" s="2247">
        <f>SUMIF(C30:C947,"=кладб",L30:L947)</f>
        <v>1.3250000000000002</v>
      </c>
      <c r="M24" s="2247">
        <f>SUMIF(C30:C947,"=кладб",M30:M947)</f>
        <v>0</v>
      </c>
      <c r="N24" s="2247">
        <f>SUMIF(C30:C947,"=кладб",N30:N947)</f>
        <v>3.448</v>
      </c>
      <c r="O24" s="2248">
        <f>SUMIF(C30:C947,"=кладб",O30:O947)</f>
        <v>0</v>
      </c>
      <c r="P24" s="2247">
        <f>SUMIF(C30:C947,"=кладб",P30:P947)</f>
        <v>0</v>
      </c>
      <c r="Q24" s="2249">
        <f>SUMIF(C30:C947,"=кладб",Q30:Q947)</f>
        <v>2.2000000000000002</v>
      </c>
      <c r="R24" s="2250">
        <f>SUMIF(C30:C947,"=кладб",R30:R947)</f>
        <v>70.725000000000009</v>
      </c>
      <c r="S24" s="249"/>
      <c r="T24" s="249"/>
      <c r="U24" s="249"/>
      <c r="V24" s="249"/>
      <c r="W24" s="249"/>
      <c r="X24" s="249"/>
      <c r="Y24" s="249"/>
      <c r="Z24" s="2623"/>
      <c r="AA24" s="3"/>
      <c r="AB24" s="3"/>
      <c r="AK24" s="2815" t="s">
        <v>910</v>
      </c>
      <c r="AL24" s="2579">
        <f>SUMIFS(R30:R959,F30:F959,5,G30:G959,3)</f>
        <v>0</v>
      </c>
      <c r="AM24" s="2817"/>
    </row>
    <row r="25" spans="1:39" customFormat="1" x14ac:dyDescent="0.35">
      <c r="A25" s="387"/>
      <c r="B25" s="994"/>
      <c r="C25" s="994"/>
      <c r="D25" s="538">
        <f>SUMIF(C30:C948,"=прир",AB30:AB948)</f>
        <v>1</v>
      </c>
      <c r="E25" s="2241" t="s">
        <v>2760</v>
      </c>
      <c r="F25" s="319"/>
      <c r="G25" s="2258"/>
      <c r="H25" s="2258"/>
      <c r="I25" s="2259">
        <f>J25+K25+L25</f>
        <v>0.96699999999999997</v>
      </c>
      <c r="J25" s="2259">
        <f>R25+Q25+P25+O25+N25+M25</f>
        <v>0.96699999999999997</v>
      </c>
      <c r="K25" s="2259">
        <f>SUMIF(C30:C948,"=прир",K30:K948)</f>
        <v>0</v>
      </c>
      <c r="L25" s="2259">
        <f>SUMIF(C30:C948,"=прир",L30:L948)</f>
        <v>0</v>
      </c>
      <c r="M25" s="2259">
        <f>SUMIF(C30:C948,"=прир",M30:M948)</f>
        <v>0</v>
      </c>
      <c r="N25" s="2259">
        <f>SUMIF(C30:C948,"=прир",N30:N948)</f>
        <v>0.96699999999999997</v>
      </c>
      <c r="O25" s="2260">
        <f>SUMIF(C30:C948,"=прир",O30:O948)</f>
        <v>0</v>
      </c>
      <c r="P25" s="2259">
        <f>SUMIF(C30:C948,"=прир",P30:P948)</f>
        <v>0</v>
      </c>
      <c r="Q25" s="2261">
        <f>SUMIF(C30:C948,"=прир",Q30:Q948)</f>
        <v>0</v>
      </c>
      <c r="R25" s="2262">
        <f>SUMIF(C30:C948,"=прир",R30:R948)</f>
        <v>0</v>
      </c>
      <c r="S25" s="2624"/>
      <c r="T25" s="2624"/>
      <c r="U25" s="2624"/>
      <c r="V25" s="2624"/>
      <c r="W25" s="2624"/>
      <c r="X25" s="2624"/>
      <c r="Y25" s="2624"/>
      <c r="Z25" s="2625"/>
      <c r="AA25" s="3"/>
      <c r="AB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SUMIF(C30:C949,"=ист",AB30:AB949)</f>
        <v>3</v>
      </c>
      <c r="E26" s="2241" t="s">
        <v>1628</v>
      </c>
      <c r="F26" s="319"/>
      <c r="G26" s="2258"/>
      <c r="H26" s="2258"/>
      <c r="I26" s="2259">
        <f>J26+K26+L26</f>
        <v>1.76</v>
      </c>
      <c r="J26" s="2259">
        <f>R26+Q26+P26+O26+N26+M26</f>
        <v>1.76</v>
      </c>
      <c r="K26" s="2259">
        <f>SUMIF(C30:C949,"=ист",K30:K949)</f>
        <v>0</v>
      </c>
      <c r="L26" s="2259">
        <f>SUMIF(C30:C949,"=ист",L30:L949)</f>
        <v>0</v>
      </c>
      <c r="M26" s="2259">
        <f>SUMIF(C30:C949,"=ист",M30:M949)</f>
        <v>0</v>
      </c>
      <c r="N26" s="2259">
        <f>SUMIF(C30:C949,"=ист",N30:N949)</f>
        <v>1.76</v>
      </c>
      <c r="O26" s="2260">
        <f>SUMIF(C30:C949,"=ист",O30:O949)</f>
        <v>0</v>
      </c>
      <c r="P26" s="2259">
        <f>SUMIF(C30:C949,"=ист",P30:P949)</f>
        <v>0</v>
      </c>
      <c r="Q26" s="2261">
        <f>SUMIF(C30:C949,"=ист",Q30:Q949)</f>
        <v>0</v>
      </c>
      <c r="R26" s="2262">
        <f>SUMIF(C30:C949,"=ист",R30:R949)</f>
        <v>0</v>
      </c>
      <c r="S26" s="2624"/>
      <c r="T26" s="2624"/>
      <c r="U26" s="2624"/>
      <c r="V26" s="2624"/>
      <c r="W26" s="2624"/>
      <c r="X26" s="2624"/>
      <c r="Y26" s="2624"/>
      <c r="Z26" s="2625"/>
      <c r="AA26" s="3"/>
      <c r="AB26" s="3"/>
      <c r="AK26" s="2815" t="s">
        <v>11230</v>
      </c>
      <c r="AL26" s="2579">
        <f>SUMIFS(M30:M959,F30:F959,"6а",G30:G959,3)+SUMIFS(M30:M959,F30:F959,"6б",G30:G959,3)+SUMIFS(M30:M959,F30:F959,"б/к",G30:G959,3)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626"/>
      <c r="T27" s="2626"/>
      <c r="U27" s="2626"/>
      <c r="V27" s="2626"/>
      <c r="W27" s="2626"/>
      <c r="X27" s="2626"/>
      <c r="Y27" s="2626"/>
      <c r="Z27" s="2627"/>
      <c r="AA27" s="3"/>
      <c r="AB27" s="3"/>
      <c r="AK27" s="2815" t="s">
        <v>11231</v>
      </c>
      <c r="AL27" s="2579">
        <f>SUMIFS(N30:N959,F30:F959,"6а",G30:G959,3)+SUMIFS(N30:N959,F30:F959,"6б",G30:G959,3)+SUMIFS(N30:N959,F30:F959,"б/к",G30:G959,3)</f>
        <v>0</v>
      </c>
      <c r="AM27" s="2817"/>
    </row>
    <row r="28" spans="1:39" s="16" customFormat="1" ht="16" thickBot="1" x14ac:dyDescent="0.4">
      <c r="A28" s="542"/>
      <c r="B28" s="1054"/>
      <c r="C28" s="1054"/>
      <c r="D28" s="543"/>
      <c r="E28" s="543"/>
      <c r="F28" s="451"/>
      <c r="G28" s="451"/>
      <c r="H28" s="451"/>
      <c r="I28" s="2326">
        <f>SUBTOTAL(9,I30:I967)</f>
        <v>928.69700000000091</v>
      </c>
      <c r="J28" s="2326">
        <f t="shared" ref="J28:R28" si="5">SUBTOTAL(9,J30:J967)</f>
        <v>918.57200000000103</v>
      </c>
      <c r="K28" s="2326">
        <f t="shared" si="5"/>
        <v>4.073999999999999</v>
      </c>
      <c r="L28" s="2326">
        <f t="shared" si="5"/>
        <v>16.176000000000002</v>
      </c>
      <c r="M28" s="2326">
        <f t="shared" si="5"/>
        <v>158.04</v>
      </c>
      <c r="N28" s="2326">
        <f t="shared" si="5"/>
        <v>509.26000000000033</v>
      </c>
      <c r="O28" s="2326">
        <f t="shared" si="5"/>
        <v>6</v>
      </c>
      <c r="P28" s="2326">
        <f t="shared" si="5"/>
        <v>1.8</v>
      </c>
      <c r="Q28" s="2326">
        <f t="shared" si="5"/>
        <v>473.00699999999989</v>
      </c>
      <c r="R28" s="2326">
        <f t="shared" si="5"/>
        <v>409.48999999999978</v>
      </c>
      <c r="S28" s="1268"/>
      <c r="T28" s="1208"/>
      <c r="U28" s="1268"/>
      <c r="V28" s="1268"/>
      <c r="W28" s="1608"/>
      <c r="X28" s="1460"/>
      <c r="Y28" s="1608"/>
      <c r="Z28" s="1609"/>
      <c r="AB28" s="2335">
        <f>SUBTOTAL(9,AB30:AB967)</f>
        <v>429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SUMIFS(O30:O959,F30:F959,"6а",G30:G959,3)+SUMIFS(O30:O959,F30:F959,"6б",G30:G959,3)+SUMIFS(O30:O959,F30:F959,"б/к",G30:G959,3)</f>
        <v>0</v>
      </c>
      <c r="AM28" s="2817"/>
    </row>
    <row r="29" spans="1:39" s="16" customFormat="1" x14ac:dyDescent="0.35">
      <c r="A29" s="549"/>
      <c r="B29" s="1057"/>
      <c r="C29" s="1057"/>
      <c r="D29" s="545"/>
      <c r="E29" s="1348" t="s">
        <v>2871</v>
      </c>
      <c r="F29" s="22"/>
      <c r="G29" s="22"/>
      <c r="H29" s="22"/>
      <c r="I29" s="449"/>
      <c r="J29" s="257"/>
      <c r="K29" s="257"/>
      <c r="L29" s="257"/>
      <c r="M29" s="1383"/>
      <c r="N29" s="257"/>
      <c r="O29" s="1375"/>
      <c r="P29" s="1368"/>
      <c r="Q29" s="1360"/>
      <c r="R29" s="1350"/>
      <c r="S29" s="1020"/>
      <c r="T29" s="1769"/>
      <c r="U29" s="339"/>
      <c r="V29" s="339"/>
      <c r="W29" s="2222"/>
      <c r="X29" s="2654"/>
      <c r="Y29" s="2222"/>
      <c r="Z29" s="2655"/>
      <c r="AD29" s="2578" t="s">
        <v>7180</v>
      </c>
      <c r="AE29" s="2579">
        <f>SUMIFS(M30:M929,F30:F929,3,G30:G929,3)+SUMIFS(N30:N929,F30:F929,3,G30:G929,3)+SUMIFS(O30:O929,F30:F929,3,G30:G929,3)+SUMIFS(P30:P929,F30:F929,3,G30:G929,3)+SUMIFS(Q30:Q929,F30:F929,3,G30:G929,3)+SUMIFS(R30:R929,F30:F929,3,G30:G929,3)</f>
        <v>0</v>
      </c>
      <c r="AF29" s="2579">
        <f>SUMIFS(M30:M929,F30:F929,4,G30:G929,3)+SUMIFS(N30:N929,F30:F929,4,G30:G929,3)+SUMIFS(O30:O929,F30:F929,4,G30:G929,3)+SUMIFS(P30:P929,F30:F929,4,G30:G929,3)+SUMIFS(Q30:Q929,F30:F929,4,G30:G929,3)+SUMIFS(R30:R929,F30:F929,4,G30:G929,3)</f>
        <v>38.230999999999995</v>
      </c>
      <c r="AG29" s="2579">
        <f>SUMIFS(M30:M929,F30:F929,5,G30:G929,3)+SUMIFS(N30:N929,F30:F929,5,G30:G929,3)+SUMIFS(O30:O929,F30:F929,5,G30:G929,3)+SUMIFS(P30:P929,F30:F929,5,G30:G929,3)+SUMIFS(Q30:Q929,F30:F929,5,G30:G929,3)+SUMIFS(R30:R929,F30:F929,5,G30:G929,3)</f>
        <v>0</v>
      </c>
      <c r="AH29" s="2579">
        <f>SUMIFS(M30:M929,F30:F929,"6а",G30:G929,3)+SUMIFS(N30:N929,F30:F929,"6а",G30:G929,3)+SUMIFS(O30:O929,F30:F929,"6а",G30:G929,3)+SUMIFS(P30:P929,F30:F929,"6а",G30:G929,3)+SUMIFS(Q30:Q929,F30:F929,"6а",G30:G929,3)+SUMIFS(R30:R929,F30:F929,"6а",G30:G929,3)</f>
        <v>0</v>
      </c>
      <c r="AI29" s="2579">
        <f>SUMIFS(M30:M929,F30:F929,"6б",G30:G929,3)+SUMIFS(N30:N929,F30:F929,"6б",G30:G929,3)+SUMIFS(O30:O929,F30:F929,"6б",G30:G929,3)+SUMIFS(P30:P929,F30:F929,"6б",G30:G929,3)+SUMIFS(Q30:Q929,F30:F929,"6б",G30:G929,3)+SUMIFS(R30:R929,F30:F929,"6б",G30:G929,3)</f>
        <v>0</v>
      </c>
      <c r="AJ29" s="2580">
        <f>SUMIFS(M30:M929,F30:F929,"б/к",G30:G929,3)+SUMIFS(N30:N929,F30:F929,"б/к",G30:G929,3)+SUMIFS(O30:O929,F30:F929,"б/к",G30:G929,3)+SUMIFS(P30:P929,F30:F929,"б/к",G30:G929,3)+SUMIFS(Q30:Q929,F30:F929,"б/к",G30:G929,3)+SUMIFS(R30:R929,F30:F929,"б/к",G30:G929,3)</f>
        <v>0</v>
      </c>
      <c r="AK29" s="2815" t="s">
        <v>11233</v>
      </c>
      <c r="AL29" s="2579">
        <f>SUMIFS(P30:P959,F30:F959,"6а",G30:G959,3)+SUMIFS(Q30:Q959,F30:F959,"6а",G30:G959,3)+SUMIFS(P30:P959,F30:F959,"6б",G30:G959,3)+SUMIFS(Q30:Q959,F30:F959,"6б",G30:G959,3)+SUMIFS(P30:P959,F30:F959,"б/к",G30:G959,3)+SUMIFS(Q30:Q959,F30:F959,"б/к",G30:G959,3)</f>
        <v>0</v>
      </c>
      <c r="AM29" s="2817"/>
    </row>
    <row r="30" spans="1:39" ht="30" x14ac:dyDescent="0.35">
      <c r="A30" s="1872">
        <v>1</v>
      </c>
      <c r="B30" s="1921">
        <v>10976</v>
      </c>
      <c r="C30" s="1921"/>
      <c r="D30" s="1922" t="s">
        <v>896</v>
      </c>
      <c r="E30" s="1905" t="s">
        <v>1857</v>
      </c>
      <c r="F30" s="1943"/>
      <c r="G30" s="1943" t="s">
        <v>191</v>
      </c>
      <c r="H30" s="1943" t="s">
        <v>191</v>
      </c>
      <c r="I30" s="1924">
        <f>J30+K30+L30</f>
        <v>25.817</v>
      </c>
      <c r="J30" s="1924">
        <f>SUM(M30:R30)</f>
        <v>25.817</v>
      </c>
      <c r="K30" s="1924"/>
      <c r="L30" s="1924"/>
      <c r="M30" s="1926">
        <f>SUM(M31:M34)</f>
        <v>9.6720000000000006</v>
      </c>
      <c r="N30" s="1924">
        <f>SUM(N31:N34)</f>
        <v>16.145</v>
      </c>
      <c r="O30" s="1927"/>
      <c r="P30" s="1928"/>
      <c r="Q30" s="1929"/>
      <c r="R30" s="1930"/>
      <c r="S30" s="1923">
        <v>1</v>
      </c>
      <c r="T30" s="1931">
        <v>18.78</v>
      </c>
      <c r="U30" s="1815"/>
      <c r="V30" s="1815"/>
      <c r="W30" s="1923">
        <v>60</v>
      </c>
      <c r="X30" s="1931">
        <v>784.77</v>
      </c>
      <c r="Y30" s="1923">
        <v>24</v>
      </c>
      <c r="Z30" s="1932">
        <v>254</v>
      </c>
      <c r="AB30" s="3">
        <v>1</v>
      </c>
      <c r="AD30" s="2578" t="s">
        <v>7181</v>
      </c>
      <c r="AE30" s="2579">
        <f>SUMIFS(M30:M929,F30:F929,3,G30:G929,4)+SUMIFS(N30:N929,F30:F929,3,G30:G929,4)+SUMIFS(O30:O929,F30:F929,3,G30:G929,4)+SUMIFS(P30:P929,F30:F929,3,G30:G929,4)+SUMIFS(Q30:Q929,F30:F929,3,G30:G929,4)+SUMIFS(R30:R929,F30:F929,3,G30:G929,4)</f>
        <v>0</v>
      </c>
      <c r="AF30" s="2579">
        <f>SUMIFS(M30:M929,F30:F929,4,G30:G929,4)+SUMIFS(N30:N929,F30:F929,4,G30:G929,4)+SUMIFS(O30:O929,F30:F929,4,G30:G929,4)+SUMIFS(P30:P929,F30:F929,4,G30:G929,4)+SUMIFS(Q30:Q929,F30:F929,4,G30:G929,4)+SUMIFS(R30:R929,F30:F929,4,G30:G929,4)</f>
        <v>174.05700000000002</v>
      </c>
      <c r="AG30" s="2579">
        <f>SUMIFS(M30:M929,F30:F929,5,G30:G929,4)+SUMIFS(N30:N929,F30:F929,5,G30:G929,4)+SUMIFS(O30:O929,F30:F929,5,G30:G929,4)+SUMIFS(P30:P929,F30:F929,5,G30:G929,4)+SUMIFS(Q30:Q929,F30:F929,5,G30:G929,4)+SUMIFS(R30:R929,F30:F929,5,G30:G929,4)</f>
        <v>21.332000000000001</v>
      </c>
      <c r="AH30" s="2579">
        <f>SUMIFS(M30:M929,F30:F929,"6а",G30:G929,4)+SUMIFS(N30:N929,F30:F929,"6а",G30:G929,4)+SUMIFS(O30:O929,F30:F929,"6а",G30:G929,4)+SUMIFS(P30:P929,F30:F929,"6а",G30:G929,4)+SUMIFS(Q30:Q929,F30:F929,"6а",G30:G929,4)+SUMIFS(R30:R929,F30:F929,"6а",G30:G929,4)</f>
        <v>0</v>
      </c>
      <c r="AI30" s="2579">
        <f>SUMIFS(M30:M929,F30:F929,"6б",G30:G929,4)+SUMIFS(N30:N929,F30:F929,"6б",G30:G929,4)+SUMIFS(O30:O929,F30:F929,"6б",G30:G929,4)+SUMIFS(P30:P929,F30:F929,"6б",G30:G929,4)+SUMIFS(Q30:Q929,F30:F929,"6б",G30:G929,4)+SUMIFS(R30:R929,F30:F929,"6б",G30:G929,4)</f>
        <v>0.11899999999999977</v>
      </c>
      <c r="AJ30" s="2580">
        <f>SUMIFS(M30:M929,F30:F929,"б/к",G30:G929,4)+SUMIFS(N30:N929,F30:F929,"б/к",G30:G929,4)+SUMIFS(O30:O929,F30:F929,"б/к",G30:G929,4)+SUMIFS(P30:P929,F30:F929,"б/к",G30:G929,4)+SUMIFS(Q30:Q929,F30:F929,"б/к",G30:G929,4)+SUMIFS(R30:R929,F30:F929,"б/к",G30:G929,4)</f>
        <v>1.0979999999999999</v>
      </c>
      <c r="AK30" s="2815" t="s">
        <v>910</v>
      </c>
      <c r="AL30" s="2579">
        <f>SUMIFS(R30:R959,F30:F959,"6а",G30:G959,3)+SUMIFS(R30:R959,F30:F959,"6б",G30:G959,3)+SUMIFS(R30:R959,F30:F959,"б/к",G30:G959,3)</f>
        <v>0</v>
      </c>
      <c r="AM30" s="2817"/>
    </row>
    <row r="31" spans="1:39" x14ac:dyDescent="0.35">
      <c r="A31" s="1875"/>
      <c r="B31" s="1921">
        <v>10976</v>
      </c>
      <c r="C31" s="1921"/>
      <c r="D31" s="1934"/>
      <c r="E31" s="1935" t="s">
        <v>6850</v>
      </c>
      <c r="F31" s="1943">
        <v>4</v>
      </c>
      <c r="G31" s="179">
        <v>3</v>
      </c>
      <c r="H31" s="179">
        <v>6</v>
      </c>
      <c r="I31" s="1936"/>
      <c r="J31" s="1936"/>
      <c r="K31" s="1937"/>
      <c r="L31" s="1937"/>
      <c r="M31" s="1938"/>
      <c r="N31" s="1936">
        <v>3.2839999999999998</v>
      </c>
      <c r="O31" s="1939"/>
      <c r="P31" s="1940"/>
      <c r="Q31" s="1941"/>
      <c r="R31" s="1942"/>
      <c r="S31" s="1943"/>
      <c r="T31" s="1931"/>
      <c r="U31" s="1944"/>
      <c r="V31" s="1944"/>
      <c r="W31" s="1943"/>
      <c r="X31" s="2454"/>
      <c r="Y31" s="1943"/>
      <c r="Z31" s="2455"/>
      <c r="AD31" s="2581" t="s">
        <v>7182</v>
      </c>
      <c r="AE31" s="2582">
        <f>SUMIFS(M30:M929,F30:F929,3,G30:G929,5)+SUMIFS(N30:N929,F30:F929,3,G30:G929,5)+SUMIFS(O30:O929,F30:F929,3,G30:G929,5)+SUMIFS(P30:P929,F30:F929,3,G30:G929,5)+SUMIFS(Q30:Q929,F30:F929,3,G30:G929,5)+SUMIFS(R30:R929,F30:F929,3,G30:G929,5)</f>
        <v>0</v>
      </c>
      <c r="AF31" s="2582">
        <f>SUMIFS(M30:M929,F30:F929,4,G30:G929,5)+SUMIFS(N30:N929,F30:F929,4,G30:G929,5)+SUMIFS(O30:O929,F30:F929,4,G30:G929,5)+SUMIFS(P30:P929,F30:F929,4,G30:G929,5)+SUMIFS(Q30:Q929,F30:F929,4,G30:G929,5)+SUMIFS(R30:R929,F30:F929,4,G30:G929,5)</f>
        <v>177.39299999999997</v>
      </c>
      <c r="AG31" s="2582">
        <f>SUMIFS(M30:M929,F30:F929,5,G30:G929,5)+SUMIFS(N30:N929,F30:F929,5,G30:G929,5)+SUMIFS(O30:O929,F30:F929,5,G30:G929,5)+SUMIFS(P30:P929,F30:F929,5,G30:G929,5)+SUMIFS(Q30:Q929,F30:F929,5,G30:G929,5)+SUMIFS(R30:R929,F30:F929,5,G30:G929,5)</f>
        <v>149.91800000000001</v>
      </c>
      <c r="AH31" s="2582">
        <f>SUMIFS(M30:M929,F30:F929,"6а",G30:G929,5)+SUMIFS(N30:N929,F30:F929,"6а",G30:G929,5)+SUMIFS(O30:O929,F30:F929,"6а",G30:G929,5)+SUMIFS(P30:P929,F30:F929,"6а",G30:G929,5)+SUMIFS(Q30:Q929,F30:F929,"6а",G30:G929,5)+SUMIFS(R30:R929,F30:F929,"6а",G30:G929,5)</f>
        <v>91.954000000000022</v>
      </c>
      <c r="AI31" s="2582">
        <f>SUMIFS(M30:M929,F30:F929,"6б",G30:G929,5)+SUMIFS(N30:N929,F30:F929,"6б",G30:G929,5)+SUMIFS(O30:O929,F30:F929,"6б",G30:G929,5)+SUMIFS(P30:P929,F30:F929,"6б",G30:G929,5)+SUMIFS(Q30:Q929,F30:F929,"6б",G30:G929,5)+SUMIFS(R30:R929,F30:F929,"6б",G30:G929,5)</f>
        <v>46.745999999999988</v>
      </c>
      <c r="AJ31" s="2583">
        <f>SUMIFS(M30:M929,F30:F929,"б/к",G30:G929,5)+SUMIFS(N30:N929,F30:F929,"б/к",G30:G929,5)+SUMIFS(O30:O929,F30:F929,"б/к",G30:G929,5)+SUMIFS(P30:P929,F30:F929,"б/к",G30:G929,5)+SUMIFS(Q30:Q929,F30:F929,"б/к",G30:G929,5)+SUMIFS(R30:R929,F30:F929,"б/к",G30:G929,5)</f>
        <v>217.72399999999996</v>
      </c>
      <c r="AK31" s="2815"/>
      <c r="AL31" s="2579"/>
      <c r="AM31" s="2817"/>
    </row>
    <row r="32" spans="1:39" x14ac:dyDescent="0.35">
      <c r="A32" s="1875"/>
      <c r="B32" s="1921">
        <v>10976</v>
      </c>
      <c r="C32" s="1921"/>
      <c r="D32" s="1934"/>
      <c r="E32" s="1945" t="s">
        <v>6851</v>
      </c>
      <c r="F32" s="1943">
        <v>4</v>
      </c>
      <c r="G32" s="179">
        <v>3</v>
      </c>
      <c r="H32" s="1943">
        <v>10</v>
      </c>
      <c r="I32" s="1936"/>
      <c r="J32" s="1936"/>
      <c r="K32" s="1937"/>
      <c r="L32" s="1937"/>
      <c r="M32" s="1938">
        <f>6.753-3.284</f>
        <v>3.4690000000000003</v>
      </c>
      <c r="N32" s="1936"/>
      <c r="O32" s="1939"/>
      <c r="P32" s="1940"/>
      <c r="Q32" s="1941"/>
      <c r="R32" s="1942"/>
      <c r="S32" s="1943"/>
      <c r="T32" s="1931"/>
      <c r="U32" s="1944"/>
      <c r="V32" s="1944"/>
      <c r="W32" s="1943"/>
      <c r="X32" s="2454"/>
      <c r="Y32" s="1943"/>
      <c r="Z32" s="2455"/>
      <c r="AD32"/>
      <c r="AE32" s="1572"/>
      <c r="AF32"/>
      <c r="AG32"/>
      <c r="AH32"/>
      <c r="AI32" s="2584" t="s">
        <v>7183</v>
      </c>
      <c r="AJ32" s="2585">
        <f>SUMIF(AB30:AB929,"=1",J30:J929)</f>
        <v>918.57200000000103</v>
      </c>
      <c r="AK32" s="2818" t="s">
        <v>11235</v>
      </c>
      <c r="AL32" s="2821">
        <f>AL34+AL40+AL46</f>
        <v>196.60600000000002</v>
      </c>
      <c r="AM32" s="2820">
        <f>AL32-J19</f>
        <v>0</v>
      </c>
    </row>
    <row r="33" spans="1:39" x14ac:dyDescent="0.35">
      <c r="A33" s="1875"/>
      <c r="B33" s="1921">
        <v>10976</v>
      </c>
      <c r="C33" s="1921"/>
      <c r="D33" s="1934"/>
      <c r="E33" s="1935" t="s">
        <v>6852</v>
      </c>
      <c r="F33" s="1943">
        <v>4</v>
      </c>
      <c r="G33" s="179">
        <v>3</v>
      </c>
      <c r="H33" s="179">
        <v>6</v>
      </c>
      <c r="I33" s="1936"/>
      <c r="J33" s="1936"/>
      <c r="K33" s="1937"/>
      <c r="L33" s="1937"/>
      <c r="M33" s="1938"/>
      <c r="N33" s="1936">
        <f>19.614-6.753</f>
        <v>12.861000000000001</v>
      </c>
      <c r="O33" s="1939"/>
      <c r="P33" s="1940"/>
      <c r="Q33" s="1941"/>
      <c r="R33" s="1942"/>
      <c r="S33" s="1943"/>
      <c r="T33" s="1931"/>
      <c r="U33" s="1944"/>
      <c r="V33" s="1944"/>
      <c r="W33" s="1943"/>
      <c r="X33" s="2454"/>
      <c r="Y33" s="1943"/>
      <c r="Z33" s="2455"/>
      <c r="AD33"/>
      <c r="AE33" s="1572"/>
      <c r="AF33"/>
      <c r="AG33"/>
      <c r="AH33"/>
      <c r="AI33"/>
      <c r="AJ33" s="2585">
        <f>SUM(AE29:AJ31)-AJ32</f>
        <v>-1.0231815394945443E-12</v>
      </c>
      <c r="AK33" s="2815" t="s">
        <v>11229</v>
      </c>
      <c r="AL33" s="2579"/>
      <c r="AM33" s="2817"/>
    </row>
    <row r="34" spans="1:39" x14ac:dyDescent="0.35">
      <c r="A34" s="1878"/>
      <c r="B34" s="1921">
        <v>10976</v>
      </c>
      <c r="C34" s="1921"/>
      <c r="D34" s="1946"/>
      <c r="E34" s="1947" t="s">
        <v>6853</v>
      </c>
      <c r="F34" s="1953">
        <v>4</v>
      </c>
      <c r="G34" s="179">
        <v>3</v>
      </c>
      <c r="H34" s="1943">
        <v>10</v>
      </c>
      <c r="I34" s="1936"/>
      <c r="J34" s="1936"/>
      <c r="K34" s="1937"/>
      <c r="L34" s="1937"/>
      <c r="M34" s="1948">
        <f>25.817-19.614</f>
        <v>6.2029999999999994</v>
      </c>
      <c r="N34" s="1937"/>
      <c r="O34" s="1949"/>
      <c r="P34" s="1950"/>
      <c r="Q34" s="1951"/>
      <c r="R34" s="1952"/>
      <c r="S34" s="1953"/>
      <c r="T34" s="1931"/>
      <c r="U34" s="1944"/>
      <c r="V34" s="1944"/>
      <c r="W34" s="1953"/>
      <c r="X34" s="2497"/>
      <c r="Y34" s="1943"/>
      <c r="Z34" s="2455"/>
      <c r="AD34"/>
      <c r="AE34" s="1572"/>
      <c r="AF34"/>
      <c r="AG34"/>
      <c r="AH34"/>
      <c r="AI34"/>
      <c r="AJ34" s="2585"/>
      <c r="AK34" s="2818" t="s">
        <v>7184</v>
      </c>
      <c r="AL34" s="2821">
        <f>AL35+AL36+AL37+AL38+AL39</f>
        <v>174.05700000000002</v>
      </c>
      <c r="AM34" s="2820">
        <f>AL34-AF30</f>
        <v>0</v>
      </c>
    </row>
    <row r="35" spans="1:39" ht="45" x14ac:dyDescent="0.35">
      <c r="A35" s="1880">
        <v>2</v>
      </c>
      <c r="B35" s="1954">
        <v>10976</v>
      </c>
      <c r="C35" s="1954"/>
      <c r="D35" s="2470" t="s">
        <v>5377</v>
      </c>
      <c r="E35" s="1956" t="s">
        <v>10021</v>
      </c>
      <c r="F35" s="1834" t="s">
        <v>827</v>
      </c>
      <c r="G35" s="1834">
        <v>5</v>
      </c>
      <c r="H35" s="179">
        <v>6</v>
      </c>
      <c r="I35" s="1924">
        <f>J35+K35+L35</f>
        <v>0.60299999999999998</v>
      </c>
      <c r="J35" s="1924">
        <f>SUM(M35:R35)</f>
        <v>0.60299999999999998</v>
      </c>
      <c r="K35" s="1925"/>
      <c r="L35" s="1925"/>
      <c r="M35" s="1957"/>
      <c r="N35" s="1958">
        <v>0.60299999999999998</v>
      </c>
      <c r="O35" s="1959"/>
      <c r="P35" s="1960"/>
      <c r="Q35" s="1961"/>
      <c r="R35" s="1909"/>
      <c r="S35" s="164"/>
      <c r="T35" s="1931"/>
      <c r="U35" s="154"/>
      <c r="V35" s="154"/>
      <c r="W35" s="164">
        <v>1</v>
      </c>
      <c r="X35" s="1962">
        <v>10</v>
      </c>
      <c r="Y35" s="1881"/>
      <c r="Z35" s="1963"/>
      <c r="AB35" s="3">
        <v>1</v>
      </c>
      <c r="AE35" s="2461"/>
      <c r="AF35" s="2462"/>
      <c r="AK35" s="2815" t="s">
        <v>11230</v>
      </c>
      <c r="AL35" s="2579">
        <f>SUMIFS(M30:M959,F30:F959,4,G30:G959,4)</f>
        <v>51.247</v>
      </c>
      <c r="AM35" s="2817"/>
    </row>
    <row r="36" spans="1:39" ht="60" x14ac:dyDescent="0.35">
      <c r="A36" s="1880">
        <v>3</v>
      </c>
      <c r="B36" s="1954">
        <v>10976</v>
      </c>
      <c r="C36" s="1954"/>
      <c r="D36" s="2470" t="s">
        <v>5378</v>
      </c>
      <c r="E36" s="1956" t="s">
        <v>10022</v>
      </c>
      <c r="F36" s="1834" t="s">
        <v>827</v>
      </c>
      <c r="G36" s="1834">
        <v>5</v>
      </c>
      <c r="H36" s="1834">
        <v>6</v>
      </c>
      <c r="I36" s="1924">
        <f>J36+K36+L36</f>
        <v>0.36199999999999999</v>
      </c>
      <c r="J36" s="1924">
        <f>SUM(M36:R36)</f>
        <v>0.36199999999999999</v>
      </c>
      <c r="K36" s="1925"/>
      <c r="L36" s="1925"/>
      <c r="M36" s="1957"/>
      <c r="N36" s="1925"/>
      <c r="O36" s="1959"/>
      <c r="P36" s="1960"/>
      <c r="Q36" s="1964">
        <v>0.36199999999999999</v>
      </c>
      <c r="R36" s="1914"/>
      <c r="S36" s="164"/>
      <c r="T36" s="1931"/>
      <c r="U36" s="154"/>
      <c r="V36" s="154"/>
      <c r="W36" s="1881"/>
      <c r="X36" s="1962"/>
      <c r="Y36" s="1881"/>
      <c r="Z36" s="1963"/>
      <c r="AB36" s="3">
        <v>1</v>
      </c>
      <c r="AE36" s="2461"/>
      <c r="AF36" s="68"/>
      <c r="AK36" s="2815" t="s">
        <v>11231</v>
      </c>
      <c r="AL36" s="2579">
        <f>SUMIFS(N30:N959,F30:F959,4,G30:G959,4)</f>
        <v>101.194</v>
      </c>
      <c r="AM36" s="2817"/>
    </row>
    <row r="37" spans="1:39" ht="60" x14ac:dyDescent="0.35">
      <c r="A37" s="1878">
        <v>4</v>
      </c>
      <c r="B37" s="1954">
        <v>10976</v>
      </c>
      <c r="C37" s="1954"/>
      <c r="D37" s="2470" t="s">
        <v>5379</v>
      </c>
      <c r="E37" s="1956" t="s">
        <v>10023</v>
      </c>
      <c r="F37" s="1953"/>
      <c r="G37" s="1620" t="s">
        <v>191</v>
      </c>
      <c r="H37" s="1943" t="s">
        <v>191</v>
      </c>
      <c r="I37" s="1924">
        <f>J37+K37+L37</f>
        <v>1.6380000000000001</v>
      </c>
      <c r="J37" s="1924">
        <f>SUM(M37:R37)</f>
        <v>1.6380000000000001</v>
      </c>
      <c r="K37" s="1937"/>
      <c r="L37" s="1937"/>
      <c r="M37" s="1920"/>
      <c r="N37" s="1937"/>
      <c r="O37" s="1949"/>
      <c r="P37" s="1950"/>
      <c r="Q37" s="1961">
        <f>Q39</f>
        <v>0.52600000000000002</v>
      </c>
      <c r="R37" s="1914">
        <f>R38</f>
        <v>1.1120000000000001</v>
      </c>
      <c r="S37" s="1969"/>
      <c r="T37" s="1931"/>
      <c r="U37" s="101"/>
      <c r="V37" s="101"/>
      <c r="W37" s="1881">
        <v>4</v>
      </c>
      <c r="X37" s="1962">
        <v>42.65</v>
      </c>
      <c r="Y37" s="1969"/>
      <c r="Z37" s="2656"/>
      <c r="AB37" s="3">
        <v>1</v>
      </c>
      <c r="AE37" s="2461"/>
      <c r="AF37" s="68"/>
      <c r="AK37" s="2815" t="s">
        <v>11232</v>
      </c>
      <c r="AL37" s="2579">
        <f>SUMIFS(O30:O959,F30:F959,4,G30:G959,4)</f>
        <v>0</v>
      </c>
      <c r="AM37" s="2817"/>
    </row>
    <row r="38" spans="1:39" x14ac:dyDescent="0.35">
      <c r="A38" s="1878"/>
      <c r="B38" s="1954">
        <v>10976</v>
      </c>
      <c r="C38" s="1954"/>
      <c r="D38" s="1946"/>
      <c r="E38" s="1996" t="s">
        <v>688</v>
      </c>
      <c r="F38" s="1953" t="s">
        <v>664</v>
      </c>
      <c r="G38" s="1620">
        <v>5</v>
      </c>
      <c r="H38" s="1620">
        <v>6</v>
      </c>
      <c r="I38" s="1970"/>
      <c r="J38" s="1924"/>
      <c r="K38" s="1937"/>
      <c r="L38" s="1937"/>
      <c r="M38" s="1920"/>
      <c r="N38" s="1937"/>
      <c r="O38" s="1949"/>
      <c r="P38" s="1950"/>
      <c r="Q38" s="1951"/>
      <c r="R38" s="1968">
        <v>1.1120000000000001</v>
      </c>
      <c r="S38" s="1969"/>
      <c r="T38" s="1931"/>
      <c r="U38" s="101"/>
      <c r="V38" s="101"/>
      <c r="W38" s="1969"/>
      <c r="X38" s="2657"/>
      <c r="Y38" s="1969"/>
      <c r="Z38" s="2656"/>
      <c r="AE38" s="2461"/>
      <c r="AF38" s="68"/>
      <c r="AK38" s="2815" t="s">
        <v>11233</v>
      </c>
      <c r="AL38" s="2579">
        <f>SUMIFS(P30:P959,F30:F959,4,G30:G959,4)+SUMIFS(Q30:Q959,F30:F959,4,G30:G959,4)</f>
        <v>21.616000000000003</v>
      </c>
      <c r="AM38" s="2817"/>
    </row>
    <row r="39" spans="1:39" x14ac:dyDescent="0.35">
      <c r="A39" s="1878"/>
      <c r="B39" s="1954">
        <v>10976</v>
      </c>
      <c r="C39" s="1954"/>
      <c r="D39" s="1946"/>
      <c r="E39" s="1971" t="s">
        <v>689</v>
      </c>
      <c r="F39" s="1953" t="s">
        <v>827</v>
      </c>
      <c r="G39" s="1620">
        <v>5</v>
      </c>
      <c r="H39" s="1834">
        <v>6</v>
      </c>
      <c r="I39" s="1970"/>
      <c r="J39" s="1924"/>
      <c r="K39" s="1937"/>
      <c r="L39" s="1937"/>
      <c r="M39" s="1920"/>
      <c r="N39" s="1937"/>
      <c r="O39" s="1949"/>
      <c r="P39" s="1950"/>
      <c r="Q39" s="1967">
        <v>0.52600000000000002</v>
      </c>
      <c r="R39" s="1952"/>
      <c r="S39" s="1969"/>
      <c r="T39" s="1931"/>
      <c r="U39" s="101"/>
      <c r="V39" s="101"/>
      <c r="W39" s="1969"/>
      <c r="X39" s="2657"/>
      <c r="Y39" s="1969"/>
      <c r="Z39" s="2656"/>
      <c r="AE39" s="2461"/>
      <c r="AF39" s="68"/>
      <c r="AK39" s="2815" t="s">
        <v>910</v>
      </c>
      <c r="AL39" s="2579">
        <f>SUMIFS(R30:R959,F30:F959,4,G30:G959,4)</f>
        <v>0</v>
      </c>
      <c r="AM39" s="2817"/>
    </row>
    <row r="40" spans="1:39" ht="30" x14ac:dyDescent="0.35">
      <c r="A40" s="1880">
        <v>5</v>
      </c>
      <c r="B40" s="1954">
        <v>10976</v>
      </c>
      <c r="C40" s="1954"/>
      <c r="D40" s="2470" t="s">
        <v>5380</v>
      </c>
      <c r="E40" s="1956" t="s">
        <v>7827</v>
      </c>
      <c r="F40" s="1834" t="s">
        <v>827</v>
      </c>
      <c r="G40" s="1834">
        <v>5</v>
      </c>
      <c r="H40" s="1620">
        <v>6</v>
      </c>
      <c r="I40" s="1924">
        <f>J40+K40+L40</f>
        <v>1.5</v>
      </c>
      <c r="J40" s="1924">
        <f>SUM(M40:R40)</f>
        <v>1.5</v>
      </c>
      <c r="K40" s="1925"/>
      <c r="L40" s="1925"/>
      <c r="M40" s="1957"/>
      <c r="N40" s="1925"/>
      <c r="O40" s="1959"/>
      <c r="P40" s="1960"/>
      <c r="Q40" s="1961"/>
      <c r="R40" s="1914">
        <v>1.5</v>
      </c>
      <c r="S40" s="164"/>
      <c r="T40" s="1931"/>
      <c r="U40" s="154"/>
      <c r="V40" s="154"/>
      <c r="W40" s="1881">
        <v>1</v>
      </c>
      <c r="X40" s="1962">
        <v>10</v>
      </c>
      <c r="Y40" s="1881"/>
      <c r="Z40" s="1963"/>
      <c r="AB40" s="3">
        <v>1</v>
      </c>
      <c r="AE40" s="2461"/>
      <c r="AF40" s="68"/>
      <c r="AK40" s="2818" t="s">
        <v>7185</v>
      </c>
      <c r="AL40" s="2821">
        <f>AL41+AL42+AL43+AL44+AL45</f>
        <v>21.332000000000001</v>
      </c>
      <c r="AM40" s="2820">
        <f>AL40-AG30</f>
        <v>0</v>
      </c>
    </row>
    <row r="41" spans="1:39" ht="45" x14ac:dyDescent="0.35">
      <c r="A41" s="1872">
        <v>6</v>
      </c>
      <c r="B41" s="1972">
        <v>10976</v>
      </c>
      <c r="C41" s="1972"/>
      <c r="D41" s="2470" t="s">
        <v>5381</v>
      </c>
      <c r="E41" s="1916" t="s">
        <v>11415</v>
      </c>
      <c r="F41" s="1834" t="s">
        <v>664</v>
      </c>
      <c r="G41" s="1834">
        <v>5</v>
      </c>
      <c r="H41" s="1620">
        <v>6</v>
      </c>
      <c r="I41" s="1924">
        <f>J41+K41+L41</f>
        <v>0.6</v>
      </c>
      <c r="J41" s="1924">
        <f>SUM(M41:R41)</f>
        <v>0.6</v>
      </c>
      <c r="K41" s="1925"/>
      <c r="L41" s="1925"/>
      <c r="M41" s="1957"/>
      <c r="N41" s="1925"/>
      <c r="O41" s="1959"/>
      <c r="P41" s="1960"/>
      <c r="Q41" s="1961"/>
      <c r="R41" s="1914">
        <v>0.6</v>
      </c>
      <c r="S41" s="1974"/>
      <c r="T41" s="1931"/>
      <c r="U41" s="108"/>
      <c r="V41" s="108"/>
      <c r="W41" s="1974"/>
      <c r="X41" s="1976"/>
      <c r="Y41" s="1977"/>
      <c r="Z41" s="1978"/>
      <c r="AB41" s="3">
        <v>1</v>
      </c>
      <c r="AE41" s="2461"/>
      <c r="AF41" s="68"/>
      <c r="AK41" s="2815" t="s">
        <v>11230</v>
      </c>
      <c r="AL41" s="2579">
        <f>SUMIFS(M30:M959,F30:F959,5,G30:G959,4)</f>
        <v>0</v>
      </c>
      <c r="AM41" s="2817"/>
    </row>
    <row r="42" spans="1:39" ht="45" x14ac:dyDescent="0.35">
      <c r="A42" s="1872">
        <v>7</v>
      </c>
      <c r="B42" s="2083">
        <v>10976</v>
      </c>
      <c r="C42" s="2083" t="s">
        <v>1656</v>
      </c>
      <c r="D42" s="2470" t="s">
        <v>5382</v>
      </c>
      <c r="E42" s="2113" t="s">
        <v>9269</v>
      </c>
      <c r="F42" s="2210"/>
      <c r="G42" s="2210" t="s">
        <v>191</v>
      </c>
      <c r="H42" s="179" t="s">
        <v>191</v>
      </c>
      <c r="I42" s="580">
        <f>J42+K42+L42</f>
        <v>1.8</v>
      </c>
      <c r="J42" s="2216">
        <f>SUM(M42:R42)</f>
        <v>1.8</v>
      </c>
      <c r="K42" s="527"/>
      <c r="L42" s="527"/>
      <c r="M42" s="527"/>
      <c r="N42" s="580">
        <f>SUM(N43:N44)</f>
        <v>0.3</v>
      </c>
      <c r="O42" s="2215"/>
      <c r="P42" s="527"/>
      <c r="Q42" s="913">
        <f>SUM(Q43:Q44)</f>
        <v>1.5</v>
      </c>
      <c r="R42" s="906"/>
      <c r="S42" s="92"/>
      <c r="T42" s="1931"/>
      <c r="U42" s="92"/>
      <c r="V42" s="92"/>
      <c r="W42" s="92"/>
      <c r="X42" s="92"/>
      <c r="Y42" s="92"/>
      <c r="Z42" s="92"/>
      <c r="AB42" s="3">
        <v>1</v>
      </c>
      <c r="AE42" s="2461"/>
      <c r="AF42" s="68"/>
      <c r="AK42" s="2815" t="s">
        <v>11231</v>
      </c>
      <c r="AL42" s="2579">
        <f>SUMIFS(N30:N959,F30:F959,5,G30:G959,4)</f>
        <v>7.2029999999999994</v>
      </c>
      <c r="AM42" s="2817"/>
    </row>
    <row r="43" spans="1:39" x14ac:dyDescent="0.35">
      <c r="A43" s="2083"/>
      <c r="B43" s="2083">
        <v>10976</v>
      </c>
      <c r="C43" s="2083"/>
      <c r="D43" s="2083"/>
      <c r="E43" s="2214" t="s">
        <v>880</v>
      </c>
      <c r="F43" s="2210" t="s">
        <v>827</v>
      </c>
      <c r="G43" s="2210">
        <v>5</v>
      </c>
      <c r="H43" s="179">
        <v>6</v>
      </c>
      <c r="I43" s="581"/>
      <c r="J43" s="2212"/>
      <c r="K43" s="2210"/>
      <c r="L43" s="2210"/>
      <c r="M43" s="2210"/>
      <c r="N43" s="581">
        <v>0.3</v>
      </c>
      <c r="O43" s="2211"/>
      <c r="P43" s="2210"/>
      <c r="Q43" s="914"/>
      <c r="R43" s="906"/>
      <c r="S43" s="92"/>
      <c r="T43" s="1931"/>
      <c r="U43" s="92"/>
      <c r="V43" s="92"/>
      <c r="W43" s="92"/>
      <c r="X43" s="92"/>
      <c r="Y43" s="92"/>
      <c r="Z43" s="92"/>
      <c r="AE43" s="2461"/>
      <c r="AF43" s="68"/>
      <c r="AK43" s="2815" t="s">
        <v>11232</v>
      </c>
      <c r="AL43" s="2579">
        <f>SUMIFS(O30:O959,F30:F959,5,G30:G959,4)</f>
        <v>0</v>
      </c>
      <c r="AM43" s="2817"/>
    </row>
    <row r="44" spans="1:39" x14ac:dyDescent="0.35">
      <c r="A44" s="2083"/>
      <c r="B44" s="2083">
        <v>10976</v>
      </c>
      <c r="C44" s="2083"/>
      <c r="D44" s="2083"/>
      <c r="E44" s="2213" t="s">
        <v>734</v>
      </c>
      <c r="F44" s="2210" t="s">
        <v>827</v>
      </c>
      <c r="G44" s="2210">
        <v>5</v>
      </c>
      <c r="H44" s="179">
        <v>6</v>
      </c>
      <c r="I44" s="581"/>
      <c r="J44" s="2212"/>
      <c r="K44" s="2210"/>
      <c r="L44" s="2210"/>
      <c r="M44" s="2210"/>
      <c r="N44" s="581"/>
      <c r="O44" s="2211"/>
      <c r="P44" s="2210"/>
      <c r="Q44" s="914">
        <v>1.5</v>
      </c>
      <c r="R44" s="906"/>
      <c r="S44" s="92"/>
      <c r="T44" s="1931"/>
      <c r="U44" s="92"/>
      <c r="V44" s="92"/>
      <c r="W44" s="92"/>
      <c r="X44" s="92"/>
      <c r="Y44" s="92"/>
      <c r="Z44" s="92"/>
      <c r="AE44" s="2461"/>
      <c r="AF44" s="68"/>
      <c r="AK44" s="2815" t="s">
        <v>11233</v>
      </c>
      <c r="AL44" s="2579">
        <f>SUMIFS(P30:P959,F30:F959,5,G30:G959,4)+SUMIFS(Q30:Q959,F30:F959,5,G30:G959,4)</f>
        <v>11.498000000000003</v>
      </c>
      <c r="AM44" s="2817"/>
    </row>
    <row r="45" spans="1:39" ht="30" x14ac:dyDescent="0.35">
      <c r="A45" s="1872">
        <v>8</v>
      </c>
      <c r="B45" s="1921">
        <v>10977</v>
      </c>
      <c r="C45" s="1921"/>
      <c r="D45" s="1922" t="s">
        <v>897</v>
      </c>
      <c r="E45" s="1905" t="s">
        <v>10024</v>
      </c>
      <c r="F45" s="1943"/>
      <c r="G45" s="1953" t="s">
        <v>191</v>
      </c>
      <c r="H45" s="1943" t="s">
        <v>191</v>
      </c>
      <c r="I45" s="1924">
        <f>J45+K45+L45</f>
        <v>25.055</v>
      </c>
      <c r="J45" s="1924">
        <f>SUM(M45:R45)</f>
        <v>22.852999999999998</v>
      </c>
      <c r="K45" s="1925"/>
      <c r="L45" s="1924">
        <f>SUM(L46:L55)</f>
        <v>2.2020000000000017</v>
      </c>
      <c r="M45" s="1926">
        <f>SUM(M46:M55)</f>
        <v>8.6620000000000008</v>
      </c>
      <c r="N45" s="1924">
        <f>SUM(N46:N55)</f>
        <v>4.4999999999999964</v>
      </c>
      <c r="O45" s="1927"/>
      <c r="P45" s="1928"/>
      <c r="Q45" s="1929">
        <f>SUM(Q46:Q55)</f>
        <v>9.6910000000000007</v>
      </c>
      <c r="R45" s="1930"/>
      <c r="S45" s="1923"/>
      <c r="T45" s="1931"/>
      <c r="U45" s="154"/>
      <c r="V45" s="154"/>
      <c r="W45" s="1923">
        <v>39</v>
      </c>
      <c r="X45" s="1931">
        <v>500.07</v>
      </c>
      <c r="Y45" s="1923">
        <v>7</v>
      </c>
      <c r="Z45" s="1932">
        <v>75</v>
      </c>
      <c r="AB45" s="3">
        <v>1</v>
      </c>
      <c r="AE45" s="2461"/>
      <c r="AF45" s="68"/>
      <c r="AK45" s="2815" t="s">
        <v>910</v>
      </c>
      <c r="AL45" s="2579">
        <f>SUMIFS(R30:R959,F30:F959,5,G30:G959,4)</f>
        <v>2.6309999999999993</v>
      </c>
      <c r="AM45" s="2817"/>
    </row>
    <row r="46" spans="1:39" x14ac:dyDescent="0.35">
      <c r="A46" s="1875"/>
      <c r="B46" s="1921">
        <v>10977</v>
      </c>
      <c r="C46" s="1921"/>
      <c r="D46" s="1934"/>
      <c r="E46" s="1935" t="s">
        <v>3678</v>
      </c>
      <c r="F46" s="1943">
        <v>4</v>
      </c>
      <c r="G46" s="179">
        <v>5</v>
      </c>
      <c r="H46" s="179">
        <v>6</v>
      </c>
      <c r="I46" s="1936"/>
      <c r="J46" s="1936"/>
      <c r="K46" s="1937"/>
      <c r="L46" s="1937"/>
      <c r="M46" s="1938"/>
      <c r="N46" s="1936">
        <v>2.3660000000000001</v>
      </c>
      <c r="O46" s="1939"/>
      <c r="P46" s="1940"/>
      <c r="Q46" s="1941"/>
      <c r="R46" s="1942"/>
      <c r="S46" s="1943"/>
      <c r="T46" s="1931"/>
      <c r="U46" s="1944"/>
      <c r="V46" s="1944"/>
      <c r="W46" s="1943"/>
      <c r="X46" s="2454"/>
      <c r="Y46" s="1943"/>
      <c r="Z46" s="2455"/>
      <c r="AE46" s="2461"/>
      <c r="AF46" s="68"/>
      <c r="AK46" s="2818" t="s">
        <v>11234</v>
      </c>
      <c r="AL46" s="2821">
        <f>AL47+AL48+AL49+AL50+AL51</f>
        <v>1.2169999999999996</v>
      </c>
      <c r="AM46" s="2820">
        <f>AL46-AH30-AI30-AJ30</f>
        <v>0</v>
      </c>
    </row>
    <row r="47" spans="1:39" x14ac:dyDescent="0.35">
      <c r="A47" s="1875"/>
      <c r="B47" s="1921">
        <v>10977</v>
      </c>
      <c r="C47" s="1921"/>
      <c r="D47" s="1934"/>
      <c r="E47" s="1945" t="s">
        <v>3679</v>
      </c>
      <c r="F47" s="1943">
        <v>4</v>
      </c>
      <c r="G47" s="179">
        <v>5</v>
      </c>
      <c r="H47" s="1943">
        <v>10</v>
      </c>
      <c r="I47" s="1936"/>
      <c r="J47" s="1936"/>
      <c r="K47" s="1937"/>
      <c r="L47" s="1937"/>
      <c r="M47" s="1938">
        <f>3.984-2.366</f>
        <v>1.6179999999999999</v>
      </c>
      <c r="N47" s="1936"/>
      <c r="O47" s="1939"/>
      <c r="P47" s="1940"/>
      <c r="Q47" s="1941"/>
      <c r="R47" s="1942"/>
      <c r="S47" s="1943"/>
      <c r="T47" s="1931"/>
      <c r="U47" s="1944"/>
      <c r="V47" s="1944"/>
      <c r="W47" s="1943"/>
      <c r="X47" s="2454"/>
      <c r="Y47" s="1943"/>
      <c r="Z47" s="2455"/>
      <c r="AE47" s="2461"/>
      <c r="AF47" s="68"/>
      <c r="AK47" s="2815" t="s">
        <v>11230</v>
      </c>
      <c r="AL47" s="2579">
        <f>SUMIFS(M30:M959,F30:F959,"6а",G30:G959,4)+SUMIFS(M30:M959,F30:F959,"6б",G30:G959,4)+SUMIFS(M30:M959,F30:F959,"б/к",G30:G959,4)</f>
        <v>0</v>
      </c>
      <c r="AM47" s="2817"/>
    </row>
    <row r="48" spans="1:39" x14ac:dyDescent="0.35">
      <c r="A48" s="1886"/>
      <c r="B48" s="1921">
        <v>10977</v>
      </c>
      <c r="C48" s="1921"/>
      <c r="D48" s="1934"/>
      <c r="E48" s="1935" t="s">
        <v>3680</v>
      </c>
      <c r="F48" s="1943">
        <v>4</v>
      </c>
      <c r="G48" s="179">
        <v>5</v>
      </c>
      <c r="H48" s="179">
        <v>6</v>
      </c>
      <c r="I48" s="1936"/>
      <c r="J48" s="1936"/>
      <c r="K48" s="1937"/>
      <c r="L48" s="1937"/>
      <c r="M48" s="1938"/>
      <c r="N48" s="1936">
        <f>5.994-3.984</f>
        <v>2.0099999999999998</v>
      </c>
      <c r="O48" s="1939"/>
      <c r="P48" s="1940"/>
      <c r="Q48" s="1941"/>
      <c r="R48" s="1942"/>
      <c r="S48" s="1943"/>
      <c r="T48" s="1931"/>
      <c r="U48" s="1944"/>
      <c r="V48" s="1944"/>
      <c r="W48" s="1943"/>
      <c r="X48" s="2074"/>
      <c r="Y48" s="1834"/>
      <c r="Z48" s="2075"/>
      <c r="AE48" s="2461"/>
      <c r="AF48" s="68"/>
      <c r="AK48" s="2815" t="s">
        <v>11231</v>
      </c>
      <c r="AL48" s="2579">
        <f>SUMIFS(N30:N959,F30:F959,"6а",G30:G959,4)+SUMIFS(N30:N959,F30:F959,"6б",G30:G959,4)+SUMIFS(N30:N959,F30:F959,"б/к",G30:G959,4)</f>
        <v>0</v>
      </c>
      <c r="AM48" s="2817"/>
    </row>
    <row r="49" spans="1:39" x14ac:dyDescent="0.35">
      <c r="A49" s="1886"/>
      <c r="B49" s="1921">
        <v>10977</v>
      </c>
      <c r="C49" s="1921"/>
      <c r="D49" s="1934"/>
      <c r="E49" s="1983" t="s">
        <v>3681</v>
      </c>
      <c r="F49" s="1943">
        <v>4</v>
      </c>
      <c r="G49" s="179">
        <v>5</v>
      </c>
      <c r="H49" s="1834">
        <v>6</v>
      </c>
      <c r="I49" s="1936"/>
      <c r="J49" s="1936"/>
      <c r="K49" s="1937"/>
      <c r="L49" s="1937"/>
      <c r="M49" s="1938"/>
      <c r="N49" s="1936"/>
      <c r="O49" s="1939"/>
      <c r="P49" s="1940"/>
      <c r="Q49" s="1941">
        <f>10.484-5.994</f>
        <v>4.49</v>
      </c>
      <c r="R49" s="1942"/>
      <c r="S49" s="1943"/>
      <c r="T49" s="1931"/>
      <c r="U49" s="1944"/>
      <c r="V49" s="1944"/>
      <c r="W49" s="1943"/>
      <c r="X49" s="2074"/>
      <c r="Y49" s="1834"/>
      <c r="Z49" s="2075"/>
      <c r="AE49" s="2461"/>
      <c r="AF49" s="68"/>
      <c r="AK49" s="2815" t="s">
        <v>11232</v>
      </c>
      <c r="AL49" s="2579">
        <f>SUMIFS(O30:O959,F30:F959,"6а",G30:G959,4)+SUMIFS(O30:O959,F30:F959,"6б",G30:G959,4)+SUMIFS(O30:O959,F30:F959,"б/к",G30:G959,4)</f>
        <v>0</v>
      </c>
      <c r="AM49" s="2817"/>
    </row>
    <row r="50" spans="1:39" x14ac:dyDescent="0.35">
      <c r="A50" s="1875"/>
      <c r="B50" s="1921">
        <v>10977</v>
      </c>
      <c r="C50" s="1921"/>
      <c r="D50" s="1934"/>
      <c r="E50" s="1983" t="s">
        <v>3675</v>
      </c>
      <c r="F50" s="1943">
        <v>5</v>
      </c>
      <c r="G50" s="179">
        <v>5</v>
      </c>
      <c r="H50" s="1834">
        <v>6</v>
      </c>
      <c r="I50" s="1936"/>
      <c r="J50" s="1936"/>
      <c r="K50" s="1937"/>
      <c r="L50" s="1937"/>
      <c r="M50" s="1938"/>
      <c r="N50" s="1936"/>
      <c r="O50" s="1939"/>
      <c r="P50" s="1940"/>
      <c r="Q50" s="1941">
        <f>15.685-10.484</f>
        <v>5.2010000000000005</v>
      </c>
      <c r="R50" s="1942"/>
      <c r="S50" s="1943"/>
      <c r="T50" s="1931"/>
      <c r="U50" s="1944"/>
      <c r="V50" s="1944"/>
      <c r="W50" s="1943"/>
      <c r="X50" s="2454"/>
      <c r="Y50" s="1943"/>
      <c r="Z50" s="2455"/>
      <c r="AE50" s="2461"/>
      <c r="AF50" s="68"/>
      <c r="AK50" s="2815" t="s">
        <v>11233</v>
      </c>
      <c r="AL50" s="2579">
        <f>SUMIFS(P30:P959,F30:F959,"6а",G30:G959,4)+SUMIFS(Q30:Q959,F30:F959,"6а",G30:G959,4)+SUMIFS(P30:P959,F30:F959,"6б",G30:G959,4)+SUMIFS(Q30:Q959,F30:F959,"6б",G30:G959,4)+SUMIFS(O30:O959,F30:F959,"б/к",G30:G959,4)+SUMIFS(P30:P959,F30:F959,"б/к",G30:G959,4)+SUMIFS(Q30:Q959,F30:F959,"б/к",G30:G959,4)</f>
        <v>0</v>
      </c>
      <c r="AM50" s="2817"/>
    </row>
    <row r="51" spans="1:39" x14ac:dyDescent="0.35">
      <c r="A51" s="1875"/>
      <c r="B51" s="1921">
        <v>10977</v>
      </c>
      <c r="C51" s="1921"/>
      <c r="D51" s="1934"/>
      <c r="E51" s="1935" t="s">
        <v>3676</v>
      </c>
      <c r="F51" s="1943">
        <v>4</v>
      </c>
      <c r="G51" s="179">
        <v>5</v>
      </c>
      <c r="H51" s="1834">
        <v>6</v>
      </c>
      <c r="I51" s="1936"/>
      <c r="J51" s="1936"/>
      <c r="K51" s="1937"/>
      <c r="L51" s="1937"/>
      <c r="M51" s="1938"/>
      <c r="N51" s="1936">
        <f>15.715-15.685</f>
        <v>2.9999999999999361E-2</v>
      </c>
      <c r="O51" s="1939"/>
      <c r="P51" s="1940"/>
      <c r="Q51" s="1941"/>
      <c r="R51" s="1942"/>
      <c r="S51" s="1943"/>
      <c r="T51" s="1931"/>
      <c r="U51" s="1944"/>
      <c r="V51" s="1944"/>
      <c r="W51" s="1943"/>
      <c r="X51" s="2454"/>
      <c r="Y51" s="1943"/>
      <c r="Z51" s="2455"/>
      <c r="AE51" s="2461"/>
      <c r="AF51" s="68"/>
      <c r="AK51" s="2815" t="s">
        <v>910</v>
      </c>
      <c r="AL51" s="2579">
        <f>SUMIFS(R30:R959,F30:F959,"6а",G30:G959,4)+SUMIFS(R30:R959,F30:F959,"6б",G30:G959,4)+SUMIFS(R30:R959,F30:F959,"б/к",G30:G959,4)</f>
        <v>1.2169999999999996</v>
      </c>
      <c r="AM51" s="2817"/>
    </row>
    <row r="52" spans="1:39" ht="31" x14ac:dyDescent="0.35">
      <c r="A52" s="1875"/>
      <c r="B52" s="1921">
        <v>10977</v>
      </c>
      <c r="C52" s="1921"/>
      <c r="D52" s="1934"/>
      <c r="E52" s="1935" t="s">
        <v>3677</v>
      </c>
      <c r="F52" s="1943">
        <v>4</v>
      </c>
      <c r="G52" s="179">
        <v>4</v>
      </c>
      <c r="H52" s="179" t="s">
        <v>191</v>
      </c>
      <c r="I52" s="1936"/>
      <c r="J52" s="1936"/>
      <c r="K52" s="1937"/>
      <c r="L52" s="1937">
        <f>17.917-15.715</f>
        <v>2.2020000000000017</v>
      </c>
      <c r="M52" s="1938"/>
      <c r="N52" s="1936"/>
      <c r="O52" s="1939"/>
      <c r="P52" s="1940"/>
      <c r="Q52" s="1941"/>
      <c r="R52" s="1942"/>
      <c r="S52" s="1943"/>
      <c r="T52" s="1931"/>
      <c r="U52" s="1944"/>
      <c r="V52" s="1944"/>
      <c r="W52" s="1943"/>
      <c r="X52" s="2454"/>
      <c r="Y52" s="1943"/>
      <c r="Z52" s="2455"/>
      <c r="AE52" s="2461"/>
      <c r="AF52" s="68"/>
      <c r="AK52" s="2815"/>
      <c r="AL52" s="2579"/>
      <c r="AM52" s="2817"/>
    </row>
    <row r="53" spans="1:39" x14ac:dyDescent="0.35">
      <c r="A53" s="1875"/>
      <c r="B53" s="1921">
        <v>10977</v>
      </c>
      <c r="C53" s="1921"/>
      <c r="D53" s="1934"/>
      <c r="E53" s="1935" t="s">
        <v>3683</v>
      </c>
      <c r="F53" s="1943">
        <v>4</v>
      </c>
      <c r="G53" s="179">
        <v>4</v>
      </c>
      <c r="H53" s="1943">
        <v>10</v>
      </c>
      <c r="I53" s="1936"/>
      <c r="J53" s="1936"/>
      <c r="K53" s="1937"/>
      <c r="L53" s="1937"/>
      <c r="M53" s="1938"/>
      <c r="N53" s="1936">
        <f>17.959-17.917</f>
        <v>4.1999999999998039E-2</v>
      </c>
      <c r="O53" s="1939"/>
      <c r="P53" s="1940"/>
      <c r="Q53" s="1941"/>
      <c r="R53" s="1942"/>
      <c r="S53" s="1943"/>
      <c r="T53" s="1931"/>
      <c r="U53" s="1944"/>
      <c r="V53" s="1944"/>
      <c r="W53" s="1943"/>
      <c r="X53" s="2454"/>
      <c r="Y53" s="1943"/>
      <c r="Z53" s="2455"/>
      <c r="AE53" s="2461"/>
      <c r="AF53" s="68"/>
      <c r="AK53" s="2818" t="s">
        <v>11236</v>
      </c>
      <c r="AL53" s="2821">
        <f>AL55+AL61+AL67</f>
        <v>683.7349999999999</v>
      </c>
      <c r="AM53" s="2820">
        <f>AL53-J20</f>
        <v>0</v>
      </c>
    </row>
    <row r="54" spans="1:39" x14ac:dyDescent="0.35">
      <c r="A54" s="1875"/>
      <c r="B54" s="1921">
        <v>10977</v>
      </c>
      <c r="C54" s="1921"/>
      <c r="D54" s="1934"/>
      <c r="E54" s="1945" t="s">
        <v>3684</v>
      </c>
      <c r="F54" s="1943">
        <v>4</v>
      </c>
      <c r="G54" s="179">
        <v>4</v>
      </c>
      <c r="H54" s="1943">
        <v>10</v>
      </c>
      <c r="I54" s="1936"/>
      <c r="J54" s="1936"/>
      <c r="K54" s="1937"/>
      <c r="L54" s="1937"/>
      <c r="M54" s="1938">
        <f>25.003-17.959</f>
        <v>7.0440000000000005</v>
      </c>
      <c r="N54" s="1936"/>
      <c r="O54" s="1939"/>
      <c r="P54" s="1940"/>
      <c r="Q54" s="1941"/>
      <c r="R54" s="1942"/>
      <c r="S54" s="1943"/>
      <c r="T54" s="1931"/>
      <c r="U54" s="1944"/>
      <c r="V54" s="1944"/>
      <c r="W54" s="1943"/>
      <c r="X54" s="2454"/>
      <c r="Y54" s="1943"/>
      <c r="Z54" s="2455"/>
      <c r="AE54" s="2461"/>
      <c r="AF54" s="68"/>
      <c r="AK54" s="2815" t="s">
        <v>11229</v>
      </c>
      <c r="AL54" s="2579"/>
      <c r="AM54" s="2817"/>
    </row>
    <row r="55" spans="1:39" x14ac:dyDescent="0.35">
      <c r="A55" s="1875"/>
      <c r="B55" s="1921">
        <v>10977</v>
      </c>
      <c r="C55" s="1921"/>
      <c r="D55" s="1934"/>
      <c r="E55" s="1935" t="s">
        <v>3682</v>
      </c>
      <c r="F55" s="1943">
        <v>4</v>
      </c>
      <c r="G55" s="179">
        <v>4</v>
      </c>
      <c r="H55" s="1943">
        <v>10</v>
      </c>
      <c r="I55" s="1936"/>
      <c r="J55" s="1936"/>
      <c r="K55" s="1937"/>
      <c r="L55" s="1937"/>
      <c r="M55" s="1938"/>
      <c r="N55" s="1936">
        <f>25.055-25.003</f>
        <v>5.1999999999999602E-2</v>
      </c>
      <c r="O55" s="1939"/>
      <c r="P55" s="1940"/>
      <c r="Q55" s="1941"/>
      <c r="R55" s="1942"/>
      <c r="S55" s="1943"/>
      <c r="T55" s="1931"/>
      <c r="U55" s="1944"/>
      <c r="V55" s="1944"/>
      <c r="W55" s="1943"/>
      <c r="X55" s="2454"/>
      <c r="Y55" s="1943"/>
      <c r="Z55" s="2455"/>
      <c r="AE55" s="2461"/>
      <c r="AF55" s="68"/>
      <c r="AK55" s="2818" t="s">
        <v>7184</v>
      </c>
      <c r="AL55" s="2821">
        <f>AL56+AL57+AL58+AL59+AL60</f>
        <v>177.39299999999997</v>
      </c>
      <c r="AM55" s="2820">
        <f>AL55-AF31</f>
        <v>0</v>
      </c>
    </row>
    <row r="56" spans="1:39" ht="30" x14ac:dyDescent="0.35">
      <c r="A56" s="1880">
        <v>9</v>
      </c>
      <c r="B56" s="1954">
        <v>10977</v>
      </c>
      <c r="C56" s="1954"/>
      <c r="D56" s="2470" t="s">
        <v>5383</v>
      </c>
      <c r="E56" s="1916" t="s">
        <v>11172</v>
      </c>
      <c r="F56" s="1834">
        <v>5</v>
      </c>
      <c r="G56" s="1834">
        <v>5</v>
      </c>
      <c r="H56" s="1834">
        <v>6</v>
      </c>
      <c r="I56" s="1924">
        <f t="shared" ref="I56:I74" si="6">J56+K56+L56</f>
        <v>1.26</v>
      </c>
      <c r="J56" s="1924">
        <f t="shared" ref="J56:J74" si="7">SUM(M56:R56)</f>
        <v>1.26</v>
      </c>
      <c r="K56" s="1925"/>
      <c r="L56" s="1925"/>
      <c r="M56" s="1925"/>
      <c r="N56" s="1958">
        <v>1.26</v>
      </c>
      <c r="O56" s="1959"/>
      <c r="P56" s="1960"/>
      <c r="Q56" s="1961"/>
      <c r="R56" s="1909"/>
      <c r="S56" s="164"/>
      <c r="T56" s="1931"/>
      <c r="U56" s="154"/>
      <c r="V56" s="154"/>
      <c r="W56" s="1881">
        <v>4</v>
      </c>
      <c r="X56" s="1962">
        <v>47.65</v>
      </c>
      <c r="Y56" s="1881">
        <v>3</v>
      </c>
      <c r="Z56" s="1963">
        <v>32.35</v>
      </c>
      <c r="AB56" s="3">
        <v>1</v>
      </c>
      <c r="AE56" s="2461"/>
      <c r="AF56" s="68"/>
      <c r="AK56" s="2815" t="s">
        <v>11230</v>
      </c>
      <c r="AL56" s="2579">
        <f>SUMIFS(M30:M959,F30:F959,4,G30:G959,5)</f>
        <v>15.430999999999999</v>
      </c>
      <c r="AM56" s="2817"/>
    </row>
    <row r="57" spans="1:39" ht="45" x14ac:dyDescent="0.35">
      <c r="A57" s="525">
        <v>10</v>
      </c>
      <c r="B57" s="46">
        <v>10977</v>
      </c>
      <c r="C57" s="2083" t="s">
        <v>1656</v>
      </c>
      <c r="D57" s="2470" t="s">
        <v>5384</v>
      </c>
      <c r="E57" s="2187" t="s">
        <v>10025</v>
      </c>
      <c r="F57" s="92" t="s">
        <v>664</v>
      </c>
      <c r="G57" s="92">
        <v>5</v>
      </c>
      <c r="H57" s="1620">
        <v>6</v>
      </c>
      <c r="I57" s="702">
        <f t="shared" si="6"/>
        <v>2.1</v>
      </c>
      <c r="J57" s="702">
        <f t="shared" si="7"/>
        <v>2.1</v>
      </c>
      <c r="K57" s="622"/>
      <c r="L57" s="622"/>
      <c r="M57" s="622"/>
      <c r="N57" s="622"/>
      <c r="O57" s="622"/>
      <c r="P57" s="622"/>
      <c r="Q57" s="622"/>
      <c r="R57" s="906">
        <v>2.1</v>
      </c>
      <c r="S57" s="106"/>
      <c r="T57" s="1931"/>
      <c r="U57" s="106"/>
      <c r="V57" s="106"/>
      <c r="W57" s="105"/>
      <c r="X57" s="105"/>
      <c r="Y57" s="105"/>
      <c r="Z57" s="323"/>
      <c r="AB57" s="3">
        <v>1</v>
      </c>
      <c r="AE57" s="2461"/>
      <c r="AF57" s="68"/>
      <c r="AK57" s="2815" t="s">
        <v>11231</v>
      </c>
      <c r="AL57" s="2579">
        <f>SUMIFS(N30:N959,F30:F959,4,G30:G959,5)</f>
        <v>85.077000000000012</v>
      </c>
      <c r="AM57" s="2817"/>
    </row>
    <row r="58" spans="1:39" ht="30" x14ac:dyDescent="0.35">
      <c r="A58" s="1880">
        <v>11</v>
      </c>
      <c r="B58" s="1954">
        <v>10977</v>
      </c>
      <c r="C58" s="1954"/>
      <c r="D58" s="2470" t="s">
        <v>5385</v>
      </c>
      <c r="E58" s="1956" t="s">
        <v>10026</v>
      </c>
      <c r="F58" s="1834" t="s">
        <v>1490</v>
      </c>
      <c r="G58" s="1834">
        <v>5</v>
      </c>
      <c r="H58" s="1620">
        <v>6</v>
      </c>
      <c r="I58" s="1924">
        <f t="shared" si="6"/>
        <v>1.5</v>
      </c>
      <c r="J58" s="1924">
        <f t="shared" si="7"/>
        <v>1.5</v>
      </c>
      <c r="K58" s="1925"/>
      <c r="L58" s="1925"/>
      <c r="M58" s="1957"/>
      <c r="N58" s="1925"/>
      <c r="O58" s="1959"/>
      <c r="P58" s="1960"/>
      <c r="Q58" s="1961"/>
      <c r="R58" s="1914">
        <v>1.5</v>
      </c>
      <c r="S58" s="164"/>
      <c r="T58" s="1931"/>
      <c r="U58" s="154"/>
      <c r="V58" s="154"/>
      <c r="W58" s="1881">
        <v>1</v>
      </c>
      <c r="X58" s="1962">
        <v>15.2</v>
      </c>
      <c r="Y58" s="1881"/>
      <c r="Z58" s="1963"/>
      <c r="AB58" s="3">
        <v>1</v>
      </c>
      <c r="AE58" s="2461"/>
      <c r="AF58" s="68"/>
      <c r="AK58" s="2815" t="s">
        <v>11232</v>
      </c>
      <c r="AL58" s="2579">
        <f>SUMIFS(O30:O959,F30:F959,4,G30:G959,5)</f>
        <v>0</v>
      </c>
      <c r="AM58" s="2817"/>
    </row>
    <row r="59" spans="1:39" ht="30" x14ac:dyDescent="0.35">
      <c r="A59" s="525">
        <v>12</v>
      </c>
      <c r="B59" s="1954">
        <v>10977</v>
      </c>
      <c r="C59" s="1954"/>
      <c r="D59" s="2470" t="s">
        <v>5386</v>
      </c>
      <c r="E59" s="1956" t="s">
        <v>10027</v>
      </c>
      <c r="F59" s="1834"/>
      <c r="G59" s="1834" t="s">
        <v>191</v>
      </c>
      <c r="H59" s="1620" t="s">
        <v>191</v>
      </c>
      <c r="I59" s="1924">
        <f t="shared" si="6"/>
        <v>1.7</v>
      </c>
      <c r="J59" s="1924">
        <f t="shared" si="7"/>
        <v>1.7</v>
      </c>
      <c r="K59" s="1925"/>
      <c r="L59" s="1925"/>
      <c r="M59" s="1957"/>
      <c r="N59" s="1925"/>
      <c r="O59" s="1959"/>
      <c r="P59" s="1960"/>
      <c r="Q59" s="1961"/>
      <c r="R59" s="1914">
        <f>SUM(R60:R61)</f>
        <v>1.7</v>
      </c>
      <c r="S59" s="164"/>
      <c r="T59" s="1931"/>
      <c r="U59" s="154"/>
      <c r="V59" s="154"/>
      <c r="W59" s="1881">
        <v>3</v>
      </c>
      <c r="X59" s="1962">
        <v>25.2</v>
      </c>
      <c r="Y59" s="1881"/>
      <c r="Z59" s="1963"/>
      <c r="AB59" s="3">
        <v>1</v>
      </c>
      <c r="AE59" s="2461"/>
      <c r="AF59" s="68"/>
      <c r="AK59" s="2815" t="s">
        <v>11233</v>
      </c>
      <c r="AL59" s="2579">
        <f>SUMIFS(P30:P959,F30:F959,4,G30:G959,5)+SUMIFS(Q30:Q959,F30:F959,4,G30:G959,5)</f>
        <v>76.884999999999977</v>
      </c>
      <c r="AM59" s="2817"/>
    </row>
    <row r="60" spans="1:39" x14ac:dyDescent="0.35">
      <c r="A60" s="525"/>
      <c r="B60" s="1954">
        <v>10977</v>
      </c>
      <c r="C60" s="1954"/>
      <c r="D60" s="1955"/>
      <c r="E60" s="1996" t="s">
        <v>3428</v>
      </c>
      <c r="F60" s="1834" t="s">
        <v>1490</v>
      </c>
      <c r="G60" s="1834">
        <v>5</v>
      </c>
      <c r="H60" s="1620">
        <v>6</v>
      </c>
      <c r="I60" s="1924"/>
      <c r="J60" s="1924"/>
      <c r="K60" s="1925"/>
      <c r="L60" s="1925"/>
      <c r="M60" s="1957"/>
      <c r="N60" s="1925"/>
      <c r="O60" s="1959"/>
      <c r="P60" s="1960"/>
      <c r="Q60" s="1961"/>
      <c r="R60" s="1968">
        <v>1.2</v>
      </c>
      <c r="S60" s="164"/>
      <c r="T60" s="1931"/>
      <c r="U60" s="154"/>
      <c r="V60" s="154"/>
      <c r="W60" s="1881"/>
      <c r="X60" s="1962"/>
      <c r="Y60" s="1881"/>
      <c r="Z60" s="1963"/>
      <c r="AC60" s="3" t="s">
        <v>2570</v>
      </c>
      <c r="AE60" s="2461"/>
      <c r="AF60" s="68"/>
      <c r="AK60" s="2815" t="s">
        <v>910</v>
      </c>
      <c r="AL60" s="2579">
        <f>SUMIFS(R30:R959,F30:F959,4,G30:G959,5)</f>
        <v>0</v>
      </c>
      <c r="AM60" s="2817"/>
    </row>
    <row r="61" spans="1:39" x14ac:dyDescent="0.35">
      <c r="A61" s="525"/>
      <c r="B61" s="1954">
        <v>10977</v>
      </c>
      <c r="C61" s="1954"/>
      <c r="D61" s="1955"/>
      <c r="E61" s="1996" t="s">
        <v>3396</v>
      </c>
      <c r="F61" s="1834" t="s">
        <v>664</v>
      </c>
      <c r="G61" s="1834">
        <v>5</v>
      </c>
      <c r="H61" s="1620">
        <v>6</v>
      </c>
      <c r="I61" s="1924"/>
      <c r="J61" s="1924"/>
      <c r="K61" s="1925"/>
      <c r="L61" s="1925"/>
      <c r="M61" s="1957"/>
      <c r="N61" s="1925"/>
      <c r="O61" s="1959"/>
      <c r="P61" s="1960"/>
      <c r="Q61" s="1961"/>
      <c r="R61" s="1968">
        <v>0.5</v>
      </c>
      <c r="S61" s="164"/>
      <c r="T61" s="1931"/>
      <c r="U61" s="154"/>
      <c r="V61" s="154"/>
      <c r="W61" s="1881"/>
      <c r="X61" s="1962"/>
      <c r="Y61" s="1881"/>
      <c r="Z61" s="1963"/>
      <c r="AE61" s="2461"/>
      <c r="AF61" s="68"/>
      <c r="AK61" s="2818" t="s">
        <v>7185</v>
      </c>
      <c r="AL61" s="2821">
        <f>AL62+AL63+AL64+AL65+AL66</f>
        <v>149.91800000000001</v>
      </c>
      <c r="AM61" s="2820">
        <f>AL61-AG31</f>
        <v>0</v>
      </c>
    </row>
    <row r="62" spans="1:39" ht="45" x14ac:dyDescent="0.35">
      <c r="A62" s="1880">
        <v>13</v>
      </c>
      <c r="B62" s="46">
        <v>10977</v>
      </c>
      <c r="C62" s="2083" t="s">
        <v>1656</v>
      </c>
      <c r="D62" s="2470" t="s">
        <v>5387</v>
      </c>
      <c r="E62" s="2187" t="s">
        <v>10028</v>
      </c>
      <c r="F62" s="92" t="s">
        <v>664</v>
      </c>
      <c r="G62" s="92">
        <v>5</v>
      </c>
      <c r="H62" s="1620">
        <v>6</v>
      </c>
      <c r="I62" s="702">
        <f t="shared" si="6"/>
        <v>0.6</v>
      </c>
      <c r="J62" s="702">
        <f t="shared" si="7"/>
        <v>0.6</v>
      </c>
      <c r="K62" s="622"/>
      <c r="L62" s="622"/>
      <c r="M62" s="622"/>
      <c r="N62" s="622"/>
      <c r="O62" s="622"/>
      <c r="P62" s="622"/>
      <c r="Q62" s="622"/>
      <c r="R62" s="906">
        <v>0.6</v>
      </c>
      <c r="S62" s="106"/>
      <c r="T62" s="1931"/>
      <c r="U62" s="106"/>
      <c r="V62" s="106"/>
      <c r="W62" s="105"/>
      <c r="X62" s="105"/>
      <c r="Y62" s="105"/>
      <c r="Z62" s="323"/>
      <c r="AB62" s="3">
        <v>1</v>
      </c>
      <c r="AE62" s="2461"/>
      <c r="AF62" s="68"/>
      <c r="AK62" s="2815" t="s">
        <v>11230</v>
      </c>
      <c r="AL62" s="2579">
        <f>SUMIFS(M30:M959,F30:F959,5,G30:G959,5)</f>
        <v>0.14300000000000013</v>
      </c>
      <c r="AM62" s="2817"/>
    </row>
    <row r="63" spans="1:39" ht="45" x14ac:dyDescent="0.35">
      <c r="A63" s="525">
        <v>14</v>
      </c>
      <c r="B63" s="1979">
        <v>10977</v>
      </c>
      <c r="C63" s="1979" t="s">
        <v>1655</v>
      </c>
      <c r="D63" s="2470" t="s">
        <v>5388</v>
      </c>
      <c r="E63" s="1916" t="s">
        <v>10029</v>
      </c>
      <c r="F63" s="1943" t="s">
        <v>664</v>
      </c>
      <c r="G63" s="1834">
        <v>5</v>
      </c>
      <c r="H63" s="1620">
        <v>6</v>
      </c>
      <c r="I63" s="1924">
        <f t="shared" si="6"/>
        <v>0.7</v>
      </c>
      <c r="J63" s="1924">
        <f t="shared" si="7"/>
        <v>0.7</v>
      </c>
      <c r="K63" s="1925"/>
      <c r="L63" s="1925"/>
      <c r="M63" s="1926"/>
      <c r="N63" s="1924"/>
      <c r="O63" s="1927"/>
      <c r="P63" s="1928"/>
      <c r="Q63" s="1929"/>
      <c r="R63" s="1984">
        <v>0.7</v>
      </c>
      <c r="S63" s="1985"/>
      <c r="T63" s="1931"/>
      <c r="U63" s="108"/>
      <c r="V63" s="108"/>
      <c r="W63" s="1923"/>
      <c r="X63" s="1975"/>
      <c r="Y63" s="1974"/>
      <c r="Z63" s="1982"/>
      <c r="AB63" s="3">
        <v>1</v>
      </c>
      <c r="AE63" s="2461"/>
      <c r="AF63" s="68"/>
      <c r="AK63" s="2815" t="s">
        <v>11231</v>
      </c>
      <c r="AL63" s="2579">
        <f>SUMIFS(N30:N959,F30:F959,5,G30:G959,5)</f>
        <v>40.941000000000003</v>
      </c>
      <c r="AM63" s="2817"/>
    </row>
    <row r="64" spans="1:39" ht="45" x14ac:dyDescent="0.35">
      <c r="A64" s="1880">
        <v>15</v>
      </c>
      <c r="B64" s="1979">
        <v>10977</v>
      </c>
      <c r="C64" s="1979" t="s">
        <v>1655</v>
      </c>
      <c r="D64" s="2470" t="s">
        <v>5389</v>
      </c>
      <c r="E64" s="1916" t="s">
        <v>10030</v>
      </c>
      <c r="F64" s="1943" t="s">
        <v>664</v>
      </c>
      <c r="G64" s="1834">
        <v>5</v>
      </c>
      <c r="H64" s="1620">
        <v>6</v>
      </c>
      <c r="I64" s="1924">
        <f t="shared" si="6"/>
        <v>1</v>
      </c>
      <c r="J64" s="1924">
        <f t="shared" si="7"/>
        <v>1</v>
      </c>
      <c r="K64" s="1925"/>
      <c r="L64" s="1925"/>
      <c r="M64" s="1926"/>
      <c r="N64" s="1924"/>
      <c r="O64" s="1927"/>
      <c r="P64" s="1928"/>
      <c r="Q64" s="1929"/>
      <c r="R64" s="1984">
        <v>1</v>
      </c>
      <c r="S64" s="1986"/>
      <c r="T64" s="1931"/>
      <c r="U64" s="108"/>
      <c r="V64" s="108"/>
      <c r="W64" s="1986"/>
      <c r="X64" s="1975"/>
      <c r="Y64" s="1974"/>
      <c r="Z64" s="1982"/>
      <c r="AB64" s="3">
        <v>1</v>
      </c>
      <c r="AE64" s="2461"/>
      <c r="AF64" s="68"/>
      <c r="AK64" s="2815" t="s">
        <v>11232</v>
      </c>
      <c r="AL64" s="2579">
        <f>SUMIFS(O30:O959,F30:F959,5,G30:G959,5)</f>
        <v>3</v>
      </c>
      <c r="AM64" s="2817"/>
    </row>
    <row r="65" spans="1:39" ht="45" x14ac:dyDescent="0.35">
      <c r="A65" s="525">
        <v>16</v>
      </c>
      <c r="B65" s="1972">
        <v>10977</v>
      </c>
      <c r="C65" s="1979" t="s">
        <v>1655</v>
      </c>
      <c r="D65" s="2470" t="s">
        <v>5390</v>
      </c>
      <c r="E65" s="1916" t="s">
        <v>10031</v>
      </c>
      <c r="F65" s="1943" t="s">
        <v>664</v>
      </c>
      <c r="G65" s="1834">
        <v>5</v>
      </c>
      <c r="H65" s="1620">
        <v>6</v>
      </c>
      <c r="I65" s="1924">
        <f t="shared" si="6"/>
        <v>1</v>
      </c>
      <c r="J65" s="1924">
        <f t="shared" si="7"/>
        <v>1</v>
      </c>
      <c r="K65" s="1925"/>
      <c r="L65" s="1925"/>
      <c r="M65" s="1926"/>
      <c r="N65" s="1924"/>
      <c r="O65" s="1927"/>
      <c r="P65" s="1928"/>
      <c r="Q65" s="1929"/>
      <c r="R65" s="1984">
        <v>1</v>
      </c>
      <c r="S65" s="1986"/>
      <c r="T65" s="1931"/>
      <c r="U65" s="108"/>
      <c r="V65" s="108"/>
      <c r="W65" s="1986"/>
      <c r="X65" s="1975"/>
      <c r="Y65" s="1974"/>
      <c r="Z65" s="1982"/>
      <c r="AB65" s="3">
        <v>1</v>
      </c>
      <c r="AE65" s="2461"/>
      <c r="AF65" s="68"/>
      <c r="AK65" s="2815" t="s">
        <v>11233</v>
      </c>
      <c r="AL65" s="2579">
        <f>SUMIFS(P30:P959,F30:F959,5,G30:G959,5)+SUMIFS(Q30:Q959,F30:F959,5,G30:G959,5)</f>
        <v>95.10599999999998</v>
      </c>
      <c r="AM65" s="2817"/>
    </row>
    <row r="66" spans="1:39" ht="45" x14ac:dyDescent="0.35">
      <c r="A66" s="1880">
        <v>17</v>
      </c>
      <c r="B66" s="1979">
        <v>10977</v>
      </c>
      <c r="C66" s="1979" t="s">
        <v>1655</v>
      </c>
      <c r="D66" s="2470" t="s">
        <v>5391</v>
      </c>
      <c r="E66" s="1905" t="s">
        <v>10866</v>
      </c>
      <c r="F66" s="1834" t="s">
        <v>664</v>
      </c>
      <c r="G66" s="1834">
        <v>5</v>
      </c>
      <c r="H66" s="1620">
        <v>6</v>
      </c>
      <c r="I66" s="1924">
        <f t="shared" si="6"/>
        <v>1.1599999999999999</v>
      </c>
      <c r="J66" s="1924">
        <f t="shared" si="7"/>
        <v>1.1599999999999999</v>
      </c>
      <c r="K66" s="1925"/>
      <c r="L66" s="1925"/>
      <c r="M66" s="1957"/>
      <c r="N66" s="1925"/>
      <c r="O66" s="1959"/>
      <c r="P66" s="1960"/>
      <c r="Q66" s="1961"/>
      <c r="R66" s="1498">
        <v>1.1599999999999999</v>
      </c>
      <c r="S66" s="1974"/>
      <c r="T66" s="1931"/>
      <c r="U66" s="108"/>
      <c r="V66" s="108"/>
      <c r="W66" s="1974"/>
      <c r="X66" s="1975"/>
      <c r="Y66" s="1974"/>
      <c r="Z66" s="1982"/>
      <c r="AB66" s="3">
        <v>1</v>
      </c>
      <c r="AE66" s="2461"/>
      <c r="AF66" s="68"/>
      <c r="AK66" s="2815" t="s">
        <v>910</v>
      </c>
      <c r="AL66" s="2579">
        <f>SUMIFS(R30:R959,F30:F959,5,G30:G959,5)</f>
        <v>10.728</v>
      </c>
      <c r="AM66" s="2817"/>
    </row>
    <row r="67" spans="1:39" ht="45" x14ac:dyDescent="0.35">
      <c r="A67" s="525">
        <v>18</v>
      </c>
      <c r="B67" s="1979">
        <v>10977</v>
      </c>
      <c r="C67" s="1979" t="s">
        <v>1655</v>
      </c>
      <c r="D67" s="2470" t="s">
        <v>5392</v>
      </c>
      <c r="E67" s="1980" t="s">
        <v>10032</v>
      </c>
      <c r="F67" s="1953" t="s">
        <v>664</v>
      </c>
      <c r="G67" s="1953">
        <v>5</v>
      </c>
      <c r="H67" s="1620">
        <v>6</v>
      </c>
      <c r="I67" s="1924">
        <f t="shared" si="6"/>
        <v>0.5</v>
      </c>
      <c r="J67" s="1924">
        <f t="shared" si="7"/>
        <v>0.5</v>
      </c>
      <c r="K67" s="1925"/>
      <c r="L67" s="1925"/>
      <c r="M67" s="1957"/>
      <c r="N67" s="1925"/>
      <c r="O67" s="1959"/>
      <c r="P67" s="1960"/>
      <c r="Q67" s="1961"/>
      <c r="R67" s="1981">
        <v>0.5</v>
      </c>
      <c r="S67" s="1974"/>
      <c r="T67" s="1931"/>
      <c r="U67" s="108"/>
      <c r="V67" s="108"/>
      <c r="W67" s="1974"/>
      <c r="X67" s="1975"/>
      <c r="Y67" s="1974"/>
      <c r="Z67" s="1982"/>
      <c r="AB67" s="3">
        <v>1</v>
      </c>
      <c r="AE67" s="2461"/>
      <c r="AF67" s="68"/>
      <c r="AK67" s="2818" t="s">
        <v>11234</v>
      </c>
      <c r="AL67" s="2821">
        <f>AL68+AL69+AL70+AL71+AL72</f>
        <v>356.42399999999998</v>
      </c>
      <c r="AM67" s="2820">
        <f>AL67-AH31-AI31-AJ31</f>
        <v>0</v>
      </c>
    </row>
    <row r="68" spans="1:39" ht="45" x14ac:dyDescent="0.35">
      <c r="A68" s="1880">
        <v>19</v>
      </c>
      <c r="B68" s="2083">
        <v>10977</v>
      </c>
      <c r="C68" s="358" t="s">
        <v>1655</v>
      </c>
      <c r="D68" s="2470" t="s">
        <v>5393</v>
      </c>
      <c r="E68" s="1905" t="s">
        <v>10033</v>
      </c>
      <c r="F68" s="1943" t="s">
        <v>664</v>
      </c>
      <c r="G68" s="92">
        <v>5</v>
      </c>
      <c r="H68" s="1620">
        <v>6</v>
      </c>
      <c r="I68" s="297">
        <f>J68+K68+L68</f>
        <v>0.3</v>
      </c>
      <c r="J68" s="297">
        <f>SUM(M68:R68)</f>
        <v>0.3</v>
      </c>
      <c r="K68" s="1937"/>
      <c r="L68" s="1937"/>
      <c r="M68" s="1926"/>
      <c r="N68" s="1997"/>
      <c r="O68" s="1927"/>
      <c r="P68" s="1928"/>
      <c r="Q68" s="1929"/>
      <c r="R68" s="1930">
        <v>0.3</v>
      </c>
      <c r="S68" s="1943"/>
      <c r="T68" s="1931"/>
      <c r="U68" s="1944"/>
      <c r="V68" s="1944"/>
      <c r="W68" s="1943"/>
      <c r="X68" s="2454"/>
      <c r="Y68" s="1943"/>
      <c r="Z68" s="2455"/>
      <c r="AB68" s="3">
        <v>1</v>
      </c>
      <c r="AE68" s="2461"/>
      <c r="AF68" s="68"/>
      <c r="AK68" s="2815" t="s">
        <v>11230</v>
      </c>
      <c r="AL68" s="2579">
        <f>SUMIFS(M30:M959,F30:F959,"6а",G30:G959,5)+SUMIFS(M30:M959,F30:F959,"6б",G30:G959,5)+SUMIFS(M30:M959,F30:F959,"б/к",G30:G959,5)</f>
        <v>0</v>
      </c>
      <c r="AM68" s="2817"/>
    </row>
    <row r="69" spans="1:39" ht="45" x14ac:dyDescent="0.35">
      <c r="A69" s="525">
        <v>20</v>
      </c>
      <c r="B69" s="2083">
        <v>10977</v>
      </c>
      <c r="C69" s="2083" t="s">
        <v>1656</v>
      </c>
      <c r="D69" s="2470" t="s">
        <v>5395</v>
      </c>
      <c r="E69" s="2113" t="s">
        <v>10034</v>
      </c>
      <c r="F69" s="2210" t="s">
        <v>664</v>
      </c>
      <c r="G69" s="2210">
        <v>5</v>
      </c>
      <c r="H69" s="1620">
        <v>6</v>
      </c>
      <c r="I69" s="580">
        <f t="shared" si="6"/>
        <v>0.1</v>
      </c>
      <c r="J69" s="2216">
        <f t="shared" si="7"/>
        <v>0.1</v>
      </c>
      <c r="K69" s="527"/>
      <c r="L69" s="527"/>
      <c r="M69" s="527"/>
      <c r="N69" s="580"/>
      <c r="O69" s="2215"/>
      <c r="P69" s="527"/>
      <c r="Q69" s="913"/>
      <c r="R69" s="906">
        <v>0.1</v>
      </c>
      <c r="S69" s="92"/>
      <c r="T69" s="1931"/>
      <c r="U69" s="92"/>
      <c r="V69" s="92"/>
      <c r="W69" s="92"/>
      <c r="X69" s="92"/>
      <c r="Y69" s="92"/>
      <c r="Z69" s="70"/>
      <c r="AB69" s="3">
        <v>1</v>
      </c>
      <c r="AE69" s="2461"/>
      <c r="AF69" s="68"/>
      <c r="AK69" s="2815" t="s">
        <v>11231</v>
      </c>
      <c r="AL69" s="2579">
        <f>SUMIFS(N30:N959,F30:F959,"6а",G30:G959,5)+SUMIFS(N30:N959,F30:F959,"6б",G30:G959,5)+SUMIFS(N30:N959,F30:F959,"б/к",G30:G959,5)</f>
        <v>21.655000000000005</v>
      </c>
      <c r="AM69" s="2817"/>
    </row>
    <row r="70" spans="1:39" ht="45" x14ac:dyDescent="0.35">
      <c r="A70" s="1880">
        <v>21</v>
      </c>
      <c r="B70" s="46">
        <v>10977</v>
      </c>
      <c r="C70" s="2083" t="s">
        <v>1656</v>
      </c>
      <c r="D70" s="2470" t="s">
        <v>5396</v>
      </c>
      <c r="E70" s="2187" t="s">
        <v>10035</v>
      </c>
      <c r="F70" s="92"/>
      <c r="G70" s="92" t="s">
        <v>191</v>
      </c>
      <c r="H70" s="1620" t="s">
        <v>191</v>
      </c>
      <c r="I70" s="702">
        <f t="shared" si="6"/>
        <v>0.95</v>
      </c>
      <c r="J70" s="702">
        <f t="shared" si="7"/>
        <v>0.45499999999999996</v>
      </c>
      <c r="K70" s="622"/>
      <c r="L70" s="622">
        <f>SUM(L71:L72)</f>
        <v>0.495</v>
      </c>
      <c r="M70" s="622"/>
      <c r="N70" s="622"/>
      <c r="O70" s="622"/>
      <c r="P70" s="622"/>
      <c r="Q70" s="622"/>
      <c r="R70" s="906">
        <f>SUM(R71:R72)</f>
        <v>0.45499999999999996</v>
      </c>
      <c r="S70" s="106"/>
      <c r="T70" s="1931"/>
      <c r="U70" s="106"/>
      <c r="V70" s="106"/>
      <c r="W70" s="105"/>
      <c r="X70" s="105"/>
      <c r="Y70" s="105"/>
      <c r="Z70" s="323"/>
      <c r="AB70" s="3">
        <v>1</v>
      </c>
      <c r="AE70" s="2461"/>
      <c r="AF70" s="68"/>
      <c r="AK70" s="2815" t="s">
        <v>11232</v>
      </c>
      <c r="AL70" s="2579">
        <f>SUMIFS(O30:O959,F30:F959,"6а",G30:G959,5)+SUMIFS(O30:O959,F30:F959,"6б",G30:G959,5)+SUMIFS(O30:O959,F30:F959,"б/к",G30:G959,5)</f>
        <v>0</v>
      </c>
      <c r="AM70" s="2817"/>
    </row>
    <row r="71" spans="1:39" x14ac:dyDescent="0.35">
      <c r="A71" s="525"/>
      <c r="B71" s="46"/>
      <c r="C71" s="2083"/>
      <c r="D71" s="2470"/>
      <c r="E71" s="1935" t="s">
        <v>7076</v>
      </c>
      <c r="F71" s="92" t="s">
        <v>664</v>
      </c>
      <c r="G71" s="92">
        <v>5</v>
      </c>
      <c r="H71" s="1620" t="s">
        <v>191</v>
      </c>
      <c r="I71" s="1918"/>
      <c r="J71" s="1918"/>
      <c r="K71" s="395"/>
      <c r="L71" s="395">
        <v>0.495</v>
      </c>
      <c r="M71" s="395"/>
      <c r="N71" s="395"/>
      <c r="O71" s="395"/>
      <c r="P71" s="395"/>
      <c r="Q71" s="395"/>
      <c r="R71" s="907"/>
      <c r="S71" s="106"/>
      <c r="T71" s="1931"/>
      <c r="U71" s="106"/>
      <c r="V71" s="106"/>
      <c r="W71" s="105"/>
      <c r="X71" s="105"/>
      <c r="Y71" s="105"/>
      <c r="Z71" s="323"/>
      <c r="AE71" s="2461"/>
      <c r="AF71" s="68"/>
      <c r="AK71" s="2815" t="s">
        <v>11233</v>
      </c>
      <c r="AL71" s="2579">
        <f>SUMIFS(P30:P959,F30:F959,"6а",G30:G959,5)+SUMIFS(Q30:Q959,F30:F959,"6а",G30:G959,5)+SUMIFS(P30:P959,F30:F959,"6б",G30:G959,5)+SUMIFS(Q30:Q959,F30:F959,"6б",G30:G959,5)+SUMIFS(P30:P959,F30:F959,"б/к",G30:G959,5)+SUMIFS(Q30:Q959,F30:F959,"б/к",G30:G959,5)</f>
        <v>48.701000000000015</v>
      </c>
      <c r="AM71" s="2817"/>
    </row>
    <row r="72" spans="1:39" x14ac:dyDescent="0.35">
      <c r="A72" s="525"/>
      <c r="B72" s="46"/>
      <c r="C72" s="2083"/>
      <c r="D72" s="2470"/>
      <c r="E72" s="1989" t="s">
        <v>7077</v>
      </c>
      <c r="F72" s="92" t="s">
        <v>664</v>
      </c>
      <c r="G72" s="92">
        <v>5</v>
      </c>
      <c r="H72" s="1620">
        <v>6</v>
      </c>
      <c r="I72" s="1918"/>
      <c r="J72" s="1918"/>
      <c r="K72" s="395"/>
      <c r="L72" s="395"/>
      <c r="M72" s="395"/>
      <c r="N72" s="395"/>
      <c r="O72" s="395"/>
      <c r="P72" s="395"/>
      <c r="Q72" s="395"/>
      <c r="R72" s="907">
        <f>0.95-0.495</f>
        <v>0.45499999999999996</v>
      </c>
      <c r="S72" s="106"/>
      <c r="T72" s="1931"/>
      <c r="U72" s="106"/>
      <c r="V72" s="106"/>
      <c r="W72" s="105"/>
      <c r="X72" s="105"/>
      <c r="Y72" s="105"/>
      <c r="Z72" s="323"/>
      <c r="AE72" s="2461"/>
      <c r="AF72" s="68"/>
      <c r="AK72" s="2815" t="s">
        <v>910</v>
      </c>
      <c r="AL72" s="2579">
        <f>SUMIFS(R30:R959,F30:F959,"6а",G30:G959,5)+SUMIFS(R30:R959,F30:F959,"6б",G30:G959,5)+SUMIFS(R30:R959,F30:F959,"б/к",G30:G959,5)</f>
        <v>286.06799999999993</v>
      </c>
      <c r="AM72" s="2817"/>
    </row>
    <row r="73" spans="1:39" ht="45" x14ac:dyDescent="0.35">
      <c r="A73" s="1880">
        <v>22</v>
      </c>
      <c r="B73" s="46">
        <v>10977</v>
      </c>
      <c r="C73" s="2083" t="s">
        <v>1656</v>
      </c>
      <c r="D73" s="2470" t="s">
        <v>5397</v>
      </c>
      <c r="E73" s="2187" t="s">
        <v>10036</v>
      </c>
      <c r="F73" s="92" t="s">
        <v>664</v>
      </c>
      <c r="G73" s="92">
        <v>5</v>
      </c>
      <c r="H73" s="1620">
        <v>6</v>
      </c>
      <c r="I73" s="702">
        <f t="shared" si="6"/>
        <v>0.3</v>
      </c>
      <c r="J73" s="702">
        <f t="shared" si="7"/>
        <v>0.3</v>
      </c>
      <c r="K73" s="622"/>
      <c r="L73" s="622"/>
      <c r="M73" s="622"/>
      <c r="N73" s="622"/>
      <c r="O73" s="622"/>
      <c r="P73" s="622"/>
      <c r="Q73" s="622"/>
      <c r="R73" s="1984">
        <v>0.3</v>
      </c>
      <c r="S73" s="106"/>
      <c r="T73" s="1931"/>
      <c r="U73" s="106"/>
      <c r="V73" s="106"/>
      <c r="W73" s="105"/>
      <c r="X73" s="105"/>
      <c r="Y73" s="105"/>
      <c r="Z73" s="323"/>
      <c r="AB73" s="3">
        <v>1</v>
      </c>
      <c r="AE73" s="2461"/>
      <c r="AF73" s="68"/>
      <c r="AK73" s="2815"/>
      <c r="AL73" s="2579"/>
      <c r="AM73" s="2817"/>
    </row>
    <row r="74" spans="1:39" ht="30" x14ac:dyDescent="0.35">
      <c r="A74" s="525">
        <v>23</v>
      </c>
      <c r="B74" s="1921">
        <v>10978</v>
      </c>
      <c r="C74" s="1921"/>
      <c r="D74" s="1922" t="s">
        <v>2793</v>
      </c>
      <c r="E74" s="1905" t="s">
        <v>10479</v>
      </c>
      <c r="F74" s="1943"/>
      <c r="G74" s="1953" t="s">
        <v>191</v>
      </c>
      <c r="H74" s="164" t="s">
        <v>191</v>
      </c>
      <c r="I74" s="1924">
        <f t="shared" si="6"/>
        <v>9.9819999999999993</v>
      </c>
      <c r="J74" s="1924">
        <f t="shared" si="7"/>
        <v>9.9619999999999997</v>
      </c>
      <c r="K74" s="1925"/>
      <c r="L74" s="1925">
        <f>SUM(L75:L78)</f>
        <v>0.02</v>
      </c>
      <c r="M74" s="1926"/>
      <c r="N74" s="1924">
        <f>SUM(N75:N78)</f>
        <v>5.3179999999999996</v>
      </c>
      <c r="O74" s="1927"/>
      <c r="P74" s="1928"/>
      <c r="Q74" s="1929">
        <f>SUM(Q75:Q78)</f>
        <v>4.6440000000000001</v>
      </c>
      <c r="R74" s="1930"/>
      <c r="S74" s="1923">
        <v>1</v>
      </c>
      <c r="T74" s="1931">
        <v>18.600000000000001</v>
      </c>
      <c r="U74" s="154"/>
      <c r="V74" s="154"/>
      <c r="W74" s="1923">
        <v>20</v>
      </c>
      <c r="X74" s="1931">
        <v>250.1</v>
      </c>
      <c r="Y74" s="1923">
        <v>7</v>
      </c>
      <c r="Z74" s="1932">
        <v>75</v>
      </c>
      <c r="AB74" s="3">
        <v>1</v>
      </c>
      <c r="AE74" s="2461"/>
      <c r="AF74" s="68"/>
      <c r="AK74" s="2822" t="s">
        <v>11237</v>
      </c>
      <c r="AL74" s="2823">
        <f>AL11+AL32+AL53</f>
        <v>918.57199999999989</v>
      </c>
      <c r="AM74" s="2824">
        <f>AL74-J10</f>
        <v>0</v>
      </c>
    </row>
    <row r="75" spans="1:39" ht="31" x14ac:dyDescent="0.35">
      <c r="A75" s="525"/>
      <c r="B75" s="1921"/>
      <c r="C75" s="1921"/>
      <c r="D75" s="1922"/>
      <c r="E75" s="1935" t="s">
        <v>9466</v>
      </c>
      <c r="F75" s="1943">
        <v>4</v>
      </c>
      <c r="G75" s="1953">
        <v>5</v>
      </c>
      <c r="H75" s="164" t="s">
        <v>191</v>
      </c>
      <c r="I75" s="1924"/>
      <c r="J75" s="1924"/>
      <c r="K75" s="1925"/>
      <c r="L75" s="1919">
        <v>0.02</v>
      </c>
      <c r="M75" s="1926"/>
      <c r="N75" s="1924"/>
      <c r="O75" s="1927"/>
      <c r="P75" s="1928"/>
      <c r="Q75" s="1929"/>
      <c r="R75" s="1930"/>
      <c r="S75" s="1923"/>
      <c r="T75" s="1931"/>
      <c r="U75" s="154"/>
      <c r="V75" s="154"/>
      <c r="W75" s="1923"/>
      <c r="X75" s="1931"/>
      <c r="Y75" s="1923"/>
      <c r="Z75" s="1932"/>
      <c r="AE75" s="2461"/>
      <c r="AF75" s="68"/>
      <c r="AK75" s="2825" t="s">
        <v>11238</v>
      </c>
      <c r="AL75" s="2826">
        <f>AL34+AL55+AL13</f>
        <v>389.68099999999998</v>
      </c>
      <c r="AM75" s="2827">
        <f>AL75-J12</f>
        <v>0</v>
      </c>
    </row>
    <row r="76" spans="1:39" x14ac:dyDescent="0.35">
      <c r="A76" s="1886"/>
      <c r="B76" s="1921">
        <v>10978</v>
      </c>
      <c r="C76" s="1921"/>
      <c r="D76" s="1946"/>
      <c r="E76" s="1022" t="s">
        <v>6820</v>
      </c>
      <c r="F76" s="1834">
        <v>4</v>
      </c>
      <c r="G76" s="179">
        <v>5</v>
      </c>
      <c r="H76" s="179">
        <v>6</v>
      </c>
      <c r="I76" s="1936"/>
      <c r="J76" s="1936"/>
      <c r="K76" s="1937"/>
      <c r="L76" s="1937"/>
      <c r="M76" s="1920"/>
      <c r="N76" s="1970">
        <f>0.972-0.02</f>
        <v>0.95199999999999996</v>
      </c>
      <c r="O76" s="1949"/>
      <c r="P76" s="1950"/>
      <c r="Q76" s="1951"/>
      <c r="R76" s="1952"/>
      <c r="S76" s="1953"/>
      <c r="T76" s="1931"/>
      <c r="U76" s="1944"/>
      <c r="V76" s="1944"/>
      <c r="W76" s="1953"/>
      <c r="X76" s="2074"/>
      <c r="Y76" s="1834"/>
      <c r="Z76" s="2075"/>
      <c r="AE76" s="2461"/>
      <c r="AF76" s="68"/>
      <c r="AK76" s="2828" t="s">
        <v>11239</v>
      </c>
      <c r="AL76" s="2826">
        <f>AL19+AL40+AL61</f>
        <v>171.25</v>
      </c>
      <c r="AM76" s="2827">
        <f>AL76-J13</f>
        <v>0</v>
      </c>
    </row>
    <row r="77" spans="1:39" x14ac:dyDescent="0.35">
      <c r="A77" s="1886"/>
      <c r="B77" s="1921">
        <v>10978</v>
      </c>
      <c r="C77" s="1921"/>
      <c r="D77" s="1946"/>
      <c r="E77" s="1971" t="s">
        <v>6821</v>
      </c>
      <c r="F77" s="1834">
        <v>4</v>
      </c>
      <c r="G77" s="179">
        <v>5</v>
      </c>
      <c r="H77" s="1834">
        <v>6</v>
      </c>
      <c r="I77" s="1936"/>
      <c r="J77" s="1936"/>
      <c r="K77" s="1937"/>
      <c r="L77" s="1937"/>
      <c r="M77" s="1920"/>
      <c r="N77" s="1937"/>
      <c r="O77" s="1949"/>
      <c r="P77" s="1950"/>
      <c r="Q77" s="1967">
        <f>5.616-0.972</f>
        <v>4.6440000000000001</v>
      </c>
      <c r="R77" s="1952"/>
      <c r="S77" s="1953"/>
      <c r="T77" s="1931"/>
      <c r="U77" s="1944"/>
      <c r="V77" s="1944"/>
      <c r="W77" s="1953"/>
      <c r="X77" s="2074"/>
      <c r="Y77" s="1834"/>
      <c r="Z77" s="2075"/>
      <c r="AE77" s="2461"/>
      <c r="AF77" s="68"/>
      <c r="AK77" s="2828" t="s">
        <v>11240</v>
      </c>
      <c r="AL77" s="2826">
        <f>AL25+AL46+AL67</f>
        <v>357.64099999999996</v>
      </c>
      <c r="AM77" s="2827">
        <f>AL77-J14</f>
        <v>0</v>
      </c>
    </row>
    <row r="78" spans="1:39" x14ac:dyDescent="0.35">
      <c r="A78" s="1886"/>
      <c r="B78" s="1921">
        <v>10978</v>
      </c>
      <c r="C78" s="1921"/>
      <c r="D78" s="1946"/>
      <c r="E78" s="1022" t="s">
        <v>6822</v>
      </c>
      <c r="F78" s="1834">
        <v>4</v>
      </c>
      <c r="G78" s="179">
        <v>4</v>
      </c>
      <c r="H78" s="179">
        <v>6</v>
      </c>
      <c r="I78" s="1936"/>
      <c r="J78" s="1936"/>
      <c r="K78" s="1937"/>
      <c r="L78" s="1937"/>
      <c r="M78" s="1920"/>
      <c r="N78" s="1970">
        <f>9.982-5.616</f>
        <v>4.3659999999999997</v>
      </c>
      <c r="O78" s="1949"/>
      <c r="P78" s="1950"/>
      <c r="Q78" s="1951"/>
      <c r="R78" s="1952"/>
      <c r="S78" s="1953"/>
      <c r="T78" s="1931"/>
      <c r="U78" s="1944"/>
      <c r="V78" s="1944"/>
      <c r="W78" s="1953"/>
      <c r="X78" s="2074"/>
      <c r="Y78" s="1834"/>
      <c r="Z78" s="2075"/>
      <c r="AE78" s="2461"/>
      <c r="AF78" s="68"/>
    </row>
    <row r="79" spans="1:39" ht="30" x14ac:dyDescent="0.35">
      <c r="A79" s="1880">
        <v>24</v>
      </c>
      <c r="B79" s="1988">
        <v>10979</v>
      </c>
      <c r="C79" s="1988"/>
      <c r="D79" s="1973" t="s">
        <v>2794</v>
      </c>
      <c r="E79" s="1916" t="s">
        <v>10480</v>
      </c>
      <c r="F79" s="1834"/>
      <c r="G79" s="1953" t="s">
        <v>191</v>
      </c>
      <c r="H79" s="179" t="s">
        <v>191</v>
      </c>
      <c r="I79" s="1924">
        <f>J79+K79+L79</f>
        <v>9.3469999999999995</v>
      </c>
      <c r="J79" s="1924">
        <f>SUM(M79:R79)</f>
        <v>9.3469999999999995</v>
      </c>
      <c r="K79" s="1925"/>
      <c r="L79" s="1925"/>
      <c r="M79" s="1957"/>
      <c r="N79" s="1958">
        <f>SUM(N80:N86)</f>
        <v>4.6159999999999997</v>
      </c>
      <c r="O79" s="1959"/>
      <c r="P79" s="1960"/>
      <c r="Q79" s="1964">
        <f>SUM(Q80:Q86)</f>
        <v>4.7309999999999999</v>
      </c>
      <c r="R79" s="1909"/>
      <c r="S79" s="164"/>
      <c r="T79" s="1931"/>
      <c r="U79" s="154"/>
      <c r="V79" s="154"/>
      <c r="W79" s="1881">
        <v>19</v>
      </c>
      <c r="X79" s="1962">
        <v>218.11</v>
      </c>
      <c r="Y79" s="1881">
        <v>7</v>
      </c>
      <c r="Z79" s="1963">
        <v>70</v>
      </c>
      <c r="AB79" s="3">
        <v>1</v>
      </c>
      <c r="AE79" s="2461"/>
      <c r="AF79" s="68"/>
    </row>
    <row r="80" spans="1:39" x14ac:dyDescent="0.35">
      <c r="A80" s="1886"/>
      <c r="B80" s="1988">
        <v>10979</v>
      </c>
      <c r="C80" s="1988"/>
      <c r="D80" s="1946"/>
      <c r="E80" s="1022" t="s">
        <v>6839</v>
      </c>
      <c r="F80" s="1834">
        <v>4</v>
      </c>
      <c r="G80" s="179">
        <v>4</v>
      </c>
      <c r="H80" s="179">
        <v>6</v>
      </c>
      <c r="I80" s="1936"/>
      <c r="J80" s="1936"/>
      <c r="K80" s="1937"/>
      <c r="L80" s="1937"/>
      <c r="M80" s="1920"/>
      <c r="N80" s="1970">
        <v>0.95899999999999996</v>
      </c>
      <c r="O80" s="1949"/>
      <c r="P80" s="1950"/>
      <c r="Q80" s="1951"/>
      <c r="R80" s="1952"/>
      <c r="S80" s="1953"/>
      <c r="T80" s="1931"/>
      <c r="U80" s="1944"/>
      <c r="V80" s="1944"/>
      <c r="W80" s="1953"/>
      <c r="X80" s="2074"/>
      <c r="Y80" s="1834"/>
      <c r="Z80" s="2075"/>
      <c r="AE80" s="2461"/>
      <c r="AF80" s="68"/>
    </row>
    <row r="81" spans="1:32" x14ac:dyDescent="0.35">
      <c r="A81" s="1886"/>
      <c r="B81" s="1988">
        <v>10979</v>
      </c>
      <c r="C81" s="1988"/>
      <c r="D81" s="1946"/>
      <c r="E81" s="1971" t="s">
        <v>6840</v>
      </c>
      <c r="F81" s="1834">
        <v>4</v>
      </c>
      <c r="G81" s="179">
        <v>4</v>
      </c>
      <c r="H81" s="179">
        <v>6</v>
      </c>
      <c r="I81" s="1936"/>
      <c r="J81" s="1936"/>
      <c r="K81" s="1937"/>
      <c r="L81" s="1937"/>
      <c r="M81" s="1920"/>
      <c r="N81" s="1970"/>
      <c r="O81" s="1949"/>
      <c r="P81" s="1950"/>
      <c r="Q81" s="1951">
        <f>4.816-0.959</f>
        <v>3.8569999999999998</v>
      </c>
      <c r="R81" s="1952"/>
      <c r="S81" s="1953"/>
      <c r="T81" s="1931"/>
      <c r="U81" s="1944"/>
      <c r="V81" s="1944"/>
      <c r="W81" s="1953"/>
      <c r="X81" s="2074"/>
      <c r="Y81" s="1834"/>
      <c r="Z81" s="2075"/>
      <c r="AE81" s="2461"/>
      <c r="AF81" s="68"/>
    </row>
    <row r="82" spans="1:32" x14ac:dyDescent="0.35">
      <c r="A82" s="1886"/>
      <c r="B82" s="1988">
        <v>10979</v>
      </c>
      <c r="C82" s="1988"/>
      <c r="D82" s="1946"/>
      <c r="E82" s="1971" t="s">
        <v>6841</v>
      </c>
      <c r="F82" s="1834">
        <v>5</v>
      </c>
      <c r="G82" s="179">
        <v>5</v>
      </c>
      <c r="H82" s="179">
        <v>6</v>
      </c>
      <c r="I82" s="1936"/>
      <c r="J82" s="1936"/>
      <c r="K82" s="1937"/>
      <c r="L82" s="1937"/>
      <c r="M82" s="1920"/>
      <c r="N82" s="1937"/>
      <c r="O82" s="1949"/>
      <c r="P82" s="1950"/>
      <c r="Q82" s="1967">
        <f>5.69-4.816</f>
        <v>0.87400000000000055</v>
      </c>
      <c r="R82" s="1952"/>
      <c r="S82" s="1953"/>
      <c r="T82" s="1931"/>
      <c r="U82" s="1944"/>
      <c r="V82" s="1944"/>
      <c r="W82" s="1953"/>
      <c r="X82" s="2074"/>
      <c r="Y82" s="1834"/>
      <c r="Z82" s="2075"/>
      <c r="AE82" s="2461"/>
      <c r="AF82" s="68"/>
    </row>
    <row r="83" spans="1:32" x14ac:dyDescent="0.35">
      <c r="A83" s="1886"/>
      <c r="B83" s="1988">
        <v>10979</v>
      </c>
      <c r="C83" s="1988"/>
      <c r="D83" s="1946"/>
      <c r="E83" s="1022" t="s">
        <v>6842</v>
      </c>
      <c r="F83" s="1953">
        <v>5</v>
      </c>
      <c r="G83" s="179">
        <v>5</v>
      </c>
      <c r="H83" s="179">
        <v>6</v>
      </c>
      <c r="I83" s="1970"/>
      <c r="J83" s="1970"/>
      <c r="K83" s="1937"/>
      <c r="L83" s="1937"/>
      <c r="M83" s="1920"/>
      <c r="N83" s="1970">
        <f>7.8-5.69</f>
        <v>2.1099999999999994</v>
      </c>
      <c r="O83" s="1949"/>
      <c r="P83" s="1950"/>
      <c r="Q83" s="1967"/>
      <c r="R83" s="1952"/>
      <c r="S83" s="1953"/>
      <c r="T83" s="1931"/>
      <c r="U83" s="1944"/>
      <c r="V83" s="1944"/>
      <c r="W83" s="1953"/>
      <c r="X83" s="2074"/>
      <c r="Y83" s="1834"/>
      <c r="Z83" s="2075"/>
      <c r="AE83" s="2461"/>
      <c r="AF83" s="68"/>
    </row>
    <row r="84" spans="1:32" x14ac:dyDescent="0.35">
      <c r="A84" s="1886"/>
      <c r="B84" s="1988"/>
      <c r="C84" s="1988"/>
      <c r="D84" s="1946"/>
      <c r="E84" s="1022" t="s">
        <v>11416</v>
      </c>
      <c r="F84" s="1953">
        <v>4</v>
      </c>
      <c r="G84" s="179">
        <v>5</v>
      </c>
      <c r="H84" s="179">
        <v>6</v>
      </c>
      <c r="I84" s="1970"/>
      <c r="J84" s="1970"/>
      <c r="K84" s="1937"/>
      <c r="L84" s="1937"/>
      <c r="M84" s="1920"/>
      <c r="N84" s="2076">
        <f>8.15-7.8</f>
        <v>0.35000000000000053</v>
      </c>
      <c r="O84" s="1949"/>
      <c r="P84" s="1950"/>
      <c r="Q84" s="1967"/>
      <c r="R84" s="1952"/>
      <c r="S84" s="1953"/>
      <c r="T84" s="1931"/>
      <c r="U84" s="1944"/>
      <c r="V84" s="1944"/>
      <c r="W84" s="1953"/>
      <c r="X84" s="2074"/>
      <c r="Y84" s="1834"/>
      <c r="Z84" s="2075"/>
      <c r="AE84" s="2461"/>
      <c r="AF84" s="68"/>
    </row>
    <row r="85" spans="1:32" ht="46.5" x14ac:dyDescent="0.35">
      <c r="A85" s="1886"/>
      <c r="B85" s="1988"/>
      <c r="C85" s="1988"/>
      <c r="D85" s="1946"/>
      <c r="E85" s="1022" t="s">
        <v>11323</v>
      </c>
      <c r="F85" s="1953">
        <v>4</v>
      </c>
      <c r="G85" s="179">
        <v>5</v>
      </c>
      <c r="H85" s="179">
        <v>6</v>
      </c>
      <c r="I85" s="1970"/>
      <c r="J85" s="1970"/>
      <c r="K85" s="1937"/>
      <c r="L85" s="1937"/>
      <c r="M85" s="1920"/>
      <c r="N85" s="2076">
        <f>8.45-8.15</f>
        <v>0.29999999999999893</v>
      </c>
      <c r="O85" s="1949"/>
      <c r="P85" s="1950"/>
      <c r="Q85" s="1967"/>
      <c r="R85" s="1952"/>
      <c r="S85" s="1953"/>
      <c r="T85" s="1931"/>
      <c r="U85" s="1944"/>
      <c r="V85" s="1944"/>
      <c r="W85" s="1953"/>
      <c r="X85" s="2074"/>
      <c r="Y85" s="1834"/>
      <c r="Z85" s="2075"/>
      <c r="AE85" s="2461"/>
      <c r="AF85" s="68"/>
    </row>
    <row r="86" spans="1:32" x14ac:dyDescent="0.35">
      <c r="A86" s="1878"/>
      <c r="B86" s="1988">
        <v>10979</v>
      </c>
      <c r="C86" s="1988"/>
      <c r="D86" s="1946"/>
      <c r="E86" s="1022" t="s">
        <v>11417</v>
      </c>
      <c r="F86" s="1953">
        <v>4</v>
      </c>
      <c r="G86" s="179">
        <v>5</v>
      </c>
      <c r="H86" s="179">
        <v>6</v>
      </c>
      <c r="I86" s="1970"/>
      <c r="J86" s="1970"/>
      <c r="K86" s="1937"/>
      <c r="L86" s="1937"/>
      <c r="M86" s="1920"/>
      <c r="N86" s="2076">
        <f>9.347-8.45</f>
        <v>0.89700000000000024</v>
      </c>
      <c r="O86" s="1949"/>
      <c r="P86" s="1950"/>
      <c r="Q86" s="1951"/>
      <c r="R86" s="1952"/>
      <c r="S86" s="1969"/>
      <c r="T86" s="1931"/>
      <c r="U86" s="101"/>
      <c r="V86" s="101"/>
      <c r="W86" s="1969"/>
      <c r="X86" s="2657"/>
      <c r="Y86" s="1969"/>
      <c r="Z86" s="2656"/>
      <c r="AE86" s="2461"/>
      <c r="AF86" s="68"/>
    </row>
    <row r="87" spans="1:32" ht="30" x14ac:dyDescent="0.35">
      <c r="A87" s="525">
        <v>25</v>
      </c>
      <c r="B87" s="46">
        <v>10979</v>
      </c>
      <c r="C87" s="2083" t="s">
        <v>1656</v>
      </c>
      <c r="D87" s="2470" t="s">
        <v>5398</v>
      </c>
      <c r="E87" s="2187" t="s">
        <v>8712</v>
      </c>
      <c r="F87" s="92" t="s">
        <v>664</v>
      </c>
      <c r="G87" s="92">
        <v>5</v>
      </c>
      <c r="H87" s="1620">
        <v>6</v>
      </c>
      <c r="I87" s="702">
        <f>J87+K87+L87</f>
        <v>0.4</v>
      </c>
      <c r="J87" s="702">
        <f>SUM(M87:R87)</f>
        <v>0.4</v>
      </c>
      <c r="K87" s="622"/>
      <c r="L87" s="622"/>
      <c r="M87" s="622"/>
      <c r="N87" s="622"/>
      <c r="O87" s="622"/>
      <c r="P87" s="622"/>
      <c r="Q87" s="622"/>
      <c r="R87" s="906">
        <v>0.4</v>
      </c>
      <c r="S87" s="106"/>
      <c r="T87" s="1931"/>
      <c r="U87" s="106"/>
      <c r="V87" s="106"/>
      <c r="W87" s="105"/>
      <c r="X87" s="105"/>
      <c r="Y87" s="105"/>
      <c r="Z87" s="323"/>
      <c r="AB87" s="3">
        <v>1</v>
      </c>
      <c r="AE87" s="2461"/>
      <c r="AF87" s="68"/>
    </row>
    <row r="88" spans="1:32" ht="30" x14ac:dyDescent="0.35">
      <c r="A88" s="525">
        <v>26</v>
      </c>
      <c r="B88" s="46">
        <v>10979</v>
      </c>
      <c r="C88" s="2083" t="s">
        <v>1656</v>
      </c>
      <c r="D88" s="2470" t="s">
        <v>5399</v>
      </c>
      <c r="E88" s="2187" t="s">
        <v>8713</v>
      </c>
      <c r="F88" s="92" t="s">
        <v>664</v>
      </c>
      <c r="G88" s="92">
        <v>5</v>
      </c>
      <c r="H88" s="1620">
        <v>6</v>
      </c>
      <c r="I88" s="702">
        <f>J88+K88+L88</f>
        <v>1</v>
      </c>
      <c r="J88" s="702">
        <f>SUM(M88:R88)</f>
        <v>1</v>
      </c>
      <c r="K88" s="622"/>
      <c r="L88" s="622"/>
      <c r="M88" s="622"/>
      <c r="N88" s="622"/>
      <c r="O88" s="622"/>
      <c r="P88" s="622"/>
      <c r="Q88" s="622"/>
      <c r="R88" s="906">
        <v>1</v>
      </c>
      <c r="S88" s="106"/>
      <c r="T88" s="1931"/>
      <c r="U88" s="106"/>
      <c r="V88" s="106"/>
      <c r="W88" s="105"/>
      <c r="X88" s="105"/>
      <c r="Y88" s="105"/>
      <c r="Z88" s="323"/>
      <c r="AB88" s="3">
        <v>1</v>
      </c>
      <c r="AE88" s="2461"/>
      <c r="AF88" s="68"/>
    </row>
    <row r="89" spans="1:32" ht="30" x14ac:dyDescent="0.35">
      <c r="A89" s="1880">
        <v>27</v>
      </c>
      <c r="B89" s="1988">
        <v>10980</v>
      </c>
      <c r="C89" s="1988"/>
      <c r="D89" s="1973" t="s">
        <v>2795</v>
      </c>
      <c r="E89" s="1916" t="s">
        <v>3706</v>
      </c>
      <c r="F89" s="1834"/>
      <c r="G89" s="1953" t="s">
        <v>191</v>
      </c>
      <c r="H89" s="179" t="s">
        <v>191</v>
      </c>
      <c r="I89" s="1924">
        <f>J89+K89+L89</f>
        <v>9.620000000000001</v>
      </c>
      <c r="J89" s="1924">
        <f>SUM(M89:R89)</f>
        <v>9.620000000000001</v>
      </c>
      <c r="K89" s="1925"/>
      <c r="L89" s="1925"/>
      <c r="M89" s="1957"/>
      <c r="N89" s="1958">
        <f>SUM(N90:N94)</f>
        <v>0.49399999999999911</v>
      </c>
      <c r="O89" s="1959"/>
      <c r="P89" s="1960"/>
      <c r="Q89" s="1964">
        <f>SUM(Q90:Q94)</f>
        <v>9.1260000000000012</v>
      </c>
      <c r="R89" s="1909"/>
      <c r="S89" s="1991"/>
      <c r="T89" s="1931"/>
      <c r="U89" s="154"/>
      <c r="V89" s="154"/>
      <c r="W89" s="1881">
        <v>21</v>
      </c>
      <c r="X89" s="1962">
        <v>271.57</v>
      </c>
      <c r="Y89" s="1881">
        <v>8</v>
      </c>
      <c r="Z89" s="1963">
        <v>108.6</v>
      </c>
      <c r="AB89" s="3">
        <v>1</v>
      </c>
      <c r="AE89" s="2461"/>
      <c r="AF89" s="68"/>
    </row>
    <row r="90" spans="1:32" x14ac:dyDescent="0.35">
      <c r="A90" s="1886"/>
      <c r="B90" s="1988">
        <v>10980</v>
      </c>
      <c r="C90" s="1988"/>
      <c r="D90" s="1946"/>
      <c r="E90" s="1983" t="s">
        <v>3701</v>
      </c>
      <c r="F90" s="1834">
        <v>4</v>
      </c>
      <c r="G90" s="179">
        <v>4</v>
      </c>
      <c r="H90" s="179">
        <v>6</v>
      </c>
      <c r="I90" s="1936"/>
      <c r="J90" s="1936"/>
      <c r="K90" s="1937"/>
      <c r="L90" s="1937"/>
      <c r="M90" s="1920"/>
      <c r="N90" s="1970"/>
      <c r="O90" s="1949"/>
      <c r="P90" s="1950"/>
      <c r="Q90" s="1951">
        <v>1.133</v>
      </c>
      <c r="R90" s="1952"/>
      <c r="S90" s="1953"/>
      <c r="T90" s="1931"/>
      <c r="U90" s="1944"/>
      <c r="V90" s="1944"/>
      <c r="W90" s="1953"/>
      <c r="X90" s="2074"/>
      <c r="Y90" s="1834"/>
      <c r="Z90" s="2075"/>
      <c r="AE90" s="2461"/>
      <c r="AF90" s="68"/>
    </row>
    <row r="91" spans="1:32" x14ac:dyDescent="0.35">
      <c r="A91" s="1886"/>
      <c r="B91" s="1988">
        <v>10980</v>
      </c>
      <c r="C91" s="1988"/>
      <c r="D91" s="1946"/>
      <c r="E91" s="1022" t="s">
        <v>3702</v>
      </c>
      <c r="F91" s="1834">
        <v>4</v>
      </c>
      <c r="G91" s="179">
        <v>4</v>
      </c>
      <c r="H91" s="179">
        <v>6</v>
      </c>
      <c r="I91" s="1936"/>
      <c r="J91" s="1936"/>
      <c r="K91" s="1937"/>
      <c r="L91" s="1937"/>
      <c r="M91" s="1920"/>
      <c r="N91" s="1970">
        <f>1.606-1.133</f>
        <v>0.47300000000000009</v>
      </c>
      <c r="O91" s="1949"/>
      <c r="P91" s="1950"/>
      <c r="Q91" s="1951"/>
      <c r="R91" s="1952"/>
      <c r="S91" s="1953"/>
      <c r="T91" s="1931"/>
      <c r="U91" s="1944"/>
      <c r="V91" s="1944"/>
      <c r="W91" s="1953"/>
      <c r="X91" s="2074"/>
      <c r="Y91" s="1834"/>
      <c r="Z91" s="2075"/>
      <c r="AE91" s="2461"/>
      <c r="AF91" s="68"/>
    </row>
    <row r="92" spans="1:32" x14ac:dyDescent="0.35">
      <c r="A92" s="1875"/>
      <c r="B92" s="1988">
        <v>10980</v>
      </c>
      <c r="C92" s="1988"/>
      <c r="D92" s="1934"/>
      <c r="E92" s="1983" t="s">
        <v>3703</v>
      </c>
      <c r="F92" s="1943">
        <v>4</v>
      </c>
      <c r="G92" s="179">
        <v>5</v>
      </c>
      <c r="H92" s="179">
        <v>6</v>
      </c>
      <c r="I92" s="1936"/>
      <c r="J92" s="1936"/>
      <c r="K92" s="1937"/>
      <c r="L92" s="1937"/>
      <c r="M92" s="1938"/>
      <c r="N92" s="1936"/>
      <c r="O92" s="1939"/>
      <c r="P92" s="1940"/>
      <c r="Q92" s="1941">
        <f>5.338-1.606</f>
        <v>3.7320000000000002</v>
      </c>
      <c r="R92" s="1942"/>
      <c r="S92" s="1943"/>
      <c r="T92" s="1931"/>
      <c r="U92" s="1944"/>
      <c r="V92" s="1944"/>
      <c r="W92" s="1943"/>
      <c r="X92" s="2454"/>
      <c r="Y92" s="1943"/>
      <c r="Z92" s="2455"/>
      <c r="AE92" s="2461"/>
      <c r="AF92" s="68"/>
    </row>
    <row r="93" spans="1:32" x14ac:dyDescent="0.35">
      <c r="A93" s="1875"/>
      <c r="B93" s="1988">
        <v>10980</v>
      </c>
      <c r="C93" s="1988"/>
      <c r="D93" s="1934"/>
      <c r="E93" s="1983" t="s">
        <v>3704</v>
      </c>
      <c r="F93" s="1943">
        <v>5</v>
      </c>
      <c r="G93" s="179">
        <v>5</v>
      </c>
      <c r="H93" s="179">
        <v>6</v>
      </c>
      <c r="I93" s="1936"/>
      <c r="J93" s="1936"/>
      <c r="K93" s="1937"/>
      <c r="L93" s="1937"/>
      <c r="M93" s="1938"/>
      <c r="N93" s="1936"/>
      <c r="O93" s="1939"/>
      <c r="P93" s="1940"/>
      <c r="Q93" s="1941">
        <f>9.599-5.338</f>
        <v>4.2610000000000001</v>
      </c>
      <c r="R93" s="1942"/>
      <c r="S93" s="1943"/>
      <c r="T93" s="1931"/>
      <c r="U93" s="1944"/>
      <c r="V93" s="1944"/>
      <c r="W93" s="1943"/>
      <c r="X93" s="2454"/>
      <c r="Y93" s="1943"/>
      <c r="Z93" s="2455"/>
      <c r="AE93" s="2461"/>
      <c r="AF93" s="68"/>
    </row>
    <row r="94" spans="1:32" x14ac:dyDescent="0.35">
      <c r="A94" s="1880"/>
      <c r="B94" s="1988">
        <v>10980</v>
      </c>
      <c r="C94" s="1988"/>
      <c r="D94" s="1934"/>
      <c r="E94" s="1935" t="s">
        <v>3705</v>
      </c>
      <c r="F94" s="1943">
        <v>5</v>
      </c>
      <c r="G94" s="179">
        <v>5</v>
      </c>
      <c r="H94" s="179">
        <v>6</v>
      </c>
      <c r="I94" s="1936"/>
      <c r="J94" s="1936"/>
      <c r="K94" s="1937"/>
      <c r="L94" s="1937"/>
      <c r="M94" s="1938"/>
      <c r="N94" s="1936">
        <f>9.62-9.599</f>
        <v>2.0999999999999019E-2</v>
      </c>
      <c r="O94" s="1939"/>
      <c r="P94" s="1940"/>
      <c r="Q94" s="1941"/>
      <c r="R94" s="1942"/>
      <c r="S94" s="1943"/>
      <c r="T94" s="1931"/>
      <c r="U94" s="1944"/>
      <c r="V94" s="1944"/>
      <c r="W94" s="1943"/>
      <c r="X94" s="2454"/>
      <c r="Y94" s="1943"/>
      <c r="Z94" s="2455"/>
      <c r="AE94" s="2461"/>
      <c r="AF94" s="68"/>
    </row>
    <row r="95" spans="1:32" ht="30" x14ac:dyDescent="0.35">
      <c r="A95" s="1880">
        <v>28</v>
      </c>
      <c r="B95" s="1954">
        <v>10980</v>
      </c>
      <c r="C95" s="1954"/>
      <c r="D95" s="2470" t="s">
        <v>5400</v>
      </c>
      <c r="E95" s="1956" t="s">
        <v>7828</v>
      </c>
      <c r="F95" s="1834"/>
      <c r="G95" s="1834" t="s">
        <v>191</v>
      </c>
      <c r="H95" s="1943" t="s">
        <v>191</v>
      </c>
      <c r="I95" s="1924">
        <f>J95+K95+L95</f>
        <v>1.5</v>
      </c>
      <c r="J95" s="1924">
        <f>SUM(M95:R95)</f>
        <v>1.5</v>
      </c>
      <c r="K95" s="1925"/>
      <c r="L95" s="1925"/>
      <c r="M95" s="1957"/>
      <c r="N95" s="1925"/>
      <c r="O95" s="1959"/>
      <c r="P95" s="1960"/>
      <c r="Q95" s="1964">
        <f>SUM(Q96:Q97)</f>
        <v>0.6</v>
      </c>
      <c r="R95" s="1914">
        <f>SUM(R96:R97)</f>
        <v>0.9</v>
      </c>
      <c r="S95" s="164"/>
      <c r="T95" s="1931"/>
      <c r="U95" s="154"/>
      <c r="V95" s="154"/>
      <c r="W95" s="164"/>
      <c r="X95" s="1962"/>
      <c r="Y95" s="1881"/>
      <c r="Z95" s="1963"/>
      <c r="AB95" s="3">
        <v>1</v>
      </c>
      <c r="AE95" s="2461"/>
      <c r="AF95" s="68"/>
    </row>
    <row r="96" spans="1:32" x14ac:dyDescent="0.35">
      <c r="A96" s="1886"/>
      <c r="B96" s="1954">
        <v>10980</v>
      </c>
      <c r="C96" s="1954"/>
      <c r="D96" s="1965"/>
      <c r="E96" s="1966" t="s">
        <v>365</v>
      </c>
      <c r="F96" s="1834" t="s">
        <v>827</v>
      </c>
      <c r="G96" s="1620">
        <v>5</v>
      </c>
      <c r="H96" s="1834">
        <v>6</v>
      </c>
      <c r="I96" s="1936"/>
      <c r="J96" s="1936"/>
      <c r="K96" s="1937"/>
      <c r="L96" s="1937"/>
      <c r="M96" s="1920"/>
      <c r="N96" s="1937"/>
      <c r="O96" s="1949"/>
      <c r="P96" s="1950"/>
      <c r="Q96" s="1967">
        <v>0.6</v>
      </c>
      <c r="R96" s="1952"/>
      <c r="S96" s="1953"/>
      <c r="T96" s="1931"/>
      <c r="U96" s="1944"/>
      <c r="V96" s="1944"/>
      <c r="W96" s="1953"/>
      <c r="X96" s="2074"/>
      <c r="Y96" s="1834"/>
      <c r="Z96" s="2075"/>
      <c r="AE96" s="2461"/>
      <c r="AF96" s="68"/>
    </row>
    <row r="97" spans="1:32" x14ac:dyDescent="0.35">
      <c r="A97" s="1878"/>
      <c r="B97" s="1954">
        <v>10980</v>
      </c>
      <c r="C97" s="1954"/>
      <c r="D97" s="1946"/>
      <c r="E97" s="1989" t="s">
        <v>520</v>
      </c>
      <c r="F97" s="1953" t="s">
        <v>1490</v>
      </c>
      <c r="G97" s="1620">
        <v>5</v>
      </c>
      <c r="H97" s="1620">
        <v>6</v>
      </c>
      <c r="I97" s="1970"/>
      <c r="J97" s="1970"/>
      <c r="K97" s="1937"/>
      <c r="L97" s="1937"/>
      <c r="M97" s="1920"/>
      <c r="N97" s="1937"/>
      <c r="O97" s="1949"/>
      <c r="P97" s="1950"/>
      <c r="Q97" s="1951"/>
      <c r="R97" s="1968">
        <v>0.9</v>
      </c>
      <c r="S97" s="1969"/>
      <c r="T97" s="1931"/>
      <c r="U97" s="101"/>
      <c r="V97" s="101"/>
      <c r="W97" s="1969"/>
      <c r="X97" s="2657"/>
      <c r="Y97" s="1969"/>
      <c r="Z97" s="2656"/>
      <c r="AE97" s="2461"/>
      <c r="AF97" s="68"/>
    </row>
    <row r="98" spans="1:32" ht="30" x14ac:dyDescent="0.35">
      <c r="A98" s="1872">
        <v>29</v>
      </c>
      <c r="B98" s="1921">
        <v>10981</v>
      </c>
      <c r="C98" s="1921"/>
      <c r="D98" s="1922" t="s">
        <v>2796</v>
      </c>
      <c r="E98" s="1905" t="s">
        <v>10481</v>
      </c>
      <c r="F98" s="1943">
        <v>4</v>
      </c>
      <c r="G98" s="1953">
        <v>4</v>
      </c>
      <c r="H98" s="179">
        <v>6</v>
      </c>
      <c r="I98" s="1924">
        <f>J98+K98+L98</f>
        <v>3.0569999999999999</v>
      </c>
      <c r="J98" s="1924">
        <f>SUM(M98:R98)</f>
        <v>3.0569999999999999</v>
      </c>
      <c r="K98" s="1925"/>
      <c r="L98" s="1925"/>
      <c r="M98" s="1926"/>
      <c r="N98" s="1924">
        <v>3.0569999999999999</v>
      </c>
      <c r="O98" s="1927"/>
      <c r="P98" s="1928"/>
      <c r="Q98" s="1929"/>
      <c r="R98" s="1930"/>
      <c r="S98" s="1923"/>
      <c r="T98" s="1931"/>
      <c r="U98" s="154"/>
      <c r="V98" s="154"/>
      <c r="W98" s="1923">
        <v>9</v>
      </c>
      <c r="X98" s="1931">
        <v>111.07</v>
      </c>
      <c r="Y98" s="1923">
        <v>2</v>
      </c>
      <c r="Z98" s="1932">
        <v>17</v>
      </c>
      <c r="AB98" s="3">
        <v>1</v>
      </c>
      <c r="AE98" s="2461"/>
      <c r="AF98" s="68"/>
    </row>
    <row r="99" spans="1:32" ht="30" x14ac:dyDescent="0.35">
      <c r="A99" s="525">
        <v>30</v>
      </c>
      <c r="B99" s="1954">
        <v>10981</v>
      </c>
      <c r="C99" s="1954"/>
      <c r="D99" s="2470" t="s">
        <v>5401</v>
      </c>
      <c r="E99" s="1956" t="s">
        <v>10037</v>
      </c>
      <c r="F99" s="1834" t="s">
        <v>664</v>
      </c>
      <c r="G99" s="1834">
        <v>5</v>
      </c>
      <c r="H99" s="1953">
        <v>6</v>
      </c>
      <c r="I99" s="1924">
        <f>J99+K99+L99</f>
        <v>1</v>
      </c>
      <c r="J99" s="1924">
        <f>SUM(M99:R99)</f>
        <v>1</v>
      </c>
      <c r="K99" s="1924"/>
      <c r="L99" s="1924"/>
      <c r="M99" s="1926"/>
      <c r="N99" s="1924">
        <v>1</v>
      </c>
      <c r="O99" s="1927"/>
      <c r="P99" s="1928"/>
      <c r="Q99" s="1929"/>
      <c r="R99" s="1930"/>
      <c r="S99" s="164"/>
      <c r="T99" s="1931"/>
      <c r="U99" s="154"/>
      <c r="V99" s="154"/>
      <c r="W99" s="164"/>
      <c r="X99" s="1962"/>
      <c r="Y99" s="1881"/>
      <c r="Z99" s="1963"/>
      <c r="AB99" s="3">
        <v>1</v>
      </c>
      <c r="AE99" s="2461"/>
      <c r="AF99" s="68"/>
    </row>
    <row r="100" spans="1:32" ht="30" x14ac:dyDescent="0.35">
      <c r="A100" s="1872">
        <v>31</v>
      </c>
      <c r="B100" s="1954">
        <v>10981</v>
      </c>
      <c r="C100" s="1954"/>
      <c r="D100" s="2470" t="s">
        <v>5402</v>
      </c>
      <c r="E100" s="1916" t="s">
        <v>10038</v>
      </c>
      <c r="F100" s="1834" t="s">
        <v>664</v>
      </c>
      <c r="G100" s="1834">
        <v>5</v>
      </c>
      <c r="H100" s="1620">
        <v>6</v>
      </c>
      <c r="I100" s="1924">
        <f>J100+K100+L100</f>
        <v>1.6</v>
      </c>
      <c r="J100" s="1924">
        <f>SUM(M100:R100)</f>
        <v>1.6</v>
      </c>
      <c r="K100" s="1925"/>
      <c r="L100" s="1925"/>
      <c r="M100" s="1957"/>
      <c r="N100" s="1925"/>
      <c r="O100" s="1959"/>
      <c r="P100" s="1960"/>
      <c r="Q100" s="1961"/>
      <c r="R100" s="1914">
        <v>1.6</v>
      </c>
      <c r="S100" s="1974"/>
      <c r="T100" s="1931"/>
      <c r="U100" s="108"/>
      <c r="V100" s="108"/>
      <c r="W100" s="1974"/>
      <c r="X100" s="1990"/>
      <c r="Y100" s="1991"/>
      <c r="Z100" s="1992"/>
      <c r="AB100" s="3">
        <v>1</v>
      </c>
      <c r="AE100" s="2461"/>
      <c r="AF100" s="68"/>
    </row>
    <row r="101" spans="1:32" ht="30" x14ac:dyDescent="0.35">
      <c r="A101" s="525">
        <v>32</v>
      </c>
      <c r="B101" s="1921">
        <v>10982</v>
      </c>
      <c r="C101" s="1921"/>
      <c r="D101" s="1922" t="s">
        <v>2797</v>
      </c>
      <c r="E101" s="1905" t="s">
        <v>10482</v>
      </c>
      <c r="F101" s="1943">
        <v>5</v>
      </c>
      <c r="G101" s="1953">
        <v>5</v>
      </c>
      <c r="H101" s="1834">
        <v>6</v>
      </c>
      <c r="I101" s="1924">
        <f>J101+K101+L101</f>
        <v>2.4750000000000001</v>
      </c>
      <c r="J101" s="1924">
        <f>SUM(M101:R101)</f>
        <v>2.4750000000000001</v>
      </c>
      <c r="K101" s="1925"/>
      <c r="L101" s="1925"/>
      <c r="M101" s="1926"/>
      <c r="N101" s="1924"/>
      <c r="O101" s="1927"/>
      <c r="P101" s="1928"/>
      <c r="Q101" s="1929">
        <v>2.4750000000000001</v>
      </c>
      <c r="R101" s="1930"/>
      <c r="S101" s="1923"/>
      <c r="T101" s="1931"/>
      <c r="U101" s="154"/>
      <c r="V101" s="154"/>
      <c r="W101" s="1923">
        <v>10</v>
      </c>
      <c r="X101" s="1931">
        <v>110.2</v>
      </c>
      <c r="Y101" s="1923">
        <v>8</v>
      </c>
      <c r="Z101" s="1932">
        <v>85</v>
      </c>
      <c r="AB101" s="3">
        <v>1</v>
      </c>
      <c r="AE101" s="2461"/>
      <c r="AF101" s="68"/>
    </row>
    <row r="102" spans="1:32" ht="30" x14ac:dyDescent="0.35">
      <c r="A102" s="1872">
        <v>33</v>
      </c>
      <c r="B102" s="1921">
        <v>10983</v>
      </c>
      <c r="C102" s="1921"/>
      <c r="D102" s="1922" t="s">
        <v>2798</v>
      </c>
      <c r="E102" s="1905" t="s">
        <v>10483</v>
      </c>
      <c r="F102" s="1943"/>
      <c r="G102" s="1953" t="s">
        <v>191</v>
      </c>
      <c r="H102" s="1943" t="s">
        <v>191</v>
      </c>
      <c r="I102" s="1924">
        <f>J102+K102+L102</f>
        <v>21.620000000000005</v>
      </c>
      <c r="J102" s="1924">
        <f>SUM(M102:R102)</f>
        <v>21.562000000000005</v>
      </c>
      <c r="K102" s="1925"/>
      <c r="L102" s="1925">
        <f>SUM(L103:L113)</f>
        <v>5.800000000000026E-2</v>
      </c>
      <c r="M102" s="1926">
        <f>SUM(M103:M113)</f>
        <v>5.1020000000000012</v>
      </c>
      <c r="N102" s="1924">
        <f>SUM(N103:N113)</f>
        <v>0.2629999999999989</v>
      </c>
      <c r="O102" s="1927"/>
      <c r="P102" s="1928"/>
      <c r="Q102" s="1929">
        <f>SUM(Q103:Q113)</f>
        <v>16.197000000000003</v>
      </c>
      <c r="R102" s="1930"/>
      <c r="S102" s="1923">
        <v>1</v>
      </c>
      <c r="T102" s="1931">
        <v>45</v>
      </c>
      <c r="U102" s="154"/>
      <c r="V102" s="154"/>
      <c r="W102" s="1923">
        <v>43</v>
      </c>
      <c r="X102" s="1962">
        <v>544.74</v>
      </c>
      <c r="Y102" s="1881">
        <v>9</v>
      </c>
      <c r="Z102" s="1963">
        <v>97</v>
      </c>
      <c r="AB102" s="3">
        <v>1</v>
      </c>
      <c r="AE102" s="2461"/>
      <c r="AF102" s="68"/>
    </row>
    <row r="103" spans="1:32" ht="31" x14ac:dyDescent="0.35">
      <c r="A103" s="1872"/>
      <c r="B103" s="1921"/>
      <c r="C103" s="1921"/>
      <c r="D103" s="1922"/>
      <c r="E103" s="1022" t="s">
        <v>6865</v>
      </c>
      <c r="F103" s="1943">
        <v>4</v>
      </c>
      <c r="G103" s="1953">
        <v>4</v>
      </c>
      <c r="H103" s="1943" t="s">
        <v>191</v>
      </c>
      <c r="I103" s="1924"/>
      <c r="J103" s="1924"/>
      <c r="K103" s="1925"/>
      <c r="L103" s="1919">
        <v>0.02</v>
      </c>
      <c r="M103" s="1926"/>
      <c r="N103" s="1924"/>
      <c r="O103" s="1927"/>
      <c r="P103" s="1928"/>
      <c r="Q103" s="1929"/>
      <c r="R103" s="1930"/>
      <c r="S103" s="1923"/>
      <c r="T103" s="1931"/>
      <c r="U103" s="154"/>
      <c r="V103" s="154"/>
      <c r="W103" s="1923"/>
      <c r="X103" s="1962"/>
      <c r="Y103" s="1881"/>
      <c r="Z103" s="1963"/>
      <c r="AE103" s="2461"/>
      <c r="AF103" s="68"/>
    </row>
    <row r="104" spans="1:32" x14ac:dyDescent="0.35">
      <c r="A104" s="1872"/>
      <c r="B104" s="1921"/>
      <c r="C104" s="1921"/>
      <c r="D104" s="1922"/>
      <c r="E104" s="1022" t="s">
        <v>6866</v>
      </c>
      <c r="F104" s="1943">
        <v>4</v>
      </c>
      <c r="G104" s="1953">
        <v>4</v>
      </c>
      <c r="H104" s="1943">
        <v>6</v>
      </c>
      <c r="I104" s="1924"/>
      <c r="J104" s="1924"/>
      <c r="K104" s="1925"/>
      <c r="L104" s="1925"/>
      <c r="M104" s="1926"/>
      <c r="N104" s="1918">
        <f>0.055-0.02</f>
        <v>3.5000000000000003E-2</v>
      </c>
      <c r="O104" s="1927"/>
      <c r="P104" s="1928"/>
      <c r="Q104" s="1929"/>
      <c r="R104" s="1930"/>
      <c r="S104" s="1923"/>
      <c r="T104" s="1931"/>
      <c r="U104" s="154"/>
      <c r="V104" s="154"/>
      <c r="W104" s="1923"/>
      <c r="X104" s="1962"/>
      <c r="Y104" s="1881"/>
      <c r="Z104" s="1963"/>
      <c r="AE104" s="2461"/>
      <c r="AF104" s="68"/>
    </row>
    <row r="105" spans="1:32" x14ac:dyDescent="0.35">
      <c r="A105" s="1886"/>
      <c r="B105" s="1921">
        <v>10983</v>
      </c>
      <c r="C105" s="1921"/>
      <c r="D105" s="1934"/>
      <c r="E105" s="1945" t="s">
        <v>6875</v>
      </c>
      <c r="F105" s="1943">
        <v>4</v>
      </c>
      <c r="G105" s="1953">
        <v>4</v>
      </c>
      <c r="H105" s="1943">
        <v>10</v>
      </c>
      <c r="I105" s="1936"/>
      <c r="J105" s="1936"/>
      <c r="K105" s="1937"/>
      <c r="L105" s="1937"/>
      <c r="M105" s="1938">
        <f>4.801-0.055</f>
        <v>4.7460000000000004</v>
      </c>
      <c r="N105" s="1936"/>
      <c r="O105" s="1939"/>
      <c r="P105" s="1940"/>
      <c r="Q105" s="1941"/>
      <c r="R105" s="1942"/>
      <c r="S105" s="1943"/>
      <c r="T105" s="1931"/>
      <c r="U105" s="1944"/>
      <c r="V105" s="1944"/>
      <c r="W105" s="1943"/>
      <c r="X105" s="2074"/>
      <c r="Y105" s="1834"/>
      <c r="Z105" s="2075"/>
      <c r="AE105" s="2461"/>
      <c r="AF105" s="68"/>
    </row>
    <row r="106" spans="1:32" x14ac:dyDescent="0.35">
      <c r="A106" s="1886"/>
      <c r="B106" s="1921">
        <v>10983</v>
      </c>
      <c r="C106" s="1921"/>
      <c r="D106" s="1946"/>
      <c r="E106" s="1022" t="s">
        <v>6867</v>
      </c>
      <c r="F106" s="1834">
        <v>4</v>
      </c>
      <c r="G106" s="1953">
        <v>4</v>
      </c>
      <c r="H106" s="179">
        <v>6</v>
      </c>
      <c r="I106" s="1936"/>
      <c r="J106" s="1936"/>
      <c r="K106" s="1937"/>
      <c r="L106" s="1937"/>
      <c r="M106" s="1920"/>
      <c r="N106" s="1970">
        <f>4.983-4.801</f>
        <v>0.1819999999999995</v>
      </c>
      <c r="O106" s="1949"/>
      <c r="P106" s="1950"/>
      <c r="Q106" s="1951"/>
      <c r="R106" s="1952"/>
      <c r="S106" s="1953"/>
      <c r="T106" s="1931"/>
      <c r="U106" s="1944"/>
      <c r="V106" s="1944"/>
      <c r="W106" s="1953"/>
      <c r="X106" s="2074"/>
      <c r="Y106" s="1834"/>
      <c r="Z106" s="2075"/>
      <c r="AE106" s="2461"/>
      <c r="AF106" s="68"/>
    </row>
    <row r="107" spans="1:32" x14ac:dyDescent="0.35">
      <c r="A107" s="1886"/>
      <c r="B107" s="1921">
        <v>10983</v>
      </c>
      <c r="C107" s="1921"/>
      <c r="D107" s="1946"/>
      <c r="E107" s="1947" t="s">
        <v>6868</v>
      </c>
      <c r="F107" s="1834">
        <v>4</v>
      </c>
      <c r="G107" s="1953">
        <v>4</v>
      </c>
      <c r="H107" s="1943">
        <v>10</v>
      </c>
      <c r="I107" s="1936"/>
      <c r="J107" s="1936"/>
      <c r="K107" s="1937"/>
      <c r="L107" s="1937"/>
      <c r="M107" s="1948">
        <f>5.339-4.983</f>
        <v>0.35600000000000076</v>
      </c>
      <c r="N107" s="1937"/>
      <c r="O107" s="1949"/>
      <c r="P107" s="1950"/>
      <c r="Q107" s="1951"/>
      <c r="R107" s="1952"/>
      <c r="S107" s="1953"/>
      <c r="T107" s="1931"/>
      <c r="U107" s="1944"/>
      <c r="V107" s="1944"/>
      <c r="W107" s="1953"/>
      <c r="X107" s="2074"/>
      <c r="Y107" s="1834"/>
      <c r="Z107" s="2075"/>
      <c r="AE107" s="2461"/>
      <c r="AF107" s="68"/>
    </row>
    <row r="108" spans="1:32" x14ac:dyDescent="0.35">
      <c r="A108" s="1886"/>
      <c r="B108" s="1921"/>
      <c r="C108" s="1921"/>
      <c r="D108" s="1946"/>
      <c r="E108" s="1022" t="s">
        <v>6869</v>
      </c>
      <c r="F108" s="1834">
        <v>4</v>
      </c>
      <c r="G108" s="1953">
        <v>4</v>
      </c>
      <c r="H108" s="1943">
        <v>6</v>
      </c>
      <c r="I108" s="1936"/>
      <c r="J108" s="1936"/>
      <c r="K108" s="1937"/>
      <c r="L108" s="1937"/>
      <c r="M108" s="1948"/>
      <c r="N108" s="1937">
        <f>5.385-5.339</f>
        <v>4.5999999999999375E-2</v>
      </c>
      <c r="O108" s="1949"/>
      <c r="P108" s="1950"/>
      <c r="Q108" s="1951"/>
      <c r="R108" s="1952"/>
      <c r="S108" s="1953"/>
      <c r="T108" s="1931"/>
      <c r="U108" s="1944"/>
      <c r="V108" s="1944"/>
      <c r="W108" s="1953"/>
      <c r="X108" s="2074"/>
      <c r="Y108" s="1834"/>
      <c r="Z108" s="2075"/>
      <c r="AE108" s="2461"/>
      <c r="AF108" s="68"/>
    </row>
    <row r="109" spans="1:32" x14ac:dyDescent="0.35">
      <c r="A109" s="1886"/>
      <c r="B109" s="1921">
        <v>10983</v>
      </c>
      <c r="C109" s="1921"/>
      <c r="D109" s="1946"/>
      <c r="E109" s="1983" t="s">
        <v>6870</v>
      </c>
      <c r="F109" s="1834">
        <v>4</v>
      </c>
      <c r="G109" s="1953">
        <v>4</v>
      </c>
      <c r="H109" s="1834">
        <v>6</v>
      </c>
      <c r="I109" s="1936"/>
      <c r="J109" s="1936"/>
      <c r="K109" s="1937"/>
      <c r="L109" s="1937"/>
      <c r="M109" s="1948"/>
      <c r="N109" s="1937"/>
      <c r="O109" s="1949"/>
      <c r="P109" s="1950"/>
      <c r="Q109" s="1951">
        <f>8.405-5.385</f>
        <v>3.0199999999999996</v>
      </c>
      <c r="R109" s="1952"/>
      <c r="S109" s="1953"/>
      <c r="T109" s="1931"/>
      <c r="U109" s="1944"/>
      <c r="V109" s="1944"/>
      <c r="W109" s="1953"/>
      <c r="X109" s="2074"/>
      <c r="Y109" s="1834"/>
      <c r="Z109" s="2075"/>
      <c r="AA109" s="3" t="s">
        <v>1636</v>
      </c>
      <c r="AE109" s="2461"/>
      <c r="AF109" s="68"/>
    </row>
    <row r="110" spans="1:32" x14ac:dyDescent="0.35">
      <c r="A110" s="1886"/>
      <c r="B110" s="1921">
        <v>10983</v>
      </c>
      <c r="C110" s="1921"/>
      <c r="D110" s="1946"/>
      <c r="E110" s="1983" t="s">
        <v>6871</v>
      </c>
      <c r="F110" s="1834">
        <v>5</v>
      </c>
      <c r="G110" s="1953">
        <v>4</v>
      </c>
      <c r="H110" s="1834">
        <v>6</v>
      </c>
      <c r="I110" s="1936"/>
      <c r="J110" s="1936"/>
      <c r="K110" s="1937"/>
      <c r="L110" s="1937"/>
      <c r="M110" s="1948"/>
      <c r="N110" s="1937"/>
      <c r="O110" s="1949"/>
      <c r="P110" s="1950"/>
      <c r="Q110" s="1951">
        <f>18.027-8.405</f>
        <v>9.6220000000000017</v>
      </c>
      <c r="R110" s="1952"/>
      <c r="S110" s="1953"/>
      <c r="T110" s="1931"/>
      <c r="U110" s="1944"/>
      <c r="V110" s="1944"/>
      <c r="W110" s="1953"/>
      <c r="X110" s="2074"/>
      <c r="Y110" s="1834"/>
      <c r="Z110" s="2075"/>
      <c r="AE110" s="2461"/>
      <c r="AF110" s="68"/>
    </row>
    <row r="111" spans="1:32" x14ac:dyDescent="0.35">
      <c r="A111" s="1886"/>
      <c r="B111" s="1921"/>
      <c r="C111" s="1921"/>
      <c r="D111" s="1946"/>
      <c r="E111" s="1983" t="s">
        <v>6872</v>
      </c>
      <c r="F111" s="1834">
        <v>4</v>
      </c>
      <c r="G111" s="1953">
        <v>4</v>
      </c>
      <c r="H111" s="1834">
        <v>6</v>
      </c>
      <c r="I111" s="1936"/>
      <c r="J111" s="1936"/>
      <c r="K111" s="1937"/>
      <c r="L111" s="1937"/>
      <c r="M111" s="1948"/>
      <c r="N111" s="1937"/>
      <c r="O111" s="1949"/>
      <c r="P111" s="1950"/>
      <c r="Q111" s="1951">
        <f>20.204-18.027</f>
        <v>2.1769999999999996</v>
      </c>
      <c r="R111" s="1952"/>
      <c r="S111" s="1953"/>
      <c r="T111" s="1931"/>
      <c r="U111" s="1944"/>
      <c r="V111" s="1944"/>
      <c r="W111" s="1953"/>
      <c r="X111" s="2074"/>
      <c r="Y111" s="1834"/>
      <c r="Z111" s="2075"/>
      <c r="AE111" s="2461"/>
      <c r="AF111" s="68"/>
    </row>
    <row r="112" spans="1:32" ht="31" x14ac:dyDescent="0.35">
      <c r="A112" s="1886"/>
      <c r="B112" s="1921"/>
      <c r="C112" s="1921"/>
      <c r="D112" s="1946"/>
      <c r="E112" s="1022" t="s">
        <v>6873</v>
      </c>
      <c r="F112" s="1834">
        <v>4</v>
      </c>
      <c r="G112" s="1620">
        <v>4</v>
      </c>
      <c r="H112" s="1943" t="s">
        <v>191</v>
      </c>
      <c r="I112" s="1936"/>
      <c r="J112" s="1936"/>
      <c r="K112" s="1937"/>
      <c r="L112" s="1937">
        <f>20.242-20.204</f>
        <v>3.8000000000000256E-2</v>
      </c>
      <c r="M112" s="1948"/>
      <c r="N112" s="1937"/>
      <c r="O112" s="1949"/>
      <c r="P112" s="1950"/>
      <c r="Q112" s="1951"/>
      <c r="R112" s="1952"/>
      <c r="S112" s="1953"/>
      <c r="T112" s="1931"/>
      <c r="U112" s="1944"/>
      <c r="V112" s="1944"/>
      <c r="W112" s="1953"/>
      <c r="X112" s="2074"/>
      <c r="Y112" s="1834"/>
      <c r="Z112" s="2075"/>
      <c r="AE112" s="2461"/>
      <c r="AF112" s="68"/>
    </row>
    <row r="113" spans="1:32" x14ac:dyDescent="0.35">
      <c r="A113" s="1875"/>
      <c r="B113" s="1921">
        <v>10983</v>
      </c>
      <c r="C113" s="1921"/>
      <c r="D113" s="1934"/>
      <c r="E113" s="1983" t="s">
        <v>6874</v>
      </c>
      <c r="F113" s="1943">
        <v>5</v>
      </c>
      <c r="G113" s="179">
        <v>4</v>
      </c>
      <c r="H113" s="1834">
        <v>6</v>
      </c>
      <c r="I113" s="1936"/>
      <c r="J113" s="1936"/>
      <c r="K113" s="1937"/>
      <c r="L113" s="1937"/>
      <c r="M113" s="1938"/>
      <c r="N113" s="1936"/>
      <c r="O113" s="1939"/>
      <c r="P113" s="1940"/>
      <c r="Q113" s="1941">
        <f>21.62-20.242</f>
        <v>1.3780000000000001</v>
      </c>
      <c r="R113" s="1942"/>
      <c r="S113" s="1943"/>
      <c r="T113" s="1931"/>
      <c r="U113" s="1944"/>
      <c r="V113" s="1944"/>
      <c r="W113" s="1943"/>
      <c r="X113" s="2454"/>
      <c r="Y113" s="1943"/>
      <c r="Z113" s="2455"/>
      <c r="AA113" s="3" t="s">
        <v>1635</v>
      </c>
      <c r="AE113" s="2461"/>
      <c r="AF113" s="68"/>
    </row>
    <row r="114" spans="1:32" ht="45" x14ac:dyDescent="0.35">
      <c r="A114" s="525">
        <v>34</v>
      </c>
      <c r="B114" s="46">
        <v>10983</v>
      </c>
      <c r="C114" s="2083" t="s">
        <v>1656</v>
      </c>
      <c r="D114" s="2470" t="s">
        <v>5403</v>
      </c>
      <c r="E114" s="2187" t="s">
        <v>8714</v>
      </c>
      <c r="F114" s="92" t="s">
        <v>664</v>
      </c>
      <c r="G114" s="92">
        <v>5</v>
      </c>
      <c r="H114" s="1620">
        <v>6</v>
      </c>
      <c r="I114" s="702">
        <f>J114+K114+L114</f>
        <v>0.2</v>
      </c>
      <c r="J114" s="702">
        <f>SUM(M114:R114)</f>
        <v>0.2</v>
      </c>
      <c r="K114" s="622"/>
      <c r="L114" s="622"/>
      <c r="M114" s="622"/>
      <c r="N114" s="622"/>
      <c r="O114" s="622"/>
      <c r="P114" s="622"/>
      <c r="Q114" s="622"/>
      <c r="R114" s="2106">
        <v>0.2</v>
      </c>
      <c r="S114" s="106"/>
      <c r="T114" s="1931"/>
      <c r="U114" s="106"/>
      <c r="V114" s="106"/>
      <c r="W114" s="105"/>
      <c r="X114" s="105"/>
      <c r="Y114" s="105"/>
      <c r="Z114" s="323"/>
      <c r="AB114" s="3">
        <v>1</v>
      </c>
      <c r="AE114" s="2461"/>
      <c r="AF114" s="68"/>
    </row>
    <row r="115" spans="1:32" ht="45" x14ac:dyDescent="0.35">
      <c r="A115" s="525">
        <v>35</v>
      </c>
      <c r="B115" s="46">
        <v>10983</v>
      </c>
      <c r="C115" s="2083" t="s">
        <v>1656</v>
      </c>
      <c r="D115" s="2470" t="s">
        <v>5404</v>
      </c>
      <c r="E115" s="2187" t="s">
        <v>8715</v>
      </c>
      <c r="F115" s="92" t="s">
        <v>664</v>
      </c>
      <c r="G115" s="92">
        <v>5</v>
      </c>
      <c r="H115" s="1620">
        <v>6</v>
      </c>
      <c r="I115" s="702">
        <f>J115+K115+L115</f>
        <v>0.3</v>
      </c>
      <c r="J115" s="702">
        <f>SUM(M115:R115)</f>
        <v>0.3</v>
      </c>
      <c r="K115" s="622"/>
      <c r="L115" s="622"/>
      <c r="M115" s="622"/>
      <c r="N115" s="622"/>
      <c r="O115" s="622"/>
      <c r="P115" s="622"/>
      <c r="Q115" s="622"/>
      <c r="R115" s="2106">
        <v>0.3</v>
      </c>
      <c r="S115" s="106"/>
      <c r="T115" s="1931"/>
      <c r="U115" s="106"/>
      <c r="V115" s="106"/>
      <c r="W115" s="105"/>
      <c r="X115" s="105"/>
      <c r="Y115" s="105"/>
      <c r="Z115" s="323"/>
      <c r="AB115" s="3">
        <v>1</v>
      </c>
      <c r="AE115" s="2461"/>
      <c r="AF115" s="68"/>
    </row>
    <row r="116" spans="1:32" ht="45" x14ac:dyDescent="0.35">
      <c r="A116" s="525">
        <v>36</v>
      </c>
      <c r="B116" s="2083">
        <v>10983</v>
      </c>
      <c r="C116" s="2083" t="s">
        <v>1656</v>
      </c>
      <c r="D116" s="2470" t="s">
        <v>5405</v>
      </c>
      <c r="E116" s="2113" t="s">
        <v>8716</v>
      </c>
      <c r="F116" s="2210" t="s">
        <v>664</v>
      </c>
      <c r="G116" s="2210">
        <v>5</v>
      </c>
      <c r="H116" s="1620">
        <v>6</v>
      </c>
      <c r="I116" s="580">
        <f>J116+K116+L116</f>
        <v>1.2</v>
      </c>
      <c r="J116" s="2216">
        <f>SUM(M116:R116)</f>
        <v>1.2</v>
      </c>
      <c r="K116" s="527"/>
      <c r="L116" s="527"/>
      <c r="M116" s="527"/>
      <c r="N116" s="580"/>
      <c r="O116" s="2215"/>
      <c r="P116" s="527"/>
      <c r="Q116" s="913"/>
      <c r="R116" s="906">
        <v>1.2</v>
      </c>
      <c r="S116" s="92"/>
      <c r="T116" s="1931"/>
      <c r="U116" s="92"/>
      <c r="V116" s="92"/>
      <c r="W116" s="92"/>
      <c r="X116" s="92"/>
      <c r="Y116" s="92"/>
      <c r="Z116" s="70"/>
      <c r="AB116" s="3">
        <v>1</v>
      </c>
      <c r="AE116" s="2461"/>
      <c r="AF116" s="68"/>
    </row>
    <row r="117" spans="1:32" ht="45" x14ac:dyDescent="0.35">
      <c r="A117" s="525">
        <v>37</v>
      </c>
      <c r="B117" s="1954">
        <v>10983</v>
      </c>
      <c r="C117" s="358" t="s">
        <v>1656</v>
      </c>
      <c r="D117" s="2470" t="s">
        <v>5406</v>
      </c>
      <c r="E117" s="1956" t="s">
        <v>8717</v>
      </c>
      <c r="F117" s="1834" t="s">
        <v>664</v>
      </c>
      <c r="G117" s="92">
        <v>5</v>
      </c>
      <c r="H117" s="1620">
        <v>6</v>
      </c>
      <c r="I117" s="297">
        <f>J117+K117+L117</f>
        <v>0.4</v>
      </c>
      <c r="J117" s="297">
        <f>SUM(M117:R117)</f>
        <v>0.4</v>
      </c>
      <c r="K117" s="1925"/>
      <c r="L117" s="1925"/>
      <c r="M117" s="1957"/>
      <c r="N117" s="1958"/>
      <c r="O117" s="1959"/>
      <c r="P117" s="1960"/>
      <c r="Q117" s="1961"/>
      <c r="R117" s="1909">
        <v>0.4</v>
      </c>
      <c r="S117" s="164"/>
      <c r="T117" s="1931"/>
      <c r="U117" s="154"/>
      <c r="V117" s="154"/>
      <c r="W117" s="164"/>
      <c r="X117" s="1962"/>
      <c r="Y117" s="1881"/>
      <c r="Z117" s="1963"/>
      <c r="AB117" s="3">
        <v>1</v>
      </c>
      <c r="AE117" s="2461"/>
      <c r="AF117" s="68"/>
    </row>
    <row r="118" spans="1:32" ht="30" x14ac:dyDescent="0.35">
      <c r="A118" s="525">
        <v>38</v>
      </c>
      <c r="B118" s="1921">
        <v>10984</v>
      </c>
      <c r="C118" s="1921"/>
      <c r="D118" s="1922" t="s">
        <v>2799</v>
      </c>
      <c r="E118" s="1905" t="s">
        <v>10484</v>
      </c>
      <c r="F118" s="1943"/>
      <c r="G118" s="1953" t="s">
        <v>191</v>
      </c>
      <c r="H118" s="1943" t="s">
        <v>191</v>
      </c>
      <c r="I118" s="1924">
        <f>J118+K118+L118</f>
        <v>4.8330000000000002</v>
      </c>
      <c r="J118" s="1924">
        <f>SUM(M118:R118)</f>
        <v>4.7149999999999999</v>
      </c>
      <c r="K118" s="1925">
        <f>SUM(K119:K126)</f>
        <v>2.5999999999999999E-2</v>
      </c>
      <c r="L118" s="1925">
        <f>SUM(L119:L126)</f>
        <v>9.2000000000000082E-2</v>
      </c>
      <c r="M118" s="1926">
        <f>SUM(M119:M126)</f>
        <v>1.1949999999999998</v>
      </c>
      <c r="N118" s="1924">
        <f>SUM(N119:N126)</f>
        <v>1.03</v>
      </c>
      <c r="O118" s="1927"/>
      <c r="P118" s="1928"/>
      <c r="Q118" s="1929">
        <f>SUM(Q119:Q126)</f>
        <v>1.536</v>
      </c>
      <c r="R118" s="1930">
        <f>SUM(R119:R126)</f>
        <v>0.95400000000000018</v>
      </c>
      <c r="S118" s="1923"/>
      <c r="T118" s="1931"/>
      <c r="U118" s="154"/>
      <c r="V118" s="154"/>
      <c r="W118" s="1923">
        <v>13</v>
      </c>
      <c r="X118" s="1962">
        <v>149.29</v>
      </c>
      <c r="Y118" s="1881">
        <v>6</v>
      </c>
      <c r="Z118" s="1963">
        <v>70</v>
      </c>
      <c r="AB118" s="3">
        <v>1</v>
      </c>
      <c r="AE118" s="2461"/>
      <c r="AF118" s="68"/>
    </row>
    <row r="119" spans="1:32" ht="46.5" x14ac:dyDescent="0.35">
      <c r="A119" s="525"/>
      <c r="B119" s="1921"/>
      <c r="C119" s="1921"/>
      <c r="D119" s="1922"/>
      <c r="E119" s="1935" t="s">
        <v>6843</v>
      </c>
      <c r="F119" s="1943">
        <v>4</v>
      </c>
      <c r="G119" s="1953">
        <v>5</v>
      </c>
      <c r="H119" s="1943" t="s">
        <v>191</v>
      </c>
      <c r="I119" s="1918"/>
      <c r="J119" s="1918"/>
      <c r="K119" s="1919">
        <v>2.5999999999999999E-2</v>
      </c>
      <c r="L119" s="1919"/>
      <c r="M119" s="1938"/>
      <c r="N119" s="1918"/>
      <c r="O119" s="1939"/>
      <c r="P119" s="1940"/>
      <c r="Q119" s="1941"/>
      <c r="R119" s="1942"/>
      <c r="S119" s="1923"/>
      <c r="T119" s="1931"/>
      <c r="U119" s="154"/>
      <c r="V119" s="154"/>
      <c r="W119" s="1923"/>
      <c r="X119" s="1962"/>
      <c r="Y119" s="1881"/>
      <c r="Z119" s="1963"/>
      <c r="AE119" s="2461"/>
      <c r="AF119" s="68"/>
    </row>
    <row r="120" spans="1:32" x14ac:dyDescent="0.35">
      <c r="A120" s="1875"/>
      <c r="B120" s="1921">
        <v>10984</v>
      </c>
      <c r="C120" s="1921"/>
      <c r="D120" s="1934"/>
      <c r="E120" s="1935" t="s">
        <v>6844</v>
      </c>
      <c r="F120" s="1943">
        <v>4</v>
      </c>
      <c r="G120" s="179">
        <v>5</v>
      </c>
      <c r="H120" s="179">
        <v>6</v>
      </c>
      <c r="I120" s="1936"/>
      <c r="J120" s="1936"/>
      <c r="K120" s="1937"/>
      <c r="L120" s="1937"/>
      <c r="M120" s="1938"/>
      <c r="N120" s="1936">
        <f>1.056-0.026</f>
        <v>1.03</v>
      </c>
      <c r="O120" s="1939"/>
      <c r="P120" s="1940"/>
      <c r="Q120" s="1941"/>
      <c r="R120" s="1942"/>
      <c r="S120" s="1943"/>
      <c r="T120" s="1931"/>
      <c r="U120" s="1944"/>
      <c r="V120" s="1944"/>
      <c r="W120" s="1943"/>
      <c r="X120" s="2454"/>
      <c r="Y120" s="1943"/>
      <c r="Z120" s="2455"/>
      <c r="AE120" s="2461"/>
      <c r="AF120" s="68"/>
    </row>
    <row r="121" spans="1:32" x14ac:dyDescent="0.35">
      <c r="A121" s="1875"/>
      <c r="B121" s="1921"/>
      <c r="C121" s="1921"/>
      <c r="D121" s="1934"/>
      <c r="E121" s="1398" t="s">
        <v>6845</v>
      </c>
      <c r="F121" s="1943">
        <v>4</v>
      </c>
      <c r="G121" s="179">
        <v>5</v>
      </c>
      <c r="H121" s="179">
        <v>10</v>
      </c>
      <c r="I121" s="1936"/>
      <c r="J121" s="1936"/>
      <c r="K121" s="1937"/>
      <c r="L121" s="1937"/>
      <c r="M121" s="1938">
        <f>2.251-1.056</f>
        <v>1.1949999999999998</v>
      </c>
      <c r="N121" s="1936"/>
      <c r="O121" s="1939"/>
      <c r="P121" s="1940"/>
      <c r="Q121" s="1941"/>
      <c r="R121" s="1942"/>
      <c r="S121" s="1943"/>
      <c r="T121" s="1931"/>
      <c r="U121" s="1944"/>
      <c r="V121" s="1944"/>
      <c r="W121" s="1943"/>
      <c r="X121" s="2454"/>
      <c r="Y121" s="1943"/>
      <c r="Z121" s="2455"/>
      <c r="AE121" s="2461"/>
      <c r="AF121" s="68"/>
    </row>
    <row r="122" spans="1:32" x14ac:dyDescent="0.35">
      <c r="A122" s="1875"/>
      <c r="B122" s="1921"/>
      <c r="C122" s="1921"/>
      <c r="D122" s="1934"/>
      <c r="E122" s="1396" t="s">
        <v>6847</v>
      </c>
      <c r="F122" s="1943" t="s">
        <v>827</v>
      </c>
      <c r="G122" s="179">
        <v>5</v>
      </c>
      <c r="H122" s="1834">
        <v>6</v>
      </c>
      <c r="I122" s="1936"/>
      <c r="J122" s="1936"/>
      <c r="K122" s="1937"/>
      <c r="L122" s="1937"/>
      <c r="M122" s="1938"/>
      <c r="N122" s="1936"/>
      <c r="O122" s="1939"/>
      <c r="P122" s="1940"/>
      <c r="Q122" s="1941">
        <f>2.5-2.251</f>
        <v>0.24900000000000011</v>
      </c>
      <c r="R122" s="1942"/>
      <c r="S122" s="1943"/>
      <c r="T122" s="1931"/>
      <c r="U122" s="1944"/>
      <c r="V122" s="1944"/>
      <c r="W122" s="1943"/>
      <c r="X122" s="2454"/>
      <c r="Y122" s="1943"/>
      <c r="Z122" s="2455"/>
      <c r="AE122" s="2461"/>
      <c r="AF122" s="68"/>
    </row>
    <row r="123" spans="1:32" x14ac:dyDescent="0.35">
      <c r="A123" s="1875"/>
      <c r="B123" s="1921">
        <v>10984</v>
      </c>
      <c r="C123" s="1921"/>
      <c r="D123" s="1934" t="s">
        <v>1516</v>
      </c>
      <c r="E123" s="1993" t="s">
        <v>6846</v>
      </c>
      <c r="F123" s="1943" t="s">
        <v>827</v>
      </c>
      <c r="G123" s="179">
        <v>5</v>
      </c>
      <c r="H123" s="1620">
        <v>6</v>
      </c>
      <c r="I123" s="1936"/>
      <c r="J123" s="1936"/>
      <c r="K123" s="1937"/>
      <c r="L123" s="1937"/>
      <c r="M123" s="1938"/>
      <c r="N123" s="1936"/>
      <c r="O123" s="1939"/>
      <c r="P123" s="1940"/>
      <c r="Q123" s="1941"/>
      <c r="R123" s="1942">
        <f>3.121-2.5</f>
        <v>0.621</v>
      </c>
      <c r="S123" s="1943"/>
      <c r="T123" s="1931"/>
      <c r="U123" s="1944"/>
      <c r="V123" s="1944"/>
      <c r="W123" s="1943"/>
      <c r="X123" s="2454"/>
      <c r="Y123" s="1943"/>
      <c r="Z123" s="2455"/>
      <c r="AE123" s="2461"/>
      <c r="AF123" s="68"/>
    </row>
    <row r="124" spans="1:32" ht="46.5" x14ac:dyDescent="0.35">
      <c r="A124" s="1875"/>
      <c r="B124" s="1921"/>
      <c r="C124" s="1921"/>
      <c r="D124" s="1934"/>
      <c r="E124" s="1935" t="s">
        <v>9467</v>
      </c>
      <c r="F124" s="1943">
        <v>5</v>
      </c>
      <c r="G124" s="1953">
        <v>5</v>
      </c>
      <c r="H124" s="1943" t="s">
        <v>191</v>
      </c>
      <c r="I124" s="708"/>
      <c r="J124" s="708"/>
      <c r="K124" s="709"/>
      <c r="L124" s="709">
        <f>3.213-3.121</f>
        <v>9.2000000000000082E-2</v>
      </c>
      <c r="M124" s="1385"/>
      <c r="N124" s="708"/>
      <c r="O124" s="1377"/>
      <c r="P124" s="1370"/>
      <c r="Q124" s="1362"/>
      <c r="R124" s="1352"/>
      <c r="S124" s="1943"/>
      <c r="T124" s="1931"/>
      <c r="U124" s="1944"/>
      <c r="V124" s="1944"/>
      <c r="W124" s="1943"/>
      <c r="X124" s="2454"/>
      <c r="Y124" s="1943"/>
      <c r="Z124" s="2455"/>
      <c r="AE124" s="2461"/>
      <c r="AF124" s="68"/>
    </row>
    <row r="125" spans="1:32" x14ac:dyDescent="0.35">
      <c r="A125" s="1875"/>
      <c r="B125" s="1921"/>
      <c r="C125" s="1921"/>
      <c r="D125" s="1934"/>
      <c r="E125" s="1396" t="s">
        <v>6848</v>
      </c>
      <c r="F125" s="1943">
        <v>5</v>
      </c>
      <c r="G125" s="179">
        <v>5</v>
      </c>
      <c r="H125" s="1834">
        <v>6</v>
      </c>
      <c r="I125" s="708"/>
      <c r="J125" s="708"/>
      <c r="K125" s="709"/>
      <c r="L125" s="709"/>
      <c r="M125" s="1385"/>
      <c r="N125" s="708"/>
      <c r="O125" s="1377"/>
      <c r="P125" s="1370"/>
      <c r="Q125" s="1362">
        <f>4.5-3.213</f>
        <v>1.2869999999999999</v>
      </c>
      <c r="R125" s="1352"/>
      <c r="S125" s="1943"/>
      <c r="T125" s="1931"/>
      <c r="U125" s="1944"/>
      <c r="V125" s="1944"/>
      <c r="W125" s="1943"/>
      <c r="X125" s="2454"/>
      <c r="Y125" s="1943"/>
      <c r="Z125" s="2455"/>
      <c r="AE125" s="2461"/>
      <c r="AF125" s="68"/>
    </row>
    <row r="126" spans="1:32" x14ac:dyDescent="0.35">
      <c r="A126" s="1875"/>
      <c r="B126" s="1145">
        <v>10984</v>
      </c>
      <c r="C126" s="1145"/>
      <c r="D126" s="753"/>
      <c r="E126" s="1993" t="s">
        <v>6849</v>
      </c>
      <c r="F126" s="1943">
        <v>5</v>
      </c>
      <c r="G126" s="179">
        <v>5</v>
      </c>
      <c r="H126" s="1620">
        <v>6</v>
      </c>
      <c r="I126" s="1936"/>
      <c r="J126" s="1936"/>
      <c r="K126" s="1937"/>
      <c r="L126" s="1937"/>
      <c r="M126" s="1938"/>
      <c r="N126" s="1936"/>
      <c r="O126" s="1939"/>
      <c r="P126" s="1940"/>
      <c r="Q126" s="1941"/>
      <c r="R126" s="1942">
        <f>4.833-4.5</f>
        <v>0.33300000000000018</v>
      </c>
      <c r="S126" s="1943"/>
      <c r="T126" s="1931"/>
      <c r="U126" s="1944"/>
      <c r="V126" s="1944"/>
      <c r="W126" s="1943"/>
      <c r="X126" s="2454"/>
      <c r="Y126" s="1943"/>
      <c r="Z126" s="2455"/>
      <c r="AE126" s="2461"/>
      <c r="AF126" s="68"/>
    </row>
    <row r="127" spans="1:32" ht="30" x14ac:dyDescent="0.35">
      <c r="A127" s="1872">
        <v>39</v>
      </c>
      <c r="B127" s="1147">
        <v>10984</v>
      </c>
      <c r="C127" s="2083" t="s">
        <v>1656</v>
      </c>
      <c r="D127" s="2470" t="s">
        <v>5407</v>
      </c>
      <c r="E127" s="739" t="s">
        <v>8718</v>
      </c>
      <c r="F127" s="1953"/>
      <c r="G127" s="1953" t="s">
        <v>191</v>
      </c>
      <c r="H127" s="1620" t="s">
        <v>191</v>
      </c>
      <c r="I127" s="702">
        <f>J127+K127+L127</f>
        <v>0.6</v>
      </c>
      <c r="J127" s="702">
        <f>SUM(M127:R127)</f>
        <v>0.6</v>
      </c>
      <c r="K127" s="703"/>
      <c r="L127" s="703"/>
      <c r="M127" s="1387"/>
      <c r="N127" s="703"/>
      <c r="O127" s="1379"/>
      <c r="P127" s="1372"/>
      <c r="Q127" s="1364"/>
      <c r="R127" s="929">
        <f>SUM(R128:R129)</f>
        <v>0.6</v>
      </c>
      <c r="S127" s="1974"/>
      <c r="T127" s="1931"/>
      <c r="U127" s="108"/>
      <c r="V127" s="108"/>
      <c r="W127" s="1974">
        <v>1</v>
      </c>
      <c r="X127" s="1975">
        <v>10</v>
      </c>
      <c r="Y127" s="1974"/>
      <c r="Z127" s="1982"/>
      <c r="AB127" s="3">
        <v>1</v>
      </c>
      <c r="AE127" s="2461"/>
      <c r="AF127" s="68"/>
    </row>
    <row r="128" spans="1:32" x14ac:dyDescent="0.35">
      <c r="A128" s="1872"/>
      <c r="B128" s="1147">
        <v>10984</v>
      </c>
      <c r="C128" s="2083"/>
      <c r="D128" s="759"/>
      <c r="E128" s="1391" t="s">
        <v>1712</v>
      </c>
      <c r="F128" s="1953" t="s">
        <v>827</v>
      </c>
      <c r="G128" s="1953">
        <v>5</v>
      </c>
      <c r="H128" s="1620">
        <v>6</v>
      </c>
      <c r="I128" s="702"/>
      <c r="J128" s="702"/>
      <c r="K128" s="703"/>
      <c r="L128" s="703"/>
      <c r="M128" s="1387"/>
      <c r="N128" s="703"/>
      <c r="O128" s="1379"/>
      <c r="P128" s="1372"/>
      <c r="Q128" s="1364"/>
      <c r="R128" s="2209">
        <v>0.43</v>
      </c>
      <c r="S128" s="1974"/>
      <c r="T128" s="1931"/>
      <c r="U128" s="108"/>
      <c r="V128" s="108"/>
      <c r="W128" s="1974"/>
      <c r="X128" s="1975"/>
      <c r="Y128" s="1974"/>
      <c r="Z128" s="1982"/>
      <c r="AE128" s="2461"/>
      <c r="AF128" s="68"/>
    </row>
    <row r="129" spans="1:32" x14ac:dyDescent="0.35">
      <c r="A129" s="1872"/>
      <c r="B129" s="1147">
        <v>10984</v>
      </c>
      <c r="C129" s="2083"/>
      <c r="D129" s="759"/>
      <c r="E129" s="1391" t="s">
        <v>3185</v>
      </c>
      <c r="F129" s="1953" t="s">
        <v>664</v>
      </c>
      <c r="G129" s="1953">
        <v>5</v>
      </c>
      <c r="H129" s="1620">
        <v>6</v>
      </c>
      <c r="I129" s="702"/>
      <c r="J129" s="702"/>
      <c r="K129" s="703"/>
      <c r="L129" s="703"/>
      <c r="M129" s="1387"/>
      <c r="N129" s="703"/>
      <c r="O129" s="1379"/>
      <c r="P129" s="1372"/>
      <c r="Q129" s="1364"/>
      <c r="R129" s="2209">
        <f>0.6-0.43</f>
        <v>0.16999999999999998</v>
      </c>
      <c r="S129" s="1974"/>
      <c r="T129" s="1931"/>
      <c r="U129" s="108"/>
      <c r="V129" s="108"/>
      <c r="W129" s="1974"/>
      <c r="X129" s="1975"/>
      <c r="Y129" s="1974"/>
      <c r="Z129" s="1982"/>
      <c r="AE129" s="2461"/>
      <c r="AF129" s="68"/>
    </row>
    <row r="130" spans="1:32" ht="30" x14ac:dyDescent="0.35">
      <c r="A130" s="1872">
        <v>40</v>
      </c>
      <c r="B130" s="1145">
        <v>10985</v>
      </c>
      <c r="C130" s="1145"/>
      <c r="D130" s="752" t="s">
        <v>1500</v>
      </c>
      <c r="E130" s="699" t="s">
        <v>3644</v>
      </c>
      <c r="F130" s="1943"/>
      <c r="G130" s="1953" t="s">
        <v>191</v>
      </c>
      <c r="H130" s="1943" t="s">
        <v>191</v>
      </c>
      <c r="I130" s="702">
        <f>J130+K130+L130</f>
        <v>8.61</v>
      </c>
      <c r="J130" s="702">
        <f>SUM(M130:R130)</f>
        <v>8.61</v>
      </c>
      <c r="K130" s="703"/>
      <c r="L130" s="703"/>
      <c r="M130" s="1384">
        <f>SUM(M131:M137)</f>
        <v>1.1100000000000001</v>
      </c>
      <c r="N130" s="2841">
        <f>SUM(N131:N137)</f>
        <v>3.0599999999999996</v>
      </c>
      <c r="O130" s="1376"/>
      <c r="P130" s="1369"/>
      <c r="Q130" s="1361">
        <f>SUM(Q131:Q137)</f>
        <v>2.63</v>
      </c>
      <c r="R130" s="1351">
        <f>SUM(R131:R137)</f>
        <v>1.8099999999999996</v>
      </c>
      <c r="S130" s="1923"/>
      <c r="T130" s="1931"/>
      <c r="U130" s="154"/>
      <c r="V130" s="154"/>
      <c r="W130" s="1923">
        <v>15</v>
      </c>
      <c r="X130" s="1931">
        <v>222.9</v>
      </c>
      <c r="Y130" s="1923">
        <v>6</v>
      </c>
      <c r="Z130" s="1932">
        <v>80</v>
      </c>
      <c r="AB130" s="3">
        <v>1</v>
      </c>
      <c r="AE130" s="2461"/>
      <c r="AF130" s="68"/>
    </row>
    <row r="131" spans="1:32" x14ac:dyDescent="0.35">
      <c r="A131" s="1875"/>
      <c r="B131" s="1145">
        <v>10985</v>
      </c>
      <c r="C131" s="1145"/>
      <c r="D131" s="753"/>
      <c r="E131" s="1398" t="s">
        <v>2503</v>
      </c>
      <c r="F131" s="1943">
        <v>4</v>
      </c>
      <c r="G131" s="179">
        <v>5</v>
      </c>
      <c r="H131" s="1943">
        <v>10</v>
      </c>
      <c r="I131" s="708"/>
      <c r="J131" s="708"/>
      <c r="K131" s="709"/>
      <c r="L131" s="709"/>
      <c r="M131" s="1385">
        <v>1.1100000000000001</v>
      </c>
      <c r="N131" s="708"/>
      <c r="O131" s="1377"/>
      <c r="P131" s="1370"/>
      <c r="Q131" s="1362"/>
      <c r="R131" s="1352"/>
      <c r="S131" s="1943"/>
      <c r="T131" s="1931"/>
      <c r="U131" s="1944"/>
      <c r="V131" s="1944"/>
      <c r="W131" s="1943"/>
      <c r="X131" s="2454"/>
      <c r="Y131" s="1943"/>
      <c r="Z131" s="2455"/>
      <c r="AE131" s="2461"/>
      <c r="AF131" s="68"/>
    </row>
    <row r="132" spans="1:32" x14ac:dyDescent="0.35">
      <c r="A132" s="1875"/>
      <c r="B132" s="1145">
        <v>10985</v>
      </c>
      <c r="C132" s="1145"/>
      <c r="D132" s="753"/>
      <c r="E132" s="1935" t="s">
        <v>3645</v>
      </c>
      <c r="F132" s="1943">
        <v>4</v>
      </c>
      <c r="G132" s="179">
        <v>5</v>
      </c>
      <c r="H132" s="1943">
        <v>6</v>
      </c>
      <c r="I132" s="708"/>
      <c r="J132" s="708"/>
      <c r="K132" s="709"/>
      <c r="L132" s="709"/>
      <c r="M132" s="1385"/>
      <c r="N132" s="708">
        <f>1.174-1.11</f>
        <v>6.3999999999999835E-2</v>
      </c>
      <c r="O132" s="1377"/>
      <c r="P132" s="1370"/>
      <c r="Q132" s="1362"/>
      <c r="R132" s="1352"/>
      <c r="S132" s="1943"/>
      <c r="T132" s="1931"/>
      <c r="U132" s="1944"/>
      <c r="V132" s="1944"/>
      <c r="W132" s="1943"/>
      <c r="X132" s="2454"/>
      <c r="Y132" s="1943"/>
      <c r="Z132" s="2455"/>
      <c r="AE132" s="2461"/>
      <c r="AF132" s="68"/>
    </row>
    <row r="133" spans="1:32" x14ac:dyDescent="0.35">
      <c r="A133" s="1875"/>
      <c r="B133" s="1145">
        <v>10985</v>
      </c>
      <c r="C133" s="1145"/>
      <c r="D133" s="753"/>
      <c r="E133" s="2940" t="s">
        <v>3646</v>
      </c>
      <c r="F133" s="1943">
        <v>4</v>
      </c>
      <c r="G133" s="179">
        <v>5</v>
      </c>
      <c r="H133" s="1834">
        <v>6</v>
      </c>
      <c r="I133" s="708"/>
      <c r="J133" s="708"/>
      <c r="K133" s="709"/>
      <c r="L133" s="709"/>
      <c r="M133" s="1385"/>
      <c r="N133" s="2489">
        <f>3.8-1.174</f>
        <v>2.6259999999999999</v>
      </c>
      <c r="O133" s="1377"/>
      <c r="P133" s="1370"/>
      <c r="Q133" s="2489">
        <v>0</v>
      </c>
      <c r="R133" s="1352"/>
      <c r="S133" s="1943"/>
      <c r="T133" s="1931"/>
      <c r="U133" s="1944"/>
      <c r="V133" s="1944"/>
      <c r="W133" s="1943"/>
      <c r="X133" s="2454"/>
      <c r="Y133" s="1943"/>
      <c r="Z133" s="2455"/>
      <c r="AE133" s="2461"/>
      <c r="AF133" s="68"/>
    </row>
    <row r="134" spans="1:32" x14ac:dyDescent="0.35">
      <c r="A134" s="1875"/>
      <c r="B134" s="1145">
        <v>10985</v>
      </c>
      <c r="C134" s="1145"/>
      <c r="D134" s="753"/>
      <c r="E134" s="1935" t="s">
        <v>11587</v>
      </c>
      <c r="F134" s="1943">
        <v>4</v>
      </c>
      <c r="G134" s="179">
        <v>5</v>
      </c>
      <c r="H134" s="179">
        <v>6</v>
      </c>
      <c r="I134" s="708"/>
      <c r="J134" s="708"/>
      <c r="K134" s="709"/>
      <c r="L134" s="709"/>
      <c r="M134" s="1385"/>
      <c r="N134" s="2489">
        <f>4.17-3.8</f>
        <v>0.37000000000000011</v>
      </c>
      <c r="O134" s="1377"/>
      <c r="P134" s="1370"/>
      <c r="Q134" s="1362"/>
      <c r="R134" s="1352"/>
      <c r="S134" s="1943"/>
      <c r="T134" s="1931"/>
      <c r="U134" s="1944"/>
      <c r="V134" s="1944"/>
      <c r="W134" s="1943"/>
      <c r="X134" s="2454"/>
      <c r="Y134" s="1943"/>
      <c r="Z134" s="2455"/>
      <c r="AE134" s="2461"/>
      <c r="AF134" s="68"/>
    </row>
    <row r="135" spans="1:32" x14ac:dyDescent="0.35">
      <c r="A135" s="1875"/>
      <c r="B135" s="1145">
        <v>10985</v>
      </c>
      <c r="C135" s="1145"/>
      <c r="D135" s="753"/>
      <c r="E135" s="1396" t="s">
        <v>11588</v>
      </c>
      <c r="F135" s="1943">
        <v>4</v>
      </c>
      <c r="G135" s="179">
        <v>5</v>
      </c>
      <c r="H135" s="179">
        <v>6</v>
      </c>
      <c r="I135" s="708"/>
      <c r="J135" s="708"/>
      <c r="K135" s="709"/>
      <c r="L135" s="709"/>
      <c r="M135" s="1385"/>
      <c r="N135" s="708"/>
      <c r="O135" s="1377"/>
      <c r="P135" s="1370"/>
      <c r="Q135" s="1362">
        <f>6.5-4.17</f>
        <v>2.33</v>
      </c>
      <c r="R135" s="1352"/>
      <c r="S135" s="1943"/>
      <c r="T135" s="1931"/>
      <c r="U135" s="1944"/>
      <c r="V135" s="1944"/>
      <c r="W135" s="1943"/>
      <c r="X135" s="2454"/>
      <c r="Y135" s="1943"/>
      <c r="Z135" s="2455"/>
      <c r="AE135" s="2461"/>
      <c r="AF135" s="68"/>
    </row>
    <row r="136" spans="1:32" x14ac:dyDescent="0.35">
      <c r="A136" s="1875"/>
      <c r="B136" s="1145">
        <v>10985</v>
      </c>
      <c r="C136" s="1145"/>
      <c r="D136" s="753"/>
      <c r="E136" s="1396" t="s">
        <v>3648</v>
      </c>
      <c r="F136" s="1943" t="s">
        <v>664</v>
      </c>
      <c r="G136" s="179">
        <v>5</v>
      </c>
      <c r="H136" s="1834">
        <v>6</v>
      </c>
      <c r="I136" s="708"/>
      <c r="J136" s="708"/>
      <c r="K136" s="709"/>
      <c r="L136" s="709"/>
      <c r="M136" s="1385"/>
      <c r="N136" s="708"/>
      <c r="O136" s="1377"/>
      <c r="P136" s="1370"/>
      <c r="Q136" s="1362">
        <f>6.8-6.5</f>
        <v>0.29999999999999982</v>
      </c>
      <c r="R136" s="1352"/>
      <c r="S136" s="1943"/>
      <c r="T136" s="1931"/>
      <c r="U136" s="1944"/>
      <c r="V136" s="1944"/>
      <c r="W136" s="1943"/>
      <c r="X136" s="2454"/>
      <c r="Y136" s="1943"/>
      <c r="Z136" s="2455"/>
      <c r="AE136" s="2461"/>
      <c r="AF136" s="68"/>
    </row>
    <row r="137" spans="1:32" x14ac:dyDescent="0.35">
      <c r="A137" s="1875"/>
      <c r="B137" s="1145">
        <v>10985</v>
      </c>
      <c r="C137" s="1145"/>
      <c r="D137" s="753"/>
      <c r="E137" s="2438" t="s">
        <v>3647</v>
      </c>
      <c r="F137" s="1943" t="s">
        <v>664</v>
      </c>
      <c r="G137" s="179">
        <v>5</v>
      </c>
      <c r="H137" s="1620">
        <v>6</v>
      </c>
      <c r="I137" s="708"/>
      <c r="J137" s="708"/>
      <c r="K137" s="709"/>
      <c r="L137" s="709"/>
      <c r="M137" s="1385"/>
      <c r="N137" s="708"/>
      <c r="O137" s="1377"/>
      <c r="P137" s="1370"/>
      <c r="Q137" s="1362"/>
      <c r="R137" s="1352">
        <f>8.61-6.8</f>
        <v>1.8099999999999996</v>
      </c>
      <c r="S137" s="1943"/>
      <c r="T137" s="1931"/>
      <c r="U137" s="1944"/>
      <c r="V137" s="1944"/>
      <c r="W137" s="1943"/>
      <c r="X137" s="2454"/>
      <c r="Y137" s="1943"/>
      <c r="Z137" s="2455"/>
      <c r="AE137" s="2461"/>
      <c r="AF137" s="68"/>
    </row>
    <row r="138" spans="1:32" ht="30" x14ac:dyDescent="0.35">
      <c r="A138" s="1872">
        <v>41</v>
      </c>
      <c r="B138" s="1145">
        <v>10985</v>
      </c>
      <c r="C138" s="1145"/>
      <c r="D138" s="2470" t="s">
        <v>5408</v>
      </c>
      <c r="E138" s="2187" t="s">
        <v>7829</v>
      </c>
      <c r="F138" s="1943"/>
      <c r="G138" s="179" t="s">
        <v>191</v>
      </c>
      <c r="H138" s="1620" t="s">
        <v>191</v>
      </c>
      <c r="I138" s="702">
        <f>J138+K138+L138</f>
        <v>1.5309999999999999</v>
      </c>
      <c r="J138" s="702">
        <f>SUM(M138:R138)</f>
        <v>1.5309999999999999</v>
      </c>
      <c r="K138" s="709"/>
      <c r="L138" s="709"/>
      <c r="M138" s="1385"/>
      <c r="N138" s="708">
        <f>SUM(N139:N141)</f>
        <v>3.599999999999981E-2</v>
      </c>
      <c r="O138" s="1377"/>
      <c r="P138" s="1370"/>
      <c r="Q138" s="1929">
        <f>SUM(Q139:Q141)</f>
        <v>1.4950000000000001</v>
      </c>
      <c r="R138" s="1352"/>
      <c r="S138" s="1943"/>
      <c r="T138" s="1931"/>
      <c r="U138" s="1944"/>
      <c r="V138" s="1944"/>
      <c r="W138" s="1923">
        <v>1</v>
      </c>
      <c r="X138" s="1931">
        <v>15.03</v>
      </c>
      <c r="Y138" s="1943"/>
      <c r="Z138" s="2455"/>
      <c r="AB138" s="3">
        <v>1</v>
      </c>
      <c r="AE138" s="2461"/>
      <c r="AF138" s="68"/>
    </row>
    <row r="139" spans="1:32" x14ac:dyDescent="0.35">
      <c r="A139" s="1872"/>
      <c r="B139" s="1145">
        <v>10985</v>
      </c>
      <c r="C139" s="1145"/>
      <c r="D139" s="752"/>
      <c r="E139" s="1396" t="s">
        <v>3650</v>
      </c>
      <c r="F139" s="1943" t="s">
        <v>827</v>
      </c>
      <c r="G139" s="179">
        <v>5</v>
      </c>
      <c r="H139" s="1620">
        <v>6</v>
      </c>
      <c r="I139" s="1918"/>
      <c r="J139" s="1918"/>
      <c r="K139" s="1937"/>
      <c r="L139" s="1937"/>
      <c r="M139" s="1938"/>
      <c r="N139" s="1936"/>
      <c r="O139" s="1939"/>
      <c r="P139" s="1940"/>
      <c r="Q139" s="1941">
        <v>0.443</v>
      </c>
      <c r="R139" s="1942"/>
      <c r="S139" s="1943"/>
      <c r="T139" s="1931"/>
      <c r="U139" s="1944"/>
      <c r="V139" s="1944"/>
      <c r="W139" s="1923"/>
      <c r="X139" s="1931"/>
      <c r="Y139" s="1943"/>
      <c r="Z139" s="2455"/>
      <c r="AE139" s="2461"/>
      <c r="AF139" s="68"/>
    </row>
    <row r="140" spans="1:32" x14ac:dyDescent="0.35">
      <c r="A140" s="1872"/>
      <c r="B140" s="1145">
        <v>10985</v>
      </c>
      <c r="C140" s="1145"/>
      <c r="D140" s="752"/>
      <c r="E140" s="1396" t="s">
        <v>3651</v>
      </c>
      <c r="F140" s="1943">
        <v>4</v>
      </c>
      <c r="G140" s="179">
        <v>5</v>
      </c>
      <c r="H140" s="1620">
        <v>6</v>
      </c>
      <c r="I140" s="1918"/>
      <c r="J140" s="1918"/>
      <c r="K140" s="1937"/>
      <c r="L140" s="1937"/>
      <c r="M140" s="1938"/>
      <c r="N140" s="1936"/>
      <c r="O140" s="1939"/>
      <c r="P140" s="1940"/>
      <c r="Q140" s="1941">
        <f>1.495-0.443</f>
        <v>1.052</v>
      </c>
      <c r="R140" s="1942"/>
      <c r="S140" s="1943"/>
      <c r="T140" s="1931"/>
      <c r="U140" s="1944"/>
      <c r="V140" s="1944"/>
      <c r="W140" s="1923"/>
      <c r="X140" s="1931"/>
      <c r="Y140" s="1943"/>
      <c r="Z140" s="2455"/>
      <c r="AE140" s="2461"/>
      <c r="AF140" s="68"/>
    </row>
    <row r="141" spans="1:32" x14ac:dyDescent="0.35">
      <c r="A141" s="1872"/>
      <c r="B141" s="1145">
        <v>10985</v>
      </c>
      <c r="C141" s="1145"/>
      <c r="D141" s="752"/>
      <c r="E141" s="1935" t="s">
        <v>3649</v>
      </c>
      <c r="F141" s="1943">
        <v>4</v>
      </c>
      <c r="G141" s="179">
        <v>5</v>
      </c>
      <c r="H141" s="1620">
        <v>6</v>
      </c>
      <c r="I141" s="1918"/>
      <c r="J141" s="1918"/>
      <c r="K141" s="1937"/>
      <c r="L141" s="1937"/>
      <c r="M141" s="1938"/>
      <c r="N141" s="1936">
        <f>1.531-1.495</f>
        <v>3.599999999999981E-2</v>
      </c>
      <c r="O141" s="1939"/>
      <c r="P141" s="1940"/>
      <c r="Q141" s="1941"/>
      <c r="R141" s="1942"/>
      <c r="S141" s="1943"/>
      <c r="T141" s="1931"/>
      <c r="U141" s="1944"/>
      <c r="V141" s="1944"/>
      <c r="W141" s="1923"/>
      <c r="X141" s="1931"/>
      <c r="Y141" s="1943"/>
      <c r="Z141" s="2455"/>
      <c r="AE141" s="2461"/>
      <c r="AF141" s="68"/>
    </row>
    <row r="142" spans="1:32" ht="45" x14ac:dyDescent="0.35">
      <c r="A142" s="1872">
        <v>42</v>
      </c>
      <c r="B142" s="1147">
        <v>10985</v>
      </c>
      <c r="C142" s="1979" t="s">
        <v>1655</v>
      </c>
      <c r="D142" s="2470" t="s">
        <v>5409</v>
      </c>
      <c r="E142" s="2439" t="s">
        <v>11173</v>
      </c>
      <c r="F142" s="1943" t="s">
        <v>664</v>
      </c>
      <c r="G142" s="1834">
        <v>5</v>
      </c>
      <c r="H142" s="1620">
        <v>6</v>
      </c>
      <c r="I142" s="702">
        <f>J142+K142+L142</f>
        <v>1.45</v>
      </c>
      <c r="J142" s="702">
        <f>SUM(M142:R142)</f>
        <v>1.45</v>
      </c>
      <c r="K142" s="703"/>
      <c r="L142" s="703"/>
      <c r="M142" s="1384"/>
      <c r="N142" s="702"/>
      <c r="O142" s="1376"/>
      <c r="P142" s="1369"/>
      <c r="Q142" s="1361"/>
      <c r="R142" s="1358">
        <v>1.45</v>
      </c>
      <c r="S142" s="1986"/>
      <c r="T142" s="1931"/>
      <c r="U142" s="108"/>
      <c r="V142" s="108"/>
      <c r="W142" s="1986"/>
      <c r="X142" s="1975"/>
      <c r="Y142" s="1974"/>
      <c r="Z142" s="1982"/>
      <c r="AB142" s="3">
        <v>1</v>
      </c>
      <c r="AE142" s="2461"/>
      <c r="AF142" s="68"/>
    </row>
    <row r="143" spans="1:32" ht="45" x14ac:dyDescent="0.35">
      <c r="A143" s="525">
        <v>43</v>
      </c>
      <c r="B143" s="46">
        <v>10985</v>
      </c>
      <c r="C143" s="2083" t="s">
        <v>1656</v>
      </c>
      <c r="D143" s="2470" t="s">
        <v>5410</v>
      </c>
      <c r="E143" s="2187" t="s">
        <v>9270</v>
      </c>
      <c r="F143" s="92" t="s">
        <v>664</v>
      </c>
      <c r="G143" s="92">
        <v>5</v>
      </c>
      <c r="H143" s="1620">
        <v>6</v>
      </c>
      <c r="I143" s="702">
        <f>J143+K143+L143</f>
        <v>1.4</v>
      </c>
      <c r="J143" s="702">
        <v>1.4</v>
      </c>
      <c r="K143" s="622"/>
      <c r="L143" s="622"/>
      <c r="M143" s="622"/>
      <c r="N143" s="622"/>
      <c r="O143" s="622"/>
      <c r="P143" s="622"/>
      <c r="Q143" s="622"/>
      <c r="R143" s="906">
        <v>1.4</v>
      </c>
      <c r="S143" s="106"/>
      <c r="T143" s="1931"/>
      <c r="U143" s="106"/>
      <c r="V143" s="106"/>
      <c r="W143" s="105"/>
      <c r="X143" s="105"/>
      <c r="Y143" s="105"/>
      <c r="Z143" s="323"/>
      <c r="AB143" s="3">
        <v>1</v>
      </c>
      <c r="AE143" s="2461"/>
      <c r="AF143" s="68"/>
    </row>
    <row r="144" spans="1:32" ht="45" x14ac:dyDescent="0.35">
      <c r="A144" s="1872">
        <v>44</v>
      </c>
      <c r="B144" s="46">
        <v>10985</v>
      </c>
      <c r="C144" s="2083" t="s">
        <v>1656</v>
      </c>
      <c r="D144" s="2470" t="s">
        <v>5411</v>
      </c>
      <c r="E144" s="2187" t="s">
        <v>8719</v>
      </c>
      <c r="F144" s="92" t="s">
        <v>664</v>
      </c>
      <c r="G144" s="92">
        <v>5</v>
      </c>
      <c r="H144" s="1620">
        <v>6</v>
      </c>
      <c r="I144" s="702">
        <f>J144+K144+L144</f>
        <v>0.4</v>
      </c>
      <c r="J144" s="702">
        <f>SUM(M144:R144)</f>
        <v>0.4</v>
      </c>
      <c r="K144" s="622"/>
      <c r="L144" s="622"/>
      <c r="M144" s="622"/>
      <c r="N144" s="622"/>
      <c r="O144" s="622"/>
      <c r="P144" s="622"/>
      <c r="Q144" s="622"/>
      <c r="R144" s="906">
        <v>0.4</v>
      </c>
      <c r="S144" s="106"/>
      <c r="T144" s="1931"/>
      <c r="U144" s="106"/>
      <c r="V144" s="106"/>
      <c r="W144" s="105"/>
      <c r="X144" s="105"/>
      <c r="Y144" s="105"/>
      <c r="Z144" s="323"/>
      <c r="AB144" s="3">
        <v>1</v>
      </c>
      <c r="AE144" s="2461"/>
      <c r="AF144" s="68"/>
    </row>
    <row r="145" spans="1:32" ht="30" x14ac:dyDescent="0.35">
      <c r="A145" s="525">
        <v>45</v>
      </c>
      <c r="B145" s="1145">
        <v>10986</v>
      </c>
      <c r="C145" s="1145"/>
      <c r="D145" s="752" t="s">
        <v>1501</v>
      </c>
      <c r="E145" s="699" t="s">
        <v>1026</v>
      </c>
      <c r="F145" s="1943"/>
      <c r="G145" s="1953" t="s">
        <v>191</v>
      </c>
      <c r="H145" s="1943" t="s">
        <v>191</v>
      </c>
      <c r="I145" s="702">
        <f>J145+K145+L145</f>
        <v>7.05</v>
      </c>
      <c r="J145" s="702">
        <f>SUM(M145:R145)</f>
        <v>7.05</v>
      </c>
      <c r="K145" s="703"/>
      <c r="L145" s="703"/>
      <c r="M145" s="1384"/>
      <c r="N145" s="702">
        <f>SUM(N146:N148)</f>
        <v>1.6270000000000002</v>
      </c>
      <c r="O145" s="1376"/>
      <c r="P145" s="1369"/>
      <c r="Q145" s="1361">
        <f>SUM(Q146:Q151)</f>
        <v>3.1229999999999998</v>
      </c>
      <c r="R145" s="1351">
        <f>SUM(R146:R151)</f>
        <v>2.2999999999999998</v>
      </c>
      <c r="S145" s="1923"/>
      <c r="T145" s="1931"/>
      <c r="U145" s="154"/>
      <c r="V145" s="154"/>
      <c r="W145" s="1923">
        <v>14</v>
      </c>
      <c r="X145" s="1931">
        <v>172.5</v>
      </c>
      <c r="Y145" s="1923">
        <v>6</v>
      </c>
      <c r="Z145" s="1932">
        <v>62.2</v>
      </c>
      <c r="AA145" s="3" t="s">
        <v>1762</v>
      </c>
      <c r="AB145" s="3">
        <v>1</v>
      </c>
      <c r="AE145" s="2461"/>
      <c r="AF145" s="68"/>
    </row>
    <row r="146" spans="1:32" x14ac:dyDescent="0.35">
      <c r="A146" s="1875"/>
      <c r="B146" s="1145">
        <v>10986</v>
      </c>
      <c r="C146" s="1145"/>
      <c r="D146" s="753"/>
      <c r="E146" s="707" t="s">
        <v>7261</v>
      </c>
      <c r="F146" s="1943">
        <v>4</v>
      </c>
      <c r="G146" s="179">
        <v>4</v>
      </c>
      <c r="H146" s="179">
        <v>6</v>
      </c>
      <c r="I146" s="708"/>
      <c r="J146" s="708"/>
      <c r="K146" s="709"/>
      <c r="L146" s="709"/>
      <c r="M146" s="1385"/>
      <c r="N146" s="708">
        <v>1.1339999999999999</v>
      </c>
      <c r="O146" s="1377"/>
      <c r="P146" s="1370"/>
      <c r="Q146" s="1362"/>
      <c r="R146" s="1352"/>
      <c r="S146" s="1943"/>
      <c r="T146" s="1931"/>
      <c r="U146" s="1944"/>
      <c r="V146" s="1944"/>
      <c r="W146" s="1943"/>
      <c r="X146" s="2454"/>
      <c r="Y146" s="1943"/>
      <c r="Z146" s="2455"/>
      <c r="AE146" s="2461"/>
      <c r="AF146" s="68"/>
    </row>
    <row r="147" spans="1:32" x14ac:dyDescent="0.35">
      <c r="A147" s="1875"/>
      <c r="B147" s="1145">
        <v>10986</v>
      </c>
      <c r="C147" s="1145"/>
      <c r="D147" s="753"/>
      <c r="E147" s="1396" t="s">
        <v>7262</v>
      </c>
      <c r="F147" s="1943">
        <v>4</v>
      </c>
      <c r="G147" s="1620">
        <v>4</v>
      </c>
      <c r="H147" s="1834">
        <v>6</v>
      </c>
      <c r="I147" s="708"/>
      <c r="J147" s="708"/>
      <c r="K147" s="709"/>
      <c r="L147" s="709"/>
      <c r="M147" s="1385"/>
      <c r="N147" s="708"/>
      <c r="O147" s="1377"/>
      <c r="P147" s="1370"/>
      <c r="Q147" s="1362">
        <f>3.88-1.134</f>
        <v>2.746</v>
      </c>
      <c r="R147" s="1352"/>
      <c r="S147" s="1943"/>
      <c r="T147" s="1931"/>
      <c r="U147" s="1944"/>
      <c r="V147" s="1944"/>
      <c r="W147" s="1943"/>
      <c r="X147" s="2454"/>
      <c r="Y147" s="1943"/>
      <c r="Z147" s="2455"/>
      <c r="AE147" s="2461"/>
      <c r="AF147" s="68"/>
    </row>
    <row r="148" spans="1:32" x14ac:dyDescent="0.35">
      <c r="A148" s="1875"/>
      <c r="B148" s="1145">
        <v>10986</v>
      </c>
      <c r="C148" s="1145"/>
      <c r="D148" s="753"/>
      <c r="E148" s="707" t="s">
        <v>7263</v>
      </c>
      <c r="F148" s="1943">
        <v>4</v>
      </c>
      <c r="G148" s="1620">
        <v>4</v>
      </c>
      <c r="H148" s="179">
        <v>6</v>
      </c>
      <c r="I148" s="708"/>
      <c r="J148" s="708"/>
      <c r="K148" s="709"/>
      <c r="L148" s="709"/>
      <c r="M148" s="1385"/>
      <c r="N148" s="708">
        <f>4.373-3.88</f>
        <v>0.49300000000000033</v>
      </c>
      <c r="O148" s="1377"/>
      <c r="P148" s="1370"/>
      <c r="Q148" s="1362"/>
      <c r="R148" s="1352"/>
      <c r="S148" s="1943"/>
      <c r="T148" s="1931"/>
      <c r="U148" s="1944"/>
      <c r="V148" s="1944"/>
      <c r="W148" s="1943"/>
      <c r="X148" s="2454"/>
      <c r="Y148" s="1943"/>
      <c r="Z148" s="2455"/>
      <c r="AE148" s="2461"/>
      <c r="AF148" s="68"/>
    </row>
    <row r="149" spans="1:32" x14ac:dyDescent="0.35">
      <c r="A149" s="1875"/>
      <c r="B149" s="1145">
        <v>10986</v>
      </c>
      <c r="C149" s="1145"/>
      <c r="D149" s="753"/>
      <c r="E149" s="1396" t="s">
        <v>7264</v>
      </c>
      <c r="F149" s="1943">
        <v>5</v>
      </c>
      <c r="G149" s="179">
        <v>4</v>
      </c>
      <c r="H149" s="1834">
        <v>6</v>
      </c>
      <c r="I149" s="708"/>
      <c r="J149" s="708"/>
      <c r="K149" s="709"/>
      <c r="L149" s="709"/>
      <c r="M149" s="1385"/>
      <c r="N149" s="708"/>
      <c r="O149" s="1377"/>
      <c r="P149" s="1370"/>
      <c r="Q149" s="1362">
        <f>4.75-4.373</f>
        <v>0.37699999999999978</v>
      </c>
      <c r="R149" s="1352"/>
      <c r="S149" s="1943"/>
      <c r="T149" s="1931"/>
      <c r="U149" s="1944"/>
      <c r="V149" s="1944"/>
      <c r="W149" s="1943"/>
      <c r="X149" s="2454"/>
      <c r="Y149" s="1943"/>
      <c r="Z149" s="2455"/>
      <c r="AE149" s="2461"/>
      <c r="AF149" s="68"/>
    </row>
    <row r="150" spans="1:32" x14ac:dyDescent="0.35">
      <c r="A150" s="1875"/>
      <c r="B150" s="1145"/>
      <c r="C150" s="1145"/>
      <c r="D150" s="753"/>
      <c r="E150" s="1391" t="s">
        <v>7265</v>
      </c>
      <c r="F150" s="1943">
        <v>5</v>
      </c>
      <c r="G150" s="179">
        <v>4</v>
      </c>
      <c r="H150" s="1620">
        <v>6</v>
      </c>
      <c r="I150" s="708"/>
      <c r="J150" s="708"/>
      <c r="K150" s="709"/>
      <c r="L150" s="709"/>
      <c r="M150" s="1385"/>
      <c r="N150" s="708"/>
      <c r="O150" s="1377"/>
      <c r="P150" s="1370"/>
      <c r="Q150" s="1362"/>
      <c r="R150" s="1352">
        <f>6.931-4.75</f>
        <v>2.181</v>
      </c>
      <c r="S150" s="1943"/>
      <c r="T150" s="1931"/>
      <c r="U150" s="1944"/>
      <c r="V150" s="1944"/>
      <c r="W150" s="1943"/>
      <c r="X150" s="2454"/>
      <c r="Y150" s="1943"/>
      <c r="Z150" s="2455"/>
      <c r="AE150" s="2461"/>
      <c r="AF150" s="68"/>
    </row>
    <row r="151" spans="1:32" x14ac:dyDescent="0.35">
      <c r="A151" s="1875"/>
      <c r="B151" s="1145">
        <v>10986</v>
      </c>
      <c r="C151" s="1145"/>
      <c r="D151" s="753"/>
      <c r="E151" s="1391" t="s">
        <v>7266</v>
      </c>
      <c r="F151" s="1943" t="s">
        <v>1490</v>
      </c>
      <c r="G151" s="179">
        <v>4</v>
      </c>
      <c r="H151" s="1620">
        <v>6</v>
      </c>
      <c r="I151" s="708"/>
      <c r="J151" s="708"/>
      <c r="K151" s="709"/>
      <c r="L151" s="709"/>
      <c r="M151" s="1385"/>
      <c r="N151" s="708"/>
      <c r="O151" s="1377"/>
      <c r="P151" s="1370"/>
      <c r="Q151" s="1362"/>
      <c r="R151" s="1352">
        <f>7.05-6.931</f>
        <v>0.11899999999999977</v>
      </c>
      <c r="S151" s="1943"/>
      <c r="T151" s="1931"/>
      <c r="U151" s="1944"/>
      <c r="V151" s="1944"/>
      <c r="W151" s="1943"/>
      <c r="X151" s="2454"/>
      <c r="Y151" s="1943"/>
      <c r="Z151" s="2455"/>
      <c r="AE151" s="2461"/>
      <c r="AF151" s="68"/>
    </row>
    <row r="152" spans="1:32" ht="45" x14ac:dyDescent="0.35">
      <c r="A152" s="1896">
        <v>46</v>
      </c>
      <c r="B152" s="1148">
        <v>10986</v>
      </c>
      <c r="C152" s="2083" t="s">
        <v>1656</v>
      </c>
      <c r="D152" s="2470" t="s">
        <v>5412</v>
      </c>
      <c r="E152" s="739" t="s">
        <v>8720</v>
      </c>
      <c r="F152" s="1953" t="s">
        <v>664</v>
      </c>
      <c r="G152" s="1953">
        <v>5</v>
      </c>
      <c r="H152" s="1620">
        <v>6</v>
      </c>
      <c r="I152" s="702">
        <f>J152+K152+L152</f>
        <v>0.4</v>
      </c>
      <c r="J152" s="702">
        <f>SUM(M152:R152)</f>
        <v>0.4</v>
      </c>
      <c r="K152" s="703"/>
      <c r="L152" s="703"/>
      <c r="M152" s="1387"/>
      <c r="N152" s="703"/>
      <c r="O152" s="1379"/>
      <c r="P152" s="1372"/>
      <c r="Q152" s="1364"/>
      <c r="R152" s="929">
        <v>0.4</v>
      </c>
      <c r="S152" s="1974"/>
      <c r="T152" s="1931"/>
      <c r="U152" s="108"/>
      <c r="V152" s="108"/>
      <c r="W152" s="1974"/>
      <c r="X152" s="1975"/>
      <c r="Y152" s="1974"/>
      <c r="Z152" s="1982"/>
      <c r="AB152" s="3">
        <v>1</v>
      </c>
      <c r="AE152" s="2461"/>
      <c r="AF152" s="68"/>
    </row>
    <row r="153" spans="1:32" ht="45" x14ac:dyDescent="0.35">
      <c r="A153" s="525">
        <v>47</v>
      </c>
      <c r="B153" s="46">
        <v>10986</v>
      </c>
      <c r="C153" s="2083" t="s">
        <v>1656</v>
      </c>
      <c r="D153" s="2470" t="s">
        <v>5413</v>
      </c>
      <c r="E153" s="2187" t="s">
        <v>8721</v>
      </c>
      <c r="F153" s="92" t="s">
        <v>664</v>
      </c>
      <c r="G153" s="92">
        <v>5</v>
      </c>
      <c r="H153" s="1620">
        <v>6</v>
      </c>
      <c r="I153" s="702">
        <f>J153+K153+L153</f>
        <v>1.1499999999999999</v>
      </c>
      <c r="J153" s="702">
        <f>SUM(M153:R153)</f>
        <v>1.1499999999999999</v>
      </c>
      <c r="K153" s="622"/>
      <c r="L153" s="622"/>
      <c r="M153" s="622"/>
      <c r="N153" s="622"/>
      <c r="O153" s="622"/>
      <c r="P153" s="622"/>
      <c r="Q153" s="622"/>
      <c r="R153" s="2106">
        <v>1.1499999999999999</v>
      </c>
      <c r="S153" s="106"/>
      <c r="T153" s="1931"/>
      <c r="U153" s="106"/>
      <c r="V153" s="106"/>
      <c r="W153" s="105"/>
      <c r="X153" s="105"/>
      <c r="Y153" s="105"/>
      <c r="Z153" s="323"/>
      <c r="AB153" s="3">
        <v>1</v>
      </c>
      <c r="AE153" s="2461"/>
      <c r="AF153" s="68"/>
    </row>
    <row r="154" spans="1:32" ht="45" x14ac:dyDescent="0.35">
      <c r="A154" s="1896">
        <v>48</v>
      </c>
      <c r="B154" s="1972">
        <v>10986</v>
      </c>
      <c r="C154" s="358" t="s">
        <v>1656</v>
      </c>
      <c r="D154" s="2470" t="s">
        <v>5414</v>
      </c>
      <c r="E154" s="1916" t="s">
        <v>8722</v>
      </c>
      <c r="F154" s="1834" t="s">
        <v>664</v>
      </c>
      <c r="G154" s="92">
        <v>5</v>
      </c>
      <c r="H154" s="1620">
        <v>6</v>
      </c>
      <c r="I154" s="297">
        <f>J154+K154+L154</f>
        <v>1</v>
      </c>
      <c r="J154" s="297">
        <f>SUM(M154:R154)</f>
        <v>1</v>
      </c>
      <c r="K154" s="1925"/>
      <c r="L154" s="1925"/>
      <c r="M154" s="1957"/>
      <c r="N154" s="1925"/>
      <c r="O154" s="1959"/>
      <c r="P154" s="1960"/>
      <c r="Q154" s="1961"/>
      <c r="R154" s="1914">
        <v>1</v>
      </c>
      <c r="S154" s="1974"/>
      <c r="T154" s="1931"/>
      <c r="U154" s="108"/>
      <c r="V154" s="108"/>
      <c r="W154" s="1974"/>
      <c r="X154" s="1976"/>
      <c r="Y154" s="1977"/>
      <c r="Z154" s="1978"/>
      <c r="AB154" s="3">
        <v>1</v>
      </c>
      <c r="AE154" s="2461"/>
      <c r="AF154" s="68"/>
    </row>
    <row r="155" spans="1:32" ht="30" x14ac:dyDescent="0.35">
      <c r="A155" s="525">
        <v>49</v>
      </c>
      <c r="B155" s="1146">
        <v>10987</v>
      </c>
      <c r="C155" s="1145"/>
      <c r="D155" s="752" t="s">
        <v>2938</v>
      </c>
      <c r="E155" s="699" t="s">
        <v>10039</v>
      </c>
      <c r="F155" s="1943"/>
      <c r="G155" s="1953" t="s">
        <v>191</v>
      </c>
      <c r="H155" s="1943" t="s">
        <v>191</v>
      </c>
      <c r="I155" s="702">
        <f>J155+K155+L155</f>
        <v>3.7940000000000005</v>
      </c>
      <c r="J155" s="702">
        <f>SUM(M155:R155)</f>
        <v>3.7940000000000005</v>
      </c>
      <c r="K155" s="703"/>
      <c r="L155" s="703"/>
      <c r="M155" s="1384">
        <f>SUM(M156:M158)</f>
        <v>1.4749999999999999</v>
      </c>
      <c r="N155" s="702">
        <f>SUM(N156:N158)</f>
        <v>2.3190000000000004</v>
      </c>
      <c r="O155" s="1376"/>
      <c r="P155" s="1369"/>
      <c r="Q155" s="1361"/>
      <c r="R155" s="1351"/>
      <c r="S155" s="1923">
        <v>1</v>
      </c>
      <c r="T155" s="1931">
        <v>36.9</v>
      </c>
      <c r="U155" s="154"/>
      <c r="V155" s="154"/>
      <c r="W155" s="1923">
        <v>9</v>
      </c>
      <c r="X155" s="1931">
        <v>130.80000000000001</v>
      </c>
      <c r="Y155" s="1923">
        <v>4</v>
      </c>
      <c r="Z155" s="1932">
        <v>50</v>
      </c>
      <c r="AB155" s="3">
        <v>1</v>
      </c>
      <c r="AE155" s="2461"/>
      <c r="AF155" s="68"/>
    </row>
    <row r="156" spans="1:32" x14ac:dyDescent="0.35">
      <c r="A156" s="1875"/>
      <c r="B156" s="1146">
        <v>10987</v>
      </c>
      <c r="C156" s="1145"/>
      <c r="D156" s="753"/>
      <c r="E156" s="707" t="s">
        <v>6775</v>
      </c>
      <c r="F156" s="1943">
        <v>4</v>
      </c>
      <c r="G156" s="1953">
        <v>5</v>
      </c>
      <c r="H156" s="1943">
        <v>6</v>
      </c>
      <c r="I156" s="708"/>
      <c r="J156" s="708"/>
      <c r="K156" s="709"/>
      <c r="L156" s="709"/>
      <c r="M156" s="1385"/>
      <c r="N156" s="726">
        <v>3.5999999999999997E-2</v>
      </c>
      <c r="O156" s="1377"/>
      <c r="P156" s="1370"/>
      <c r="Q156" s="1362"/>
      <c r="R156" s="1352"/>
      <c r="S156" s="1943"/>
      <c r="T156" s="1931"/>
      <c r="U156" s="1944"/>
      <c r="V156" s="1944"/>
      <c r="W156" s="1943"/>
      <c r="X156" s="2454"/>
      <c r="Y156" s="1943"/>
      <c r="Z156" s="2455"/>
      <c r="AE156" s="2461"/>
      <c r="AF156" s="68"/>
    </row>
    <row r="157" spans="1:32" x14ac:dyDescent="0.35">
      <c r="A157" s="1875"/>
      <c r="B157" s="1146">
        <v>10987</v>
      </c>
      <c r="C157" s="1145"/>
      <c r="D157" s="753"/>
      <c r="E157" s="1398" t="s">
        <v>6776</v>
      </c>
      <c r="F157" s="1943">
        <v>4</v>
      </c>
      <c r="G157" s="1953">
        <v>5</v>
      </c>
      <c r="H157" s="1943">
        <v>10</v>
      </c>
      <c r="I157" s="708"/>
      <c r="J157" s="708"/>
      <c r="K157" s="709"/>
      <c r="L157" s="709"/>
      <c r="M157" s="1385">
        <f>1.511-0.036</f>
        <v>1.4749999999999999</v>
      </c>
      <c r="N157" s="726"/>
      <c r="O157" s="1377"/>
      <c r="P157" s="1370"/>
      <c r="Q157" s="1362"/>
      <c r="R157" s="1352"/>
      <c r="S157" s="1943"/>
      <c r="T157" s="1931"/>
      <c r="U157" s="1944"/>
      <c r="V157" s="1944"/>
      <c r="W157" s="1943"/>
      <c r="X157" s="2454"/>
      <c r="Y157" s="1943"/>
      <c r="Z157" s="2455"/>
      <c r="AE157" s="2461"/>
      <c r="AF157" s="68"/>
    </row>
    <row r="158" spans="1:32" x14ac:dyDescent="0.35">
      <c r="A158" s="1875"/>
      <c r="B158" s="1146">
        <v>10987</v>
      </c>
      <c r="C158" s="1145"/>
      <c r="D158" s="753"/>
      <c r="E158" s="707" t="s">
        <v>6777</v>
      </c>
      <c r="F158" s="1943">
        <v>4</v>
      </c>
      <c r="G158" s="1953">
        <v>5</v>
      </c>
      <c r="H158" s="1834">
        <v>6</v>
      </c>
      <c r="I158" s="708"/>
      <c r="J158" s="708"/>
      <c r="K158" s="709"/>
      <c r="L158" s="709"/>
      <c r="M158" s="1385"/>
      <c r="N158" s="726">
        <f>3.794-1.511</f>
        <v>2.2830000000000004</v>
      </c>
      <c r="O158" s="1377"/>
      <c r="P158" s="1370"/>
      <c r="Q158" s="1362"/>
      <c r="R158" s="1352"/>
      <c r="S158" s="1943"/>
      <c r="T158" s="1931"/>
      <c r="U158" s="1944"/>
      <c r="V158" s="1944"/>
      <c r="W158" s="1943"/>
      <c r="X158" s="2454"/>
      <c r="Y158" s="1943"/>
      <c r="Z158" s="2455"/>
      <c r="AE158" s="2461"/>
      <c r="AF158" s="68"/>
    </row>
    <row r="159" spans="1:32" ht="30" x14ac:dyDescent="0.4">
      <c r="A159" s="1880">
        <v>50</v>
      </c>
      <c r="B159" s="1146">
        <v>10987</v>
      </c>
      <c r="C159" s="2083" t="s">
        <v>1656</v>
      </c>
      <c r="D159" s="2470" t="s">
        <v>5415</v>
      </c>
      <c r="E159" s="2187" t="s">
        <v>10040</v>
      </c>
      <c r="F159" s="92" t="s">
        <v>1490</v>
      </c>
      <c r="G159" s="92">
        <v>5</v>
      </c>
      <c r="H159" s="1620">
        <v>6</v>
      </c>
      <c r="I159" s="702">
        <f>J159+K159+L159</f>
        <v>1.2</v>
      </c>
      <c r="J159" s="702">
        <f>SUM(M159:R159)</f>
        <v>1.2</v>
      </c>
      <c r="K159" s="2139"/>
      <c r="L159" s="2139"/>
      <c r="M159" s="2139"/>
      <c r="N159" s="2139"/>
      <c r="O159" s="2139"/>
      <c r="P159" s="2139"/>
      <c r="Q159" s="2139"/>
      <c r="R159" s="2106">
        <v>1.2</v>
      </c>
      <c r="S159" s="785"/>
      <c r="T159" s="1931"/>
      <c r="U159" s="785"/>
      <c r="V159" s="785"/>
      <c r="W159" s="1923">
        <v>2</v>
      </c>
      <c r="X159" s="1931">
        <v>20.399999999999999</v>
      </c>
      <c r="Y159" s="785"/>
      <c r="Z159" s="1729"/>
      <c r="AB159" s="3">
        <v>1</v>
      </c>
      <c r="AE159" s="2461"/>
      <c r="AF159" s="68"/>
    </row>
    <row r="160" spans="1:32" ht="30" x14ac:dyDescent="0.35">
      <c r="A160" s="1872">
        <v>51</v>
      </c>
      <c r="B160" s="1146">
        <v>10988</v>
      </c>
      <c r="C160" s="1145"/>
      <c r="D160" s="752" t="s">
        <v>1179</v>
      </c>
      <c r="E160" s="699" t="s">
        <v>10485</v>
      </c>
      <c r="F160" s="1943"/>
      <c r="G160" s="1953" t="s">
        <v>191</v>
      </c>
      <c r="H160" s="1943" t="s">
        <v>191</v>
      </c>
      <c r="I160" s="702">
        <f>J160+K160+L160</f>
        <v>12.048999999999999</v>
      </c>
      <c r="J160" s="702">
        <f>SUM(M160:R160)</f>
        <v>12.048999999999999</v>
      </c>
      <c r="K160" s="703"/>
      <c r="L160" s="702"/>
      <c r="M160" s="1384">
        <f>SUM(M161:M171)</f>
        <v>0.25500000000000023</v>
      </c>
      <c r="N160" s="702">
        <f>SUM(N161:N171)</f>
        <v>2.5000000000000355E-2</v>
      </c>
      <c r="O160" s="1376"/>
      <c r="P160" s="1369"/>
      <c r="Q160" s="1361">
        <f>SUM(Q161:Q171)</f>
        <v>6.8409999999999993</v>
      </c>
      <c r="R160" s="1351">
        <f>SUM(R161:R171)</f>
        <v>4.927999999999999</v>
      </c>
      <c r="S160" s="1923"/>
      <c r="T160" s="1931"/>
      <c r="U160" s="154"/>
      <c r="V160" s="154"/>
      <c r="W160" s="1923">
        <v>23</v>
      </c>
      <c r="X160" s="1931">
        <v>309.8</v>
      </c>
      <c r="Y160" s="1923">
        <v>7</v>
      </c>
      <c r="Z160" s="1932">
        <v>70</v>
      </c>
      <c r="AB160" s="3">
        <v>1</v>
      </c>
      <c r="AE160" s="2461"/>
      <c r="AF160" s="68"/>
    </row>
    <row r="161" spans="1:32" ht="18" x14ac:dyDescent="0.4">
      <c r="A161" s="1903"/>
      <c r="B161" s="1146">
        <v>10988</v>
      </c>
      <c r="C161" s="1145"/>
      <c r="D161" s="753"/>
      <c r="E161" s="1399" t="s">
        <v>3415</v>
      </c>
      <c r="F161" s="1943">
        <v>5</v>
      </c>
      <c r="G161" s="2567">
        <v>5</v>
      </c>
      <c r="H161" s="1620">
        <v>10</v>
      </c>
      <c r="I161" s="718"/>
      <c r="J161" s="718"/>
      <c r="K161" s="719"/>
      <c r="L161" s="719"/>
      <c r="M161" s="1385">
        <v>1.4999999999999999E-2</v>
      </c>
      <c r="N161" s="718"/>
      <c r="O161" s="1377"/>
      <c r="P161" s="1370"/>
      <c r="Q161" s="1362"/>
      <c r="R161" s="1352"/>
      <c r="S161" s="1943"/>
      <c r="T161" s="1931"/>
      <c r="U161" s="1944"/>
      <c r="V161" s="1944"/>
      <c r="W161" s="1876"/>
      <c r="X161" s="2660"/>
      <c r="Y161" s="1876"/>
      <c r="Z161" s="2661"/>
      <c r="AA161" s="3" t="s">
        <v>997</v>
      </c>
      <c r="AE161" s="2461"/>
      <c r="AF161" s="68"/>
    </row>
    <row r="162" spans="1:32" ht="18" x14ac:dyDescent="0.4">
      <c r="A162" s="1875"/>
      <c r="B162" s="1146">
        <v>10988</v>
      </c>
      <c r="C162" s="1145"/>
      <c r="D162" s="753"/>
      <c r="E162" s="1390" t="s">
        <v>6784</v>
      </c>
      <c r="F162" s="1943">
        <v>5</v>
      </c>
      <c r="G162" s="179">
        <v>5</v>
      </c>
      <c r="H162" s="1620">
        <v>6</v>
      </c>
      <c r="I162" s="708"/>
      <c r="J162" s="708"/>
      <c r="K162" s="709"/>
      <c r="L162" s="709"/>
      <c r="M162" s="1385"/>
      <c r="N162" s="708"/>
      <c r="O162" s="1377"/>
      <c r="P162" s="1370"/>
      <c r="Q162" s="1362"/>
      <c r="R162" s="1352">
        <f>0.75-0.015</f>
        <v>0.73499999999999999</v>
      </c>
      <c r="S162" s="1876"/>
      <c r="T162" s="1931"/>
      <c r="U162" s="1877"/>
      <c r="V162" s="1877"/>
      <c r="W162" s="1876"/>
      <c r="X162" s="2660"/>
      <c r="Y162" s="1876"/>
      <c r="Z162" s="2661"/>
      <c r="AA162" s="3" t="s">
        <v>997</v>
      </c>
      <c r="AE162" s="2461"/>
      <c r="AF162" s="68"/>
    </row>
    <row r="163" spans="1:32" ht="18" x14ac:dyDescent="0.4">
      <c r="A163" s="1875"/>
      <c r="B163" s="1146"/>
      <c r="C163" s="1145"/>
      <c r="D163" s="753"/>
      <c r="E163" s="1396" t="s">
        <v>6785</v>
      </c>
      <c r="F163" s="1943">
        <v>5</v>
      </c>
      <c r="G163" s="179">
        <v>5</v>
      </c>
      <c r="H163" s="1834">
        <v>6</v>
      </c>
      <c r="I163" s="708"/>
      <c r="J163" s="708"/>
      <c r="K163" s="709"/>
      <c r="L163" s="709"/>
      <c r="M163" s="1385"/>
      <c r="N163" s="708"/>
      <c r="O163" s="1377"/>
      <c r="P163" s="1370"/>
      <c r="Q163" s="1362">
        <f>1.9-0.75</f>
        <v>1.1499999999999999</v>
      </c>
      <c r="R163" s="1352"/>
      <c r="S163" s="1876"/>
      <c r="T163" s="1931"/>
      <c r="U163" s="1877"/>
      <c r="V163" s="1877"/>
      <c r="W163" s="1876"/>
      <c r="X163" s="2660"/>
      <c r="Y163" s="1876"/>
      <c r="Z163" s="2661"/>
      <c r="AA163" s="3" t="s">
        <v>997</v>
      </c>
      <c r="AE163" s="2461"/>
      <c r="AF163" s="68"/>
    </row>
    <row r="164" spans="1:32" ht="18" x14ac:dyDescent="0.4">
      <c r="A164" s="1875"/>
      <c r="B164" s="1146"/>
      <c r="C164" s="1145"/>
      <c r="D164" s="753"/>
      <c r="E164" s="1390" t="s">
        <v>6786</v>
      </c>
      <c r="F164" s="1943">
        <v>5</v>
      </c>
      <c r="G164" s="179">
        <v>5</v>
      </c>
      <c r="H164" s="1620">
        <v>6</v>
      </c>
      <c r="I164" s="708"/>
      <c r="J164" s="708"/>
      <c r="K164" s="709"/>
      <c r="L164" s="709"/>
      <c r="M164" s="1385"/>
      <c r="N164" s="708"/>
      <c r="O164" s="1377"/>
      <c r="P164" s="1370"/>
      <c r="Q164" s="1362"/>
      <c r="R164" s="1352">
        <f>2.4-1.9</f>
        <v>0.5</v>
      </c>
      <c r="S164" s="1876"/>
      <c r="T164" s="1931"/>
      <c r="U164" s="1877"/>
      <c r="V164" s="1877"/>
      <c r="W164" s="1876"/>
      <c r="X164" s="2660"/>
      <c r="Y164" s="1876"/>
      <c r="Z164" s="2661"/>
      <c r="AA164" s="3" t="s">
        <v>997</v>
      </c>
      <c r="AE164" s="2461"/>
      <c r="AF164" s="68"/>
    </row>
    <row r="165" spans="1:32" ht="18" x14ac:dyDescent="0.4">
      <c r="A165" s="1875"/>
      <c r="B165" s="1146"/>
      <c r="C165" s="1145"/>
      <c r="D165" s="753"/>
      <c r="E165" s="1396" t="s">
        <v>6787</v>
      </c>
      <c r="F165" s="1943">
        <v>5</v>
      </c>
      <c r="G165" s="179">
        <v>5</v>
      </c>
      <c r="H165" s="1834">
        <v>6</v>
      </c>
      <c r="I165" s="708"/>
      <c r="J165" s="708"/>
      <c r="K165" s="709"/>
      <c r="L165" s="709"/>
      <c r="M165" s="1385"/>
      <c r="N165" s="708"/>
      <c r="O165" s="1377"/>
      <c r="P165" s="1370"/>
      <c r="Q165" s="1362">
        <f>3.312-2.4</f>
        <v>0.91199999999999992</v>
      </c>
      <c r="R165" s="1352"/>
      <c r="S165" s="1876"/>
      <c r="T165" s="1931"/>
      <c r="U165" s="1877"/>
      <c r="V165" s="1877"/>
      <c r="W165" s="1876"/>
      <c r="X165" s="2660"/>
      <c r="Y165" s="1876"/>
      <c r="Z165" s="2661"/>
      <c r="AA165" s="3" t="s">
        <v>997</v>
      </c>
      <c r="AE165" s="2461"/>
      <c r="AF165" s="68"/>
    </row>
    <row r="166" spans="1:32" ht="18" x14ac:dyDescent="0.4">
      <c r="A166" s="1875"/>
      <c r="B166" s="1146">
        <v>10988</v>
      </c>
      <c r="C166" s="1145"/>
      <c r="D166" s="753"/>
      <c r="E166" s="1399" t="s">
        <v>6778</v>
      </c>
      <c r="F166" s="1943">
        <v>4</v>
      </c>
      <c r="G166" s="179">
        <v>5</v>
      </c>
      <c r="H166" s="1943">
        <v>10</v>
      </c>
      <c r="I166" s="708"/>
      <c r="J166" s="708"/>
      <c r="K166" s="709"/>
      <c r="L166" s="709"/>
      <c r="M166" s="1385">
        <f>3.552-3.312</f>
        <v>0.24000000000000021</v>
      </c>
      <c r="N166" s="708"/>
      <c r="O166" s="1377"/>
      <c r="P166" s="1370"/>
      <c r="Q166" s="1362"/>
      <c r="R166" s="1352"/>
      <c r="S166" s="1876"/>
      <c r="T166" s="1931"/>
      <c r="U166" s="1877"/>
      <c r="V166" s="1877"/>
      <c r="W166" s="1876"/>
      <c r="X166" s="2660"/>
      <c r="Y166" s="1876"/>
      <c r="Z166" s="2661"/>
      <c r="AA166" s="3" t="s">
        <v>1996</v>
      </c>
      <c r="AE166" s="2461"/>
      <c r="AF166" s="68"/>
    </row>
    <row r="167" spans="1:32" ht="18" x14ac:dyDescent="0.4">
      <c r="A167" s="1886"/>
      <c r="B167" s="1146">
        <v>10988</v>
      </c>
      <c r="C167" s="1145"/>
      <c r="D167" s="754"/>
      <c r="E167" s="1394" t="s">
        <v>6779</v>
      </c>
      <c r="F167" s="1834">
        <v>4</v>
      </c>
      <c r="G167" s="179">
        <v>5</v>
      </c>
      <c r="H167" s="1834">
        <v>6</v>
      </c>
      <c r="I167" s="708"/>
      <c r="J167" s="708"/>
      <c r="K167" s="709"/>
      <c r="L167" s="709"/>
      <c r="M167" s="1386"/>
      <c r="N167" s="709"/>
      <c r="O167" s="1378"/>
      <c r="P167" s="1371"/>
      <c r="Q167" s="1363">
        <f>5.507-3.552</f>
        <v>1.9549999999999996</v>
      </c>
      <c r="R167" s="1353"/>
      <c r="S167" s="1879"/>
      <c r="T167" s="1931"/>
      <c r="U167" s="1877"/>
      <c r="V167" s="1877"/>
      <c r="W167" s="1879"/>
      <c r="X167" s="1911"/>
      <c r="Y167" s="1912"/>
      <c r="Z167" s="1913"/>
      <c r="AA167" s="3" t="s">
        <v>1996</v>
      </c>
      <c r="AE167" s="2488"/>
      <c r="AF167" s="68"/>
    </row>
    <row r="168" spans="1:32" ht="18" x14ac:dyDescent="0.4">
      <c r="A168" s="1886"/>
      <c r="B168" s="1146">
        <v>10988</v>
      </c>
      <c r="C168" s="1145"/>
      <c r="D168" s="754"/>
      <c r="E168" s="1390" t="s">
        <v>6780</v>
      </c>
      <c r="F168" s="1834" t="s">
        <v>827</v>
      </c>
      <c r="G168" s="179">
        <v>5</v>
      </c>
      <c r="H168" s="1620">
        <v>6</v>
      </c>
      <c r="I168" s="708"/>
      <c r="J168" s="708"/>
      <c r="K168" s="709"/>
      <c r="L168" s="709"/>
      <c r="M168" s="1388"/>
      <c r="N168" s="709"/>
      <c r="O168" s="1378"/>
      <c r="P168" s="1371"/>
      <c r="Q168" s="1366"/>
      <c r="R168" s="1353">
        <f>9.2-5.507</f>
        <v>3.6929999999999996</v>
      </c>
      <c r="S168" s="1879"/>
      <c r="T168" s="1931"/>
      <c r="U168" s="1877"/>
      <c r="V168" s="1877"/>
      <c r="W168" s="1879"/>
      <c r="X168" s="1911"/>
      <c r="Y168" s="1912"/>
      <c r="Z168" s="1913"/>
      <c r="AA168" s="3" t="s">
        <v>1996</v>
      </c>
      <c r="AE168" s="2488"/>
      <c r="AF168" s="68"/>
    </row>
    <row r="169" spans="1:32" ht="18" x14ac:dyDescent="0.4">
      <c r="A169" s="1886"/>
      <c r="B169" s="1146">
        <v>10988</v>
      </c>
      <c r="C169" s="1145"/>
      <c r="D169" s="754"/>
      <c r="E169" s="1394" t="s">
        <v>6781</v>
      </c>
      <c r="F169" s="1953" t="s">
        <v>827</v>
      </c>
      <c r="G169" s="1620">
        <v>5</v>
      </c>
      <c r="H169" s="1834">
        <v>6</v>
      </c>
      <c r="I169" s="712"/>
      <c r="J169" s="709"/>
      <c r="K169" s="709"/>
      <c r="L169" s="712"/>
      <c r="M169" s="1388"/>
      <c r="N169" s="709"/>
      <c r="O169" s="1378"/>
      <c r="P169" s="1371"/>
      <c r="Q169" s="1363">
        <f>9.436-9.2</f>
        <v>0.23600000000000065</v>
      </c>
      <c r="R169" s="1356"/>
      <c r="S169" s="1887"/>
      <c r="T169" s="1931"/>
      <c r="U169" s="1888"/>
      <c r="V169" s="1888"/>
      <c r="W169" s="1887"/>
      <c r="X169" s="2662"/>
      <c r="Y169" s="1887"/>
      <c r="Z169" s="2663"/>
      <c r="AA169" s="3" t="s">
        <v>1996</v>
      </c>
      <c r="AE169" s="2488"/>
      <c r="AF169" s="68"/>
    </row>
    <row r="170" spans="1:32" ht="18" x14ac:dyDescent="0.4">
      <c r="A170" s="1886"/>
      <c r="B170" s="1146"/>
      <c r="C170" s="1145"/>
      <c r="D170" s="754"/>
      <c r="E170" s="1394" t="s">
        <v>6782</v>
      </c>
      <c r="F170" s="1953">
        <v>5</v>
      </c>
      <c r="G170" s="1620">
        <v>5</v>
      </c>
      <c r="H170" s="1834">
        <v>6</v>
      </c>
      <c r="I170" s="712"/>
      <c r="J170" s="709"/>
      <c r="K170" s="709"/>
      <c r="L170" s="712"/>
      <c r="M170" s="1388"/>
      <c r="N170" s="709"/>
      <c r="O170" s="1378"/>
      <c r="P170" s="1371"/>
      <c r="Q170" s="1363">
        <f>12.024-9.436</f>
        <v>2.5879999999999992</v>
      </c>
      <c r="R170" s="1356"/>
      <c r="S170" s="1887"/>
      <c r="T170" s="1931"/>
      <c r="U170" s="1888"/>
      <c r="V170" s="1888"/>
      <c r="W170" s="1887"/>
      <c r="X170" s="2662"/>
      <c r="Y170" s="1887"/>
      <c r="Z170" s="2663"/>
      <c r="AA170" s="3" t="s">
        <v>1996</v>
      </c>
      <c r="AE170" s="2488"/>
      <c r="AF170" s="68"/>
    </row>
    <row r="171" spans="1:32" ht="18" x14ac:dyDescent="0.4">
      <c r="A171" s="1886"/>
      <c r="B171" s="1146"/>
      <c r="C171" s="1145"/>
      <c r="D171" s="754"/>
      <c r="E171" s="711" t="s">
        <v>6783</v>
      </c>
      <c r="F171" s="1953">
        <v>5</v>
      </c>
      <c r="G171" s="1620">
        <v>5</v>
      </c>
      <c r="H171" s="1834">
        <v>6</v>
      </c>
      <c r="I171" s="712"/>
      <c r="J171" s="709"/>
      <c r="K171" s="709"/>
      <c r="L171" s="712"/>
      <c r="M171" s="1388"/>
      <c r="N171" s="709">
        <f>12.049-12.024</f>
        <v>2.5000000000000355E-2</v>
      </c>
      <c r="O171" s="1378"/>
      <c r="P171" s="1371"/>
      <c r="Q171" s="1363"/>
      <c r="R171" s="1356"/>
      <c r="S171" s="1887"/>
      <c r="T171" s="1931"/>
      <c r="U171" s="1888"/>
      <c r="V171" s="1888"/>
      <c r="W171" s="1887"/>
      <c r="X171" s="2662"/>
      <c r="Y171" s="1887"/>
      <c r="Z171" s="2663"/>
      <c r="AA171" s="3" t="s">
        <v>1996</v>
      </c>
      <c r="AE171" s="2488"/>
      <c r="AF171" s="68"/>
    </row>
    <row r="172" spans="1:32" ht="45" x14ac:dyDescent="0.35">
      <c r="A172" s="1880">
        <v>52</v>
      </c>
      <c r="B172" s="1146">
        <v>10988</v>
      </c>
      <c r="C172" s="1146"/>
      <c r="D172" s="2470" t="s">
        <v>5416</v>
      </c>
      <c r="E172" s="715" t="s">
        <v>7830</v>
      </c>
      <c r="F172" s="725" t="s">
        <v>827</v>
      </c>
      <c r="G172" s="1834">
        <v>5</v>
      </c>
      <c r="H172" s="1834">
        <v>6</v>
      </c>
      <c r="I172" s="702">
        <f>J172+K172+L172</f>
        <v>0.80900000000000005</v>
      </c>
      <c r="J172" s="702">
        <f>SUM(M172:R172)</f>
        <v>0.80900000000000005</v>
      </c>
      <c r="K172" s="703"/>
      <c r="L172" s="703"/>
      <c r="M172" s="1387"/>
      <c r="N172" s="703"/>
      <c r="O172" s="1379"/>
      <c r="P172" s="1372"/>
      <c r="Q172" s="1365">
        <v>0.80900000000000005</v>
      </c>
      <c r="R172" s="1354"/>
      <c r="S172" s="1882"/>
      <c r="T172" s="1931"/>
      <c r="U172" s="1874"/>
      <c r="V172" s="1874"/>
      <c r="W172" s="716">
        <v>1</v>
      </c>
      <c r="X172" s="333">
        <v>15.1</v>
      </c>
      <c r="Y172" s="716"/>
      <c r="Z172" s="1706"/>
      <c r="AB172" s="3">
        <v>1</v>
      </c>
      <c r="AC172" s="2306"/>
    </row>
    <row r="173" spans="1:32" ht="45" x14ac:dyDescent="0.35">
      <c r="A173" s="1880">
        <v>53</v>
      </c>
      <c r="B173" s="1146">
        <v>10988</v>
      </c>
      <c r="C173" s="1146"/>
      <c r="D173" s="2470" t="s">
        <v>5417</v>
      </c>
      <c r="E173" s="715" t="s">
        <v>7831</v>
      </c>
      <c r="F173" s="725">
        <v>4</v>
      </c>
      <c r="G173" s="1834">
        <v>5</v>
      </c>
      <c r="H173" s="1943">
        <v>10</v>
      </c>
      <c r="I173" s="702">
        <f>J173+K173+L173</f>
        <v>1.2</v>
      </c>
      <c r="J173" s="702">
        <f>SUM(M173:R173)</f>
        <v>1.2</v>
      </c>
      <c r="K173" s="703"/>
      <c r="L173" s="703"/>
      <c r="M173" s="1389">
        <v>1.2</v>
      </c>
      <c r="N173" s="703"/>
      <c r="O173" s="1379"/>
      <c r="P173" s="1372"/>
      <c r="Q173" s="1364"/>
      <c r="R173" s="1354"/>
      <c r="S173" s="1882"/>
      <c r="T173" s="1931"/>
      <c r="U173" s="1874"/>
      <c r="V173" s="1874"/>
      <c r="W173" s="716">
        <v>5</v>
      </c>
      <c r="X173" s="333">
        <v>78.5</v>
      </c>
      <c r="Y173" s="716">
        <v>2</v>
      </c>
      <c r="Z173" s="1706">
        <v>22.5</v>
      </c>
      <c r="AB173" s="3">
        <v>1</v>
      </c>
      <c r="AE173" s="2461"/>
      <c r="AF173" s="68"/>
    </row>
    <row r="174" spans="1:32" ht="60" x14ac:dyDescent="0.35">
      <c r="A174" s="1880">
        <v>54</v>
      </c>
      <c r="B174" s="1954">
        <v>10988</v>
      </c>
      <c r="C174" s="358" t="s">
        <v>1656</v>
      </c>
      <c r="D174" s="2470" t="s">
        <v>5418</v>
      </c>
      <c r="E174" s="733" t="s">
        <v>8723</v>
      </c>
      <c r="F174" s="725" t="s">
        <v>664</v>
      </c>
      <c r="G174" s="92">
        <v>5</v>
      </c>
      <c r="H174" s="1620">
        <v>6</v>
      </c>
      <c r="I174" s="297">
        <f>J174+K174+L174</f>
        <v>0.1</v>
      </c>
      <c r="J174" s="297">
        <f>SUM(M174:R174)</f>
        <v>0.1</v>
      </c>
      <c r="K174" s="1925"/>
      <c r="L174" s="1925"/>
      <c r="M174" s="1957"/>
      <c r="N174" s="1925"/>
      <c r="O174" s="1959"/>
      <c r="P174" s="1960"/>
      <c r="Q174" s="1961"/>
      <c r="R174" s="1914">
        <v>0.1</v>
      </c>
      <c r="S174" s="164"/>
      <c r="T174" s="1931"/>
      <c r="U174" s="154"/>
      <c r="V174" s="154"/>
      <c r="W174" s="1881"/>
      <c r="X174" s="1962"/>
      <c r="Y174" s="1881"/>
      <c r="Z174" s="1963"/>
      <c r="AB174" s="3">
        <v>1</v>
      </c>
      <c r="AE174" s="2461"/>
      <c r="AF174" s="68"/>
    </row>
    <row r="175" spans="1:32" ht="60" x14ac:dyDescent="0.35">
      <c r="A175" s="1880">
        <v>55</v>
      </c>
      <c r="B175" s="1148">
        <v>10988</v>
      </c>
      <c r="C175" s="2083" t="s">
        <v>1656</v>
      </c>
      <c r="D175" s="2470" t="s">
        <v>5419</v>
      </c>
      <c r="E175" s="739" t="s">
        <v>8724</v>
      </c>
      <c r="F175" s="720" t="s">
        <v>664</v>
      </c>
      <c r="G175" s="1953">
        <v>5</v>
      </c>
      <c r="H175" s="1620">
        <v>6</v>
      </c>
      <c r="I175" s="702">
        <f>J175+K175+L175</f>
        <v>0.9</v>
      </c>
      <c r="J175" s="702">
        <f>SUM(M175:R175)</f>
        <v>0.9</v>
      </c>
      <c r="K175" s="703"/>
      <c r="L175" s="703"/>
      <c r="M175" s="1387"/>
      <c r="N175" s="703"/>
      <c r="O175" s="1379"/>
      <c r="P175" s="1372"/>
      <c r="Q175" s="1364"/>
      <c r="R175" s="929">
        <v>0.9</v>
      </c>
      <c r="S175" s="1890"/>
      <c r="T175" s="1931"/>
      <c r="U175" s="1892"/>
      <c r="V175" s="1892"/>
      <c r="W175" s="730"/>
      <c r="X175" s="731"/>
      <c r="Y175" s="730"/>
      <c r="Z175" s="1708"/>
      <c r="AB175" s="3">
        <v>1</v>
      </c>
      <c r="AE175" s="2461"/>
      <c r="AF175" s="68"/>
    </row>
    <row r="176" spans="1:32" ht="30" x14ac:dyDescent="0.35">
      <c r="A176" s="1880">
        <v>56</v>
      </c>
      <c r="B176" s="1149">
        <v>10989</v>
      </c>
      <c r="C176" s="1149"/>
      <c r="D176" s="755" t="s">
        <v>3432</v>
      </c>
      <c r="E176" s="715" t="s">
        <v>10486</v>
      </c>
      <c r="F176" s="720"/>
      <c r="G176" s="1953" t="s">
        <v>191</v>
      </c>
      <c r="H176" s="1943" t="s">
        <v>191</v>
      </c>
      <c r="I176" s="702">
        <f>J176+K176+L176</f>
        <v>4.4189999999999996</v>
      </c>
      <c r="J176" s="702">
        <f>SUM(M176:R176)</f>
        <v>4.4059999999999997</v>
      </c>
      <c r="K176" s="703"/>
      <c r="L176" s="717">
        <f>SUM(L177:L181)</f>
        <v>1.2999999999999999E-2</v>
      </c>
      <c r="M176" s="1387"/>
      <c r="N176" s="717">
        <f>SUM(N177:N181)</f>
        <v>3.0710000000000002</v>
      </c>
      <c r="O176" s="1379"/>
      <c r="P176" s="1372"/>
      <c r="Q176" s="1365">
        <f>SUM(Q177:Q181)</f>
        <v>1.0269999999999997</v>
      </c>
      <c r="R176" s="1355">
        <f>SUM(R177:R181)</f>
        <v>0.30799999999999983</v>
      </c>
      <c r="S176" s="1882"/>
      <c r="T176" s="1931"/>
      <c r="U176" s="1874"/>
      <c r="V176" s="1874"/>
      <c r="W176" s="716">
        <v>11</v>
      </c>
      <c r="X176" s="333">
        <v>124.49</v>
      </c>
      <c r="Y176" s="716">
        <v>2</v>
      </c>
      <c r="Z176" s="1706">
        <v>24</v>
      </c>
      <c r="AB176" s="3">
        <v>1</v>
      </c>
      <c r="AE176" s="2461"/>
      <c r="AF176" s="68"/>
    </row>
    <row r="177" spans="1:32" ht="31" x14ac:dyDescent="0.4">
      <c r="A177" s="1886"/>
      <c r="B177" s="1149">
        <v>10989</v>
      </c>
      <c r="C177" s="1149"/>
      <c r="D177" s="754"/>
      <c r="E177" s="711" t="s">
        <v>7327</v>
      </c>
      <c r="F177" s="1834">
        <v>4</v>
      </c>
      <c r="G177" s="179">
        <v>5</v>
      </c>
      <c r="H177" s="179">
        <v>6</v>
      </c>
      <c r="I177" s="708"/>
      <c r="J177" s="708"/>
      <c r="K177" s="709"/>
      <c r="L177" s="709">
        <v>1.2999999999999999E-2</v>
      </c>
      <c r="M177" s="1388"/>
      <c r="N177" s="712"/>
      <c r="O177" s="1378"/>
      <c r="P177" s="1371"/>
      <c r="Q177" s="1363"/>
      <c r="R177" s="1353"/>
      <c r="S177" s="1879"/>
      <c r="T177" s="1931"/>
      <c r="U177" s="1877"/>
      <c r="V177" s="1877"/>
      <c r="W177" s="720"/>
      <c r="X177" s="332"/>
      <c r="Y177" s="725"/>
      <c r="Z177" s="2664"/>
      <c r="AE177" s="2461"/>
      <c r="AF177" s="68"/>
    </row>
    <row r="178" spans="1:32" ht="18" x14ac:dyDescent="0.4">
      <c r="A178" s="1886"/>
      <c r="B178" s="1149">
        <v>10989</v>
      </c>
      <c r="C178" s="1149"/>
      <c r="D178" s="754"/>
      <c r="E178" s="711" t="s">
        <v>7278</v>
      </c>
      <c r="F178" s="1834">
        <v>4</v>
      </c>
      <c r="G178" s="179">
        <v>5</v>
      </c>
      <c r="H178" s="179">
        <v>6</v>
      </c>
      <c r="I178" s="708"/>
      <c r="J178" s="708"/>
      <c r="K178" s="709"/>
      <c r="L178" s="709"/>
      <c r="M178" s="1388"/>
      <c r="N178" s="712">
        <f>2.998-0.013</f>
        <v>2.9850000000000003</v>
      </c>
      <c r="O178" s="1378"/>
      <c r="P178" s="1371"/>
      <c r="Q178" s="1363"/>
      <c r="R178" s="1353"/>
      <c r="S178" s="1879"/>
      <c r="T178" s="1931"/>
      <c r="U178" s="1877"/>
      <c r="V178" s="1877"/>
      <c r="W178" s="720"/>
      <c r="X178" s="332"/>
      <c r="Y178" s="725"/>
      <c r="Z178" s="2664"/>
      <c r="AE178" s="2461"/>
      <c r="AF178" s="68"/>
    </row>
    <row r="179" spans="1:32" ht="18" x14ac:dyDescent="0.4">
      <c r="A179" s="1886"/>
      <c r="B179" s="1149">
        <v>10989</v>
      </c>
      <c r="C179" s="1149"/>
      <c r="D179" s="754"/>
      <c r="E179" s="711" t="s">
        <v>7279</v>
      </c>
      <c r="F179" s="1834" t="s">
        <v>827</v>
      </c>
      <c r="G179" s="179">
        <v>5</v>
      </c>
      <c r="H179" s="179">
        <v>6</v>
      </c>
      <c r="I179" s="708"/>
      <c r="J179" s="708"/>
      <c r="K179" s="709"/>
      <c r="L179" s="709"/>
      <c r="M179" s="1388"/>
      <c r="N179" s="712">
        <f>3.084-2.998</f>
        <v>8.5999999999999854E-2</v>
      </c>
      <c r="O179" s="1378"/>
      <c r="P179" s="1371"/>
      <c r="Q179" s="1363"/>
      <c r="R179" s="1353"/>
      <c r="S179" s="1879"/>
      <c r="T179" s="1931"/>
      <c r="U179" s="1877"/>
      <c r="V179" s="1877"/>
      <c r="W179" s="720"/>
      <c r="X179" s="332"/>
      <c r="Y179" s="725"/>
      <c r="Z179" s="2664"/>
      <c r="AE179" s="2461"/>
      <c r="AF179" s="68"/>
    </row>
    <row r="180" spans="1:32" ht="18" x14ac:dyDescent="0.4">
      <c r="A180" s="1886"/>
      <c r="B180" s="1149">
        <v>10989</v>
      </c>
      <c r="C180" s="1149"/>
      <c r="D180" s="754"/>
      <c r="E180" s="1394" t="s">
        <v>7280</v>
      </c>
      <c r="F180" s="1834" t="s">
        <v>827</v>
      </c>
      <c r="G180" s="1620">
        <v>5</v>
      </c>
      <c r="H180" s="1834">
        <v>6</v>
      </c>
      <c r="I180" s="708"/>
      <c r="J180" s="708"/>
      <c r="K180" s="709"/>
      <c r="L180" s="709"/>
      <c r="M180" s="1388"/>
      <c r="N180" s="709"/>
      <c r="O180" s="1378"/>
      <c r="P180" s="1371"/>
      <c r="Q180" s="1366">
        <f>4.111-3.084</f>
        <v>1.0269999999999997</v>
      </c>
      <c r="R180" s="1353"/>
      <c r="S180" s="1879"/>
      <c r="T180" s="1931"/>
      <c r="U180" s="1877"/>
      <c r="V180" s="1877"/>
      <c r="W180" s="720"/>
      <c r="X180" s="332"/>
      <c r="Y180" s="725"/>
      <c r="Z180" s="2664"/>
      <c r="AE180" s="2461"/>
      <c r="AF180" s="68"/>
    </row>
    <row r="181" spans="1:32" ht="18" x14ac:dyDescent="0.4">
      <c r="A181" s="1886"/>
      <c r="B181" s="1149">
        <v>10989</v>
      </c>
      <c r="C181" s="1149"/>
      <c r="D181" s="754"/>
      <c r="E181" s="1390" t="s">
        <v>7281</v>
      </c>
      <c r="F181" s="1834" t="s">
        <v>664</v>
      </c>
      <c r="G181" s="179">
        <v>5</v>
      </c>
      <c r="H181" s="1620">
        <v>6</v>
      </c>
      <c r="I181" s="708"/>
      <c r="J181" s="708"/>
      <c r="K181" s="709"/>
      <c r="L181" s="709"/>
      <c r="M181" s="1388"/>
      <c r="N181" s="709"/>
      <c r="O181" s="1378"/>
      <c r="P181" s="1371"/>
      <c r="Q181" s="1363"/>
      <c r="R181" s="1356">
        <f>4.419-4.111</f>
        <v>0.30799999999999983</v>
      </c>
      <c r="S181" s="1879"/>
      <c r="T181" s="1931"/>
      <c r="U181" s="1877"/>
      <c r="V181" s="1877"/>
      <c r="W181" s="720"/>
      <c r="X181" s="332"/>
      <c r="Y181" s="725"/>
      <c r="Z181" s="2664"/>
      <c r="AA181" s="3" t="s">
        <v>2474</v>
      </c>
      <c r="AE181" s="2461"/>
      <c r="AF181" s="68"/>
    </row>
    <row r="182" spans="1:32" ht="30" x14ac:dyDescent="0.35">
      <c r="A182" s="1896">
        <v>57</v>
      </c>
      <c r="B182" s="1148">
        <v>10989</v>
      </c>
      <c r="C182" s="2083" t="s">
        <v>1656</v>
      </c>
      <c r="D182" s="2470" t="s">
        <v>5420</v>
      </c>
      <c r="E182" s="739" t="s">
        <v>8725</v>
      </c>
      <c r="F182" s="1953" t="s">
        <v>827</v>
      </c>
      <c r="G182" s="1953">
        <v>5</v>
      </c>
      <c r="H182" s="1620">
        <v>6</v>
      </c>
      <c r="I182" s="702">
        <f>J182+K182+L182</f>
        <v>1</v>
      </c>
      <c r="J182" s="702">
        <f>SUM(M182:R182)</f>
        <v>1</v>
      </c>
      <c r="K182" s="703"/>
      <c r="L182" s="703"/>
      <c r="M182" s="1387"/>
      <c r="N182" s="703"/>
      <c r="O182" s="1379"/>
      <c r="P182" s="1372"/>
      <c r="Q182" s="1364"/>
      <c r="R182" s="929">
        <v>1</v>
      </c>
      <c r="S182" s="1890"/>
      <c r="T182" s="1931"/>
      <c r="U182" s="1892"/>
      <c r="V182" s="1892"/>
      <c r="W182" s="730"/>
      <c r="X182" s="731"/>
      <c r="Y182" s="730"/>
      <c r="Z182" s="1708"/>
      <c r="AB182" s="3">
        <v>1</v>
      </c>
      <c r="AE182" s="2461"/>
      <c r="AF182" s="68"/>
    </row>
    <row r="183" spans="1:32" ht="30" x14ac:dyDescent="0.35">
      <c r="A183" s="525">
        <v>58</v>
      </c>
      <c r="B183" s="46">
        <v>10989</v>
      </c>
      <c r="C183" s="2083" t="s">
        <v>1656</v>
      </c>
      <c r="D183" s="2470" t="s">
        <v>5421</v>
      </c>
      <c r="E183" s="2187" t="s">
        <v>8726</v>
      </c>
      <c r="F183" s="92" t="s">
        <v>664</v>
      </c>
      <c r="G183" s="92">
        <v>5</v>
      </c>
      <c r="H183" s="1620">
        <v>6</v>
      </c>
      <c r="I183" s="702">
        <f>J183+K183+L183</f>
        <v>0.18</v>
      </c>
      <c r="J183" s="702">
        <f>SUM(M183:R183)</f>
        <v>0.18</v>
      </c>
      <c r="K183" s="622"/>
      <c r="L183" s="622"/>
      <c r="M183" s="622"/>
      <c r="N183" s="622"/>
      <c r="O183" s="622"/>
      <c r="P183" s="622"/>
      <c r="Q183" s="622"/>
      <c r="R183" s="929">
        <v>0.18</v>
      </c>
      <c r="S183" s="106"/>
      <c r="T183" s="1931"/>
      <c r="U183" s="106"/>
      <c r="V183" s="106"/>
      <c r="W183" s="105"/>
      <c r="X183" s="105"/>
      <c r="Y183" s="105"/>
      <c r="Z183" s="323"/>
      <c r="AB183" s="3">
        <v>1</v>
      </c>
      <c r="AE183" s="2461"/>
      <c r="AF183" s="68"/>
    </row>
    <row r="184" spans="1:32" ht="30" x14ac:dyDescent="0.35">
      <c r="A184" s="1896">
        <v>59</v>
      </c>
      <c r="B184" s="1145">
        <v>10990</v>
      </c>
      <c r="C184" s="1145"/>
      <c r="D184" s="752" t="s">
        <v>1868</v>
      </c>
      <c r="E184" s="699" t="s">
        <v>1343</v>
      </c>
      <c r="F184" s="1943">
        <v>5</v>
      </c>
      <c r="G184" s="1953">
        <v>5</v>
      </c>
      <c r="H184" s="1834">
        <v>6</v>
      </c>
      <c r="I184" s="702">
        <f>J184+K184+L184</f>
        <v>3.641</v>
      </c>
      <c r="J184" s="702">
        <f>SUM(M184:R184)</f>
        <v>3.641</v>
      </c>
      <c r="K184" s="703"/>
      <c r="L184" s="703"/>
      <c r="M184" s="1384"/>
      <c r="N184" s="702"/>
      <c r="O184" s="1376"/>
      <c r="P184" s="1369"/>
      <c r="Q184" s="1361">
        <v>3.641</v>
      </c>
      <c r="R184" s="1351"/>
      <c r="S184" s="1873"/>
      <c r="T184" s="1931"/>
      <c r="U184" s="1874"/>
      <c r="V184" s="1874"/>
      <c r="W184" s="700">
        <v>5</v>
      </c>
      <c r="X184" s="333">
        <v>49.68</v>
      </c>
      <c r="Y184" s="716"/>
      <c r="Z184" s="1706"/>
      <c r="AB184" s="3">
        <v>1</v>
      </c>
      <c r="AE184" s="2461"/>
      <c r="AF184" s="68"/>
    </row>
    <row r="185" spans="1:32" ht="30" x14ac:dyDescent="0.35">
      <c r="A185" s="525">
        <v>60</v>
      </c>
      <c r="B185" s="1149">
        <v>10991</v>
      </c>
      <c r="C185" s="1149"/>
      <c r="D185" s="755" t="s">
        <v>1507</v>
      </c>
      <c r="E185" s="715" t="s">
        <v>7198</v>
      </c>
      <c r="F185" s="1834"/>
      <c r="G185" s="1953" t="s">
        <v>191</v>
      </c>
      <c r="H185" s="179" t="s">
        <v>191</v>
      </c>
      <c r="I185" s="702">
        <f>J185+K185+L185</f>
        <v>6.4250000000000007</v>
      </c>
      <c r="J185" s="702">
        <f>SUM(M185:R185)</f>
        <v>6.4250000000000007</v>
      </c>
      <c r="K185" s="703"/>
      <c r="L185" s="703"/>
      <c r="M185" s="1387"/>
      <c r="N185" s="2487">
        <f>SUM(N186:N190)</f>
        <v>4.1609999999999996</v>
      </c>
      <c r="O185" s="1379"/>
      <c r="P185" s="1372"/>
      <c r="Q185" s="1365">
        <f>SUM(Q186:Q190)</f>
        <v>2.2640000000000007</v>
      </c>
      <c r="R185" s="1354"/>
      <c r="S185" s="1882"/>
      <c r="T185" s="1931"/>
      <c r="U185" s="1874"/>
      <c r="V185" s="1874"/>
      <c r="W185" s="716">
        <v>14</v>
      </c>
      <c r="X185" s="333">
        <v>191.25</v>
      </c>
      <c r="Y185" s="716">
        <v>5</v>
      </c>
      <c r="Z185" s="1706">
        <v>44</v>
      </c>
      <c r="AA185" s="3" t="s">
        <v>297</v>
      </c>
      <c r="AB185" s="3">
        <v>1</v>
      </c>
      <c r="AE185" s="2461"/>
      <c r="AF185" s="68"/>
    </row>
    <row r="186" spans="1:32" ht="18" x14ac:dyDescent="0.4">
      <c r="A186" s="1886"/>
      <c r="B186" s="1149">
        <v>10991</v>
      </c>
      <c r="C186" s="1149"/>
      <c r="D186" s="754"/>
      <c r="E186" s="711" t="s">
        <v>11573</v>
      </c>
      <c r="F186" s="1834">
        <v>4</v>
      </c>
      <c r="G186" s="1953">
        <v>5</v>
      </c>
      <c r="H186" s="179">
        <v>6</v>
      </c>
      <c r="I186" s="708"/>
      <c r="J186" s="708"/>
      <c r="K186" s="709"/>
      <c r="L186" s="709"/>
      <c r="M186" s="1388"/>
      <c r="N186" s="2918">
        <v>3.61</v>
      </c>
      <c r="O186" s="1378"/>
      <c r="P186" s="1371"/>
      <c r="Q186" s="1363"/>
      <c r="R186" s="1353"/>
      <c r="S186" s="1879"/>
      <c r="T186" s="1931"/>
      <c r="U186" s="1877"/>
      <c r="V186" s="1877"/>
      <c r="W186" s="720"/>
      <c r="X186" s="332"/>
      <c r="Y186" s="725"/>
      <c r="Z186" s="2664"/>
      <c r="AE186" s="2461"/>
      <c r="AF186" s="68"/>
    </row>
    <row r="187" spans="1:32" ht="18" x14ac:dyDescent="0.4">
      <c r="A187" s="1886"/>
      <c r="B187" s="1149">
        <v>10991</v>
      </c>
      <c r="C187" s="1149"/>
      <c r="D187" s="754"/>
      <c r="E187" s="1394" t="s">
        <v>11574</v>
      </c>
      <c r="F187" s="1834">
        <v>4</v>
      </c>
      <c r="G187" s="1953">
        <v>5</v>
      </c>
      <c r="H187" s="179">
        <v>6</v>
      </c>
      <c r="I187" s="708"/>
      <c r="J187" s="708"/>
      <c r="K187" s="709"/>
      <c r="L187" s="709"/>
      <c r="M187" s="1388"/>
      <c r="N187" s="709"/>
      <c r="O187" s="1378"/>
      <c r="P187" s="1371"/>
      <c r="Q187" s="1366">
        <f>5.277-3.61</f>
        <v>1.6670000000000003</v>
      </c>
      <c r="R187" s="1353"/>
      <c r="S187" s="1879"/>
      <c r="T187" s="1931"/>
      <c r="U187" s="1877"/>
      <c r="V187" s="1877"/>
      <c r="W187" s="720"/>
      <c r="X187" s="332"/>
      <c r="Y187" s="725"/>
      <c r="Z187" s="2664"/>
      <c r="AE187" s="2461"/>
      <c r="AF187" s="68"/>
    </row>
    <row r="188" spans="1:32" ht="18" x14ac:dyDescent="0.4">
      <c r="A188" s="1886"/>
      <c r="B188" s="1149">
        <v>10991</v>
      </c>
      <c r="C188" s="1149"/>
      <c r="D188" s="754"/>
      <c r="E188" s="711" t="s">
        <v>11522</v>
      </c>
      <c r="F188" s="1834">
        <v>4</v>
      </c>
      <c r="G188" s="1953">
        <v>5</v>
      </c>
      <c r="H188" s="179">
        <v>6</v>
      </c>
      <c r="I188" s="708"/>
      <c r="J188" s="708"/>
      <c r="K188" s="709"/>
      <c r="L188" s="709"/>
      <c r="M188" s="1388"/>
      <c r="N188" s="2918">
        <f>5.524-5.277</f>
        <v>0.24699999999999989</v>
      </c>
      <c r="O188" s="1378"/>
      <c r="P188" s="1371"/>
      <c r="Q188" s="1363"/>
      <c r="R188" s="1353"/>
      <c r="S188" s="1879"/>
      <c r="T188" s="1931"/>
      <c r="U188" s="1877"/>
      <c r="V188" s="1877"/>
      <c r="W188" s="720"/>
      <c r="X188" s="332"/>
      <c r="Y188" s="725"/>
      <c r="Z188" s="2664"/>
      <c r="AE188" s="2461"/>
      <c r="AF188" s="68"/>
    </row>
    <row r="189" spans="1:32" ht="18" x14ac:dyDescent="0.4">
      <c r="A189" s="1886"/>
      <c r="B189" s="1149">
        <v>10991</v>
      </c>
      <c r="C189" s="1149"/>
      <c r="D189" s="754"/>
      <c r="E189" s="1394" t="s">
        <v>11521</v>
      </c>
      <c r="F189" s="1834">
        <v>4</v>
      </c>
      <c r="G189" s="1953">
        <v>5</v>
      </c>
      <c r="H189" s="179">
        <v>6</v>
      </c>
      <c r="I189" s="708"/>
      <c r="J189" s="708"/>
      <c r="K189" s="709"/>
      <c r="L189" s="709"/>
      <c r="M189" s="1388"/>
      <c r="N189" s="2918"/>
      <c r="O189" s="1378"/>
      <c r="P189" s="1371"/>
      <c r="Q189" s="1363">
        <f>6.121-5.524</f>
        <v>0.59700000000000042</v>
      </c>
      <c r="R189" s="1353"/>
      <c r="S189" s="1879"/>
      <c r="T189" s="1931"/>
      <c r="U189" s="1877"/>
      <c r="V189" s="1877"/>
      <c r="W189" s="720"/>
      <c r="X189" s="332"/>
      <c r="Y189" s="725"/>
      <c r="Z189" s="2664"/>
      <c r="AE189" s="2461"/>
      <c r="AF189" s="68"/>
    </row>
    <row r="190" spans="1:32" ht="18" x14ac:dyDescent="0.4">
      <c r="A190" s="1886"/>
      <c r="B190" s="1149">
        <v>10991</v>
      </c>
      <c r="C190" s="1149"/>
      <c r="D190" s="754"/>
      <c r="E190" s="2917" t="s">
        <v>11520</v>
      </c>
      <c r="F190" s="1834">
        <v>4</v>
      </c>
      <c r="G190" s="1953">
        <v>5</v>
      </c>
      <c r="H190" s="179">
        <v>6</v>
      </c>
      <c r="I190" s="708"/>
      <c r="J190" s="708"/>
      <c r="K190" s="709"/>
      <c r="L190" s="709"/>
      <c r="M190" s="1388"/>
      <c r="N190" s="2918">
        <f>6.425-6.121</f>
        <v>0.30399999999999938</v>
      </c>
      <c r="O190" s="1378"/>
      <c r="P190" s="1371"/>
      <c r="Q190" s="1363"/>
      <c r="R190" s="1353"/>
      <c r="S190" s="1879"/>
      <c r="T190" s="1931"/>
      <c r="U190" s="1877"/>
      <c r="V190" s="1877"/>
      <c r="W190" s="720"/>
      <c r="X190" s="332"/>
      <c r="Y190" s="725"/>
      <c r="Z190" s="2664"/>
      <c r="AE190" s="2461"/>
      <c r="AF190" s="68"/>
    </row>
    <row r="191" spans="1:32" ht="60" x14ac:dyDescent="0.35">
      <c r="A191" s="1880">
        <v>61</v>
      </c>
      <c r="B191" s="1146">
        <v>10991</v>
      </c>
      <c r="C191" s="1146"/>
      <c r="D191" s="2470" t="s">
        <v>5422</v>
      </c>
      <c r="E191" s="715" t="s">
        <v>10041</v>
      </c>
      <c r="F191" s="1834">
        <v>5</v>
      </c>
      <c r="G191" s="1834">
        <v>5</v>
      </c>
      <c r="H191" s="1834">
        <v>6</v>
      </c>
      <c r="I191" s="702">
        <f>J191+K191+L191</f>
        <v>0.7</v>
      </c>
      <c r="J191" s="702">
        <f>SUM(M191:R191)</f>
        <v>0.7</v>
      </c>
      <c r="K191" s="703"/>
      <c r="L191" s="703"/>
      <c r="M191" s="1387"/>
      <c r="N191" s="2919">
        <v>0.7</v>
      </c>
      <c r="O191" s="1379"/>
      <c r="P191" s="1372"/>
      <c r="Q191" s="1365">
        <v>0</v>
      </c>
      <c r="R191" s="1354"/>
      <c r="S191" s="1882"/>
      <c r="T191" s="1931"/>
      <c r="U191" s="1874"/>
      <c r="V191" s="1874"/>
      <c r="W191" s="701"/>
      <c r="X191" s="333"/>
      <c r="Y191" s="716"/>
      <c r="Z191" s="1706"/>
      <c r="AA191" s="3" t="s">
        <v>297</v>
      </c>
      <c r="AB191" s="3">
        <v>1</v>
      </c>
      <c r="AE191" s="2461"/>
      <c r="AF191" s="68"/>
    </row>
    <row r="192" spans="1:32" ht="30" x14ac:dyDescent="0.35">
      <c r="A192" s="1880">
        <v>62</v>
      </c>
      <c r="B192" s="1146">
        <v>10991</v>
      </c>
      <c r="C192" s="1146"/>
      <c r="D192" s="2470" t="s">
        <v>5423</v>
      </c>
      <c r="E192" s="715" t="s">
        <v>7382</v>
      </c>
      <c r="F192" s="1834">
        <v>4</v>
      </c>
      <c r="G192" s="1834">
        <v>5</v>
      </c>
      <c r="H192" s="179">
        <v>6</v>
      </c>
      <c r="I192" s="702">
        <f>J192+K192+L192</f>
        <v>0.33500000000000002</v>
      </c>
      <c r="J192" s="702">
        <f>SUM(M192:R192)</f>
        <v>0.33500000000000002</v>
      </c>
      <c r="K192" s="703"/>
      <c r="L192" s="703"/>
      <c r="M192" s="1387"/>
      <c r="N192" s="717">
        <v>0.33500000000000002</v>
      </c>
      <c r="O192" s="1379"/>
      <c r="P192" s="1372"/>
      <c r="Q192" s="1364"/>
      <c r="R192" s="1354"/>
      <c r="S192" s="1882"/>
      <c r="T192" s="1931"/>
      <c r="U192" s="1874"/>
      <c r="V192" s="1874"/>
      <c r="W192" s="716">
        <v>1</v>
      </c>
      <c r="X192" s="333">
        <v>15.2</v>
      </c>
      <c r="Y192" s="716"/>
      <c r="Z192" s="1706"/>
      <c r="AB192" s="3">
        <v>1</v>
      </c>
      <c r="AE192" s="2461"/>
      <c r="AF192" s="68"/>
    </row>
    <row r="193" spans="1:32" ht="30" x14ac:dyDescent="0.35">
      <c r="A193" s="1880">
        <v>63</v>
      </c>
      <c r="B193" s="1149">
        <v>10992</v>
      </c>
      <c r="C193" s="1149"/>
      <c r="D193" s="755" t="s">
        <v>554</v>
      </c>
      <c r="E193" s="715" t="s">
        <v>10487</v>
      </c>
      <c r="F193" s="1834"/>
      <c r="G193" s="1834" t="s">
        <v>191</v>
      </c>
      <c r="H193" s="1943" t="s">
        <v>191</v>
      </c>
      <c r="I193" s="702">
        <f>J193+K193+L193</f>
        <v>3.726</v>
      </c>
      <c r="J193" s="702">
        <f>SUM(M193:R193)</f>
        <v>3.677</v>
      </c>
      <c r="K193" s="702"/>
      <c r="L193" s="703">
        <f>SUM(L194:L203)</f>
        <v>4.8999999999999794E-2</v>
      </c>
      <c r="M193" s="1389">
        <f>SUM(M194:M203)</f>
        <v>1.0940000000000003</v>
      </c>
      <c r="N193" s="717">
        <f>SUM(N194:N203)</f>
        <v>2.0179999999999998</v>
      </c>
      <c r="O193" s="1380"/>
      <c r="P193" s="1373"/>
      <c r="Q193" s="1365">
        <f>SUM(Q194:Q203)</f>
        <v>0.56499999999999995</v>
      </c>
      <c r="R193" s="1355"/>
      <c r="S193" s="1884">
        <v>1</v>
      </c>
      <c r="T193" s="1931">
        <v>28.05</v>
      </c>
      <c r="U193" s="1874"/>
      <c r="V193" s="1874"/>
      <c r="W193" s="716">
        <v>10</v>
      </c>
      <c r="X193" s="333">
        <v>91.75</v>
      </c>
      <c r="Y193" s="716">
        <v>2</v>
      </c>
      <c r="Z193" s="1706">
        <v>14.3</v>
      </c>
      <c r="AB193" s="3">
        <v>1</v>
      </c>
      <c r="AE193" s="2461"/>
      <c r="AF193" s="68"/>
    </row>
    <row r="194" spans="1:32" ht="31" x14ac:dyDescent="0.35">
      <c r="A194" s="1880"/>
      <c r="B194" s="1149">
        <v>10992</v>
      </c>
      <c r="C194" s="1149"/>
      <c r="D194" s="755"/>
      <c r="E194" s="1022" t="s">
        <v>7328</v>
      </c>
      <c r="F194" s="1834">
        <v>5</v>
      </c>
      <c r="G194" s="1834">
        <v>5</v>
      </c>
      <c r="H194" s="1943" t="s">
        <v>191</v>
      </c>
      <c r="I194" s="1918"/>
      <c r="J194" s="1918"/>
      <c r="K194" s="1918"/>
      <c r="L194" s="1919">
        <v>3.1E-2</v>
      </c>
      <c r="M194" s="1948"/>
      <c r="N194" s="2076"/>
      <c r="O194" s="2601"/>
      <c r="P194" s="2602"/>
      <c r="Q194" s="1967"/>
      <c r="R194" s="1968"/>
      <c r="S194" s="1884"/>
      <c r="T194" s="1931"/>
      <c r="U194" s="1874"/>
      <c r="V194" s="1874"/>
      <c r="W194" s="716"/>
      <c r="X194" s="333"/>
      <c r="Y194" s="716"/>
      <c r="Z194" s="1706"/>
      <c r="AE194" s="2461"/>
      <c r="AF194" s="68"/>
    </row>
    <row r="195" spans="1:32" ht="17.5" x14ac:dyDescent="0.35">
      <c r="A195" s="1880"/>
      <c r="B195" s="1149">
        <v>10992</v>
      </c>
      <c r="C195" s="1149"/>
      <c r="D195" s="755"/>
      <c r="E195" s="1971" t="s">
        <v>7282</v>
      </c>
      <c r="F195" s="1834">
        <v>5</v>
      </c>
      <c r="G195" s="1834">
        <v>5</v>
      </c>
      <c r="H195" s="1834">
        <v>6</v>
      </c>
      <c r="I195" s="1918"/>
      <c r="J195" s="1918"/>
      <c r="K195" s="1918"/>
      <c r="L195" s="1919"/>
      <c r="M195" s="1948"/>
      <c r="N195" s="2076"/>
      <c r="O195" s="2601"/>
      <c r="P195" s="2602"/>
      <c r="Q195" s="1967">
        <f>0.596-0.031</f>
        <v>0.56499999999999995</v>
      </c>
      <c r="R195" s="1968"/>
      <c r="S195" s="1884"/>
      <c r="T195" s="1931"/>
      <c r="U195" s="1874"/>
      <c r="V195" s="1874"/>
      <c r="W195" s="716"/>
      <c r="X195" s="333"/>
      <c r="Y195" s="716"/>
      <c r="Z195" s="1706"/>
      <c r="AE195" s="2461"/>
      <c r="AF195" s="68"/>
    </row>
    <row r="196" spans="1:32" ht="17.5" x14ac:dyDescent="0.35">
      <c r="A196" s="1880"/>
      <c r="B196" s="1149">
        <v>10992</v>
      </c>
      <c r="C196" s="1149"/>
      <c r="D196" s="755"/>
      <c r="E196" s="1022" t="s">
        <v>7288</v>
      </c>
      <c r="F196" s="1834" t="s">
        <v>827</v>
      </c>
      <c r="G196" s="1834">
        <v>5</v>
      </c>
      <c r="H196" s="179">
        <v>6</v>
      </c>
      <c r="I196" s="1918"/>
      <c r="J196" s="1918"/>
      <c r="K196" s="1918"/>
      <c r="L196" s="1919"/>
      <c r="M196" s="1948"/>
      <c r="N196" s="2076">
        <f>2.029-0.596</f>
        <v>1.4329999999999998</v>
      </c>
      <c r="O196" s="2601"/>
      <c r="P196" s="2602"/>
      <c r="Q196" s="1967"/>
      <c r="R196" s="1968"/>
      <c r="S196" s="1884"/>
      <c r="T196" s="1931"/>
      <c r="U196" s="1874"/>
      <c r="V196" s="1874"/>
      <c r="W196" s="716"/>
      <c r="X196" s="333"/>
      <c r="Y196" s="716"/>
      <c r="Z196" s="1706"/>
      <c r="AE196" s="2461"/>
      <c r="AF196" s="68"/>
    </row>
    <row r="197" spans="1:32" ht="17.5" x14ac:dyDescent="0.35">
      <c r="A197" s="1880"/>
      <c r="B197" s="1149">
        <v>10992</v>
      </c>
      <c r="C197" s="1149"/>
      <c r="D197" s="755"/>
      <c r="E197" s="1022" t="s">
        <v>7285</v>
      </c>
      <c r="F197" s="1834">
        <v>4</v>
      </c>
      <c r="G197" s="1834">
        <v>5</v>
      </c>
      <c r="H197" s="179">
        <v>6</v>
      </c>
      <c r="I197" s="1918"/>
      <c r="J197" s="1918"/>
      <c r="K197" s="1918"/>
      <c r="L197" s="1919"/>
      <c r="M197" s="1948"/>
      <c r="N197" s="2076">
        <f>2.224-2.029</f>
        <v>0.19500000000000028</v>
      </c>
      <c r="O197" s="2601"/>
      <c r="P197" s="2602"/>
      <c r="Q197" s="1967"/>
      <c r="R197" s="1968"/>
      <c r="S197" s="1884"/>
      <c r="T197" s="1931"/>
      <c r="U197" s="1874"/>
      <c r="V197" s="1874"/>
      <c r="W197" s="716"/>
      <c r="X197" s="333"/>
      <c r="Y197" s="716"/>
      <c r="Z197" s="1706"/>
      <c r="AE197" s="2461"/>
      <c r="AF197" s="68"/>
    </row>
    <row r="198" spans="1:32" ht="18" x14ac:dyDescent="0.4">
      <c r="A198" s="1886"/>
      <c r="B198" s="1149">
        <v>10992</v>
      </c>
      <c r="C198" s="1149"/>
      <c r="D198" s="754"/>
      <c r="E198" s="1399" t="s">
        <v>7283</v>
      </c>
      <c r="F198" s="1834">
        <v>4</v>
      </c>
      <c r="G198" s="1834">
        <v>5</v>
      </c>
      <c r="H198" s="1943">
        <v>10</v>
      </c>
      <c r="I198" s="1936"/>
      <c r="J198" s="1936"/>
      <c r="K198" s="1937"/>
      <c r="L198" s="1937"/>
      <c r="M198" s="1920">
        <f>2.853-2.224</f>
        <v>0.629</v>
      </c>
      <c r="N198" s="1970"/>
      <c r="O198" s="1949"/>
      <c r="P198" s="1950"/>
      <c r="Q198" s="1951"/>
      <c r="R198" s="1952"/>
      <c r="S198" s="1879"/>
      <c r="T198" s="1931"/>
      <c r="U198" s="1877"/>
      <c r="V198" s="1877"/>
      <c r="W198" s="720"/>
      <c r="X198" s="332"/>
      <c r="Y198" s="725"/>
      <c r="Z198" s="2664"/>
      <c r="AE198" s="2461"/>
      <c r="AF198" s="68"/>
    </row>
    <row r="199" spans="1:32" ht="18" x14ac:dyDescent="0.4">
      <c r="A199" s="1886"/>
      <c r="B199" s="1149">
        <v>10992</v>
      </c>
      <c r="C199" s="1149"/>
      <c r="D199" s="754"/>
      <c r="E199" s="711" t="s">
        <v>7286</v>
      </c>
      <c r="F199" s="1834">
        <v>4</v>
      </c>
      <c r="G199" s="1834">
        <v>5</v>
      </c>
      <c r="H199" s="179">
        <v>6</v>
      </c>
      <c r="I199" s="1936"/>
      <c r="J199" s="1936"/>
      <c r="K199" s="1937"/>
      <c r="L199" s="1937"/>
      <c r="M199" s="1948"/>
      <c r="N199" s="1937">
        <f>3.015-2.853</f>
        <v>0.16199999999999992</v>
      </c>
      <c r="O199" s="1949"/>
      <c r="P199" s="1950"/>
      <c r="Q199" s="1951"/>
      <c r="R199" s="1952"/>
      <c r="S199" s="1879"/>
      <c r="T199" s="1931"/>
      <c r="U199" s="1877"/>
      <c r="V199" s="1877"/>
      <c r="W199" s="720"/>
      <c r="X199" s="332"/>
      <c r="Y199" s="725"/>
      <c r="Z199" s="2664"/>
      <c r="AE199" s="2461"/>
      <c r="AF199" s="68"/>
    </row>
    <row r="200" spans="1:32" ht="18" x14ac:dyDescent="0.4">
      <c r="A200" s="1886"/>
      <c r="B200" s="1149">
        <v>10992</v>
      </c>
      <c r="C200" s="1149"/>
      <c r="D200" s="754"/>
      <c r="E200" s="711" t="s">
        <v>7287</v>
      </c>
      <c r="F200" s="1834" t="s">
        <v>827</v>
      </c>
      <c r="G200" s="1834">
        <v>5</v>
      </c>
      <c r="H200" s="179">
        <v>6</v>
      </c>
      <c r="I200" s="1936"/>
      <c r="J200" s="1936"/>
      <c r="K200" s="1937"/>
      <c r="L200" s="1937"/>
      <c r="M200" s="1948"/>
      <c r="N200" s="1937">
        <f>3.183-3.015</f>
        <v>0.16799999999999971</v>
      </c>
      <c r="O200" s="1949"/>
      <c r="P200" s="1950"/>
      <c r="Q200" s="1951"/>
      <c r="R200" s="1952"/>
      <c r="S200" s="1879"/>
      <c r="T200" s="1931"/>
      <c r="U200" s="1877"/>
      <c r="V200" s="1877"/>
      <c r="W200" s="720"/>
      <c r="X200" s="332"/>
      <c r="Y200" s="725"/>
      <c r="Z200" s="2664"/>
      <c r="AE200" s="2461"/>
      <c r="AF200" s="68"/>
    </row>
    <row r="201" spans="1:32" ht="18" x14ac:dyDescent="0.4">
      <c r="A201" s="1878"/>
      <c r="B201" s="1149">
        <v>10992</v>
      </c>
      <c r="C201" s="1149"/>
      <c r="D201" s="754"/>
      <c r="E201" s="1399" t="s">
        <v>7284</v>
      </c>
      <c r="F201" s="1834">
        <v>4</v>
      </c>
      <c r="G201" s="1834">
        <v>5</v>
      </c>
      <c r="H201" s="1943">
        <v>10</v>
      </c>
      <c r="I201" s="1970"/>
      <c r="J201" s="1970"/>
      <c r="K201" s="1937"/>
      <c r="L201" s="1937"/>
      <c r="M201" s="1920">
        <f>3.648-3.183</f>
        <v>0.4650000000000003</v>
      </c>
      <c r="N201" s="1970"/>
      <c r="O201" s="1949"/>
      <c r="P201" s="1950"/>
      <c r="Q201" s="1951"/>
      <c r="R201" s="1952"/>
      <c r="S201" s="1887"/>
      <c r="T201" s="1931"/>
      <c r="U201" s="1888"/>
      <c r="V201" s="1888"/>
      <c r="W201" s="722"/>
      <c r="X201" s="2665"/>
      <c r="Y201" s="722"/>
      <c r="Z201" s="2666"/>
      <c r="AE201" s="2461"/>
      <c r="AF201" s="68"/>
    </row>
    <row r="202" spans="1:32" ht="18" x14ac:dyDescent="0.4">
      <c r="A202" s="1878"/>
      <c r="B202" s="1149">
        <v>10992</v>
      </c>
      <c r="C202" s="1149"/>
      <c r="D202" s="754"/>
      <c r="E202" s="711" t="s">
        <v>7289</v>
      </c>
      <c r="F202" s="1834">
        <v>4</v>
      </c>
      <c r="G202" s="1834">
        <v>5</v>
      </c>
      <c r="H202" s="179">
        <v>6</v>
      </c>
      <c r="I202" s="1970"/>
      <c r="J202" s="1970"/>
      <c r="K202" s="1937"/>
      <c r="L202" s="1937"/>
      <c r="M202" s="1948"/>
      <c r="N202" s="1937">
        <f>3.708-3.648</f>
        <v>6.0000000000000053E-2</v>
      </c>
      <c r="O202" s="1949"/>
      <c r="P202" s="1950"/>
      <c r="Q202" s="1951"/>
      <c r="R202" s="1952"/>
      <c r="S202" s="1887"/>
      <c r="T202" s="1931"/>
      <c r="U202" s="1888"/>
      <c r="V202" s="1888"/>
      <c r="W202" s="722"/>
      <c r="X202" s="2665"/>
      <c r="Y202" s="722"/>
      <c r="Z202" s="2666"/>
      <c r="AE202" s="2461"/>
      <c r="AF202" s="68"/>
    </row>
    <row r="203" spans="1:32" ht="31" x14ac:dyDescent="0.4">
      <c r="A203" s="1878"/>
      <c r="B203" s="1149">
        <v>10992</v>
      </c>
      <c r="C203" s="1149"/>
      <c r="D203" s="754"/>
      <c r="E203" s="1022" t="s">
        <v>7329</v>
      </c>
      <c r="F203" s="1834">
        <v>4</v>
      </c>
      <c r="G203" s="1834">
        <v>5</v>
      </c>
      <c r="H203" s="1943" t="s">
        <v>191</v>
      </c>
      <c r="I203" s="1970"/>
      <c r="J203" s="1970"/>
      <c r="K203" s="1937"/>
      <c r="L203" s="1937">
        <f>3.726-3.708</f>
        <v>1.7999999999999794E-2</v>
      </c>
      <c r="M203" s="1948"/>
      <c r="N203" s="1937"/>
      <c r="O203" s="1949"/>
      <c r="P203" s="1950"/>
      <c r="Q203" s="1951"/>
      <c r="R203" s="1952"/>
      <c r="S203" s="1887"/>
      <c r="T203" s="1931"/>
      <c r="U203" s="1888"/>
      <c r="V203" s="1888"/>
      <c r="W203" s="722"/>
      <c r="X203" s="2665"/>
      <c r="Y203" s="722"/>
      <c r="Z203" s="2666"/>
      <c r="AE203" s="2461"/>
      <c r="AF203" s="68"/>
    </row>
    <row r="204" spans="1:32" ht="30" x14ac:dyDescent="0.4">
      <c r="A204" s="1896">
        <v>64</v>
      </c>
      <c r="B204" s="1149">
        <v>10992</v>
      </c>
      <c r="C204" s="1149"/>
      <c r="D204" s="2470" t="s">
        <v>5424</v>
      </c>
      <c r="E204" s="715" t="s">
        <v>10042</v>
      </c>
      <c r="F204" s="1953">
        <v>5</v>
      </c>
      <c r="G204" s="1620">
        <v>5</v>
      </c>
      <c r="H204" s="1943">
        <v>6</v>
      </c>
      <c r="I204" s="702">
        <f>J204+K204+L204</f>
        <v>0.53500000000000003</v>
      </c>
      <c r="J204" s="702">
        <f>SUM(M204:R204)</f>
        <v>0.53500000000000003</v>
      </c>
      <c r="K204" s="709"/>
      <c r="L204" s="709"/>
      <c r="M204" s="1386"/>
      <c r="N204" s="1998">
        <v>0.53500000000000003</v>
      </c>
      <c r="O204" s="1378"/>
      <c r="P204" s="1371"/>
      <c r="Q204" s="1363"/>
      <c r="R204" s="1909"/>
      <c r="S204" s="1887"/>
      <c r="T204" s="1931"/>
      <c r="U204" s="1888"/>
      <c r="V204" s="1888"/>
      <c r="W204" s="722"/>
      <c r="X204" s="2665"/>
      <c r="Y204" s="722"/>
      <c r="Z204" s="2666"/>
      <c r="AB204" s="3">
        <v>1</v>
      </c>
      <c r="AE204" s="2461"/>
      <c r="AF204" s="68"/>
    </row>
    <row r="205" spans="1:32" ht="30" x14ac:dyDescent="0.35">
      <c r="A205" s="1896">
        <v>65</v>
      </c>
      <c r="B205" s="1148">
        <v>10992</v>
      </c>
      <c r="C205" s="2083" t="s">
        <v>1656</v>
      </c>
      <c r="D205" s="2470" t="s">
        <v>5425</v>
      </c>
      <c r="E205" s="739" t="s">
        <v>8727</v>
      </c>
      <c r="F205" s="1953" t="s">
        <v>664</v>
      </c>
      <c r="G205" s="1953">
        <v>5</v>
      </c>
      <c r="H205" s="1620">
        <v>6</v>
      </c>
      <c r="I205" s="702">
        <f>J205+K205+L205</f>
        <v>0.23</v>
      </c>
      <c r="J205" s="702">
        <f>SUM(M205:R205)</f>
        <v>0.23</v>
      </c>
      <c r="K205" s="703"/>
      <c r="L205" s="703"/>
      <c r="M205" s="1387"/>
      <c r="N205" s="703"/>
      <c r="O205" s="1379"/>
      <c r="P205" s="1372"/>
      <c r="Q205" s="1364"/>
      <c r="R205" s="929">
        <v>0.23</v>
      </c>
      <c r="S205" s="1890"/>
      <c r="T205" s="1931"/>
      <c r="U205" s="1892"/>
      <c r="V205" s="1892"/>
      <c r="W205" s="730"/>
      <c r="X205" s="731"/>
      <c r="Y205" s="730"/>
      <c r="Z205" s="1708"/>
      <c r="AB205" s="3">
        <v>1</v>
      </c>
      <c r="AE205" s="2461"/>
      <c r="AF205" s="68"/>
    </row>
    <row r="206" spans="1:32" ht="30" x14ac:dyDescent="0.35">
      <c r="A206" s="1880">
        <v>66</v>
      </c>
      <c r="B206" s="1149">
        <v>10993</v>
      </c>
      <c r="C206" s="1149"/>
      <c r="D206" s="755" t="s">
        <v>1869</v>
      </c>
      <c r="E206" s="715" t="s">
        <v>10488</v>
      </c>
      <c r="F206" s="1834"/>
      <c r="G206" s="1953" t="s">
        <v>191</v>
      </c>
      <c r="H206" s="1943" t="s">
        <v>191</v>
      </c>
      <c r="I206" s="702">
        <f>J206+K206+L206</f>
        <v>3.6040000000000001</v>
      </c>
      <c r="J206" s="702">
        <f>SUM(M206:R206)</f>
        <v>3.6040000000000001</v>
      </c>
      <c r="K206" s="703"/>
      <c r="L206" s="703"/>
      <c r="M206" s="1389">
        <f>SUM(M207:M213)</f>
        <v>0.12800000000000011</v>
      </c>
      <c r="N206" s="703">
        <f>SUM(N207:N213)</f>
        <v>0.64300000000000013</v>
      </c>
      <c r="O206" s="1379"/>
      <c r="P206" s="1372"/>
      <c r="Q206" s="1364">
        <f>SUM(Q207:Q213)</f>
        <v>0.26600000000000001</v>
      </c>
      <c r="R206" s="1355">
        <f>SUM(R207:R213)</f>
        <v>2.5669999999999997</v>
      </c>
      <c r="S206" s="1882"/>
      <c r="T206" s="1931"/>
      <c r="U206" s="1874"/>
      <c r="V206" s="1874"/>
      <c r="W206" s="716">
        <v>2</v>
      </c>
      <c r="X206" s="333">
        <v>20.02</v>
      </c>
      <c r="Y206" s="716"/>
      <c r="Z206" s="1706"/>
      <c r="AB206" s="3">
        <v>1</v>
      </c>
      <c r="AE206" s="2461"/>
      <c r="AF206" s="68"/>
    </row>
    <row r="207" spans="1:32" ht="17.5" x14ac:dyDescent="0.35">
      <c r="A207" s="1880"/>
      <c r="B207" s="1149">
        <v>10993</v>
      </c>
      <c r="C207" s="1149"/>
      <c r="D207" s="755"/>
      <c r="E207" s="1022" t="s">
        <v>1069</v>
      </c>
      <c r="F207" s="1834">
        <v>5</v>
      </c>
      <c r="G207" s="1953">
        <v>5</v>
      </c>
      <c r="H207" s="179">
        <v>6</v>
      </c>
      <c r="I207" s="1918"/>
      <c r="J207" s="1918"/>
      <c r="K207" s="1919"/>
      <c r="L207" s="1919"/>
      <c r="M207" s="1948"/>
      <c r="N207" s="1919">
        <v>0.62</v>
      </c>
      <c r="O207" s="1949"/>
      <c r="P207" s="1950"/>
      <c r="Q207" s="1951"/>
      <c r="R207" s="1968"/>
      <c r="S207" s="1882"/>
      <c r="T207" s="1931"/>
      <c r="U207" s="1874"/>
      <c r="V207" s="1874"/>
      <c r="W207" s="716"/>
      <c r="X207" s="333"/>
      <c r="Y207" s="716"/>
      <c r="Z207" s="1706"/>
      <c r="AE207" s="2461"/>
      <c r="AF207" s="68"/>
    </row>
    <row r="208" spans="1:32" ht="18" x14ac:dyDescent="0.4">
      <c r="A208" s="1886"/>
      <c r="B208" s="1149">
        <v>10993</v>
      </c>
      <c r="C208" s="1149"/>
      <c r="D208" s="753"/>
      <c r="E208" s="1993" t="s">
        <v>7257</v>
      </c>
      <c r="F208" s="1834">
        <v>5</v>
      </c>
      <c r="G208" s="1953">
        <v>5</v>
      </c>
      <c r="H208" s="1620">
        <v>6</v>
      </c>
      <c r="I208" s="1936"/>
      <c r="J208" s="1936"/>
      <c r="K208" s="1937"/>
      <c r="L208" s="1937"/>
      <c r="M208" s="1920"/>
      <c r="N208" s="1936"/>
      <c r="O208" s="1939"/>
      <c r="P208" s="1940"/>
      <c r="Q208" s="1941"/>
      <c r="R208" s="1942">
        <f>1.44-0.62</f>
        <v>0.82</v>
      </c>
      <c r="S208" s="1876"/>
      <c r="T208" s="1931"/>
      <c r="U208" s="1877"/>
      <c r="V208" s="1877"/>
      <c r="W208" s="1770"/>
      <c r="X208" s="332"/>
      <c r="Y208" s="725"/>
      <c r="Z208" s="2664"/>
      <c r="AE208" s="2461"/>
      <c r="AF208" s="68"/>
    </row>
    <row r="209" spans="1:32" ht="18" x14ac:dyDescent="0.4">
      <c r="A209" s="1886"/>
      <c r="B209" s="1149"/>
      <c r="C209" s="1149"/>
      <c r="D209" s="753"/>
      <c r="E209" s="1993" t="s">
        <v>7256</v>
      </c>
      <c r="F209" s="1834" t="s">
        <v>827</v>
      </c>
      <c r="G209" s="1953">
        <v>5</v>
      </c>
      <c r="H209" s="1620">
        <v>6</v>
      </c>
      <c r="I209" s="1936"/>
      <c r="J209" s="1936"/>
      <c r="K209" s="1937"/>
      <c r="L209" s="1937"/>
      <c r="M209" s="1920"/>
      <c r="N209" s="1936"/>
      <c r="O209" s="1939"/>
      <c r="P209" s="1940"/>
      <c r="Q209" s="1941"/>
      <c r="R209" s="1942">
        <f>3.026-1.44</f>
        <v>1.5859999999999999</v>
      </c>
      <c r="S209" s="1876"/>
      <c r="T209" s="1931"/>
      <c r="U209" s="1877"/>
      <c r="V209" s="1877"/>
      <c r="W209" s="1770"/>
      <c r="X209" s="332"/>
      <c r="Y209" s="725"/>
      <c r="Z209" s="2664"/>
      <c r="AE209" s="2461"/>
      <c r="AF209" s="68"/>
    </row>
    <row r="210" spans="1:32" ht="18" x14ac:dyDescent="0.4">
      <c r="A210" s="1886"/>
      <c r="B210" s="1149"/>
      <c r="C210" s="1149"/>
      <c r="D210" s="753"/>
      <c r="E210" s="1993" t="s">
        <v>7255</v>
      </c>
      <c r="F210" s="1834">
        <v>5</v>
      </c>
      <c r="G210" s="1953">
        <v>5</v>
      </c>
      <c r="H210" s="1620">
        <v>6</v>
      </c>
      <c r="I210" s="1936"/>
      <c r="J210" s="1936"/>
      <c r="K210" s="1937"/>
      <c r="L210" s="1937"/>
      <c r="M210" s="1920"/>
      <c r="N210" s="1936"/>
      <c r="O210" s="1939"/>
      <c r="P210" s="1940"/>
      <c r="Q210" s="1941"/>
      <c r="R210" s="1942">
        <f>3.187-3.026</f>
        <v>0.16100000000000003</v>
      </c>
      <c r="S210" s="1876"/>
      <c r="T210" s="1931"/>
      <c r="U210" s="1877"/>
      <c r="V210" s="1877"/>
      <c r="W210" s="1770"/>
      <c r="X210" s="332"/>
      <c r="Y210" s="725"/>
      <c r="Z210" s="2664"/>
      <c r="AE210" s="2461"/>
      <c r="AF210" s="68"/>
    </row>
    <row r="211" spans="1:32" ht="18" x14ac:dyDescent="0.4">
      <c r="A211" s="1886"/>
      <c r="B211" s="1149"/>
      <c r="C211" s="1149"/>
      <c r="D211" s="753"/>
      <c r="E211" s="1971" t="s">
        <v>7254</v>
      </c>
      <c r="F211" s="1834">
        <v>5</v>
      </c>
      <c r="G211" s="1953">
        <v>5</v>
      </c>
      <c r="H211" s="1620">
        <v>6</v>
      </c>
      <c r="I211" s="1936"/>
      <c r="J211" s="1936"/>
      <c r="K211" s="1937"/>
      <c r="L211" s="1937"/>
      <c r="M211" s="1920"/>
      <c r="N211" s="1936"/>
      <c r="O211" s="1939"/>
      <c r="P211" s="1940"/>
      <c r="Q211" s="1941">
        <f>3.453-3.187</f>
        <v>0.26600000000000001</v>
      </c>
      <c r="R211" s="1942"/>
      <c r="S211" s="1876"/>
      <c r="T211" s="1931"/>
      <c r="U211" s="1877"/>
      <c r="V211" s="1877"/>
      <c r="W211" s="1770"/>
      <c r="X211" s="332"/>
      <c r="Y211" s="725"/>
      <c r="Z211" s="2664"/>
      <c r="AE211" s="2461"/>
      <c r="AF211" s="68"/>
    </row>
    <row r="212" spans="1:32" ht="18" x14ac:dyDescent="0.4">
      <c r="A212" s="1886"/>
      <c r="B212" s="1149"/>
      <c r="C212" s="1149"/>
      <c r="D212" s="753"/>
      <c r="E212" s="1022" t="s">
        <v>7252</v>
      </c>
      <c r="F212" s="1834">
        <v>5</v>
      </c>
      <c r="G212" s="1953">
        <v>5</v>
      </c>
      <c r="H212" s="1834">
        <v>6</v>
      </c>
      <c r="I212" s="1936"/>
      <c r="J212" s="1936"/>
      <c r="K212" s="1937"/>
      <c r="L212" s="1937"/>
      <c r="M212" s="1920"/>
      <c r="N212" s="1936">
        <f>3.476-3.453</f>
        <v>2.3000000000000131E-2</v>
      </c>
      <c r="O212" s="1939"/>
      <c r="P212" s="1940"/>
      <c r="Q212" s="1941"/>
      <c r="R212" s="1942"/>
      <c r="S212" s="1876"/>
      <c r="T212" s="1931"/>
      <c r="U212" s="1877"/>
      <c r="V212" s="1877"/>
      <c r="W212" s="1770"/>
      <c r="X212" s="332"/>
      <c r="Y212" s="725"/>
      <c r="Z212" s="2664"/>
      <c r="AE212" s="2461"/>
      <c r="AF212" s="68"/>
    </row>
    <row r="213" spans="1:32" ht="18" x14ac:dyDescent="0.4">
      <c r="A213" s="1886"/>
      <c r="B213" s="1149">
        <v>10993</v>
      </c>
      <c r="C213" s="1149"/>
      <c r="D213" s="754"/>
      <c r="E213" s="1947" t="s">
        <v>7253</v>
      </c>
      <c r="F213" s="1834">
        <v>5</v>
      </c>
      <c r="G213" s="179">
        <v>5</v>
      </c>
      <c r="H213" s="1943">
        <v>10</v>
      </c>
      <c r="I213" s="1936"/>
      <c r="J213" s="1936"/>
      <c r="K213" s="1937"/>
      <c r="L213" s="1937"/>
      <c r="M213" s="1948">
        <f>3.604-3.476</f>
        <v>0.12800000000000011</v>
      </c>
      <c r="N213" s="1937"/>
      <c r="O213" s="1949"/>
      <c r="P213" s="1950"/>
      <c r="Q213" s="1951"/>
      <c r="R213" s="1952"/>
      <c r="S213" s="1879"/>
      <c r="T213" s="1931"/>
      <c r="U213" s="1877"/>
      <c r="V213" s="1877"/>
      <c r="W213" s="720"/>
      <c r="X213" s="332"/>
      <c r="Y213" s="725"/>
      <c r="Z213" s="2664"/>
      <c r="AE213" s="2461"/>
      <c r="AF213" s="68"/>
    </row>
    <row r="214" spans="1:32" ht="30" x14ac:dyDescent="0.4">
      <c r="A214" s="1886">
        <v>67</v>
      </c>
      <c r="B214" s="1149">
        <v>10993</v>
      </c>
      <c r="C214" s="2083" t="s">
        <v>1656</v>
      </c>
      <c r="D214" s="2470" t="s">
        <v>5426</v>
      </c>
      <c r="E214" s="739" t="s">
        <v>9271</v>
      </c>
      <c r="F214" s="1834" t="s">
        <v>1490</v>
      </c>
      <c r="G214" s="179">
        <v>5</v>
      </c>
      <c r="H214" s="1620">
        <v>6</v>
      </c>
      <c r="I214" s="702">
        <f>J214+K214+L214</f>
        <v>1.4</v>
      </c>
      <c r="J214" s="702">
        <f>SUM(M214:R214)</f>
        <v>1.4</v>
      </c>
      <c r="K214" s="1937"/>
      <c r="L214" s="1937"/>
      <c r="M214" s="1948"/>
      <c r="N214" s="1937"/>
      <c r="O214" s="1949"/>
      <c r="P214" s="1950"/>
      <c r="Q214" s="1951"/>
      <c r="R214" s="1909">
        <v>1.4</v>
      </c>
      <c r="S214" s="1879"/>
      <c r="T214" s="1931"/>
      <c r="U214" s="1877"/>
      <c r="V214" s="1877"/>
      <c r="W214" s="720"/>
      <c r="X214" s="332"/>
      <c r="Y214" s="725"/>
      <c r="Z214" s="2664"/>
      <c r="AB214" s="3">
        <v>1</v>
      </c>
      <c r="AE214" s="2461"/>
      <c r="AF214" s="68"/>
    </row>
    <row r="215" spans="1:32" ht="30" x14ac:dyDescent="0.35">
      <c r="A215" s="1880">
        <v>68</v>
      </c>
      <c r="B215" s="1149">
        <v>10994</v>
      </c>
      <c r="C215" s="1149"/>
      <c r="D215" s="755" t="s">
        <v>555</v>
      </c>
      <c r="E215" s="715" t="s">
        <v>10489</v>
      </c>
      <c r="F215" s="1834"/>
      <c r="G215" s="1953" t="s">
        <v>191</v>
      </c>
      <c r="H215" s="1943" t="s">
        <v>191</v>
      </c>
      <c r="I215" s="702">
        <f>J215+K215+L215</f>
        <v>5.8259999999999996</v>
      </c>
      <c r="J215" s="702">
        <f>SUM(M215:R215)</f>
        <v>5.8259999999999996</v>
      </c>
      <c r="K215" s="703"/>
      <c r="L215" s="703"/>
      <c r="M215" s="1387"/>
      <c r="N215" s="703"/>
      <c r="O215" s="1379"/>
      <c r="P215" s="1372"/>
      <c r="Q215" s="1365">
        <f>SUM(Q216:Q219)</f>
        <v>2</v>
      </c>
      <c r="R215" s="1355">
        <f>SUM(R216:R219)</f>
        <v>3.8259999999999996</v>
      </c>
      <c r="S215" s="1882"/>
      <c r="T215" s="1931"/>
      <c r="U215" s="1874"/>
      <c r="V215" s="1874"/>
      <c r="W215" s="716">
        <v>5</v>
      </c>
      <c r="X215" s="333">
        <v>52.55</v>
      </c>
      <c r="Y215" s="716">
        <v>0</v>
      </c>
      <c r="Z215" s="1706">
        <v>0</v>
      </c>
      <c r="AB215" s="3">
        <v>1</v>
      </c>
      <c r="AE215" s="2461"/>
      <c r="AF215" s="68"/>
    </row>
    <row r="216" spans="1:32" ht="18" x14ac:dyDescent="0.4">
      <c r="A216" s="1886"/>
      <c r="B216" s="1149">
        <v>10994</v>
      </c>
      <c r="C216" s="1149"/>
      <c r="D216" s="754"/>
      <c r="E216" s="1394" t="s">
        <v>1191</v>
      </c>
      <c r="F216" s="1834">
        <v>5</v>
      </c>
      <c r="G216" s="179">
        <v>5</v>
      </c>
      <c r="H216" s="1834">
        <v>6</v>
      </c>
      <c r="I216" s="708"/>
      <c r="J216" s="708"/>
      <c r="K216" s="709"/>
      <c r="L216" s="709"/>
      <c r="M216" s="1385"/>
      <c r="N216" s="709"/>
      <c r="O216" s="1378"/>
      <c r="P216" s="1371"/>
      <c r="Q216" s="1366">
        <v>2</v>
      </c>
      <c r="R216" s="1353"/>
      <c r="S216" s="1879"/>
      <c r="T216" s="1931"/>
      <c r="U216" s="1877"/>
      <c r="V216" s="1877"/>
      <c r="W216" s="720"/>
      <c r="X216" s="332"/>
      <c r="Y216" s="725"/>
      <c r="Z216" s="2664"/>
      <c r="AE216" s="2461"/>
      <c r="AF216" s="68"/>
    </row>
    <row r="217" spans="1:32" ht="18" x14ac:dyDescent="0.4">
      <c r="A217" s="1886"/>
      <c r="B217" s="1149"/>
      <c r="C217" s="1149"/>
      <c r="D217" s="754"/>
      <c r="E217" s="1390" t="s">
        <v>7269</v>
      </c>
      <c r="F217" s="1953">
        <v>5</v>
      </c>
      <c r="G217" s="1620">
        <v>5</v>
      </c>
      <c r="H217" s="1620">
        <v>6</v>
      </c>
      <c r="I217" s="708"/>
      <c r="J217" s="708"/>
      <c r="K217" s="709"/>
      <c r="L217" s="709"/>
      <c r="M217" s="1385"/>
      <c r="N217" s="709"/>
      <c r="O217" s="1378"/>
      <c r="P217" s="1371"/>
      <c r="Q217" s="1366"/>
      <c r="R217" s="1353">
        <f>4.1-2</f>
        <v>2.0999999999999996</v>
      </c>
      <c r="S217" s="1879"/>
      <c r="T217" s="1931"/>
      <c r="U217" s="1877"/>
      <c r="V217" s="1877"/>
      <c r="W217" s="720"/>
      <c r="X217" s="332"/>
      <c r="Y217" s="725"/>
      <c r="Z217" s="2664"/>
      <c r="AE217" s="2461"/>
      <c r="AF217" s="68"/>
    </row>
    <row r="218" spans="1:32" ht="18" x14ac:dyDescent="0.4">
      <c r="A218" s="1886"/>
      <c r="B218" s="1149"/>
      <c r="C218" s="1149"/>
      <c r="D218" s="754"/>
      <c r="E218" s="1390" t="s">
        <v>7297</v>
      </c>
      <c r="F218" s="1953" t="s">
        <v>827</v>
      </c>
      <c r="G218" s="1620">
        <v>5</v>
      </c>
      <c r="H218" s="1620">
        <v>6</v>
      </c>
      <c r="I218" s="708"/>
      <c r="J218" s="708"/>
      <c r="K218" s="709"/>
      <c r="L218" s="709"/>
      <c r="M218" s="1385"/>
      <c r="N218" s="709"/>
      <c r="O218" s="1378"/>
      <c r="P218" s="1371"/>
      <c r="Q218" s="1366"/>
      <c r="R218" s="1353">
        <f>4.7-4.1</f>
        <v>0.60000000000000053</v>
      </c>
      <c r="S218" s="1879"/>
      <c r="T218" s="1931"/>
      <c r="U218" s="1877"/>
      <c r="V218" s="1877"/>
      <c r="W218" s="720"/>
      <c r="X218" s="332"/>
      <c r="Y218" s="725"/>
      <c r="Z218" s="2664"/>
      <c r="AE218" s="2461"/>
      <c r="AF218" s="68"/>
    </row>
    <row r="219" spans="1:32" ht="18" x14ac:dyDescent="0.4">
      <c r="A219" s="1886"/>
      <c r="B219" s="1149">
        <v>10994</v>
      </c>
      <c r="C219" s="1149"/>
      <c r="D219" s="754"/>
      <c r="E219" s="1390" t="s">
        <v>7298</v>
      </c>
      <c r="F219" s="1953" t="s">
        <v>1490</v>
      </c>
      <c r="G219" s="1620">
        <v>5</v>
      </c>
      <c r="H219" s="1620">
        <v>6</v>
      </c>
      <c r="I219" s="712"/>
      <c r="J219" s="712"/>
      <c r="K219" s="709"/>
      <c r="L219" s="709"/>
      <c r="M219" s="1388"/>
      <c r="N219" s="709"/>
      <c r="O219" s="1378"/>
      <c r="P219" s="1371"/>
      <c r="Q219" s="1363"/>
      <c r="R219" s="1356">
        <f>5.826-4.7</f>
        <v>1.1259999999999994</v>
      </c>
      <c r="S219" s="1887"/>
      <c r="T219" s="1931"/>
      <c r="U219" s="1888"/>
      <c r="V219" s="1888"/>
      <c r="W219" s="722"/>
      <c r="X219" s="2665"/>
      <c r="Y219" s="722"/>
      <c r="Z219" s="2666"/>
      <c r="AE219" s="2461"/>
      <c r="AF219" s="68"/>
    </row>
    <row r="220" spans="1:32" ht="30" x14ac:dyDescent="0.35">
      <c r="A220" s="1880">
        <v>69</v>
      </c>
      <c r="B220" s="1146">
        <v>10994</v>
      </c>
      <c r="C220" s="1146"/>
      <c r="D220" s="2470" t="s">
        <v>5427</v>
      </c>
      <c r="E220" s="733" t="s">
        <v>7832</v>
      </c>
      <c r="F220" s="1834"/>
      <c r="G220" s="1834" t="s">
        <v>191</v>
      </c>
      <c r="H220" s="1943" t="s">
        <v>191</v>
      </c>
      <c r="I220" s="702">
        <f>J220+K220+L220</f>
        <v>0.7</v>
      </c>
      <c r="J220" s="702">
        <f>SUM(M220:R220)</f>
        <v>0.7</v>
      </c>
      <c r="K220" s="703"/>
      <c r="L220" s="703"/>
      <c r="M220" s="1387"/>
      <c r="N220" s="703"/>
      <c r="O220" s="1379"/>
      <c r="P220" s="1372"/>
      <c r="Q220" s="1365">
        <f>SUM(Q221:Q222)</f>
        <v>0.4</v>
      </c>
      <c r="R220" s="1355">
        <f>SUM(R221:R222)</f>
        <v>0.3</v>
      </c>
      <c r="S220" s="1882"/>
      <c r="T220" s="1931"/>
      <c r="U220" s="1874"/>
      <c r="V220" s="1874"/>
      <c r="W220" s="716">
        <v>2</v>
      </c>
      <c r="X220" s="333">
        <v>20.2</v>
      </c>
      <c r="Y220" s="716"/>
      <c r="Z220" s="1706"/>
      <c r="AB220" s="3">
        <v>1</v>
      </c>
      <c r="AE220" s="2461"/>
      <c r="AF220" s="68"/>
    </row>
    <row r="221" spans="1:32" ht="18" x14ac:dyDescent="0.4">
      <c r="A221" s="1886"/>
      <c r="B221" s="1146">
        <v>10994</v>
      </c>
      <c r="C221" s="1146"/>
      <c r="D221" s="758"/>
      <c r="E221" s="1395" t="s">
        <v>1074</v>
      </c>
      <c r="F221" s="1834" t="s">
        <v>827</v>
      </c>
      <c r="G221" s="1620">
        <v>5</v>
      </c>
      <c r="H221" s="1834">
        <v>6</v>
      </c>
      <c r="I221" s="708"/>
      <c r="J221" s="708"/>
      <c r="K221" s="709"/>
      <c r="L221" s="709"/>
      <c r="M221" s="1388"/>
      <c r="N221" s="709"/>
      <c r="O221" s="1378"/>
      <c r="P221" s="1371"/>
      <c r="Q221" s="1366">
        <v>0.4</v>
      </c>
      <c r="R221" s="1353"/>
      <c r="S221" s="1879"/>
      <c r="T221" s="1931"/>
      <c r="U221" s="1877"/>
      <c r="V221" s="1877"/>
      <c r="W221" s="720"/>
      <c r="X221" s="332"/>
      <c r="Y221" s="725"/>
      <c r="Z221" s="2664"/>
      <c r="AE221" s="2461"/>
      <c r="AF221" s="68"/>
    </row>
    <row r="222" spans="1:32" ht="18" x14ac:dyDescent="0.4">
      <c r="A222" s="1878"/>
      <c r="B222" s="1146">
        <v>10994</v>
      </c>
      <c r="C222" s="1146"/>
      <c r="D222" s="754"/>
      <c r="E222" s="1390" t="s">
        <v>522</v>
      </c>
      <c r="F222" s="1953" t="s">
        <v>664</v>
      </c>
      <c r="G222" s="1620">
        <v>5</v>
      </c>
      <c r="H222" s="1620">
        <v>6</v>
      </c>
      <c r="I222" s="712"/>
      <c r="J222" s="712"/>
      <c r="K222" s="709"/>
      <c r="L222" s="709"/>
      <c r="M222" s="1388"/>
      <c r="N222" s="709"/>
      <c r="O222" s="1378"/>
      <c r="P222" s="1371"/>
      <c r="Q222" s="1363"/>
      <c r="R222" s="1356">
        <v>0.3</v>
      </c>
      <c r="S222" s="1887"/>
      <c r="T222" s="1931"/>
      <c r="U222" s="1888"/>
      <c r="V222" s="1888"/>
      <c r="W222" s="722"/>
      <c r="X222" s="2665"/>
      <c r="Y222" s="722"/>
      <c r="Z222" s="2666"/>
      <c r="AE222" s="2461"/>
      <c r="AF222" s="68"/>
    </row>
    <row r="223" spans="1:32" ht="45" x14ac:dyDescent="0.35">
      <c r="A223" s="1875">
        <v>70</v>
      </c>
      <c r="B223" s="1954">
        <v>10994</v>
      </c>
      <c r="C223" s="358" t="s">
        <v>1656</v>
      </c>
      <c r="D223" s="2470" t="s">
        <v>5428</v>
      </c>
      <c r="E223" s="1916" t="s">
        <v>8728</v>
      </c>
      <c r="F223" s="1953" t="s">
        <v>664</v>
      </c>
      <c r="G223" s="92">
        <v>5</v>
      </c>
      <c r="H223" s="1620">
        <v>6</v>
      </c>
      <c r="I223" s="297">
        <f>J223+K223+L223</f>
        <v>0.3</v>
      </c>
      <c r="J223" s="297">
        <f>SUM(M223:R223)</f>
        <v>0.3</v>
      </c>
      <c r="K223" s="1937"/>
      <c r="L223" s="1937"/>
      <c r="M223" s="1957"/>
      <c r="N223" s="1998"/>
      <c r="O223" s="1959"/>
      <c r="P223" s="1960"/>
      <c r="Q223" s="1964"/>
      <c r="R223" s="1909">
        <v>0.3</v>
      </c>
      <c r="S223" s="1969"/>
      <c r="T223" s="1931"/>
      <c r="U223" s="101"/>
      <c r="V223" s="101"/>
      <c r="W223" s="1969"/>
      <c r="X223" s="2657"/>
      <c r="Y223" s="1969"/>
      <c r="Z223" s="2656"/>
      <c r="AB223" s="3">
        <v>1</v>
      </c>
      <c r="AE223" s="2461"/>
      <c r="AF223" s="68"/>
    </row>
    <row r="224" spans="1:32" ht="45" x14ac:dyDescent="0.35">
      <c r="A224" s="1872">
        <v>71</v>
      </c>
      <c r="B224" s="1147">
        <v>10994</v>
      </c>
      <c r="C224" s="1979" t="s">
        <v>1655</v>
      </c>
      <c r="D224" s="2470" t="s">
        <v>5429</v>
      </c>
      <c r="E224" s="739" t="s">
        <v>7383</v>
      </c>
      <c r="F224" s="1953" t="s">
        <v>664</v>
      </c>
      <c r="G224" s="1953">
        <v>5</v>
      </c>
      <c r="H224" s="1620">
        <v>6</v>
      </c>
      <c r="I224" s="702">
        <f t="shared" ref="I224:I230" si="8">J224+K224+L224</f>
        <v>0.5</v>
      </c>
      <c r="J224" s="702">
        <f t="shared" ref="J224:J230" si="9">SUM(M224:R224)</f>
        <v>0.5</v>
      </c>
      <c r="K224" s="703"/>
      <c r="L224" s="703"/>
      <c r="M224" s="1387"/>
      <c r="N224" s="703"/>
      <c r="O224" s="1379"/>
      <c r="P224" s="1372"/>
      <c r="Q224" s="1364"/>
      <c r="R224" s="1357">
        <v>0.5</v>
      </c>
      <c r="S224" s="1890"/>
      <c r="T224" s="1931"/>
      <c r="U224" s="1892"/>
      <c r="V224" s="1892"/>
      <c r="W224" s="730"/>
      <c r="X224" s="731"/>
      <c r="Y224" s="730"/>
      <c r="Z224" s="1708"/>
      <c r="AB224" s="3">
        <v>1</v>
      </c>
      <c r="AE224" s="2461"/>
      <c r="AF224" s="68"/>
    </row>
    <row r="225" spans="1:32" ht="30" x14ac:dyDescent="0.35">
      <c r="A225" s="1875">
        <v>72</v>
      </c>
      <c r="B225" s="1148">
        <v>10994</v>
      </c>
      <c r="C225" s="2083" t="s">
        <v>1656</v>
      </c>
      <c r="D225" s="2470" t="s">
        <v>5430</v>
      </c>
      <c r="E225" s="739" t="s">
        <v>8729</v>
      </c>
      <c r="F225" s="1953" t="s">
        <v>664</v>
      </c>
      <c r="G225" s="1953">
        <v>5</v>
      </c>
      <c r="H225" s="1620">
        <v>6</v>
      </c>
      <c r="I225" s="702">
        <f t="shared" si="8"/>
        <v>0.3</v>
      </c>
      <c r="J225" s="702">
        <f t="shared" si="9"/>
        <v>0.3</v>
      </c>
      <c r="K225" s="703"/>
      <c r="L225" s="703"/>
      <c r="M225" s="1387"/>
      <c r="N225" s="703"/>
      <c r="O225" s="1379"/>
      <c r="P225" s="1372"/>
      <c r="Q225" s="1364"/>
      <c r="R225" s="929">
        <v>0.3</v>
      </c>
      <c r="S225" s="1890"/>
      <c r="T225" s="1931"/>
      <c r="U225" s="1892"/>
      <c r="V225" s="1892"/>
      <c r="W225" s="730"/>
      <c r="X225" s="731"/>
      <c r="Y225" s="730"/>
      <c r="Z225" s="1708"/>
      <c r="AB225" s="3">
        <v>1</v>
      </c>
      <c r="AE225" s="2461"/>
      <c r="AF225" s="68"/>
    </row>
    <row r="226" spans="1:32" ht="30" x14ac:dyDescent="0.35">
      <c r="A226" s="1872">
        <v>73</v>
      </c>
      <c r="B226" s="1149">
        <v>10995</v>
      </c>
      <c r="C226" s="1149"/>
      <c r="D226" s="755" t="s">
        <v>2611</v>
      </c>
      <c r="E226" s="715" t="s">
        <v>10043</v>
      </c>
      <c r="F226" s="1834">
        <v>5</v>
      </c>
      <c r="G226" s="1953">
        <v>5</v>
      </c>
      <c r="H226" s="1834">
        <v>6</v>
      </c>
      <c r="I226" s="702">
        <f t="shared" si="8"/>
        <v>3</v>
      </c>
      <c r="J226" s="702">
        <f t="shared" si="9"/>
        <v>3</v>
      </c>
      <c r="K226" s="703"/>
      <c r="L226" s="703"/>
      <c r="M226" s="1387"/>
      <c r="N226" s="703"/>
      <c r="O226" s="1379"/>
      <c r="P226" s="1372"/>
      <c r="Q226" s="1365">
        <v>3</v>
      </c>
      <c r="R226" s="1354"/>
      <c r="S226" s="1882"/>
      <c r="T226" s="1931"/>
      <c r="U226" s="1874"/>
      <c r="V226" s="1874"/>
      <c r="W226" s="716">
        <v>2</v>
      </c>
      <c r="X226" s="333">
        <v>24.8</v>
      </c>
      <c r="Y226" s="716"/>
      <c r="Z226" s="1706"/>
      <c r="AB226" s="3">
        <v>1</v>
      </c>
      <c r="AE226" s="2461"/>
      <c r="AF226" s="68"/>
    </row>
    <row r="227" spans="1:32" ht="45" x14ac:dyDescent="0.35">
      <c r="A227" s="1875">
        <v>74</v>
      </c>
      <c r="B227" s="1146">
        <v>10995</v>
      </c>
      <c r="C227" s="1146"/>
      <c r="D227" s="2470" t="s">
        <v>5431</v>
      </c>
      <c r="E227" s="715" t="s">
        <v>9401</v>
      </c>
      <c r="F227" s="1834" t="s">
        <v>664</v>
      </c>
      <c r="G227" s="1834">
        <v>5</v>
      </c>
      <c r="H227" s="1620">
        <v>6</v>
      </c>
      <c r="I227" s="702">
        <f t="shared" si="8"/>
        <v>0.67</v>
      </c>
      <c r="J227" s="702">
        <f t="shared" si="9"/>
        <v>0.67</v>
      </c>
      <c r="K227" s="703"/>
      <c r="L227" s="703"/>
      <c r="M227" s="1387"/>
      <c r="N227" s="703"/>
      <c r="O227" s="1379"/>
      <c r="P227" s="1372"/>
      <c r="Q227" s="1364"/>
      <c r="R227" s="1355">
        <v>0.67</v>
      </c>
      <c r="S227" s="1882"/>
      <c r="T227" s="1931"/>
      <c r="U227" s="1874"/>
      <c r="V227" s="1874"/>
      <c r="W227" s="701"/>
      <c r="X227" s="704"/>
      <c r="Y227" s="701"/>
      <c r="Z227" s="1710"/>
      <c r="AB227" s="3">
        <v>1</v>
      </c>
      <c r="AE227" s="2461"/>
      <c r="AF227" s="68"/>
    </row>
    <row r="228" spans="1:32" ht="60" x14ac:dyDescent="0.35">
      <c r="A228" s="1872">
        <v>75</v>
      </c>
      <c r="B228" s="1148">
        <v>10995</v>
      </c>
      <c r="C228" s="1979" t="s">
        <v>1655</v>
      </c>
      <c r="D228" s="2470" t="s">
        <v>5432</v>
      </c>
      <c r="E228" s="699" t="s">
        <v>9402</v>
      </c>
      <c r="F228" s="1834" t="s">
        <v>664</v>
      </c>
      <c r="G228" s="1834">
        <v>5</v>
      </c>
      <c r="H228" s="1620">
        <v>6</v>
      </c>
      <c r="I228" s="702">
        <f t="shared" si="8"/>
        <v>1</v>
      </c>
      <c r="J228" s="702">
        <f t="shared" si="9"/>
        <v>1</v>
      </c>
      <c r="K228" s="703"/>
      <c r="L228" s="703"/>
      <c r="M228" s="1387"/>
      <c r="N228" s="703"/>
      <c r="O228" s="1379"/>
      <c r="P228" s="1372"/>
      <c r="Q228" s="1364"/>
      <c r="R228" s="925">
        <v>1</v>
      </c>
      <c r="S228" s="1890"/>
      <c r="T228" s="1931"/>
      <c r="U228" s="1892"/>
      <c r="V228" s="1892"/>
      <c r="W228" s="730"/>
      <c r="X228" s="731"/>
      <c r="Y228" s="730"/>
      <c r="Z228" s="1708"/>
      <c r="AB228" s="3">
        <v>1</v>
      </c>
      <c r="AE228" s="2461"/>
      <c r="AF228" s="68"/>
    </row>
    <row r="229" spans="1:32" ht="45" x14ac:dyDescent="0.35">
      <c r="A229" s="1875">
        <v>76</v>
      </c>
      <c r="B229" s="1148">
        <v>10995</v>
      </c>
      <c r="C229" s="2083" t="s">
        <v>1656</v>
      </c>
      <c r="D229" s="2470" t="s">
        <v>5433</v>
      </c>
      <c r="E229" s="739" t="s">
        <v>9403</v>
      </c>
      <c r="F229" s="1953" t="s">
        <v>664</v>
      </c>
      <c r="G229" s="1953">
        <v>5</v>
      </c>
      <c r="H229" s="1620">
        <v>6</v>
      </c>
      <c r="I229" s="702">
        <f t="shared" si="8"/>
        <v>0.26</v>
      </c>
      <c r="J229" s="702">
        <f t="shared" si="9"/>
        <v>0.26</v>
      </c>
      <c r="K229" s="703"/>
      <c r="L229" s="703"/>
      <c r="M229" s="1387"/>
      <c r="N229" s="703"/>
      <c r="O229" s="1379"/>
      <c r="P229" s="1372"/>
      <c r="Q229" s="1364"/>
      <c r="R229" s="929">
        <v>0.26</v>
      </c>
      <c r="S229" s="1890"/>
      <c r="T229" s="1931"/>
      <c r="U229" s="1892"/>
      <c r="V229" s="1892"/>
      <c r="W229" s="730"/>
      <c r="X229" s="731"/>
      <c r="Y229" s="730"/>
      <c r="Z229" s="1708"/>
      <c r="AB229" s="3">
        <v>1</v>
      </c>
      <c r="AE229" s="2461"/>
      <c r="AF229" s="68"/>
    </row>
    <row r="230" spans="1:32" ht="30" x14ac:dyDescent="0.35">
      <c r="A230" s="1872">
        <v>77</v>
      </c>
      <c r="B230" s="1149">
        <v>10996</v>
      </c>
      <c r="C230" s="1149"/>
      <c r="D230" s="755" t="s">
        <v>2612</v>
      </c>
      <c r="E230" s="715" t="s">
        <v>738</v>
      </c>
      <c r="F230" s="1834"/>
      <c r="G230" s="1953" t="s">
        <v>191</v>
      </c>
      <c r="H230" s="1943" t="s">
        <v>191</v>
      </c>
      <c r="I230" s="702">
        <f t="shared" si="8"/>
        <v>3.0999999999999996</v>
      </c>
      <c r="J230" s="702">
        <f t="shared" si="9"/>
        <v>3.0999999999999996</v>
      </c>
      <c r="K230" s="703"/>
      <c r="L230" s="703"/>
      <c r="M230" s="1387"/>
      <c r="N230" s="703"/>
      <c r="O230" s="1379"/>
      <c r="P230" s="1372"/>
      <c r="Q230" s="1365">
        <f>SUM(Q231:Q233)</f>
        <v>1.85</v>
      </c>
      <c r="R230" s="1355">
        <f>SUM(R231:R233)</f>
        <v>1.2499999999999998</v>
      </c>
      <c r="S230" s="1882"/>
      <c r="T230" s="1931"/>
      <c r="U230" s="1874"/>
      <c r="V230" s="1874"/>
      <c r="W230" s="716">
        <v>2</v>
      </c>
      <c r="X230" s="333">
        <f>10.2+12.5</f>
        <v>22.7</v>
      </c>
      <c r="Y230" s="716"/>
      <c r="Z230" s="1706"/>
      <c r="AB230" s="3">
        <v>1</v>
      </c>
      <c r="AE230" s="2461"/>
      <c r="AF230" s="68"/>
    </row>
    <row r="231" spans="1:32" ht="18" x14ac:dyDescent="0.4">
      <c r="A231" s="1904"/>
      <c r="B231" s="1149">
        <v>10996</v>
      </c>
      <c r="C231" s="1149"/>
      <c r="D231" s="754"/>
      <c r="E231" s="1394" t="s">
        <v>1966</v>
      </c>
      <c r="F231" s="1834">
        <v>5</v>
      </c>
      <c r="G231" s="179">
        <v>5</v>
      </c>
      <c r="H231" s="1834">
        <v>6</v>
      </c>
      <c r="I231" s="708"/>
      <c r="J231" s="708"/>
      <c r="K231" s="709"/>
      <c r="L231" s="709"/>
      <c r="M231" s="1388"/>
      <c r="N231" s="709"/>
      <c r="O231" s="1378"/>
      <c r="P231" s="1371"/>
      <c r="Q231" s="1363">
        <v>0.8</v>
      </c>
      <c r="R231" s="1356"/>
      <c r="S231" s="1879"/>
      <c r="T231" s="1931"/>
      <c r="U231" s="1877"/>
      <c r="V231" s="1877"/>
      <c r="W231" s="720"/>
      <c r="X231" s="332"/>
      <c r="Y231" s="725"/>
      <c r="Z231" s="2664"/>
      <c r="AE231" s="2461"/>
      <c r="AF231" s="68"/>
    </row>
    <row r="232" spans="1:32" ht="18" x14ac:dyDescent="0.4">
      <c r="A232" s="1904"/>
      <c r="B232" s="1149">
        <v>10996</v>
      </c>
      <c r="C232" s="1149"/>
      <c r="D232" s="754"/>
      <c r="E232" s="1390" t="s">
        <v>2571</v>
      </c>
      <c r="F232" s="1834" t="s">
        <v>664</v>
      </c>
      <c r="G232" s="179">
        <v>5</v>
      </c>
      <c r="H232" s="1620">
        <v>6</v>
      </c>
      <c r="I232" s="708"/>
      <c r="J232" s="708"/>
      <c r="K232" s="709"/>
      <c r="L232" s="709"/>
      <c r="M232" s="1388"/>
      <c r="N232" s="709"/>
      <c r="O232" s="1378"/>
      <c r="P232" s="1371"/>
      <c r="Q232" s="1363"/>
      <c r="R232" s="1356">
        <f>2.05-0.8</f>
        <v>1.2499999999999998</v>
      </c>
      <c r="S232" s="1879"/>
      <c r="T232" s="1931"/>
      <c r="U232" s="1877"/>
      <c r="V232" s="1877"/>
      <c r="W232" s="720"/>
      <c r="X232" s="332"/>
      <c r="Y232" s="725"/>
      <c r="Z232" s="2664"/>
      <c r="AE232" s="2461"/>
      <c r="AF232" s="68"/>
    </row>
    <row r="233" spans="1:32" s="2" customFormat="1" ht="18" x14ac:dyDescent="0.4">
      <c r="A233" s="1886"/>
      <c r="B233" s="1149">
        <v>10996</v>
      </c>
      <c r="C233" s="1149"/>
      <c r="D233" s="754"/>
      <c r="E233" s="1394" t="s">
        <v>1440</v>
      </c>
      <c r="F233" s="1834">
        <v>5</v>
      </c>
      <c r="G233" s="1620">
        <v>5</v>
      </c>
      <c r="H233" s="1834">
        <v>6</v>
      </c>
      <c r="I233" s="708"/>
      <c r="J233" s="708"/>
      <c r="K233" s="709"/>
      <c r="L233" s="709"/>
      <c r="M233" s="1388"/>
      <c r="N233" s="709"/>
      <c r="O233" s="1378"/>
      <c r="P233" s="1371"/>
      <c r="Q233" s="1366">
        <v>1.05</v>
      </c>
      <c r="R233" s="1353"/>
      <c r="S233" s="1879"/>
      <c r="T233" s="1931"/>
      <c r="U233" s="1877"/>
      <c r="V233" s="1877"/>
      <c r="W233" s="720"/>
      <c r="X233" s="332"/>
      <c r="Y233" s="725"/>
      <c r="Z233" s="2664"/>
      <c r="AA233" s="3"/>
      <c r="AB233" s="3"/>
      <c r="AE233" s="2461"/>
      <c r="AF233" s="68"/>
    </row>
    <row r="234" spans="1:32" ht="30" x14ac:dyDescent="0.35">
      <c r="A234" s="1880">
        <v>78</v>
      </c>
      <c r="B234" s="1149">
        <v>10997</v>
      </c>
      <c r="C234" s="1149"/>
      <c r="D234" s="755" t="s">
        <v>2613</v>
      </c>
      <c r="E234" s="715" t="s">
        <v>7833</v>
      </c>
      <c r="F234" s="1834"/>
      <c r="G234" s="1953" t="s">
        <v>191</v>
      </c>
      <c r="H234" s="1620" t="s">
        <v>191</v>
      </c>
      <c r="I234" s="702">
        <f>J234+K234+L234</f>
        <v>1.5</v>
      </c>
      <c r="J234" s="702">
        <f>SUM(M234:R234)</f>
        <v>1.5</v>
      </c>
      <c r="K234" s="703"/>
      <c r="L234" s="703"/>
      <c r="M234" s="1387"/>
      <c r="N234" s="703"/>
      <c r="O234" s="1379"/>
      <c r="P234" s="1372"/>
      <c r="Q234" s="1365"/>
      <c r="R234" s="1355">
        <f>SUM(R235:R236)</f>
        <v>1.5</v>
      </c>
      <c r="S234" s="1882"/>
      <c r="T234" s="1931"/>
      <c r="U234" s="1874"/>
      <c r="V234" s="1874"/>
      <c r="W234" s="716">
        <v>3</v>
      </c>
      <c r="X234" s="333">
        <v>30.4</v>
      </c>
      <c r="Y234" s="716"/>
      <c r="Z234" s="1706"/>
      <c r="AB234" s="3">
        <v>1</v>
      </c>
      <c r="AE234" s="2461"/>
      <c r="AF234" s="68"/>
    </row>
    <row r="235" spans="1:32" ht="18" x14ac:dyDescent="0.4">
      <c r="A235" s="1886"/>
      <c r="B235" s="1149">
        <v>10997</v>
      </c>
      <c r="C235" s="1149"/>
      <c r="D235" s="754"/>
      <c r="E235" s="1390" t="s">
        <v>2446</v>
      </c>
      <c r="F235" s="1834" t="s">
        <v>1490</v>
      </c>
      <c r="G235" s="179">
        <v>5</v>
      </c>
      <c r="H235" s="1620">
        <v>6</v>
      </c>
      <c r="I235" s="708"/>
      <c r="J235" s="708"/>
      <c r="K235" s="709"/>
      <c r="L235" s="709"/>
      <c r="M235" s="1388"/>
      <c r="N235" s="709"/>
      <c r="O235" s="1378"/>
      <c r="P235" s="1371"/>
      <c r="Q235" s="1366"/>
      <c r="R235" s="1353">
        <v>1.25</v>
      </c>
      <c r="S235" s="1879"/>
      <c r="T235" s="1931"/>
      <c r="U235" s="1877"/>
      <c r="V235" s="1877"/>
      <c r="W235" s="720"/>
      <c r="X235" s="332"/>
      <c r="Y235" s="725"/>
      <c r="Z235" s="2664"/>
      <c r="AC235" s="3" t="s">
        <v>2570</v>
      </c>
      <c r="AE235" s="2461"/>
      <c r="AF235" s="68"/>
    </row>
    <row r="236" spans="1:32" ht="18" x14ac:dyDescent="0.4">
      <c r="A236" s="1886"/>
      <c r="B236" s="1149">
        <v>10997</v>
      </c>
      <c r="C236" s="1149"/>
      <c r="D236" s="754"/>
      <c r="E236" s="1390" t="s">
        <v>2485</v>
      </c>
      <c r="F236" s="1834" t="s">
        <v>664</v>
      </c>
      <c r="G236" s="1620">
        <v>5</v>
      </c>
      <c r="H236" s="1620">
        <v>6</v>
      </c>
      <c r="I236" s="708"/>
      <c r="J236" s="708"/>
      <c r="K236" s="709"/>
      <c r="L236" s="709"/>
      <c r="M236" s="1388"/>
      <c r="N236" s="709"/>
      <c r="O236" s="1378"/>
      <c r="P236" s="1371"/>
      <c r="Q236" s="1363"/>
      <c r="R236" s="1356">
        <f>1.5-1.25</f>
        <v>0.25</v>
      </c>
      <c r="S236" s="1879"/>
      <c r="T236" s="1931"/>
      <c r="U236" s="1877"/>
      <c r="V236" s="1877"/>
      <c r="W236" s="720"/>
      <c r="X236" s="332"/>
      <c r="Y236" s="725"/>
      <c r="Z236" s="2664"/>
      <c r="AE236" s="2461"/>
      <c r="AF236" s="68"/>
    </row>
    <row r="237" spans="1:32" ht="30" x14ac:dyDescent="0.35">
      <c r="A237" s="1880">
        <v>79</v>
      </c>
      <c r="B237" s="1149">
        <v>10998</v>
      </c>
      <c r="C237" s="1149"/>
      <c r="D237" s="755" t="s">
        <v>1506</v>
      </c>
      <c r="E237" s="715" t="s">
        <v>739</v>
      </c>
      <c r="F237" s="1834"/>
      <c r="G237" s="1953" t="s">
        <v>191</v>
      </c>
      <c r="H237" s="1943" t="s">
        <v>191</v>
      </c>
      <c r="I237" s="702">
        <f>J237+K237+L237</f>
        <v>6.4</v>
      </c>
      <c r="J237" s="702">
        <f>SUM(M237:R237)</f>
        <v>6.4</v>
      </c>
      <c r="K237" s="703"/>
      <c r="L237" s="703"/>
      <c r="M237" s="1387"/>
      <c r="N237" s="717">
        <f>SUM(N238:N241)</f>
        <v>0.44600000000000001</v>
      </c>
      <c r="O237" s="1379"/>
      <c r="P237" s="1372"/>
      <c r="Q237" s="1365">
        <f>SUM(Q238:Q241)</f>
        <v>2.7540000000000004</v>
      </c>
      <c r="R237" s="1355">
        <f>SUM(R238:R241)</f>
        <v>3.2</v>
      </c>
      <c r="S237" s="1882"/>
      <c r="T237" s="1931"/>
      <c r="U237" s="1874"/>
      <c r="V237" s="1874"/>
      <c r="W237" s="716">
        <v>12</v>
      </c>
      <c r="X237" s="333">
        <v>148.30000000000001</v>
      </c>
      <c r="Y237" s="716">
        <v>3</v>
      </c>
      <c r="Z237" s="1706">
        <v>40.450000000000003</v>
      </c>
      <c r="AB237" s="3">
        <v>1</v>
      </c>
      <c r="AE237" s="2461"/>
      <c r="AF237" s="68"/>
    </row>
    <row r="238" spans="1:32" ht="18" x14ac:dyDescent="0.4">
      <c r="A238" s="1886"/>
      <c r="B238" s="1149">
        <v>10998</v>
      </c>
      <c r="C238" s="1149"/>
      <c r="D238" s="754"/>
      <c r="E238" s="711" t="s">
        <v>740</v>
      </c>
      <c r="F238" s="1834">
        <v>4</v>
      </c>
      <c r="G238" s="179">
        <v>5</v>
      </c>
      <c r="H238" s="179">
        <v>6</v>
      </c>
      <c r="I238" s="708"/>
      <c r="J238" s="708"/>
      <c r="K238" s="709"/>
      <c r="L238" s="709"/>
      <c r="M238" s="1388"/>
      <c r="N238" s="712">
        <v>0.44600000000000001</v>
      </c>
      <c r="O238" s="1378"/>
      <c r="P238" s="1371"/>
      <c r="Q238" s="1363"/>
      <c r="R238" s="1353"/>
      <c r="S238" s="1879"/>
      <c r="T238" s="1931"/>
      <c r="U238" s="1877"/>
      <c r="V238" s="1877"/>
      <c r="W238" s="720"/>
      <c r="X238" s="332"/>
      <c r="Y238" s="725"/>
      <c r="Z238" s="2664"/>
      <c r="AE238" s="2461"/>
      <c r="AF238" s="68"/>
    </row>
    <row r="239" spans="1:32" ht="18" x14ac:dyDescent="0.4">
      <c r="A239" s="1875"/>
      <c r="B239" s="1149">
        <v>10998</v>
      </c>
      <c r="C239" s="1149"/>
      <c r="D239" s="753"/>
      <c r="E239" s="1396" t="s">
        <v>543</v>
      </c>
      <c r="F239" s="1943">
        <v>4</v>
      </c>
      <c r="G239" s="1620">
        <v>5</v>
      </c>
      <c r="H239" s="1834">
        <v>6</v>
      </c>
      <c r="I239" s="708"/>
      <c r="J239" s="708"/>
      <c r="K239" s="709"/>
      <c r="L239" s="709"/>
      <c r="M239" s="1385"/>
      <c r="N239" s="708"/>
      <c r="O239" s="1377"/>
      <c r="P239" s="1370"/>
      <c r="Q239" s="1362">
        <f>2-0.446</f>
        <v>1.554</v>
      </c>
      <c r="R239" s="1352"/>
      <c r="S239" s="1876"/>
      <c r="T239" s="1931"/>
      <c r="U239" s="1877"/>
      <c r="V239" s="1877"/>
      <c r="W239" s="1770"/>
      <c r="X239" s="2667"/>
      <c r="Y239" s="1770"/>
      <c r="Z239" s="2668"/>
      <c r="AE239" s="2461"/>
      <c r="AF239" s="68"/>
    </row>
    <row r="240" spans="1:32" ht="18" x14ac:dyDescent="0.4">
      <c r="A240" s="1875"/>
      <c r="B240" s="1149">
        <v>10998</v>
      </c>
      <c r="C240" s="1149"/>
      <c r="D240" s="753"/>
      <c r="E240" s="1396" t="s">
        <v>542</v>
      </c>
      <c r="F240" s="1943">
        <v>5</v>
      </c>
      <c r="G240" s="1620">
        <v>5</v>
      </c>
      <c r="H240" s="1834">
        <v>6</v>
      </c>
      <c r="I240" s="708"/>
      <c r="J240" s="708"/>
      <c r="K240" s="709"/>
      <c r="L240" s="709"/>
      <c r="M240" s="1385"/>
      <c r="N240" s="708"/>
      <c r="O240" s="1377"/>
      <c r="P240" s="1370"/>
      <c r="Q240" s="1362">
        <f>3.2-2</f>
        <v>1.2000000000000002</v>
      </c>
      <c r="R240" s="1352"/>
      <c r="S240" s="1876"/>
      <c r="T240" s="1931"/>
      <c r="U240" s="1877"/>
      <c r="V240" s="1877"/>
      <c r="W240" s="1770"/>
      <c r="X240" s="2667"/>
      <c r="Y240" s="1770"/>
      <c r="Z240" s="2668"/>
      <c r="AE240" s="2461"/>
      <c r="AF240" s="68"/>
    </row>
    <row r="241" spans="1:32" ht="18" x14ac:dyDescent="0.4">
      <c r="A241" s="1875"/>
      <c r="B241" s="1149">
        <v>10998</v>
      </c>
      <c r="C241" s="1149"/>
      <c r="D241" s="753"/>
      <c r="E241" s="1391" t="s">
        <v>2246</v>
      </c>
      <c r="F241" s="1943" t="s">
        <v>664</v>
      </c>
      <c r="G241" s="1620">
        <v>5</v>
      </c>
      <c r="H241" s="1620">
        <v>6</v>
      </c>
      <c r="I241" s="708"/>
      <c r="J241" s="708"/>
      <c r="K241" s="709"/>
      <c r="L241" s="709"/>
      <c r="M241" s="1385"/>
      <c r="N241" s="708"/>
      <c r="O241" s="1377"/>
      <c r="P241" s="1370"/>
      <c r="Q241" s="1362"/>
      <c r="R241" s="1352">
        <v>3.2</v>
      </c>
      <c r="S241" s="1876"/>
      <c r="T241" s="1931"/>
      <c r="U241" s="1877"/>
      <c r="V241" s="1877"/>
      <c r="W241" s="1770"/>
      <c r="X241" s="2667"/>
      <c r="Y241" s="1770"/>
      <c r="Z241" s="2668"/>
      <c r="AA241" s="3" t="s">
        <v>1510</v>
      </c>
      <c r="AE241" s="2461"/>
      <c r="AF241" s="68"/>
    </row>
    <row r="242" spans="1:32" ht="45" x14ac:dyDescent="0.35">
      <c r="A242" s="1896">
        <v>80</v>
      </c>
      <c r="B242" s="1148">
        <v>10998</v>
      </c>
      <c r="C242" s="1979" t="s">
        <v>1655</v>
      </c>
      <c r="D242" s="2470" t="s">
        <v>5434</v>
      </c>
      <c r="E242" s="739" t="s">
        <v>7384</v>
      </c>
      <c r="F242" s="1953" t="s">
        <v>664</v>
      </c>
      <c r="G242" s="1953">
        <v>5</v>
      </c>
      <c r="H242" s="1620">
        <v>6</v>
      </c>
      <c r="I242" s="702">
        <f>J242+K242+L242</f>
        <v>0.72</v>
      </c>
      <c r="J242" s="702">
        <f>SUM(M242:R242)</f>
        <v>0.72</v>
      </c>
      <c r="K242" s="703"/>
      <c r="L242" s="703"/>
      <c r="M242" s="1387"/>
      <c r="N242" s="703"/>
      <c r="O242" s="1379"/>
      <c r="P242" s="1372"/>
      <c r="Q242" s="1364"/>
      <c r="R242" s="1357">
        <v>0.72</v>
      </c>
      <c r="S242" s="1890"/>
      <c r="T242" s="1931"/>
      <c r="U242" s="1892"/>
      <c r="V242" s="1892"/>
      <c r="W242" s="730"/>
      <c r="X242" s="731"/>
      <c r="Y242" s="730"/>
      <c r="Z242" s="1708"/>
      <c r="AB242" s="3">
        <v>1</v>
      </c>
      <c r="AE242" s="2461"/>
      <c r="AF242" s="68"/>
    </row>
    <row r="243" spans="1:32" ht="30" x14ac:dyDescent="0.35">
      <c r="A243" s="1896">
        <v>81</v>
      </c>
      <c r="B243" s="1148">
        <v>10998</v>
      </c>
      <c r="C243" s="1979"/>
      <c r="D243" s="2470" t="s">
        <v>5435</v>
      </c>
      <c r="E243" s="739" t="s">
        <v>7834</v>
      </c>
      <c r="F243" s="1953" t="s">
        <v>664</v>
      </c>
      <c r="G243" s="1953">
        <v>5</v>
      </c>
      <c r="H243" s="1620">
        <v>6</v>
      </c>
      <c r="I243" s="702">
        <f>J243+K243+L243</f>
        <v>1.75</v>
      </c>
      <c r="J243" s="702">
        <f>SUM(M243:R243)</f>
        <v>1.75</v>
      </c>
      <c r="K243" s="703"/>
      <c r="L243" s="703"/>
      <c r="M243" s="1387"/>
      <c r="N243" s="703"/>
      <c r="O243" s="1379"/>
      <c r="P243" s="1372"/>
      <c r="Q243" s="1364"/>
      <c r="R243" s="1357">
        <v>1.75</v>
      </c>
      <c r="S243" s="1890"/>
      <c r="T243" s="1931"/>
      <c r="U243" s="1892"/>
      <c r="V243" s="1892"/>
      <c r="W243" s="730"/>
      <c r="X243" s="731"/>
      <c r="Y243" s="730"/>
      <c r="Z243" s="1708"/>
      <c r="AB243" s="3">
        <v>1</v>
      </c>
      <c r="AE243" s="2461"/>
      <c r="AF243" s="68"/>
    </row>
    <row r="244" spans="1:32" ht="60" x14ac:dyDescent="0.35">
      <c r="A244" s="1896">
        <v>82</v>
      </c>
      <c r="B244" s="1148">
        <v>11004</v>
      </c>
      <c r="C244" s="1979" t="s">
        <v>1655</v>
      </c>
      <c r="D244" s="2470" t="s">
        <v>5463</v>
      </c>
      <c r="E244" s="715" t="s">
        <v>7835</v>
      </c>
      <c r="F244" s="1834" t="s">
        <v>664</v>
      </c>
      <c r="G244" s="1834">
        <v>5</v>
      </c>
      <c r="H244" s="1620">
        <v>6</v>
      </c>
      <c r="I244" s="702">
        <f>J244+K244+L244</f>
        <v>1</v>
      </c>
      <c r="J244" s="702">
        <f>SUM(M244:R244)</f>
        <v>1</v>
      </c>
      <c r="K244" s="703"/>
      <c r="L244" s="703"/>
      <c r="M244" s="1387"/>
      <c r="N244" s="703"/>
      <c r="O244" s="1379"/>
      <c r="P244" s="1372"/>
      <c r="Q244" s="1364"/>
      <c r="R244" s="925">
        <v>1</v>
      </c>
      <c r="S244" s="1890"/>
      <c r="T244" s="1931"/>
      <c r="U244" s="732"/>
      <c r="V244" s="732"/>
      <c r="W244" s="730"/>
      <c r="X244" s="731"/>
      <c r="Y244" s="730"/>
      <c r="Z244" s="1708"/>
      <c r="AB244" s="3">
        <v>1</v>
      </c>
      <c r="AE244" s="2461"/>
      <c r="AF244" s="68"/>
    </row>
    <row r="245" spans="1:32" ht="75" x14ac:dyDescent="0.35">
      <c r="A245" s="1896">
        <v>83</v>
      </c>
      <c r="B245" s="1149">
        <v>10999</v>
      </c>
      <c r="C245" s="1149"/>
      <c r="D245" s="755" t="s">
        <v>2849</v>
      </c>
      <c r="E245" s="1916" t="s">
        <v>10867</v>
      </c>
      <c r="F245" s="1834"/>
      <c r="G245" s="1953" t="s">
        <v>191</v>
      </c>
      <c r="H245" s="1943" t="s">
        <v>191</v>
      </c>
      <c r="I245" s="702">
        <f>J245+K245+L245</f>
        <v>1.8</v>
      </c>
      <c r="J245" s="702">
        <f>SUM(M245:R245)</f>
        <v>1.8</v>
      </c>
      <c r="K245" s="703"/>
      <c r="L245" s="703"/>
      <c r="M245" s="1387"/>
      <c r="N245" s="717">
        <f>SUM(N246:N247)</f>
        <v>0.50800000000000001</v>
      </c>
      <c r="O245" s="1379"/>
      <c r="P245" s="1372"/>
      <c r="Q245" s="1364"/>
      <c r="R245" s="1355">
        <f>SUM(R246:R247)</f>
        <v>1.292</v>
      </c>
      <c r="S245" s="1882"/>
      <c r="T245" s="1931"/>
      <c r="U245" s="1874"/>
      <c r="V245" s="1874"/>
      <c r="W245" s="716">
        <v>1</v>
      </c>
      <c r="X245" s="333">
        <v>5.2</v>
      </c>
      <c r="Y245" s="716"/>
      <c r="Z245" s="1706"/>
      <c r="AB245" s="3">
        <v>1</v>
      </c>
      <c r="AE245" s="2461"/>
      <c r="AF245" s="68"/>
    </row>
    <row r="246" spans="1:32" ht="18" x14ac:dyDescent="0.4">
      <c r="A246" s="1886"/>
      <c r="B246" s="1149">
        <v>10999</v>
      </c>
      <c r="C246" s="1149"/>
      <c r="D246" s="754"/>
      <c r="E246" s="711" t="s">
        <v>11174</v>
      </c>
      <c r="F246" s="725">
        <v>4</v>
      </c>
      <c r="G246" s="725">
        <v>5</v>
      </c>
      <c r="H246" s="725">
        <v>6</v>
      </c>
      <c r="I246" s="726"/>
      <c r="J246" s="726"/>
      <c r="K246" s="721"/>
      <c r="L246" s="721"/>
      <c r="M246" s="721"/>
      <c r="N246" s="727">
        <v>0.50800000000000001</v>
      </c>
      <c r="O246" s="1378"/>
      <c r="P246" s="1371"/>
      <c r="Q246" s="1363"/>
      <c r="R246" s="1353"/>
      <c r="S246" s="1879"/>
      <c r="T246" s="1931"/>
      <c r="U246" s="1877"/>
      <c r="V246" s="1877"/>
      <c r="W246" s="720"/>
      <c r="X246" s="332"/>
      <c r="Y246" s="725"/>
      <c r="Z246" s="2664"/>
      <c r="AE246" s="2461"/>
      <c r="AF246" s="68"/>
    </row>
    <row r="247" spans="1:32" ht="18" x14ac:dyDescent="0.4">
      <c r="A247" s="1886"/>
      <c r="B247" s="1149">
        <v>10999</v>
      </c>
      <c r="C247" s="1149"/>
      <c r="D247" s="754"/>
      <c r="E247" s="1390" t="s">
        <v>2247</v>
      </c>
      <c r="F247" s="1834" t="s">
        <v>664</v>
      </c>
      <c r="G247" s="179">
        <v>5</v>
      </c>
      <c r="H247" s="1620">
        <v>6</v>
      </c>
      <c r="I247" s="708"/>
      <c r="J247" s="708"/>
      <c r="K247" s="709"/>
      <c r="L247" s="709"/>
      <c r="M247" s="1388"/>
      <c r="N247" s="709"/>
      <c r="O247" s="1378"/>
      <c r="P247" s="1371"/>
      <c r="Q247" s="1363"/>
      <c r="R247" s="1356">
        <f>1.8-0.508</f>
        <v>1.292</v>
      </c>
      <c r="S247" s="1879"/>
      <c r="T247" s="1931"/>
      <c r="U247" s="1877"/>
      <c r="V247" s="1877"/>
      <c r="W247" s="720"/>
      <c r="X247" s="332"/>
      <c r="Y247" s="725"/>
      <c r="Z247" s="2664"/>
      <c r="AE247" s="2461"/>
      <c r="AF247" s="68"/>
    </row>
    <row r="248" spans="1:32" ht="90" x14ac:dyDescent="0.35">
      <c r="A248" s="1872">
        <v>84</v>
      </c>
      <c r="B248" s="1147">
        <v>10999</v>
      </c>
      <c r="C248" s="2083" t="s">
        <v>1656</v>
      </c>
      <c r="D248" s="2470" t="s">
        <v>5436</v>
      </c>
      <c r="E248" s="739" t="s">
        <v>10868</v>
      </c>
      <c r="F248" s="1953" t="s">
        <v>664</v>
      </c>
      <c r="G248" s="1953">
        <v>5</v>
      </c>
      <c r="H248" s="1620">
        <v>6</v>
      </c>
      <c r="I248" s="702">
        <f>J248+K248+L248</f>
        <v>0.7</v>
      </c>
      <c r="J248" s="702">
        <f>SUM(M248:R248)</f>
        <v>0.7</v>
      </c>
      <c r="K248" s="703"/>
      <c r="L248" s="703"/>
      <c r="M248" s="1387"/>
      <c r="N248" s="703"/>
      <c r="O248" s="1379"/>
      <c r="P248" s="1372"/>
      <c r="Q248" s="1364"/>
      <c r="R248" s="929">
        <v>0.7</v>
      </c>
      <c r="S248" s="1890"/>
      <c r="T248" s="1931"/>
      <c r="U248" s="1892"/>
      <c r="V248" s="1892"/>
      <c r="W248" s="730"/>
      <c r="X248" s="731"/>
      <c r="Y248" s="730"/>
      <c r="Z248" s="1708"/>
      <c r="AB248" s="3">
        <v>1</v>
      </c>
      <c r="AE248" s="2461"/>
      <c r="AF248" s="68"/>
    </row>
    <row r="249" spans="1:32" ht="30" x14ac:dyDescent="0.35">
      <c r="A249" s="1872">
        <v>85</v>
      </c>
      <c r="B249" s="1145">
        <v>11000</v>
      </c>
      <c r="C249" s="1145"/>
      <c r="D249" s="752" t="s">
        <v>2564</v>
      </c>
      <c r="E249" s="699" t="s">
        <v>7078</v>
      </c>
      <c r="F249" s="1943"/>
      <c r="G249" s="1953" t="s">
        <v>191</v>
      </c>
      <c r="H249" s="179" t="s">
        <v>191</v>
      </c>
      <c r="I249" s="702">
        <f>J249+K249+L249</f>
        <v>4.5999999999999996</v>
      </c>
      <c r="J249" s="702">
        <f>SUM(M249:R249)</f>
        <v>4.5999999999999996</v>
      </c>
      <c r="K249" s="703"/>
      <c r="L249" s="703"/>
      <c r="M249" s="1384"/>
      <c r="N249" s="702">
        <f>SUM(N250:N252)</f>
        <v>1.5980000000000003</v>
      </c>
      <c r="O249" s="1376"/>
      <c r="P249" s="1369"/>
      <c r="Q249" s="1361">
        <f>SUM(Q250:Q252)</f>
        <v>3.0019999999999993</v>
      </c>
      <c r="R249" s="1351"/>
      <c r="S249" s="1873"/>
      <c r="T249" s="1931"/>
      <c r="U249" s="1874"/>
      <c r="V249" s="1874"/>
      <c r="W249" s="700">
        <v>3</v>
      </c>
      <c r="X249" s="706">
        <v>32.6</v>
      </c>
      <c r="Y249" s="700"/>
      <c r="Z249" s="1705"/>
      <c r="AB249" s="3">
        <v>1</v>
      </c>
      <c r="AE249" s="2461"/>
      <c r="AF249" s="68"/>
    </row>
    <row r="250" spans="1:32" ht="18" x14ac:dyDescent="0.4">
      <c r="A250" s="1875"/>
      <c r="B250" s="1145">
        <v>11000</v>
      </c>
      <c r="C250" s="1145"/>
      <c r="D250" s="753"/>
      <c r="E250" s="1396" t="s">
        <v>430</v>
      </c>
      <c r="F250" s="1943">
        <v>4</v>
      </c>
      <c r="G250" s="1953">
        <v>5</v>
      </c>
      <c r="H250" s="179">
        <v>6</v>
      </c>
      <c r="I250" s="708"/>
      <c r="J250" s="708"/>
      <c r="K250" s="709"/>
      <c r="L250" s="709"/>
      <c r="M250" s="1385"/>
      <c r="N250" s="708"/>
      <c r="O250" s="1377"/>
      <c r="P250" s="1370"/>
      <c r="Q250" s="1362">
        <v>1.9</v>
      </c>
      <c r="R250" s="1352"/>
      <c r="S250" s="1876"/>
      <c r="T250" s="1931"/>
      <c r="U250" s="1877"/>
      <c r="V250" s="1877"/>
      <c r="W250" s="1770"/>
      <c r="X250" s="2667"/>
      <c r="Y250" s="1770"/>
      <c r="Z250" s="2668"/>
      <c r="AE250" s="2461"/>
      <c r="AF250" s="68"/>
    </row>
    <row r="251" spans="1:32" ht="18" x14ac:dyDescent="0.4">
      <c r="A251" s="1875"/>
      <c r="B251" s="1145">
        <v>11000</v>
      </c>
      <c r="C251" s="1145"/>
      <c r="D251" s="753"/>
      <c r="E251" s="713" t="s">
        <v>723</v>
      </c>
      <c r="F251" s="1943">
        <v>4</v>
      </c>
      <c r="G251" s="1953">
        <v>5</v>
      </c>
      <c r="H251" s="179">
        <v>6</v>
      </c>
      <c r="I251" s="708"/>
      <c r="J251" s="708"/>
      <c r="K251" s="709"/>
      <c r="L251" s="709"/>
      <c r="M251" s="1385"/>
      <c r="N251" s="708">
        <f>3.498-1.9</f>
        <v>1.5980000000000003</v>
      </c>
      <c r="O251" s="1377"/>
      <c r="P251" s="1370"/>
      <c r="Q251" s="1362"/>
      <c r="R251" s="1352"/>
      <c r="S251" s="1876"/>
      <c r="T251" s="1931"/>
      <c r="U251" s="1877"/>
      <c r="V251" s="1877"/>
      <c r="W251" s="1770"/>
      <c r="X251" s="2667"/>
      <c r="Y251" s="1770"/>
      <c r="Z251" s="2668"/>
      <c r="AA251" s="2"/>
      <c r="AB251" s="2"/>
      <c r="AE251" s="2461"/>
      <c r="AF251" s="68"/>
    </row>
    <row r="252" spans="1:32" ht="18" x14ac:dyDescent="0.4">
      <c r="A252" s="1875"/>
      <c r="B252" s="1145">
        <v>11000</v>
      </c>
      <c r="C252" s="1145"/>
      <c r="D252" s="753"/>
      <c r="E252" s="1396" t="s">
        <v>1715</v>
      </c>
      <c r="F252" s="1943">
        <v>5</v>
      </c>
      <c r="G252" s="1953">
        <v>5</v>
      </c>
      <c r="H252" s="179">
        <v>6</v>
      </c>
      <c r="I252" s="708"/>
      <c r="J252" s="708"/>
      <c r="K252" s="709"/>
      <c r="L252" s="709"/>
      <c r="M252" s="1385"/>
      <c r="N252" s="708"/>
      <c r="O252" s="1377"/>
      <c r="P252" s="1370"/>
      <c r="Q252" s="1362">
        <f>4.6-3.498</f>
        <v>1.1019999999999994</v>
      </c>
      <c r="R252" s="1352"/>
      <c r="S252" s="1876"/>
      <c r="T252" s="1931"/>
      <c r="U252" s="1877"/>
      <c r="V252" s="1877"/>
      <c r="W252" s="1770"/>
      <c r="X252" s="2667"/>
      <c r="Y252" s="1770"/>
      <c r="Z252" s="2668"/>
      <c r="AE252" s="2461"/>
      <c r="AF252" s="68"/>
    </row>
    <row r="253" spans="1:32" ht="30" x14ac:dyDescent="0.35">
      <c r="A253" s="1872">
        <v>86</v>
      </c>
      <c r="B253" s="1145">
        <v>11000</v>
      </c>
      <c r="C253" s="1145"/>
      <c r="D253" s="2470" t="s">
        <v>5437</v>
      </c>
      <c r="E253" s="699" t="s">
        <v>8730</v>
      </c>
      <c r="F253" s="1953" t="s">
        <v>664</v>
      </c>
      <c r="G253" s="1953">
        <v>5</v>
      </c>
      <c r="H253" s="1620">
        <v>6</v>
      </c>
      <c r="I253" s="702">
        <f>J253+K253+L253</f>
        <v>0.75</v>
      </c>
      <c r="J253" s="702">
        <f>SUM(M253:R253)</f>
        <v>0.75</v>
      </c>
      <c r="K253" s="703"/>
      <c r="L253" s="703"/>
      <c r="M253" s="1387"/>
      <c r="N253" s="703"/>
      <c r="O253" s="1379"/>
      <c r="P253" s="1372"/>
      <c r="Q253" s="1364"/>
      <c r="R253" s="929">
        <v>0.75</v>
      </c>
      <c r="S253" s="1890"/>
      <c r="T253" s="1931"/>
      <c r="U253" s="1892"/>
      <c r="V253" s="1892"/>
      <c r="W253" s="1890"/>
      <c r="X253" s="1891"/>
      <c r="Y253" s="1890"/>
      <c r="Z253" s="1897"/>
      <c r="AB253" s="3">
        <v>1</v>
      </c>
      <c r="AE253" s="2461"/>
      <c r="AF253" s="68"/>
    </row>
    <row r="254" spans="1:32" ht="45" x14ac:dyDescent="0.4">
      <c r="A254" s="1875">
        <v>87</v>
      </c>
      <c r="B254" s="1145">
        <v>11001</v>
      </c>
      <c r="C254" s="1145"/>
      <c r="D254" s="1922" t="s">
        <v>2202</v>
      </c>
      <c r="E254" s="1905" t="s">
        <v>10044</v>
      </c>
      <c r="F254" s="1943"/>
      <c r="G254" s="179" t="s">
        <v>191</v>
      </c>
      <c r="H254" s="179" t="s">
        <v>191</v>
      </c>
      <c r="I254" s="702">
        <f>J254+K254+L254</f>
        <v>1.6890000000000001</v>
      </c>
      <c r="J254" s="702">
        <f>SUM(M254:R254)</f>
        <v>1.6890000000000001</v>
      </c>
      <c r="K254" s="709"/>
      <c r="L254" s="709"/>
      <c r="M254" s="1385"/>
      <c r="N254" s="1997">
        <f>N255</f>
        <v>0.86199999999999999</v>
      </c>
      <c r="O254" s="1927"/>
      <c r="P254" s="1928"/>
      <c r="Q254" s="1929">
        <f>Q256</f>
        <v>0.82700000000000007</v>
      </c>
      <c r="R254" s="1352"/>
      <c r="S254" s="1876"/>
      <c r="T254" s="1931"/>
      <c r="U254" s="1877"/>
      <c r="V254" s="1877"/>
      <c r="W254" s="700">
        <v>4</v>
      </c>
      <c r="X254" s="706">
        <f>40.5+16.33</f>
        <v>56.83</v>
      </c>
      <c r="Y254" s="1770"/>
      <c r="Z254" s="2661"/>
      <c r="AB254" s="3">
        <v>1</v>
      </c>
      <c r="AE254" s="2461"/>
      <c r="AF254" s="68"/>
    </row>
    <row r="255" spans="1:32" ht="18" x14ac:dyDescent="0.4">
      <c r="A255" s="1875"/>
      <c r="B255" s="1145">
        <v>11001</v>
      </c>
      <c r="C255" s="1145"/>
      <c r="D255" s="753"/>
      <c r="E255" s="1906" t="s">
        <v>2386</v>
      </c>
      <c r="F255" s="1943">
        <v>5</v>
      </c>
      <c r="G255" s="179">
        <v>5</v>
      </c>
      <c r="H255" s="179">
        <v>6</v>
      </c>
      <c r="I255" s="708"/>
      <c r="J255" s="708"/>
      <c r="K255" s="709"/>
      <c r="L255" s="709"/>
      <c r="M255" s="1385"/>
      <c r="N255" s="708">
        <v>0.86199999999999999</v>
      </c>
      <c r="O255" s="1377"/>
      <c r="P255" s="1370"/>
      <c r="Q255" s="1362"/>
      <c r="R255" s="1352"/>
      <c r="S255" s="1876"/>
      <c r="T255" s="1931"/>
      <c r="U255" s="1877"/>
      <c r="V255" s="1877"/>
      <c r="W255" s="1876"/>
      <c r="X255" s="2660"/>
      <c r="Y255" s="1876"/>
      <c r="Z255" s="2661"/>
      <c r="AE255" s="2461"/>
      <c r="AF255" s="68"/>
    </row>
    <row r="256" spans="1:32" ht="18" x14ac:dyDescent="0.4">
      <c r="A256" s="1875"/>
      <c r="B256" s="1145">
        <v>11001</v>
      </c>
      <c r="C256" s="1145"/>
      <c r="D256" s="753"/>
      <c r="E256" s="1396" t="s">
        <v>2554</v>
      </c>
      <c r="F256" s="1943">
        <v>5</v>
      </c>
      <c r="G256" s="179">
        <v>5</v>
      </c>
      <c r="H256" s="179">
        <v>6</v>
      </c>
      <c r="I256" s="708"/>
      <c r="J256" s="708"/>
      <c r="K256" s="709"/>
      <c r="L256" s="709"/>
      <c r="M256" s="1385"/>
      <c r="N256" s="708"/>
      <c r="O256" s="1377"/>
      <c r="P256" s="1370"/>
      <c r="Q256" s="1362">
        <f>1.689-0.862</f>
        <v>0.82700000000000007</v>
      </c>
      <c r="R256" s="1352"/>
      <c r="S256" s="1876"/>
      <c r="T256" s="1931"/>
      <c r="U256" s="1877"/>
      <c r="V256" s="1877"/>
      <c r="W256" s="1876"/>
      <c r="X256" s="2660"/>
      <c r="Y256" s="1876"/>
      <c r="Z256" s="2661"/>
      <c r="AE256" s="2461"/>
      <c r="AF256" s="68"/>
    </row>
    <row r="257" spans="1:32" ht="60" x14ac:dyDescent="0.4">
      <c r="A257" s="1875">
        <v>88</v>
      </c>
      <c r="B257" s="1145">
        <v>11001</v>
      </c>
      <c r="C257" s="1145"/>
      <c r="D257" s="2470" t="s">
        <v>5438</v>
      </c>
      <c r="E257" s="1905" t="s">
        <v>10045</v>
      </c>
      <c r="F257" s="1943">
        <v>5</v>
      </c>
      <c r="G257" s="179">
        <v>5</v>
      </c>
      <c r="H257" s="179">
        <v>6</v>
      </c>
      <c r="I257" s="702">
        <f>J257+K257+L257</f>
        <v>0.76</v>
      </c>
      <c r="J257" s="702">
        <f>SUM(M257:R257)</f>
        <v>0.76</v>
      </c>
      <c r="K257" s="709"/>
      <c r="L257" s="709"/>
      <c r="M257" s="1385"/>
      <c r="N257" s="1997">
        <v>0.76</v>
      </c>
      <c r="O257" s="1377"/>
      <c r="P257" s="1370"/>
      <c r="Q257" s="1362"/>
      <c r="R257" s="1352"/>
      <c r="S257" s="1876"/>
      <c r="T257" s="1931"/>
      <c r="U257" s="1877"/>
      <c r="V257" s="1877"/>
      <c r="W257" s="700">
        <v>1</v>
      </c>
      <c r="X257" s="706">
        <v>7.8</v>
      </c>
      <c r="Y257" s="1876"/>
      <c r="Z257" s="2661"/>
      <c r="AB257" s="3">
        <v>1</v>
      </c>
      <c r="AE257" s="2461"/>
      <c r="AF257" s="68"/>
    </row>
    <row r="258" spans="1:32" ht="30" x14ac:dyDescent="0.35">
      <c r="A258" s="1872">
        <v>89</v>
      </c>
      <c r="B258" s="1149">
        <v>11002</v>
      </c>
      <c r="C258" s="1149"/>
      <c r="D258" s="755" t="s">
        <v>246</v>
      </c>
      <c r="E258" s="715" t="s">
        <v>3530</v>
      </c>
      <c r="F258" s="1834"/>
      <c r="G258" s="1953" t="s">
        <v>191</v>
      </c>
      <c r="H258" s="179" t="s">
        <v>191</v>
      </c>
      <c r="I258" s="702">
        <f>J258+K258+L258</f>
        <v>9.85</v>
      </c>
      <c r="J258" s="702">
        <f>SUM(M258:R258)</f>
        <v>7.7240000000000002</v>
      </c>
      <c r="K258" s="717">
        <f>SUM(K259:K262)</f>
        <v>1.5</v>
      </c>
      <c r="L258" s="717">
        <f>SUM(L259:L262)</f>
        <v>0.62599999999999945</v>
      </c>
      <c r="M258" s="1387"/>
      <c r="N258" s="717">
        <f>SUM(N259:N262)</f>
        <v>7.7240000000000002</v>
      </c>
      <c r="O258" s="1379"/>
      <c r="P258" s="1372"/>
      <c r="Q258" s="1364"/>
      <c r="R258" s="1354"/>
      <c r="S258" s="1882"/>
      <c r="T258" s="1931"/>
      <c r="U258" s="1874"/>
      <c r="V258" s="1874"/>
      <c r="W258" s="716">
        <v>10</v>
      </c>
      <c r="X258" s="333">
        <v>128.53</v>
      </c>
      <c r="Y258" s="716">
        <v>3</v>
      </c>
      <c r="Z258" s="1706">
        <v>35.799999999999997</v>
      </c>
      <c r="AB258" s="3">
        <v>1</v>
      </c>
      <c r="AE258" s="2461"/>
      <c r="AF258" s="68"/>
    </row>
    <row r="259" spans="1:32" ht="46.5" x14ac:dyDescent="0.4">
      <c r="A259" s="1878"/>
      <c r="B259" s="1152">
        <v>11002</v>
      </c>
      <c r="C259" s="1152"/>
      <c r="D259" s="754"/>
      <c r="E259" s="711" t="s">
        <v>10000</v>
      </c>
      <c r="F259" s="1953">
        <v>4</v>
      </c>
      <c r="G259" s="1620">
        <v>4</v>
      </c>
      <c r="H259" s="1620" t="s">
        <v>191</v>
      </c>
      <c r="I259" s="712"/>
      <c r="J259" s="709"/>
      <c r="K259" s="712">
        <v>1.5</v>
      </c>
      <c r="L259" s="709"/>
      <c r="M259" s="1388"/>
      <c r="N259" s="709"/>
      <c r="O259" s="1378"/>
      <c r="P259" s="1371"/>
      <c r="Q259" s="1363"/>
      <c r="R259" s="1353"/>
      <c r="S259" s="1887"/>
      <c r="T259" s="1931"/>
      <c r="U259" s="1888"/>
      <c r="V259" s="1888"/>
      <c r="W259" s="716"/>
      <c r="X259" s="2662"/>
      <c r="Y259" s="1887"/>
      <c r="Z259" s="2663"/>
      <c r="AE259" s="2461"/>
      <c r="AF259" s="68"/>
    </row>
    <row r="260" spans="1:32" ht="18" x14ac:dyDescent="0.4">
      <c r="A260" s="1878"/>
      <c r="B260" s="1152"/>
      <c r="C260" s="1152"/>
      <c r="D260" s="754"/>
      <c r="E260" s="711" t="s">
        <v>3529</v>
      </c>
      <c r="F260" s="1953">
        <v>4</v>
      </c>
      <c r="G260" s="1620">
        <v>4</v>
      </c>
      <c r="H260" s="179">
        <v>6</v>
      </c>
      <c r="I260" s="712"/>
      <c r="J260" s="709"/>
      <c r="K260" s="712"/>
      <c r="L260" s="709"/>
      <c r="M260" s="1388"/>
      <c r="N260" s="709">
        <f>8.845-1.5</f>
        <v>7.3450000000000006</v>
      </c>
      <c r="O260" s="1378"/>
      <c r="P260" s="1371"/>
      <c r="Q260" s="1363"/>
      <c r="R260" s="1353"/>
      <c r="S260" s="1887"/>
      <c r="T260" s="1931"/>
      <c r="U260" s="1888"/>
      <c r="V260" s="1888"/>
      <c r="W260" s="716"/>
      <c r="X260" s="2662"/>
      <c r="Y260" s="1887"/>
      <c r="Z260" s="2663"/>
      <c r="AE260" s="2461"/>
      <c r="AF260" s="68"/>
    </row>
    <row r="261" spans="1:32" ht="31" x14ac:dyDescent="0.4">
      <c r="A261" s="1878"/>
      <c r="B261" s="1152"/>
      <c r="C261" s="1152"/>
      <c r="D261" s="754"/>
      <c r="E261" s="711" t="s">
        <v>11418</v>
      </c>
      <c r="F261" s="1953">
        <v>4</v>
      </c>
      <c r="G261" s="1620">
        <v>4</v>
      </c>
      <c r="H261" s="1620" t="s">
        <v>191</v>
      </c>
      <c r="I261" s="712"/>
      <c r="J261" s="709"/>
      <c r="K261" s="712"/>
      <c r="L261" s="709">
        <f>9.471-8.845</f>
        <v>0.62599999999999945</v>
      </c>
      <c r="M261" s="1388"/>
      <c r="N261" s="709"/>
      <c r="O261" s="1378"/>
      <c r="P261" s="1371"/>
      <c r="Q261" s="1363"/>
      <c r="R261" s="1353"/>
      <c r="S261" s="1887"/>
      <c r="T261" s="1931"/>
      <c r="U261" s="1888"/>
      <c r="V261" s="1888"/>
      <c r="W261" s="716"/>
      <c r="X261" s="2662"/>
      <c r="Y261" s="1887"/>
      <c r="Z261" s="2663"/>
      <c r="AE261" s="2461"/>
      <c r="AF261" s="68"/>
    </row>
    <row r="262" spans="1:32" ht="18" x14ac:dyDescent="0.4">
      <c r="A262" s="1886"/>
      <c r="B262" s="1152">
        <v>11002</v>
      </c>
      <c r="C262" s="1152"/>
      <c r="D262" s="754"/>
      <c r="E262" s="711" t="s">
        <v>3531</v>
      </c>
      <c r="F262" s="1834">
        <v>4</v>
      </c>
      <c r="G262" s="179">
        <v>4</v>
      </c>
      <c r="H262" s="179">
        <v>6</v>
      </c>
      <c r="I262" s="708"/>
      <c r="J262" s="708"/>
      <c r="K262" s="709"/>
      <c r="L262" s="709"/>
      <c r="M262" s="1388"/>
      <c r="N262" s="712">
        <f>9.85-9.471</f>
        <v>0.37899999999999956</v>
      </c>
      <c r="O262" s="1378"/>
      <c r="P262" s="1371"/>
      <c r="Q262" s="1363"/>
      <c r="R262" s="1353"/>
      <c r="S262" s="1879"/>
      <c r="T262" s="1931"/>
      <c r="U262" s="1877"/>
      <c r="V262" s="1877"/>
      <c r="W262" s="716"/>
      <c r="X262" s="1911"/>
      <c r="Y262" s="1912"/>
      <c r="Z262" s="1913"/>
      <c r="AE262" s="2461"/>
      <c r="AF262" s="68"/>
    </row>
    <row r="263" spans="1:32" ht="30" x14ac:dyDescent="0.35">
      <c r="A263" s="1880">
        <v>90</v>
      </c>
      <c r="B263" s="1059">
        <v>11002</v>
      </c>
      <c r="C263" s="1059"/>
      <c r="D263" s="2470" t="s">
        <v>5439</v>
      </c>
      <c r="E263" s="733" t="s">
        <v>7836</v>
      </c>
      <c r="F263" s="1834">
        <v>4</v>
      </c>
      <c r="G263" s="1834">
        <v>5</v>
      </c>
      <c r="H263" s="179">
        <v>6</v>
      </c>
      <c r="I263" s="702">
        <f>J263+K263+L263</f>
        <v>2.8620000000000001</v>
      </c>
      <c r="J263" s="702">
        <f>SUM(M263:R263)</f>
        <v>2.8620000000000001</v>
      </c>
      <c r="K263" s="703"/>
      <c r="L263" s="703"/>
      <c r="M263" s="1387"/>
      <c r="N263" s="717">
        <v>2.8620000000000001</v>
      </c>
      <c r="O263" s="1379"/>
      <c r="P263" s="1372"/>
      <c r="Q263" s="1364"/>
      <c r="R263" s="1354"/>
      <c r="S263" s="701"/>
      <c r="T263" s="1931"/>
      <c r="U263" s="705"/>
      <c r="V263" s="705"/>
      <c r="W263" s="716">
        <v>4</v>
      </c>
      <c r="X263" s="333">
        <v>45.7</v>
      </c>
      <c r="Y263" s="716">
        <v>1</v>
      </c>
      <c r="Z263" s="1706">
        <v>9.1</v>
      </c>
      <c r="AB263" s="3">
        <v>1</v>
      </c>
      <c r="AE263" s="2461"/>
      <c r="AF263" s="68"/>
    </row>
    <row r="264" spans="1:32" ht="45" x14ac:dyDescent="0.35">
      <c r="A264" s="1872">
        <v>91</v>
      </c>
      <c r="B264" s="1058">
        <v>11050</v>
      </c>
      <c r="C264" s="2083" t="s">
        <v>1656</v>
      </c>
      <c r="D264" s="2470" t="s">
        <v>5440</v>
      </c>
      <c r="E264" s="739" t="s">
        <v>8731</v>
      </c>
      <c r="F264" s="1953" t="s">
        <v>664</v>
      </c>
      <c r="G264" s="1953">
        <v>5</v>
      </c>
      <c r="H264" s="1620">
        <v>6</v>
      </c>
      <c r="I264" s="702">
        <f>J264+K264+L264</f>
        <v>0.5</v>
      </c>
      <c r="J264" s="702">
        <f>SUM(M264:R264)</f>
        <v>0.5</v>
      </c>
      <c r="K264" s="703"/>
      <c r="L264" s="703"/>
      <c r="M264" s="1387"/>
      <c r="N264" s="703"/>
      <c r="O264" s="1379"/>
      <c r="P264" s="1372"/>
      <c r="Q264" s="1364"/>
      <c r="R264" s="929">
        <v>0.5</v>
      </c>
      <c r="S264" s="1890"/>
      <c r="T264" s="1931"/>
      <c r="U264" s="1892"/>
      <c r="V264" s="1892"/>
      <c r="W264" s="730"/>
      <c r="X264" s="731"/>
      <c r="Y264" s="730"/>
      <c r="Z264" s="1708"/>
      <c r="AB264" s="3">
        <v>1</v>
      </c>
      <c r="AE264" s="2461"/>
      <c r="AF264" s="68"/>
    </row>
    <row r="265" spans="1:32" ht="45" x14ac:dyDescent="0.35">
      <c r="A265" s="1880">
        <v>92</v>
      </c>
      <c r="B265" s="1059">
        <v>11012</v>
      </c>
      <c r="C265" s="1059"/>
      <c r="D265" s="2470" t="s">
        <v>5441</v>
      </c>
      <c r="E265" s="733" t="s">
        <v>7837</v>
      </c>
      <c r="F265" s="1834" t="s">
        <v>664</v>
      </c>
      <c r="G265" s="1834">
        <v>5</v>
      </c>
      <c r="H265" s="1620">
        <v>6</v>
      </c>
      <c r="I265" s="702">
        <f>J265+K265+L265</f>
        <v>0.6</v>
      </c>
      <c r="J265" s="702">
        <f>SUM(M265:R265)</f>
        <v>0.6</v>
      </c>
      <c r="K265" s="703"/>
      <c r="L265" s="703"/>
      <c r="M265" s="1387"/>
      <c r="N265" s="703"/>
      <c r="O265" s="1379"/>
      <c r="P265" s="1372"/>
      <c r="Q265" s="1364"/>
      <c r="R265" s="1355">
        <v>0.6</v>
      </c>
      <c r="S265" s="1882"/>
      <c r="T265" s="1931"/>
      <c r="U265" s="1874"/>
      <c r="V265" s="1874"/>
      <c r="W265" s="701"/>
      <c r="X265" s="333"/>
      <c r="Y265" s="716"/>
      <c r="Z265" s="1706"/>
      <c r="AB265" s="3">
        <v>1</v>
      </c>
      <c r="AE265" s="2461"/>
      <c r="AF265" s="68"/>
    </row>
    <row r="266" spans="1:32" ht="30" x14ac:dyDescent="0.35">
      <c r="A266" s="1872">
        <v>93</v>
      </c>
      <c r="B266" s="2083">
        <v>11002</v>
      </c>
      <c r="C266" s="2083"/>
      <c r="D266" s="2470" t="s">
        <v>5442</v>
      </c>
      <c r="E266" s="2113" t="s">
        <v>9360</v>
      </c>
      <c r="F266" s="2210" t="s">
        <v>1490</v>
      </c>
      <c r="G266" s="2210">
        <v>5</v>
      </c>
      <c r="H266" s="1620">
        <v>6</v>
      </c>
      <c r="I266" s="580">
        <f>J266+K266+L266</f>
        <v>1.5</v>
      </c>
      <c r="J266" s="2216">
        <f>SUM(M266:R266)</f>
        <v>1.5</v>
      </c>
      <c r="K266" s="527"/>
      <c r="L266" s="527"/>
      <c r="M266" s="527"/>
      <c r="N266" s="580"/>
      <c r="O266" s="2215"/>
      <c r="P266" s="527"/>
      <c r="Q266" s="913"/>
      <c r="R266" s="906">
        <v>1.5</v>
      </c>
      <c r="S266" s="92"/>
      <c r="T266" s="1931"/>
      <c r="U266" s="92"/>
      <c r="V266" s="92"/>
      <c r="W266" s="92"/>
      <c r="X266" s="92"/>
      <c r="Y266" s="92"/>
      <c r="Z266" s="70"/>
      <c r="AB266" s="3">
        <v>1</v>
      </c>
      <c r="AC266" s="3" t="s">
        <v>2570</v>
      </c>
      <c r="AE266" s="2461"/>
      <c r="AF266" s="68"/>
    </row>
    <row r="267" spans="1:32" ht="30" x14ac:dyDescent="0.35">
      <c r="A267" s="1880">
        <v>94</v>
      </c>
      <c r="B267" s="1149">
        <v>11003</v>
      </c>
      <c r="C267" s="1149"/>
      <c r="D267" s="755" t="s">
        <v>247</v>
      </c>
      <c r="E267" s="715" t="s">
        <v>10490</v>
      </c>
      <c r="F267" s="1834"/>
      <c r="G267" s="1953" t="s">
        <v>191</v>
      </c>
      <c r="H267" s="1943" t="s">
        <v>191</v>
      </c>
      <c r="I267" s="702">
        <f>J267+K267+L267</f>
        <v>15.265000000000001</v>
      </c>
      <c r="J267" s="702">
        <f>SUM(M267:R267)</f>
        <v>15.211</v>
      </c>
      <c r="K267" s="703"/>
      <c r="L267" s="717">
        <f>SUM(L268:L272)</f>
        <v>5.3999999999999826E-2</v>
      </c>
      <c r="M267" s="1389">
        <f>SUM(M268:M272)</f>
        <v>15.189</v>
      </c>
      <c r="N267" s="717">
        <f>SUM(N268:N272)</f>
        <v>2.2000000000000242E-2</v>
      </c>
      <c r="O267" s="1379"/>
      <c r="P267" s="1372"/>
      <c r="Q267" s="1364"/>
      <c r="R267" s="1354"/>
      <c r="S267" s="716">
        <v>2</v>
      </c>
      <c r="T267" s="1931">
        <f>30.65+27.8</f>
        <v>58.45</v>
      </c>
      <c r="U267" s="705"/>
      <c r="V267" s="705"/>
      <c r="W267" s="716">
        <v>32</v>
      </c>
      <c r="X267" s="333">
        <v>511.73</v>
      </c>
      <c r="Y267" s="716">
        <v>16</v>
      </c>
      <c r="Z267" s="1706">
        <v>222.5</v>
      </c>
      <c r="AB267" s="3">
        <v>1</v>
      </c>
      <c r="AE267" s="2461"/>
      <c r="AF267" s="68"/>
    </row>
    <row r="268" spans="1:32" ht="18" x14ac:dyDescent="0.4">
      <c r="A268" s="1886"/>
      <c r="B268" s="1149">
        <v>11003</v>
      </c>
      <c r="C268" s="1149"/>
      <c r="D268" s="754"/>
      <c r="E268" s="1399" t="s">
        <v>7197</v>
      </c>
      <c r="F268" s="1834">
        <v>4</v>
      </c>
      <c r="G268" s="1953">
        <v>4</v>
      </c>
      <c r="H268" s="1943">
        <v>10</v>
      </c>
      <c r="I268" s="708"/>
      <c r="J268" s="708"/>
      <c r="K268" s="709"/>
      <c r="L268" s="709"/>
      <c r="M268" s="1386">
        <v>3.548</v>
      </c>
      <c r="N268" s="709"/>
      <c r="O268" s="1378"/>
      <c r="P268" s="1371"/>
      <c r="Q268" s="1363"/>
      <c r="R268" s="1353"/>
      <c r="S268" s="1879"/>
      <c r="T268" s="1931"/>
      <c r="U268" s="1877"/>
      <c r="V268" s="1877"/>
      <c r="W268" s="1879"/>
      <c r="X268" s="1911"/>
      <c r="Y268" s="1912"/>
      <c r="Z268" s="1913"/>
      <c r="AE268" s="2461"/>
      <c r="AF268" s="68"/>
    </row>
    <row r="269" spans="1:32" ht="31" x14ac:dyDescent="0.4">
      <c r="A269" s="1886"/>
      <c r="B269" s="1149"/>
      <c r="C269" s="1149"/>
      <c r="D269" s="754"/>
      <c r="E269" s="711" t="s">
        <v>11419</v>
      </c>
      <c r="F269" s="1834">
        <v>4</v>
      </c>
      <c r="G269" s="1953">
        <v>4</v>
      </c>
      <c r="H269" s="1943" t="s">
        <v>191</v>
      </c>
      <c r="I269" s="708"/>
      <c r="J269" s="708"/>
      <c r="K269" s="709"/>
      <c r="L269" s="709">
        <f>3.602-3.548</f>
        <v>5.3999999999999826E-2</v>
      </c>
      <c r="M269" s="1386"/>
      <c r="N269" s="709"/>
      <c r="O269" s="1378"/>
      <c r="P269" s="1371"/>
      <c r="Q269" s="1363"/>
      <c r="R269" s="1353"/>
      <c r="S269" s="1879"/>
      <c r="T269" s="1931"/>
      <c r="U269" s="1877"/>
      <c r="V269" s="1877"/>
      <c r="W269" s="1879"/>
      <c r="X269" s="1911"/>
      <c r="Y269" s="1912"/>
      <c r="Z269" s="1913"/>
      <c r="AE269" s="2461"/>
      <c r="AF269" s="68"/>
    </row>
    <row r="270" spans="1:32" ht="18" x14ac:dyDescent="0.4">
      <c r="A270" s="1886"/>
      <c r="B270" s="1149"/>
      <c r="C270" s="1149"/>
      <c r="D270" s="754"/>
      <c r="E270" s="1399" t="s">
        <v>7214</v>
      </c>
      <c r="F270" s="1834">
        <v>4</v>
      </c>
      <c r="G270" s="1953">
        <v>4</v>
      </c>
      <c r="H270" s="1943">
        <v>10</v>
      </c>
      <c r="I270" s="708"/>
      <c r="J270" s="708"/>
      <c r="K270" s="709"/>
      <c r="L270" s="709"/>
      <c r="M270" s="1386">
        <f>10.096-3.602</f>
        <v>6.4939999999999998</v>
      </c>
      <c r="N270" s="709"/>
      <c r="O270" s="1378"/>
      <c r="P270" s="1371"/>
      <c r="Q270" s="1363"/>
      <c r="R270" s="1353"/>
      <c r="S270" s="1879"/>
      <c r="T270" s="1931"/>
      <c r="U270" s="1877"/>
      <c r="V270" s="1877"/>
      <c r="W270" s="1879"/>
      <c r="X270" s="1911"/>
      <c r="Y270" s="1912"/>
      <c r="Z270" s="1913"/>
      <c r="AE270" s="2461"/>
      <c r="AF270" s="68"/>
    </row>
    <row r="271" spans="1:32" ht="18" x14ac:dyDescent="0.4">
      <c r="A271" s="1886"/>
      <c r="B271" s="1149">
        <v>11003</v>
      </c>
      <c r="C271" s="1149"/>
      <c r="D271" s="754"/>
      <c r="E271" s="711" t="s">
        <v>7213</v>
      </c>
      <c r="F271" s="1834">
        <v>4</v>
      </c>
      <c r="G271" s="1953">
        <v>4</v>
      </c>
      <c r="H271" s="179">
        <v>10</v>
      </c>
      <c r="I271" s="708"/>
      <c r="J271" s="708"/>
      <c r="K271" s="709"/>
      <c r="L271" s="709"/>
      <c r="M271" s="1388"/>
      <c r="N271" s="712">
        <f>10.118-10.096</f>
        <v>2.2000000000000242E-2</v>
      </c>
      <c r="O271" s="1378"/>
      <c r="P271" s="1371"/>
      <c r="Q271" s="1363"/>
      <c r="R271" s="1353"/>
      <c r="S271" s="1879"/>
      <c r="T271" s="1931"/>
      <c r="U271" s="1877"/>
      <c r="V271" s="1877"/>
      <c r="W271" s="1879"/>
      <c r="X271" s="1911"/>
      <c r="Y271" s="1912"/>
      <c r="Z271" s="1913"/>
      <c r="AE271" s="2461"/>
      <c r="AF271" s="68"/>
    </row>
    <row r="272" spans="1:32" ht="18" x14ac:dyDescent="0.4">
      <c r="A272" s="1886"/>
      <c r="B272" s="1149">
        <v>11003</v>
      </c>
      <c r="C272" s="1149"/>
      <c r="D272" s="754"/>
      <c r="E272" s="1399" t="s">
        <v>7215</v>
      </c>
      <c r="F272" s="1834">
        <v>4</v>
      </c>
      <c r="G272" s="1953">
        <v>4</v>
      </c>
      <c r="H272" s="1943">
        <v>10</v>
      </c>
      <c r="I272" s="708"/>
      <c r="J272" s="708"/>
      <c r="K272" s="709"/>
      <c r="L272" s="709"/>
      <c r="M272" s="1386">
        <f>15.265-10.118</f>
        <v>5.1470000000000002</v>
      </c>
      <c r="N272" s="709"/>
      <c r="O272" s="1378"/>
      <c r="P272" s="1371"/>
      <c r="Q272" s="1363"/>
      <c r="R272" s="1353"/>
      <c r="S272" s="1879"/>
      <c r="T272" s="1931"/>
      <c r="U272" s="1877"/>
      <c r="V272" s="1877"/>
      <c r="W272" s="1879"/>
      <c r="X272" s="1911"/>
      <c r="Y272" s="1912"/>
      <c r="Z272" s="1913"/>
      <c r="AE272" s="2461"/>
      <c r="AF272" s="68"/>
    </row>
    <row r="273" spans="1:32" ht="30" x14ac:dyDescent="0.35">
      <c r="A273" s="1880">
        <v>95</v>
      </c>
      <c r="B273" s="1146">
        <v>11003</v>
      </c>
      <c r="C273" s="1146"/>
      <c r="D273" s="2470" t="s">
        <v>5443</v>
      </c>
      <c r="E273" s="733" t="s">
        <v>7838</v>
      </c>
      <c r="F273" s="1834" t="s">
        <v>664</v>
      </c>
      <c r="G273" s="1834">
        <v>5</v>
      </c>
      <c r="H273" s="1620">
        <v>6</v>
      </c>
      <c r="I273" s="702">
        <f>J273+K273+L273</f>
        <v>3.2</v>
      </c>
      <c r="J273" s="702">
        <f>SUM(M273:R273)</f>
        <v>3.2</v>
      </c>
      <c r="K273" s="703"/>
      <c r="L273" s="703"/>
      <c r="M273" s="1387"/>
      <c r="N273" s="703"/>
      <c r="O273" s="1379"/>
      <c r="P273" s="1372"/>
      <c r="Q273" s="1364"/>
      <c r="R273" s="1355">
        <v>3.2</v>
      </c>
      <c r="S273" s="1882"/>
      <c r="T273" s="1931"/>
      <c r="U273" s="705"/>
      <c r="V273" s="705"/>
      <c r="W273" s="716">
        <v>4</v>
      </c>
      <c r="X273" s="333">
        <v>40.200000000000003</v>
      </c>
      <c r="Y273" s="716"/>
      <c r="Z273" s="1706"/>
      <c r="AA273" s="3" t="s">
        <v>1509</v>
      </c>
      <c r="AB273" s="3">
        <v>1</v>
      </c>
      <c r="AE273" s="2461"/>
      <c r="AF273" s="68"/>
    </row>
    <row r="274" spans="1:32" ht="60" x14ac:dyDescent="0.35">
      <c r="A274" s="1872">
        <v>96</v>
      </c>
      <c r="B274" s="1148">
        <v>11003</v>
      </c>
      <c r="C274" s="2083" t="s">
        <v>1656</v>
      </c>
      <c r="D274" s="2470" t="s">
        <v>5444</v>
      </c>
      <c r="E274" s="739" t="s">
        <v>8732</v>
      </c>
      <c r="F274" s="1953" t="s">
        <v>664</v>
      </c>
      <c r="G274" s="1953">
        <v>5</v>
      </c>
      <c r="H274" s="1620">
        <v>6</v>
      </c>
      <c r="I274" s="702">
        <f>J274+K274+L274</f>
        <v>0.1</v>
      </c>
      <c r="J274" s="702">
        <f>SUM(M274:R274)</f>
        <v>0.1</v>
      </c>
      <c r="K274" s="703"/>
      <c r="L274" s="703"/>
      <c r="M274" s="1387"/>
      <c r="N274" s="703"/>
      <c r="O274" s="1379"/>
      <c r="P274" s="1372"/>
      <c r="Q274" s="1364"/>
      <c r="R274" s="929">
        <v>0.1</v>
      </c>
      <c r="S274" s="1890"/>
      <c r="T274" s="1931"/>
      <c r="U274" s="1892"/>
      <c r="V274" s="1892"/>
      <c r="W274" s="1890"/>
      <c r="X274" s="1891"/>
      <c r="Y274" s="1890"/>
      <c r="Z274" s="1897"/>
      <c r="AB274" s="3">
        <v>1</v>
      </c>
      <c r="AE274" s="2461"/>
      <c r="AF274" s="68"/>
    </row>
    <row r="275" spans="1:32" ht="30" x14ac:dyDescent="0.35">
      <c r="A275" s="1880">
        <v>97</v>
      </c>
      <c r="B275" s="1146">
        <v>11003</v>
      </c>
      <c r="C275" s="1146"/>
      <c r="D275" s="2470" t="s">
        <v>5445</v>
      </c>
      <c r="E275" s="715" t="s">
        <v>10491</v>
      </c>
      <c r="F275" s="1834"/>
      <c r="G275" s="1834" t="s">
        <v>191</v>
      </c>
      <c r="H275" s="1943" t="s">
        <v>191</v>
      </c>
      <c r="I275" s="702">
        <f>J275+K275+L275</f>
        <v>8.73</v>
      </c>
      <c r="J275" s="702">
        <f>SUM(M275:R275)</f>
        <v>8.73</v>
      </c>
      <c r="K275" s="703"/>
      <c r="L275" s="703"/>
      <c r="M275" s="1387"/>
      <c r="N275" s="717">
        <f>SUM(N276:N278)</f>
        <v>4.8860000000000001</v>
      </c>
      <c r="O275" s="1379"/>
      <c r="P275" s="1372"/>
      <c r="Q275" s="1365">
        <f>SUM(Q276:Q278)</f>
        <v>2.5439999999999996</v>
      </c>
      <c r="R275" s="1355">
        <f>SUM(R276:R278)</f>
        <v>1.3000000000000007</v>
      </c>
      <c r="S275" s="1882"/>
      <c r="T275" s="1931"/>
      <c r="U275" s="705"/>
      <c r="V275" s="705"/>
      <c r="W275" s="716">
        <v>30</v>
      </c>
      <c r="X275" s="333">
        <v>380</v>
      </c>
      <c r="Y275" s="716">
        <v>9</v>
      </c>
      <c r="Z275" s="1706">
        <v>104</v>
      </c>
      <c r="AB275" s="3">
        <v>1</v>
      </c>
      <c r="AE275" s="2461"/>
      <c r="AF275" s="68"/>
    </row>
    <row r="276" spans="1:32" ht="18" x14ac:dyDescent="0.4">
      <c r="A276" s="1886"/>
      <c r="B276" s="1146">
        <v>11003</v>
      </c>
      <c r="C276" s="1146"/>
      <c r="D276" s="754"/>
      <c r="E276" s="711" t="s">
        <v>10462</v>
      </c>
      <c r="F276" s="1834">
        <v>5</v>
      </c>
      <c r="G276" s="1620">
        <v>5</v>
      </c>
      <c r="H276" s="179">
        <v>6</v>
      </c>
      <c r="I276" s="708"/>
      <c r="J276" s="708"/>
      <c r="K276" s="709"/>
      <c r="L276" s="709"/>
      <c r="M276" s="1388"/>
      <c r="N276" s="712">
        <v>4.8860000000000001</v>
      </c>
      <c r="O276" s="1378"/>
      <c r="P276" s="1371"/>
      <c r="Q276" s="1363"/>
      <c r="R276" s="1353"/>
      <c r="S276" s="1879"/>
      <c r="T276" s="1931"/>
      <c r="U276" s="1877"/>
      <c r="V276" s="1877"/>
      <c r="W276" s="1879"/>
      <c r="X276" s="1911"/>
      <c r="Y276" s="1912"/>
      <c r="Z276" s="1913"/>
      <c r="AE276" s="2461"/>
      <c r="AF276" s="68"/>
    </row>
    <row r="277" spans="1:32" ht="18" x14ac:dyDescent="0.4">
      <c r="A277" s="1886"/>
      <c r="B277" s="1146">
        <v>11003</v>
      </c>
      <c r="C277" s="1146"/>
      <c r="D277" s="754"/>
      <c r="E277" s="1394" t="s">
        <v>10463</v>
      </c>
      <c r="F277" s="1834">
        <v>5</v>
      </c>
      <c r="G277" s="1620">
        <v>5</v>
      </c>
      <c r="H277" s="1834">
        <v>6</v>
      </c>
      <c r="I277" s="708"/>
      <c r="J277" s="708"/>
      <c r="K277" s="709"/>
      <c r="L277" s="709"/>
      <c r="M277" s="1388"/>
      <c r="N277" s="709"/>
      <c r="O277" s="1378"/>
      <c r="P277" s="1371"/>
      <c r="Q277" s="1366">
        <f>7.43-4.886</f>
        <v>2.5439999999999996</v>
      </c>
      <c r="R277" s="1353"/>
      <c r="S277" s="1879"/>
      <c r="T277" s="1931"/>
      <c r="U277" s="1877"/>
      <c r="V277" s="1877"/>
      <c r="W277" s="1879"/>
      <c r="X277" s="1911"/>
      <c r="Y277" s="1912"/>
      <c r="Z277" s="1913"/>
      <c r="AE277" s="2461"/>
      <c r="AF277" s="68"/>
    </row>
    <row r="278" spans="1:32" ht="18" x14ac:dyDescent="0.4">
      <c r="A278" s="1886"/>
      <c r="B278" s="1146">
        <v>11003</v>
      </c>
      <c r="C278" s="1146"/>
      <c r="D278" s="754"/>
      <c r="E278" s="1390" t="s">
        <v>10464</v>
      </c>
      <c r="F278" s="1834">
        <v>5</v>
      </c>
      <c r="G278" s="1620">
        <v>5</v>
      </c>
      <c r="H278" s="1620">
        <v>6</v>
      </c>
      <c r="I278" s="708"/>
      <c r="J278" s="708"/>
      <c r="K278" s="709"/>
      <c r="L278" s="709"/>
      <c r="M278" s="1388"/>
      <c r="N278" s="709"/>
      <c r="O278" s="1378"/>
      <c r="P278" s="1371"/>
      <c r="Q278" s="1363"/>
      <c r="R278" s="1356">
        <f>8.73-7.43</f>
        <v>1.3000000000000007</v>
      </c>
      <c r="S278" s="1879"/>
      <c r="T278" s="1931"/>
      <c r="U278" s="1877"/>
      <c r="V278" s="1877"/>
      <c r="W278" s="1879"/>
      <c r="X278" s="1911"/>
      <c r="Y278" s="1912"/>
      <c r="Z278" s="1913"/>
      <c r="AA278" s="3" t="s">
        <v>1685</v>
      </c>
      <c r="AE278" s="2461"/>
      <c r="AF278" s="68"/>
    </row>
    <row r="279" spans="1:32" ht="60" x14ac:dyDescent="0.35">
      <c r="A279" s="1872">
        <v>98</v>
      </c>
      <c r="B279" s="1147">
        <v>11003</v>
      </c>
      <c r="C279" s="2083" t="s">
        <v>1656</v>
      </c>
      <c r="D279" s="2470" t="s">
        <v>5446</v>
      </c>
      <c r="E279" s="739" t="s">
        <v>8733</v>
      </c>
      <c r="F279" s="1953" t="s">
        <v>664</v>
      </c>
      <c r="G279" s="1953">
        <v>5</v>
      </c>
      <c r="H279" s="1620">
        <v>6</v>
      </c>
      <c r="I279" s="702">
        <f>J279+K279+L279</f>
        <v>0.1</v>
      </c>
      <c r="J279" s="702">
        <f>SUM(M279:R279)</f>
        <v>0.1</v>
      </c>
      <c r="K279" s="703"/>
      <c r="L279" s="703"/>
      <c r="M279" s="1387"/>
      <c r="N279" s="703"/>
      <c r="O279" s="1379"/>
      <c r="P279" s="1372"/>
      <c r="Q279" s="1364"/>
      <c r="R279" s="929">
        <v>0.1</v>
      </c>
      <c r="S279" s="1890"/>
      <c r="T279" s="1931"/>
      <c r="U279" s="1892"/>
      <c r="V279" s="1892"/>
      <c r="W279" s="1890"/>
      <c r="X279" s="1891"/>
      <c r="Y279" s="1890"/>
      <c r="Z279" s="1897"/>
      <c r="AB279" s="3">
        <v>1</v>
      </c>
      <c r="AE279" s="2461"/>
      <c r="AF279" s="68"/>
    </row>
    <row r="280" spans="1:32" ht="60" x14ac:dyDescent="0.35">
      <c r="A280" s="1872">
        <v>99</v>
      </c>
      <c r="B280" s="1148">
        <v>11003</v>
      </c>
      <c r="C280" s="2083" t="s">
        <v>1656</v>
      </c>
      <c r="D280" s="2470" t="s">
        <v>5447</v>
      </c>
      <c r="E280" s="739" t="s">
        <v>8734</v>
      </c>
      <c r="F280" s="1953" t="s">
        <v>664</v>
      </c>
      <c r="G280" s="1953">
        <v>5</v>
      </c>
      <c r="H280" s="1620">
        <v>6</v>
      </c>
      <c r="I280" s="702">
        <f>J280+K280+L280</f>
        <v>0.6</v>
      </c>
      <c r="J280" s="702">
        <f>SUM(M280:R280)</f>
        <v>0.6</v>
      </c>
      <c r="K280" s="703"/>
      <c r="L280" s="703"/>
      <c r="M280" s="1387"/>
      <c r="N280" s="703"/>
      <c r="O280" s="1379"/>
      <c r="P280" s="1372"/>
      <c r="Q280" s="1364"/>
      <c r="R280" s="929">
        <v>0.6</v>
      </c>
      <c r="S280" s="1890"/>
      <c r="T280" s="1931"/>
      <c r="U280" s="1892"/>
      <c r="V280" s="1892"/>
      <c r="W280" s="1890"/>
      <c r="X280" s="1891"/>
      <c r="Y280" s="1890"/>
      <c r="Z280" s="1897"/>
      <c r="AB280" s="3">
        <v>1</v>
      </c>
      <c r="AE280" s="2461"/>
      <c r="AF280" s="68"/>
    </row>
    <row r="281" spans="1:32" ht="30" x14ac:dyDescent="0.35">
      <c r="A281" s="1872">
        <v>100</v>
      </c>
      <c r="B281" s="1146">
        <v>11003</v>
      </c>
      <c r="C281" s="1146"/>
      <c r="D281" s="2470" t="s">
        <v>5448</v>
      </c>
      <c r="E281" s="733" t="s">
        <v>9361</v>
      </c>
      <c r="F281" s="1834">
        <v>4</v>
      </c>
      <c r="G281" s="1834">
        <v>5</v>
      </c>
      <c r="H281" s="179">
        <v>6</v>
      </c>
      <c r="I281" s="702">
        <f>J281+K281+L281</f>
        <v>0.55000000000000004</v>
      </c>
      <c r="J281" s="702">
        <f>SUM(M281:R281)</f>
        <v>0.55000000000000004</v>
      </c>
      <c r="K281" s="703"/>
      <c r="L281" s="703"/>
      <c r="M281" s="1387"/>
      <c r="N281" s="717">
        <v>0.55000000000000004</v>
      </c>
      <c r="O281" s="1379"/>
      <c r="P281" s="1372"/>
      <c r="Q281" s="1364"/>
      <c r="R281" s="1354"/>
      <c r="S281" s="1882"/>
      <c r="T281" s="1931"/>
      <c r="U281" s="1874"/>
      <c r="V281" s="1874"/>
      <c r="W281" s="1882"/>
      <c r="X281" s="1883"/>
      <c r="Y281" s="1884"/>
      <c r="Z281" s="1885"/>
      <c r="AB281" s="3">
        <v>1</v>
      </c>
      <c r="AE281" s="2461"/>
      <c r="AF281" s="68"/>
    </row>
    <row r="282" spans="1:32" ht="45" x14ac:dyDescent="0.4">
      <c r="A282" s="1872">
        <v>101</v>
      </c>
      <c r="B282" s="46">
        <v>11003</v>
      </c>
      <c r="C282" s="2083" t="s">
        <v>1656</v>
      </c>
      <c r="D282" s="2470" t="s">
        <v>5449</v>
      </c>
      <c r="E282" s="2187" t="s">
        <v>9362</v>
      </c>
      <c r="F282" s="92" t="s">
        <v>1490</v>
      </c>
      <c r="G282" s="92">
        <v>5</v>
      </c>
      <c r="H282" s="179">
        <v>6</v>
      </c>
      <c r="I282" s="702">
        <f>J282+K282+L282</f>
        <v>0.42799999999999999</v>
      </c>
      <c r="J282" s="702">
        <f>SUM(M282:R282)</f>
        <v>0.42799999999999999</v>
      </c>
      <c r="K282" s="2139"/>
      <c r="L282" s="2139"/>
      <c r="M282" s="2139"/>
      <c r="N282" s="702">
        <v>0.42799999999999999</v>
      </c>
      <c r="O282" s="2139"/>
      <c r="P282" s="2139"/>
      <c r="Q282" s="2139"/>
      <c r="R282" s="2106"/>
      <c r="S282" s="785"/>
      <c r="T282" s="1931"/>
      <c r="U282" s="785"/>
      <c r="V282" s="785"/>
      <c r="W282" s="785"/>
      <c r="X282" s="785"/>
      <c r="Y282" s="785"/>
      <c r="Z282" s="1729"/>
      <c r="AB282" s="3">
        <v>1</v>
      </c>
      <c r="AE282" s="2461"/>
      <c r="AF282" s="68"/>
    </row>
    <row r="283" spans="1:32" ht="30" x14ac:dyDescent="0.35">
      <c r="A283" s="1872">
        <v>102</v>
      </c>
      <c r="B283" s="1146">
        <v>11003</v>
      </c>
      <c r="C283" s="1146"/>
      <c r="D283" s="2470" t="s">
        <v>5450</v>
      </c>
      <c r="E283" s="733" t="s">
        <v>7839</v>
      </c>
      <c r="F283" s="1834"/>
      <c r="G283" s="1834" t="s">
        <v>191</v>
      </c>
      <c r="H283" s="1943" t="s">
        <v>191</v>
      </c>
      <c r="I283" s="702">
        <f>J283+K283+L283</f>
        <v>3.4999999999999996</v>
      </c>
      <c r="J283" s="702">
        <f>SUM(M283:R283)</f>
        <v>3.4999999999999996</v>
      </c>
      <c r="K283" s="703"/>
      <c r="L283" s="703"/>
      <c r="M283" s="1387"/>
      <c r="N283" s="717">
        <f>SUM(N284:N287)</f>
        <v>0.34</v>
      </c>
      <c r="O283" s="1379"/>
      <c r="P283" s="1372"/>
      <c r="Q283" s="1364"/>
      <c r="R283" s="1355">
        <f>SUM(R284:R287)</f>
        <v>3.1599999999999997</v>
      </c>
      <c r="S283" s="1882"/>
      <c r="T283" s="1931"/>
      <c r="U283" s="1874"/>
      <c r="V283" s="1874"/>
      <c r="W283" s="1884">
        <v>5</v>
      </c>
      <c r="X283" s="1883">
        <v>55.5</v>
      </c>
      <c r="Y283" s="1884"/>
      <c r="Z283" s="1885"/>
      <c r="AB283" s="3">
        <v>1</v>
      </c>
      <c r="AE283" s="2461"/>
      <c r="AF283" s="68"/>
    </row>
    <row r="284" spans="1:32" ht="18" x14ac:dyDescent="0.4">
      <c r="A284" s="1886"/>
      <c r="B284" s="1146">
        <v>11003</v>
      </c>
      <c r="C284" s="1146"/>
      <c r="D284" s="758"/>
      <c r="E284" s="734" t="s">
        <v>2850</v>
      </c>
      <c r="F284" s="1834" t="s">
        <v>827</v>
      </c>
      <c r="G284" s="1620">
        <v>5</v>
      </c>
      <c r="H284" s="179">
        <v>6</v>
      </c>
      <c r="I284" s="708"/>
      <c r="J284" s="708"/>
      <c r="K284" s="709"/>
      <c r="L284" s="709"/>
      <c r="M284" s="1388"/>
      <c r="N284" s="712">
        <v>0.34</v>
      </c>
      <c r="O284" s="1378"/>
      <c r="P284" s="1371"/>
      <c r="Q284" s="1363"/>
      <c r="R284" s="1353"/>
      <c r="S284" s="1879"/>
      <c r="T284" s="1931"/>
      <c r="U284" s="1877"/>
      <c r="V284" s="1877"/>
      <c r="W284" s="1879"/>
      <c r="X284" s="1911"/>
      <c r="Y284" s="1912"/>
      <c r="Z284" s="1913"/>
      <c r="AE284" s="2461"/>
      <c r="AF284" s="68"/>
    </row>
    <row r="285" spans="1:32" ht="18" x14ac:dyDescent="0.4">
      <c r="A285" s="1886"/>
      <c r="B285" s="1146">
        <v>11003</v>
      </c>
      <c r="C285" s="1146"/>
      <c r="D285" s="758"/>
      <c r="E285" s="1392" t="s">
        <v>2359</v>
      </c>
      <c r="F285" s="1834" t="s">
        <v>827</v>
      </c>
      <c r="G285" s="1620">
        <v>5</v>
      </c>
      <c r="H285" s="1620">
        <v>6</v>
      </c>
      <c r="I285" s="708"/>
      <c r="J285" s="708"/>
      <c r="K285" s="709"/>
      <c r="L285" s="709"/>
      <c r="M285" s="1388"/>
      <c r="N285" s="712"/>
      <c r="O285" s="1378"/>
      <c r="P285" s="1371"/>
      <c r="Q285" s="1363"/>
      <c r="R285" s="1353">
        <f>0.64-0.34</f>
        <v>0.3</v>
      </c>
      <c r="S285" s="1879"/>
      <c r="T285" s="1931"/>
      <c r="U285" s="1877"/>
      <c r="V285" s="1877"/>
      <c r="W285" s="1879"/>
      <c r="X285" s="1911"/>
      <c r="Y285" s="1912"/>
      <c r="Z285" s="1913"/>
      <c r="AC285" s="3" t="s">
        <v>2570</v>
      </c>
      <c r="AE285" s="2461"/>
      <c r="AF285" s="68"/>
    </row>
    <row r="286" spans="1:32" ht="18" x14ac:dyDescent="0.4">
      <c r="A286" s="1886"/>
      <c r="B286" s="1146"/>
      <c r="C286" s="1146"/>
      <c r="D286" s="758"/>
      <c r="E286" s="1392" t="s">
        <v>2360</v>
      </c>
      <c r="F286" s="1834" t="s">
        <v>1490</v>
      </c>
      <c r="G286" s="1620">
        <v>5</v>
      </c>
      <c r="H286" s="1620">
        <v>6</v>
      </c>
      <c r="I286" s="708"/>
      <c r="J286" s="708"/>
      <c r="K286" s="709"/>
      <c r="L286" s="709"/>
      <c r="M286" s="1388"/>
      <c r="N286" s="712"/>
      <c r="O286" s="1378"/>
      <c r="P286" s="1371"/>
      <c r="Q286" s="1363"/>
      <c r="R286" s="1353">
        <f>2.5-0.64</f>
        <v>1.8599999999999999</v>
      </c>
      <c r="S286" s="1879"/>
      <c r="T286" s="1931"/>
      <c r="U286" s="1877"/>
      <c r="V286" s="1877"/>
      <c r="W286" s="1879"/>
      <c r="X286" s="1911"/>
      <c r="Y286" s="1912"/>
      <c r="Z286" s="1913"/>
      <c r="AC286" s="3" t="s">
        <v>2570</v>
      </c>
      <c r="AE286" s="2461"/>
      <c r="AF286" s="68"/>
    </row>
    <row r="287" spans="1:32" ht="18" x14ac:dyDescent="0.4">
      <c r="A287" s="1886"/>
      <c r="B287" s="1146">
        <v>11003</v>
      </c>
      <c r="C287" s="1146"/>
      <c r="D287" s="758"/>
      <c r="E287" s="1392" t="s">
        <v>643</v>
      </c>
      <c r="F287" s="1834" t="s">
        <v>664</v>
      </c>
      <c r="G287" s="1620">
        <v>5</v>
      </c>
      <c r="H287" s="1620">
        <v>6</v>
      </c>
      <c r="I287" s="708"/>
      <c r="J287" s="708"/>
      <c r="K287" s="709"/>
      <c r="L287" s="709"/>
      <c r="M287" s="1388"/>
      <c r="N287" s="709"/>
      <c r="O287" s="1378"/>
      <c r="P287" s="1371"/>
      <c r="Q287" s="1363"/>
      <c r="R287" s="1356">
        <f>3.5-2.5</f>
        <v>1</v>
      </c>
      <c r="S287" s="1879"/>
      <c r="T287" s="1931"/>
      <c r="U287" s="1877"/>
      <c r="V287" s="1877"/>
      <c r="W287" s="1879"/>
      <c r="X287" s="1911"/>
      <c r="Y287" s="1912"/>
      <c r="Z287" s="1913"/>
      <c r="AE287" s="2461"/>
      <c r="AF287" s="68"/>
    </row>
    <row r="288" spans="1:32" ht="60" x14ac:dyDescent="0.35">
      <c r="A288" s="1872">
        <v>103</v>
      </c>
      <c r="B288" s="1147">
        <v>11003</v>
      </c>
      <c r="C288" s="1979" t="s">
        <v>1655</v>
      </c>
      <c r="D288" s="2470" t="s">
        <v>5451</v>
      </c>
      <c r="E288" s="715" t="s">
        <v>7840</v>
      </c>
      <c r="F288" s="1834" t="s">
        <v>664</v>
      </c>
      <c r="G288" s="1834">
        <v>5</v>
      </c>
      <c r="H288" s="1620">
        <v>6</v>
      </c>
      <c r="I288" s="702">
        <f t="shared" ref="I288:I294" si="10">J288+K288+L288</f>
        <v>1</v>
      </c>
      <c r="J288" s="702">
        <f t="shared" ref="J288:J294" si="11">SUM(M288:R288)</f>
        <v>1</v>
      </c>
      <c r="K288" s="703"/>
      <c r="L288" s="703"/>
      <c r="M288" s="1387"/>
      <c r="N288" s="703"/>
      <c r="O288" s="1379"/>
      <c r="P288" s="1372"/>
      <c r="Q288" s="1364"/>
      <c r="R288" s="925">
        <v>1</v>
      </c>
      <c r="S288" s="1890"/>
      <c r="T288" s="1931"/>
      <c r="U288" s="1892"/>
      <c r="V288" s="1892"/>
      <c r="W288" s="1890"/>
      <c r="X288" s="1907"/>
      <c r="Y288" s="1898"/>
      <c r="Z288" s="1908"/>
      <c r="AB288" s="3">
        <v>1</v>
      </c>
      <c r="AE288" s="2461"/>
      <c r="AF288" s="68"/>
    </row>
    <row r="289" spans="1:32" ht="45" x14ac:dyDescent="0.35">
      <c r="A289" s="1872">
        <v>104</v>
      </c>
      <c r="B289" s="1148">
        <v>11003</v>
      </c>
      <c r="C289" s="1979" t="s">
        <v>1655</v>
      </c>
      <c r="D289" s="2470" t="s">
        <v>5452</v>
      </c>
      <c r="E289" s="739" t="s">
        <v>7385</v>
      </c>
      <c r="F289" s="1953" t="s">
        <v>664</v>
      </c>
      <c r="G289" s="1953">
        <v>5</v>
      </c>
      <c r="H289" s="1620">
        <v>6</v>
      </c>
      <c r="I289" s="702">
        <f t="shared" si="10"/>
        <v>0.6</v>
      </c>
      <c r="J289" s="702">
        <f t="shared" si="11"/>
        <v>0.6</v>
      </c>
      <c r="K289" s="703"/>
      <c r="L289" s="703"/>
      <c r="M289" s="1387"/>
      <c r="N289" s="703"/>
      <c r="O289" s="1379"/>
      <c r="P289" s="1372"/>
      <c r="Q289" s="1364"/>
      <c r="R289" s="1357">
        <v>0.6</v>
      </c>
      <c r="S289" s="1890"/>
      <c r="T289" s="1931"/>
      <c r="U289" s="1892"/>
      <c r="V289" s="1892"/>
      <c r="W289" s="1890"/>
      <c r="X289" s="1891"/>
      <c r="Y289" s="1890"/>
      <c r="Z289" s="1897"/>
      <c r="AB289" s="3">
        <v>1</v>
      </c>
      <c r="AE289" s="2461"/>
      <c r="AF289" s="68"/>
    </row>
    <row r="290" spans="1:32" ht="45" x14ac:dyDescent="0.35">
      <c r="A290" s="1872">
        <v>105</v>
      </c>
      <c r="B290" s="1147">
        <v>11003</v>
      </c>
      <c r="C290" s="2083" t="s">
        <v>1656</v>
      </c>
      <c r="D290" s="2470" t="s">
        <v>5453</v>
      </c>
      <c r="E290" s="739" t="s">
        <v>9272</v>
      </c>
      <c r="F290" s="1953" t="s">
        <v>664</v>
      </c>
      <c r="G290" s="1953">
        <v>5</v>
      </c>
      <c r="H290" s="1620">
        <v>6</v>
      </c>
      <c r="I290" s="702">
        <f t="shared" si="10"/>
        <v>0.5</v>
      </c>
      <c r="J290" s="702">
        <f t="shared" si="11"/>
        <v>0.5</v>
      </c>
      <c r="K290" s="703"/>
      <c r="L290" s="703"/>
      <c r="M290" s="1387"/>
      <c r="N290" s="703"/>
      <c r="O290" s="1379"/>
      <c r="P290" s="1372"/>
      <c r="Q290" s="1364"/>
      <c r="R290" s="929">
        <v>0.5</v>
      </c>
      <c r="S290" s="1890"/>
      <c r="T290" s="1931"/>
      <c r="U290" s="1892"/>
      <c r="V290" s="1892"/>
      <c r="W290" s="1890"/>
      <c r="X290" s="1891"/>
      <c r="Y290" s="1890"/>
      <c r="Z290" s="1897"/>
      <c r="AB290" s="3">
        <v>1</v>
      </c>
      <c r="AE290" s="2461"/>
      <c r="AF290" s="68"/>
    </row>
    <row r="291" spans="1:32" ht="45" x14ac:dyDescent="0.35">
      <c r="A291" s="1872">
        <v>106</v>
      </c>
      <c r="B291" s="1147">
        <v>11003</v>
      </c>
      <c r="C291" s="2083" t="s">
        <v>1656</v>
      </c>
      <c r="D291" s="2470" t="s">
        <v>5454</v>
      </c>
      <c r="E291" s="739" t="s">
        <v>8735</v>
      </c>
      <c r="F291" s="1953" t="s">
        <v>664</v>
      </c>
      <c r="G291" s="1953">
        <v>5</v>
      </c>
      <c r="H291" s="1620">
        <v>6</v>
      </c>
      <c r="I291" s="702">
        <f t="shared" si="10"/>
        <v>0.1</v>
      </c>
      <c r="J291" s="702">
        <f t="shared" si="11"/>
        <v>0.1</v>
      </c>
      <c r="K291" s="703"/>
      <c r="L291" s="703"/>
      <c r="M291" s="1387"/>
      <c r="N291" s="703"/>
      <c r="O291" s="1379"/>
      <c r="P291" s="1372"/>
      <c r="Q291" s="1364"/>
      <c r="R291" s="929">
        <v>0.1</v>
      </c>
      <c r="S291" s="1890"/>
      <c r="T291" s="1931"/>
      <c r="U291" s="1892"/>
      <c r="V291" s="1892"/>
      <c r="W291" s="1890"/>
      <c r="X291" s="1891"/>
      <c r="Y291" s="1890"/>
      <c r="Z291" s="1897"/>
      <c r="AB291" s="3">
        <v>1</v>
      </c>
      <c r="AE291" s="2461"/>
      <c r="AF291" s="68"/>
    </row>
    <row r="292" spans="1:32" ht="45" x14ac:dyDescent="0.35">
      <c r="A292" s="1872">
        <v>107</v>
      </c>
      <c r="B292" s="1148">
        <v>11003</v>
      </c>
      <c r="C292" s="1979" t="s">
        <v>1655</v>
      </c>
      <c r="D292" s="2470" t="s">
        <v>5455</v>
      </c>
      <c r="E292" s="715" t="s">
        <v>7386</v>
      </c>
      <c r="F292" s="1834" t="s">
        <v>664</v>
      </c>
      <c r="G292" s="1834">
        <v>5</v>
      </c>
      <c r="H292" s="1620">
        <v>6</v>
      </c>
      <c r="I292" s="702">
        <f t="shared" si="10"/>
        <v>1</v>
      </c>
      <c r="J292" s="702">
        <f t="shared" si="11"/>
        <v>1</v>
      </c>
      <c r="K292" s="703"/>
      <c r="L292" s="703"/>
      <c r="M292" s="1387"/>
      <c r="N292" s="703"/>
      <c r="O292" s="1379"/>
      <c r="P292" s="1372"/>
      <c r="Q292" s="1364"/>
      <c r="R292" s="925">
        <v>1</v>
      </c>
      <c r="S292" s="730"/>
      <c r="T292" s="1931"/>
      <c r="U292" s="732"/>
      <c r="V292" s="732"/>
      <c r="W292" s="730"/>
      <c r="X292" s="731"/>
      <c r="Y292" s="730"/>
      <c r="Z292" s="1708"/>
      <c r="AB292" s="3">
        <v>1</v>
      </c>
      <c r="AE292" s="2461"/>
      <c r="AF292" s="68"/>
    </row>
    <row r="293" spans="1:32" ht="45" x14ac:dyDescent="0.4">
      <c r="A293" s="1872">
        <v>108</v>
      </c>
      <c r="B293" s="46">
        <v>11003</v>
      </c>
      <c r="C293" s="2083" t="s">
        <v>1656</v>
      </c>
      <c r="D293" s="2470" t="s">
        <v>5456</v>
      </c>
      <c r="E293" s="2187" t="s">
        <v>8736</v>
      </c>
      <c r="F293" s="92" t="s">
        <v>664</v>
      </c>
      <c r="G293" s="92">
        <v>5</v>
      </c>
      <c r="H293" s="1620">
        <v>6</v>
      </c>
      <c r="I293" s="702">
        <f t="shared" si="10"/>
        <v>0.1</v>
      </c>
      <c r="J293" s="702">
        <f t="shared" si="11"/>
        <v>0.1</v>
      </c>
      <c r="K293" s="2139"/>
      <c r="L293" s="2139"/>
      <c r="M293" s="2139"/>
      <c r="N293" s="2139"/>
      <c r="O293" s="2139"/>
      <c r="P293" s="2139"/>
      <c r="Q293" s="2139"/>
      <c r="R293" s="2106">
        <v>0.1</v>
      </c>
      <c r="S293" s="785"/>
      <c r="T293" s="1931"/>
      <c r="U293" s="785"/>
      <c r="V293" s="785"/>
      <c r="W293" s="785"/>
      <c r="X293" s="785"/>
      <c r="Y293" s="785"/>
      <c r="Z293" s="1729"/>
      <c r="AB293" s="3">
        <v>1</v>
      </c>
      <c r="AE293" s="2461"/>
      <c r="AF293" s="68"/>
    </row>
    <row r="294" spans="1:32" ht="60" x14ac:dyDescent="0.35">
      <c r="A294" s="1872">
        <v>109</v>
      </c>
      <c r="B294" s="1149">
        <v>11004</v>
      </c>
      <c r="C294" s="1149"/>
      <c r="D294" s="755" t="s">
        <v>793</v>
      </c>
      <c r="E294" s="715" t="s">
        <v>10046</v>
      </c>
      <c r="F294" s="1834"/>
      <c r="G294" s="1953" t="s">
        <v>191</v>
      </c>
      <c r="H294" s="1943" t="s">
        <v>191</v>
      </c>
      <c r="I294" s="702">
        <f t="shared" si="10"/>
        <v>37.228999999999999</v>
      </c>
      <c r="J294" s="702">
        <f t="shared" si="11"/>
        <v>37.207000000000001</v>
      </c>
      <c r="K294" s="703"/>
      <c r="L294" s="703">
        <f>SUM(L295:L300)</f>
        <v>2.1999999999998465E-2</v>
      </c>
      <c r="M294" s="1389">
        <f>SUM(M295:M300)</f>
        <v>13.975999999999999</v>
      </c>
      <c r="N294" s="717">
        <f>SUM(N295:N300)</f>
        <v>17.292000000000002</v>
      </c>
      <c r="O294" s="1379"/>
      <c r="P294" s="1372"/>
      <c r="Q294" s="1365">
        <f>SUM(Q295:Q300)</f>
        <v>5.9390000000000001</v>
      </c>
      <c r="R294" s="1355"/>
      <c r="S294" s="716">
        <v>1</v>
      </c>
      <c r="T294" s="1931">
        <v>18</v>
      </c>
      <c r="U294" s="705"/>
      <c r="V294" s="705"/>
      <c r="W294" s="716">
        <v>85</v>
      </c>
      <c r="X294" s="333">
        <v>1222.1099999999999</v>
      </c>
      <c r="Y294" s="716">
        <v>40</v>
      </c>
      <c r="Z294" s="1706">
        <v>514.1</v>
      </c>
      <c r="AB294" s="3">
        <v>1</v>
      </c>
      <c r="AE294" s="2461"/>
      <c r="AF294" s="68"/>
    </row>
    <row r="295" spans="1:32" ht="18" x14ac:dyDescent="0.4">
      <c r="A295" s="1886"/>
      <c r="B295" s="1149">
        <v>11004</v>
      </c>
      <c r="C295" s="1149"/>
      <c r="D295" s="754"/>
      <c r="E295" s="711" t="s">
        <v>6816</v>
      </c>
      <c r="F295" s="1834">
        <v>4</v>
      </c>
      <c r="G295" s="179">
        <v>5</v>
      </c>
      <c r="H295" s="179">
        <v>6</v>
      </c>
      <c r="I295" s="708"/>
      <c r="J295" s="708"/>
      <c r="K295" s="709"/>
      <c r="L295" s="709"/>
      <c r="M295" s="1388"/>
      <c r="N295" s="712">
        <v>1.012</v>
      </c>
      <c r="O295" s="1378"/>
      <c r="P295" s="1371"/>
      <c r="Q295" s="1363"/>
      <c r="R295" s="1353"/>
      <c r="S295" s="1879"/>
      <c r="T295" s="1931"/>
      <c r="U295" s="1877"/>
      <c r="V295" s="1877"/>
      <c r="W295" s="1879"/>
      <c r="X295" s="1911"/>
      <c r="Y295" s="1912"/>
      <c r="Z295" s="1913"/>
      <c r="AE295" s="2461"/>
      <c r="AF295" s="68"/>
    </row>
    <row r="296" spans="1:32" ht="18" x14ac:dyDescent="0.4">
      <c r="A296" s="1886"/>
      <c r="B296" s="1149">
        <v>11004</v>
      </c>
      <c r="C296" s="1149"/>
      <c r="D296" s="754"/>
      <c r="E296" s="711" t="s">
        <v>11175</v>
      </c>
      <c r="F296" s="1834">
        <v>4</v>
      </c>
      <c r="G296" s="179">
        <v>4</v>
      </c>
      <c r="H296" s="179">
        <v>6</v>
      </c>
      <c r="I296" s="708"/>
      <c r="J296" s="708"/>
      <c r="K296" s="709"/>
      <c r="L296" s="709"/>
      <c r="M296" s="1388"/>
      <c r="N296" s="712">
        <f>4.248-1.012</f>
        <v>3.2360000000000002</v>
      </c>
      <c r="O296" s="1378"/>
      <c r="P296" s="1371"/>
      <c r="Q296" s="1363"/>
      <c r="R296" s="1353"/>
      <c r="S296" s="1879"/>
      <c r="T296" s="1931"/>
      <c r="U296" s="1877"/>
      <c r="V296" s="1877"/>
      <c r="W296" s="1879"/>
      <c r="X296" s="1911"/>
      <c r="Y296" s="1912"/>
      <c r="Z296" s="1913"/>
      <c r="AE296" s="2461"/>
      <c r="AF296" s="68"/>
    </row>
    <row r="297" spans="1:32" ht="18" x14ac:dyDescent="0.4">
      <c r="A297" s="1878"/>
      <c r="B297" s="1149">
        <v>11004</v>
      </c>
      <c r="C297" s="1149"/>
      <c r="D297" s="754"/>
      <c r="E297" s="1399" t="s">
        <v>6817</v>
      </c>
      <c r="F297" s="1834">
        <v>4</v>
      </c>
      <c r="G297" s="179">
        <v>4</v>
      </c>
      <c r="H297" s="1943">
        <v>10</v>
      </c>
      <c r="I297" s="708"/>
      <c r="J297" s="708"/>
      <c r="K297" s="709"/>
      <c r="L297" s="709"/>
      <c r="M297" s="1386">
        <f>18.224-4.248</f>
        <v>13.975999999999999</v>
      </c>
      <c r="N297" s="709"/>
      <c r="O297" s="1378"/>
      <c r="P297" s="1371"/>
      <c r="Q297" s="1363"/>
      <c r="R297" s="1353"/>
      <c r="S297" s="1879"/>
      <c r="T297" s="1931"/>
      <c r="U297" s="1877"/>
      <c r="V297" s="1877"/>
      <c r="W297" s="1879"/>
      <c r="X297" s="2669"/>
      <c r="Y297" s="1879"/>
      <c r="Z297" s="2670"/>
      <c r="AE297" s="2461"/>
      <c r="AF297" s="68"/>
    </row>
    <row r="298" spans="1:32" ht="18" x14ac:dyDescent="0.4">
      <c r="A298" s="1878"/>
      <c r="B298" s="1149">
        <v>11004</v>
      </c>
      <c r="C298" s="1149"/>
      <c r="D298" s="754"/>
      <c r="E298" s="711" t="s">
        <v>6818</v>
      </c>
      <c r="F298" s="1834">
        <v>4</v>
      </c>
      <c r="G298" s="179">
        <v>5</v>
      </c>
      <c r="H298" s="179">
        <v>6</v>
      </c>
      <c r="I298" s="708"/>
      <c r="J298" s="708"/>
      <c r="K298" s="709"/>
      <c r="L298" s="709"/>
      <c r="M298" s="1388"/>
      <c r="N298" s="712">
        <f>31.268-18.224</f>
        <v>13.044</v>
      </c>
      <c r="O298" s="1378"/>
      <c r="P298" s="1371"/>
      <c r="Q298" s="1363"/>
      <c r="R298" s="1353"/>
      <c r="S298" s="1879"/>
      <c r="T298" s="1931"/>
      <c r="U298" s="1877"/>
      <c r="V298" s="1877"/>
      <c r="W298" s="1879"/>
      <c r="X298" s="2669"/>
      <c r="Y298" s="1879"/>
      <c r="Z298" s="2670"/>
      <c r="AE298" s="2461"/>
      <c r="AF298" s="68"/>
    </row>
    <row r="299" spans="1:32" ht="18" x14ac:dyDescent="0.4">
      <c r="A299" s="1886"/>
      <c r="B299" s="1149">
        <v>11004</v>
      </c>
      <c r="C299" s="1149"/>
      <c r="D299" s="754"/>
      <c r="E299" s="1394" t="s">
        <v>6819</v>
      </c>
      <c r="F299" s="1834">
        <v>4</v>
      </c>
      <c r="G299" s="179">
        <v>5</v>
      </c>
      <c r="H299" s="1834">
        <v>6</v>
      </c>
      <c r="I299" s="708"/>
      <c r="J299" s="708"/>
      <c r="K299" s="709"/>
      <c r="L299" s="709"/>
      <c r="M299" s="1388"/>
      <c r="N299" s="709"/>
      <c r="O299" s="1378"/>
      <c r="P299" s="1371"/>
      <c r="Q299" s="1366">
        <f>37.207-31.268</f>
        <v>5.9390000000000001</v>
      </c>
      <c r="R299" s="1353"/>
      <c r="S299" s="1879"/>
      <c r="T299" s="1931"/>
      <c r="U299" s="1877"/>
      <c r="V299" s="1877"/>
      <c r="W299" s="1879"/>
      <c r="X299" s="1911"/>
      <c r="Y299" s="1912"/>
      <c r="Z299" s="1913"/>
      <c r="AE299" s="2461"/>
      <c r="AF299" s="68"/>
    </row>
    <row r="300" spans="1:32" ht="31" x14ac:dyDescent="0.4">
      <c r="A300" s="1886"/>
      <c r="B300" s="1149"/>
      <c r="C300" s="1149"/>
      <c r="D300" s="754"/>
      <c r="E300" s="1935" t="s">
        <v>6823</v>
      </c>
      <c r="F300" s="1834">
        <v>4</v>
      </c>
      <c r="G300" s="1953">
        <v>5</v>
      </c>
      <c r="H300" s="1943" t="s">
        <v>191</v>
      </c>
      <c r="I300" s="708"/>
      <c r="J300" s="708"/>
      <c r="K300" s="709"/>
      <c r="L300" s="709">
        <f>37.229-37.207</f>
        <v>2.1999999999998465E-2</v>
      </c>
      <c r="M300" s="1388"/>
      <c r="N300" s="709"/>
      <c r="O300" s="1378"/>
      <c r="P300" s="1371"/>
      <c r="Q300" s="1366"/>
      <c r="R300" s="1353"/>
      <c r="S300" s="1879"/>
      <c r="T300" s="1931"/>
      <c r="U300" s="1877"/>
      <c r="V300" s="1877"/>
      <c r="W300" s="1879"/>
      <c r="X300" s="1911"/>
      <c r="Y300" s="1912"/>
      <c r="Z300" s="1913"/>
      <c r="AE300" s="2461"/>
      <c r="AF300" s="68"/>
    </row>
    <row r="301" spans="1:32" ht="60" x14ac:dyDescent="0.4">
      <c r="A301" s="1886">
        <v>110</v>
      </c>
      <c r="B301" s="1149">
        <v>11004</v>
      </c>
      <c r="C301" s="1149"/>
      <c r="D301" s="2470" t="s">
        <v>5457</v>
      </c>
      <c r="E301" s="715" t="s">
        <v>10047</v>
      </c>
      <c r="F301" s="1834" t="s">
        <v>664</v>
      </c>
      <c r="G301" s="179">
        <v>5</v>
      </c>
      <c r="H301" s="1620">
        <v>6</v>
      </c>
      <c r="I301" s="702">
        <f t="shared" ref="I301:I307" si="12">J301+K301+L301</f>
        <v>2.8</v>
      </c>
      <c r="J301" s="702">
        <f t="shared" ref="J301:J307" si="13">SUM(M301:R301)</f>
        <v>2.8</v>
      </c>
      <c r="K301" s="709"/>
      <c r="L301" s="709"/>
      <c r="M301" s="1388"/>
      <c r="N301" s="709"/>
      <c r="O301" s="1378"/>
      <c r="P301" s="1371"/>
      <c r="Q301" s="1366"/>
      <c r="R301" s="1909">
        <v>2.8</v>
      </c>
      <c r="S301" s="1879"/>
      <c r="T301" s="1931"/>
      <c r="U301" s="1877"/>
      <c r="V301" s="1877"/>
      <c r="W301" s="1879"/>
      <c r="X301" s="1911"/>
      <c r="Y301" s="1912"/>
      <c r="Z301" s="1913"/>
      <c r="AB301" s="3">
        <v>1</v>
      </c>
      <c r="AE301" s="2461"/>
      <c r="AF301" s="68"/>
    </row>
    <row r="302" spans="1:32" ht="75" x14ac:dyDescent="0.35">
      <c r="A302" s="1880">
        <v>111</v>
      </c>
      <c r="B302" s="1146">
        <v>11004</v>
      </c>
      <c r="C302" s="1146"/>
      <c r="D302" s="2470" t="s">
        <v>5458</v>
      </c>
      <c r="E302" s="733" t="s">
        <v>9404</v>
      </c>
      <c r="F302" s="1834" t="s">
        <v>664</v>
      </c>
      <c r="G302" s="1834">
        <v>5</v>
      </c>
      <c r="H302" s="1620">
        <v>6</v>
      </c>
      <c r="I302" s="702">
        <f t="shared" si="12"/>
        <v>0.91</v>
      </c>
      <c r="J302" s="702">
        <f t="shared" si="13"/>
        <v>0.91</v>
      </c>
      <c r="K302" s="703"/>
      <c r="L302" s="703"/>
      <c r="M302" s="1387"/>
      <c r="N302" s="703"/>
      <c r="O302" s="1379"/>
      <c r="P302" s="1372"/>
      <c r="Q302" s="1364"/>
      <c r="R302" s="1355">
        <v>0.91</v>
      </c>
      <c r="S302" s="1882"/>
      <c r="T302" s="1931"/>
      <c r="U302" s="1874"/>
      <c r="V302" s="1874"/>
      <c r="W302" s="1882"/>
      <c r="X302" s="1883"/>
      <c r="Y302" s="1884"/>
      <c r="Z302" s="1885"/>
      <c r="AB302" s="3">
        <v>1</v>
      </c>
      <c r="AE302" s="2461"/>
      <c r="AF302" s="68"/>
    </row>
    <row r="303" spans="1:32" ht="60" x14ac:dyDescent="0.35">
      <c r="A303" s="1886">
        <v>112</v>
      </c>
      <c r="B303" s="1146">
        <v>11004</v>
      </c>
      <c r="C303" s="1146"/>
      <c r="D303" s="2470" t="s">
        <v>5459</v>
      </c>
      <c r="E303" s="733" t="s">
        <v>10048</v>
      </c>
      <c r="F303" s="1834" t="s">
        <v>664</v>
      </c>
      <c r="G303" s="1834">
        <v>5</v>
      </c>
      <c r="H303" s="1620">
        <v>6</v>
      </c>
      <c r="I303" s="702">
        <f t="shared" si="12"/>
        <v>1.2</v>
      </c>
      <c r="J303" s="702">
        <f t="shared" si="13"/>
        <v>1.2</v>
      </c>
      <c r="K303" s="703"/>
      <c r="L303" s="703"/>
      <c r="M303" s="1387"/>
      <c r="N303" s="703"/>
      <c r="O303" s="1379"/>
      <c r="P303" s="1372"/>
      <c r="Q303" s="1364"/>
      <c r="R303" s="1355">
        <v>1.2</v>
      </c>
      <c r="S303" s="1882"/>
      <c r="T303" s="1931"/>
      <c r="U303" s="1874"/>
      <c r="V303" s="1874"/>
      <c r="W303" s="1882"/>
      <c r="X303" s="1883"/>
      <c r="Y303" s="1884"/>
      <c r="Z303" s="1885"/>
      <c r="AB303" s="3">
        <v>1</v>
      </c>
      <c r="AE303" s="2461"/>
      <c r="AF303" s="68"/>
    </row>
    <row r="304" spans="1:32" ht="75" x14ac:dyDescent="0.35">
      <c r="A304" s="1886">
        <v>113</v>
      </c>
      <c r="B304" s="1146">
        <v>11004</v>
      </c>
      <c r="C304" s="1146"/>
      <c r="D304" s="2470" t="s">
        <v>5460</v>
      </c>
      <c r="E304" s="733" t="s">
        <v>10049</v>
      </c>
      <c r="F304" s="1834"/>
      <c r="G304" s="1834" t="s">
        <v>191</v>
      </c>
      <c r="H304" s="1620" t="s">
        <v>191</v>
      </c>
      <c r="I304" s="702">
        <f t="shared" si="12"/>
        <v>1.5</v>
      </c>
      <c r="J304" s="702">
        <f t="shared" si="13"/>
        <v>1.5</v>
      </c>
      <c r="K304" s="703"/>
      <c r="L304" s="703"/>
      <c r="M304" s="1387"/>
      <c r="N304" s="703"/>
      <c r="O304" s="1379"/>
      <c r="P304" s="1372"/>
      <c r="Q304" s="1364"/>
      <c r="R304" s="1355">
        <f>SUM(R305:R306)</f>
        <v>1.5</v>
      </c>
      <c r="S304" s="1882"/>
      <c r="T304" s="1931"/>
      <c r="U304" s="1874"/>
      <c r="V304" s="1874"/>
      <c r="W304" s="1882">
        <v>2</v>
      </c>
      <c r="X304" s="333">
        <v>15</v>
      </c>
      <c r="Y304" s="1884"/>
      <c r="Z304" s="1885"/>
      <c r="AB304" s="3">
        <v>1</v>
      </c>
      <c r="AE304" s="2461"/>
      <c r="AF304" s="68"/>
    </row>
    <row r="305" spans="1:32" ht="17.5" x14ac:dyDescent="0.35">
      <c r="A305" s="1886"/>
      <c r="B305" s="1146">
        <v>11004</v>
      </c>
      <c r="C305" s="1146"/>
      <c r="D305" s="757"/>
      <c r="E305" s="1996" t="s">
        <v>1966</v>
      </c>
      <c r="F305" s="1834" t="s">
        <v>1490</v>
      </c>
      <c r="G305" s="1834">
        <v>5</v>
      </c>
      <c r="H305" s="1620">
        <v>6</v>
      </c>
      <c r="I305" s="702"/>
      <c r="J305" s="702"/>
      <c r="K305" s="703"/>
      <c r="L305" s="703"/>
      <c r="M305" s="1387"/>
      <c r="N305" s="703"/>
      <c r="O305" s="1379"/>
      <c r="P305" s="1372"/>
      <c r="Q305" s="1364"/>
      <c r="R305" s="1968">
        <v>0.8</v>
      </c>
      <c r="S305" s="1882"/>
      <c r="T305" s="1931"/>
      <c r="U305" s="1874"/>
      <c r="V305" s="1874"/>
      <c r="W305" s="1882"/>
      <c r="X305" s="1883"/>
      <c r="Y305" s="1884"/>
      <c r="Z305" s="1885"/>
      <c r="AC305" s="3" t="s">
        <v>2570</v>
      </c>
      <c r="AE305" s="2461"/>
      <c r="AF305" s="68"/>
    </row>
    <row r="306" spans="1:32" ht="17.5" x14ac:dyDescent="0.35">
      <c r="A306" s="1886"/>
      <c r="B306" s="1146">
        <v>11004</v>
      </c>
      <c r="C306" s="1146"/>
      <c r="D306" s="757"/>
      <c r="E306" s="1996" t="s">
        <v>2420</v>
      </c>
      <c r="F306" s="1834" t="s">
        <v>1490</v>
      </c>
      <c r="G306" s="1834">
        <v>5</v>
      </c>
      <c r="H306" s="1620">
        <v>6</v>
      </c>
      <c r="I306" s="702"/>
      <c r="J306" s="702"/>
      <c r="K306" s="703"/>
      <c r="L306" s="703"/>
      <c r="M306" s="1387"/>
      <c r="N306" s="703"/>
      <c r="O306" s="1379"/>
      <c r="P306" s="1372"/>
      <c r="Q306" s="1364"/>
      <c r="R306" s="1968">
        <f>1.5-0.8</f>
        <v>0.7</v>
      </c>
      <c r="S306" s="1882"/>
      <c r="T306" s="1931"/>
      <c r="U306" s="1874"/>
      <c r="V306" s="1874"/>
      <c r="W306" s="1882"/>
      <c r="X306" s="1883"/>
      <c r="Y306" s="1884"/>
      <c r="Z306" s="1885"/>
      <c r="AE306" s="2461"/>
      <c r="AF306" s="68"/>
    </row>
    <row r="307" spans="1:32" ht="75" x14ac:dyDescent="0.35">
      <c r="A307" s="1880">
        <v>114</v>
      </c>
      <c r="B307" s="1146">
        <v>11004</v>
      </c>
      <c r="C307" s="1146"/>
      <c r="D307" s="2470" t="s">
        <v>5461</v>
      </c>
      <c r="E307" s="733" t="s">
        <v>10050</v>
      </c>
      <c r="F307" s="1834"/>
      <c r="G307" s="1834" t="s">
        <v>191</v>
      </c>
      <c r="H307" s="1620" t="s">
        <v>191</v>
      </c>
      <c r="I307" s="702">
        <f t="shared" si="12"/>
        <v>0.5</v>
      </c>
      <c r="J307" s="702">
        <f t="shared" si="13"/>
        <v>0.5</v>
      </c>
      <c r="K307" s="703"/>
      <c r="L307" s="703"/>
      <c r="M307" s="1387"/>
      <c r="N307" s="703"/>
      <c r="O307" s="1379"/>
      <c r="P307" s="1372"/>
      <c r="Q307" s="1364"/>
      <c r="R307" s="1355">
        <f>SUM(R308:R309)</f>
        <v>0.5</v>
      </c>
      <c r="S307" s="1882"/>
      <c r="T307" s="1931"/>
      <c r="U307" s="705"/>
      <c r="V307" s="705"/>
      <c r="W307" s="716">
        <v>1</v>
      </c>
      <c r="X307" s="333">
        <v>15.2</v>
      </c>
      <c r="Y307" s="716"/>
      <c r="Z307" s="1706"/>
      <c r="AB307" s="3">
        <v>1</v>
      </c>
      <c r="AE307" s="2461"/>
      <c r="AF307" s="68"/>
    </row>
    <row r="308" spans="1:32" ht="18" x14ac:dyDescent="0.4">
      <c r="A308" s="1880"/>
      <c r="B308" s="1146">
        <v>11004</v>
      </c>
      <c r="C308" s="1146"/>
      <c r="D308" s="757"/>
      <c r="E308" s="1996" t="s">
        <v>1795</v>
      </c>
      <c r="F308" s="1834" t="s">
        <v>664</v>
      </c>
      <c r="G308" s="1834">
        <v>5</v>
      </c>
      <c r="H308" s="1620">
        <v>6</v>
      </c>
      <c r="I308" s="1918"/>
      <c r="J308" s="1918"/>
      <c r="K308" s="1919"/>
      <c r="L308" s="1919"/>
      <c r="M308" s="1920"/>
      <c r="N308" s="1919"/>
      <c r="O308" s="1949"/>
      <c r="P308" s="1950"/>
      <c r="Q308" s="1951"/>
      <c r="R308" s="1968">
        <v>0.2</v>
      </c>
      <c r="S308" s="2073"/>
      <c r="T308" s="1931"/>
      <c r="U308" s="1944"/>
      <c r="V308" s="1944"/>
      <c r="W308" s="1834"/>
      <c r="X308" s="2074"/>
      <c r="Y308" s="1834"/>
      <c r="Z308" s="2075"/>
      <c r="AE308" s="2461"/>
      <c r="AF308" s="68"/>
    </row>
    <row r="309" spans="1:32" ht="18" x14ac:dyDescent="0.4">
      <c r="A309" s="1880"/>
      <c r="B309" s="1146">
        <v>11004</v>
      </c>
      <c r="C309" s="1146"/>
      <c r="D309" s="757"/>
      <c r="E309" s="1996" t="s">
        <v>2167</v>
      </c>
      <c r="F309" s="1834" t="s">
        <v>664</v>
      </c>
      <c r="G309" s="1834">
        <v>5</v>
      </c>
      <c r="H309" s="1620">
        <v>6</v>
      </c>
      <c r="I309" s="1918"/>
      <c r="J309" s="1918"/>
      <c r="K309" s="1919"/>
      <c r="L309" s="1919"/>
      <c r="M309" s="1920"/>
      <c r="N309" s="1919"/>
      <c r="O309" s="1949"/>
      <c r="P309" s="1950"/>
      <c r="Q309" s="1951"/>
      <c r="R309" s="1968">
        <v>0.3</v>
      </c>
      <c r="S309" s="2073"/>
      <c r="T309" s="1931"/>
      <c r="U309" s="1944"/>
      <c r="V309" s="1944"/>
      <c r="W309" s="1834"/>
      <c r="X309" s="2074"/>
      <c r="Y309" s="1834"/>
      <c r="Z309" s="2075"/>
      <c r="AE309" s="2461"/>
      <c r="AF309" s="68"/>
    </row>
    <row r="310" spans="1:32" ht="60" x14ac:dyDescent="0.35">
      <c r="A310" s="1880">
        <v>115</v>
      </c>
      <c r="B310" s="1146">
        <v>11004</v>
      </c>
      <c r="C310" s="1146"/>
      <c r="D310" s="2470" t="s">
        <v>5462</v>
      </c>
      <c r="E310" s="733" t="s">
        <v>10051</v>
      </c>
      <c r="F310" s="1834"/>
      <c r="G310" s="1834" t="s">
        <v>191</v>
      </c>
      <c r="H310" s="1620" t="s">
        <v>191</v>
      </c>
      <c r="I310" s="702">
        <f t="shared" ref="I310:I317" si="14">J310+K310+L310</f>
        <v>2.4</v>
      </c>
      <c r="J310" s="702">
        <f t="shared" ref="J310:J317" si="15">SUM(M310:R310)</f>
        <v>2.4</v>
      </c>
      <c r="K310" s="703"/>
      <c r="L310" s="703"/>
      <c r="M310" s="1387"/>
      <c r="N310" s="703"/>
      <c r="O310" s="1379"/>
      <c r="P310" s="1372"/>
      <c r="Q310" s="1364"/>
      <c r="R310" s="1355">
        <f>SUM(R311:R312)</f>
        <v>2.4</v>
      </c>
      <c r="S310" s="1882"/>
      <c r="T310" s="1931"/>
      <c r="U310" s="705"/>
      <c r="V310" s="705"/>
      <c r="W310" s="716">
        <f>1+1</f>
        <v>2</v>
      </c>
      <c r="X310" s="333">
        <f>15.2+12.5</f>
        <v>27.7</v>
      </c>
      <c r="Y310" s="716"/>
      <c r="Z310" s="1706"/>
      <c r="AB310" s="3">
        <v>1</v>
      </c>
      <c r="AE310" s="2461"/>
      <c r="AF310" s="68"/>
    </row>
    <row r="311" spans="1:32" ht="17.5" x14ac:dyDescent="0.35">
      <c r="A311" s="1880"/>
      <c r="B311" s="1146">
        <v>11004</v>
      </c>
      <c r="C311" s="1146"/>
      <c r="D311" s="757"/>
      <c r="E311" s="1989" t="s">
        <v>1898</v>
      </c>
      <c r="F311" s="1834" t="s">
        <v>827</v>
      </c>
      <c r="G311" s="1834">
        <v>5</v>
      </c>
      <c r="H311" s="1620">
        <v>6</v>
      </c>
      <c r="I311" s="702"/>
      <c r="J311" s="702"/>
      <c r="K311" s="703"/>
      <c r="L311" s="703"/>
      <c r="M311" s="1387"/>
      <c r="N311" s="703"/>
      <c r="O311" s="1379"/>
      <c r="P311" s="1372"/>
      <c r="Q311" s="1364"/>
      <c r="R311" s="1968">
        <v>0.35</v>
      </c>
      <c r="S311" s="1882"/>
      <c r="T311" s="1931"/>
      <c r="U311" s="705"/>
      <c r="V311" s="705"/>
      <c r="W311" s="716"/>
      <c r="X311" s="333"/>
      <c r="Y311" s="716"/>
      <c r="Z311" s="1706"/>
      <c r="AC311" s="3" t="s">
        <v>2570</v>
      </c>
      <c r="AE311" s="2461"/>
      <c r="AF311" s="68"/>
    </row>
    <row r="312" spans="1:32" ht="17.5" x14ac:dyDescent="0.35">
      <c r="A312" s="1880"/>
      <c r="B312" s="1146">
        <v>11004</v>
      </c>
      <c r="C312" s="1146"/>
      <c r="D312" s="757"/>
      <c r="E312" s="1390" t="s">
        <v>1348</v>
      </c>
      <c r="F312" s="1834" t="s">
        <v>664</v>
      </c>
      <c r="G312" s="1834">
        <v>5</v>
      </c>
      <c r="H312" s="1620">
        <v>6</v>
      </c>
      <c r="I312" s="702"/>
      <c r="J312" s="702"/>
      <c r="K312" s="703"/>
      <c r="L312" s="703"/>
      <c r="M312" s="1387"/>
      <c r="N312" s="703"/>
      <c r="O312" s="1379"/>
      <c r="P312" s="1372"/>
      <c r="Q312" s="1364"/>
      <c r="R312" s="1968">
        <f>2.4-0.35</f>
        <v>2.0499999999999998</v>
      </c>
      <c r="S312" s="1882"/>
      <c r="T312" s="1931"/>
      <c r="U312" s="705"/>
      <c r="V312" s="705"/>
      <c r="W312" s="716"/>
      <c r="X312" s="333"/>
      <c r="Y312" s="716"/>
      <c r="Z312" s="1706"/>
      <c r="AE312" s="2461"/>
      <c r="AF312" s="68"/>
    </row>
    <row r="313" spans="1:32" ht="75" x14ac:dyDescent="0.35">
      <c r="A313" s="1880">
        <v>116</v>
      </c>
      <c r="B313" s="1147">
        <v>11004</v>
      </c>
      <c r="C313" s="1147"/>
      <c r="D313" s="2470" t="s">
        <v>5464</v>
      </c>
      <c r="E313" s="715" t="s">
        <v>10052</v>
      </c>
      <c r="F313" s="1834" t="s">
        <v>664</v>
      </c>
      <c r="G313" s="1834">
        <v>5</v>
      </c>
      <c r="H313" s="1620">
        <v>6</v>
      </c>
      <c r="I313" s="702">
        <f t="shared" si="14"/>
        <v>0.5</v>
      </c>
      <c r="J313" s="702">
        <f t="shared" si="15"/>
        <v>0.5</v>
      </c>
      <c r="K313" s="703"/>
      <c r="L313" s="703"/>
      <c r="M313" s="1387"/>
      <c r="N313" s="703"/>
      <c r="O313" s="1379"/>
      <c r="P313" s="1372"/>
      <c r="Q313" s="1364"/>
      <c r="R313" s="925">
        <v>0.5</v>
      </c>
      <c r="S313" s="1890"/>
      <c r="T313" s="1931"/>
      <c r="U313" s="732"/>
      <c r="V313" s="732"/>
      <c r="W313" s="730"/>
      <c r="X313" s="737"/>
      <c r="Y313" s="738"/>
      <c r="Z313" s="1707"/>
      <c r="AB313" s="3">
        <v>1</v>
      </c>
      <c r="AE313" s="2461"/>
      <c r="AF313" s="68"/>
    </row>
    <row r="314" spans="1:32" ht="75" x14ac:dyDescent="0.35">
      <c r="A314" s="1880">
        <v>117</v>
      </c>
      <c r="B314" s="1147">
        <v>11004</v>
      </c>
      <c r="C314" s="2083" t="s">
        <v>1656</v>
      </c>
      <c r="D314" s="2470" t="s">
        <v>5465</v>
      </c>
      <c r="E314" s="739" t="s">
        <v>10053</v>
      </c>
      <c r="F314" s="1953" t="s">
        <v>664</v>
      </c>
      <c r="G314" s="1953">
        <v>5</v>
      </c>
      <c r="H314" s="1620">
        <v>6</v>
      </c>
      <c r="I314" s="702">
        <f t="shared" si="14"/>
        <v>2.5</v>
      </c>
      <c r="J314" s="702">
        <f t="shared" si="15"/>
        <v>2.5</v>
      </c>
      <c r="K314" s="703"/>
      <c r="L314" s="703"/>
      <c r="M314" s="1387"/>
      <c r="N314" s="703"/>
      <c r="O314" s="1379"/>
      <c r="P314" s="1372"/>
      <c r="Q314" s="1364"/>
      <c r="R314" s="929">
        <v>2.5</v>
      </c>
      <c r="S314" s="1890"/>
      <c r="T314" s="1931"/>
      <c r="U314" s="732"/>
      <c r="V314" s="732"/>
      <c r="W314" s="730"/>
      <c r="X314" s="731"/>
      <c r="Y314" s="730"/>
      <c r="Z314" s="1708"/>
      <c r="AB314" s="3">
        <v>1</v>
      </c>
      <c r="AE314" s="2461"/>
      <c r="AF314" s="68"/>
    </row>
    <row r="315" spans="1:32" ht="60" x14ac:dyDescent="0.4">
      <c r="A315" s="1880">
        <v>118</v>
      </c>
      <c r="B315" s="1148">
        <v>11026</v>
      </c>
      <c r="C315" s="1148"/>
      <c r="D315" s="2470" t="s">
        <v>5466</v>
      </c>
      <c r="E315" s="715" t="s">
        <v>10054</v>
      </c>
      <c r="F315" s="1834">
        <v>5</v>
      </c>
      <c r="G315" s="1620">
        <v>5</v>
      </c>
      <c r="H315" s="1834">
        <v>6</v>
      </c>
      <c r="I315" s="702">
        <f>J315+K315+L315</f>
        <v>0.95</v>
      </c>
      <c r="J315" s="702">
        <f>SUM(M315:R315)</f>
        <v>0.95</v>
      </c>
      <c r="K315" s="709"/>
      <c r="L315" s="709"/>
      <c r="M315" s="1388"/>
      <c r="N315" s="709"/>
      <c r="O315" s="1378"/>
      <c r="P315" s="1371"/>
      <c r="Q315" s="1964">
        <v>0.95</v>
      </c>
      <c r="R315" s="1353"/>
      <c r="S315" s="1879"/>
      <c r="T315" s="1931"/>
      <c r="U315" s="728"/>
      <c r="V315" s="728"/>
      <c r="W315" s="164">
        <v>3</v>
      </c>
      <c r="X315" s="1962">
        <v>45.08</v>
      </c>
      <c r="Y315" s="725"/>
      <c r="Z315" s="2664"/>
      <c r="AB315" s="3">
        <v>1</v>
      </c>
      <c r="AE315" s="2461"/>
      <c r="AF315" s="68"/>
    </row>
    <row r="316" spans="1:32" ht="60" x14ac:dyDescent="0.4">
      <c r="A316" s="1880">
        <v>119</v>
      </c>
      <c r="B316" s="1148">
        <v>11004</v>
      </c>
      <c r="C316" s="1148"/>
      <c r="D316" s="2470" t="s">
        <v>5467</v>
      </c>
      <c r="E316" s="715" t="s">
        <v>10055</v>
      </c>
      <c r="F316" s="1834">
        <v>5</v>
      </c>
      <c r="G316" s="1620">
        <v>5</v>
      </c>
      <c r="H316" s="1834">
        <v>6</v>
      </c>
      <c r="I316" s="702">
        <f t="shared" si="14"/>
        <v>8.1000000000000003E-2</v>
      </c>
      <c r="J316" s="702">
        <f t="shared" si="15"/>
        <v>8.1000000000000003E-2</v>
      </c>
      <c r="K316" s="709"/>
      <c r="L316" s="709"/>
      <c r="M316" s="1388"/>
      <c r="N316" s="709"/>
      <c r="O316" s="1378"/>
      <c r="P316" s="1371"/>
      <c r="Q316" s="1964">
        <v>8.1000000000000003E-2</v>
      </c>
      <c r="R316" s="1353"/>
      <c r="S316" s="1879"/>
      <c r="T316" s="1931"/>
      <c r="U316" s="728"/>
      <c r="V316" s="728"/>
      <c r="W316" s="164">
        <v>1</v>
      </c>
      <c r="X316" s="1962">
        <v>10.199999999999999</v>
      </c>
      <c r="Y316" s="725"/>
      <c r="Z316" s="2664"/>
      <c r="AB316" s="3">
        <v>1</v>
      </c>
      <c r="AE316" s="2461"/>
      <c r="AF316" s="68"/>
    </row>
    <row r="317" spans="1:32" ht="75" x14ac:dyDescent="0.4">
      <c r="A317" s="1880">
        <v>120</v>
      </c>
      <c r="B317" s="46">
        <v>11004</v>
      </c>
      <c r="C317" s="2083" t="s">
        <v>1656</v>
      </c>
      <c r="D317" s="2470" t="s">
        <v>5468</v>
      </c>
      <c r="E317" s="2187" t="s">
        <v>10056</v>
      </c>
      <c r="F317" s="92" t="s">
        <v>664</v>
      </c>
      <c r="G317" s="92">
        <v>5</v>
      </c>
      <c r="H317" s="1620">
        <v>6</v>
      </c>
      <c r="I317" s="702">
        <f t="shared" si="14"/>
        <v>0.1</v>
      </c>
      <c r="J317" s="702">
        <f t="shared" si="15"/>
        <v>0.1</v>
      </c>
      <c r="K317" s="2139"/>
      <c r="L317" s="2139"/>
      <c r="M317" s="2139"/>
      <c r="N317" s="2139"/>
      <c r="O317" s="2139"/>
      <c r="P317" s="2139"/>
      <c r="Q317" s="2139"/>
      <c r="R317" s="2106">
        <v>0.1</v>
      </c>
      <c r="S317" s="785"/>
      <c r="T317" s="1931"/>
      <c r="U317" s="785"/>
      <c r="V317" s="785"/>
      <c r="W317" s="785"/>
      <c r="X317" s="785"/>
      <c r="Y317" s="785"/>
      <c r="Z317" s="1729"/>
      <c r="AB317" s="3">
        <v>1</v>
      </c>
      <c r="AE317" s="2461"/>
      <c r="AF317" s="68"/>
    </row>
    <row r="318" spans="1:32" ht="45" x14ac:dyDescent="0.35">
      <c r="A318" s="1880">
        <v>121</v>
      </c>
      <c r="B318" s="1145">
        <v>11005</v>
      </c>
      <c r="C318" s="1145"/>
      <c r="D318" s="752" t="s">
        <v>794</v>
      </c>
      <c r="E318" s="699" t="s">
        <v>10869</v>
      </c>
      <c r="F318" s="1943"/>
      <c r="G318" s="1953" t="s">
        <v>191</v>
      </c>
      <c r="H318" s="1943" t="s">
        <v>191</v>
      </c>
      <c r="I318" s="702">
        <f>J318+K318+L318</f>
        <v>16.399999999999995</v>
      </c>
      <c r="J318" s="702">
        <f>SUM(M318:R318)</f>
        <v>16.385999999999996</v>
      </c>
      <c r="K318" s="703"/>
      <c r="L318" s="703">
        <f>SUM(L319:L328)</f>
        <v>1.4E-2</v>
      </c>
      <c r="M318" s="1384">
        <f>SUM(M319:M328)</f>
        <v>6.2990000000000004</v>
      </c>
      <c r="N318" s="702">
        <f>SUM(N319:N328)</f>
        <v>1.4429999999999992</v>
      </c>
      <c r="O318" s="1376"/>
      <c r="P318" s="1369"/>
      <c r="Q318" s="1361">
        <f>SUM(Q319:Q328)</f>
        <v>8.6439999999999984</v>
      </c>
      <c r="R318" s="1351"/>
      <c r="S318" s="700">
        <v>1</v>
      </c>
      <c r="T318" s="1931">
        <v>10</v>
      </c>
      <c r="U318" s="154"/>
      <c r="V318" s="154"/>
      <c r="W318" s="1923">
        <v>23</v>
      </c>
      <c r="X318" s="1931">
        <v>350.9</v>
      </c>
      <c r="Y318" s="1923">
        <v>5</v>
      </c>
      <c r="Z318" s="1932">
        <v>55</v>
      </c>
      <c r="AB318" s="3">
        <v>1</v>
      </c>
      <c r="AE318" s="2461"/>
      <c r="AF318" s="68"/>
    </row>
    <row r="319" spans="1:32" ht="31" x14ac:dyDescent="0.4">
      <c r="A319" s="1875"/>
      <c r="B319" s="1145">
        <v>11005</v>
      </c>
      <c r="C319" s="1145"/>
      <c r="D319" s="753"/>
      <c r="E319" s="707" t="s">
        <v>10501</v>
      </c>
      <c r="F319" s="1943">
        <v>4</v>
      </c>
      <c r="G319" s="1953">
        <v>5</v>
      </c>
      <c r="H319" s="1943" t="s">
        <v>191</v>
      </c>
      <c r="I319" s="708"/>
      <c r="J319" s="708"/>
      <c r="K319" s="709"/>
      <c r="L319" s="709">
        <v>1.4E-2</v>
      </c>
      <c r="M319" s="1385"/>
      <c r="N319" s="708"/>
      <c r="O319" s="1377"/>
      <c r="P319" s="1370"/>
      <c r="Q319" s="1362"/>
      <c r="R319" s="1352"/>
      <c r="S319" s="1876"/>
      <c r="T319" s="1931"/>
      <c r="U319" s="1877"/>
      <c r="V319" s="1877"/>
      <c r="W319" s="1876"/>
      <c r="X319" s="2660"/>
      <c r="Y319" s="1876"/>
      <c r="Z319" s="2661"/>
      <c r="AE319" s="2461"/>
      <c r="AF319" s="68"/>
    </row>
    <row r="320" spans="1:32" ht="18" x14ac:dyDescent="0.4">
      <c r="A320" s="1875"/>
      <c r="B320" s="1145">
        <v>11005</v>
      </c>
      <c r="C320" s="1145"/>
      <c r="D320" s="753"/>
      <c r="E320" s="707" t="s">
        <v>10502</v>
      </c>
      <c r="F320" s="1943">
        <v>4</v>
      </c>
      <c r="G320" s="1953">
        <v>5</v>
      </c>
      <c r="H320" s="179">
        <v>6</v>
      </c>
      <c r="I320" s="708"/>
      <c r="J320" s="708"/>
      <c r="K320" s="709"/>
      <c r="L320" s="709"/>
      <c r="M320" s="1385"/>
      <c r="N320" s="708">
        <f>0.063-0.014</f>
        <v>4.9000000000000002E-2</v>
      </c>
      <c r="O320" s="1377"/>
      <c r="P320" s="1370"/>
      <c r="Q320" s="1362"/>
      <c r="R320" s="1352"/>
      <c r="S320" s="1876"/>
      <c r="T320" s="1931"/>
      <c r="U320" s="1877"/>
      <c r="V320" s="1877"/>
      <c r="W320" s="1876"/>
      <c r="X320" s="2660"/>
      <c r="Y320" s="1876"/>
      <c r="Z320" s="2661"/>
      <c r="AE320" s="2461"/>
      <c r="AF320" s="68"/>
    </row>
    <row r="321" spans="1:32" ht="18" x14ac:dyDescent="0.4">
      <c r="A321" s="1875"/>
      <c r="B321" s="1145">
        <v>11005</v>
      </c>
      <c r="C321" s="1145"/>
      <c r="D321" s="753"/>
      <c r="E321" s="1398" t="s">
        <v>10503</v>
      </c>
      <c r="F321" s="1943">
        <v>4</v>
      </c>
      <c r="G321" s="1953">
        <v>5</v>
      </c>
      <c r="H321" s="1943">
        <v>10</v>
      </c>
      <c r="I321" s="708"/>
      <c r="J321" s="708"/>
      <c r="K321" s="709"/>
      <c r="L321" s="709"/>
      <c r="M321" s="1385">
        <f>1.994-0.063</f>
        <v>1.931</v>
      </c>
      <c r="N321" s="708"/>
      <c r="O321" s="1377"/>
      <c r="P321" s="1370"/>
      <c r="Q321" s="1362"/>
      <c r="R321" s="1352"/>
      <c r="S321" s="1876"/>
      <c r="T321" s="1931"/>
      <c r="U321" s="1877"/>
      <c r="V321" s="1877"/>
      <c r="W321" s="1876"/>
      <c r="X321" s="2660"/>
      <c r="Y321" s="1876"/>
      <c r="Z321" s="2661"/>
      <c r="AE321" s="2461"/>
      <c r="AF321" s="68"/>
    </row>
    <row r="322" spans="1:32" ht="18" x14ac:dyDescent="0.4">
      <c r="A322" s="1875"/>
      <c r="B322" s="1145">
        <v>11005</v>
      </c>
      <c r="C322" s="1145"/>
      <c r="D322" s="753"/>
      <c r="E322" s="1396" t="s">
        <v>10510</v>
      </c>
      <c r="F322" s="1943">
        <v>4</v>
      </c>
      <c r="G322" s="1953">
        <v>5</v>
      </c>
      <c r="H322" s="1834">
        <v>6</v>
      </c>
      <c r="I322" s="708"/>
      <c r="J322" s="708"/>
      <c r="K322" s="709"/>
      <c r="L322" s="709"/>
      <c r="M322" s="1385"/>
      <c r="N322" s="708"/>
      <c r="O322" s="1377"/>
      <c r="P322" s="1370"/>
      <c r="Q322" s="1362">
        <f>7.181-1.994</f>
        <v>5.1870000000000003</v>
      </c>
      <c r="R322" s="1352"/>
      <c r="S322" s="1876"/>
      <c r="T322" s="1931"/>
      <c r="U322" s="1877"/>
      <c r="V322" s="1877"/>
      <c r="W322" s="1876"/>
      <c r="X322" s="2660"/>
      <c r="Y322" s="1876"/>
      <c r="Z322" s="2661"/>
      <c r="AE322" s="2461"/>
      <c r="AF322" s="68"/>
    </row>
    <row r="323" spans="1:32" ht="18" x14ac:dyDescent="0.4">
      <c r="A323" s="1875"/>
      <c r="B323" s="1145">
        <v>11005</v>
      </c>
      <c r="C323" s="1145"/>
      <c r="D323" s="753"/>
      <c r="E323" s="1396" t="s">
        <v>10504</v>
      </c>
      <c r="F323" s="1943">
        <v>4</v>
      </c>
      <c r="G323" s="1953">
        <v>5</v>
      </c>
      <c r="H323" s="179">
        <v>6</v>
      </c>
      <c r="I323" s="708"/>
      <c r="J323" s="708"/>
      <c r="K323" s="709"/>
      <c r="L323" s="709"/>
      <c r="M323" s="1385"/>
      <c r="N323" s="726">
        <f>7.272-7.181</f>
        <v>9.1000000000000192E-2</v>
      </c>
      <c r="O323" s="1377"/>
      <c r="P323" s="1370"/>
      <c r="Q323" s="2489"/>
      <c r="R323" s="1352"/>
      <c r="S323" s="1876"/>
      <c r="T323" s="1931"/>
      <c r="U323" s="1877"/>
      <c r="V323" s="1877"/>
      <c r="W323" s="1876"/>
      <c r="X323" s="2660"/>
      <c r="Y323" s="1876"/>
      <c r="Z323" s="2661"/>
      <c r="AE323" s="2461"/>
      <c r="AF323" s="68"/>
    </row>
    <row r="324" spans="1:32" ht="18" x14ac:dyDescent="0.4">
      <c r="A324" s="1875"/>
      <c r="B324" s="1145">
        <v>11005</v>
      </c>
      <c r="C324" s="1145"/>
      <c r="D324" s="753"/>
      <c r="E324" s="1396" t="s">
        <v>10505</v>
      </c>
      <c r="F324" s="1943">
        <v>4</v>
      </c>
      <c r="G324" s="1953">
        <v>5</v>
      </c>
      <c r="H324" s="1834">
        <v>6</v>
      </c>
      <c r="I324" s="708"/>
      <c r="J324" s="708"/>
      <c r="K324" s="709"/>
      <c r="L324" s="709"/>
      <c r="M324" s="1385"/>
      <c r="N324" s="708"/>
      <c r="O324" s="1377"/>
      <c r="P324" s="1370"/>
      <c r="Q324" s="1362">
        <f>8.514-7.272</f>
        <v>1.2419999999999991</v>
      </c>
      <c r="R324" s="1352"/>
      <c r="S324" s="1876"/>
      <c r="T324" s="1931"/>
      <c r="U324" s="1877"/>
      <c r="V324" s="1877"/>
      <c r="W324" s="1876"/>
      <c r="X324" s="2660"/>
      <c r="Y324" s="1876"/>
      <c r="Z324" s="2661"/>
      <c r="AE324" s="2461"/>
      <c r="AF324" s="68"/>
    </row>
    <row r="325" spans="1:32" ht="18" x14ac:dyDescent="0.4">
      <c r="A325" s="1875"/>
      <c r="B325" s="1145">
        <v>11005</v>
      </c>
      <c r="C325" s="1145"/>
      <c r="D325" s="753"/>
      <c r="E325" s="707" t="s">
        <v>10506</v>
      </c>
      <c r="F325" s="1943">
        <v>4</v>
      </c>
      <c r="G325" s="1953">
        <v>5</v>
      </c>
      <c r="H325" s="179">
        <v>6</v>
      </c>
      <c r="I325" s="708"/>
      <c r="J325" s="708"/>
      <c r="K325" s="709"/>
      <c r="L325" s="709"/>
      <c r="M325" s="1385"/>
      <c r="N325" s="708">
        <f>9.807-8.514</f>
        <v>1.293000000000001</v>
      </c>
      <c r="O325" s="1377"/>
      <c r="P325" s="1370"/>
      <c r="Q325" s="1362"/>
      <c r="R325" s="1352"/>
      <c r="S325" s="1876"/>
      <c r="T325" s="1931"/>
      <c r="U325" s="1877"/>
      <c r="V325" s="1877"/>
      <c r="W325" s="1876"/>
      <c r="X325" s="2660"/>
      <c r="Y325" s="1876"/>
      <c r="Z325" s="2661"/>
      <c r="AE325" s="2461"/>
      <c r="AF325" s="68"/>
    </row>
    <row r="326" spans="1:32" ht="18" x14ac:dyDescent="0.4">
      <c r="A326" s="1875"/>
      <c r="B326" s="1145">
        <v>11005</v>
      </c>
      <c r="C326" s="1145"/>
      <c r="D326" s="753"/>
      <c r="E326" s="1396" t="s">
        <v>10507</v>
      </c>
      <c r="F326" s="1943">
        <v>4</v>
      </c>
      <c r="G326" s="1953">
        <v>5</v>
      </c>
      <c r="H326" s="1834">
        <v>6</v>
      </c>
      <c r="I326" s="708"/>
      <c r="J326" s="708"/>
      <c r="K326" s="709"/>
      <c r="L326" s="709"/>
      <c r="M326" s="1385"/>
      <c r="N326" s="708"/>
      <c r="O326" s="1377"/>
      <c r="P326" s="1370"/>
      <c r="Q326" s="1362">
        <f>12.022-9.807</f>
        <v>2.2149999999999999</v>
      </c>
      <c r="R326" s="1352"/>
      <c r="S326" s="1876"/>
      <c r="T326" s="1931"/>
      <c r="U326" s="1877"/>
      <c r="V326" s="1877"/>
      <c r="W326" s="1876"/>
      <c r="X326" s="2660"/>
      <c r="Y326" s="1876"/>
      <c r="Z326" s="2661"/>
      <c r="AE326" s="2461"/>
      <c r="AF326" s="68"/>
    </row>
    <row r="327" spans="1:32" ht="18" x14ac:dyDescent="0.4">
      <c r="A327" s="1875"/>
      <c r="B327" s="1145">
        <v>11005</v>
      </c>
      <c r="C327" s="1145"/>
      <c r="D327" s="753"/>
      <c r="E327" s="1398" t="s">
        <v>10508</v>
      </c>
      <c r="F327" s="1943">
        <v>4</v>
      </c>
      <c r="G327" s="1953">
        <v>5</v>
      </c>
      <c r="H327" s="1943">
        <v>10</v>
      </c>
      <c r="I327" s="708"/>
      <c r="J327" s="708"/>
      <c r="K327" s="709"/>
      <c r="L327" s="709"/>
      <c r="M327" s="1385">
        <f>16.39-12.022</f>
        <v>4.3680000000000003</v>
      </c>
      <c r="N327" s="708"/>
      <c r="O327" s="1377"/>
      <c r="P327" s="1370"/>
      <c r="Q327" s="1362"/>
      <c r="R327" s="1352"/>
      <c r="S327" s="1876"/>
      <c r="T327" s="1931"/>
      <c r="U327" s="1877"/>
      <c r="V327" s="1877"/>
      <c r="W327" s="1876"/>
      <c r="X327" s="2660"/>
      <c r="Y327" s="1876"/>
      <c r="Z327" s="2661"/>
      <c r="AE327" s="2461"/>
      <c r="AF327" s="68"/>
    </row>
    <row r="328" spans="1:32" ht="18" x14ac:dyDescent="0.4">
      <c r="A328" s="1875"/>
      <c r="B328" s="1145">
        <v>11005</v>
      </c>
      <c r="C328" s="1145"/>
      <c r="D328" s="753"/>
      <c r="E328" s="707" t="s">
        <v>10509</v>
      </c>
      <c r="F328" s="1943">
        <v>4</v>
      </c>
      <c r="G328" s="1953">
        <v>5</v>
      </c>
      <c r="H328" s="1943">
        <v>6</v>
      </c>
      <c r="I328" s="708"/>
      <c r="J328" s="708"/>
      <c r="K328" s="709"/>
      <c r="L328" s="709"/>
      <c r="M328" s="1385"/>
      <c r="N328" s="708">
        <f>16.4-16.39</f>
        <v>9.9999999999980105E-3</v>
      </c>
      <c r="O328" s="1377"/>
      <c r="P328" s="1370"/>
      <c r="Q328" s="1362"/>
      <c r="R328" s="1352"/>
      <c r="S328" s="1876"/>
      <c r="T328" s="1931"/>
      <c r="U328" s="1877"/>
      <c r="V328" s="1877"/>
      <c r="W328" s="1876"/>
      <c r="X328" s="2660"/>
      <c r="Y328" s="1876"/>
      <c r="Z328" s="2661"/>
      <c r="AE328" s="2461"/>
      <c r="AF328" s="68"/>
    </row>
    <row r="329" spans="1:32" ht="60" x14ac:dyDescent="0.35">
      <c r="A329" s="1880">
        <v>122</v>
      </c>
      <c r="B329" s="1146">
        <v>11005</v>
      </c>
      <c r="C329" s="1146"/>
      <c r="D329" s="2470" t="s">
        <v>5469</v>
      </c>
      <c r="E329" s="733" t="s">
        <v>10057</v>
      </c>
      <c r="F329" s="1834" t="s">
        <v>1490</v>
      </c>
      <c r="G329" s="1834">
        <v>5</v>
      </c>
      <c r="H329" s="1620">
        <v>6</v>
      </c>
      <c r="I329" s="702">
        <f t="shared" ref="I329:I335" si="16">J329+K329+L329</f>
        <v>1.5</v>
      </c>
      <c r="J329" s="702">
        <f t="shared" ref="J329:J335" si="17">SUM(M329:R329)</f>
        <v>1.5</v>
      </c>
      <c r="K329" s="703"/>
      <c r="L329" s="703"/>
      <c r="M329" s="1387"/>
      <c r="N329" s="703"/>
      <c r="O329" s="1379"/>
      <c r="P329" s="1372"/>
      <c r="Q329" s="1364"/>
      <c r="R329" s="1355">
        <v>1.5</v>
      </c>
      <c r="S329" s="701"/>
      <c r="T329" s="1931"/>
      <c r="U329" s="705"/>
      <c r="V329" s="705"/>
      <c r="W329" s="716">
        <v>3</v>
      </c>
      <c r="X329" s="333">
        <v>30.2</v>
      </c>
      <c r="Y329" s="716"/>
      <c r="Z329" s="1706"/>
      <c r="AB329" s="3">
        <v>1</v>
      </c>
      <c r="AE329" s="2461"/>
      <c r="AF329" s="68"/>
    </row>
    <row r="330" spans="1:32" ht="75" x14ac:dyDescent="0.35">
      <c r="A330" s="1880">
        <v>123</v>
      </c>
      <c r="B330" s="1147">
        <v>11005</v>
      </c>
      <c r="C330" s="2083" t="s">
        <v>1656</v>
      </c>
      <c r="D330" s="2470" t="s">
        <v>5470</v>
      </c>
      <c r="E330" s="739" t="s">
        <v>10058</v>
      </c>
      <c r="F330" s="1953" t="s">
        <v>664</v>
      </c>
      <c r="G330" s="1953">
        <v>5</v>
      </c>
      <c r="H330" s="1620">
        <v>6</v>
      </c>
      <c r="I330" s="702">
        <f t="shared" si="16"/>
        <v>0.5</v>
      </c>
      <c r="J330" s="702">
        <f t="shared" si="17"/>
        <v>0.5</v>
      </c>
      <c r="K330" s="703"/>
      <c r="L330" s="703"/>
      <c r="M330" s="1387"/>
      <c r="N330" s="703"/>
      <c r="O330" s="1379"/>
      <c r="P330" s="1372"/>
      <c r="Q330" s="1364"/>
      <c r="R330" s="929">
        <v>0.5</v>
      </c>
      <c r="S330" s="730"/>
      <c r="T330" s="1931"/>
      <c r="U330" s="732"/>
      <c r="V330" s="732"/>
      <c r="W330" s="730"/>
      <c r="X330" s="731"/>
      <c r="Y330" s="730"/>
      <c r="Z330" s="1708"/>
      <c r="AB330" s="3">
        <v>1</v>
      </c>
      <c r="AE330" s="2461"/>
      <c r="AF330" s="68"/>
    </row>
    <row r="331" spans="1:32" ht="60" x14ac:dyDescent="0.35">
      <c r="A331" s="1880">
        <v>124</v>
      </c>
      <c r="B331" s="1146">
        <v>11005</v>
      </c>
      <c r="C331" s="1146"/>
      <c r="D331" s="2470" t="s">
        <v>5471</v>
      </c>
      <c r="E331" s="733" t="s">
        <v>10059</v>
      </c>
      <c r="F331" s="1834" t="s">
        <v>664</v>
      </c>
      <c r="G331" s="1834">
        <v>5</v>
      </c>
      <c r="H331" s="1620">
        <v>6</v>
      </c>
      <c r="I331" s="702">
        <f t="shared" si="16"/>
        <v>1.1000000000000001</v>
      </c>
      <c r="J331" s="702">
        <f t="shared" si="17"/>
        <v>1.1000000000000001</v>
      </c>
      <c r="K331" s="703"/>
      <c r="L331" s="703"/>
      <c r="M331" s="1387"/>
      <c r="N331" s="703"/>
      <c r="O331" s="1379"/>
      <c r="P331" s="1372"/>
      <c r="Q331" s="1364"/>
      <c r="R331" s="1355">
        <v>1.1000000000000001</v>
      </c>
      <c r="S331" s="701"/>
      <c r="T331" s="1931"/>
      <c r="U331" s="705"/>
      <c r="V331" s="705"/>
      <c r="W331" s="716">
        <v>4</v>
      </c>
      <c r="X331" s="333">
        <v>35.700000000000003</v>
      </c>
      <c r="Y331" s="716"/>
      <c r="Z331" s="1706"/>
      <c r="AB331" s="3">
        <v>1</v>
      </c>
      <c r="AE331" s="2461"/>
      <c r="AF331" s="68"/>
    </row>
    <row r="332" spans="1:32" ht="60" x14ac:dyDescent="0.35">
      <c r="A332" s="1880">
        <v>125</v>
      </c>
      <c r="B332" s="46">
        <v>11005</v>
      </c>
      <c r="C332" s="2083" t="s">
        <v>1656</v>
      </c>
      <c r="D332" s="2470" t="s">
        <v>5472</v>
      </c>
      <c r="E332" s="2187" t="s">
        <v>10060</v>
      </c>
      <c r="F332" s="92" t="s">
        <v>664</v>
      </c>
      <c r="G332" s="92">
        <v>5</v>
      </c>
      <c r="H332" s="1620">
        <v>6</v>
      </c>
      <c r="I332" s="702">
        <f>J332+K332+L332</f>
        <v>0.4</v>
      </c>
      <c r="J332" s="702">
        <f>SUM(M332:R332)</f>
        <v>0.4</v>
      </c>
      <c r="K332" s="622"/>
      <c r="L332" s="622"/>
      <c r="M332" s="622"/>
      <c r="N332" s="622"/>
      <c r="O332" s="622"/>
      <c r="P332" s="622"/>
      <c r="Q332" s="622"/>
      <c r="R332" s="1984">
        <v>0.4</v>
      </c>
      <c r="S332" s="106"/>
      <c r="T332" s="1931"/>
      <c r="U332" s="106"/>
      <c r="V332" s="106"/>
      <c r="W332" s="105"/>
      <c r="X332" s="105"/>
      <c r="Y332" s="105"/>
      <c r="Z332" s="323"/>
      <c r="AB332" s="3">
        <v>1</v>
      </c>
      <c r="AE332" s="2461"/>
      <c r="AF332" s="68"/>
    </row>
    <row r="333" spans="1:32" ht="60" x14ac:dyDescent="0.35">
      <c r="A333" s="1880">
        <v>126</v>
      </c>
      <c r="B333" s="46">
        <v>11005</v>
      </c>
      <c r="C333" s="1146"/>
      <c r="D333" s="2470" t="s">
        <v>5473</v>
      </c>
      <c r="E333" s="733" t="s">
        <v>10062</v>
      </c>
      <c r="F333" s="1834">
        <v>5</v>
      </c>
      <c r="G333" s="1834">
        <v>5</v>
      </c>
      <c r="H333" s="1834">
        <v>6</v>
      </c>
      <c r="I333" s="702">
        <f>J333+K333+L333</f>
        <v>1.4350000000000001</v>
      </c>
      <c r="J333" s="702">
        <f>SUM(M333:R333)</f>
        <v>1.4350000000000001</v>
      </c>
      <c r="K333" s="703"/>
      <c r="L333" s="703"/>
      <c r="M333" s="1387"/>
      <c r="N333" s="703"/>
      <c r="O333" s="1379"/>
      <c r="P333" s="1372"/>
      <c r="Q333" s="1365">
        <v>1.4350000000000001</v>
      </c>
      <c r="R333" s="1354"/>
      <c r="S333" s="701"/>
      <c r="T333" s="1931"/>
      <c r="U333" s="705"/>
      <c r="V333" s="705"/>
      <c r="W333" s="716">
        <v>3</v>
      </c>
      <c r="X333" s="333">
        <v>30.6</v>
      </c>
      <c r="Y333" s="716"/>
      <c r="Z333" s="333"/>
      <c r="AB333" s="3">
        <v>1</v>
      </c>
      <c r="AE333" s="2461"/>
      <c r="AF333" s="68"/>
    </row>
    <row r="334" spans="1:32" ht="60" x14ac:dyDescent="0.35">
      <c r="A334" s="1880">
        <v>127</v>
      </c>
      <c r="B334" s="46">
        <v>11005</v>
      </c>
      <c r="C334" s="1146"/>
      <c r="D334" s="2470" t="s">
        <v>5474</v>
      </c>
      <c r="E334" s="733" t="s">
        <v>10061</v>
      </c>
      <c r="F334" s="1834" t="s">
        <v>664</v>
      </c>
      <c r="G334" s="1834">
        <v>5</v>
      </c>
      <c r="H334" s="1620">
        <v>6</v>
      </c>
      <c r="I334" s="702">
        <f>J334+K334+L334</f>
        <v>0.7</v>
      </c>
      <c r="J334" s="702">
        <f>SUM(M334:R334)</f>
        <v>0.7</v>
      </c>
      <c r="K334" s="703"/>
      <c r="L334" s="703"/>
      <c r="M334" s="1387"/>
      <c r="N334" s="703"/>
      <c r="O334" s="1379"/>
      <c r="P334" s="1372"/>
      <c r="Q334" s="1364"/>
      <c r="R334" s="1355">
        <v>0.7</v>
      </c>
      <c r="S334" s="701"/>
      <c r="T334" s="1931"/>
      <c r="U334" s="705"/>
      <c r="V334" s="705"/>
      <c r="W334" s="701"/>
      <c r="X334" s="333"/>
      <c r="Y334" s="716"/>
      <c r="Z334" s="333"/>
      <c r="AA334" s="3" t="s">
        <v>1631</v>
      </c>
      <c r="AB334" s="3">
        <v>1</v>
      </c>
      <c r="AE334" s="2461"/>
      <c r="AF334" s="68"/>
    </row>
    <row r="335" spans="1:32" ht="30" x14ac:dyDescent="0.35">
      <c r="A335" s="1880">
        <v>128</v>
      </c>
      <c r="B335" s="1145">
        <v>11006</v>
      </c>
      <c r="C335" s="1145"/>
      <c r="D335" s="752" t="s">
        <v>795</v>
      </c>
      <c r="E335" s="699" t="s">
        <v>7186</v>
      </c>
      <c r="F335" s="1943"/>
      <c r="G335" s="1953" t="s">
        <v>191</v>
      </c>
      <c r="H335" s="179" t="s">
        <v>191</v>
      </c>
      <c r="I335" s="702">
        <f t="shared" si="16"/>
        <v>8.3169999999999984</v>
      </c>
      <c r="J335" s="702">
        <f t="shared" si="17"/>
        <v>8.2749999999999986</v>
      </c>
      <c r="K335" s="703"/>
      <c r="L335" s="702">
        <f>SUM(L336:L340)</f>
        <v>4.2000000000000468E-2</v>
      </c>
      <c r="M335" s="1384"/>
      <c r="N335" s="702">
        <f>SUM(N336:N340)</f>
        <v>5.8679999999999994</v>
      </c>
      <c r="O335" s="1376"/>
      <c r="P335" s="1369"/>
      <c r="Q335" s="1361">
        <f>SUM(Q336:Q340)</f>
        <v>2.407</v>
      </c>
      <c r="R335" s="1351"/>
      <c r="S335" s="700"/>
      <c r="T335" s="1931"/>
      <c r="U335" s="705"/>
      <c r="V335" s="705"/>
      <c r="W335" s="700">
        <v>13</v>
      </c>
      <c r="X335" s="706">
        <v>157.4</v>
      </c>
      <c r="Y335" s="700">
        <v>2</v>
      </c>
      <c r="Z335" s="1705">
        <v>19</v>
      </c>
      <c r="AB335" s="3">
        <v>1</v>
      </c>
      <c r="AE335" s="2461"/>
      <c r="AF335" s="68"/>
    </row>
    <row r="336" spans="1:32" ht="31" x14ac:dyDescent="0.35">
      <c r="A336" s="1880"/>
      <c r="B336" s="1145"/>
      <c r="C336" s="1145"/>
      <c r="D336" s="752"/>
      <c r="E336" s="1935" t="s">
        <v>7190</v>
      </c>
      <c r="F336" s="1943">
        <v>4</v>
      </c>
      <c r="G336" s="1953">
        <v>5</v>
      </c>
      <c r="H336" s="179" t="s">
        <v>191</v>
      </c>
      <c r="I336" s="702"/>
      <c r="J336" s="702"/>
      <c r="K336" s="703"/>
      <c r="L336" s="1918">
        <v>1.4E-2</v>
      </c>
      <c r="M336" s="1384"/>
      <c r="N336" s="702"/>
      <c r="O336" s="1376"/>
      <c r="P336" s="1369"/>
      <c r="Q336" s="1361"/>
      <c r="R336" s="1351"/>
      <c r="S336" s="700"/>
      <c r="T336" s="1931"/>
      <c r="U336" s="705"/>
      <c r="V336" s="705"/>
      <c r="W336" s="700"/>
      <c r="X336" s="706"/>
      <c r="Y336" s="700"/>
      <c r="Z336" s="1705"/>
      <c r="AE336" s="2461"/>
      <c r="AF336" s="68"/>
    </row>
    <row r="337" spans="1:32" x14ac:dyDescent="0.35">
      <c r="A337" s="1875"/>
      <c r="B337" s="1145">
        <v>11006</v>
      </c>
      <c r="C337" s="1145"/>
      <c r="D337" s="753"/>
      <c r="E337" s="707" t="s">
        <v>7188</v>
      </c>
      <c r="F337" s="1943">
        <v>4</v>
      </c>
      <c r="G337" s="179">
        <v>5</v>
      </c>
      <c r="H337" s="179">
        <v>6</v>
      </c>
      <c r="I337" s="708"/>
      <c r="J337" s="708"/>
      <c r="K337" s="709"/>
      <c r="L337" s="709"/>
      <c r="M337" s="1385"/>
      <c r="N337" s="708">
        <f>0.997-0.014</f>
        <v>0.98299999999999998</v>
      </c>
      <c r="O337" s="1377"/>
      <c r="P337" s="1370"/>
      <c r="Q337" s="1362"/>
      <c r="R337" s="1352"/>
      <c r="S337" s="1770"/>
      <c r="T337" s="1931"/>
      <c r="U337" s="728"/>
      <c r="V337" s="728"/>
      <c r="W337" s="1770"/>
      <c r="X337" s="2667"/>
      <c r="Y337" s="1770"/>
      <c r="Z337" s="2668"/>
      <c r="AE337" s="2461"/>
      <c r="AF337" s="68"/>
    </row>
    <row r="338" spans="1:32" x14ac:dyDescent="0.35">
      <c r="A338" s="1875"/>
      <c r="B338" s="1145">
        <v>11006</v>
      </c>
      <c r="C338" s="1145"/>
      <c r="D338" s="753"/>
      <c r="E338" s="1394" t="s">
        <v>7187</v>
      </c>
      <c r="F338" s="1834">
        <v>4</v>
      </c>
      <c r="G338" s="179">
        <v>5</v>
      </c>
      <c r="H338" s="179">
        <v>6</v>
      </c>
      <c r="I338" s="708"/>
      <c r="J338" s="708"/>
      <c r="K338" s="709"/>
      <c r="L338" s="709"/>
      <c r="M338" s="1388"/>
      <c r="N338" s="709"/>
      <c r="O338" s="1378"/>
      <c r="P338" s="1371"/>
      <c r="Q338" s="1366">
        <f>3.404-0.997</f>
        <v>2.407</v>
      </c>
      <c r="R338" s="1353"/>
      <c r="S338" s="720"/>
      <c r="T338" s="1931"/>
      <c r="U338" s="728"/>
      <c r="V338" s="728"/>
      <c r="W338" s="720"/>
      <c r="X338" s="2667"/>
      <c r="Y338" s="1770"/>
      <c r="Z338" s="2668"/>
      <c r="AE338" s="2461"/>
      <c r="AF338" s="68"/>
    </row>
    <row r="339" spans="1:32" x14ac:dyDescent="0.35">
      <c r="A339" s="1875"/>
      <c r="B339" s="1145">
        <v>11006</v>
      </c>
      <c r="C339" s="1145"/>
      <c r="D339" s="753"/>
      <c r="E339" s="707" t="s">
        <v>7189</v>
      </c>
      <c r="F339" s="1943">
        <v>4</v>
      </c>
      <c r="G339" s="179">
        <v>4</v>
      </c>
      <c r="H339" s="179">
        <v>6</v>
      </c>
      <c r="I339" s="708"/>
      <c r="J339" s="708"/>
      <c r="K339" s="709"/>
      <c r="L339" s="709"/>
      <c r="M339" s="1385"/>
      <c r="N339" s="708">
        <f>8.289-3.404</f>
        <v>4.8849999999999998</v>
      </c>
      <c r="O339" s="1377"/>
      <c r="P339" s="1370"/>
      <c r="Q339" s="1362"/>
      <c r="R339" s="1352"/>
      <c r="S339" s="1770"/>
      <c r="T339" s="1931"/>
      <c r="U339" s="728"/>
      <c r="V339" s="728"/>
      <c r="W339" s="1770"/>
      <c r="X339" s="2667"/>
      <c r="Y339" s="1770"/>
      <c r="Z339" s="2668"/>
      <c r="AE339" s="2461"/>
      <c r="AF339" s="68"/>
    </row>
    <row r="340" spans="1:32" ht="31" x14ac:dyDescent="0.35">
      <c r="A340" s="1875"/>
      <c r="B340" s="2587"/>
      <c r="C340" s="2587"/>
      <c r="D340" s="753"/>
      <c r="E340" s="2588" t="s">
        <v>7191</v>
      </c>
      <c r="F340" s="2589">
        <v>4</v>
      </c>
      <c r="G340" s="1636">
        <v>4</v>
      </c>
      <c r="H340" s="179" t="s">
        <v>191</v>
      </c>
      <c r="I340" s="2590"/>
      <c r="J340" s="2590"/>
      <c r="K340" s="2591"/>
      <c r="L340" s="2590">
        <f>8.317-8.289</f>
        <v>2.8000000000000469E-2</v>
      </c>
      <c r="M340" s="2592"/>
      <c r="N340" s="2590"/>
      <c r="O340" s="2593"/>
      <c r="P340" s="2594"/>
      <c r="Q340" s="2595"/>
      <c r="R340" s="2596"/>
      <c r="S340" s="2597"/>
      <c r="T340" s="1931"/>
      <c r="U340" s="2598"/>
      <c r="V340" s="2598"/>
      <c r="W340" s="2597"/>
      <c r="X340" s="2671"/>
      <c r="Y340" s="2597"/>
      <c r="Z340" s="2672"/>
      <c r="AE340" s="2461"/>
      <c r="AF340" s="68"/>
    </row>
    <row r="341" spans="1:32" ht="45" x14ac:dyDescent="0.35">
      <c r="A341" s="1880">
        <v>129</v>
      </c>
      <c r="B341" s="2220">
        <v>11006</v>
      </c>
      <c r="C341" s="2220"/>
      <c r="D341" s="2470" t="s">
        <v>5475</v>
      </c>
      <c r="E341" s="2221" t="s">
        <v>7387</v>
      </c>
      <c r="F341" s="1943"/>
      <c r="G341" s="1953" t="s">
        <v>191</v>
      </c>
      <c r="H341" s="1943" t="s">
        <v>191</v>
      </c>
      <c r="I341" s="1150">
        <f>J341+K341+L341</f>
        <v>3.4430000000000001</v>
      </c>
      <c r="J341" s="1150">
        <f>SUM(M341:R341)</f>
        <v>3.4430000000000001</v>
      </c>
      <c r="K341" s="2223"/>
      <c r="L341" s="2223"/>
      <c r="M341" s="2224"/>
      <c r="N341" s="2225">
        <f>SUM(N342:N343)</f>
        <v>0.3</v>
      </c>
      <c r="O341" s="2226"/>
      <c r="P341" s="2227"/>
      <c r="Q341" s="2228">
        <f>SUM(Q342:Q343)</f>
        <v>3.1430000000000002</v>
      </c>
      <c r="R341" s="2229"/>
      <c r="S341" s="2230"/>
      <c r="T341" s="1931"/>
      <c r="U341" s="2231"/>
      <c r="V341" s="2231"/>
      <c r="W341" s="2230"/>
      <c r="X341" s="1769"/>
      <c r="Y341" s="1020"/>
      <c r="Z341" s="2232"/>
      <c r="AB341" s="3">
        <v>1</v>
      </c>
      <c r="AE341" s="2461"/>
      <c r="AF341" s="68"/>
    </row>
    <row r="342" spans="1:32" x14ac:dyDescent="0.35">
      <c r="A342" s="1880"/>
      <c r="B342" s="2220"/>
      <c r="C342" s="2220"/>
      <c r="D342" s="2470"/>
      <c r="E342" s="707" t="s">
        <v>880</v>
      </c>
      <c r="F342" s="2349" t="s">
        <v>827</v>
      </c>
      <c r="G342" s="2349">
        <v>5</v>
      </c>
      <c r="H342" s="179">
        <v>6</v>
      </c>
      <c r="I342" s="2189"/>
      <c r="J342" s="2189"/>
      <c r="K342" s="2744"/>
      <c r="L342" s="2744"/>
      <c r="M342" s="2745"/>
      <c r="N342" s="2746">
        <v>0.3</v>
      </c>
      <c r="O342" s="2747"/>
      <c r="P342" s="2748"/>
      <c r="Q342" s="2749"/>
      <c r="R342" s="2229"/>
      <c r="S342" s="2230"/>
      <c r="T342" s="1931"/>
      <c r="U342" s="2231"/>
      <c r="V342" s="2231"/>
      <c r="W342" s="2230"/>
      <c r="X342" s="1769"/>
      <c r="Y342" s="1020"/>
      <c r="Z342" s="2232"/>
      <c r="AE342" s="2461"/>
      <c r="AF342" s="68"/>
    </row>
    <row r="343" spans="1:32" x14ac:dyDescent="0.35">
      <c r="A343" s="1880"/>
      <c r="B343" s="2220"/>
      <c r="C343" s="2220"/>
      <c r="D343" s="2470"/>
      <c r="E343" s="1394" t="s">
        <v>11176</v>
      </c>
      <c r="F343" s="2349" t="s">
        <v>827</v>
      </c>
      <c r="G343" s="2349">
        <v>5</v>
      </c>
      <c r="H343" s="179">
        <v>6</v>
      </c>
      <c r="I343" s="2189"/>
      <c r="J343" s="2189"/>
      <c r="K343" s="2744"/>
      <c r="L343" s="2744"/>
      <c r="M343" s="2745"/>
      <c r="N343" s="2746"/>
      <c r="O343" s="2747"/>
      <c r="P343" s="2748"/>
      <c r="Q343" s="2749">
        <f>3.443-0.3</f>
        <v>3.1430000000000002</v>
      </c>
      <c r="R343" s="2229"/>
      <c r="S343" s="2230"/>
      <c r="T343" s="1931"/>
      <c r="U343" s="2231"/>
      <c r="V343" s="2231"/>
      <c r="W343" s="2230"/>
      <c r="X343" s="1769"/>
      <c r="Y343" s="1020"/>
      <c r="Z343" s="2232"/>
      <c r="AE343" s="2461"/>
      <c r="AF343" s="68"/>
    </row>
    <row r="344" spans="1:32" ht="45" x14ac:dyDescent="0.35">
      <c r="A344" s="525">
        <v>130</v>
      </c>
      <c r="B344" s="46">
        <v>11006</v>
      </c>
      <c r="C344" s="2083" t="s">
        <v>1656</v>
      </c>
      <c r="D344" s="2470" t="s">
        <v>5476</v>
      </c>
      <c r="E344" s="2187" t="s">
        <v>8737</v>
      </c>
      <c r="F344" s="92" t="s">
        <v>664</v>
      </c>
      <c r="G344" s="92">
        <v>5</v>
      </c>
      <c r="H344" s="1620">
        <v>6</v>
      </c>
      <c r="I344" s="702">
        <f>J344+K344+L344</f>
        <v>0.2</v>
      </c>
      <c r="J344" s="702">
        <f>SUM(M344:R344)</f>
        <v>0.2</v>
      </c>
      <c r="K344" s="622"/>
      <c r="L344" s="622"/>
      <c r="M344" s="622"/>
      <c r="N344" s="622"/>
      <c r="O344" s="622"/>
      <c r="P344" s="622"/>
      <c r="Q344" s="622"/>
      <c r="R344" s="1984">
        <v>0.2</v>
      </c>
      <c r="S344" s="106"/>
      <c r="T344" s="1931"/>
      <c r="U344" s="106"/>
      <c r="V344" s="106"/>
      <c r="W344" s="105"/>
      <c r="X344" s="105"/>
      <c r="Y344" s="105"/>
      <c r="Z344" s="323"/>
      <c r="AB344" s="3">
        <v>1</v>
      </c>
      <c r="AE344" s="2461"/>
      <c r="AF344" s="68"/>
    </row>
    <row r="345" spans="1:32" ht="30" x14ac:dyDescent="0.35">
      <c r="A345" s="1880">
        <v>131</v>
      </c>
      <c r="B345" s="1145">
        <v>11007</v>
      </c>
      <c r="C345" s="1145"/>
      <c r="D345" s="752" t="s">
        <v>1803</v>
      </c>
      <c r="E345" s="699" t="s">
        <v>10492</v>
      </c>
      <c r="F345" s="1943"/>
      <c r="G345" s="1953" t="s">
        <v>191</v>
      </c>
      <c r="H345" s="1943" t="s">
        <v>191</v>
      </c>
      <c r="I345" s="702">
        <f>J345+K345+L345</f>
        <v>19.593000000000004</v>
      </c>
      <c r="J345" s="702">
        <f>SUM(M345:R345)</f>
        <v>18.524000000000001</v>
      </c>
      <c r="K345" s="702">
        <f>SUM(K346:K357)</f>
        <v>1.2999999999999999E-2</v>
      </c>
      <c r="L345" s="702">
        <f>SUM(L346:L357)</f>
        <v>1.056</v>
      </c>
      <c r="M345" s="1384">
        <f>SUM(M346:M357)</f>
        <v>4.4870000000000001</v>
      </c>
      <c r="N345" s="702">
        <f>SUM(N346:N357)</f>
        <v>6.9819999999999984</v>
      </c>
      <c r="O345" s="1376"/>
      <c r="P345" s="1369"/>
      <c r="Q345" s="1361">
        <f>SUM(Q346:Q357)</f>
        <v>7.0550000000000015</v>
      </c>
      <c r="R345" s="1351"/>
      <c r="S345" s="700"/>
      <c r="T345" s="1931"/>
      <c r="U345" s="705"/>
      <c r="V345" s="705"/>
      <c r="W345" s="700">
        <v>34</v>
      </c>
      <c r="X345" s="333">
        <v>489.9</v>
      </c>
      <c r="Y345" s="716">
        <v>9</v>
      </c>
      <c r="Z345" s="1706">
        <v>93</v>
      </c>
      <c r="AB345" s="3">
        <v>1</v>
      </c>
      <c r="AE345" s="2461"/>
      <c r="AF345" s="68"/>
    </row>
    <row r="346" spans="1:32" ht="46.5" x14ac:dyDescent="0.35">
      <c r="A346" s="1886"/>
      <c r="B346" s="1145">
        <v>11007</v>
      </c>
      <c r="C346" s="1145"/>
      <c r="D346" s="753"/>
      <c r="E346" s="711" t="s">
        <v>7330</v>
      </c>
      <c r="F346" s="1943">
        <v>4</v>
      </c>
      <c r="G346" s="179">
        <v>3</v>
      </c>
      <c r="H346" s="1943" t="s">
        <v>191</v>
      </c>
      <c r="I346" s="708"/>
      <c r="J346" s="708"/>
      <c r="K346" s="709">
        <v>1.2999999999999999E-2</v>
      </c>
      <c r="L346" s="709"/>
      <c r="M346" s="1385"/>
      <c r="N346" s="708"/>
      <c r="O346" s="1377"/>
      <c r="P346" s="1370"/>
      <c r="Q346" s="1362"/>
      <c r="R346" s="1352"/>
      <c r="S346" s="1770"/>
      <c r="T346" s="1931"/>
      <c r="U346" s="728"/>
      <c r="V346" s="728"/>
      <c r="W346" s="1770"/>
      <c r="X346" s="332"/>
      <c r="Y346" s="725"/>
      <c r="Z346" s="2664"/>
      <c r="AE346" s="2461"/>
      <c r="AF346" s="68"/>
    </row>
    <row r="347" spans="1:32" x14ac:dyDescent="0.35">
      <c r="A347" s="1875"/>
      <c r="B347" s="1145">
        <v>11007</v>
      </c>
      <c r="C347" s="1145"/>
      <c r="D347" s="753"/>
      <c r="E347" s="1398" t="s">
        <v>6788</v>
      </c>
      <c r="F347" s="1943">
        <v>4</v>
      </c>
      <c r="G347" s="179">
        <v>3</v>
      </c>
      <c r="H347" s="1943">
        <v>10</v>
      </c>
      <c r="I347" s="708"/>
      <c r="J347" s="708"/>
      <c r="K347" s="709"/>
      <c r="L347" s="709"/>
      <c r="M347" s="1385">
        <f>1.4-0.013</f>
        <v>1.387</v>
      </c>
      <c r="N347" s="708"/>
      <c r="O347" s="1377"/>
      <c r="P347" s="1370"/>
      <c r="Q347" s="1362"/>
      <c r="R347" s="1352"/>
      <c r="S347" s="1770"/>
      <c r="T347" s="1931"/>
      <c r="U347" s="728"/>
      <c r="V347" s="728"/>
      <c r="W347" s="1770"/>
      <c r="X347" s="2667"/>
      <c r="Y347" s="1770"/>
      <c r="Z347" s="2668"/>
      <c r="AE347" s="2461"/>
      <c r="AF347" s="68"/>
    </row>
    <row r="348" spans="1:32" x14ac:dyDescent="0.35">
      <c r="A348" s="1878"/>
      <c r="B348" s="1145">
        <v>11007</v>
      </c>
      <c r="C348" s="1145"/>
      <c r="D348" s="753"/>
      <c r="E348" s="1398" t="s">
        <v>6789</v>
      </c>
      <c r="F348" s="1943">
        <v>4</v>
      </c>
      <c r="G348" s="179">
        <v>4</v>
      </c>
      <c r="H348" s="1943">
        <v>10</v>
      </c>
      <c r="I348" s="708"/>
      <c r="J348" s="708"/>
      <c r="K348" s="709"/>
      <c r="L348" s="709"/>
      <c r="M348" s="1385">
        <f>4.5-1.4</f>
        <v>3.1</v>
      </c>
      <c r="N348" s="708"/>
      <c r="O348" s="1377"/>
      <c r="P348" s="1370"/>
      <c r="Q348" s="1362"/>
      <c r="R348" s="1352"/>
      <c r="S348" s="1770"/>
      <c r="T348" s="1931"/>
      <c r="U348" s="728"/>
      <c r="V348" s="728"/>
      <c r="W348" s="1770"/>
      <c r="X348" s="2667"/>
      <c r="Y348" s="1770"/>
      <c r="Z348" s="2668"/>
      <c r="AE348" s="2461"/>
      <c r="AF348" s="68"/>
    </row>
    <row r="349" spans="1:32" x14ac:dyDescent="0.35">
      <c r="A349" s="1875"/>
      <c r="B349" s="1145">
        <v>11007</v>
      </c>
      <c r="C349" s="1145"/>
      <c r="D349" s="753"/>
      <c r="E349" s="707" t="s">
        <v>6790</v>
      </c>
      <c r="F349" s="1943">
        <v>4</v>
      </c>
      <c r="G349" s="179">
        <v>4</v>
      </c>
      <c r="H349" s="1943">
        <v>6</v>
      </c>
      <c r="I349" s="708"/>
      <c r="J349" s="708"/>
      <c r="K349" s="709"/>
      <c r="L349" s="709"/>
      <c r="M349" s="1385"/>
      <c r="N349" s="708">
        <f>4.751-4.5</f>
        <v>0.25100000000000033</v>
      </c>
      <c r="O349" s="1377"/>
      <c r="P349" s="1370"/>
      <c r="Q349" s="1362"/>
      <c r="R349" s="1352"/>
      <c r="S349" s="1770"/>
      <c r="T349" s="1931"/>
      <c r="U349" s="728"/>
      <c r="V349" s="728"/>
      <c r="W349" s="1770"/>
      <c r="X349" s="2667"/>
      <c r="Y349" s="1770"/>
      <c r="Z349" s="2668"/>
      <c r="AE349" s="2461"/>
      <c r="AF349" s="68"/>
    </row>
    <row r="350" spans="1:32" ht="31" x14ac:dyDescent="0.35">
      <c r="A350" s="1875"/>
      <c r="B350" s="1145">
        <v>11007</v>
      </c>
      <c r="C350" s="1145"/>
      <c r="D350" s="754"/>
      <c r="E350" s="711" t="s">
        <v>6791</v>
      </c>
      <c r="F350" s="1953">
        <v>4</v>
      </c>
      <c r="G350" s="1620">
        <v>4</v>
      </c>
      <c r="H350" s="1620" t="s">
        <v>191</v>
      </c>
      <c r="I350" s="712"/>
      <c r="J350" s="709"/>
      <c r="K350" s="709"/>
      <c r="L350" s="712">
        <f>5.266-4.751</f>
        <v>0.51499999999999968</v>
      </c>
      <c r="M350" s="1388"/>
      <c r="N350" s="709"/>
      <c r="O350" s="1378"/>
      <c r="P350" s="1371"/>
      <c r="Q350" s="1363"/>
      <c r="R350" s="1353"/>
      <c r="S350" s="722"/>
      <c r="T350" s="1931"/>
      <c r="U350" s="723"/>
      <c r="V350" s="723"/>
      <c r="W350" s="722"/>
      <c r="X350" s="2665"/>
      <c r="Y350" s="722"/>
      <c r="Z350" s="2666"/>
      <c r="AE350" s="2461"/>
      <c r="AF350" s="68"/>
    </row>
    <row r="351" spans="1:32" x14ac:dyDescent="0.35">
      <c r="A351" s="1878"/>
      <c r="B351" s="1145">
        <v>11007</v>
      </c>
      <c r="C351" s="1145"/>
      <c r="D351" s="753"/>
      <c r="E351" s="707" t="s">
        <v>6792</v>
      </c>
      <c r="F351" s="1943">
        <v>4</v>
      </c>
      <c r="G351" s="179">
        <v>4</v>
      </c>
      <c r="H351" s="179">
        <v>6</v>
      </c>
      <c r="I351" s="708"/>
      <c r="J351" s="708"/>
      <c r="K351" s="709"/>
      <c r="L351" s="709"/>
      <c r="M351" s="1385"/>
      <c r="N351" s="708">
        <f>10.106-5.266</f>
        <v>4.84</v>
      </c>
      <c r="O351" s="1377"/>
      <c r="P351" s="1370"/>
      <c r="Q351" s="1362"/>
      <c r="R351" s="1352"/>
      <c r="S351" s="1770"/>
      <c r="T351" s="1931"/>
      <c r="U351" s="728"/>
      <c r="V351" s="728"/>
      <c r="W351" s="1770"/>
      <c r="X351" s="2667"/>
      <c r="Y351" s="1770"/>
      <c r="Z351" s="2668"/>
      <c r="AE351" s="2461"/>
      <c r="AF351" s="68"/>
    </row>
    <row r="352" spans="1:32" x14ac:dyDescent="0.35">
      <c r="A352" s="1875"/>
      <c r="B352" s="1145">
        <v>11007</v>
      </c>
      <c r="C352" s="1145"/>
      <c r="D352" s="753"/>
      <c r="E352" s="1396" t="s">
        <v>6793</v>
      </c>
      <c r="F352" s="1943">
        <v>4</v>
      </c>
      <c r="G352" s="179">
        <v>5</v>
      </c>
      <c r="H352" s="1834">
        <v>6</v>
      </c>
      <c r="I352" s="708"/>
      <c r="J352" s="708"/>
      <c r="K352" s="709"/>
      <c r="L352" s="709"/>
      <c r="M352" s="1385"/>
      <c r="N352" s="708"/>
      <c r="O352" s="1377"/>
      <c r="P352" s="1370"/>
      <c r="Q352" s="1362">
        <f>16.407-10.106</f>
        <v>6.3010000000000002</v>
      </c>
      <c r="R352" s="1352"/>
      <c r="S352" s="1770"/>
      <c r="T352" s="1931"/>
      <c r="U352" s="728"/>
      <c r="V352" s="728"/>
      <c r="W352" s="1770"/>
      <c r="X352" s="2667"/>
      <c r="Y352" s="1770"/>
      <c r="Z352" s="2668"/>
      <c r="AE352" s="2461"/>
      <c r="AF352" s="68"/>
    </row>
    <row r="353" spans="1:32" ht="31" x14ac:dyDescent="0.35">
      <c r="A353" s="1878"/>
      <c r="B353" s="1145">
        <v>11007</v>
      </c>
      <c r="C353" s="1145"/>
      <c r="D353" s="754"/>
      <c r="E353" s="711" t="s">
        <v>6794</v>
      </c>
      <c r="F353" s="1953">
        <v>4</v>
      </c>
      <c r="G353" s="1620">
        <v>5</v>
      </c>
      <c r="H353" s="1620" t="s">
        <v>191</v>
      </c>
      <c r="I353" s="712"/>
      <c r="J353" s="709"/>
      <c r="K353" s="709"/>
      <c r="L353" s="712">
        <f>16.948-16.407</f>
        <v>0.54100000000000037</v>
      </c>
      <c r="M353" s="1388"/>
      <c r="N353" s="709"/>
      <c r="O353" s="1378"/>
      <c r="P353" s="1371"/>
      <c r="Q353" s="1363"/>
      <c r="R353" s="1353"/>
      <c r="S353" s="722"/>
      <c r="T353" s="1931"/>
      <c r="U353" s="723"/>
      <c r="V353" s="723"/>
      <c r="W353" s="722"/>
      <c r="X353" s="2665"/>
      <c r="Y353" s="722"/>
      <c r="Z353" s="2666"/>
      <c r="AE353" s="2461"/>
      <c r="AF353" s="68"/>
    </row>
    <row r="354" spans="1:32" x14ac:dyDescent="0.35">
      <c r="A354" s="1878"/>
      <c r="B354" s="1145"/>
      <c r="C354" s="1145"/>
      <c r="D354" s="753"/>
      <c r="E354" s="707" t="s">
        <v>6795</v>
      </c>
      <c r="F354" s="1943">
        <v>4</v>
      </c>
      <c r="G354" s="1620">
        <v>5</v>
      </c>
      <c r="H354" s="179">
        <v>10</v>
      </c>
      <c r="I354" s="708"/>
      <c r="J354" s="708"/>
      <c r="K354" s="709"/>
      <c r="L354" s="709"/>
      <c r="M354" s="1385"/>
      <c r="N354" s="708">
        <f>18.737-16.948</f>
        <v>1.7889999999999979</v>
      </c>
      <c r="O354" s="1377"/>
      <c r="P354" s="1370"/>
      <c r="Q354" s="1362"/>
      <c r="R354" s="1352"/>
      <c r="S354" s="1770"/>
      <c r="T354" s="1931"/>
      <c r="U354" s="728"/>
      <c r="V354" s="728"/>
      <c r="W354" s="1770"/>
      <c r="X354" s="2667"/>
      <c r="Y354" s="1770"/>
      <c r="Z354" s="2668"/>
      <c r="AE354" s="2461"/>
      <c r="AF354" s="68"/>
    </row>
    <row r="355" spans="1:32" x14ac:dyDescent="0.35">
      <c r="A355" s="1878"/>
      <c r="B355" s="1145"/>
      <c r="C355" s="1145"/>
      <c r="D355" s="753"/>
      <c r="E355" s="707" t="s">
        <v>6796</v>
      </c>
      <c r="F355" s="1943" t="s">
        <v>827</v>
      </c>
      <c r="G355" s="1620">
        <v>5</v>
      </c>
      <c r="H355" s="179">
        <v>10</v>
      </c>
      <c r="I355" s="708"/>
      <c r="J355" s="708"/>
      <c r="K355" s="709"/>
      <c r="L355" s="709"/>
      <c r="M355" s="1385"/>
      <c r="N355" s="708">
        <f>18.839-18.737</f>
        <v>0.10200000000000031</v>
      </c>
      <c r="O355" s="1377"/>
      <c r="P355" s="1370"/>
      <c r="Q355" s="1362"/>
      <c r="R355" s="1352"/>
      <c r="S355" s="1770"/>
      <c r="T355" s="1931"/>
      <c r="U355" s="728"/>
      <c r="V355" s="728"/>
      <c r="W355" s="1770"/>
      <c r="X355" s="2667"/>
      <c r="Y355" s="1770"/>
      <c r="Z355" s="2668"/>
      <c r="AE355" s="2461"/>
      <c r="AF355" s="68"/>
    </row>
    <row r="356" spans="1:32" x14ac:dyDescent="0.35">
      <c r="A356" s="1878"/>
      <c r="B356" s="1145"/>
      <c r="C356" s="1145"/>
      <c r="D356" s="753"/>
      <c r="E356" s="1396" t="s">
        <v>6797</v>
      </c>
      <c r="F356" s="1943" t="s">
        <v>827</v>
      </c>
      <c r="G356" s="1620">
        <v>5</v>
      </c>
      <c r="H356" s="179">
        <v>6</v>
      </c>
      <c r="I356" s="708"/>
      <c r="J356" s="708"/>
      <c r="K356" s="709"/>
      <c r="L356" s="709"/>
      <c r="M356" s="1385"/>
      <c r="N356" s="708"/>
      <c r="O356" s="1377"/>
      <c r="P356" s="1370"/>
      <c r="Q356" s="1362">
        <f>18.892-18.839</f>
        <v>5.3000000000000824E-2</v>
      </c>
      <c r="R356" s="1352"/>
      <c r="S356" s="1770"/>
      <c r="T356" s="1931"/>
      <c r="U356" s="728"/>
      <c r="V356" s="728"/>
      <c r="W356" s="1770"/>
      <c r="X356" s="2667"/>
      <c r="Y356" s="1770"/>
      <c r="Z356" s="2668"/>
      <c r="AE356" s="2461"/>
      <c r="AF356" s="68"/>
    </row>
    <row r="357" spans="1:32" x14ac:dyDescent="0.35">
      <c r="A357" s="1878"/>
      <c r="B357" s="1145"/>
      <c r="C357" s="1145"/>
      <c r="D357" s="754"/>
      <c r="E357" s="1396" t="s">
        <v>6798</v>
      </c>
      <c r="F357" s="1953" t="s">
        <v>1490</v>
      </c>
      <c r="G357" s="1620">
        <v>5</v>
      </c>
      <c r="H357" s="1620">
        <v>6</v>
      </c>
      <c r="I357" s="712"/>
      <c r="J357" s="712"/>
      <c r="K357" s="709"/>
      <c r="L357" s="709"/>
      <c r="M357" s="1388"/>
      <c r="N357" s="709"/>
      <c r="O357" s="1378"/>
      <c r="P357" s="1371"/>
      <c r="Q357" s="1363">
        <f>19.593-18.892</f>
        <v>0.70100000000000051</v>
      </c>
      <c r="R357" s="1356"/>
      <c r="S357" s="722"/>
      <c r="T357" s="1931"/>
      <c r="U357" s="723"/>
      <c r="V357" s="723"/>
      <c r="W357" s="722"/>
      <c r="X357" s="2665"/>
      <c r="Y357" s="722"/>
      <c r="Z357" s="2666"/>
      <c r="AE357" s="2461"/>
      <c r="AF357" s="68"/>
    </row>
    <row r="358" spans="1:32" ht="45" x14ac:dyDescent="0.35">
      <c r="A358" s="1880">
        <v>132</v>
      </c>
      <c r="B358" s="1146">
        <v>11007</v>
      </c>
      <c r="C358" s="1146"/>
      <c r="D358" s="2470" t="s">
        <v>5477</v>
      </c>
      <c r="E358" s="715" t="s">
        <v>7841</v>
      </c>
      <c r="F358" s="1834"/>
      <c r="G358" s="1834" t="s">
        <v>191</v>
      </c>
      <c r="H358" s="1620" t="s">
        <v>191</v>
      </c>
      <c r="I358" s="702">
        <f>J358+K358+L358</f>
        <v>2.5409999999999999</v>
      </c>
      <c r="J358" s="702">
        <f>SUM(M358:R358)</f>
        <v>2.5409999999999999</v>
      </c>
      <c r="K358" s="703"/>
      <c r="L358" s="703"/>
      <c r="M358" s="1387"/>
      <c r="N358" s="703"/>
      <c r="O358" s="1379"/>
      <c r="P358" s="1372"/>
      <c r="Q358" s="1364">
        <f>SUM(Q359:Q361)</f>
        <v>2.2999999999999998</v>
      </c>
      <c r="R358" s="1355">
        <f>SUM(R359:R361)</f>
        <v>0.2410000000000001</v>
      </c>
      <c r="S358" s="701"/>
      <c r="T358" s="1931"/>
      <c r="U358" s="705"/>
      <c r="V358" s="705"/>
      <c r="W358" s="716">
        <v>7</v>
      </c>
      <c r="X358" s="333">
        <v>72.900000000000006</v>
      </c>
      <c r="Y358" s="716"/>
      <c r="Z358" s="1706"/>
      <c r="AB358" s="3">
        <v>1</v>
      </c>
      <c r="AE358" s="2461"/>
      <c r="AF358" s="68"/>
    </row>
    <row r="359" spans="1:32" x14ac:dyDescent="0.35">
      <c r="A359" s="1880"/>
      <c r="B359" s="1146">
        <v>11007</v>
      </c>
      <c r="C359" s="1146"/>
      <c r="D359" s="755"/>
      <c r="E359" s="1396" t="s">
        <v>3654</v>
      </c>
      <c r="F359" s="1834" t="s">
        <v>827</v>
      </c>
      <c r="G359" s="1834">
        <v>5</v>
      </c>
      <c r="H359" s="1834">
        <v>6</v>
      </c>
      <c r="I359" s="1918"/>
      <c r="J359" s="1918"/>
      <c r="K359" s="1919"/>
      <c r="L359" s="1919"/>
      <c r="M359" s="1920"/>
      <c r="N359" s="1919"/>
      <c r="O359" s="1949"/>
      <c r="P359" s="1950"/>
      <c r="Q359" s="1951">
        <v>2.242</v>
      </c>
      <c r="R359" s="1968"/>
      <c r="S359" s="701"/>
      <c r="T359" s="1931"/>
      <c r="U359" s="705"/>
      <c r="V359" s="705"/>
      <c r="W359" s="716"/>
      <c r="X359" s="333"/>
      <c r="Y359" s="716"/>
      <c r="Z359" s="1706"/>
      <c r="AE359" s="2461"/>
      <c r="AF359" s="68"/>
    </row>
    <row r="360" spans="1:32" x14ac:dyDescent="0.35">
      <c r="A360" s="1880"/>
      <c r="B360" s="1146">
        <v>11007</v>
      </c>
      <c r="C360" s="1146"/>
      <c r="D360" s="755"/>
      <c r="E360" s="1396" t="s">
        <v>3655</v>
      </c>
      <c r="F360" s="1953" t="s">
        <v>664</v>
      </c>
      <c r="G360" s="1834">
        <v>5</v>
      </c>
      <c r="H360" s="1834">
        <v>6</v>
      </c>
      <c r="I360" s="1918"/>
      <c r="J360" s="1918"/>
      <c r="K360" s="1919"/>
      <c r="L360" s="1919"/>
      <c r="M360" s="1920"/>
      <c r="N360" s="1919"/>
      <c r="O360" s="1949"/>
      <c r="P360" s="1950"/>
      <c r="Q360" s="1951">
        <f>2.3-2.242</f>
        <v>5.7999999999999829E-2</v>
      </c>
      <c r="R360" s="2449"/>
      <c r="S360" s="701"/>
      <c r="T360" s="1931"/>
      <c r="U360" s="705"/>
      <c r="V360" s="705"/>
      <c r="W360" s="716"/>
      <c r="X360" s="333"/>
      <c r="Y360" s="716"/>
      <c r="Z360" s="1706"/>
      <c r="AE360" s="2461"/>
      <c r="AF360" s="68"/>
    </row>
    <row r="361" spans="1:32" x14ac:dyDescent="0.35">
      <c r="A361" s="1880"/>
      <c r="B361" s="1146">
        <v>11007</v>
      </c>
      <c r="C361" s="1146"/>
      <c r="D361" s="755"/>
      <c r="E361" s="1390" t="s">
        <v>3656</v>
      </c>
      <c r="F361" s="1953" t="s">
        <v>664</v>
      </c>
      <c r="G361" s="1834">
        <v>5</v>
      </c>
      <c r="H361" s="1620">
        <v>6</v>
      </c>
      <c r="I361" s="1918"/>
      <c r="J361" s="1918"/>
      <c r="K361" s="1919"/>
      <c r="L361" s="1919"/>
      <c r="M361" s="1920"/>
      <c r="N361" s="1919"/>
      <c r="O361" s="1949"/>
      <c r="P361" s="1950"/>
      <c r="Q361" s="1951"/>
      <c r="R361" s="1968">
        <f>2.541-2.3</f>
        <v>0.2410000000000001</v>
      </c>
      <c r="S361" s="701"/>
      <c r="T361" s="1931"/>
      <c r="U361" s="705"/>
      <c r="V361" s="705"/>
      <c r="W361" s="716"/>
      <c r="X361" s="333"/>
      <c r="Y361" s="716"/>
      <c r="Z361" s="1706"/>
      <c r="AE361" s="2461"/>
      <c r="AF361" s="68"/>
    </row>
    <row r="362" spans="1:32" ht="75" x14ac:dyDescent="0.35">
      <c r="A362" s="1886">
        <v>133</v>
      </c>
      <c r="B362" s="1146">
        <v>11007</v>
      </c>
      <c r="C362" s="1979" t="s">
        <v>1655</v>
      </c>
      <c r="D362" s="2470" t="s">
        <v>5478</v>
      </c>
      <c r="E362" s="739" t="s">
        <v>7842</v>
      </c>
      <c r="F362" s="1953" t="s">
        <v>664</v>
      </c>
      <c r="G362" s="1953">
        <v>5</v>
      </c>
      <c r="H362" s="1620">
        <v>6</v>
      </c>
      <c r="I362" s="702">
        <f>J362+K362+L362</f>
        <v>1.5</v>
      </c>
      <c r="J362" s="702">
        <f>SUM(M362:R362)</f>
        <v>1.5</v>
      </c>
      <c r="K362" s="703"/>
      <c r="L362" s="703"/>
      <c r="M362" s="1387"/>
      <c r="N362" s="703"/>
      <c r="O362" s="1379"/>
      <c r="P362" s="1372"/>
      <c r="Q362" s="1364"/>
      <c r="R362" s="1357">
        <v>1.5</v>
      </c>
      <c r="S362" s="1890"/>
      <c r="T362" s="1931"/>
      <c r="U362" s="1892"/>
      <c r="V362" s="1892"/>
      <c r="W362" s="1890"/>
      <c r="X362" s="1891"/>
      <c r="Y362" s="1890"/>
      <c r="Z362" s="1897"/>
      <c r="AB362" s="3">
        <v>1</v>
      </c>
      <c r="AE362" s="2461"/>
      <c r="AF362" s="68"/>
    </row>
    <row r="363" spans="1:32" ht="105" x14ac:dyDescent="0.35">
      <c r="A363" s="1880">
        <v>134</v>
      </c>
      <c r="B363" s="1146">
        <v>11007</v>
      </c>
      <c r="C363" s="1979" t="s">
        <v>1655</v>
      </c>
      <c r="D363" s="2470" t="s">
        <v>5479</v>
      </c>
      <c r="E363" s="739" t="s">
        <v>7843</v>
      </c>
      <c r="F363" s="1953" t="s">
        <v>664</v>
      </c>
      <c r="G363" s="1953">
        <v>5</v>
      </c>
      <c r="H363" s="1620">
        <v>6</v>
      </c>
      <c r="I363" s="702">
        <f>J363+K363+L363</f>
        <v>0.6</v>
      </c>
      <c r="J363" s="702">
        <f>SUM(M363:R363)</f>
        <v>0.6</v>
      </c>
      <c r="K363" s="703"/>
      <c r="L363" s="703"/>
      <c r="M363" s="1387"/>
      <c r="N363" s="703"/>
      <c r="O363" s="1379"/>
      <c r="P363" s="1372"/>
      <c r="Q363" s="1364"/>
      <c r="R363" s="1357">
        <v>0.6</v>
      </c>
      <c r="S363" s="1890"/>
      <c r="T363" s="1931"/>
      <c r="U363" s="1892"/>
      <c r="V363" s="1892"/>
      <c r="W363" s="1890"/>
      <c r="X363" s="1891"/>
      <c r="Y363" s="1890"/>
      <c r="Z363" s="1897"/>
      <c r="AB363" s="3">
        <v>1</v>
      </c>
      <c r="AE363" s="2461"/>
      <c r="AF363" s="68"/>
    </row>
    <row r="364" spans="1:32" ht="60" x14ac:dyDescent="0.35">
      <c r="A364" s="1886">
        <v>135</v>
      </c>
      <c r="B364" s="1146">
        <v>11007</v>
      </c>
      <c r="C364" s="1979"/>
      <c r="D364" s="2470" t="s">
        <v>5480</v>
      </c>
      <c r="E364" s="739" t="s">
        <v>7844</v>
      </c>
      <c r="F364" s="1953" t="s">
        <v>1490</v>
      </c>
      <c r="G364" s="1953">
        <v>5</v>
      </c>
      <c r="H364" s="1620">
        <v>6</v>
      </c>
      <c r="I364" s="702">
        <f>J364+K364+L364</f>
        <v>0.45</v>
      </c>
      <c r="J364" s="702">
        <f>SUM(M364:R364)</f>
        <v>0.45</v>
      </c>
      <c r="K364" s="703"/>
      <c r="L364" s="703"/>
      <c r="M364" s="1387"/>
      <c r="N364" s="703"/>
      <c r="O364" s="1379"/>
      <c r="P364" s="1372"/>
      <c r="Q364" s="1364"/>
      <c r="R364" s="1357">
        <v>0.45</v>
      </c>
      <c r="S364" s="1890"/>
      <c r="T364" s="1931"/>
      <c r="U364" s="1892"/>
      <c r="V364" s="1892"/>
      <c r="W364" s="1890"/>
      <c r="X364" s="1891"/>
      <c r="Y364" s="1890"/>
      <c r="Z364" s="1897"/>
      <c r="AB364" s="3">
        <v>1</v>
      </c>
      <c r="AE364" s="2461"/>
      <c r="AF364" s="68"/>
    </row>
    <row r="365" spans="1:32" ht="45" x14ac:dyDescent="0.35">
      <c r="A365" s="1880">
        <v>136</v>
      </c>
      <c r="B365" s="1146">
        <v>11007</v>
      </c>
      <c r="C365" s="1146"/>
      <c r="D365" s="2470" t="s">
        <v>5481</v>
      </c>
      <c r="E365" s="715" t="s">
        <v>7845</v>
      </c>
      <c r="F365" s="1834"/>
      <c r="G365" s="1834" t="s">
        <v>191</v>
      </c>
      <c r="H365" s="1620" t="s">
        <v>191</v>
      </c>
      <c r="I365" s="702">
        <f>J365+K365+L365</f>
        <v>0.51800000000000002</v>
      </c>
      <c r="J365" s="702">
        <f>SUM(M365:R365)</f>
        <v>0.51800000000000002</v>
      </c>
      <c r="K365" s="703"/>
      <c r="L365" s="703"/>
      <c r="M365" s="1387"/>
      <c r="N365" s="703"/>
      <c r="O365" s="1379"/>
      <c r="P365" s="1372"/>
      <c r="Q365" s="1364">
        <f>SUM(Q366:Q367)</f>
        <v>0.51800000000000002</v>
      </c>
      <c r="R365" s="1355"/>
      <c r="S365" s="701"/>
      <c r="T365" s="1931"/>
      <c r="U365" s="705"/>
      <c r="V365" s="705"/>
      <c r="W365" s="716">
        <v>1</v>
      </c>
      <c r="X365" s="333">
        <v>10</v>
      </c>
      <c r="Y365" s="716">
        <v>1</v>
      </c>
      <c r="Z365" s="1706">
        <v>10</v>
      </c>
      <c r="AB365" s="3">
        <v>1</v>
      </c>
      <c r="AE365" s="2461"/>
      <c r="AF365" s="68"/>
    </row>
    <row r="366" spans="1:32" x14ac:dyDescent="0.35">
      <c r="A366" s="1886"/>
      <c r="B366" s="1146">
        <v>11007</v>
      </c>
      <c r="C366" s="1146"/>
      <c r="D366" s="755"/>
      <c r="E366" s="1396" t="s">
        <v>3658</v>
      </c>
      <c r="F366" s="1834">
        <v>5</v>
      </c>
      <c r="G366" s="1834">
        <v>5</v>
      </c>
      <c r="H366" s="1620">
        <v>6</v>
      </c>
      <c r="I366" s="1918"/>
      <c r="J366" s="1918"/>
      <c r="K366" s="1919"/>
      <c r="L366" s="1919"/>
      <c r="M366" s="1920"/>
      <c r="N366" s="1919"/>
      <c r="O366" s="1949"/>
      <c r="P366" s="1950"/>
      <c r="Q366" s="1951">
        <v>0.32800000000000001</v>
      </c>
      <c r="R366" s="1968"/>
      <c r="S366" s="701"/>
      <c r="T366" s="1931"/>
      <c r="U366" s="705"/>
      <c r="V366" s="705"/>
      <c r="W366" s="716"/>
      <c r="X366" s="333"/>
      <c r="Y366" s="716"/>
      <c r="Z366" s="1706"/>
      <c r="AE366" s="2461"/>
      <c r="AF366" s="68"/>
    </row>
    <row r="367" spans="1:32" x14ac:dyDescent="0.35">
      <c r="A367" s="1886"/>
      <c r="B367" s="1146">
        <v>11007</v>
      </c>
      <c r="C367" s="1146"/>
      <c r="D367" s="755"/>
      <c r="E367" s="1396" t="s">
        <v>3657</v>
      </c>
      <c r="F367" s="1834" t="s">
        <v>827</v>
      </c>
      <c r="G367" s="1834">
        <v>5</v>
      </c>
      <c r="H367" s="1620">
        <v>6</v>
      </c>
      <c r="I367" s="1918"/>
      <c r="J367" s="1918"/>
      <c r="K367" s="1919"/>
      <c r="L367" s="1919"/>
      <c r="M367" s="1920"/>
      <c r="N367" s="1919"/>
      <c r="O367" s="1949"/>
      <c r="P367" s="1950"/>
      <c r="Q367" s="1951">
        <f>0.518-0.328</f>
        <v>0.19</v>
      </c>
      <c r="R367" s="1968"/>
      <c r="S367" s="701"/>
      <c r="T367" s="1931"/>
      <c r="U367" s="705"/>
      <c r="V367" s="705"/>
      <c r="W367" s="716"/>
      <c r="X367" s="333"/>
      <c r="Y367" s="716"/>
      <c r="Z367" s="1706"/>
      <c r="AE367" s="2461"/>
      <c r="AF367" s="68"/>
    </row>
    <row r="368" spans="1:32" s="2" customFormat="1" ht="45" x14ac:dyDescent="0.35">
      <c r="A368" s="1880">
        <v>137</v>
      </c>
      <c r="B368" s="1146">
        <v>11007</v>
      </c>
      <c r="C368" s="1146"/>
      <c r="D368" s="2470" t="s">
        <v>5482</v>
      </c>
      <c r="E368" s="715" t="s">
        <v>7846</v>
      </c>
      <c r="F368" s="1834"/>
      <c r="G368" s="1953" t="s">
        <v>191</v>
      </c>
      <c r="H368" s="1943" t="s">
        <v>191</v>
      </c>
      <c r="I368" s="702">
        <f>J368+K368+L368</f>
        <v>3.6</v>
      </c>
      <c r="J368" s="702">
        <f>SUM(M368:R368)</f>
        <v>3.6</v>
      </c>
      <c r="K368" s="703"/>
      <c r="L368" s="703"/>
      <c r="M368" s="1387"/>
      <c r="N368" s="717">
        <f>SUM(N369:N371)</f>
        <v>0.81499999999999995</v>
      </c>
      <c r="O368" s="1379"/>
      <c r="P368" s="1372"/>
      <c r="Q368" s="1364"/>
      <c r="R368" s="1355">
        <f>SUM(R369:R371)</f>
        <v>2.7850000000000001</v>
      </c>
      <c r="S368" s="716">
        <v>2</v>
      </c>
      <c r="T368" s="1931">
        <f>30.6+18.5</f>
        <v>49.1</v>
      </c>
      <c r="U368" s="705"/>
      <c r="V368" s="705"/>
      <c r="W368" s="716">
        <v>6</v>
      </c>
      <c r="X368" s="333">
        <v>59.7</v>
      </c>
      <c r="Y368" s="716">
        <v>2</v>
      </c>
      <c r="Z368" s="1706">
        <v>20.2</v>
      </c>
      <c r="AA368" s="3"/>
      <c r="AB368" s="3">
        <v>1</v>
      </c>
      <c r="AE368" s="2461"/>
      <c r="AF368" s="68"/>
    </row>
    <row r="369" spans="1:32" ht="18" x14ac:dyDescent="0.4">
      <c r="A369" s="1886"/>
      <c r="B369" s="1146">
        <v>11007</v>
      </c>
      <c r="C369" s="1146"/>
      <c r="D369" s="754"/>
      <c r="E369" s="711" t="s">
        <v>1242</v>
      </c>
      <c r="F369" s="1834">
        <v>5</v>
      </c>
      <c r="G369" s="179">
        <v>4</v>
      </c>
      <c r="H369" s="179">
        <v>6</v>
      </c>
      <c r="I369" s="708"/>
      <c r="J369" s="708"/>
      <c r="K369" s="709"/>
      <c r="L369" s="709"/>
      <c r="M369" s="1388"/>
      <c r="N369" s="712">
        <v>0.81499999999999995</v>
      </c>
      <c r="O369" s="1378"/>
      <c r="P369" s="1371"/>
      <c r="Q369" s="1363"/>
      <c r="R369" s="1353"/>
      <c r="S369" s="1879"/>
      <c r="T369" s="1931"/>
      <c r="U369" s="1877"/>
      <c r="V369" s="1877"/>
      <c r="W369" s="1879"/>
      <c r="X369" s="1911"/>
      <c r="Y369" s="1912"/>
      <c r="Z369" s="1913"/>
      <c r="AE369" s="2461"/>
      <c r="AF369" s="68"/>
    </row>
    <row r="370" spans="1:32" ht="18" x14ac:dyDescent="0.4">
      <c r="A370" s="1886"/>
      <c r="B370" s="1146">
        <v>11007</v>
      </c>
      <c r="C370" s="1146"/>
      <c r="D370" s="754"/>
      <c r="E370" s="1390" t="s">
        <v>2572</v>
      </c>
      <c r="F370" s="1834" t="s">
        <v>664</v>
      </c>
      <c r="G370" s="179">
        <v>5</v>
      </c>
      <c r="H370" s="1620">
        <v>6</v>
      </c>
      <c r="I370" s="708"/>
      <c r="J370" s="708"/>
      <c r="K370" s="709"/>
      <c r="L370" s="709"/>
      <c r="M370" s="1388"/>
      <c r="N370" s="712"/>
      <c r="O370" s="1378"/>
      <c r="P370" s="1371"/>
      <c r="Q370" s="1363"/>
      <c r="R370" s="1353">
        <f>2.33-0.815</f>
        <v>1.5150000000000001</v>
      </c>
      <c r="S370" s="1879"/>
      <c r="T370" s="1931"/>
      <c r="U370" s="1877"/>
      <c r="V370" s="1877"/>
      <c r="W370" s="1879"/>
      <c r="X370" s="1911"/>
      <c r="Y370" s="1912"/>
      <c r="Z370" s="1913"/>
      <c r="AE370" s="2461"/>
      <c r="AF370" s="68"/>
    </row>
    <row r="371" spans="1:32" ht="18" x14ac:dyDescent="0.4">
      <c r="A371" s="1886"/>
      <c r="B371" s="1146">
        <v>11007</v>
      </c>
      <c r="C371" s="1146"/>
      <c r="D371" s="754"/>
      <c r="E371" s="1390" t="s">
        <v>3136</v>
      </c>
      <c r="F371" s="1834" t="s">
        <v>827</v>
      </c>
      <c r="G371" s="179">
        <v>5</v>
      </c>
      <c r="H371" s="1620">
        <v>6</v>
      </c>
      <c r="I371" s="708"/>
      <c r="J371" s="708"/>
      <c r="K371" s="709"/>
      <c r="L371" s="709"/>
      <c r="M371" s="1388"/>
      <c r="N371" s="709"/>
      <c r="O371" s="1378"/>
      <c r="P371" s="1371"/>
      <c r="Q371" s="1363"/>
      <c r="R371" s="1356">
        <f>3.6-2.33</f>
        <v>1.27</v>
      </c>
      <c r="S371" s="1879"/>
      <c r="T371" s="1931"/>
      <c r="U371" s="1877"/>
      <c r="V371" s="1877"/>
      <c r="W371" s="1879"/>
      <c r="X371" s="1911"/>
      <c r="Y371" s="1912"/>
      <c r="Z371" s="1913"/>
      <c r="AA371" s="3" t="s">
        <v>564</v>
      </c>
      <c r="AC371" s="3" t="s">
        <v>2570</v>
      </c>
      <c r="AE371" s="2461"/>
      <c r="AF371" s="68"/>
    </row>
    <row r="372" spans="1:32" ht="60" x14ac:dyDescent="0.35">
      <c r="A372" s="1880">
        <v>138</v>
      </c>
      <c r="B372" s="1147">
        <v>11007</v>
      </c>
      <c r="C372" s="2083" t="s">
        <v>1656</v>
      </c>
      <c r="D372" s="2470" t="s">
        <v>5483</v>
      </c>
      <c r="E372" s="739" t="s">
        <v>8738</v>
      </c>
      <c r="F372" s="1953" t="s">
        <v>664</v>
      </c>
      <c r="G372" s="1953">
        <v>5</v>
      </c>
      <c r="H372" s="1620">
        <v>6</v>
      </c>
      <c r="I372" s="702">
        <f t="shared" ref="I372:I382" si="18">J372+K372+L372</f>
        <v>0.3</v>
      </c>
      <c r="J372" s="702">
        <f t="shared" ref="J372:J382" si="19">SUM(M372:R372)</f>
        <v>0.3</v>
      </c>
      <c r="K372" s="703"/>
      <c r="L372" s="703"/>
      <c r="M372" s="1387"/>
      <c r="N372" s="703"/>
      <c r="O372" s="1379"/>
      <c r="P372" s="1372"/>
      <c r="Q372" s="1364"/>
      <c r="R372" s="929">
        <v>0.3</v>
      </c>
      <c r="S372" s="1890"/>
      <c r="T372" s="1931"/>
      <c r="U372" s="1892"/>
      <c r="V372" s="1892"/>
      <c r="W372" s="1890"/>
      <c r="X372" s="1891"/>
      <c r="Y372" s="1890"/>
      <c r="Z372" s="1897"/>
      <c r="AB372" s="3">
        <v>1</v>
      </c>
      <c r="AE372" s="2461"/>
      <c r="AF372" s="68"/>
    </row>
    <row r="373" spans="1:32" ht="60" x14ac:dyDescent="0.35">
      <c r="A373" s="2218">
        <v>139</v>
      </c>
      <c r="B373" s="2083">
        <v>11007</v>
      </c>
      <c r="C373" s="2083"/>
      <c r="D373" s="2470" t="s">
        <v>5484</v>
      </c>
      <c r="E373" s="2113" t="s">
        <v>7847</v>
      </c>
      <c r="F373" s="2210" t="s">
        <v>664</v>
      </c>
      <c r="G373" s="2210">
        <v>5</v>
      </c>
      <c r="H373" s="1620">
        <v>6</v>
      </c>
      <c r="I373" s="580">
        <f t="shared" si="18"/>
        <v>0.3</v>
      </c>
      <c r="J373" s="2216">
        <f t="shared" si="19"/>
        <v>0.3</v>
      </c>
      <c r="K373" s="527"/>
      <c r="L373" s="527"/>
      <c r="M373" s="527"/>
      <c r="N373" s="580"/>
      <c r="O373" s="2215"/>
      <c r="P373" s="527"/>
      <c r="Q373" s="913"/>
      <c r="R373" s="906">
        <v>0.3</v>
      </c>
      <c r="S373" s="92"/>
      <c r="T373" s="1931"/>
      <c r="U373" s="92"/>
      <c r="V373" s="92"/>
      <c r="W373" s="92"/>
      <c r="X373" s="92"/>
      <c r="Y373" s="92"/>
      <c r="Z373" s="70"/>
      <c r="AB373" s="3">
        <v>1</v>
      </c>
      <c r="AE373" s="2461"/>
      <c r="AF373" s="68"/>
    </row>
    <row r="374" spans="1:32" ht="60" x14ac:dyDescent="0.35">
      <c r="A374" s="1880">
        <v>140</v>
      </c>
      <c r="B374" s="1148">
        <v>11007</v>
      </c>
      <c r="C374" s="2083" t="s">
        <v>1656</v>
      </c>
      <c r="D374" s="2470" t="s">
        <v>5485</v>
      </c>
      <c r="E374" s="739" t="s">
        <v>8739</v>
      </c>
      <c r="F374" s="1953" t="s">
        <v>664</v>
      </c>
      <c r="G374" s="1953">
        <v>5</v>
      </c>
      <c r="H374" s="1620">
        <v>6</v>
      </c>
      <c r="I374" s="702">
        <f t="shared" si="18"/>
        <v>0.7</v>
      </c>
      <c r="J374" s="702">
        <f t="shared" si="19"/>
        <v>0.7</v>
      </c>
      <c r="K374" s="703"/>
      <c r="L374" s="703"/>
      <c r="M374" s="1387"/>
      <c r="N374" s="703"/>
      <c r="O374" s="1379"/>
      <c r="P374" s="1372"/>
      <c r="Q374" s="1364"/>
      <c r="R374" s="929">
        <v>0.7</v>
      </c>
      <c r="S374" s="1890"/>
      <c r="T374" s="1931"/>
      <c r="U374" s="1892"/>
      <c r="V374" s="1892"/>
      <c r="W374" s="1890"/>
      <c r="X374" s="1891"/>
      <c r="Y374" s="1890"/>
      <c r="Z374" s="1897"/>
      <c r="AB374" s="3">
        <v>1</v>
      </c>
      <c r="AE374" s="2461"/>
      <c r="AF374" s="68"/>
    </row>
    <row r="375" spans="1:32" ht="45" x14ac:dyDescent="0.35">
      <c r="A375" s="2218">
        <v>141</v>
      </c>
      <c r="B375" s="1146">
        <v>11007</v>
      </c>
      <c r="C375" s="1146"/>
      <c r="D375" s="2470" t="s">
        <v>5486</v>
      </c>
      <c r="E375" s="715" t="s">
        <v>10870</v>
      </c>
      <c r="F375" s="1834">
        <v>4</v>
      </c>
      <c r="G375" s="1834">
        <v>5</v>
      </c>
      <c r="H375" s="179">
        <v>6</v>
      </c>
      <c r="I375" s="702">
        <f t="shared" si="18"/>
        <v>0.93899999999999995</v>
      </c>
      <c r="J375" s="702">
        <f t="shared" si="19"/>
        <v>0.93899999999999995</v>
      </c>
      <c r="K375" s="703"/>
      <c r="L375" s="703"/>
      <c r="M375" s="1387"/>
      <c r="N375" s="717">
        <v>0.93899999999999995</v>
      </c>
      <c r="O375" s="1379"/>
      <c r="P375" s="1372"/>
      <c r="Q375" s="1364"/>
      <c r="R375" s="1354"/>
      <c r="S375" s="1882"/>
      <c r="T375" s="1931"/>
      <c r="U375" s="1874"/>
      <c r="V375" s="1874"/>
      <c r="W375" s="1882">
        <v>1</v>
      </c>
      <c r="X375" s="1883">
        <v>21.1</v>
      </c>
      <c r="Y375" s="1884"/>
      <c r="Z375" s="1885"/>
      <c r="AB375" s="3">
        <v>1</v>
      </c>
      <c r="AE375" s="2461"/>
      <c r="AF375" s="68"/>
    </row>
    <row r="376" spans="1:32" ht="60" x14ac:dyDescent="0.35">
      <c r="A376" s="1880">
        <v>142</v>
      </c>
      <c r="B376" s="1146">
        <v>11007</v>
      </c>
      <c r="C376" s="1146"/>
      <c r="D376" s="2470" t="s">
        <v>5722</v>
      </c>
      <c r="E376" s="715" t="s">
        <v>10871</v>
      </c>
      <c r="F376" s="1834">
        <v>4</v>
      </c>
      <c r="G376" s="1834">
        <v>5</v>
      </c>
      <c r="H376" s="179">
        <v>6</v>
      </c>
      <c r="I376" s="702">
        <f>J376+K376+L376</f>
        <v>0.70499999999999996</v>
      </c>
      <c r="J376" s="702">
        <f>SUM(M376:R376)</f>
        <v>0.70499999999999996</v>
      </c>
      <c r="K376" s="703"/>
      <c r="L376" s="703"/>
      <c r="M376" s="1387"/>
      <c r="N376" s="717">
        <v>0.70499999999999996</v>
      </c>
      <c r="O376" s="1379"/>
      <c r="P376" s="1372"/>
      <c r="Q376" s="1364"/>
      <c r="R376" s="1354"/>
      <c r="S376" s="1882"/>
      <c r="T376" s="1931"/>
      <c r="U376" s="1874"/>
      <c r="V376" s="1874"/>
      <c r="W376" s="1882"/>
      <c r="X376" s="1883"/>
      <c r="Y376" s="1884"/>
      <c r="Z376" s="1885"/>
      <c r="AB376" s="3">
        <v>1</v>
      </c>
      <c r="AE376" s="2461"/>
      <c r="AF376" s="68"/>
    </row>
    <row r="377" spans="1:32" ht="45" x14ac:dyDescent="0.35">
      <c r="A377" s="2218">
        <v>143</v>
      </c>
      <c r="B377" s="1147">
        <v>11007</v>
      </c>
      <c r="C377" s="1147"/>
      <c r="D377" s="2470" t="s">
        <v>5487</v>
      </c>
      <c r="E377" s="715" t="s">
        <v>7848</v>
      </c>
      <c r="F377" s="1834" t="s">
        <v>827</v>
      </c>
      <c r="G377" s="1834">
        <v>5</v>
      </c>
      <c r="H377" s="1834">
        <v>6</v>
      </c>
      <c r="I377" s="702">
        <f t="shared" si="18"/>
        <v>2</v>
      </c>
      <c r="J377" s="702">
        <f t="shared" si="19"/>
        <v>2</v>
      </c>
      <c r="K377" s="703"/>
      <c r="L377" s="703"/>
      <c r="M377" s="1387"/>
      <c r="N377" s="703"/>
      <c r="O377" s="1379"/>
      <c r="P377" s="1372"/>
      <c r="Q377" s="1365">
        <v>2</v>
      </c>
      <c r="R377" s="929"/>
      <c r="S377" s="1890"/>
      <c r="T377" s="1931"/>
      <c r="U377" s="1892"/>
      <c r="V377" s="1892"/>
      <c r="W377" s="1890"/>
      <c r="X377" s="1893"/>
      <c r="Y377" s="1894"/>
      <c r="Z377" s="1895"/>
      <c r="AB377" s="3">
        <v>1</v>
      </c>
      <c r="AE377" s="2461"/>
      <c r="AF377" s="68"/>
    </row>
    <row r="378" spans="1:32" ht="60" x14ac:dyDescent="0.35">
      <c r="A378" s="1880">
        <v>144</v>
      </c>
      <c r="B378" s="1148">
        <v>11007</v>
      </c>
      <c r="C378" s="2083" t="s">
        <v>1656</v>
      </c>
      <c r="D378" s="2470" t="s">
        <v>5488</v>
      </c>
      <c r="E378" s="739" t="s">
        <v>10063</v>
      </c>
      <c r="F378" s="1953" t="s">
        <v>664</v>
      </c>
      <c r="G378" s="1953">
        <v>5</v>
      </c>
      <c r="H378" s="1620">
        <v>6</v>
      </c>
      <c r="I378" s="702">
        <f t="shared" si="18"/>
        <v>0.3</v>
      </c>
      <c r="J378" s="702">
        <f t="shared" si="19"/>
        <v>0.3</v>
      </c>
      <c r="K378" s="703"/>
      <c r="L378" s="703"/>
      <c r="M378" s="1387"/>
      <c r="N378" s="703"/>
      <c r="O378" s="1379"/>
      <c r="P378" s="1372"/>
      <c r="Q378" s="1364"/>
      <c r="R378" s="929">
        <v>0.3</v>
      </c>
      <c r="S378" s="1890"/>
      <c r="T378" s="1931"/>
      <c r="U378" s="1892"/>
      <c r="V378" s="1892"/>
      <c r="W378" s="1890"/>
      <c r="X378" s="1891"/>
      <c r="Y378" s="1890"/>
      <c r="Z378" s="1897"/>
      <c r="AB378" s="3">
        <v>1</v>
      </c>
      <c r="AE378" s="2461"/>
      <c r="AF378" s="68"/>
    </row>
    <row r="379" spans="1:32" ht="45" x14ac:dyDescent="0.35">
      <c r="A379" s="1880">
        <v>145</v>
      </c>
      <c r="B379" s="1147">
        <v>11007</v>
      </c>
      <c r="C379" s="1147"/>
      <c r="D379" s="2470" t="s">
        <v>5489</v>
      </c>
      <c r="E379" s="715" t="s">
        <v>7849</v>
      </c>
      <c r="F379" s="1834" t="s">
        <v>827</v>
      </c>
      <c r="G379" s="1834">
        <v>5</v>
      </c>
      <c r="H379" s="1834">
        <v>6</v>
      </c>
      <c r="I379" s="702">
        <f t="shared" si="18"/>
        <v>1</v>
      </c>
      <c r="J379" s="702">
        <f t="shared" si="19"/>
        <v>1</v>
      </c>
      <c r="K379" s="703"/>
      <c r="L379" s="703"/>
      <c r="M379" s="1387"/>
      <c r="N379" s="703"/>
      <c r="O379" s="1379"/>
      <c r="P379" s="1372"/>
      <c r="Q379" s="1365">
        <v>1</v>
      </c>
      <c r="R379" s="929"/>
      <c r="S379" s="1890"/>
      <c r="T379" s="1931"/>
      <c r="U379" s="1892"/>
      <c r="V379" s="1892"/>
      <c r="W379" s="1890"/>
      <c r="X379" s="1893"/>
      <c r="Y379" s="1894"/>
      <c r="Z379" s="1895"/>
      <c r="AB379" s="3">
        <v>1</v>
      </c>
      <c r="AE379" s="2461"/>
      <c r="AF379" s="68"/>
    </row>
    <row r="380" spans="1:32" ht="45" x14ac:dyDescent="0.35">
      <c r="A380" s="2218">
        <v>146</v>
      </c>
      <c r="B380" s="1148">
        <v>11007</v>
      </c>
      <c r="C380" s="2083" t="s">
        <v>1656</v>
      </c>
      <c r="D380" s="2470" t="s">
        <v>5490</v>
      </c>
      <c r="E380" s="739" t="s">
        <v>8740</v>
      </c>
      <c r="F380" s="1953" t="s">
        <v>664</v>
      </c>
      <c r="G380" s="1953">
        <v>5</v>
      </c>
      <c r="H380" s="1620">
        <v>6</v>
      </c>
      <c r="I380" s="702">
        <f t="shared" si="18"/>
        <v>1</v>
      </c>
      <c r="J380" s="702">
        <f t="shared" si="19"/>
        <v>1</v>
      </c>
      <c r="K380" s="703"/>
      <c r="L380" s="703"/>
      <c r="M380" s="1387"/>
      <c r="N380" s="703"/>
      <c r="O380" s="1379"/>
      <c r="P380" s="1372"/>
      <c r="Q380" s="1364"/>
      <c r="R380" s="929">
        <v>1</v>
      </c>
      <c r="S380" s="1890"/>
      <c r="T380" s="1931"/>
      <c r="U380" s="1892"/>
      <c r="V380" s="1892"/>
      <c r="W380" s="1890"/>
      <c r="X380" s="1891"/>
      <c r="Y380" s="1890"/>
      <c r="Z380" s="1897"/>
      <c r="AB380" s="3">
        <v>1</v>
      </c>
      <c r="AE380" s="2461"/>
      <c r="AF380" s="68"/>
    </row>
    <row r="381" spans="1:32" ht="75" x14ac:dyDescent="0.35">
      <c r="A381" s="1880">
        <v>147</v>
      </c>
      <c r="B381" s="1148">
        <v>11007</v>
      </c>
      <c r="C381" s="2083" t="s">
        <v>1656</v>
      </c>
      <c r="D381" s="2470" t="s">
        <v>5491</v>
      </c>
      <c r="E381" s="739" t="s">
        <v>8741</v>
      </c>
      <c r="F381" s="1953" t="s">
        <v>664</v>
      </c>
      <c r="G381" s="1953">
        <v>5</v>
      </c>
      <c r="H381" s="1620">
        <v>6</v>
      </c>
      <c r="I381" s="702">
        <f t="shared" si="18"/>
        <v>0.2</v>
      </c>
      <c r="J381" s="702">
        <f t="shared" si="19"/>
        <v>0.2</v>
      </c>
      <c r="K381" s="703"/>
      <c r="L381" s="703"/>
      <c r="M381" s="1387"/>
      <c r="N381" s="703"/>
      <c r="O381" s="1379"/>
      <c r="P381" s="1372"/>
      <c r="Q381" s="1364"/>
      <c r="R381" s="929">
        <v>0.2</v>
      </c>
      <c r="S381" s="1890"/>
      <c r="T381" s="1931"/>
      <c r="U381" s="1892"/>
      <c r="V381" s="1892"/>
      <c r="W381" s="1890"/>
      <c r="X381" s="1891"/>
      <c r="Y381" s="1890"/>
      <c r="Z381" s="1897"/>
      <c r="AB381" s="3">
        <v>1</v>
      </c>
      <c r="AE381" s="2461"/>
      <c r="AF381" s="68"/>
    </row>
    <row r="382" spans="1:32" ht="45" x14ac:dyDescent="0.35">
      <c r="A382" s="2218">
        <v>148</v>
      </c>
      <c r="B382" s="1148">
        <v>11007</v>
      </c>
      <c r="C382" s="2083" t="s">
        <v>1656</v>
      </c>
      <c r="D382" s="2470" t="s">
        <v>5492</v>
      </c>
      <c r="E382" s="739" t="s">
        <v>8742</v>
      </c>
      <c r="F382" s="1953"/>
      <c r="G382" s="1953" t="s">
        <v>191</v>
      </c>
      <c r="H382" s="1943" t="s">
        <v>191</v>
      </c>
      <c r="I382" s="702">
        <f t="shared" si="18"/>
        <v>1</v>
      </c>
      <c r="J382" s="702">
        <f t="shared" si="19"/>
        <v>1</v>
      </c>
      <c r="K382" s="703"/>
      <c r="L382" s="703"/>
      <c r="M382" s="1387"/>
      <c r="N382" s="2919">
        <f>SUM(N383:N384)</f>
        <v>1</v>
      </c>
      <c r="O382" s="1379"/>
      <c r="P382" s="1372"/>
      <c r="Q382" s="1364"/>
      <c r="R382" s="929">
        <f>SUM(R383:R384)</f>
        <v>0</v>
      </c>
      <c r="S382" s="1890"/>
      <c r="T382" s="1931"/>
      <c r="U382" s="1892"/>
      <c r="V382" s="1892"/>
      <c r="W382" s="1890"/>
      <c r="X382" s="1891"/>
      <c r="Y382" s="1890"/>
      <c r="Z382" s="1897"/>
      <c r="AB382" s="3">
        <v>1</v>
      </c>
      <c r="AE382" s="2461"/>
      <c r="AF382" s="68"/>
    </row>
    <row r="383" spans="1:32" ht="17.5" x14ac:dyDescent="0.35">
      <c r="A383" s="1880"/>
      <c r="B383" s="1148">
        <v>11007</v>
      </c>
      <c r="C383" s="1148"/>
      <c r="D383" s="759"/>
      <c r="E383" s="2917" t="s">
        <v>880</v>
      </c>
      <c r="F383" s="1953" t="s">
        <v>1490</v>
      </c>
      <c r="G383" s="1953">
        <v>5</v>
      </c>
      <c r="H383" s="2709">
        <v>6</v>
      </c>
      <c r="I383" s="1918"/>
      <c r="J383" s="1918"/>
      <c r="K383" s="1919"/>
      <c r="L383" s="1919"/>
      <c r="M383" s="1920"/>
      <c r="N383" s="2838">
        <v>0.3</v>
      </c>
      <c r="O383" s="1949"/>
      <c r="P383" s="1950"/>
      <c r="Q383" s="1951"/>
      <c r="R383" s="2713">
        <v>0</v>
      </c>
      <c r="S383" s="1890"/>
      <c r="T383" s="1931"/>
      <c r="U383" s="1892"/>
      <c r="V383" s="1892"/>
      <c r="W383" s="1890"/>
      <c r="X383" s="1891"/>
      <c r="Y383" s="1890"/>
      <c r="Z383" s="1897"/>
      <c r="AE383" s="2461"/>
      <c r="AF383" s="68"/>
    </row>
    <row r="384" spans="1:32" ht="17.5" x14ac:dyDescent="0.35">
      <c r="A384" s="1880"/>
      <c r="B384" s="1148">
        <v>11007</v>
      </c>
      <c r="C384" s="1148"/>
      <c r="D384" s="759"/>
      <c r="E384" s="707" t="s">
        <v>1620</v>
      </c>
      <c r="F384" s="1953" t="s">
        <v>827</v>
      </c>
      <c r="G384" s="1953">
        <v>5</v>
      </c>
      <c r="H384" s="179">
        <v>6</v>
      </c>
      <c r="I384" s="1918"/>
      <c r="J384" s="1918"/>
      <c r="K384" s="1919"/>
      <c r="L384" s="1919"/>
      <c r="M384" s="1920"/>
      <c r="N384" s="1919">
        <v>0.7</v>
      </c>
      <c r="O384" s="1949"/>
      <c r="P384" s="1950"/>
      <c r="Q384" s="1951"/>
      <c r="R384" s="2209"/>
      <c r="S384" s="1890"/>
      <c r="T384" s="1931"/>
      <c r="U384" s="1892"/>
      <c r="V384" s="1892"/>
      <c r="W384" s="1890"/>
      <c r="X384" s="1891"/>
      <c r="Y384" s="1890"/>
      <c r="Z384" s="1897"/>
      <c r="AE384" s="2461"/>
      <c r="AF384" s="68"/>
    </row>
    <row r="385" spans="1:32" ht="30" x14ac:dyDescent="0.35">
      <c r="A385" s="1880">
        <v>149</v>
      </c>
      <c r="B385" s="1145">
        <v>11008</v>
      </c>
      <c r="C385" s="1145"/>
      <c r="D385" s="752" t="s">
        <v>796</v>
      </c>
      <c r="E385" s="699" t="s">
        <v>3714</v>
      </c>
      <c r="F385" s="1943"/>
      <c r="G385" s="1953" t="s">
        <v>191</v>
      </c>
      <c r="H385" s="1943" t="s">
        <v>191</v>
      </c>
      <c r="I385" s="702">
        <f>J385+K385+L385</f>
        <v>21.214000000000002</v>
      </c>
      <c r="J385" s="702">
        <f>SUM(M385:R385)</f>
        <v>20.778000000000002</v>
      </c>
      <c r="K385" s="702">
        <f>SUM(K386:K394)</f>
        <v>0.43599999999999994</v>
      </c>
      <c r="L385" s="702"/>
      <c r="M385" s="1384">
        <f>SUM(M386:M394)</f>
        <v>1.9320000000000004</v>
      </c>
      <c r="N385" s="2841">
        <f>SUM(N386:N394)</f>
        <v>16.759</v>
      </c>
      <c r="O385" s="1376"/>
      <c r="P385" s="1369"/>
      <c r="Q385" s="1361">
        <f>SUM(Q386:Q394)</f>
        <v>2.0870000000000002</v>
      </c>
      <c r="R385" s="2841"/>
      <c r="S385" s="1873"/>
      <c r="T385" s="1931"/>
      <c r="U385" s="1874"/>
      <c r="V385" s="1874"/>
      <c r="W385" s="700">
        <v>35</v>
      </c>
      <c r="X385" s="706">
        <v>412.36</v>
      </c>
      <c r="Y385" s="700">
        <v>8</v>
      </c>
      <c r="Z385" s="1705">
        <v>80.5</v>
      </c>
      <c r="AB385" s="3">
        <v>1</v>
      </c>
      <c r="AE385" s="2461"/>
      <c r="AF385" s="68"/>
    </row>
    <row r="386" spans="1:32" ht="18" x14ac:dyDescent="0.4">
      <c r="A386" s="1875"/>
      <c r="B386" s="1145">
        <v>11008</v>
      </c>
      <c r="C386" s="1145"/>
      <c r="D386" s="753"/>
      <c r="E386" s="707" t="s">
        <v>3713</v>
      </c>
      <c r="F386" s="1943">
        <v>4</v>
      </c>
      <c r="G386" s="179">
        <v>4</v>
      </c>
      <c r="H386" s="179">
        <v>6</v>
      </c>
      <c r="I386" s="708"/>
      <c r="J386" s="708"/>
      <c r="K386" s="721"/>
      <c r="L386" s="709"/>
      <c r="M386" s="1385"/>
      <c r="N386" s="708">
        <v>0.90400000000000003</v>
      </c>
      <c r="O386" s="1377"/>
      <c r="P386" s="1370"/>
      <c r="Q386" s="1362"/>
      <c r="R386" s="1352"/>
      <c r="S386" s="1876"/>
      <c r="T386" s="1931"/>
      <c r="U386" s="1877"/>
      <c r="V386" s="1877"/>
      <c r="W386" s="1770"/>
      <c r="X386" s="2667"/>
      <c r="Y386" s="1770"/>
      <c r="Z386" s="2668"/>
      <c r="AE386" s="2461"/>
      <c r="AF386" s="68"/>
    </row>
    <row r="387" spans="1:32" ht="18" x14ac:dyDescent="0.4">
      <c r="A387" s="1875"/>
      <c r="B387" s="1145">
        <v>11008</v>
      </c>
      <c r="C387" s="1145"/>
      <c r="D387" s="753"/>
      <c r="E387" s="1396" t="s">
        <v>3715</v>
      </c>
      <c r="F387" s="1943">
        <v>4</v>
      </c>
      <c r="G387" s="179">
        <v>4</v>
      </c>
      <c r="H387" s="1834">
        <v>6</v>
      </c>
      <c r="I387" s="708"/>
      <c r="J387" s="708"/>
      <c r="K387" s="721"/>
      <c r="L387" s="709"/>
      <c r="M387" s="1385"/>
      <c r="N387" s="708"/>
      <c r="O387" s="1377"/>
      <c r="P387" s="1370"/>
      <c r="Q387" s="1362">
        <f>2.991-0.904</f>
        <v>2.0870000000000002</v>
      </c>
      <c r="R387" s="1352"/>
      <c r="S387" s="1876"/>
      <c r="T387" s="1931"/>
      <c r="U387" s="1877"/>
      <c r="V387" s="1877"/>
      <c r="W387" s="1770"/>
      <c r="X387" s="2667"/>
      <c r="Y387" s="1770"/>
      <c r="Z387" s="2668"/>
      <c r="AA387" s="2"/>
      <c r="AB387" s="2"/>
      <c r="AE387" s="2461"/>
      <c r="AF387" s="68"/>
    </row>
    <row r="388" spans="1:32" ht="18" x14ac:dyDescent="0.4">
      <c r="A388" s="1886"/>
      <c r="B388" s="1145">
        <v>11008</v>
      </c>
      <c r="C388" s="1145"/>
      <c r="D388" s="753"/>
      <c r="E388" s="707" t="s">
        <v>3716</v>
      </c>
      <c r="F388" s="1943">
        <v>4</v>
      </c>
      <c r="G388" s="179">
        <v>3</v>
      </c>
      <c r="H388" s="179">
        <v>6</v>
      </c>
      <c r="I388" s="708"/>
      <c r="J388" s="708"/>
      <c r="K388" s="721"/>
      <c r="L388" s="709"/>
      <c r="M388" s="1385"/>
      <c r="N388" s="708">
        <f>10.777-2.991</f>
        <v>7.7859999999999996</v>
      </c>
      <c r="O388" s="1377"/>
      <c r="P388" s="1370"/>
      <c r="Q388" s="1362"/>
      <c r="R388" s="1352"/>
      <c r="S388" s="1876"/>
      <c r="T388" s="1931"/>
      <c r="U388" s="1877"/>
      <c r="V388" s="1877"/>
      <c r="W388" s="1770"/>
      <c r="X388" s="332"/>
      <c r="Y388" s="725"/>
      <c r="Z388" s="2664"/>
      <c r="AA388" s="3" t="s">
        <v>1948</v>
      </c>
      <c r="AE388" s="2461"/>
      <c r="AF388" s="68"/>
    </row>
    <row r="389" spans="1:32" ht="46.5" x14ac:dyDescent="0.4">
      <c r="A389" s="1878"/>
      <c r="B389" s="1145">
        <v>11008</v>
      </c>
      <c r="C389" s="1145"/>
      <c r="D389" s="754"/>
      <c r="E389" s="711" t="s">
        <v>10493</v>
      </c>
      <c r="F389" s="1953">
        <v>4</v>
      </c>
      <c r="G389" s="1620">
        <v>3</v>
      </c>
      <c r="H389" s="1620" t="s">
        <v>191</v>
      </c>
      <c r="I389" s="712"/>
      <c r="J389" s="709"/>
      <c r="K389" s="727">
        <f>11.213-10.777</f>
        <v>0.43599999999999994</v>
      </c>
      <c r="L389" s="712"/>
      <c r="M389" s="1388"/>
      <c r="N389" s="709"/>
      <c r="O389" s="1378"/>
      <c r="P389" s="1371"/>
      <c r="Q389" s="1363"/>
      <c r="R389" s="1353"/>
      <c r="S389" s="1887"/>
      <c r="T389" s="1931"/>
      <c r="U389" s="1888"/>
      <c r="V389" s="1888"/>
      <c r="W389" s="722"/>
      <c r="X389" s="2665"/>
      <c r="Y389" s="722"/>
      <c r="Z389" s="2666"/>
      <c r="AE389" s="2461"/>
      <c r="AF389" s="68"/>
    </row>
    <row r="390" spans="1:32" ht="18" x14ac:dyDescent="0.4">
      <c r="A390" s="1878"/>
      <c r="B390" s="1145">
        <v>11008</v>
      </c>
      <c r="C390" s="1145"/>
      <c r="D390" s="754"/>
      <c r="E390" s="711" t="s">
        <v>3717</v>
      </c>
      <c r="F390" s="1953">
        <v>4</v>
      </c>
      <c r="G390" s="1620">
        <v>3</v>
      </c>
      <c r="H390" s="179">
        <v>6</v>
      </c>
      <c r="I390" s="712"/>
      <c r="J390" s="709"/>
      <c r="K390" s="709"/>
      <c r="L390" s="712"/>
      <c r="M390" s="1388"/>
      <c r="N390" s="709">
        <f>12.314-11.213</f>
        <v>1.1010000000000009</v>
      </c>
      <c r="O390" s="1378"/>
      <c r="P390" s="1371"/>
      <c r="Q390" s="1363"/>
      <c r="R390" s="1353"/>
      <c r="S390" s="1887"/>
      <c r="T390" s="1931"/>
      <c r="U390" s="1888"/>
      <c r="V390" s="1888"/>
      <c r="W390" s="722"/>
      <c r="X390" s="2665"/>
      <c r="Y390" s="722"/>
      <c r="Z390" s="2666"/>
      <c r="AE390" s="2461"/>
      <c r="AF390" s="68"/>
    </row>
    <row r="391" spans="1:32" s="2" customFormat="1" ht="18" x14ac:dyDescent="0.4">
      <c r="A391" s="1875"/>
      <c r="B391" s="1145">
        <v>11008</v>
      </c>
      <c r="C391" s="1145"/>
      <c r="D391" s="753"/>
      <c r="E391" s="707" t="s">
        <v>11341</v>
      </c>
      <c r="F391" s="1943">
        <v>4</v>
      </c>
      <c r="G391" s="179">
        <v>4</v>
      </c>
      <c r="H391" s="179">
        <v>6</v>
      </c>
      <c r="I391" s="708"/>
      <c r="J391" s="708"/>
      <c r="K391" s="709"/>
      <c r="L391" s="709"/>
      <c r="M391" s="1385"/>
      <c r="N391" s="708">
        <f>14.365-12.314</f>
        <v>2.0510000000000002</v>
      </c>
      <c r="O391" s="1377"/>
      <c r="P391" s="1370"/>
      <c r="Q391" s="1362"/>
      <c r="R391" s="1352"/>
      <c r="S391" s="1876"/>
      <c r="T391" s="1931"/>
      <c r="U391" s="1877"/>
      <c r="V391" s="1877"/>
      <c r="W391" s="1770"/>
      <c r="X391" s="2667"/>
      <c r="Y391" s="1770"/>
      <c r="Z391" s="2668"/>
      <c r="AA391" s="3"/>
      <c r="AB391" s="3"/>
      <c r="AE391" s="2461"/>
      <c r="AF391" s="68"/>
    </row>
    <row r="392" spans="1:32" ht="18" x14ac:dyDescent="0.4">
      <c r="A392" s="1875"/>
      <c r="B392" s="1145">
        <v>11008</v>
      </c>
      <c r="C392" s="1145"/>
      <c r="D392" s="753"/>
      <c r="E392" s="1398" t="s">
        <v>3718</v>
      </c>
      <c r="F392" s="1943">
        <v>4</v>
      </c>
      <c r="G392" s="179">
        <v>4</v>
      </c>
      <c r="H392" s="1943">
        <v>10</v>
      </c>
      <c r="I392" s="708"/>
      <c r="J392" s="708"/>
      <c r="K392" s="709"/>
      <c r="L392" s="709"/>
      <c r="M392" s="1385">
        <f>16.297-14.365</f>
        <v>1.9320000000000004</v>
      </c>
      <c r="N392" s="708"/>
      <c r="O392" s="1377"/>
      <c r="P392" s="1370"/>
      <c r="Q392" s="1362"/>
      <c r="R392" s="1352"/>
      <c r="S392" s="1876"/>
      <c r="T392" s="1931"/>
      <c r="U392" s="1877"/>
      <c r="V392" s="1877"/>
      <c r="W392" s="1770"/>
      <c r="X392" s="2667"/>
      <c r="Y392" s="1770"/>
      <c r="Z392" s="2668"/>
      <c r="AA392" s="3" t="s">
        <v>1949</v>
      </c>
      <c r="AE392" s="2461"/>
      <c r="AF392" s="68"/>
    </row>
    <row r="393" spans="1:32" ht="18" x14ac:dyDescent="0.4">
      <c r="A393" s="1875"/>
      <c r="B393" s="1145">
        <v>11008</v>
      </c>
      <c r="C393" s="1145"/>
      <c r="D393" s="753"/>
      <c r="E393" s="707" t="s">
        <v>3719</v>
      </c>
      <c r="F393" s="1943">
        <v>4</v>
      </c>
      <c r="G393" s="1620">
        <v>4</v>
      </c>
      <c r="H393" s="179">
        <v>6</v>
      </c>
      <c r="I393" s="708"/>
      <c r="J393" s="708"/>
      <c r="K393" s="709"/>
      <c r="L393" s="709"/>
      <c r="M393" s="1385"/>
      <c r="N393" s="708">
        <f>19.643-16.297</f>
        <v>3.3460000000000001</v>
      </c>
      <c r="O393" s="1377"/>
      <c r="P393" s="1370"/>
      <c r="Q393" s="1362"/>
      <c r="R393" s="1352"/>
      <c r="S393" s="1876"/>
      <c r="T393" s="1931"/>
      <c r="U393" s="1877"/>
      <c r="V393" s="1877"/>
      <c r="W393" s="1770"/>
      <c r="X393" s="2667"/>
      <c r="Y393" s="1770"/>
      <c r="Z393" s="2668"/>
      <c r="AA393" s="3" t="s">
        <v>1949</v>
      </c>
      <c r="AE393" s="2461"/>
      <c r="AF393" s="68"/>
    </row>
    <row r="394" spans="1:32" ht="18" x14ac:dyDescent="0.4">
      <c r="A394" s="1875"/>
      <c r="B394" s="1145">
        <v>11008</v>
      </c>
      <c r="C394" s="1145"/>
      <c r="D394" s="753"/>
      <c r="E394" s="2940" t="s">
        <v>3720</v>
      </c>
      <c r="F394" s="1943" t="s">
        <v>827</v>
      </c>
      <c r="G394" s="1620">
        <v>5</v>
      </c>
      <c r="H394" s="1834">
        <v>6</v>
      </c>
      <c r="I394" s="708"/>
      <c r="J394" s="708"/>
      <c r="K394" s="709"/>
      <c r="L394" s="709"/>
      <c r="M394" s="1385"/>
      <c r="N394" s="2489">
        <f>21.214-19.643</f>
        <v>1.570999999999998</v>
      </c>
      <c r="O394" s="1377"/>
      <c r="P394" s="1370"/>
      <c r="Q394" s="2489">
        <v>0</v>
      </c>
      <c r="R394" s="2489"/>
      <c r="S394" s="1876"/>
      <c r="T394" s="1931"/>
      <c r="U394" s="1877"/>
      <c r="V394" s="1877"/>
      <c r="W394" s="1770"/>
      <c r="X394" s="2667"/>
      <c r="Y394" s="1770"/>
      <c r="Z394" s="2668"/>
      <c r="AE394" s="2461"/>
      <c r="AF394" s="68"/>
    </row>
    <row r="395" spans="1:32" ht="45" x14ac:dyDescent="0.35">
      <c r="A395" s="1880">
        <v>150</v>
      </c>
      <c r="B395" s="1146">
        <v>11008</v>
      </c>
      <c r="C395" s="1146" t="s">
        <v>2436</v>
      </c>
      <c r="D395" s="2470" t="s">
        <v>5493</v>
      </c>
      <c r="E395" s="733" t="s">
        <v>10064</v>
      </c>
      <c r="F395" s="1834">
        <v>5</v>
      </c>
      <c r="G395" s="1834">
        <v>5</v>
      </c>
      <c r="H395" s="179">
        <v>6</v>
      </c>
      <c r="I395" s="702">
        <f t="shared" ref="I395:I400" si="20">J395+K395+L395</f>
        <v>0.96699999999999997</v>
      </c>
      <c r="J395" s="702">
        <f t="shared" ref="J395:J400" si="21">SUM(M395:R395)</f>
        <v>0.96699999999999997</v>
      </c>
      <c r="K395" s="703"/>
      <c r="L395" s="703"/>
      <c r="M395" s="1387"/>
      <c r="N395" s="717">
        <v>0.96699999999999997</v>
      </c>
      <c r="O395" s="1379"/>
      <c r="P395" s="1372"/>
      <c r="Q395" s="1364"/>
      <c r="R395" s="1354"/>
      <c r="S395" s="1882"/>
      <c r="T395" s="1931"/>
      <c r="U395" s="1874"/>
      <c r="V395" s="1874"/>
      <c r="W395" s="716">
        <v>4</v>
      </c>
      <c r="X395" s="333">
        <v>50.1</v>
      </c>
      <c r="Y395" s="716">
        <v>1</v>
      </c>
      <c r="Z395" s="1706">
        <v>5</v>
      </c>
      <c r="AB395" s="3">
        <v>1</v>
      </c>
      <c r="AC395" s="2306"/>
    </row>
    <row r="396" spans="1:32" ht="75" x14ac:dyDescent="0.35">
      <c r="A396" s="1880">
        <v>151</v>
      </c>
      <c r="B396" s="1148">
        <v>11008</v>
      </c>
      <c r="C396" s="1979" t="s">
        <v>1655</v>
      </c>
      <c r="D396" s="2470" t="s">
        <v>5494</v>
      </c>
      <c r="E396" s="699" t="s">
        <v>11177</v>
      </c>
      <c r="F396" s="1770">
        <v>5</v>
      </c>
      <c r="G396" s="725">
        <v>5</v>
      </c>
      <c r="H396" s="720">
        <v>6</v>
      </c>
      <c r="I396" s="702">
        <f t="shared" si="20"/>
        <v>0.26500000000000001</v>
      </c>
      <c r="J396" s="702">
        <f t="shared" si="21"/>
        <v>0.26500000000000001</v>
      </c>
      <c r="K396" s="703"/>
      <c r="L396" s="703"/>
      <c r="M396" s="1384"/>
      <c r="N396" s="702">
        <v>0.26500000000000001</v>
      </c>
      <c r="O396" s="1376"/>
      <c r="P396" s="1369"/>
      <c r="Q396" s="1361"/>
      <c r="R396" s="2772"/>
      <c r="S396" s="1899"/>
      <c r="T396" s="1931"/>
      <c r="U396" s="1892"/>
      <c r="V396" s="1892"/>
      <c r="W396" s="743"/>
      <c r="X396" s="731"/>
      <c r="Y396" s="730"/>
      <c r="Z396" s="1708"/>
      <c r="AB396" s="3">
        <v>1</v>
      </c>
      <c r="AE396" s="2461"/>
      <c r="AF396" s="68"/>
    </row>
    <row r="397" spans="1:32" ht="45" x14ac:dyDescent="0.35">
      <c r="A397" s="1880">
        <v>152</v>
      </c>
      <c r="B397" s="1146">
        <v>11008</v>
      </c>
      <c r="C397" s="1146"/>
      <c r="D397" s="2470" t="s">
        <v>5495</v>
      </c>
      <c r="E397" s="715" t="s">
        <v>7850</v>
      </c>
      <c r="F397" s="1834">
        <v>5</v>
      </c>
      <c r="G397" s="1834">
        <v>5</v>
      </c>
      <c r="H397" s="1834">
        <v>6</v>
      </c>
      <c r="I397" s="702">
        <f t="shared" si="20"/>
        <v>1.962</v>
      </c>
      <c r="J397" s="702">
        <f t="shared" si="21"/>
        <v>1.962</v>
      </c>
      <c r="K397" s="703"/>
      <c r="L397" s="703"/>
      <c r="M397" s="1387"/>
      <c r="N397" s="703"/>
      <c r="O397" s="1379"/>
      <c r="P397" s="1372"/>
      <c r="Q397" s="1365">
        <v>1.962</v>
      </c>
      <c r="R397" s="1354"/>
      <c r="S397" s="1882"/>
      <c r="T397" s="1931"/>
      <c r="U397" s="1874"/>
      <c r="V397" s="1874"/>
      <c r="W397" s="716">
        <v>6</v>
      </c>
      <c r="X397" s="333">
        <v>80.7</v>
      </c>
      <c r="Y397" s="716">
        <v>1</v>
      </c>
      <c r="Z397" s="1706">
        <v>10</v>
      </c>
      <c r="AB397" s="3">
        <v>1</v>
      </c>
      <c r="AE397" s="2461"/>
      <c r="AF397" s="68"/>
    </row>
    <row r="398" spans="1:32" ht="90" x14ac:dyDescent="0.35">
      <c r="A398" s="1880">
        <v>153</v>
      </c>
      <c r="B398" s="2083">
        <v>11008</v>
      </c>
      <c r="C398" s="358" t="s">
        <v>1655</v>
      </c>
      <c r="D398" s="2470" t="s">
        <v>5496</v>
      </c>
      <c r="E398" s="2113" t="s">
        <v>7851</v>
      </c>
      <c r="F398" s="2210" t="s">
        <v>664</v>
      </c>
      <c r="G398" s="92">
        <v>5</v>
      </c>
      <c r="H398" s="1620">
        <v>6</v>
      </c>
      <c r="I398" s="297">
        <f t="shared" si="20"/>
        <v>0.5</v>
      </c>
      <c r="J398" s="297">
        <f t="shared" si="21"/>
        <v>0.5</v>
      </c>
      <c r="K398" s="2210"/>
      <c r="L398" s="2210"/>
      <c r="M398" s="527"/>
      <c r="N398" s="580"/>
      <c r="O398" s="2215"/>
      <c r="P398" s="527"/>
      <c r="Q398" s="913"/>
      <c r="R398" s="906">
        <v>0.5</v>
      </c>
      <c r="S398" s="92"/>
      <c r="T398" s="1931"/>
      <c r="U398" s="92"/>
      <c r="V398" s="92"/>
      <c r="W398" s="92"/>
      <c r="X398" s="92"/>
      <c r="Y398" s="92"/>
      <c r="Z398" s="70"/>
      <c r="AB398" s="3">
        <v>1</v>
      </c>
      <c r="AE398" s="2461"/>
      <c r="AF398" s="68"/>
    </row>
    <row r="399" spans="1:32" ht="45" x14ac:dyDescent="0.35">
      <c r="A399" s="1880">
        <v>154</v>
      </c>
      <c r="B399" s="2083">
        <v>11008</v>
      </c>
      <c r="C399" s="358" t="s">
        <v>1655</v>
      </c>
      <c r="D399" s="2470" t="s">
        <v>5497</v>
      </c>
      <c r="E399" s="2113" t="s">
        <v>7388</v>
      </c>
      <c r="F399" s="2210" t="s">
        <v>664</v>
      </c>
      <c r="G399" s="92">
        <v>5</v>
      </c>
      <c r="H399" s="1620">
        <v>6</v>
      </c>
      <c r="I399" s="297">
        <f t="shared" si="20"/>
        <v>0.7</v>
      </c>
      <c r="J399" s="297">
        <f t="shared" si="21"/>
        <v>0.7</v>
      </c>
      <c r="K399" s="527"/>
      <c r="L399" s="527"/>
      <c r="M399" s="527"/>
      <c r="N399" s="580"/>
      <c r="O399" s="2215"/>
      <c r="P399" s="527"/>
      <c r="Q399" s="913"/>
      <c r="R399" s="906">
        <v>0.7</v>
      </c>
      <c r="S399" s="92"/>
      <c r="T399" s="1931"/>
      <c r="U399" s="92"/>
      <c r="V399" s="92"/>
      <c r="W399" s="92"/>
      <c r="X399" s="92"/>
      <c r="Y399" s="92"/>
      <c r="Z399" s="70"/>
      <c r="AB399" s="3">
        <v>1</v>
      </c>
      <c r="AE399" s="2461"/>
      <c r="AF399" s="68"/>
    </row>
    <row r="400" spans="1:32" ht="45" x14ac:dyDescent="0.35">
      <c r="A400" s="1880">
        <v>155</v>
      </c>
      <c r="B400" s="1146">
        <v>11008</v>
      </c>
      <c r="C400" s="1146"/>
      <c r="D400" s="2470" t="s">
        <v>5498</v>
      </c>
      <c r="E400" s="733" t="s">
        <v>10065</v>
      </c>
      <c r="F400" s="1834"/>
      <c r="G400" s="1834" t="s">
        <v>191</v>
      </c>
      <c r="H400" s="179" t="s">
        <v>191</v>
      </c>
      <c r="I400" s="702">
        <f t="shared" si="20"/>
        <v>0.70300000000000007</v>
      </c>
      <c r="J400" s="702">
        <f t="shared" si="21"/>
        <v>0.70300000000000007</v>
      </c>
      <c r="K400" s="703"/>
      <c r="L400" s="703"/>
      <c r="M400" s="1387"/>
      <c r="N400" s="717">
        <f>SUM(N401:N402)</f>
        <v>0.70300000000000007</v>
      </c>
      <c r="O400" s="1379"/>
      <c r="P400" s="1372"/>
      <c r="Q400" s="1364"/>
      <c r="R400" s="1354"/>
      <c r="S400" s="1882"/>
      <c r="T400" s="1931"/>
      <c r="U400" s="1874"/>
      <c r="V400" s="1874"/>
      <c r="W400" s="701">
        <v>1</v>
      </c>
      <c r="X400" s="333">
        <v>12.7</v>
      </c>
      <c r="Y400" s="716"/>
      <c r="Z400" s="1706"/>
      <c r="AB400" s="3">
        <v>1</v>
      </c>
      <c r="AE400" s="2461"/>
      <c r="AF400" s="68"/>
    </row>
    <row r="401" spans="1:32" ht="17.5" x14ac:dyDescent="0.35">
      <c r="A401" s="1880"/>
      <c r="B401" s="1146">
        <v>11008</v>
      </c>
      <c r="C401" s="1146"/>
      <c r="D401" s="757"/>
      <c r="E401" s="1022" t="s">
        <v>880</v>
      </c>
      <c r="F401" s="1834">
        <v>5</v>
      </c>
      <c r="G401" s="1834">
        <v>5</v>
      </c>
      <c r="H401" s="179">
        <v>6</v>
      </c>
      <c r="I401" s="1918"/>
      <c r="J401" s="1918"/>
      <c r="K401" s="1919"/>
      <c r="L401" s="1919"/>
      <c r="M401" s="1919"/>
      <c r="N401" s="2076">
        <v>0.3</v>
      </c>
      <c r="O401" s="1379"/>
      <c r="P401" s="1372"/>
      <c r="Q401" s="1364"/>
      <c r="R401" s="1354"/>
      <c r="S401" s="1882"/>
      <c r="T401" s="1931"/>
      <c r="U401" s="1874"/>
      <c r="V401" s="1874"/>
      <c r="W401" s="701"/>
      <c r="X401" s="333"/>
      <c r="Y401" s="716"/>
      <c r="Z401" s="1706"/>
      <c r="AE401" s="2461"/>
      <c r="AF401" s="68"/>
    </row>
    <row r="402" spans="1:32" ht="17.5" x14ac:dyDescent="0.35">
      <c r="A402" s="1880"/>
      <c r="B402" s="1146">
        <v>11008</v>
      </c>
      <c r="C402" s="1146"/>
      <c r="D402" s="757"/>
      <c r="E402" s="1022" t="s">
        <v>3712</v>
      </c>
      <c r="F402" s="1834">
        <v>5</v>
      </c>
      <c r="G402" s="1834">
        <v>5</v>
      </c>
      <c r="H402" s="179">
        <v>6</v>
      </c>
      <c r="I402" s="1918"/>
      <c r="J402" s="1918"/>
      <c r="K402" s="1919"/>
      <c r="L402" s="1919"/>
      <c r="M402" s="1919"/>
      <c r="N402" s="2076">
        <v>0.40300000000000002</v>
      </c>
      <c r="O402" s="1379"/>
      <c r="P402" s="1372"/>
      <c r="Q402" s="1364"/>
      <c r="R402" s="1354"/>
      <c r="S402" s="1882"/>
      <c r="T402" s="1931"/>
      <c r="U402" s="1874"/>
      <c r="V402" s="1874"/>
      <c r="W402" s="701"/>
      <c r="X402" s="333"/>
      <c r="Y402" s="716"/>
      <c r="Z402" s="1706"/>
      <c r="AE402" s="2461"/>
      <c r="AF402" s="68"/>
    </row>
    <row r="403" spans="1:32" ht="45" x14ac:dyDescent="0.35">
      <c r="A403" s="1880">
        <v>156</v>
      </c>
      <c r="B403" s="1148">
        <v>11008</v>
      </c>
      <c r="C403" s="2083" t="s">
        <v>1656</v>
      </c>
      <c r="D403" s="2470" t="s">
        <v>5499</v>
      </c>
      <c r="E403" s="739" t="s">
        <v>9273</v>
      </c>
      <c r="F403" s="1953" t="s">
        <v>1490</v>
      </c>
      <c r="G403" s="1953">
        <v>5</v>
      </c>
      <c r="H403" s="1620">
        <v>6</v>
      </c>
      <c r="I403" s="702">
        <f>J403+K403+L403</f>
        <v>0.2</v>
      </c>
      <c r="J403" s="702">
        <f>SUM(M403:R403)</f>
        <v>0.2</v>
      </c>
      <c r="K403" s="703"/>
      <c r="L403" s="703"/>
      <c r="M403" s="1387"/>
      <c r="N403" s="703"/>
      <c r="O403" s="1379"/>
      <c r="P403" s="1372"/>
      <c r="Q403" s="1364"/>
      <c r="R403" s="929">
        <v>0.2</v>
      </c>
      <c r="S403" s="1890"/>
      <c r="T403" s="1931"/>
      <c r="U403" s="1892"/>
      <c r="V403" s="1892"/>
      <c r="W403" s="730"/>
      <c r="X403" s="731"/>
      <c r="Y403" s="730"/>
      <c r="Z403" s="1708"/>
      <c r="AB403" s="3">
        <v>1</v>
      </c>
      <c r="AE403" s="2461"/>
      <c r="AF403" s="68"/>
    </row>
    <row r="404" spans="1:32" ht="45" x14ac:dyDescent="0.35">
      <c r="A404" s="1880">
        <v>157</v>
      </c>
      <c r="B404" s="1148">
        <v>11008</v>
      </c>
      <c r="C404" s="2083" t="s">
        <v>1656</v>
      </c>
      <c r="D404" s="2470" t="s">
        <v>5500</v>
      </c>
      <c r="E404" s="739" t="s">
        <v>8743</v>
      </c>
      <c r="F404" s="1953" t="s">
        <v>664</v>
      </c>
      <c r="G404" s="1953">
        <v>5</v>
      </c>
      <c r="H404" s="1620">
        <v>6</v>
      </c>
      <c r="I404" s="702">
        <f>J404+K404+L404</f>
        <v>1.42</v>
      </c>
      <c r="J404" s="702">
        <f>SUM(M404:R404)</f>
        <v>1.42</v>
      </c>
      <c r="K404" s="703"/>
      <c r="L404" s="703"/>
      <c r="M404" s="1387"/>
      <c r="N404" s="703"/>
      <c r="O404" s="1379"/>
      <c r="P404" s="1372"/>
      <c r="Q404" s="1364"/>
      <c r="R404" s="929">
        <v>1.42</v>
      </c>
      <c r="S404" s="1890"/>
      <c r="T404" s="1931"/>
      <c r="U404" s="1892"/>
      <c r="V404" s="1892"/>
      <c r="W404" s="730"/>
      <c r="X404" s="731"/>
      <c r="Y404" s="730"/>
      <c r="Z404" s="1708"/>
      <c r="AB404" s="3">
        <v>1</v>
      </c>
      <c r="AE404" s="2461"/>
      <c r="AF404" s="68"/>
    </row>
    <row r="405" spans="1:32" ht="60" x14ac:dyDescent="0.35">
      <c r="A405" s="1880">
        <v>158</v>
      </c>
      <c r="B405" s="2083">
        <v>11008</v>
      </c>
      <c r="C405" s="2083"/>
      <c r="D405" s="2470" t="s">
        <v>5501</v>
      </c>
      <c r="E405" s="2113" t="s">
        <v>9274</v>
      </c>
      <c r="F405" s="2210" t="s">
        <v>827</v>
      </c>
      <c r="G405" s="2210">
        <v>5</v>
      </c>
      <c r="H405" s="1834">
        <v>6</v>
      </c>
      <c r="I405" s="580">
        <f>J405+K405+L405</f>
        <v>0.8</v>
      </c>
      <c r="J405" s="2216">
        <f>SUM(M405:R405)</f>
        <v>0.8</v>
      </c>
      <c r="K405" s="527"/>
      <c r="L405" s="527"/>
      <c r="M405" s="527"/>
      <c r="N405" s="580"/>
      <c r="O405" s="2215"/>
      <c r="P405" s="527"/>
      <c r="Q405" s="913">
        <v>0.8</v>
      </c>
      <c r="R405" s="906"/>
      <c r="S405" s="92"/>
      <c r="T405" s="1931"/>
      <c r="U405" s="92"/>
      <c r="V405" s="92"/>
      <c r="W405" s="92"/>
      <c r="X405" s="92"/>
      <c r="Y405" s="92"/>
      <c r="Z405" s="70"/>
      <c r="AB405" s="3">
        <v>1</v>
      </c>
      <c r="AE405" s="2461"/>
      <c r="AF405" s="68"/>
    </row>
    <row r="406" spans="1:32" ht="45" x14ac:dyDescent="0.35">
      <c r="A406" s="1880">
        <v>159</v>
      </c>
      <c r="B406" s="2083">
        <v>11008</v>
      </c>
      <c r="C406" s="2083" t="s">
        <v>2435</v>
      </c>
      <c r="D406" s="2470" t="s">
        <v>5502</v>
      </c>
      <c r="E406" s="2113" t="s">
        <v>9322</v>
      </c>
      <c r="F406" s="2210" t="s">
        <v>827</v>
      </c>
      <c r="G406" s="2210">
        <v>5</v>
      </c>
      <c r="H406" s="179">
        <v>6</v>
      </c>
      <c r="I406" s="580">
        <f>J406+K406+L406</f>
        <v>0.3</v>
      </c>
      <c r="J406" s="2216">
        <f>SUM(M406:R406)</f>
        <v>0.3</v>
      </c>
      <c r="K406" s="527"/>
      <c r="L406" s="527"/>
      <c r="M406" s="527"/>
      <c r="N406" s="580">
        <v>0.3</v>
      </c>
      <c r="O406" s="2215"/>
      <c r="P406" s="527"/>
      <c r="Q406" s="913"/>
      <c r="R406" s="906"/>
      <c r="S406" s="92"/>
      <c r="T406" s="1931"/>
      <c r="U406" s="92"/>
      <c r="V406" s="92"/>
      <c r="W406" s="92"/>
      <c r="X406" s="92"/>
      <c r="Y406" s="92"/>
      <c r="Z406" s="70"/>
      <c r="AB406" s="3">
        <v>1</v>
      </c>
      <c r="AE406" s="2461"/>
      <c r="AF406" s="68"/>
    </row>
    <row r="407" spans="1:32" ht="30" x14ac:dyDescent="0.35">
      <c r="A407" s="1880">
        <v>160</v>
      </c>
      <c r="B407" s="1145">
        <v>11009</v>
      </c>
      <c r="C407" s="1145"/>
      <c r="D407" s="752" t="s">
        <v>797</v>
      </c>
      <c r="E407" s="699" t="s">
        <v>10494</v>
      </c>
      <c r="F407" s="1943"/>
      <c r="G407" s="1953" t="s">
        <v>191</v>
      </c>
      <c r="H407" s="179" t="s">
        <v>191</v>
      </c>
      <c r="I407" s="702">
        <f>J407+K407+L407</f>
        <v>11.391</v>
      </c>
      <c r="J407" s="702">
        <f>SUM(M407:R407)</f>
        <v>11.391</v>
      </c>
      <c r="K407" s="703"/>
      <c r="L407" s="703"/>
      <c r="M407" s="1384"/>
      <c r="N407" s="702">
        <f>SUM(N408:N411)</f>
        <v>8.7859999999999996</v>
      </c>
      <c r="O407" s="1376"/>
      <c r="P407" s="1369"/>
      <c r="Q407" s="1361">
        <f>SUM(Q408:Q411)</f>
        <v>2.1550000000000011</v>
      </c>
      <c r="R407" s="1351">
        <f>SUM(R408:R411)</f>
        <v>0.44999999999999929</v>
      </c>
      <c r="S407" s="1873">
        <v>1</v>
      </c>
      <c r="T407" s="1931">
        <v>18.5</v>
      </c>
      <c r="U407" s="1874"/>
      <c r="V407" s="1874"/>
      <c r="W407" s="700">
        <v>30</v>
      </c>
      <c r="X407" s="706">
        <v>419.58</v>
      </c>
      <c r="Y407" s="700">
        <v>12</v>
      </c>
      <c r="Z407" s="1705">
        <v>135.69999999999999</v>
      </c>
      <c r="AB407" s="3">
        <v>1</v>
      </c>
      <c r="AE407" s="2461"/>
      <c r="AF407" s="68"/>
    </row>
    <row r="408" spans="1:32" ht="18" x14ac:dyDescent="0.4">
      <c r="A408" s="1875"/>
      <c r="B408" s="1145">
        <v>11009</v>
      </c>
      <c r="C408" s="1145"/>
      <c r="D408" s="753"/>
      <c r="E408" s="707" t="s">
        <v>7270</v>
      </c>
      <c r="F408" s="1943">
        <v>4</v>
      </c>
      <c r="G408" s="1953">
        <v>4</v>
      </c>
      <c r="H408" s="179">
        <v>6</v>
      </c>
      <c r="I408" s="708"/>
      <c r="J408" s="708"/>
      <c r="K408" s="709"/>
      <c r="L408" s="709"/>
      <c r="M408" s="1385"/>
      <c r="N408" s="708">
        <v>8.7859999999999996</v>
      </c>
      <c r="O408" s="1377"/>
      <c r="P408" s="1370"/>
      <c r="Q408" s="1362"/>
      <c r="R408" s="1352"/>
      <c r="S408" s="1876"/>
      <c r="T408" s="1931"/>
      <c r="U408" s="1877"/>
      <c r="V408" s="1877"/>
      <c r="W408" s="1770"/>
      <c r="X408" s="2667"/>
      <c r="Y408" s="1770"/>
      <c r="Z408" s="2668"/>
      <c r="AE408" s="2461"/>
      <c r="AF408" s="68"/>
    </row>
    <row r="409" spans="1:32" ht="18" x14ac:dyDescent="0.4">
      <c r="A409" s="1875"/>
      <c r="B409" s="1145">
        <v>11009</v>
      </c>
      <c r="C409" s="1145"/>
      <c r="D409" s="753"/>
      <c r="E409" s="1396" t="s">
        <v>7271</v>
      </c>
      <c r="F409" s="1943">
        <v>4</v>
      </c>
      <c r="G409" s="1953">
        <v>4</v>
      </c>
      <c r="H409" s="179">
        <v>6</v>
      </c>
      <c r="I409" s="708"/>
      <c r="J409" s="708"/>
      <c r="K409" s="709"/>
      <c r="L409" s="709"/>
      <c r="M409" s="1385"/>
      <c r="N409" s="708"/>
      <c r="O409" s="1377"/>
      <c r="P409" s="1370"/>
      <c r="Q409" s="1362">
        <f>10.82-8.786</f>
        <v>2.0340000000000007</v>
      </c>
      <c r="R409" s="1352"/>
      <c r="S409" s="1876"/>
      <c r="T409" s="1931"/>
      <c r="U409" s="1877"/>
      <c r="V409" s="1877"/>
      <c r="W409" s="1770"/>
      <c r="X409" s="2667"/>
      <c r="Y409" s="1770"/>
      <c r="Z409" s="2668"/>
      <c r="AA409" s="3" t="s">
        <v>1950</v>
      </c>
      <c r="AE409" s="2461"/>
      <c r="AF409" s="68"/>
    </row>
    <row r="410" spans="1:32" ht="18" x14ac:dyDescent="0.4">
      <c r="A410" s="1875"/>
      <c r="B410" s="1145"/>
      <c r="C410" s="1145"/>
      <c r="D410" s="753"/>
      <c r="E410" s="1396" t="s">
        <v>7272</v>
      </c>
      <c r="F410" s="1943">
        <v>5</v>
      </c>
      <c r="G410" s="1953">
        <v>4</v>
      </c>
      <c r="H410" s="179">
        <v>6</v>
      </c>
      <c r="I410" s="708"/>
      <c r="J410" s="708"/>
      <c r="K410" s="709"/>
      <c r="L410" s="709"/>
      <c r="M410" s="1385"/>
      <c r="N410" s="708"/>
      <c r="O410" s="1377"/>
      <c r="P410" s="1370"/>
      <c r="Q410" s="1362">
        <f>10.941-10.82</f>
        <v>0.12100000000000044</v>
      </c>
      <c r="R410" s="1352"/>
      <c r="S410" s="1876"/>
      <c r="T410" s="1931"/>
      <c r="U410" s="1877"/>
      <c r="V410" s="1877"/>
      <c r="W410" s="1770"/>
      <c r="X410" s="2667"/>
      <c r="Y410" s="1770"/>
      <c r="Z410" s="2668"/>
      <c r="AE410" s="2461"/>
      <c r="AF410" s="68"/>
    </row>
    <row r="411" spans="1:32" ht="18" x14ac:dyDescent="0.4">
      <c r="A411" s="1875"/>
      <c r="B411" s="1145">
        <v>11009</v>
      </c>
      <c r="C411" s="1145"/>
      <c r="D411" s="753"/>
      <c r="E411" s="1390" t="s">
        <v>7273</v>
      </c>
      <c r="F411" s="1943">
        <v>5</v>
      </c>
      <c r="G411" s="1953">
        <v>4</v>
      </c>
      <c r="H411" s="1620">
        <v>6</v>
      </c>
      <c r="I411" s="708"/>
      <c r="J411" s="708"/>
      <c r="K411" s="709"/>
      <c r="L411" s="709"/>
      <c r="M411" s="1385"/>
      <c r="N411" s="708"/>
      <c r="O411" s="1377"/>
      <c r="P411" s="1370"/>
      <c r="Q411" s="1362"/>
      <c r="R411" s="1352">
        <f>11.391-10.941</f>
        <v>0.44999999999999929</v>
      </c>
      <c r="S411" s="1876"/>
      <c r="T411" s="1931"/>
      <c r="U411" s="1877"/>
      <c r="V411" s="1877"/>
      <c r="W411" s="1770"/>
      <c r="X411" s="2667"/>
      <c r="Y411" s="1770"/>
      <c r="Z411" s="2668"/>
      <c r="AA411" s="3" t="s">
        <v>1950</v>
      </c>
      <c r="AE411" s="2461"/>
      <c r="AF411" s="68"/>
    </row>
    <row r="412" spans="1:32" ht="45" x14ac:dyDescent="0.35">
      <c r="A412" s="1896">
        <v>161</v>
      </c>
      <c r="B412" s="1148">
        <v>11009</v>
      </c>
      <c r="C412" s="2083" t="s">
        <v>1656</v>
      </c>
      <c r="D412" s="2470" t="s">
        <v>5504</v>
      </c>
      <c r="E412" s="739" t="s">
        <v>10066</v>
      </c>
      <c r="F412" s="1953" t="s">
        <v>664</v>
      </c>
      <c r="G412" s="1953">
        <v>5</v>
      </c>
      <c r="H412" s="1620">
        <v>6</v>
      </c>
      <c r="I412" s="702">
        <f>J412+K412+L412</f>
        <v>1.6</v>
      </c>
      <c r="J412" s="702">
        <f>SUM(M412:R412)</f>
        <v>1.6</v>
      </c>
      <c r="K412" s="703"/>
      <c r="L412" s="703"/>
      <c r="M412" s="1387"/>
      <c r="N412" s="703"/>
      <c r="O412" s="1379"/>
      <c r="P412" s="1372"/>
      <c r="Q412" s="1364"/>
      <c r="R412" s="929">
        <v>1.6</v>
      </c>
      <c r="S412" s="1890"/>
      <c r="T412" s="1931"/>
      <c r="U412" s="1892"/>
      <c r="V412" s="1892"/>
      <c r="W412" s="730"/>
      <c r="X412" s="731"/>
      <c r="Y412" s="730"/>
      <c r="Z412" s="1708"/>
      <c r="AB412" s="3">
        <v>1</v>
      </c>
      <c r="AE412" s="2461"/>
      <c r="AF412" s="68"/>
    </row>
    <row r="413" spans="1:32" ht="45" x14ac:dyDescent="0.35">
      <c r="A413" s="1896">
        <v>162</v>
      </c>
      <c r="B413" s="1147">
        <v>11009</v>
      </c>
      <c r="C413" s="2083" t="s">
        <v>1656</v>
      </c>
      <c r="D413" s="2470" t="s">
        <v>5505</v>
      </c>
      <c r="E413" s="739" t="s">
        <v>8744</v>
      </c>
      <c r="F413" s="1953" t="s">
        <v>664</v>
      </c>
      <c r="G413" s="1953">
        <v>5</v>
      </c>
      <c r="H413" s="1620">
        <v>6</v>
      </c>
      <c r="I413" s="702">
        <f>J413+K413+L413</f>
        <v>0.2</v>
      </c>
      <c r="J413" s="702">
        <f>SUM(M413:R413)</f>
        <v>0.2</v>
      </c>
      <c r="K413" s="703"/>
      <c r="L413" s="703"/>
      <c r="M413" s="1387"/>
      <c r="N413" s="703"/>
      <c r="O413" s="1379"/>
      <c r="P413" s="1372"/>
      <c r="Q413" s="1364"/>
      <c r="R413" s="929">
        <v>0.2</v>
      </c>
      <c r="S413" s="1890"/>
      <c r="T413" s="1931"/>
      <c r="U413" s="1892"/>
      <c r="V413" s="1892"/>
      <c r="W413" s="730"/>
      <c r="X413" s="731"/>
      <c r="Y413" s="730"/>
      <c r="Z413" s="1708"/>
      <c r="AB413" s="3">
        <v>1</v>
      </c>
      <c r="AE413" s="2461"/>
      <c r="AF413" s="68"/>
    </row>
    <row r="414" spans="1:32" ht="30" x14ac:dyDescent="0.35">
      <c r="A414" s="1896">
        <v>163</v>
      </c>
      <c r="B414" s="1147">
        <v>11009</v>
      </c>
      <c r="C414" s="2083" t="s">
        <v>1656</v>
      </c>
      <c r="D414" s="2470" t="s">
        <v>5506</v>
      </c>
      <c r="E414" s="739" t="s">
        <v>8745</v>
      </c>
      <c r="F414" s="1953" t="s">
        <v>664</v>
      </c>
      <c r="G414" s="1953">
        <v>5</v>
      </c>
      <c r="H414" s="1620">
        <v>6</v>
      </c>
      <c r="I414" s="702">
        <f>J414+K414+L414</f>
        <v>0.34</v>
      </c>
      <c r="J414" s="702">
        <f>SUM(M414:R414)</f>
        <v>0.34</v>
      </c>
      <c r="K414" s="703"/>
      <c r="L414" s="703"/>
      <c r="M414" s="1387"/>
      <c r="N414" s="703"/>
      <c r="O414" s="1379"/>
      <c r="P414" s="1372"/>
      <c r="Q414" s="1364"/>
      <c r="R414" s="929">
        <v>0.34</v>
      </c>
      <c r="S414" s="1890"/>
      <c r="T414" s="1931"/>
      <c r="U414" s="1892"/>
      <c r="V414" s="1892"/>
      <c r="W414" s="730"/>
      <c r="X414" s="731"/>
      <c r="Y414" s="730"/>
      <c r="Z414" s="1708"/>
      <c r="AB414" s="3">
        <v>1</v>
      </c>
      <c r="AE414" s="2461"/>
      <c r="AF414" s="68"/>
    </row>
    <row r="415" spans="1:32" ht="30" x14ac:dyDescent="0.35">
      <c r="A415" s="1896">
        <v>164</v>
      </c>
      <c r="B415" s="1145">
        <v>11010</v>
      </c>
      <c r="C415" s="1145"/>
      <c r="D415" s="752" t="s">
        <v>558</v>
      </c>
      <c r="E415" s="699" t="s">
        <v>10067</v>
      </c>
      <c r="F415" s="1943"/>
      <c r="G415" s="1834" t="s">
        <v>191</v>
      </c>
      <c r="H415" s="179" t="s">
        <v>191</v>
      </c>
      <c r="I415" s="702">
        <f>J415+K415+L415</f>
        <v>7.9250000000000007</v>
      </c>
      <c r="J415" s="702">
        <f>SUM(M415:R415)</f>
        <v>7.6220000000000008</v>
      </c>
      <c r="K415" s="703"/>
      <c r="L415" s="702">
        <f>SUM(L416:L420)</f>
        <v>0.30299999999999966</v>
      </c>
      <c r="M415" s="1384"/>
      <c r="N415" s="702">
        <f>SUM(N416:N420)</f>
        <v>7.6220000000000008</v>
      </c>
      <c r="O415" s="1376"/>
      <c r="P415" s="1369"/>
      <c r="Q415" s="1361"/>
      <c r="R415" s="1351"/>
      <c r="S415" s="1873"/>
      <c r="T415" s="1931"/>
      <c r="U415" s="1874"/>
      <c r="V415" s="1874"/>
      <c r="W415" s="700">
        <v>16</v>
      </c>
      <c r="X415" s="333">
        <v>228.37</v>
      </c>
      <c r="Y415" s="716">
        <v>5</v>
      </c>
      <c r="Z415" s="1706">
        <v>60</v>
      </c>
      <c r="AB415" s="3">
        <v>1</v>
      </c>
      <c r="AC415" s="2306"/>
    </row>
    <row r="416" spans="1:32" ht="31" x14ac:dyDescent="0.35">
      <c r="A416" s="1896"/>
      <c r="B416" s="1145"/>
      <c r="C416" s="1145"/>
      <c r="D416" s="752"/>
      <c r="E416" s="1935" t="s">
        <v>6771</v>
      </c>
      <c r="F416" s="1943">
        <v>4</v>
      </c>
      <c r="G416" s="1834">
        <v>4</v>
      </c>
      <c r="H416" s="1620" t="s">
        <v>191</v>
      </c>
      <c r="I416" s="1918"/>
      <c r="J416" s="1918"/>
      <c r="K416" s="1919"/>
      <c r="L416" s="1918">
        <v>4.5999999999999999E-2</v>
      </c>
      <c r="M416" s="1938"/>
      <c r="N416" s="1918"/>
      <c r="O416" s="1376"/>
      <c r="P416" s="1369"/>
      <c r="Q416" s="1361"/>
      <c r="R416" s="1351"/>
      <c r="S416" s="1873"/>
      <c r="T416" s="1931"/>
      <c r="U416" s="1874"/>
      <c r="V416" s="1874"/>
      <c r="W416" s="700"/>
      <c r="X416" s="333"/>
      <c r="Y416" s="716"/>
      <c r="Z416" s="1706"/>
      <c r="AC416" s="2306"/>
    </row>
    <row r="417" spans="1:32" ht="18" x14ac:dyDescent="0.4">
      <c r="A417" s="1886"/>
      <c r="B417" s="1145">
        <v>11010</v>
      </c>
      <c r="C417" s="1145"/>
      <c r="D417" s="753"/>
      <c r="E417" s="1935" t="s">
        <v>6772</v>
      </c>
      <c r="F417" s="1943">
        <v>4</v>
      </c>
      <c r="G417" s="179">
        <v>4</v>
      </c>
      <c r="H417" s="179">
        <v>6</v>
      </c>
      <c r="I417" s="708"/>
      <c r="J417" s="708"/>
      <c r="K417" s="709"/>
      <c r="L417" s="709"/>
      <c r="M417" s="1385"/>
      <c r="N417" s="708">
        <f>3.494-0.046</f>
        <v>3.4480000000000004</v>
      </c>
      <c r="O417" s="1377"/>
      <c r="P417" s="1370"/>
      <c r="Q417" s="1362"/>
      <c r="R417" s="1352"/>
      <c r="S417" s="1876"/>
      <c r="T417" s="1931"/>
      <c r="U417" s="1877"/>
      <c r="V417" s="1877"/>
      <c r="W417" s="1770"/>
      <c r="X417" s="332"/>
      <c r="Y417" s="725"/>
      <c r="Z417" s="2664"/>
      <c r="AC417" s="2306"/>
    </row>
    <row r="418" spans="1:32" ht="31" x14ac:dyDescent="0.4">
      <c r="A418" s="1886"/>
      <c r="B418" s="1145">
        <v>11010</v>
      </c>
      <c r="C418" s="1145"/>
      <c r="D418" s="753"/>
      <c r="E418" s="1935" t="s">
        <v>11420</v>
      </c>
      <c r="F418" s="1943">
        <v>4</v>
      </c>
      <c r="G418" s="1620">
        <v>4</v>
      </c>
      <c r="H418" s="1620" t="s">
        <v>191</v>
      </c>
      <c r="I418" s="708"/>
      <c r="J418" s="708"/>
      <c r="K418" s="709"/>
      <c r="L418" s="712">
        <f>3.751-3.494</f>
        <v>0.25699999999999967</v>
      </c>
      <c r="M418" s="1385"/>
      <c r="N418" s="708"/>
      <c r="O418" s="1377"/>
      <c r="P418" s="1370"/>
      <c r="Q418" s="1362"/>
      <c r="R418" s="1352"/>
      <c r="S418" s="1876"/>
      <c r="T418" s="1931"/>
      <c r="U418" s="1877"/>
      <c r="V418" s="1877"/>
      <c r="W418" s="1770"/>
      <c r="X418" s="332"/>
      <c r="Y418" s="725"/>
      <c r="Z418" s="2664"/>
      <c r="AC418" s="2306"/>
    </row>
    <row r="419" spans="1:32" ht="18" x14ac:dyDescent="0.4">
      <c r="A419" s="1886"/>
      <c r="B419" s="1145">
        <v>11010</v>
      </c>
      <c r="C419" s="1145"/>
      <c r="D419" s="753"/>
      <c r="E419" s="1935" t="s">
        <v>6773</v>
      </c>
      <c r="F419" s="1943">
        <v>4</v>
      </c>
      <c r="G419" s="1620">
        <v>5</v>
      </c>
      <c r="H419" s="179">
        <v>6</v>
      </c>
      <c r="I419" s="708"/>
      <c r="J419" s="708"/>
      <c r="K419" s="709"/>
      <c r="L419" s="712"/>
      <c r="M419" s="1385"/>
      <c r="N419" s="708">
        <f>7.18-3.751</f>
        <v>3.4289999999999998</v>
      </c>
      <c r="O419" s="1377"/>
      <c r="P419" s="1370"/>
      <c r="Q419" s="1362"/>
      <c r="R419" s="1352"/>
      <c r="S419" s="1876"/>
      <c r="T419" s="1931"/>
      <c r="U419" s="1877"/>
      <c r="V419" s="1877"/>
      <c r="W419" s="1770"/>
      <c r="X419" s="332"/>
      <c r="Y419" s="725"/>
      <c r="Z419" s="2664"/>
      <c r="AC419" s="2306"/>
    </row>
    <row r="420" spans="1:32" ht="18" x14ac:dyDescent="0.4">
      <c r="A420" s="1875"/>
      <c r="B420" s="1145">
        <v>11010</v>
      </c>
      <c r="C420" s="1145"/>
      <c r="D420" s="753"/>
      <c r="E420" s="1935" t="s">
        <v>6774</v>
      </c>
      <c r="F420" s="1943">
        <v>5</v>
      </c>
      <c r="G420" s="179">
        <v>5</v>
      </c>
      <c r="H420" s="179">
        <v>6</v>
      </c>
      <c r="I420" s="708"/>
      <c r="J420" s="708"/>
      <c r="K420" s="709"/>
      <c r="L420" s="709"/>
      <c r="M420" s="1385"/>
      <c r="N420" s="708">
        <f>7.925-7.18</f>
        <v>0.74500000000000011</v>
      </c>
      <c r="O420" s="1377"/>
      <c r="P420" s="1370"/>
      <c r="Q420" s="1362"/>
      <c r="R420" s="1352"/>
      <c r="S420" s="1876"/>
      <c r="T420" s="1931"/>
      <c r="U420" s="1877"/>
      <c r="V420" s="1877"/>
      <c r="W420" s="1770"/>
      <c r="X420" s="2667"/>
      <c r="Y420" s="1770"/>
      <c r="Z420" s="2668"/>
      <c r="AC420" s="2306"/>
    </row>
    <row r="421" spans="1:32" ht="60" x14ac:dyDescent="0.35">
      <c r="A421" s="1880">
        <v>165</v>
      </c>
      <c r="B421" s="1146">
        <v>11010</v>
      </c>
      <c r="C421" s="1146"/>
      <c r="D421" s="2470" t="s">
        <v>10879</v>
      </c>
      <c r="E421" s="733" t="s">
        <v>10880</v>
      </c>
      <c r="F421" s="725" t="s">
        <v>1490</v>
      </c>
      <c r="G421" s="725">
        <v>5</v>
      </c>
      <c r="H421" s="725">
        <v>6</v>
      </c>
      <c r="I421" s="702">
        <f>J421+K421+L421</f>
        <v>0.19800000000000001</v>
      </c>
      <c r="J421" s="702">
        <f>SUM(M421:R421)</f>
        <v>0.19800000000000001</v>
      </c>
      <c r="K421" s="703"/>
      <c r="L421" s="703"/>
      <c r="M421" s="703"/>
      <c r="N421" s="717">
        <v>0.19800000000000001</v>
      </c>
      <c r="O421" s="1379"/>
      <c r="P421" s="1372"/>
      <c r="Q421" s="1365"/>
      <c r="R421" s="1354"/>
      <c r="S421" s="1882"/>
      <c r="T421" s="1931"/>
      <c r="U421" s="1874"/>
      <c r="V421" s="1874"/>
      <c r="W421" s="701"/>
      <c r="X421" s="333"/>
      <c r="Y421" s="716"/>
      <c r="Z421" s="1706"/>
      <c r="AB421" s="3">
        <v>1</v>
      </c>
      <c r="AE421" s="2461"/>
      <c r="AF421" s="68"/>
    </row>
    <row r="422" spans="1:32" ht="45" x14ac:dyDescent="0.35">
      <c r="A422" s="1880">
        <v>166</v>
      </c>
      <c r="B422" s="1146">
        <v>11010</v>
      </c>
      <c r="C422" s="1146"/>
      <c r="D422" s="2470" t="s">
        <v>5507</v>
      </c>
      <c r="E422" s="733" t="s">
        <v>10068</v>
      </c>
      <c r="F422" s="1834"/>
      <c r="G422" s="1834" t="s">
        <v>191</v>
      </c>
      <c r="H422" s="179" t="s">
        <v>191</v>
      </c>
      <c r="I422" s="702">
        <f>J422+K422+L422</f>
        <v>0.69</v>
      </c>
      <c r="J422" s="702">
        <f>SUM(M422:R422)</f>
        <v>0.69</v>
      </c>
      <c r="K422" s="703"/>
      <c r="L422" s="703"/>
      <c r="M422" s="1387"/>
      <c r="N422" s="717">
        <f>SUM(N423:N424)</f>
        <v>0.107</v>
      </c>
      <c r="O422" s="1379"/>
      <c r="P422" s="1372"/>
      <c r="Q422" s="1365">
        <f>SUM(Q423:Q424)</f>
        <v>0.58299999999999996</v>
      </c>
      <c r="R422" s="1354"/>
      <c r="S422" s="1882"/>
      <c r="T422" s="1931"/>
      <c r="U422" s="1874"/>
      <c r="V422" s="1874"/>
      <c r="W422" s="701"/>
      <c r="X422" s="333"/>
      <c r="Y422" s="716"/>
      <c r="Z422" s="1706"/>
      <c r="AB422" s="3">
        <v>1</v>
      </c>
      <c r="AE422" s="2461"/>
      <c r="AF422" s="68"/>
    </row>
    <row r="423" spans="1:32" ht="18" x14ac:dyDescent="0.4">
      <c r="A423" s="1886"/>
      <c r="B423" s="1146">
        <v>11010</v>
      </c>
      <c r="C423" s="1146"/>
      <c r="D423" s="758"/>
      <c r="E423" s="734" t="s">
        <v>1281</v>
      </c>
      <c r="F423" s="1834" t="s">
        <v>827</v>
      </c>
      <c r="G423" s="1834">
        <v>5</v>
      </c>
      <c r="H423" s="179">
        <v>6</v>
      </c>
      <c r="I423" s="708"/>
      <c r="J423" s="708"/>
      <c r="K423" s="709"/>
      <c r="L423" s="709"/>
      <c r="M423" s="1388"/>
      <c r="N423" s="712">
        <v>0.107</v>
      </c>
      <c r="O423" s="1378"/>
      <c r="P423" s="1371"/>
      <c r="Q423" s="1363"/>
      <c r="R423" s="1353"/>
      <c r="S423" s="1879"/>
      <c r="T423" s="1931"/>
      <c r="U423" s="1877"/>
      <c r="V423" s="1877"/>
      <c r="W423" s="720"/>
      <c r="X423" s="332"/>
      <c r="Y423" s="725"/>
      <c r="Z423" s="2664"/>
      <c r="AE423" s="2461"/>
      <c r="AF423" s="68"/>
    </row>
    <row r="424" spans="1:32" ht="18" x14ac:dyDescent="0.4">
      <c r="A424" s="1886"/>
      <c r="B424" s="1059">
        <v>11010</v>
      </c>
      <c r="C424" s="1059"/>
      <c r="D424" s="758"/>
      <c r="E424" s="1395" t="s">
        <v>7080</v>
      </c>
      <c r="F424" s="1834" t="s">
        <v>827</v>
      </c>
      <c r="G424" s="1834">
        <v>5</v>
      </c>
      <c r="H424" s="179">
        <v>6</v>
      </c>
      <c r="I424" s="708"/>
      <c r="J424" s="708"/>
      <c r="K424" s="709"/>
      <c r="L424" s="709"/>
      <c r="M424" s="1388"/>
      <c r="N424" s="709"/>
      <c r="O424" s="1378"/>
      <c r="P424" s="1371"/>
      <c r="Q424" s="1366">
        <f>0.69-0.107</f>
        <v>0.58299999999999996</v>
      </c>
      <c r="R424" s="1353"/>
      <c r="S424" s="1879"/>
      <c r="T424" s="1931"/>
      <c r="U424" s="1877"/>
      <c r="V424" s="1877"/>
      <c r="W424" s="720"/>
      <c r="X424" s="332"/>
      <c r="Y424" s="725"/>
      <c r="Z424" s="2664"/>
      <c r="AE424" s="2461"/>
      <c r="AF424" s="68"/>
    </row>
    <row r="425" spans="1:32" ht="60" x14ac:dyDescent="0.35">
      <c r="A425" s="1880">
        <v>166</v>
      </c>
      <c r="B425" s="1146">
        <v>11010</v>
      </c>
      <c r="C425" s="1146"/>
      <c r="D425" s="2470" t="s">
        <v>7079</v>
      </c>
      <c r="E425" s="733" t="s">
        <v>10069</v>
      </c>
      <c r="F425" s="1834" t="s">
        <v>827</v>
      </c>
      <c r="G425" s="1834">
        <v>5</v>
      </c>
      <c r="H425" s="179">
        <v>6</v>
      </c>
      <c r="I425" s="702">
        <f t="shared" ref="I425:I436" si="22">J425+K425+L425</f>
        <v>0.16</v>
      </c>
      <c r="J425" s="702">
        <f t="shared" ref="J425:J436" si="23">SUM(M425:R425)</f>
        <v>0.16</v>
      </c>
      <c r="K425" s="703"/>
      <c r="L425" s="703"/>
      <c r="M425" s="1387"/>
      <c r="N425" s="717"/>
      <c r="O425" s="1379"/>
      <c r="P425" s="1372"/>
      <c r="Q425" s="1365">
        <v>0.16</v>
      </c>
      <c r="R425" s="1354"/>
      <c r="S425" s="1882"/>
      <c r="T425" s="1931"/>
      <c r="U425" s="1874"/>
      <c r="V425" s="1874"/>
      <c r="W425" s="701"/>
      <c r="X425" s="333"/>
      <c r="Y425" s="716"/>
      <c r="Z425" s="1706"/>
      <c r="AB425" s="3">
        <v>1</v>
      </c>
      <c r="AE425" s="2461"/>
      <c r="AF425" s="68"/>
    </row>
    <row r="426" spans="1:32" ht="45" x14ac:dyDescent="0.35">
      <c r="A426" s="1896">
        <v>167</v>
      </c>
      <c r="B426" s="1060">
        <v>11010</v>
      </c>
      <c r="C426" s="2083" t="s">
        <v>1656</v>
      </c>
      <c r="D426" s="2470" t="s">
        <v>5508</v>
      </c>
      <c r="E426" s="739" t="s">
        <v>11142</v>
      </c>
      <c r="F426" s="1953" t="s">
        <v>664</v>
      </c>
      <c r="G426" s="1953">
        <v>5</v>
      </c>
      <c r="H426" s="1620">
        <v>6</v>
      </c>
      <c r="I426" s="702">
        <f t="shared" si="22"/>
        <v>0.1</v>
      </c>
      <c r="J426" s="702">
        <f t="shared" si="23"/>
        <v>0.1</v>
      </c>
      <c r="K426" s="703"/>
      <c r="L426" s="703"/>
      <c r="M426" s="1387"/>
      <c r="N426" s="703"/>
      <c r="O426" s="1379"/>
      <c r="P426" s="1372"/>
      <c r="Q426" s="1364"/>
      <c r="R426" s="929">
        <v>0.1</v>
      </c>
      <c r="S426" s="1890"/>
      <c r="T426" s="1931"/>
      <c r="U426" s="1892"/>
      <c r="V426" s="1892"/>
      <c r="W426" s="730"/>
      <c r="X426" s="731"/>
      <c r="Y426" s="730"/>
      <c r="Z426" s="1708"/>
      <c r="AB426" s="3">
        <v>1</v>
      </c>
      <c r="AE426" s="2461"/>
      <c r="AF426" s="68"/>
    </row>
    <row r="427" spans="1:32" ht="60" x14ac:dyDescent="0.35">
      <c r="A427" s="1880">
        <v>168</v>
      </c>
      <c r="B427" s="1058">
        <v>11010</v>
      </c>
      <c r="C427" s="2083" t="s">
        <v>1656</v>
      </c>
      <c r="D427" s="2470" t="s">
        <v>5509</v>
      </c>
      <c r="E427" s="739" t="s">
        <v>10872</v>
      </c>
      <c r="F427" s="1953" t="s">
        <v>664</v>
      </c>
      <c r="G427" s="1953">
        <v>5</v>
      </c>
      <c r="H427" s="1620">
        <v>6</v>
      </c>
      <c r="I427" s="702">
        <f t="shared" si="22"/>
        <v>0.4</v>
      </c>
      <c r="J427" s="702">
        <f t="shared" si="23"/>
        <v>0.4</v>
      </c>
      <c r="K427" s="703"/>
      <c r="L427" s="703"/>
      <c r="M427" s="1387"/>
      <c r="N427" s="703"/>
      <c r="O427" s="1379"/>
      <c r="P427" s="1372"/>
      <c r="Q427" s="1364"/>
      <c r="R427" s="929">
        <v>0.4</v>
      </c>
      <c r="S427" s="1890"/>
      <c r="T427" s="1931"/>
      <c r="U427" s="1892"/>
      <c r="V427" s="1892"/>
      <c r="W427" s="730"/>
      <c r="X427" s="731"/>
      <c r="Y427" s="730"/>
      <c r="Z427" s="1708"/>
      <c r="AB427" s="3">
        <v>1</v>
      </c>
      <c r="AE427" s="2461"/>
      <c r="AF427" s="68"/>
    </row>
    <row r="428" spans="1:32" ht="45" x14ac:dyDescent="0.35">
      <c r="A428" s="1896">
        <v>169</v>
      </c>
      <c r="B428" s="2219">
        <v>11010</v>
      </c>
      <c r="C428" s="2083" t="s">
        <v>1656</v>
      </c>
      <c r="D428" s="2470" t="s">
        <v>5510</v>
      </c>
      <c r="E428" s="2113" t="s">
        <v>10070</v>
      </c>
      <c r="F428" s="2210" t="s">
        <v>827</v>
      </c>
      <c r="G428" s="2210">
        <v>5</v>
      </c>
      <c r="H428" s="1834">
        <v>6</v>
      </c>
      <c r="I428" s="580">
        <f t="shared" si="22"/>
        <v>0.7</v>
      </c>
      <c r="J428" s="2216">
        <f t="shared" si="23"/>
        <v>0.7</v>
      </c>
      <c r="K428" s="527"/>
      <c r="L428" s="527"/>
      <c r="M428" s="527"/>
      <c r="N428" s="580"/>
      <c r="O428" s="2215"/>
      <c r="P428" s="527"/>
      <c r="Q428" s="913">
        <v>0.7</v>
      </c>
      <c r="R428" s="906"/>
      <c r="S428" s="92"/>
      <c r="T428" s="1931"/>
      <c r="U428" s="92"/>
      <c r="V428" s="92"/>
      <c r="W428" s="92"/>
      <c r="X428" s="92"/>
      <c r="Y428" s="92"/>
      <c r="Z428" s="70"/>
      <c r="AB428" s="3">
        <v>1</v>
      </c>
      <c r="AE428" s="2461"/>
      <c r="AF428" s="68"/>
    </row>
    <row r="429" spans="1:32" ht="30" x14ac:dyDescent="0.35">
      <c r="A429" s="1880">
        <v>170</v>
      </c>
      <c r="B429" s="1152">
        <v>11011</v>
      </c>
      <c r="C429" s="1152"/>
      <c r="D429" s="755" t="s">
        <v>1491</v>
      </c>
      <c r="E429" s="715" t="s">
        <v>7199</v>
      </c>
      <c r="F429" s="725"/>
      <c r="G429" s="720" t="s">
        <v>191</v>
      </c>
      <c r="H429" s="725" t="s">
        <v>191</v>
      </c>
      <c r="I429" s="702">
        <f t="shared" si="22"/>
        <v>3.3540000000000001</v>
      </c>
      <c r="J429" s="702">
        <f t="shared" si="23"/>
        <v>3.3540000000000001</v>
      </c>
      <c r="K429" s="703"/>
      <c r="L429" s="703"/>
      <c r="M429" s="703"/>
      <c r="N429" s="2487">
        <f>SUM(N430:N433)</f>
        <v>2.0640000000000001</v>
      </c>
      <c r="O429" s="1380"/>
      <c r="P429" s="1372"/>
      <c r="Q429" s="1365">
        <f>SUM(Q430:Q433)</f>
        <v>1.29</v>
      </c>
      <c r="R429" s="1354"/>
      <c r="S429" s="1884">
        <v>1</v>
      </c>
      <c r="T429" s="1931">
        <v>37</v>
      </c>
      <c r="U429" s="1874"/>
      <c r="V429" s="1874"/>
      <c r="W429" s="716">
        <v>5</v>
      </c>
      <c r="X429" s="706">
        <v>61</v>
      </c>
      <c r="Y429" s="700">
        <v>4</v>
      </c>
      <c r="Z429" s="1705">
        <v>41</v>
      </c>
      <c r="AB429" s="3">
        <v>1</v>
      </c>
      <c r="AE429" s="2461"/>
      <c r="AF429" s="68"/>
    </row>
    <row r="430" spans="1:32" ht="17.5" x14ac:dyDescent="0.35">
      <c r="A430" s="1880"/>
      <c r="B430" s="1152"/>
      <c r="C430" s="1152"/>
      <c r="D430" s="755"/>
      <c r="E430" s="711" t="s">
        <v>11515</v>
      </c>
      <c r="F430" s="725">
        <v>4</v>
      </c>
      <c r="G430" s="720">
        <v>5</v>
      </c>
      <c r="H430" s="725">
        <v>6</v>
      </c>
      <c r="I430" s="726"/>
      <c r="J430" s="726"/>
      <c r="K430" s="721"/>
      <c r="L430" s="721"/>
      <c r="M430" s="721"/>
      <c r="N430" s="2918">
        <v>2</v>
      </c>
      <c r="O430" s="2601"/>
      <c r="P430" s="1950"/>
      <c r="Q430" s="1967"/>
      <c r="R430" s="1354"/>
      <c r="S430" s="1884"/>
      <c r="T430" s="1931"/>
      <c r="U430" s="1874"/>
      <c r="V430" s="1874"/>
      <c r="W430" s="716"/>
      <c r="X430" s="706"/>
      <c r="Y430" s="700"/>
      <c r="Z430" s="1705"/>
      <c r="AE430" s="2461"/>
      <c r="AF430" s="68"/>
    </row>
    <row r="431" spans="1:32" ht="17.5" x14ac:dyDescent="0.35">
      <c r="A431" s="1880"/>
      <c r="B431" s="1152"/>
      <c r="C431" s="1152"/>
      <c r="D431" s="755"/>
      <c r="E431" s="1394" t="s">
        <v>11523</v>
      </c>
      <c r="F431" s="1834">
        <v>4</v>
      </c>
      <c r="G431" s="1953">
        <v>5</v>
      </c>
      <c r="H431" s="179">
        <v>6</v>
      </c>
      <c r="I431" s="1918"/>
      <c r="J431" s="1918"/>
      <c r="K431" s="1919"/>
      <c r="L431" s="1919"/>
      <c r="M431" s="1920"/>
      <c r="N431" s="2076"/>
      <c r="O431" s="2601"/>
      <c r="P431" s="1950"/>
      <c r="Q431" s="1967">
        <f>2.217-2</f>
        <v>0.21700000000000008</v>
      </c>
      <c r="R431" s="1354"/>
      <c r="S431" s="1884"/>
      <c r="T431" s="1931"/>
      <c r="U431" s="1874"/>
      <c r="V431" s="1874"/>
      <c r="W431" s="716"/>
      <c r="X431" s="706"/>
      <c r="Y431" s="700"/>
      <c r="Z431" s="1705"/>
      <c r="AE431" s="2461"/>
      <c r="AF431" s="68"/>
    </row>
    <row r="432" spans="1:32" ht="17.5" x14ac:dyDescent="0.35">
      <c r="A432" s="1880"/>
      <c r="B432" s="1152"/>
      <c r="C432" s="1152"/>
      <c r="D432" s="755"/>
      <c r="E432" s="2917" t="s">
        <v>11525</v>
      </c>
      <c r="F432" s="725">
        <v>4</v>
      </c>
      <c r="G432" s="720">
        <v>5</v>
      </c>
      <c r="H432" s="725">
        <v>6</v>
      </c>
      <c r="I432" s="726"/>
      <c r="J432" s="726"/>
      <c r="K432" s="721"/>
      <c r="L432" s="721"/>
      <c r="M432" s="721"/>
      <c r="N432" s="2918">
        <f>2.281-2.217</f>
        <v>6.4000000000000057E-2</v>
      </c>
      <c r="O432" s="2601"/>
      <c r="P432" s="1950"/>
      <c r="Q432" s="1967"/>
      <c r="R432" s="1354"/>
      <c r="S432" s="1884"/>
      <c r="T432" s="1931"/>
      <c r="U432" s="1874"/>
      <c r="V432" s="1874"/>
      <c r="W432" s="716"/>
      <c r="X432" s="706"/>
      <c r="Y432" s="700"/>
      <c r="Z432" s="1705"/>
      <c r="AE432" s="2461"/>
      <c r="AF432" s="68"/>
    </row>
    <row r="433" spans="1:32" ht="17.5" x14ac:dyDescent="0.35">
      <c r="A433" s="1880"/>
      <c r="B433" s="1152"/>
      <c r="C433" s="1152"/>
      <c r="D433" s="755"/>
      <c r="E433" s="1394" t="s">
        <v>11524</v>
      </c>
      <c r="F433" s="1834">
        <v>4</v>
      </c>
      <c r="G433" s="1953">
        <v>5</v>
      </c>
      <c r="H433" s="179">
        <v>6</v>
      </c>
      <c r="I433" s="1918"/>
      <c r="J433" s="1918"/>
      <c r="K433" s="1919"/>
      <c r="L433" s="1919"/>
      <c r="M433" s="1920"/>
      <c r="N433" s="2076"/>
      <c r="O433" s="2601"/>
      <c r="P433" s="1950"/>
      <c r="Q433" s="1967">
        <f>3.354-2.281</f>
        <v>1.073</v>
      </c>
      <c r="R433" s="1354"/>
      <c r="S433" s="1884"/>
      <c r="T433" s="1931"/>
      <c r="U433" s="1874"/>
      <c r="V433" s="1874"/>
      <c r="W433" s="716"/>
      <c r="X433" s="706"/>
      <c r="Y433" s="700"/>
      <c r="Z433" s="1705"/>
      <c r="AE433" s="2461"/>
      <c r="AF433" s="68"/>
    </row>
    <row r="434" spans="1:32" ht="30" x14ac:dyDescent="0.35">
      <c r="A434" s="1880">
        <v>171</v>
      </c>
      <c r="B434" s="1059">
        <v>11011</v>
      </c>
      <c r="C434" s="1059"/>
      <c r="D434" s="2470" t="s">
        <v>5511</v>
      </c>
      <c r="E434" s="733" t="s">
        <v>7852</v>
      </c>
      <c r="F434" s="1834" t="s">
        <v>664</v>
      </c>
      <c r="G434" s="1834">
        <v>5</v>
      </c>
      <c r="H434" s="1620">
        <v>6</v>
      </c>
      <c r="I434" s="702">
        <f t="shared" si="22"/>
        <v>0.8</v>
      </c>
      <c r="J434" s="702">
        <f t="shared" si="23"/>
        <v>0.8</v>
      </c>
      <c r="K434" s="703"/>
      <c r="L434" s="703"/>
      <c r="M434" s="1387"/>
      <c r="N434" s="703"/>
      <c r="O434" s="1379"/>
      <c r="P434" s="1372"/>
      <c r="Q434" s="1364"/>
      <c r="R434" s="1355">
        <v>0.8</v>
      </c>
      <c r="S434" s="1882"/>
      <c r="T434" s="1931"/>
      <c r="U434" s="1874"/>
      <c r="V434" s="1874"/>
      <c r="W434" s="701"/>
      <c r="X434" s="333"/>
      <c r="Y434" s="716"/>
      <c r="Z434" s="1706"/>
      <c r="AB434" s="3">
        <v>1</v>
      </c>
      <c r="AE434" s="2461"/>
      <c r="AF434" s="68"/>
    </row>
    <row r="435" spans="1:32" ht="30" x14ac:dyDescent="0.35">
      <c r="A435" s="1896">
        <v>172</v>
      </c>
      <c r="B435" s="1060">
        <v>11011</v>
      </c>
      <c r="C435" s="1060"/>
      <c r="D435" s="2470" t="s">
        <v>5512</v>
      </c>
      <c r="E435" s="739" t="s">
        <v>11622</v>
      </c>
      <c r="F435" s="2709" t="s">
        <v>1490</v>
      </c>
      <c r="G435" s="1953">
        <v>5</v>
      </c>
      <c r="H435" s="1620">
        <v>6</v>
      </c>
      <c r="I435" s="2841">
        <f t="shared" si="22"/>
        <v>1.3</v>
      </c>
      <c r="J435" s="2841">
        <f t="shared" si="23"/>
        <v>1.3</v>
      </c>
      <c r="K435" s="703"/>
      <c r="L435" s="703"/>
      <c r="M435" s="1387"/>
      <c r="N435" s="703"/>
      <c r="O435" s="1379"/>
      <c r="P435" s="1372"/>
      <c r="Q435" s="1364"/>
      <c r="R435" s="925">
        <v>1.3</v>
      </c>
      <c r="S435" s="1890"/>
      <c r="T435" s="1931"/>
      <c r="U435" s="1892"/>
      <c r="V435" s="1892"/>
      <c r="W435" s="730"/>
      <c r="X435" s="731"/>
      <c r="Y435" s="730"/>
      <c r="Z435" s="1708"/>
      <c r="AB435" s="3">
        <v>1</v>
      </c>
      <c r="AE435" s="2461"/>
      <c r="AF435" s="68"/>
    </row>
    <row r="436" spans="1:32" ht="30" x14ac:dyDescent="0.35">
      <c r="A436" s="1896">
        <v>173</v>
      </c>
      <c r="B436" s="1152">
        <v>11012</v>
      </c>
      <c r="C436" s="1152"/>
      <c r="D436" s="755" t="s">
        <v>1492</v>
      </c>
      <c r="E436" s="715" t="s">
        <v>11178</v>
      </c>
      <c r="F436" s="725"/>
      <c r="G436" s="720" t="s">
        <v>191</v>
      </c>
      <c r="H436" s="725" t="s">
        <v>191</v>
      </c>
      <c r="I436" s="702">
        <f t="shared" si="22"/>
        <v>4.43</v>
      </c>
      <c r="J436" s="702">
        <f t="shared" si="23"/>
        <v>4.43</v>
      </c>
      <c r="K436" s="717"/>
      <c r="L436" s="703"/>
      <c r="M436" s="703"/>
      <c r="N436" s="2487">
        <f>SUM(N437:N442)</f>
        <v>0.69999999999999973</v>
      </c>
      <c r="O436" s="1379"/>
      <c r="P436" s="1372"/>
      <c r="Q436" s="1365">
        <f>SUM(Q437:Q442)</f>
        <v>3.73</v>
      </c>
      <c r="R436" s="1355"/>
      <c r="S436" s="1882"/>
      <c r="T436" s="1931"/>
      <c r="U436" s="1874"/>
      <c r="V436" s="1874"/>
      <c r="W436" s="716">
        <v>13</v>
      </c>
      <c r="X436" s="333">
        <v>155</v>
      </c>
      <c r="Y436" s="716">
        <v>8</v>
      </c>
      <c r="Z436" s="1706">
        <v>80</v>
      </c>
      <c r="AB436" s="3">
        <v>1</v>
      </c>
      <c r="AE436" s="2461"/>
      <c r="AF436" s="68"/>
    </row>
    <row r="437" spans="1:32" ht="18" x14ac:dyDescent="0.4">
      <c r="A437" s="1886"/>
      <c r="B437" s="1152">
        <v>11012</v>
      </c>
      <c r="C437" s="1152"/>
      <c r="D437" s="754"/>
      <c r="E437" s="1394" t="s">
        <v>429</v>
      </c>
      <c r="F437" s="1834">
        <v>4</v>
      </c>
      <c r="G437" s="1953">
        <v>5</v>
      </c>
      <c r="H437" s="179">
        <v>6</v>
      </c>
      <c r="I437" s="708"/>
      <c r="J437" s="708"/>
      <c r="K437" s="709"/>
      <c r="L437" s="709"/>
      <c r="M437" s="1388"/>
      <c r="N437" s="709"/>
      <c r="O437" s="1378"/>
      <c r="P437" s="1371"/>
      <c r="Q437" s="1366">
        <v>2.895</v>
      </c>
      <c r="R437" s="1353"/>
      <c r="S437" s="1879"/>
      <c r="T437" s="1931"/>
      <c r="U437" s="1877"/>
      <c r="V437" s="1877"/>
      <c r="W437" s="720"/>
      <c r="X437" s="332"/>
      <c r="Y437" s="725"/>
      <c r="Z437" s="2664"/>
      <c r="AE437" s="2461"/>
      <c r="AF437" s="68"/>
    </row>
    <row r="438" spans="1:32" ht="18" x14ac:dyDescent="0.4">
      <c r="A438" s="1886"/>
      <c r="B438" s="1152">
        <v>11012</v>
      </c>
      <c r="C438" s="1152"/>
      <c r="D438" s="754"/>
      <c r="E438" s="1394" t="s">
        <v>11081</v>
      </c>
      <c r="F438" s="1834">
        <v>5</v>
      </c>
      <c r="G438" s="1953">
        <v>5</v>
      </c>
      <c r="H438" s="179">
        <v>6</v>
      </c>
      <c r="I438" s="708"/>
      <c r="J438" s="708"/>
      <c r="K438" s="709"/>
      <c r="L438" s="709"/>
      <c r="M438" s="1388"/>
      <c r="N438" s="709"/>
      <c r="O438" s="1378"/>
      <c r="P438" s="1371"/>
      <c r="Q438" s="1363">
        <f>3.394-2.895</f>
        <v>0.49900000000000011</v>
      </c>
      <c r="R438" s="1356"/>
      <c r="S438" s="1879"/>
      <c r="T438" s="1931"/>
      <c r="U438" s="1877"/>
      <c r="V438" s="1877"/>
      <c r="W438" s="720"/>
      <c r="X438" s="332"/>
      <c r="Y438" s="725"/>
      <c r="Z438" s="2664"/>
      <c r="AA438" s="3" t="s">
        <v>567</v>
      </c>
      <c r="AE438" s="2461"/>
      <c r="AF438" s="68"/>
    </row>
    <row r="439" spans="1:32" ht="18" x14ac:dyDescent="0.4">
      <c r="A439" s="1886"/>
      <c r="B439" s="1152"/>
      <c r="C439" s="1152"/>
      <c r="D439" s="754"/>
      <c r="E439" s="711" t="s">
        <v>11526</v>
      </c>
      <c r="F439" s="725">
        <v>5</v>
      </c>
      <c r="G439" s="720">
        <v>5</v>
      </c>
      <c r="H439" s="725">
        <v>6</v>
      </c>
      <c r="I439" s="726"/>
      <c r="J439" s="726"/>
      <c r="K439" s="721"/>
      <c r="L439" s="721"/>
      <c r="M439" s="721"/>
      <c r="N439" s="721">
        <f>3.844-3.394</f>
        <v>0.44999999999999973</v>
      </c>
      <c r="O439" s="1378"/>
      <c r="P439" s="1371"/>
      <c r="Q439" s="1363"/>
      <c r="R439" s="1356"/>
      <c r="S439" s="1879"/>
      <c r="T439" s="1931"/>
      <c r="U439" s="1877"/>
      <c r="V439" s="1877"/>
      <c r="W439" s="720"/>
      <c r="X439" s="332"/>
      <c r="Y439" s="725"/>
      <c r="Z439" s="2664"/>
      <c r="AE439" s="2461"/>
      <c r="AF439" s="68"/>
    </row>
    <row r="440" spans="1:32" ht="18" x14ac:dyDescent="0.4">
      <c r="A440" s="1886"/>
      <c r="B440" s="1152">
        <v>11012</v>
      </c>
      <c r="C440" s="1152"/>
      <c r="D440" s="754"/>
      <c r="E440" s="1394" t="s">
        <v>11578</v>
      </c>
      <c r="F440" s="1834">
        <v>5</v>
      </c>
      <c r="G440" s="1953">
        <v>5</v>
      </c>
      <c r="H440" s="179">
        <v>6</v>
      </c>
      <c r="I440" s="708"/>
      <c r="J440" s="708"/>
      <c r="K440" s="709"/>
      <c r="L440" s="709"/>
      <c r="M440" s="1388"/>
      <c r="N440" s="712"/>
      <c r="O440" s="1378"/>
      <c r="P440" s="1371"/>
      <c r="Q440" s="1363">
        <f>4.18-3.844</f>
        <v>0.33599999999999985</v>
      </c>
      <c r="R440" s="1356"/>
      <c r="S440" s="1879"/>
      <c r="T440" s="1931"/>
      <c r="U440" s="1877"/>
      <c r="V440" s="1877"/>
      <c r="W440" s="720"/>
      <c r="X440" s="332"/>
      <c r="Y440" s="725"/>
      <c r="Z440" s="2664"/>
      <c r="AE440" s="2461"/>
      <c r="AF440" s="68"/>
    </row>
    <row r="441" spans="1:32" ht="18" x14ac:dyDescent="0.4">
      <c r="A441" s="1886"/>
      <c r="B441" s="1152"/>
      <c r="C441" s="1152"/>
      <c r="D441" s="754"/>
      <c r="E441" s="2917" t="s">
        <v>11577</v>
      </c>
      <c r="F441" s="2690">
        <v>5</v>
      </c>
      <c r="G441" s="2709">
        <v>5</v>
      </c>
      <c r="H441" s="2690">
        <v>6</v>
      </c>
      <c r="I441" s="708"/>
      <c r="J441" s="708"/>
      <c r="K441" s="709"/>
      <c r="L441" s="709"/>
      <c r="M441" s="1388"/>
      <c r="N441" s="2918">
        <f>4.43-4.18</f>
        <v>0.25</v>
      </c>
      <c r="O441" s="1378"/>
      <c r="P441" s="1371"/>
      <c r="Q441" s="1363"/>
      <c r="R441" s="1356"/>
      <c r="S441" s="1879"/>
      <c r="T441" s="1931"/>
      <c r="U441" s="1877"/>
      <c r="V441" s="1877"/>
      <c r="W441" s="720"/>
      <c r="X441" s="332"/>
      <c r="Y441" s="725"/>
      <c r="Z441" s="2664"/>
      <c r="AE441" s="2461"/>
      <c r="AF441" s="68"/>
    </row>
    <row r="442" spans="1:32" ht="46.5" x14ac:dyDescent="0.4">
      <c r="A442" s="1886"/>
      <c r="B442" s="1152">
        <v>11012</v>
      </c>
      <c r="C442" s="1152"/>
      <c r="D442" s="754"/>
      <c r="E442" s="711" t="s">
        <v>11179</v>
      </c>
      <c r="F442" s="1834"/>
      <c r="G442" s="179" t="s">
        <v>191</v>
      </c>
      <c r="H442" s="179" t="s">
        <v>191</v>
      </c>
      <c r="I442" s="708"/>
      <c r="J442" s="708"/>
      <c r="K442" s="709"/>
      <c r="L442" s="709"/>
      <c r="M442" s="1388"/>
      <c r="N442" s="709"/>
      <c r="O442" s="1378"/>
      <c r="P442" s="1371"/>
      <c r="Q442" s="1363"/>
      <c r="R442" s="1356"/>
      <c r="S442" s="1879"/>
      <c r="T442" s="1931"/>
      <c r="U442" s="1877"/>
      <c r="V442" s="1877"/>
      <c r="W442" s="720"/>
      <c r="X442" s="332"/>
      <c r="Y442" s="725"/>
      <c r="Z442" s="2664"/>
      <c r="AE442" s="2461"/>
      <c r="AF442" s="68"/>
    </row>
    <row r="443" spans="1:32" ht="30" x14ac:dyDescent="0.35">
      <c r="A443" s="1896">
        <v>174</v>
      </c>
      <c r="B443" s="1060">
        <v>11012</v>
      </c>
      <c r="C443" s="2083" t="s">
        <v>1656</v>
      </c>
      <c r="D443" s="2470" t="s">
        <v>5513</v>
      </c>
      <c r="E443" s="739" t="s">
        <v>8746</v>
      </c>
      <c r="F443" s="1953" t="s">
        <v>664</v>
      </c>
      <c r="G443" s="1953">
        <v>5</v>
      </c>
      <c r="H443" s="1620">
        <v>6</v>
      </c>
      <c r="I443" s="702">
        <f>J443+K443+L443</f>
        <v>0.2</v>
      </c>
      <c r="J443" s="702">
        <f>SUM(M443:R443)</f>
        <v>0.2</v>
      </c>
      <c r="K443" s="703"/>
      <c r="L443" s="703"/>
      <c r="M443" s="1387"/>
      <c r="N443" s="703"/>
      <c r="O443" s="1379"/>
      <c r="P443" s="1372"/>
      <c r="Q443" s="1364"/>
      <c r="R443" s="929">
        <v>0.2</v>
      </c>
      <c r="S443" s="1890"/>
      <c r="T443" s="1931"/>
      <c r="U443" s="1892"/>
      <c r="V443" s="1892"/>
      <c r="W443" s="730"/>
      <c r="X443" s="731"/>
      <c r="Y443" s="730"/>
      <c r="Z443" s="1708"/>
      <c r="AB443" s="3">
        <v>1</v>
      </c>
      <c r="AE443" s="2461"/>
      <c r="AF443" s="68"/>
    </row>
    <row r="444" spans="1:32" ht="30" x14ac:dyDescent="0.35">
      <c r="A444" s="1880">
        <v>175</v>
      </c>
      <c r="B444" s="1153">
        <v>11013</v>
      </c>
      <c r="C444" s="1153"/>
      <c r="D444" s="752" t="s">
        <v>1493</v>
      </c>
      <c r="E444" s="699" t="s">
        <v>10495</v>
      </c>
      <c r="F444" s="1943"/>
      <c r="G444" s="1953" t="s">
        <v>191</v>
      </c>
      <c r="H444" s="179" t="s">
        <v>191</v>
      </c>
      <c r="I444" s="702">
        <f>J444+K444+L444</f>
        <v>12.824000000000002</v>
      </c>
      <c r="J444" s="702">
        <f>SUM(M444:R444)</f>
        <v>12.791</v>
      </c>
      <c r="K444" s="703"/>
      <c r="L444" s="702">
        <f>SUM(L445:L449)</f>
        <v>3.3000000000000571E-2</v>
      </c>
      <c r="M444" s="1384"/>
      <c r="N444" s="702">
        <f>SUM(N445:N449)</f>
        <v>9.1440000000000001</v>
      </c>
      <c r="O444" s="1376"/>
      <c r="P444" s="1369"/>
      <c r="Q444" s="1361">
        <f>SUM(Q445:Q449)</f>
        <v>3.6469999999999994</v>
      </c>
      <c r="R444" s="1351"/>
      <c r="S444" s="1873">
        <v>1</v>
      </c>
      <c r="T444" s="1931">
        <v>48.9</v>
      </c>
      <c r="U444" s="1874"/>
      <c r="V444" s="1874"/>
      <c r="W444" s="700">
        <v>26</v>
      </c>
      <c r="X444" s="333">
        <v>361.05</v>
      </c>
      <c r="Y444" s="716">
        <v>6</v>
      </c>
      <c r="Z444" s="1706">
        <v>57.6</v>
      </c>
      <c r="AB444" s="3">
        <v>1</v>
      </c>
      <c r="AE444" s="2461"/>
      <c r="AF444" s="68"/>
    </row>
    <row r="445" spans="1:32" ht="31" x14ac:dyDescent="0.35">
      <c r="A445" s="1880"/>
      <c r="B445" s="1153"/>
      <c r="C445" s="1153"/>
      <c r="D445" s="752"/>
      <c r="E445" s="1935" t="s">
        <v>7195</v>
      </c>
      <c r="F445" s="1943">
        <v>4</v>
      </c>
      <c r="G445" s="1953">
        <v>4</v>
      </c>
      <c r="H445" s="179" t="s">
        <v>191</v>
      </c>
      <c r="I445" s="702"/>
      <c r="J445" s="702"/>
      <c r="K445" s="703"/>
      <c r="L445" s="1919">
        <v>1.7999999999999999E-2</v>
      </c>
      <c r="M445" s="1384"/>
      <c r="N445" s="702"/>
      <c r="O445" s="1376"/>
      <c r="P445" s="1369"/>
      <c r="Q445" s="1361"/>
      <c r="R445" s="1351"/>
      <c r="S445" s="1873"/>
      <c r="T445" s="1931"/>
      <c r="U445" s="1874"/>
      <c r="V445" s="1874"/>
      <c r="W445" s="700"/>
      <c r="X445" s="333"/>
      <c r="Y445" s="716"/>
      <c r="Z445" s="1706"/>
      <c r="AE445" s="2461"/>
      <c r="AF445" s="68"/>
    </row>
    <row r="446" spans="1:32" ht="18" x14ac:dyDescent="0.4">
      <c r="A446" s="1886"/>
      <c r="B446" s="1153">
        <v>11013</v>
      </c>
      <c r="C446" s="1153"/>
      <c r="D446" s="753"/>
      <c r="E446" s="707" t="s">
        <v>7192</v>
      </c>
      <c r="F446" s="1943">
        <v>4</v>
      </c>
      <c r="G446" s="179">
        <v>4</v>
      </c>
      <c r="H446" s="179">
        <v>6</v>
      </c>
      <c r="I446" s="708"/>
      <c r="J446" s="708"/>
      <c r="K446" s="709"/>
      <c r="L446" s="709"/>
      <c r="M446" s="1385"/>
      <c r="N446" s="708">
        <f>7.569-0.018</f>
        <v>7.5510000000000002</v>
      </c>
      <c r="O446" s="1377"/>
      <c r="P446" s="1370"/>
      <c r="Q446" s="1362"/>
      <c r="R446" s="1352"/>
      <c r="S446" s="1876"/>
      <c r="T446" s="1931"/>
      <c r="U446" s="1877"/>
      <c r="V446" s="1877"/>
      <c r="W446" s="1770"/>
      <c r="X446" s="332"/>
      <c r="Y446" s="725"/>
      <c r="Z446" s="2664"/>
      <c r="AE446" s="2461"/>
      <c r="AF446" s="68"/>
    </row>
    <row r="447" spans="1:32" ht="18" x14ac:dyDescent="0.4">
      <c r="A447" s="1886"/>
      <c r="B447" s="1153">
        <v>11013</v>
      </c>
      <c r="C447" s="1153"/>
      <c r="D447" s="754"/>
      <c r="E447" s="1394" t="s">
        <v>7194</v>
      </c>
      <c r="F447" s="1943">
        <v>4</v>
      </c>
      <c r="G447" s="179">
        <v>5</v>
      </c>
      <c r="H447" s="179">
        <v>6</v>
      </c>
      <c r="I447" s="708"/>
      <c r="J447" s="708"/>
      <c r="K447" s="709"/>
      <c r="L447" s="709"/>
      <c r="M447" s="1388"/>
      <c r="N447" s="709"/>
      <c r="O447" s="1378"/>
      <c r="P447" s="1371"/>
      <c r="Q447" s="1366">
        <f>11.216-7.569</f>
        <v>3.6469999999999994</v>
      </c>
      <c r="R447" s="1353"/>
      <c r="S447" s="1879"/>
      <c r="T447" s="1931"/>
      <c r="U447" s="1877"/>
      <c r="V447" s="1877"/>
      <c r="W447" s="720"/>
      <c r="X447" s="332"/>
      <c r="Y447" s="725"/>
      <c r="Z447" s="2664"/>
      <c r="AE447" s="2461"/>
      <c r="AF447" s="68"/>
    </row>
    <row r="448" spans="1:32" ht="18" x14ac:dyDescent="0.4">
      <c r="A448" s="1886"/>
      <c r="B448" s="1153">
        <v>11013</v>
      </c>
      <c r="C448" s="1153"/>
      <c r="D448" s="754"/>
      <c r="E448" s="711" t="s">
        <v>7193</v>
      </c>
      <c r="F448" s="1943">
        <v>4</v>
      </c>
      <c r="G448" s="179">
        <v>5</v>
      </c>
      <c r="H448" s="179">
        <v>6</v>
      </c>
      <c r="I448" s="708"/>
      <c r="J448" s="708"/>
      <c r="K448" s="709"/>
      <c r="L448" s="709"/>
      <c r="M448" s="1388"/>
      <c r="N448" s="712">
        <f>12.809-11.216</f>
        <v>1.593</v>
      </c>
      <c r="O448" s="1378"/>
      <c r="P448" s="1371"/>
      <c r="Q448" s="1363"/>
      <c r="R448" s="1353"/>
      <c r="S448" s="1879"/>
      <c r="T448" s="1931"/>
      <c r="U448" s="1877"/>
      <c r="V448" s="1877"/>
      <c r="W448" s="720"/>
      <c r="X448" s="332"/>
      <c r="Y448" s="725"/>
      <c r="Z448" s="2664"/>
      <c r="AE448" s="2461"/>
      <c r="AF448" s="68"/>
    </row>
    <row r="449" spans="1:32" ht="31" x14ac:dyDescent="0.4">
      <c r="A449" s="1886"/>
      <c r="B449" s="1153"/>
      <c r="C449" s="1153"/>
      <c r="D449" s="754"/>
      <c r="E449" s="711" t="s">
        <v>7196</v>
      </c>
      <c r="F449" s="1943">
        <v>4</v>
      </c>
      <c r="G449" s="179">
        <v>5</v>
      </c>
      <c r="H449" s="179" t="s">
        <v>191</v>
      </c>
      <c r="I449" s="708"/>
      <c r="J449" s="708"/>
      <c r="K449" s="709"/>
      <c r="L449" s="709">
        <f>12.824-12.809</f>
        <v>1.5000000000000568E-2</v>
      </c>
      <c r="M449" s="1388"/>
      <c r="N449" s="712"/>
      <c r="O449" s="1378"/>
      <c r="P449" s="1371"/>
      <c r="Q449" s="1363"/>
      <c r="R449" s="1353"/>
      <c r="S449" s="1879"/>
      <c r="T449" s="1931"/>
      <c r="U449" s="1877"/>
      <c r="V449" s="1877"/>
      <c r="W449" s="720"/>
      <c r="X449" s="332"/>
      <c r="Y449" s="725"/>
      <c r="Z449" s="2664"/>
      <c r="AE449" s="2461"/>
      <c r="AF449" s="68"/>
    </row>
    <row r="450" spans="1:32" ht="45" x14ac:dyDescent="0.35">
      <c r="A450" s="525">
        <v>176</v>
      </c>
      <c r="B450" s="1719">
        <v>11013</v>
      </c>
      <c r="C450" s="2083" t="s">
        <v>1656</v>
      </c>
      <c r="D450" s="2470" t="s">
        <v>5514</v>
      </c>
      <c r="E450" s="2187" t="s">
        <v>11617</v>
      </c>
      <c r="F450" s="92"/>
      <c r="G450" s="92" t="s">
        <v>191</v>
      </c>
      <c r="H450" s="1943" t="s">
        <v>191</v>
      </c>
      <c r="I450" s="2841">
        <f>J450+K450+L450</f>
        <v>1.1000000000000001</v>
      </c>
      <c r="J450" s="2841">
        <f>SUM(M450:R450)</f>
        <v>1.1000000000000001</v>
      </c>
      <c r="K450" s="622"/>
      <c r="L450" s="622"/>
      <c r="M450" s="622"/>
      <c r="N450" s="2937">
        <f>SUM(N451:N452)</f>
        <v>0.7</v>
      </c>
      <c r="O450" s="622"/>
      <c r="P450" s="622"/>
      <c r="Q450" s="622"/>
      <c r="R450" s="1984">
        <f>SUM(R451:R452)</f>
        <v>0.40000000000000013</v>
      </c>
      <c r="S450" s="106"/>
      <c r="T450" s="1931"/>
      <c r="U450" s="106"/>
      <c r="V450" s="106"/>
      <c r="W450" s="105"/>
      <c r="X450" s="105"/>
      <c r="Y450" s="105"/>
      <c r="Z450" s="323"/>
      <c r="AB450" s="3">
        <v>1</v>
      </c>
      <c r="AE450" s="2461"/>
      <c r="AF450" s="68"/>
    </row>
    <row r="451" spans="1:32" x14ac:dyDescent="0.35">
      <c r="A451" s="525"/>
      <c r="B451" s="1719">
        <v>11013</v>
      </c>
      <c r="C451" s="2219"/>
      <c r="D451" s="693"/>
      <c r="E451" s="711" t="s">
        <v>11618</v>
      </c>
      <c r="F451" s="92" t="s">
        <v>827</v>
      </c>
      <c r="G451" s="92">
        <v>5</v>
      </c>
      <c r="H451" s="179">
        <v>6</v>
      </c>
      <c r="I451" s="1918"/>
      <c r="J451" s="1918"/>
      <c r="K451" s="395"/>
      <c r="L451" s="395"/>
      <c r="M451" s="395"/>
      <c r="N451" s="2930">
        <v>0.7</v>
      </c>
      <c r="O451" s="395"/>
      <c r="P451" s="395"/>
      <c r="Q451" s="395"/>
      <c r="R451" s="2305"/>
      <c r="S451" s="106"/>
      <c r="T451" s="1931"/>
      <c r="U451" s="106"/>
      <c r="V451" s="106"/>
      <c r="W451" s="105"/>
      <c r="X451" s="105"/>
      <c r="Y451" s="105"/>
      <c r="Z451" s="323"/>
      <c r="AE451" s="2461"/>
      <c r="AF451" s="68"/>
    </row>
    <row r="452" spans="1:32" x14ac:dyDescent="0.35">
      <c r="A452" s="525"/>
      <c r="B452" s="1719">
        <v>11013</v>
      </c>
      <c r="C452" s="2219"/>
      <c r="D452" s="693"/>
      <c r="E452" s="1390" t="s">
        <v>539</v>
      </c>
      <c r="F452" s="92" t="s">
        <v>664</v>
      </c>
      <c r="G452" s="92">
        <v>5</v>
      </c>
      <c r="H452" s="1620">
        <v>6</v>
      </c>
      <c r="I452" s="1918"/>
      <c r="J452" s="1918"/>
      <c r="K452" s="395"/>
      <c r="L452" s="395"/>
      <c r="M452" s="395"/>
      <c r="N452" s="395"/>
      <c r="O452" s="395"/>
      <c r="P452" s="395"/>
      <c r="Q452" s="395"/>
      <c r="R452" s="2305">
        <f>1.1-0.7</f>
        <v>0.40000000000000013</v>
      </c>
      <c r="S452" s="106"/>
      <c r="T452" s="1931"/>
      <c r="U452" s="106"/>
      <c r="V452" s="106"/>
      <c r="W452" s="105"/>
      <c r="X452" s="105"/>
      <c r="Y452" s="105"/>
      <c r="Z452" s="323"/>
      <c r="AE452" s="2461"/>
      <c r="AF452" s="68"/>
    </row>
    <row r="453" spans="1:32" ht="30" x14ac:dyDescent="0.35">
      <c r="A453" s="1880">
        <v>177</v>
      </c>
      <c r="B453" s="1152">
        <v>11014</v>
      </c>
      <c r="C453" s="1152"/>
      <c r="D453" s="755" t="s">
        <v>2238</v>
      </c>
      <c r="E453" s="715" t="s">
        <v>10071</v>
      </c>
      <c r="F453" s="1834"/>
      <c r="G453" s="1953" t="s">
        <v>191</v>
      </c>
      <c r="H453" s="1943" t="s">
        <v>191</v>
      </c>
      <c r="I453" s="702">
        <f>J453+K453+L453</f>
        <v>5.7279999999999998</v>
      </c>
      <c r="J453" s="702">
        <f>SUM(M453:R453)</f>
        <v>5.7279999999999998</v>
      </c>
      <c r="K453" s="703"/>
      <c r="L453" s="703"/>
      <c r="M453" s="1387"/>
      <c r="N453" s="717">
        <f>SUM(N454:N456)</f>
        <v>5.7279999999999998</v>
      </c>
      <c r="O453" s="1379"/>
      <c r="P453" s="1372"/>
      <c r="Q453" s="1365"/>
      <c r="R453" s="1354"/>
      <c r="S453" s="1884">
        <v>1</v>
      </c>
      <c r="T453" s="1931">
        <v>8</v>
      </c>
      <c r="U453" s="1874"/>
      <c r="V453" s="1874"/>
      <c r="W453" s="716">
        <v>11</v>
      </c>
      <c r="X453" s="333">
        <v>130.65</v>
      </c>
      <c r="Y453" s="716">
        <v>7</v>
      </c>
      <c r="Z453" s="1706">
        <v>71</v>
      </c>
      <c r="AB453" s="3">
        <v>1</v>
      </c>
      <c r="AE453" s="2461"/>
      <c r="AF453" s="68"/>
    </row>
    <row r="454" spans="1:32" ht="17.5" x14ac:dyDescent="0.35">
      <c r="A454" s="1880"/>
      <c r="B454" s="1152">
        <v>11014</v>
      </c>
      <c r="C454" s="1152"/>
      <c r="D454" s="755"/>
      <c r="E454" s="711" t="s">
        <v>135</v>
      </c>
      <c r="F454" s="1834">
        <v>4</v>
      </c>
      <c r="G454" s="1953">
        <v>5</v>
      </c>
      <c r="H454" s="179">
        <v>6</v>
      </c>
      <c r="I454" s="1918"/>
      <c r="J454" s="1918"/>
      <c r="K454" s="1919"/>
      <c r="L454" s="1919"/>
      <c r="M454" s="1920"/>
      <c r="N454" s="2076">
        <v>3.46</v>
      </c>
      <c r="O454" s="1379"/>
      <c r="P454" s="1372"/>
      <c r="Q454" s="1365"/>
      <c r="R454" s="1354"/>
      <c r="S454" s="1884"/>
      <c r="T454" s="1931"/>
      <c r="U454" s="1874"/>
      <c r="V454" s="1874"/>
      <c r="W454" s="716"/>
      <c r="X454" s="333"/>
      <c r="Y454" s="716"/>
      <c r="Z454" s="1706"/>
      <c r="AE454" s="2461"/>
      <c r="AF454" s="68"/>
    </row>
    <row r="455" spans="1:32" ht="17.5" x14ac:dyDescent="0.35">
      <c r="A455" s="1880"/>
      <c r="B455" s="1152">
        <v>11014</v>
      </c>
      <c r="C455" s="1152"/>
      <c r="D455" s="755"/>
      <c r="E455" s="711" t="s">
        <v>134</v>
      </c>
      <c r="F455" s="1834">
        <v>4</v>
      </c>
      <c r="G455" s="1953">
        <v>5</v>
      </c>
      <c r="H455" s="179">
        <v>10</v>
      </c>
      <c r="I455" s="1918"/>
      <c r="J455" s="1918"/>
      <c r="K455" s="1919"/>
      <c r="L455" s="1919"/>
      <c r="M455" s="1920"/>
      <c r="N455" s="2076">
        <f>5.1-3.46</f>
        <v>1.6399999999999997</v>
      </c>
      <c r="O455" s="1379"/>
      <c r="P455" s="1372"/>
      <c r="Q455" s="1365"/>
      <c r="R455" s="1354"/>
      <c r="S455" s="1884"/>
      <c r="T455" s="1931"/>
      <c r="U455" s="1874"/>
      <c r="V455" s="1874"/>
      <c r="W455" s="716"/>
      <c r="X455" s="333"/>
      <c r="Y455" s="716"/>
      <c r="Z455" s="1706"/>
      <c r="AE455" s="2461"/>
      <c r="AF455" s="68"/>
    </row>
    <row r="456" spans="1:32" ht="17.5" x14ac:dyDescent="0.35">
      <c r="A456" s="1880"/>
      <c r="B456" s="1152">
        <v>11014</v>
      </c>
      <c r="C456" s="1152"/>
      <c r="D456" s="755"/>
      <c r="E456" s="711" t="s">
        <v>3711</v>
      </c>
      <c r="F456" s="1834">
        <v>4</v>
      </c>
      <c r="G456" s="1953">
        <v>5</v>
      </c>
      <c r="H456" s="179">
        <v>6</v>
      </c>
      <c r="I456" s="1918"/>
      <c r="J456" s="1918"/>
      <c r="K456" s="1919"/>
      <c r="L456" s="1919"/>
      <c r="M456" s="1920"/>
      <c r="N456" s="2076">
        <f>5.728-5.1</f>
        <v>0.62800000000000011</v>
      </c>
      <c r="O456" s="1379"/>
      <c r="P456" s="1372"/>
      <c r="Q456" s="1365"/>
      <c r="R456" s="1354"/>
      <c r="S456" s="1884"/>
      <c r="T456" s="1931"/>
      <c r="U456" s="1874"/>
      <c r="V456" s="1874"/>
      <c r="W456" s="716"/>
      <c r="X456" s="333"/>
      <c r="Y456" s="716"/>
      <c r="Z456" s="1706"/>
      <c r="AE456" s="2461"/>
      <c r="AF456" s="68"/>
    </row>
    <row r="457" spans="1:32" ht="60" x14ac:dyDescent="0.35">
      <c r="A457" s="1872">
        <v>178</v>
      </c>
      <c r="B457" s="1058">
        <v>11014</v>
      </c>
      <c r="C457" s="1979" t="s">
        <v>1655</v>
      </c>
      <c r="D457" s="2470" t="s">
        <v>5515</v>
      </c>
      <c r="E457" s="715" t="s">
        <v>10072</v>
      </c>
      <c r="F457" s="1834" t="s">
        <v>664</v>
      </c>
      <c r="G457" s="1834">
        <v>5</v>
      </c>
      <c r="H457" s="1620">
        <v>6</v>
      </c>
      <c r="I457" s="702">
        <f>J457+K457+L457</f>
        <v>1</v>
      </c>
      <c r="J457" s="702">
        <f>SUM(M457:R457)</f>
        <v>1</v>
      </c>
      <c r="K457" s="703"/>
      <c r="L457" s="703"/>
      <c r="M457" s="1387"/>
      <c r="N457" s="703"/>
      <c r="O457" s="1379"/>
      <c r="P457" s="1372"/>
      <c r="Q457" s="1364"/>
      <c r="R457" s="925">
        <v>1</v>
      </c>
      <c r="S457" s="1910"/>
      <c r="T457" s="1931"/>
      <c r="U457" s="1892"/>
      <c r="V457" s="1892"/>
      <c r="W457" s="730"/>
      <c r="X457" s="731"/>
      <c r="Y457" s="730"/>
      <c r="Z457" s="1708"/>
      <c r="AB457" s="3">
        <v>1</v>
      </c>
      <c r="AE457" s="2461"/>
      <c r="AF457" s="68"/>
    </row>
    <row r="458" spans="1:32" ht="45" x14ac:dyDescent="0.35">
      <c r="A458" s="1880">
        <v>179</v>
      </c>
      <c r="B458" s="1058">
        <v>11014</v>
      </c>
      <c r="C458" s="2083" t="s">
        <v>1656</v>
      </c>
      <c r="D458" s="2470" t="s">
        <v>5516</v>
      </c>
      <c r="E458" s="739" t="s">
        <v>10073</v>
      </c>
      <c r="F458" s="1953" t="s">
        <v>664</v>
      </c>
      <c r="G458" s="1953">
        <v>5</v>
      </c>
      <c r="H458" s="1620">
        <v>6</v>
      </c>
      <c r="I458" s="702">
        <f>J458+K458+L458</f>
        <v>0.6</v>
      </c>
      <c r="J458" s="702">
        <f>SUM(M458:R458)</f>
        <v>0.6</v>
      </c>
      <c r="K458" s="703"/>
      <c r="L458" s="703"/>
      <c r="M458" s="1387"/>
      <c r="N458" s="703"/>
      <c r="O458" s="1379"/>
      <c r="P458" s="1372"/>
      <c r="Q458" s="1364"/>
      <c r="R458" s="929">
        <v>0.6</v>
      </c>
      <c r="S458" s="1890"/>
      <c r="T458" s="1931"/>
      <c r="U458" s="1892"/>
      <c r="V458" s="1892"/>
      <c r="W458" s="730"/>
      <c r="X458" s="731"/>
      <c r="Y458" s="730"/>
      <c r="Z458" s="1708"/>
      <c r="AB458" s="3">
        <v>1</v>
      </c>
      <c r="AE458" s="2461"/>
      <c r="AF458" s="68"/>
    </row>
    <row r="459" spans="1:32" ht="45" x14ac:dyDescent="0.35">
      <c r="A459" s="1872">
        <v>180</v>
      </c>
      <c r="B459" s="1060">
        <v>11014</v>
      </c>
      <c r="C459" s="2083" t="s">
        <v>1656</v>
      </c>
      <c r="D459" s="2470" t="s">
        <v>5517</v>
      </c>
      <c r="E459" s="739" t="s">
        <v>10074</v>
      </c>
      <c r="F459" s="1953" t="s">
        <v>664</v>
      </c>
      <c r="G459" s="1953">
        <v>5</v>
      </c>
      <c r="H459" s="1620">
        <v>6</v>
      </c>
      <c r="I459" s="702">
        <f>J459+K459+L459</f>
        <v>0.1</v>
      </c>
      <c r="J459" s="702">
        <f>SUM(M459:R459)</f>
        <v>0.1</v>
      </c>
      <c r="K459" s="703"/>
      <c r="L459" s="703"/>
      <c r="M459" s="1387"/>
      <c r="N459" s="703"/>
      <c r="O459" s="1379"/>
      <c r="P459" s="1372"/>
      <c r="Q459" s="1364"/>
      <c r="R459" s="929">
        <v>0.1</v>
      </c>
      <c r="S459" s="1890"/>
      <c r="T459" s="1931"/>
      <c r="U459" s="1892"/>
      <c r="V459" s="1892"/>
      <c r="W459" s="730"/>
      <c r="X459" s="731"/>
      <c r="Y459" s="730"/>
      <c r="Z459" s="1708"/>
      <c r="AB459" s="3">
        <v>1</v>
      </c>
      <c r="AE459" s="2461"/>
      <c r="AF459" s="68"/>
    </row>
    <row r="460" spans="1:32" ht="30" x14ac:dyDescent="0.35">
      <c r="A460" s="1880">
        <v>181</v>
      </c>
      <c r="B460" s="1152">
        <v>11015</v>
      </c>
      <c r="C460" s="1152"/>
      <c r="D460" s="755" t="s">
        <v>1288</v>
      </c>
      <c r="E460" s="715" t="s">
        <v>10496</v>
      </c>
      <c r="F460" s="1834"/>
      <c r="G460" s="1953" t="s">
        <v>191</v>
      </c>
      <c r="H460" s="179" t="s">
        <v>191</v>
      </c>
      <c r="I460" s="702">
        <f>J460+K460+L460</f>
        <v>9.6080000000000005</v>
      </c>
      <c r="J460" s="702">
        <f>SUM(M460:R460)</f>
        <v>9.6080000000000005</v>
      </c>
      <c r="K460" s="703"/>
      <c r="L460" s="703"/>
      <c r="M460" s="1387"/>
      <c r="N460" s="717">
        <f>SUM(N461:N462)</f>
        <v>5.0460000000000003</v>
      </c>
      <c r="O460" s="1379"/>
      <c r="P460" s="1372"/>
      <c r="Q460" s="1365">
        <f>SUM(Q461:Q462)</f>
        <v>4.5620000000000003</v>
      </c>
      <c r="R460" s="1354"/>
      <c r="S460" s="1882"/>
      <c r="T460" s="1931"/>
      <c r="U460" s="1874"/>
      <c r="V460" s="1874"/>
      <c r="W460" s="716">
        <v>25</v>
      </c>
      <c r="X460" s="333">
        <v>306.60000000000002</v>
      </c>
      <c r="Y460" s="716">
        <v>12</v>
      </c>
      <c r="Z460" s="1706">
        <v>115.3</v>
      </c>
      <c r="AB460" s="3">
        <v>1</v>
      </c>
      <c r="AE460" s="2461"/>
      <c r="AF460" s="68"/>
    </row>
    <row r="461" spans="1:32" ht="18" x14ac:dyDescent="0.4">
      <c r="A461" s="1886"/>
      <c r="B461" s="1152">
        <v>11015</v>
      </c>
      <c r="C461" s="1152"/>
      <c r="D461" s="754"/>
      <c r="E461" s="711" t="s">
        <v>7259</v>
      </c>
      <c r="F461" s="1834">
        <v>4</v>
      </c>
      <c r="G461" s="1953">
        <v>4</v>
      </c>
      <c r="H461" s="179">
        <v>6</v>
      </c>
      <c r="I461" s="708"/>
      <c r="J461" s="708"/>
      <c r="K461" s="709"/>
      <c r="L461" s="709"/>
      <c r="M461" s="1388"/>
      <c r="N461" s="712">
        <v>5.0460000000000003</v>
      </c>
      <c r="O461" s="1378"/>
      <c r="P461" s="1371"/>
      <c r="Q461" s="1363"/>
      <c r="R461" s="1353"/>
      <c r="S461" s="1879"/>
      <c r="T461" s="1931"/>
      <c r="U461" s="1877"/>
      <c r="V461" s="1877"/>
      <c r="W461" s="720"/>
      <c r="X461" s="332"/>
      <c r="Y461" s="725"/>
      <c r="Z461" s="2664"/>
      <c r="AE461" s="2461"/>
      <c r="AF461" s="68"/>
    </row>
    <row r="462" spans="1:32" ht="18" x14ac:dyDescent="0.4">
      <c r="A462" s="1886"/>
      <c r="B462" s="1152">
        <v>11015</v>
      </c>
      <c r="C462" s="1152"/>
      <c r="D462" s="754"/>
      <c r="E462" s="1394" t="s">
        <v>7258</v>
      </c>
      <c r="F462" s="1834">
        <v>4</v>
      </c>
      <c r="G462" s="1953">
        <v>4</v>
      </c>
      <c r="H462" s="179">
        <v>6</v>
      </c>
      <c r="I462" s="708"/>
      <c r="J462" s="708"/>
      <c r="K462" s="709"/>
      <c r="L462" s="709"/>
      <c r="M462" s="1388"/>
      <c r="N462" s="709"/>
      <c r="O462" s="1378"/>
      <c r="P462" s="1371"/>
      <c r="Q462" s="1366">
        <f>9.608-5.046</f>
        <v>4.5620000000000003</v>
      </c>
      <c r="R462" s="1353"/>
      <c r="S462" s="1879"/>
      <c r="T462" s="1931"/>
      <c r="U462" s="1877"/>
      <c r="V462" s="1877"/>
      <c r="W462" s="720"/>
      <c r="X462" s="332"/>
      <c r="Y462" s="725"/>
      <c r="Z462" s="2664"/>
      <c r="AE462" s="2461"/>
      <c r="AF462" s="68"/>
    </row>
    <row r="463" spans="1:32" ht="30" x14ac:dyDescent="0.35">
      <c r="A463" s="1872">
        <v>182</v>
      </c>
      <c r="B463" s="1058">
        <v>11015</v>
      </c>
      <c r="C463" s="1058"/>
      <c r="D463" s="2470" t="s">
        <v>5518</v>
      </c>
      <c r="E463" s="715" t="s">
        <v>9193</v>
      </c>
      <c r="F463" s="1834" t="s">
        <v>664</v>
      </c>
      <c r="G463" s="1834">
        <v>5</v>
      </c>
      <c r="H463" s="1620">
        <v>6</v>
      </c>
      <c r="I463" s="702">
        <f t="shared" ref="I463:I469" si="24">J463+K463+L463</f>
        <v>0.5</v>
      </c>
      <c r="J463" s="702">
        <f t="shared" ref="J463:J469" si="25">SUM(M463:R463)</f>
        <v>0.5</v>
      </c>
      <c r="K463" s="703"/>
      <c r="L463" s="703"/>
      <c r="M463" s="1387"/>
      <c r="N463" s="703"/>
      <c r="O463" s="1379"/>
      <c r="P463" s="1372"/>
      <c r="Q463" s="1364"/>
      <c r="R463" s="925">
        <v>0.5</v>
      </c>
      <c r="S463" s="1890"/>
      <c r="T463" s="1931"/>
      <c r="U463" s="1892"/>
      <c r="V463" s="1892"/>
      <c r="W463" s="730"/>
      <c r="X463" s="737"/>
      <c r="Y463" s="738"/>
      <c r="Z463" s="1707"/>
      <c r="AB463" s="3">
        <v>1</v>
      </c>
      <c r="AE463" s="2461"/>
      <c r="AF463" s="68"/>
    </row>
    <row r="464" spans="1:32" ht="30" x14ac:dyDescent="0.35">
      <c r="A464" s="1872">
        <v>183</v>
      </c>
      <c r="B464" s="1058">
        <v>11015</v>
      </c>
      <c r="C464" s="1058"/>
      <c r="D464" s="2470" t="s">
        <v>5519</v>
      </c>
      <c r="E464" s="715" t="s">
        <v>7853</v>
      </c>
      <c r="F464" s="1834" t="s">
        <v>664</v>
      </c>
      <c r="G464" s="1834">
        <v>5</v>
      </c>
      <c r="H464" s="1620">
        <v>6</v>
      </c>
      <c r="I464" s="702">
        <f t="shared" si="24"/>
        <v>1</v>
      </c>
      <c r="J464" s="702">
        <f t="shared" si="25"/>
        <v>1</v>
      </c>
      <c r="K464" s="703"/>
      <c r="L464" s="703"/>
      <c r="M464" s="1387"/>
      <c r="N464" s="703"/>
      <c r="O464" s="1379"/>
      <c r="P464" s="1372"/>
      <c r="Q464" s="1364"/>
      <c r="R464" s="925">
        <v>1</v>
      </c>
      <c r="S464" s="1890"/>
      <c r="T464" s="1931"/>
      <c r="U464" s="1892"/>
      <c r="V464" s="1892"/>
      <c r="W464" s="730"/>
      <c r="X464" s="737"/>
      <c r="Y464" s="738"/>
      <c r="Z464" s="1707"/>
      <c r="AB464" s="3">
        <v>1</v>
      </c>
      <c r="AE464" s="2461"/>
      <c r="AF464" s="68"/>
    </row>
    <row r="465" spans="1:32" ht="90" x14ac:dyDescent="0.35">
      <c r="A465" s="1872">
        <v>184</v>
      </c>
      <c r="B465" s="1058">
        <v>11015</v>
      </c>
      <c r="C465" s="1979" t="s">
        <v>1655</v>
      </c>
      <c r="D465" s="2470" t="s">
        <v>5520</v>
      </c>
      <c r="E465" s="715" t="s">
        <v>8747</v>
      </c>
      <c r="F465" s="1943" t="s">
        <v>664</v>
      </c>
      <c r="G465" s="1834">
        <v>5</v>
      </c>
      <c r="H465" s="1620">
        <v>6</v>
      </c>
      <c r="I465" s="702">
        <f t="shared" si="24"/>
        <v>0.9</v>
      </c>
      <c r="J465" s="702">
        <f t="shared" si="25"/>
        <v>0.9</v>
      </c>
      <c r="K465" s="703"/>
      <c r="L465" s="703"/>
      <c r="M465" s="1384"/>
      <c r="N465" s="702"/>
      <c r="O465" s="1376"/>
      <c r="P465" s="1369"/>
      <c r="Q465" s="1361"/>
      <c r="R465" s="1358">
        <v>0.9</v>
      </c>
      <c r="S465" s="1899"/>
      <c r="T465" s="1931"/>
      <c r="U465" s="1892"/>
      <c r="V465" s="1892"/>
      <c r="W465" s="1899"/>
      <c r="X465" s="1891"/>
      <c r="Y465" s="1890"/>
      <c r="Z465" s="1897"/>
      <c r="AB465" s="3">
        <v>1</v>
      </c>
      <c r="AE465" s="2461"/>
      <c r="AF465" s="68"/>
    </row>
    <row r="466" spans="1:32" ht="60" x14ac:dyDescent="0.35">
      <c r="A466" s="1872">
        <v>185</v>
      </c>
      <c r="B466" s="1058">
        <v>11015</v>
      </c>
      <c r="C466" s="2083" t="s">
        <v>1656</v>
      </c>
      <c r="D466" s="2470" t="s">
        <v>5521</v>
      </c>
      <c r="E466" s="739" t="s">
        <v>8748</v>
      </c>
      <c r="F466" s="1953" t="s">
        <v>664</v>
      </c>
      <c r="G466" s="1953">
        <v>5</v>
      </c>
      <c r="H466" s="1620">
        <v>6</v>
      </c>
      <c r="I466" s="702">
        <f t="shared" si="24"/>
        <v>0.8</v>
      </c>
      <c r="J466" s="702">
        <f t="shared" si="25"/>
        <v>0.8</v>
      </c>
      <c r="K466" s="703"/>
      <c r="L466" s="703"/>
      <c r="M466" s="1387"/>
      <c r="N466" s="703"/>
      <c r="O466" s="1379"/>
      <c r="P466" s="1372"/>
      <c r="Q466" s="1364"/>
      <c r="R466" s="929">
        <v>0.8</v>
      </c>
      <c r="S466" s="1890"/>
      <c r="T466" s="1931"/>
      <c r="U466" s="1892"/>
      <c r="V466" s="1892"/>
      <c r="W466" s="730"/>
      <c r="X466" s="731"/>
      <c r="Y466" s="730"/>
      <c r="Z466" s="1708"/>
      <c r="AB466" s="3">
        <v>1</v>
      </c>
      <c r="AE466" s="2461"/>
      <c r="AF466" s="68"/>
    </row>
    <row r="467" spans="1:32" ht="45" x14ac:dyDescent="0.35">
      <c r="A467" s="1872">
        <v>186</v>
      </c>
      <c r="B467" s="1060">
        <v>11015</v>
      </c>
      <c r="C467" s="2083" t="s">
        <v>1656</v>
      </c>
      <c r="D467" s="2470" t="s">
        <v>5522</v>
      </c>
      <c r="E467" s="739" t="s">
        <v>7854</v>
      </c>
      <c r="F467" s="1953" t="s">
        <v>664</v>
      </c>
      <c r="G467" s="1953">
        <v>5</v>
      </c>
      <c r="H467" s="1620">
        <v>6</v>
      </c>
      <c r="I467" s="702">
        <f t="shared" si="24"/>
        <v>1.5</v>
      </c>
      <c r="J467" s="702">
        <f t="shared" si="25"/>
        <v>1.5</v>
      </c>
      <c r="K467" s="703"/>
      <c r="L467" s="703"/>
      <c r="M467" s="1387"/>
      <c r="N467" s="703"/>
      <c r="O467" s="1379"/>
      <c r="P467" s="1372"/>
      <c r="Q467" s="1364"/>
      <c r="R467" s="929">
        <v>1.5</v>
      </c>
      <c r="S467" s="1890"/>
      <c r="T467" s="1931"/>
      <c r="U467" s="1892"/>
      <c r="V467" s="1892"/>
      <c r="W467" s="730"/>
      <c r="X467" s="731"/>
      <c r="Y467" s="730"/>
      <c r="Z467" s="1708"/>
      <c r="AB467" s="3">
        <v>1</v>
      </c>
      <c r="AE467" s="2461"/>
      <c r="AF467" s="68"/>
    </row>
    <row r="468" spans="1:32" ht="75" x14ac:dyDescent="0.35">
      <c r="A468" s="1872">
        <v>187</v>
      </c>
      <c r="B468" s="1060">
        <v>11015</v>
      </c>
      <c r="C468" s="2083" t="s">
        <v>1656</v>
      </c>
      <c r="D468" s="2470" t="s">
        <v>5523</v>
      </c>
      <c r="E468" s="739" t="s">
        <v>7855</v>
      </c>
      <c r="F468" s="1953" t="s">
        <v>664</v>
      </c>
      <c r="G468" s="1953">
        <v>5</v>
      </c>
      <c r="H468" s="1620">
        <v>6</v>
      </c>
      <c r="I468" s="702">
        <f t="shared" si="24"/>
        <v>2</v>
      </c>
      <c r="J468" s="702">
        <f t="shared" si="25"/>
        <v>2</v>
      </c>
      <c r="K468" s="703"/>
      <c r="L468" s="703"/>
      <c r="M468" s="1387"/>
      <c r="N468" s="703"/>
      <c r="O468" s="1379"/>
      <c r="P468" s="1372"/>
      <c r="Q468" s="1364"/>
      <c r="R468" s="929">
        <v>2</v>
      </c>
      <c r="S468" s="1890"/>
      <c r="T468" s="1931"/>
      <c r="U468" s="1892"/>
      <c r="V468" s="1892"/>
      <c r="W468" s="730"/>
      <c r="X468" s="731"/>
      <c r="Y468" s="730"/>
      <c r="Z468" s="1708"/>
      <c r="AB468" s="3">
        <v>1</v>
      </c>
      <c r="AE468" s="2461"/>
      <c r="AF468" s="68"/>
    </row>
    <row r="469" spans="1:32" ht="60" x14ac:dyDescent="0.35">
      <c r="A469" s="1872">
        <v>188</v>
      </c>
      <c r="B469" s="1152">
        <v>11016</v>
      </c>
      <c r="C469" s="1152"/>
      <c r="D469" s="755" t="s">
        <v>118</v>
      </c>
      <c r="E469" s="715" t="s">
        <v>10075</v>
      </c>
      <c r="F469" s="1834"/>
      <c r="G469" s="1953" t="s">
        <v>191</v>
      </c>
      <c r="H469" s="1943" t="s">
        <v>191</v>
      </c>
      <c r="I469" s="702">
        <f t="shared" si="24"/>
        <v>11.167</v>
      </c>
      <c r="J469" s="702">
        <f t="shared" si="25"/>
        <v>11.167</v>
      </c>
      <c r="K469" s="703"/>
      <c r="L469" s="703"/>
      <c r="M469" s="1387"/>
      <c r="N469" s="717">
        <f>SUM(N470:N478)</f>
        <v>4.3620000000000001</v>
      </c>
      <c r="O469" s="1379"/>
      <c r="P469" s="1372"/>
      <c r="Q469" s="1365">
        <f>SUM(Q470:Q478)</f>
        <v>2.0019999999999998</v>
      </c>
      <c r="R469" s="1355">
        <f>SUM(R470:R478)</f>
        <v>4.8029999999999999</v>
      </c>
      <c r="S469" s="1882">
        <v>1</v>
      </c>
      <c r="T469" s="1931">
        <v>9.9499999999999993</v>
      </c>
      <c r="U469" s="1874"/>
      <c r="V469" s="1874"/>
      <c r="W469" s="716">
        <v>11</v>
      </c>
      <c r="X469" s="333">
        <v>144.1</v>
      </c>
      <c r="Y469" s="716">
        <v>2</v>
      </c>
      <c r="Z469" s="1706">
        <v>20</v>
      </c>
      <c r="AB469" s="3">
        <v>1</v>
      </c>
      <c r="AE469" s="2461"/>
      <c r="AF469" s="68"/>
    </row>
    <row r="470" spans="1:32" ht="18" x14ac:dyDescent="0.4">
      <c r="A470" s="1886"/>
      <c r="B470" s="1152">
        <v>11016</v>
      </c>
      <c r="C470" s="1152"/>
      <c r="D470" s="754"/>
      <c r="E470" s="711" t="s">
        <v>11421</v>
      </c>
      <c r="F470" s="1834">
        <v>4</v>
      </c>
      <c r="G470" s="179">
        <v>5</v>
      </c>
      <c r="H470" s="179">
        <v>6</v>
      </c>
      <c r="I470" s="708"/>
      <c r="J470" s="708"/>
      <c r="K470" s="709"/>
      <c r="L470" s="709"/>
      <c r="M470" s="1388"/>
      <c r="N470" s="721">
        <v>2.2490000000000001</v>
      </c>
      <c r="O470" s="1378"/>
      <c r="P470" s="1371"/>
      <c r="Q470" s="1366"/>
      <c r="R470" s="1353"/>
      <c r="S470" s="1879"/>
      <c r="T470" s="1931"/>
      <c r="U470" s="1877"/>
      <c r="V470" s="1877"/>
      <c r="W470" s="720"/>
      <c r="X470" s="332"/>
      <c r="Y470" s="725"/>
      <c r="Z470" s="2664"/>
      <c r="AE470" s="2461"/>
      <c r="AF470" s="68"/>
    </row>
    <row r="471" spans="1:32" ht="18" x14ac:dyDescent="0.4">
      <c r="A471" s="1886"/>
      <c r="B471" s="1152">
        <v>11016</v>
      </c>
      <c r="C471" s="1152"/>
      <c r="D471" s="754"/>
      <c r="E471" s="711" t="s">
        <v>7244</v>
      </c>
      <c r="F471" s="1834" t="s">
        <v>827</v>
      </c>
      <c r="G471" s="179">
        <v>5</v>
      </c>
      <c r="H471" s="179">
        <v>6</v>
      </c>
      <c r="I471" s="708"/>
      <c r="J471" s="708"/>
      <c r="K471" s="709"/>
      <c r="L471" s="709"/>
      <c r="M471" s="1388"/>
      <c r="N471" s="727">
        <v>0.88999999999999968</v>
      </c>
      <c r="O471" s="2838"/>
      <c r="P471" s="2838"/>
      <c r="Q471" s="2838"/>
      <c r="R471" s="1353"/>
      <c r="S471" s="1879"/>
      <c r="T471" s="1931"/>
      <c r="U471" s="1877"/>
      <c r="V471" s="1877"/>
      <c r="W471" s="720"/>
      <c r="X471" s="332"/>
      <c r="Y471" s="725"/>
      <c r="Z471" s="2664"/>
      <c r="AE471" s="2461"/>
      <c r="AF471" s="68"/>
    </row>
    <row r="472" spans="1:32" ht="18" x14ac:dyDescent="0.4">
      <c r="A472" s="1886"/>
      <c r="B472" s="1152">
        <v>11016</v>
      </c>
      <c r="C472" s="1152"/>
      <c r="D472" s="754"/>
      <c r="E472" s="711" t="s">
        <v>7245</v>
      </c>
      <c r="F472" s="1834">
        <v>5</v>
      </c>
      <c r="G472" s="179">
        <v>5</v>
      </c>
      <c r="H472" s="179">
        <v>6</v>
      </c>
      <c r="I472" s="708"/>
      <c r="J472" s="708"/>
      <c r="K472" s="709"/>
      <c r="L472" s="709"/>
      <c r="M472" s="1388"/>
      <c r="N472" s="712">
        <f>4.362-3.139</f>
        <v>1.2230000000000003</v>
      </c>
      <c r="O472" s="1378"/>
      <c r="P472" s="1371"/>
      <c r="Q472" s="1363"/>
      <c r="R472" s="1353"/>
      <c r="S472" s="1879"/>
      <c r="T472" s="1931"/>
      <c r="U472" s="1877"/>
      <c r="V472" s="1877"/>
      <c r="W472" s="720"/>
      <c r="X472" s="332"/>
      <c r="Y472" s="725"/>
      <c r="Z472" s="2664"/>
      <c r="AE472" s="2461"/>
      <c r="AF472" s="68"/>
    </row>
    <row r="473" spans="1:32" ht="18" x14ac:dyDescent="0.4">
      <c r="A473" s="1886"/>
      <c r="B473" s="1152">
        <v>11016</v>
      </c>
      <c r="C473" s="1152"/>
      <c r="D473" s="754"/>
      <c r="E473" s="1394" t="s">
        <v>7246</v>
      </c>
      <c r="F473" s="1834">
        <v>4</v>
      </c>
      <c r="G473" s="179">
        <v>5</v>
      </c>
      <c r="H473" s="1834">
        <v>6</v>
      </c>
      <c r="I473" s="708"/>
      <c r="J473" s="708"/>
      <c r="K473" s="709"/>
      <c r="L473" s="709"/>
      <c r="M473" s="1388"/>
      <c r="N473" s="709"/>
      <c r="O473" s="1378"/>
      <c r="P473" s="1371"/>
      <c r="Q473" s="1366">
        <f>6.364-4.362</f>
        <v>2.0019999999999998</v>
      </c>
      <c r="R473" s="1353"/>
      <c r="S473" s="1879"/>
      <c r="T473" s="1931"/>
      <c r="U473" s="1877"/>
      <c r="V473" s="1877"/>
      <c r="W473" s="720"/>
      <c r="X473" s="332"/>
      <c r="Y473" s="725"/>
      <c r="Z473" s="2664"/>
      <c r="AE473" s="2461"/>
      <c r="AF473" s="68"/>
    </row>
    <row r="474" spans="1:32" ht="18" x14ac:dyDescent="0.4">
      <c r="A474" s="1886"/>
      <c r="B474" s="1152"/>
      <c r="C474" s="1152"/>
      <c r="D474" s="754"/>
      <c r="E474" s="1390" t="s">
        <v>7247</v>
      </c>
      <c r="F474" s="1834" t="s">
        <v>827</v>
      </c>
      <c r="G474" s="179">
        <v>5</v>
      </c>
      <c r="H474" s="1620">
        <v>6</v>
      </c>
      <c r="I474" s="708"/>
      <c r="J474" s="708"/>
      <c r="K474" s="709"/>
      <c r="L474" s="709"/>
      <c r="M474" s="1388"/>
      <c r="N474" s="709"/>
      <c r="O474" s="1378"/>
      <c r="P474" s="1371"/>
      <c r="Q474" s="1366"/>
      <c r="R474" s="1353">
        <f>8.561-6.364</f>
        <v>2.1970000000000001</v>
      </c>
      <c r="S474" s="1879"/>
      <c r="T474" s="1931"/>
      <c r="U474" s="1877"/>
      <c r="V474" s="1877"/>
      <c r="W474" s="720"/>
      <c r="X474" s="332"/>
      <c r="Y474" s="725"/>
      <c r="Z474" s="2664"/>
      <c r="AE474" s="2461"/>
      <c r="AF474" s="68"/>
    </row>
    <row r="475" spans="1:32" ht="18" x14ac:dyDescent="0.4">
      <c r="A475" s="1886"/>
      <c r="B475" s="1152"/>
      <c r="C475" s="1152"/>
      <c r="D475" s="754"/>
      <c r="E475" s="1390" t="s">
        <v>7248</v>
      </c>
      <c r="F475" s="1834" t="s">
        <v>1490</v>
      </c>
      <c r="G475" s="179">
        <v>5</v>
      </c>
      <c r="H475" s="1620">
        <v>6</v>
      </c>
      <c r="I475" s="708"/>
      <c r="J475" s="708"/>
      <c r="K475" s="709"/>
      <c r="L475" s="709"/>
      <c r="M475" s="1388"/>
      <c r="N475" s="709"/>
      <c r="O475" s="1378"/>
      <c r="P475" s="1371"/>
      <c r="Q475" s="1366"/>
      <c r="R475" s="1353">
        <f>8.734-8.561</f>
        <v>0.17300000000000004</v>
      </c>
      <c r="S475" s="1879"/>
      <c r="T475" s="1931"/>
      <c r="U475" s="1877"/>
      <c r="V475" s="1877"/>
      <c r="W475" s="720"/>
      <c r="X475" s="332"/>
      <c r="Y475" s="725"/>
      <c r="Z475" s="2664"/>
      <c r="AE475" s="2461"/>
      <c r="AF475" s="68"/>
    </row>
    <row r="476" spans="1:32" ht="18" x14ac:dyDescent="0.4">
      <c r="A476" s="1886"/>
      <c r="B476" s="1152"/>
      <c r="C476" s="1152"/>
      <c r="D476" s="754"/>
      <c r="E476" s="1390" t="s">
        <v>7249</v>
      </c>
      <c r="F476" s="1834" t="s">
        <v>827</v>
      </c>
      <c r="G476" s="179">
        <v>5</v>
      </c>
      <c r="H476" s="1620">
        <v>6</v>
      </c>
      <c r="I476" s="708"/>
      <c r="J476" s="708"/>
      <c r="K476" s="709"/>
      <c r="L476" s="709"/>
      <c r="M476" s="1388"/>
      <c r="N476" s="709"/>
      <c r="O476" s="1378"/>
      <c r="P476" s="1371"/>
      <c r="Q476" s="1366"/>
      <c r="R476" s="1353">
        <f>8.862-8.734</f>
        <v>0.12800000000000011</v>
      </c>
      <c r="S476" s="1879"/>
      <c r="T476" s="1931"/>
      <c r="U476" s="1877"/>
      <c r="V476" s="1877"/>
      <c r="W476" s="720"/>
      <c r="X476" s="332"/>
      <c r="Y476" s="725"/>
      <c r="Z476" s="2664"/>
      <c r="AE476" s="2461"/>
      <c r="AF476" s="68"/>
    </row>
    <row r="477" spans="1:32" ht="18" x14ac:dyDescent="0.4">
      <c r="A477" s="1886"/>
      <c r="B477" s="1152"/>
      <c r="C477" s="1152"/>
      <c r="D477" s="754"/>
      <c r="E477" s="1390" t="s">
        <v>7250</v>
      </c>
      <c r="F477" s="1834" t="s">
        <v>1490</v>
      </c>
      <c r="G477" s="179">
        <v>5</v>
      </c>
      <c r="H477" s="1620">
        <v>6</v>
      </c>
      <c r="I477" s="708"/>
      <c r="J477" s="708"/>
      <c r="K477" s="709"/>
      <c r="L477" s="709"/>
      <c r="M477" s="1388"/>
      <c r="N477" s="709"/>
      <c r="O477" s="1378"/>
      <c r="P477" s="1371"/>
      <c r="Q477" s="1366"/>
      <c r="R477" s="1353">
        <f>9.89-8.862</f>
        <v>1.0280000000000005</v>
      </c>
      <c r="S477" s="1879"/>
      <c r="T477" s="1931"/>
      <c r="U477" s="1877"/>
      <c r="V477" s="1877"/>
      <c r="W477" s="720"/>
      <c r="X477" s="332"/>
      <c r="Y477" s="725"/>
      <c r="Z477" s="2664"/>
      <c r="AE477" s="2461"/>
      <c r="AF477" s="68"/>
    </row>
    <row r="478" spans="1:32" ht="18" x14ac:dyDescent="0.4">
      <c r="A478" s="1886"/>
      <c r="B478" s="1152">
        <v>11016</v>
      </c>
      <c r="C478" s="1152"/>
      <c r="D478" s="754"/>
      <c r="E478" s="1390" t="s">
        <v>7251</v>
      </c>
      <c r="F478" s="1834" t="s">
        <v>827</v>
      </c>
      <c r="G478" s="179">
        <v>5</v>
      </c>
      <c r="H478" s="1620">
        <v>6</v>
      </c>
      <c r="I478" s="708"/>
      <c r="J478" s="708"/>
      <c r="K478" s="709"/>
      <c r="L478" s="709"/>
      <c r="M478" s="1388"/>
      <c r="N478" s="709"/>
      <c r="O478" s="1378"/>
      <c r="P478" s="1371"/>
      <c r="Q478" s="1363"/>
      <c r="R478" s="1356">
        <f>11.167-9.89</f>
        <v>1.2769999999999992</v>
      </c>
      <c r="S478" s="1879"/>
      <c r="T478" s="1931"/>
      <c r="U478" s="1877"/>
      <c r="V478" s="1877"/>
      <c r="W478" s="720"/>
      <c r="X478" s="332"/>
      <c r="Y478" s="725"/>
      <c r="Z478" s="2664"/>
      <c r="AA478" s="3" t="s">
        <v>550</v>
      </c>
      <c r="AE478" s="2461"/>
      <c r="AF478" s="68"/>
    </row>
    <row r="479" spans="1:32" ht="75" x14ac:dyDescent="0.35">
      <c r="A479" s="1872">
        <v>189</v>
      </c>
      <c r="B479" s="1058">
        <v>11016</v>
      </c>
      <c r="C479" s="1058"/>
      <c r="D479" s="2470" t="s">
        <v>5524</v>
      </c>
      <c r="E479" s="715" t="s">
        <v>10076</v>
      </c>
      <c r="F479" s="1834" t="s">
        <v>664</v>
      </c>
      <c r="G479" s="1834">
        <v>5</v>
      </c>
      <c r="H479" s="1620">
        <v>6</v>
      </c>
      <c r="I479" s="702">
        <f>J479+K479+L479</f>
        <v>0.8</v>
      </c>
      <c r="J479" s="702">
        <f>SUM(M479:R479)</f>
        <v>0.8</v>
      </c>
      <c r="K479" s="703"/>
      <c r="L479" s="703"/>
      <c r="M479" s="1387"/>
      <c r="N479" s="703"/>
      <c r="O479" s="1379"/>
      <c r="P479" s="1372"/>
      <c r="Q479" s="1364"/>
      <c r="R479" s="925">
        <v>0.8</v>
      </c>
      <c r="S479" s="1890"/>
      <c r="T479" s="1931"/>
      <c r="U479" s="1892"/>
      <c r="V479" s="1892"/>
      <c r="W479" s="730"/>
      <c r="X479" s="737"/>
      <c r="Y479" s="738"/>
      <c r="Z479" s="1707"/>
      <c r="AB479" s="3">
        <v>1</v>
      </c>
      <c r="AE479" s="2461"/>
      <c r="AF479" s="68"/>
    </row>
    <row r="480" spans="1:32" ht="75" x14ac:dyDescent="0.35">
      <c r="A480" s="1896">
        <v>190</v>
      </c>
      <c r="B480" s="1060">
        <v>11016</v>
      </c>
      <c r="C480" s="2083" t="s">
        <v>1656</v>
      </c>
      <c r="D480" s="2470" t="s">
        <v>5525</v>
      </c>
      <c r="E480" s="739" t="s">
        <v>10077</v>
      </c>
      <c r="F480" s="1953" t="s">
        <v>664</v>
      </c>
      <c r="G480" s="1953">
        <v>5</v>
      </c>
      <c r="H480" s="1620">
        <v>6</v>
      </c>
      <c r="I480" s="702">
        <f>J480+K480+L480</f>
        <v>0.23</v>
      </c>
      <c r="J480" s="702">
        <f>SUM(M480:R480)</f>
        <v>0.23</v>
      </c>
      <c r="K480" s="703"/>
      <c r="L480" s="703"/>
      <c r="M480" s="1387"/>
      <c r="N480" s="703"/>
      <c r="O480" s="1379"/>
      <c r="P480" s="1372"/>
      <c r="Q480" s="1364"/>
      <c r="R480" s="929">
        <v>0.23</v>
      </c>
      <c r="S480" s="1890"/>
      <c r="T480" s="1931"/>
      <c r="U480" s="1892"/>
      <c r="V480" s="1892"/>
      <c r="W480" s="730"/>
      <c r="X480" s="731"/>
      <c r="Y480" s="730"/>
      <c r="Z480" s="1708"/>
      <c r="AB480" s="3">
        <v>1</v>
      </c>
      <c r="AE480" s="2461"/>
      <c r="AF480" s="68"/>
    </row>
    <row r="481" spans="1:32" ht="30" x14ac:dyDescent="0.35">
      <c r="A481" s="1872">
        <v>191</v>
      </c>
      <c r="B481" s="1152">
        <v>11017</v>
      </c>
      <c r="C481" s="1152"/>
      <c r="D481" s="755" t="s">
        <v>119</v>
      </c>
      <c r="E481" s="715" t="s">
        <v>2486</v>
      </c>
      <c r="F481" s="1834"/>
      <c r="G481" s="1953" t="s">
        <v>191</v>
      </c>
      <c r="H481" s="1943" t="s">
        <v>191</v>
      </c>
      <c r="I481" s="702">
        <f>J481+K481+L481</f>
        <v>8.4090000000000007</v>
      </c>
      <c r="J481" s="702">
        <f>SUM(M481:R481)</f>
        <v>8.4090000000000007</v>
      </c>
      <c r="K481" s="703"/>
      <c r="L481" s="703"/>
      <c r="M481" s="1387"/>
      <c r="N481" s="717">
        <f>SUM(N482:N486)</f>
        <v>3.3450000000000006</v>
      </c>
      <c r="O481" s="1379"/>
      <c r="P481" s="1372"/>
      <c r="Q481" s="1365">
        <f>SUM(Q482:Q486)</f>
        <v>2.173</v>
      </c>
      <c r="R481" s="1355">
        <f>SUM(R482:R486)</f>
        <v>2.891</v>
      </c>
      <c r="S481" s="1882"/>
      <c r="T481" s="1931"/>
      <c r="U481" s="1874"/>
      <c r="V481" s="1874"/>
      <c r="W481" s="716">
        <v>17</v>
      </c>
      <c r="X481" s="333">
        <v>225.34</v>
      </c>
      <c r="Y481" s="716">
        <v>6</v>
      </c>
      <c r="Z481" s="1706">
        <v>58</v>
      </c>
      <c r="AB481" s="3">
        <v>1</v>
      </c>
      <c r="AE481" s="2461"/>
      <c r="AF481" s="68"/>
    </row>
    <row r="482" spans="1:32" ht="18" x14ac:dyDescent="0.4">
      <c r="A482" s="1886"/>
      <c r="B482" s="1152">
        <v>11017</v>
      </c>
      <c r="C482" s="1152"/>
      <c r="D482" s="754"/>
      <c r="E482" s="711" t="s">
        <v>2304</v>
      </c>
      <c r="F482" s="1834">
        <v>4</v>
      </c>
      <c r="G482" s="179">
        <v>5</v>
      </c>
      <c r="H482" s="179">
        <v>6</v>
      </c>
      <c r="I482" s="708"/>
      <c r="J482" s="708"/>
      <c r="K482" s="709"/>
      <c r="L482" s="709"/>
      <c r="M482" s="1388"/>
      <c r="N482" s="712">
        <v>2.5350000000000001</v>
      </c>
      <c r="O482" s="1378"/>
      <c r="P482" s="1371"/>
      <c r="Q482" s="1363"/>
      <c r="R482" s="1353"/>
      <c r="S482" s="1879"/>
      <c r="T482" s="1931"/>
      <c r="U482" s="1877"/>
      <c r="V482" s="1877"/>
      <c r="W482" s="720"/>
      <c r="X482" s="332"/>
      <c r="Y482" s="725"/>
      <c r="Z482" s="2664"/>
      <c r="AE482" s="2461"/>
      <c r="AF482" s="68"/>
    </row>
    <row r="483" spans="1:32" ht="18" x14ac:dyDescent="0.4">
      <c r="A483" s="1886"/>
      <c r="B483" s="1152">
        <v>11017</v>
      </c>
      <c r="C483" s="1152"/>
      <c r="D483" s="754"/>
      <c r="E483" s="1394" t="s">
        <v>2305</v>
      </c>
      <c r="F483" s="1834">
        <v>5</v>
      </c>
      <c r="G483" s="179">
        <v>5</v>
      </c>
      <c r="H483" s="1834">
        <v>6</v>
      </c>
      <c r="I483" s="708"/>
      <c r="J483" s="708"/>
      <c r="K483" s="709"/>
      <c r="L483" s="709"/>
      <c r="M483" s="1388"/>
      <c r="N483" s="709"/>
      <c r="O483" s="1378"/>
      <c r="P483" s="1371"/>
      <c r="Q483" s="1366">
        <f>2.926-2.535</f>
        <v>0.39100000000000001</v>
      </c>
      <c r="R483" s="1353"/>
      <c r="S483" s="1879"/>
      <c r="T483" s="1931"/>
      <c r="U483" s="1877"/>
      <c r="V483" s="1877"/>
      <c r="W483" s="720"/>
      <c r="X483" s="332"/>
      <c r="Y483" s="725"/>
      <c r="Z483" s="2664"/>
      <c r="AA483" s="3" t="s">
        <v>1001</v>
      </c>
      <c r="AE483" s="2461"/>
      <c r="AF483" s="68"/>
    </row>
    <row r="484" spans="1:32" ht="18" x14ac:dyDescent="0.4">
      <c r="A484" s="1878"/>
      <c r="B484" s="1152">
        <v>11017</v>
      </c>
      <c r="C484" s="1152"/>
      <c r="D484" s="754"/>
      <c r="E484" s="1390" t="s">
        <v>2306</v>
      </c>
      <c r="F484" s="1834" t="s">
        <v>827</v>
      </c>
      <c r="G484" s="1620">
        <v>5</v>
      </c>
      <c r="H484" s="1620">
        <v>6</v>
      </c>
      <c r="I484" s="712"/>
      <c r="J484" s="712"/>
      <c r="K484" s="709"/>
      <c r="L484" s="709"/>
      <c r="M484" s="1388"/>
      <c r="N484" s="709"/>
      <c r="O484" s="1378"/>
      <c r="P484" s="1371"/>
      <c r="Q484" s="1363"/>
      <c r="R484" s="1356">
        <f>5.817-2.926</f>
        <v>2.891</v>
      </c>
      <c r="S484" s="1887"/>
      <c r="T484" s="1931"/>
      <c r="U484" s="1888"/>
      <c r="V484" s="1888"/>
      <c r="W484" s="722"/>
      <c r="X484" s="2665"/>
      <c r="Y484" s="722"/>
      <c r="Z484" s="2666"/>
      <c r="AA484" s="3" t="s">
        <v>1001</v>
      </c>
      <c r="AE484" s="2461"/>
      <c r="AF484" s="68"/>
    </row>
    <row r="485" spans="1:32" ht="18" x14ac:dyDescent="0.4">
      <c r="A485" s="1878"/>
      <c r="B485" s="1152">
        <v>11017</v>
      </c>
      <c r="C485" s="1152"/>
      <c r="D485" s="754"/>
      <c r="E485" s="1394" t="s">
        <v>6810</v>
      </c>
      <c r="F485" s="1834">
        <v>4</v>
      </c>
      <c r="G485" s="1620">
        <v>5</v>
      </c>
      <c r="H485" s="179">
        <v>6</v>
      </c>
      <c r="I485" s="712"/>
      <c r="J485" s="712"/>
      <c r="K485" s="709"/>
      <c r="L485" s="709"/>
      <c r="M485" s="1388"/>
      <c r="N485" s="712"/>
      <c r="O485" s="1378"/>
      <c r="P485" s="1371"/>
      <c r="Q485" s="1363">
        <f>7.599-5.817</f>
        <v>1.782</v>
      </c>
      <c r="R485" s="1356"/>
      <c r="S485" s="1887"/>
      <c r="T485" s="1931"/>
      <c r="U485" s="1888"/>
      <c r="V485" s="1888"/>
      <c r="W485" s="722"/>
      <c r="X485" s="2665"/>
      <c r="Y485" s="722"/>
      <c r="Z485" s="2666"/>
      <c r="AE485" s="2461"/>
      <c r="AF485" s="68"/>
    </row>
    <row r="486" spans="1:32" ht="18" x14ac:dyDescent="0.4">
      <c r="A486" s="1878"/>
      <c r="B486" s="1152">
        <v>11017</v>
      </c>
      <c r="C486" s="1152"/>
      <c r="D486" s="754"/>
      <c r="E486" s="711" t="s">
        <v>6811</v>
      </c>
      <c r="F486" s="1834">
        <v>4</v>
      </c>
      <c r="G486" s="1620">
        <v>5</v>
      </c>
      <c r="H486" s="179">
        <v>6</v>
      </c>
      <c r="I486" s="712"/>
      <c r="J486" s="712"/>
      <c r="K486" s="709"/>
      <c r="L486" s="709"/>
      <c r="M486" s="1388"/>
      <c r="N486" s="712">
        <f>8.409-7.599</f>
        <v>0.8100000000000005</v>
      </c>
      <c r="O486" s="1378"/>
      <c r="P486" s="1371"/>
      <c r="Q486" s="1363"/>
      <c r="R486" s="1353"/>
      <c r="S486" s="1887"/>
      <c r="T486" s="1931"/>
      <c r="U486" s="1888"/>
      <c r="V486" s="1888"/>
      <c r="W486" s="722"/>
      <c r="X486" s="2665"/>
      <c r="Y486" s="722"/>
      <c r="Z486" s="2666"/>
      <c r="AE486" s="2461"/>
      <c r="AF486" s="68"/>
    </row>
    <row r="487" spans="1:32" ht="45" x14ac:dyDescent="0.35">
      <c r="A487" s="1896">
        <v>192</v>
      </c>
      <c r="B487" s="1060">
        <v>11017</v>
      </c>
      <c r="C487" s="2083" t="s">
        <v>1656</v>
      </c>
      <c r="D487" s="2470" t="s">
        <v>5526</v>
      </c>
      <c r="E487" s="739" t="s">
        <v>8749</v>
      </c>
      <c r="F487" s="1953" t="s">
        <v>664</v>
      </c>
      <c r="G487" s="1953">
        <v>5</v>
      </c>
      <c r="H487" s="1620">
        <v>6</v>
      </c>
      <c r="I487" s="702">
        <f>J487+K487+L487</f>
        <v>1.93</v>
      </c>
      <c r="J487" s="702">
        <f>SUM(M487:R487)</f>
        <v>1.93</v>
      </c>
      <c r="K487" s="703"/>
      <c r="L487" s="703"/>
      <c r="M487" s="1387"/>
      <c r="N487" s="703"/>
      <c r="O487" s="1379"/>
      <c r="P487" s="1372"/>
      <c r="Q487" s="1364"/>
      <c r="R487" s="929">
        <v>1.93</v>
      </c>
      <c r="S487" s="1890"/>
      <c r="T487" s="1931"/>
      <c r="U487" s="1892"/>
      <c r="V487" s="1892"/>
      <c r="W487" s="730"/>
      <c r="X487" s="731"/>
      <c r="Y487" s="730"/>
      <c r="Z487" s="1708"/>
      <c r="AB487" s="3">
        <v>1</v>
      </c>
      <c r="AE487" s="2461"/>
      <c r="AF487" s="68"/>
    </row>
    <row r="488" spans="1:32" ht="30" x14ac:dyDescent="0.35">
      <c r="A488" s="1896">
        <v>193</v>
      </c>
      <c r="B488" s="1152">
        <v>11018</v>
      </c>
      <c r="C488" s="1152"/>
      <c r="D488" s="755" t="s">
        <v>1034</v>
      </c>
      <c r="E488" s="715" t="s">
        <v>814</v>
      </c>
      <c r="F488" s="1834"/>
      <c r="G488" s="1953" t="s">
        <v>191</v>
      </c>
      <c r="H488" s="1943" t="s">
        <v>191</v>
      </c>
      <c r="I488" s="702">
        <f>J488+K488+L488</f>
        <v>3.8</v>
      </c>
      <c r="J488" s="702">
        <f>SUM(M488:R488)</f>
        <v>3.8</v>
      </c>
      <c r="K488" s="703"/>
      <c r="L488" s="703"/>
      <c r="M488" s="1387"/>
      <c r="N488" s="717">
        <f>SUM(N489:N490)</f>
        <v>2.754</v>
      </c>
      <c r="O488" s="1379"/>
      <c r="P488" s="1372"/>
      <c r="Q488" s="1365"/>
      <c r="R488" s="1355">
        <f>SUM(R489:R490)</f>
        <v>1.0459999999999998</v>
      </c>
      <c r="S488" s="1882"/>
      <c r="T488" s="1931"/>
      <c r="U488" s="1874"/>
      <c r="V488" s="1874"/>
      <c r="W488" s="716">
        <f>6-2</f>
        <v>4</v>
      </c>
      <c r="X488" s="333">
        <f>73.63+10</f>
        <v>83.63</v>
      </c>
      <c r="Y488" s="716">
        <v>1</v>
      </c>
      <c r="Z488" s="1706">
        <v>10</v>
      </c>
      <c r="AB488" s="3">
        <v>1</v>
      </c>
      <c r="AE488" s="2461"/>
      <c r="AF488" s="68"/>
    </row>
    <row r="489" spans="1:32" ht="18" x14ac:dyDescent="0.4">
      <c r="A489" s="1886"/>
      <c r="B489" s="1152">
        <v>11018</v>
      </c>
      <c r="C489" s="1152"/>
      <c r="D489" s="754"/>
      <c r="E489" s="711" t="s">
        <v>812</v>
      </c>
      <c r="F489" s="1834">
        <v>4</v>
      </c>
      <c r="G489" s="179">
        <v>5</v>
      </c>
      <c r="H489" s="179">
        <v>6</v>
      </c>
      <c r="I489" s="708"/>
      <c r="J489" s="708"/>
      <c r="K489" s="709"/>
      <c r="L489" s="709"/>
      <c r="M489" s="1388"/>
      <c r="N489" s="712">
        <v>2.754</v>
      </c>
      <c r="O489" s="1378"/>
      <c r="P489" s="1371"/>
      <c r="Q489" s="1363"/>
      <c r="R489" s="1353"/>
      <c r="S489" s="1879"/>
      <c r="T489" s="1931"/>
      <c r="U489" s="1877"/>
      <c r="V489" s="1877"/>
      <c r="W489" s="720"/>
      <c r="X489" s="332"/>
      <c r="Y489" s="725"/>
      <c r="Z489" s="2664"/>
      <c r="AE489" s="2461"/>
      <c r="AF489" s="68"/>
    </row>
    <row r="490" spans="1:32" ht="18" x14ac:dyDescent="0.4">
      <c r="A490" s="1878"/>
      <c r="B490" s="1152">
        <v>11018</v>
      </c>
      <c r="C490" s="1152"/>
      <c r="D490" s="754"/>
      <c r="E490" s="1390" t="s">
        <v>813</v>
      </c>
      <c r="F490" s="1834" t="s">
        <v>664</v>
      </c>
      <c r="G490" s="1620">
        <v>5</v>
      </c>
      <c r="H490" s="1620">
        <v>6</v>
      </c>
      <c r="I490" s="712"/>
      <c r="J490" s="712"/>
      <c r="K490" s="709"/>
      <c r="L490" s="709"/>
      <c r="M490" s="1388"/>
      <c r="N490" s="709"/>
      <c r="O490" s="1378"/>
      <c r="P490" s="1371"/>
      <c r="Q490" s="1363"/>
      <c r="R490" s="1356">
        <f>3.8-2.754</f>
        <v>1.0459999999999998</v>
      </c>
      <c r="S490" s="1887"/>
      <c r="T490" s="1931"/>
      <c r="U490" s="1888"/>
      <c r="V490" s="1888"/>
      <c r="W490" s="722"/>
      <c r="X490" s="2665"/>
      <c r="Y490" s="722"/>
      <c r="Z490" s="2666"/>
      <c r="AE490" s="2461"/>
      <c r="AF490" s="68"/>
    </row>
    <row r="491" spans="1:32" ht="30" x14ac:dyDescent="0.35">
      <c r="A491" s="1880">
        <v>194</v>
      </c>
      <c r="B491" s="1152">
        <v>11020</v>
      </c>
      <c r="C491" s="1152"/>
      <c r="D491" s="755" t="s">
        <v>1035</v>
      </c>
      <c r="E491" s="715" t="s">
        <v>2009</v>
      </c>
      <c r="F491" s="1834"/>
      <c r="G491" s="1953" t="s">
        <v>191</v>
      </c>
      <c r="H491" s="179" t="s">
        <v>191</v>
      </c>
      <c r="I491" s="702">
        <f>J491+K491+L491</f>
        <v>4.1210000000000004</v>
      </c>
      <c r="J491" s="702">
        <f>SUM(M491:R491)</f>
        <v>4.1210000000000004</v>
      </c>
      <c r="K491" s="703"/>
      <c r="L491" s="703"/>
      <c r="M491" s="1387"/>
      <c r="N491" s="2487"/>
      <c r="O491" s="1379"/>
      <c r="P491" s="1372"/>
      <c r="Q491" s="1365">
        <f>SUM(Q492:Q494)</f>
        <v>4.1210000000000004</v>
      </c>
      <c r="R491" s="1354"/>
      <c r="S491" s="1882"/>
      <c r="T491" s="1931"/>
      <c r="U491" s="1874"/>
      <c r="V491" s="1874"/>
      <c r="W491" s="716">
        <v>9</v>
      </c>
      <c r="X491" s="333">
        <v>101.25</v>
      </c>
      <c r="Y491" s="716">
        <v>5</v>
      </c>
      <c r="Z491" s="1706">
        <v>50.5</v>
      </c>
      <c r="AB491" s="3">
        <v>1</v>
      </c>
      <c r="AE491" s="2461"/>
      <c r="AF491" s="68"/>
    </row>
    <row r="492" spans="1:32" ht="18" x14ac:dyDescent="0.4">
      <c r="A492" s="1886"/>
      <c r="B492" s="1152">
        <v>11020</v>
      </c>
      <c r="C492" s="1152"/>
      <c r="D492" s="754"/>
      <c r="E492" s="1394" t="s">
        <v>1112</v>
      </c>
      <c r="F492" s="1834">
        <v>4</v>
      </c>
      <c r="G492" s="1953">
        <v>5</v>
      </c>
      <c r="H492" s="179">
        <v>6</v>
      </c>
      <c r="I492" s="708"/>
      <c r="J492" s="708"/>
      <c r="K492" s="709"/>
      <c r="L492" s="709"/>
      <c r="M492" s="1388"/>
      <c r="N492" s="712"/>
      <c r="O492" s="1378"/>
      <c r="P492" s="1371"/>
      <c r="Q492" s="1363">
        <v>0.52300000000000002</v>
      </c>
      <c r="R492" s="1353"/>
      <c r="S492" s="1879"/>
      <c r="T492" s="1931"/>
      <c r="U492" s="1877"/>
      <c r="V492" s="1877"/>
      <c r="W492" s="720"/>
      <c r="X492" s="332"/>
      <c r="Y492" s="725"/>
      <c r="Z492" s="2664"/>
      <c r="AE492" s="2461"/>
      <c r="AF492" s="68"/>
    </row>
    <row r="493" spans="1:32" ht="18" x14ac:dyDescent="0.4">
      <c r="A493" s="1886"/>
      <c r="B493" s="1152">
        <v>11020</v>
      </c>
      <c r="C493" s="1152"/>
      <c r="D493" s="754"/>
      <c r="E493" s="1394" t="s">
        <v>6</v>
      </c>
      <c r="F493" s="1834">
        <v>5</v>
      </c>
      <c r="G493" s="1953">
        <v>5</v>
      </c>
      <c r="H493" s="179">
        <v>6</v>
      </c>
      <c r="I493" s="708"/>
      <c r="J493" s="708"/>
      <c r="K493" s="709"/>
      <c r="L493" s="709"/>
      <c r="M493" s="1388"/>
      <c r="N493" s="712"/>
      <c r="O493" s="1378"/>
      <c r="P493" s="1371"/>
      <c r="Q493" s="1363">
        <f>2.7-0.523</f>
        <v>2.177</v>
      </c>
      <c r="R493" s="1353"/>
      <c r="S493" s="1879"/>
      <c r="T493" s="1931"/>
      <c r="U493" s="1877"/>
      <c r="V493" s="1877"/>
      <c r="W493" s="720"/>
      <c r="X493" s="332"/>
      <c r="Y493" s="725"/>
      <c r="Z493" s="2664"/>
      <c r="AE493" s="2461"/>
      <c r="AF493" s="68"/>
    </row>
    <row r="494" spans="1:32" ht="18" x14ac:dyDescent="0.4">
      <c r="A494" s="1886"/>
      <c r="B494" s="1152">
        <v>11020</v>
      </c>
      <c r="C494" s="1152"/>
      <c r="D494" s="754"/>
      <c r="E494" s="1394" t="s">
        <v>410</v>
      </c>
      <c r="F494" s="1834">
        <v>5</v>
      </c>
      <c r="G494" s="1953">
        <v>5</v>
      </c>
      <c r="H494" s="179">
        <v>6</v>
      </c>
      <c r="I494" s="708"/>
      <c r="J494" s="708"/>
      <c r="K494" s="709"/>
      <c r="L494" s="709"/>
      <c r="M494" s="1388"/>
      <c r="N494" s="709"/>
      <c r="O494" s="1378"/>
      <c r="P494" s="1371"/>
      <c r="Q494" s="1366">
        <f>4.121-2.7</f>
        <v>1.4210000000000003</v>
      </c>
      <c r="R494" s="1353"/>
      <c r="S494" s="1879"/>
      <c r="T494" s="1931"/>
      <c r="U494" s="1877"/>
      <c r="V494" s="1877"/>
      <c r="W494" s="720"/>
      <c r="X494" s="332"/>
      <c r="Y494" s="725"/>
      <c r="Z494" s="2664"/>
      <c r="AE494" s="2461"/>
      <c r="AF494" s="68"/>
    </row>
    <row r="495" spans="1:32" ht="30" x14ac:dyDescent="0.35">
      <c r="A495" s="1880">
        <v>195</v>
      </c>
      <c r="B495" s="1152">
        <v>11022</v>
      </c>
      <c r="C495" s="1152"/>
      <c r="D495" s="755" t="s">
        <v>1036</v>
      </c>
      <c r="E495" s="715" t="s">
        <v>722</v>
      </c>
      <c r="F495" s="1834" t="s">
        <v>1490</v>
      </c>
      <c r="G495" s="1953">
        <v>5</v>
      </c>
      <c r="H495" s="1620">
        <v>6</v>
      </c>
      <c r="I495" s="702">
        <f>J495+K495+L495</f>
        <v>3.0430000000000001</v>
      </c>
      <c r="J495" s="702">
        <f>SUM(M495:R495)</f>
        <v>3.0430000000000001</v>
      </c>
      <c r="K495" s="703"/>
      <c r="L495" s="703"/>
      <c r="M495" s="1387"/>
      <c r="N495" s="703"/>
      <c r="O495" s="1379"/>
      <c r="P495" s="1372"/>
      <c r="Q495" s="1364"/>
      <c r="R495" s="1355">
        <v>3.0430000000000001</v>
      </c>
      <c r="S495" s="1884">
        <v>1</v>
      </c>
      <c r="T495" s="1931">
        <v>12</v>
      </c>
      <c r="U495" s="1874"/>
      <c r="V495" s="1874"/>
      <c r="W495" s="716">
        <v>2</v>
      </c>
      <c r="X495" s="333">
        <v>27.8</v>
      </c>
      <c r="Y495" s="716"/>
      <c r="Z495" s="1706"/>
      <c r="AB495" s="3">
        <v>1</v>
      </c>
      <c r="AE495" s="2461"/>
      <c r="AF495" s="68"/>
    </row>
    <row r="496" spans="1:32" ht="45" x14ac:dyDescent="0.35">
      <c r="A496" s="1872">
        <v>196</v>
      </c>
      <c r="B496" s="1058">
        <v>11022</v>
      </c>
      <c r="C496" s="2083" t="s">
        <v>1656</v>
      </c>
      <c r="D496" s="2470" t="s">
        <v>5527</v>
      </c>
      <c r="E496" s="739" t="s">
        <v>10078</v>
      </c>
      <c r="F496" s="1953" t="s">
        <v>664</v>
      </c>
      <c r="G496" s="1953">
        <v>5</v>
      </c>
      <c r="H496" s="1620">
        <v>6</v>
      </c>
      <c r="I496" s="702">
        <f>J496+K496+L496</f>
        <v>0.08</v>
      </c>
      <c r="J496" s="702">
        <f>SUM(M496:R496)</f>
        <v>0.08</v>
      </c>
      <c r="K496" s="703"/>
      <c r="L496" s="703"/>
      <c r="M496" s="1387"/>
      <c r="N496" s="703"/>
      <c r="O496" s="1379"/>
      <c r="P496" s="1372"/>
      <c r="Q496" s="1364"/>
      <c r="R496" s="929">
        <v>0.08</v>
      </c>
      <c r="S496" s="1890"/>
      <c r="T496" s="1931"/>
      <c r="U496" s="1892"/>
      <c r="V496" s="1892"/>
      <c r="W496" s="730"/>
      <c r="X496" s="731"/>
      <c r="Y496" s="730"/>
      <c r="Z496" s="1708"/>
      <c r="AB496" s="3">
        <v>1</v>
      </c>
      <c r="AE496" s="2461"/>
      <c r="AF496" s="68"/>
    </row>
    <row r="497" spans="1:32" ht="30" x14ac:dyDescent="0.35">
      <c r="A497" s="1880">
        <v>197</v>
      </c>
      <c r="B497" s="1152">
        <v>11023</v>
      </c>
      <c r="C497" s="1152"/>
      <c r="D497" s="755" t="s">
        <v>1037</v>
      </c>
      <c r="E497" s="715" t="s">
        <v>6803</v>
      </c>
      <c r="F497" s="1834"/>
      <c r="G497" s="1953" t="s">
        <v>191</v>
      </c>
      <c r="H497" s="1943" t="s">
        <v>191</v>
      </c>
      <c r="I497" s="702">
        <f>J497+K497+L497</f>
        <v>3.8719999999999999</v>
      </c>
      <c r="J497" s="702">
        <f>SUM(M497:R497)</f>
        <v>3.8719999999999999</v>
      </c>
      <c r="K497" s="703"/>
      <c r="L497" s="703"/>
      <c r="M497" s="1387"/>
      <c r="N497" s="703">
        <f>SUM(N498:N499)</f>
        <v>3.2000000000000001E-2</v>
      </c>
      <c r="O497" s="1379"/>
      <c r="P497" s="1372"/>
      <c r="Q497" s="1365">
        <f>SUM(Q498:Q499)</f>
        <v>3.84</v>
      </c>
      <c r="R497" s="1355"/>
      <c r="S497" s="1882"/>
      <c r="T497" s="1931"/>
      <c r="U497" s="1874"/>
      <c r="V497" s="1874"/>
      <c r="W497" s="716">
        <v>8</v>
      </c>
      <c r="X497" s="333">
        <v>80.39</v>
      </c>
      <c r="Y497" s="716">
        <v>3</v>
      </c>
      <c r="Z497" s="1706">
        <v>30.03</v>
      </c>
      <c r="AB497" s="3">
        <v>1</v>
      </c>
      <c r="AE497" s="2461"/>
      <c r="AF497" s="68"/>
    </row>
    <row r="498" spans="1:32" ht="17.5" x14ac:dyDescent="0.35">
      <c r="A498" s="1880"/>
      <c r="B498" s="1152">
        <v>11023</v>
      </c>
      <c r="C498" s="1152"/>
      <c r="D498" s="755"/>
      <c r="E498" s="711" t="s">
        <v>3309</v>
      </c>
      <c r="F498" s="1834">
        <v>5</v>
      </c>
      <c r="G498" s="1953">
        <v>5</v>
      </c>
      <c r="H498" s="1943">
        <v>6</v>
      </c>
      <c r="I498" s="1918"/>
      <c r="J498" s="1918"/>
      <c r="K498" s="1919"/>
      <c r="L498" s="1919"/>
      <c r="M498" s="1920"/>
      <c r="N498" s="1919">
        <v>3.2000000000000001E-2</v>
      </c>
      <c r="O498" s="1949"/>
      <c r="P498" s="1950"/>
      <c r="Q498" s="1967"/>
      <c r="R498" s="1355"/>
      <c r="S498" s="1882"/>
      <c r="T498" s="1931"/>
      <c r="U498" s="1874"/>
      <c r="V498" s="1874"/>
      <c r="W498" s="716"/>
      <c r="X498" s="333"/>
      <c r="Y498" s="716"/>
      <c r="Z498" s="1706"/>
      <c r="AE498" s="2461"/>
      <c r="AF498" s="68"/>
    </row>
    <row r="499" spans="1:32" ht="17.5" x14ac:dyDescent="0.35">
      <c r="A499" s="1880"/>
      <c r="B499" s="1152">
        <v>11023</v>
      </c>
      <c r="C499" s="1152"/>
      <c r="D499" s="755"/>
      <c r="E499" s="1394" t="s">
        <v>3643</v>
      </c>
      <c r="F499" s="1834">
        <v>5</v>
      </c>
      <c r="G499" s="1953">
        <v>5</v>
      </c>
      <c r="H499" s="1943">
        <v>6</v>
      </c>
      <c r="I499" s="1918"/>
      <c r="J499" s="1918"/>
      <c r="K499" s="1919"/>
      <c r="L499" s="1919"/>
      <c r="M499" s="1920"/>
      <c r="N499" s="1919"/>
      <c r="O499" s="1949"/>
      <c r="P499" s="1950"/>
      <c r="Q499" s="1967">
        <f>3.872-0.032</f>
        <v>3.84</v>
      </c>
      <c r="R499" s="1355"/>
      <c r="S499" s="1882"/>
      <c r="T499" s="1931"/>
      <c r="U499" s="1874"/>
      <c r="V499" s="1874"/>
      <c r="W499" s="716"/>
      <c r="X499" s="333"/>
      <c r="Y499" s="716"/>
      <c r="Z499" s="1706"/>
      <c r="AE499" s="2461"/>
      <c r="AF499" s="68"/>
    </row>
    <row r="500" spans="1:32" ht="30" x14ac:dyDescent="0.4">
      <c r="A500" s="1880">
        <v>198</v>
      </c>
      <c r="B500" s="1152">
        <v>11023</v>
      </c>
      <c r="C500" s="1152"/>
      <c r="D500" s="2470" t="s">
        <v>5528</v>
      </c>
      <c r="E500" s="715" t="s">
        <v>7856</v>
      </c>
      <c r="F500" s="1834"/>
      <c r="G500" s="179" t="s">
        <v>191</v>
      </c>
      <c r="H500" s="1620" t="s">
        <v>191</v>
      </c>
      <c r="I500" s="702">
        <f>J500+K500+L500</f>
        <v>1.94</v>
      </c>
      <c r="J500" s="702">
        <f>SUM(M500:R500)</f>
        <v>1.94</v>
      </c>
      <c r="K500" s="709"/>
      <c r="L500" s="709"/>
      <c r="M500" s="1388"/>
      <c r="N500" s="709"/>
      <c r="O500" s="1378"/>
      <c r="P500" s="1371"/>
      <c r="Q500" s="1964">
        <f>SUM(Q501:Q502)</f>
        <v>1.94</v>
      </c>
      <c r="R500" s="1909"/>
      <c r="S500" s="1879"/>
      <c r="T500" s="1931"/>
      <c r="U500" s="1877"/>
      <c r="V500" s="1877"/>
      <c r="W500" s="716">
        <v>5</v>
      </c>
      <c r="X500" s="333">
        <v>50.12</v>
      </c>
      <c r="Y500" s="1912"/>
      <c r="Z500" s="1913"/>
      <c r="AB500" s="3">
        <v>1</v>
      </c>
      <c r="AC500" s="3" t="s">
        <v>3558</v>
      </c>
      <c r="AE500" s="2461"/>
      <c r="AF500" s="68"/>
    </row>
    <row r="501" spans="1:32" ht="18" x14ac:dyDescent="0.4">
      <c r="A501" s="1880"/>
      <c r="B501" s="1152">
        <v>11023</v>
      </c>
      <c r="C501" s="1152"/>
      <c r="D501" s="754"/>
      <c r="E501" s="1394" t="s">
        <v>3428</v>
      </c>
      <c r="F501" s="1834" t="s">
        <v>827</v>
      </c>
      <c r="G501" s="179">
        <v>5</v>
      </c>
      <c r="H501" s="1620">
        <v>6</v>
      </c>
      <c r="I501" s="1918"/>
      <c r="J501" s="1918"/>
      <c r="K501" s="1937"/>
      <c r="L501" s="1937"/>
      <c r="M501" s="1920"/>
      <c r="N501" s="1937"/>
      <c r="O501" s="1949"/>
      <c r="P501" s="1950"/>
      <c r="Q501" s="1967">
        <v>1.2</v>
      </c>
      <c r="R501" s="1952"/>
      <c r="S501" s="1879"/>
      <c r="T501" s="1931"/>
      <c r="U501" s="1877"/>
      <c r="V501" s="1877"/>
      <c r="W501" s="716"/>
      <c r="X501" s="333"/>
      <c r="Y501" s="1912"/>
      <c r="Z501" s="1913"/>
      <c r="AE501" s="2461"/>
      <c r="AF501" s="68"/>
    </row>
    <row r="502" spans="1:32" ht="18" x14ac:dyDescent="0.4">
      <c r="A502" s="1880"/>
      <c r="B502" s="1152">
        <v>11023</v>
      </c>
      <c r="C502" s="1152"/>
      <c r="D502" s="754"/>
      <c r="E502" s="1394" t="s">
        <v>3653</v>
      </c>
      <c r="F502" s="1834" t="s">
        <v>1490</v>
      </c>
      <c r="G502" s="179">
        <v>5</v>
      </c>
      <c r="H502" s="1620">
        <v>6</v>
      </c>
      <c r="I502" s="1918"/>
      <c r="J502" s="1918"/>
      <c r="K502" s="1937"/>
      <c r="L502" s="1937"/>
      <c r="M502" s="1920"/>
      <c r="N502" s="1937"/>
      <c r="O502" s="1949"/>
      <c r="P502" s="1950"/>
      <c r="Q502" s="1967">
        <f>1.94-1.2</f>
        <v>0.74</v>
      </c>
      <c r="R502" s="1952"/>
      <c r="S502" s="1879"/>
      <c r="T502" s="1931"/>
      <c r="U502" s="1877"/>
      <c r="V502" s="1877"/>
      <c r="W502" s="716"/>
      <c r="X502" s="333"/>
      <c r="Y502" s="1912"/>
      <c r="Z502" s="1913"/>
      <c r="AE502" s="2461"/>
      <c r="AF502" s="68"/>
    </row>
    <row r="503" spans="1:32" ht="60" x14ac:dyDescent="0.35">
      <c r="A503" s="1872">
        <v>199</v>
      </c>
      <c r="B503" s="1058">
        <v>11023</v>
      </c>
      <c r="C503" s="1979" t="s">
        <v>1655</v>
      </c>
      <c r="D503" s="2470" t="s">
        <v>5529</v>
      </c>
      <c r="E503" s="699" t="s">
        <v>7857</v>
      </c>
      <c r="F503" s="1943" t="s">
        <v>664</v>
      </c>
      <c r="G503" s="1834">
        <v>5</v>
      </c>
      <c r="H503" s="1620">
        <v>6</v>
      </c>
      <c r="I503" s="702">
        <f t="shared" ref="I503:I508" si="26">J503+K503+L503</f>
        <v>1</v>
      </c>
      <c r="J503" s="702">
        <f t="shared" ref="J503:J508" si="27">SUM(M503:R503)</f>
        <v>1</v>
      </c>
      <c r="K503" s="703"/>
      <c r="L503" s="703"/>
      <c r="M503" s="1384"/>
      <c r="N503" s="702"/>
      <c r="O503" s="1376"/>
      <c r="P503" s="1369"/>
      <c r="Q503" s="1361"/>
      <c r="R503" s="1358">
        <v>1</v>
      </c>
      <c r="S503" s="1899"/>
      <c r="T503" s="1931"/>
      <c r="U503" s="1892"/>
      <c r="V503" s="1892"/>
      <c r="W503" s="1899"/>
      <c r="X503" s="1891"/>
      <c r="Y503" s="1890"/>
      <c r="Z503" s="1897"/>
      <c r="AB503" s="3">
        <v>1</v>
      </c>
      <c r="AE503" s="2461"/>
      <c r="AF503" s="68"/>
    </row>
    <row r="504" spans="1:32" ht="30" x14ac:dyDescent="0.35">
      <c r="A504" s="1872">
        <v>200</v>
      </c>
      <c r="B504" s="1719">
        <v>11023</v>
      </c>
      <c r="C504" s="2083" t="s">
        <v>1656</v>
      </c>
      <c r="D504" s="2470" t="s">
        <v>5530</v>
      </c>
      <c r="E504" s="2187" t="s">
        <v>8750</v>
      </c>
      <c r="F504" s="1943" t="s">
        <v>664</v>
      </c>
      <c r="G504" s="92">
        <v>5</v>
      </c>
      <c r="H504" s="1620">
        <v>6</v>
      </c>
      <c r="I504" s="702">
        <f>J504+K504+L504</f>
        <v>0.35</v>
      </c>
      <c r="J504" s="702">
        <f t="shared" si="27"/>
        <v>0.35</v>
      </c>
      <c r="K504" s="622"/>
      <c r="L504" s="622"/>
      <c r="M504" s="622"/>
      <c r="N504" s="622"/>
      <c r="O504" s="622"/>
      <c r="P504" s="622"/>
      <c r="Q504" s="1365"/>
      <c r="R504" s="906">
        <v>0.35</v>
      </c>
      <c r="S504" s="106"/>
      <c r="T504" s="1931"/>
      <c r="U504" s="106"/>
      <c r="V504" s="106"/>
      <c r="W504" s="105"/>
      <c r="X504" s="105"/>
      <c r="Y504" s="105"/>
      <c r="Z504" s="323"/>
      <c r="AB504" s="3">
        <v>1</v>
      </c>
      <c r="AE504" s="2461"/>
      <c r="AF504" s="68"/>
    </row>
    <row r="505" spans="1:32" ht="45" x14ac:dyDescent="0.35">
      <c r="A505" s="1872">
        <v>201</v>
      </c>
      <c r="B505" s="1719">
        <v>11023</v>
      </c>
      <c r="C505" s="2083" t="s">
        <v>1656</v>
      </c>
      <c r="D505" s="2470" t="s">
        <v>5531</v>
      </c>
      <c r="E505" s="2187" t="s">
        <v>8751</v>
      </c>
      <c r="F505" s="92" t="s">
        <v>664</v>
      </c>
      <c r="G505" s="92">
        <v>5</v>
      </c>
      <c r="H505" s="1620">
        <v>6</v>
      </c>
      <c r="I505" s="702">
        <f>J505+K505+L505</f>
        <v>0.7</v>
      </c>
      <c r="J505" s="702">
        <f t="shared" si="27"/>
        <v>0.7</v>
      </c>
      <c r="K505" s="622"/>
      <c r="L505" s="622"/>
      <c r="M505" s="622"/>
      <c r="N505" s="622"/>
      <c r="O505" s="622"/>
      <c r="P505" s="622"/>
      <c r="Q505" s="622"/>
      <c r="R505" s="906">
        <v>0.7</v>
      </c>
      <c r="S505" s="106"/>
      <c r="T505" s="1931"/>
      <c r="U505" s="106"/>
      <c r="V505" s="106"/>
      <c r="W505" s="105"/>
      <c r="X505" s="105"/>
      <c r="Y505" s="105"/>
      <c r="Z505" s="323"/>
      <c r="AB505" s="3">
        <v>1</v>
      </c>
      <c r="AE505" s="2461"/>
      <c r="AF505" s="68"/>
    </row>
    <row r="506" spans="1:32" ht="45" x14ac:dyDescent="0.35">
      <c r="A506" s="1872">
        <v>202</v>
      </c>
      <c r="B506" s="1152">
        <v>11024</v>
      </c>
      <c r="C506" s="1152"/>
      <c r="D506" s="755" t="s">
        <v>860</v>
      </c>
      <c r="E506" s="715" t="s">
        <v>10079</v>
      </c>
      <c r="F506" s="1834" t="s">
        <v>1490</v>
      </c>
      <c r="G506" s="1953">
        <v>5</v>
      </c>
      <c r="H506" s="1620">
        <v>6</v>
      </c>
      <c r="I506" s="702">
        <f t="shared" si="26"/>
        <v>1.5</v>
      </c>
      <c r="J506" s="702">
        <f t="shared" si="27"/>
        <v>1.5</v>
      </c>
      <c r="K506" s="703"/>
      <c r="L506" s="703"/>
      <c r="M506" s="1387"/>
      <c r="N506" s="703"/>
      <c r="O506" s="1379"/>
      <c r="P506" s="1372"/>
      <c r="Q506" s="1365"/>
      <c r="R506" s="1354">
        <v>1.5</v>
      </c>
      <c r="S506" s="1882"/>
      <c r="T506" s="1931"/>
      <c r="U506" s="705"/>
      <c r="V506" s="705"/>
      <c r="W506" s="716">
        <v>1</v>
      </c>
      <c r="X506" s="333">
        <v>5.0999999999999996</v>
      </c>
      <c r="Y506" s="716"/>
      <c r="Z506" s="1706"/>
      <c r="AB506" s="3">
        <v>1</v>
      </c>
      <c r="AE506" s="2461"/>
      <c r="AF506" s="68"/>
    </row>
    <row r="507" spans="1:32" ht="75" x14ac:dyDescent="0.35">
      <c r="A507" s="1872">
        <v>203</v>
      </c>
      <c r="B507" s="1060">
        <v>11024</v>
      </c>
      <c r="C507" s="1979" t="s">
        <v>1655</v>
      </c>
      <c r="D507" s="2470" t="s">
        <v>5532</v>
      </c>
      <c r="E507" s="739" t="s">
        <v>10080</v>
      </c>
      <c r="F507" s="1834" t="s">
        <v>664</v>
      </c>
      <c r="G507" s="1834">
        <v>5</v>
      </c>
      <c r="H507" s="1620">
        <v>6</v>
      </c>
      <c r="I507" s="702">
        <f t="shared" si="26"/>
        <v>0.5</v>
      </c>
      <c r="J507" s="702">
        <f t="shared" si="27"/>
        <v>0.5</v>
      </c>
      <c r="K507" s="703"/>
      <c r="L507" s="703"/>
      <c r="M507" s="1387"/>
      <c r="N507" s="703"/>
      <c r="O507" s="1379"/>
      <c r="P507" s="1372"/>
      <c r="Q507" s="1364"/>
      <c r="R507" s="1357">
        <v>0.5</v>
      </c>
      <c r="S507" s="1890"/>
      <c r="T507" s="1931"/>
      <c r="U507" s="732"/>
      <c r="V507" s="732"/>
      <c r="W507" s="730"/>
      <c r="X507" s="731"/>
      <c r="Y507" s="730"/>
      <c r="Z507" s="1708"/>
      <c r="AB507" s="3">
        <v>1</v>
      </c>
      <c r="AE507" s="2461"/>
      <c r="AF507" s="68"/>
    </row>
    <row r="508" spans="1:32" ht="45" x14ac:dyDescent="0.35">
      <c r="A508" s="1872">
        <v>204</v>
      </c>
      <c r="B508" s="1152">
        <v>11025</v>
      </c>
      <c r="C508" s="1152"/>
      <c r="D508" s="755" t="s">
        <v>2108</v>
      </c>
      <c r="E508" s="715" t="s">
        <v>10081</v>
      </c>
      <c r="F508" s="1834"/>
      <c r="G508" s="1953" t="s">
        <v>191</v>
      </c>
      <c r="H508" s="1943" t="s">
        <v>191</v>
      </c>
      <c r="I508" s="702">
        <f t="shared" si="26"/>
        <v>8.6950000000000003</v>
      </c>
      <c r="J508" s="702">
        <f t="shared" si="27"/>
        <v>8.6950000000000003</v>
      </c>
      <c r="K508" s="703"/>
      <c r="L508" s="703"/>
      <c r="M508" s="1387"/>
      <c r="N508" s="717">
        <f>SUM(N509:N515)</f>
        <v>1.1560000000000001</v>
      </c>
      <c r="O508" s="1379"/>
      <c r="P508" s="1372"/>
      <c r="Q508" s="1365">
        <f>SUM(Q509:Q515)</f>
        <v>6.593</v>
      </c>
      <c r="R508" s="1355">
        <f>SUM(R509:R515)</f>
        <v>0.94600000000000062</v>
      </c>
      <c r="S508" s="1882"/>
      <c r="T508" s="1931"/>
      <c r="U508" s="705"/>
      <c r="V508" s="705"/>
      <c r="W508" s="716">
        <v>17</v>
      </c>
      <c r="X508" s="333">
        <v>197.88</v>
      </c>
      <c r="Y508" s="716"/>
      <c r="Z508" s="1706"/>
      <c r="AB508" s="3">
        <v>1</v>
      </c>
      <c r="AE508" s="2461"/>
      <c r="AF508" s="68"/>
    </row>
    <row r="509" spans="1:32" ht="18" x14ac:dyDescent="0.4">
      <c r="A509" s="1886"/>
      <c r="B509" s="1152">
        <v>11025</v>
      </c>
      <c r="C509" s="1152"/>
      <c r="D509" s="754"/>
      <c r="E509" s="711" t="s">
        <v>3687</v>
      </c>
      <c r="F509" s="1834">
        <v>5</v>
      </c>
      <c r="G509" s="179">
        <v>5</v>
      </c>
      <c r="H509" s="179">
        <v>6</v>
      </c>
      <c r="I509" s="708"/>
      <c r="J509" s="708"/>
      <c r="K509" s="709"/>
      <c r="L509" s="709"/>
      <c r="M509" s="1388"/>
      <c r="N509" s="712">
        <v>1.137</v>
      </c>
      <c r="O509" s="1378"/>
      <c r="P509" s="1371"/>
      <c r="Q509" s="1363"/>
      <c r="R509" s="1353"/>
      <c r="S509" s="1879"/>
      <c r="T509" s="1931"/>
      <c r="U509" s="728"/>
      <c r="V509" s="728"/>
      <c r="W509" s="720"/>
      <c r="X509" s="332"/>
      <c r="Y509" s="725"/>
      <c r="Z509" s="2664"/>
      <c r="AA509" s="3" t="s">
        <v>1562</v>
      </c>
      <c r="AE509" s="2461"/>
      <c r="AF509" s="68"/>
    </row>
    <row r="510" spans="1:32" ht="18" x14ac:dyDescent="0.4">
      <c r="A510" s="1886"/>
      <c r="B510" s="1152">
        <v>11025</v>
      </c>
      <c r="C510" s="1152"/>
      <c r="D510" s="754"/>
      <c r="E510" s="1394" t="s">
        <v>3691</v>
      </c>
      <c r="F510" s="1834">
        <v>5</v>
      </c>
      <c r="G510" s="179">
        <v>5</v>
      </c>
      <c r="H510" s="1834">
        <v>6</v>
      </c>
      <c r="I510" s="708"/>
      <c r="J510" s="708"/>
      <c r="K510" s="709"/>
      <c r="L510" s="709"/>
      <c r="M510" s="1388"/>
      <c r="N510" s="709"/>
      <c r="O510" s="1378"/>
      <c r="P510" s="1371"/>
      <c r="Q510" s="1366">
        <f>2.967-1.137</f>
        <v>1.83</v>
      </c>
      <c r="R510" s="1353"/>
      <c r="S510" s="1879"/>
      <c r="T510" s="1931"/>
      <c r="U510" s="728"/>
      <c r="V510" s="728"/>
      <c r="W510" s="720"/>
      <c r="X510" s="332"/>
      <c r="Y510" s="725"/>
      <c r="Z510" s="2664"/>
      <c r="AE510" s="2461"/>
      <c r="AF510" s="68"/>
    </row>
    <row r="511" spans="1:32" ht="18" x14ac:dyDescent="0.4">
      <c r="A511" s="1886"/>
      <c r="B511" s="1152">
        <v>11025</v>
      </c>
      <c r="C511" s="1152"/>
      <c r="D511" s="754"/>
      <c r="E511" s="1394" t="s">
        <v>3692</v>
      </c>
      <c r="F511" s="1834" t="s">
        <v>827</v>
      </c>
      <c r="G511" s="179">
        <v>5</v>
      </c>
      <c r="H511" s="1834">
        <v>6</v>
      </c>
      <c r="I511" s="708"/>
      <c r="J511" s="708"/>
      <c r="K511" s="709"/>
      <c r="L511" s="709"/>
      <c r="M511" s="1388"/>
      <c r="N511" s="709"/>
      <c r="O511" s="1378"/>
      <c r="P511" s="1371"/>
      <c r="Q511" s="1366">
        <f>6.69-2.967</f>
        <v>3.7230000000000003</v>
      </c>
      <c r="R511" s="1353"/>
      <c r="S511" s="1879"/>
      <c r="T511" s="1931"/>
      <c r="U511" s="728"/>
      <c r="V511" s="728"/>
      <c r="W511" s="720"/>
      <c r="X511" s="332"/>
      <c r="Y511" s="725"/>
      <c r="Z511" s="2664"/>
      <c r="AE511" s="2461"/>
      <c r="AF511" s="68"/>
    </row>
    <row r="512" spans="1:32" ht="18" x14ac:dyDescent="0.4">
      <c r="A512" s="1886"/>
      <c r="B512" s="1152">
        <v>11025</v>
      </c>
      <c r="C512" s="1152"/>
      <c r="D512" s="754"/>
      <c r="E512" s="1394" t="s">
        <v>3693</v>
      </c>
      <c r="F512" s="1834">
        <v>5</v>
      </c>
      <c r="G512" s="179">
        <v>5</v>
      </c>
      <c r="H512" s="1620">
        <v>6</v>
      </c>
      <c r="I512" s="708"/>
      <c r="J512" s="708"/>
      <c r="K512" s="709"/>
      <c r="L512" s="709"/>
      <c r="M512" s="1388"/>
      <c r="N512" s="709"/>
      <c r="O512" s="1378"/>
      <c r="P512" s="1371"/>
      <c r="Q512" s="1366">
        <f>7.059-6.69</f>
        <v>0.36899999999999977</v>
      </c>
      <c r="R512" s="1353"/>
      <c r="S512" s="1879"/>
      <c r="T512" s="1931"/>
      <c r="U512" s="728"/>
      <c r="V512" s="728"/>
      <c r="W512" s="720"/>
      <c r="X512" s="332"/>
      <c r="Y512" s="725"/>
      <c r="Z512" s="2664"/>
      <c r="AE512" s="2461"/>
      <c r="AF512" s="68"/>
    </row>
    <row r="513" spans="1:32" ht="18" x14ac:dyDescent="0.4">
      <c r="A513" s="1886"/>
      <c r="B513" s="1152">
        <v>11025</v>
      </c>
      <c r="C513" s="1152"/>
      <c r="D513" s="754"/>
      <c r="E513" s="1390" t="s">
        <v>3689</v>
      </c>
      <c r="F513" s="1834">
        <v>5</v>
      </c>
      <c r="G513" s="1620">
        <v>5</v>
      </c>
      <c r="H513" s="1620">
        <v>6</v>
      </c>
      <c r="I513" s="708"/>
      <c r="J513" s="708"/>
      <c r="K513" s="709"/>
      <c r="L513" s="709"/>
      <c r="M513" s="1388"/>
      <c r="N513" s="709"/>
      <c r="O513" s="1378"/>
      <c r="P513" s="1371"/>
      <c r="Q513" s="1363"/>
      <c r="R513" s="1356">
        <f>8.005-7.059</f>
        <v>0.94600000000000062</v>
      </c>
      <c r="S513" s="1879"/>
      <c r="T513" s="1931"/>
      <c r="U513" s="728"/>
      <c r="V513" s="728"/>
      <c r="W513" s="720"/>
      <c r="X513" s="332"/>
      <c r="Y513" s="725"/>
      <c r="Z513" s="2664"/>
      <c r="AC513" s="3" t="s">
        <v>2570</v>
      </c>
      <c r="AE513" s="2461"/>
      <c r="AF513" s="68"/>
    </row>
    <row r="514" spans="1:32" ht="18" x14ac:dyDescent="0.4">
      <c r="A514" s="1886"/>
      <c r="B514" s="1152">
        <v>11025</v>
      </c>
      <c r="C514" s="1152"/>
      <c r="D514" s="754"/>
      <c r="E514" s="1394" t="s">
        <v>3690</v>
      </c>
      <c r="F514" s="1834">
        <v>5</v>
      </c>
      <c r="G514" s="1620">
        <v>5</v>
      </c>
      <c r="H514" s="1834">
        <v>6</v>
      </c>
      <c r="I514" s="708"/>
      <c r="J514" s="708"/>
      <c r="K514" s="709"/>
      <c r="L514" s="709"/>
      <c r="M514" s="1388"/>
      <c r="N514" s="2838"/>
      <c r="O514" s="1378"/>
      <c r="P514" s="1371"/>
      <c r="Q514" s="1366">
        <f>8.676-8.005</f>
        <v>0.67099999999999937</v>
      </c>
      <c r="R514" s="1353"/>
      <c r="S514" s="1879"/>
      <c r="T514" s="1931"/>
      <c r="U514" s="728"/>
      <c r="V514" s="728"/>
      <c r="W514" s="720"/>
      <c r="X514" s="332"/>
      <c r="Y514" s="725"/>
      <c r="Z514" s="2664"/>
      <c r="AA514" s="3" t="s">
        <v>2160</v>
      </c>
      <c r="AE514" s="2461"/>
      <c r="AF514" s="68"/>
    </row>
    <row r="515" spans="1:32" ht="18" x14ac:dyDescent="0.4">
      <c r="A515" s="1886"/>
      <c r="B515" s="1152"/>
      <c r="C515" s="1152"/>
      <c r="D515" s="754"/>
      <c r="E515" s="711" t="s">
        <v>3688</v>
      </c>
      <c r="F515" s="1834">
        <v>5</v>
      </c>
      <c r="G515" s="1620">
        <v>5</v>
      </c>
      <c r="H515" s="1834">
        <v>6</v>
      </c>
      <c r="I515" s="708"/>
      <c r="J515" s="708"/>
      <c r="K515" s="709"/>
      <c r="L515" s="709"/>
      <c r="M515" s="1388"/>
      <c r="N515" s="709">
        <f>8.695-8.676</f>
        <v>1.9000000000000128E-2</v>
      </c>
      <c r="O515" s="1378"/>
      <c r="P515" s="1371"/>
      <c r="Q515" s="1366"/>
      <c r="R515" s="1353"/>
      <c r="S515" s="1879"/>
      <c r="T515" s="1931"/>
      <c r="U515" s="728"/>
      <c r="V515" s="728"/>
      <c r="W515" s="720"/>
      <c r="X515" s="332"/>
      <c r="Y515" s="725"/>
      <c r="Z515" s="2664"/>
      <c r="AE515" s="2461"/>
      <c r="AF515" s="68"/>
    </row>
    <row r="516" spans="1:32" ht="75" x14ac:dyDescent="0.35">
      <c r="A516" s="1872">
        <v>205</v>
      </c>
      <c r="B516" s="1058">
        <v>11025</v>
      </c>
      <c r="C516" s="1979" t="s">
        <v>1655</v>
      </c>
      <c r="D516" s="2471" t="s">
        <v>5533</v>
      </c>
      <c r="E516" s="739" t="s">
        <v>10082</v>
      </c>
      <c r="F516" s="1953" t="s">
        <v>664</v>
      </c>
      <c r="G516" s="1953">
        <v>5</v>
      </c>
      <c r="H516" s="1620">
        <v>6</v>
      </c>
      <c r="I516" s="702">
        <f>J516+K516+L516</f>
        <v>0.5</v>
      </c>
      <c r="J516" s="702">
        <f>SUM(M516:R516)</f>
        <v>0.5</v>
      </c>
      <c r="K516" s="703"/>
      <c r="L516" s="703"/>
      <c r="M516" s="1387"/>
      <c r="N516" s="703"/>
      <c r="O516" s="1379"/>
      <c r="P516" s="1372"/>
      <c r="Q516" s="1364"/>
      <c r="R516" s="1357">
        <v>0.5</v>
      </c>
      <c r="S516" s="1890"/>
      <c r="T516" s="1931"/>
      <c r="U516" s="732"/>
      <c r="V516" s="732"/>
      <c r="W516" s="730"/>
      <c r="X516" s="731"/>
      <c r="Y516" s="730"/>
      <c r="Z516" s="1708"/>
      <c r="AB516" s="3">
        <v>1</v>
      </c>
      <c r="AE516" s="2461"/>
      <c r="AF516" s="68"/>
    </row>
    <row r="517" spans="1:32" ht="75" x14ac:dyDescent="0.35">
      <c r="A517" s="1872">
        <v>206</v>
      </c>
      <c r="B517" s="1058">
        <v>11025</v>
      </c>
      <c r="C517" s="1979" t="s">
        <v>1655</v>
      </c>
      <c r="D517" s="2471" t="s">
        <v>5534</v>
      </c>
      <c r="E517" s="739" t="s">
        <v>10083</v>
      </c>
      <c r="F517" s="1953" t="s">
        <v>664</v>
      </c>
      <c r="G517" s="1953">
        <v>5</v>
      </c>
      <c r="H517" s="1620">
        <v>6</v>
      </c>
      <c r="I517" s="702">
        <f>J517+K517+L517</f>
        <v>0.3</v>
      </c>
      <c r="J517" s="702">
        <f>SUM(M517:R517)</f>
        <v>0.3</v>
      </c>
      <c r="K517" s="703"/>
      <c r="L517" s="703"/>
      <c r="M517" s="1387"/>
      <c r="N517" s="703"/>
      <c r="O517" s="1379"/>
      <c r="P517" s="1372"/>
      <c r="Q517" s="1364"/>
      <c r="R517" s="1357">
        <v>0.3</v>
      </c>
      <c r="S517" s="1890"/>
      <c r="T517" s="1931"/>
      <c r="U517" s="732"/>
      <c r="V517" s="732"/>
      <c r="W517" s="730"/>
      <c r="X517" s="731"/>
      <c r="Y517" s="730"/>
      <c r="Z517" s="1708"/>
      <c r="AB517" s="3">
        <v>1</v>
      </c>
      <c r="AE517" s="2461"/>
      <c r="AF517" s="68"/>
    </row>
    <row r="518" spans="1:32" ht="60" x14ac:dyDescent="0.35">
      <c r="A518" s="1872">
        <v>207</v>
      </c>
      <c r="B518" s="2219">
        <v>11025</v>
      </c>
      <c r="C518" s="2219"/>
      <c r="D518" s="2471" t="s">
        <v>5535</v>
      </c>
      <c r="E518" s="2113" t="s">
        <v>10084</v>
      </c>
      <c r="F518" s="2210" t="s">
        <v>664</v>
      </c>
      <c r="G518" s="2210">
        <v>5</v>
      </c>
      <c r="H518" s="1620">
        <v>6</v>
      </c>
      <c r="I518" s="580">
        <f>J518+K518+L518</f>
        <v>0.5</v>
      </c>
      <c r="J518" s="2216">
        <f>SUM(M518:R518)</f>
        <v>0.5</v>
      </c>
      <c r="K518" s="527"/>
      <c r="L518" s="527"/>
      <c r="M518" s="527"/>
      <c r="N518" s="580"/>
      <c r="O518" s="2215"/>
      <c r="P518" s="527"/>
      <c r="Q518" s="913"/>
      <c r="R518" s="906">
        <v>0.5</v>
      </c>
      <c r="S518" s="92"/>
      <c r="T518" s="1931"/>
      <c r="U518" s="92"/>
      <c r="V518" s="92"/>
      <c r="W518" s="92"/>
      <c r="X518" s="92"/>
      <c r="Y518" s="92"/>
      <c r="Z518" s="70"/>
      <c r="AB518" s="3">
        <v>1</v>
      </c>
      <c r="AE518" s="2461"/>
      <c r="AF518" s="68"/>
    </row>
    <row r="519" spans="1:32" ht="60" x14ac:dyDescent="0.35">
      <c r="A519" s="1872">
        <v>208</v>
      </c>
      <c r="B519" s="1719">
        <v>11025</v>
      </c>
      <c r="C519" s="2083" t="s">
        <v>1656</v>
      </c>
      <c r="D519" s="2471" t="s">
        <v>5536</v>
      </c>
      <c r="E519" s="2187" t="s">
        <v>10085</v>
      </c>
      <c r="F519" s="92" t="s">
        <v>664</v>
      </c>
      <c r="G519" s="92">
        <v>5</v>
      </c>
      <c r="H519" s="1620">
        <v>6</v>
      </c>
      <c r="I519" s="702">
        <f>J519+K519+L519</f>
        <v>1.2</v>
      </c>
      <c r="J519" s="702">
        <f>SUM(M519:R519)</f>
        <v>1.2</v>
      </c>
      <c r="K519" s="622"/>
      <c r="L519" s="622"/>
      <c r="M519" s="622"/>
      <c r="N519" s="622"/>
      <c r="O519" s="622"/>
      <c r="P519" s="622"/>
      <c r="Q519" s="622"/>
      <c r="R519" s="1984">
        <v>1.2</v>
      </c>
      <c r="S519" s="106"/>
      <c r="T519" s="1931"/>
      <c r="U519" s="106"/>
      <c r="V519" s="106"/>
      <c r="W519" s="105"/>
      <c r="X519" s="105"/>
      <c r="Y519" s="105"/>
      <c r="Z519" s="323"/>
      <c r="AB519" s="3">
        <v>1</v>
      </c>
      <c r="AE519" s="2461"/>
      <c r="AF519" s="68"/>
    </row>
    <row r="520" spans="1:32" ht="30" x14ac:dyDescent="0.35">
      <c r="A520" s="1872">
        <v>209</v>
      </c>
      <c r="B520" s="1152">
        <v>11026</v>
      </c>
      <c r="C520" s="1152"/>
      <c r="D520" s="755" t="s">
        <v>3299</v>
      </c>
      <c r="E520" s="715" t="s">
        <v>1731</v>
      </c>
      <c r="F520" s="1834"/>
      <c r="G520" s="1953" t="s">
        <v>191</v>
      </c>
      <c r="H520" s="1943" t="s">
        <v>191</v>
      </c>
      <c r="I520" s="702">
        <f>J520+K520+L520</f>
        <v>5.4659999999999993</v>
      </c>
      <c r="J520" s="702">
        <f>SUM(M520:R520)</f>
        <v>5.4659999999999993</v>
      </c>
      <c r="K520" s="703"/>
      <c r="L520" s="703"/>
      <c r="M520" s="1387"/>
      <c r="N520" s="703"/>
      <c r="O520" s="1379"/>
      <c r="P520" s="1372"/>
      <c r="Q520" s="1365">
        <f>SUM(Q521:Q524)</f>
        <v>5.3069999999999995</v>
      </c>
      <c r="R520" s="1355">
        <f>SUM(R521:R524)</f>
        <v>0.15900000000000025</v>
      </c>
      <c r="S520" s="1882"/>
      <c r="T520" s="1931"/>
      <c r="U520" s="705"/>
      <c r="V520" s="705"/>
      <c r="W520" s="716">
        <v>14</v>
      </c>
      <c r="X520" s="333">
        <v>151.15</v>
      </c>
      <c r="Y520" s="716">
        <v>1</v>
      </c>
      <c r="Z520" s="1706">
        <v>10.1</v>
      </c>
      <c r="AB520" s="3">
        <v>1</v>
      </c>
      <c r="AE520" s="2461"/>
      <c r="AF520" s="68"/>
    </row>
    <row r="521" spans="1:32" ht="18" x14ac:dyDescent="0.4">
      <c r="A521" s="1886"/>
      <c r="B521" s="1152">
        <v>11026</v>
      </c>
      <c r="C521" s="1152"/>
      <c r="D521" s="754"/>
      <c r="E521" s="1394" t="s">
        <v>904</v>
      </c>
      <c r="F521" s="1834" t="s">
        <v>827</v>
      </c>
      <c r="G521" s="1620">
        <v>5</v>
      </c>
      <c r="H521" s="1834">
        <v>6</v>
      </c>
      <c r="I521" s="708"/>
      <c r="J521" s="708"/>
      <c r="K521" s="709"/>
      <c r="L521" s="709"/>
      <c r="M521" s="1388"/>
      <c r="N521" s="709"/>
      <c r="O521" s="1378"/>
      <c r="P521" s="1371"/>
      <c r="Q521" s="1366">
        <v>3.2109999999999999</v>
      </c>
      <c r="R521" s="1353"/>
      <c r="S521" s="1879"/>
      <c r="T521" s="1931"/>
      <c r="U521" s="728"/>
      <c r="V521" s="728"/>
      <c r="W521" s="720"/>
      <c r="X521" s="332"/>
      <c r="Y521" s="725"/>
      <c r="Z521" s="2664"/>
      <c r="AA521" s="3" t="s">
        <v>1441</v>
      </c>
      <c r="AE521" s="2461"/>
      <c r="AF521" s="68"/>
    </row>
    <row r="522" spans="1:32" ht="18" x14ac:dyDescent="0.4">
      <c r="A522" s="1886"/>
      <c r="B522" s="1152">
        <v>11026</v>
      </c>
      <c r="C522" s="1152"/>
      <c r="D522" s="754"/>
      <c r="E522" s="1390" t="s">
        <v>1196</v>
      </c>
      <c r="F522" s="1834" t="s">
        <v>664</v>
      </c>
      <c r="G522" s="1620">
        <v>5</v>
      </c>
      <c r="H522" s="1620">
        <v>6</v>
      </c>
      <c r="I522" s="708"/>
      <c r="J522" s="708"/>
      <c r="K522" s="709"/>
      <c r="L522" s="709"/>
      <c r="M522" s="1388"/>
      <c r="N522" s="709"/>
      <c r="O522" s="1378"/>
      <c r="P522" s="1371"/>
      <c r="Q522" s="1363"/>
      <c r="R522" s="1356">
        <f>3.37-3.211</f>
        <v>0.15900000000000025</v>
      </c>
      <c r="S522" s="1879"/>
      <c r="T522" s="1931"/>
      <c r="U522" s="728"/>
      <c r="V522" s="728"/>
      <c r="W522" s="720"/>
      <c r="X522" s="332"/>
      <c r="Y522" s="725"/>
      <c r="Z522" s="2664"/>
      <c r="AA522" s="3" t="s">
        <v>1441</v>
      </c>
      <c r="AE522" s="2461"/>
      <c r="AF522" s="68"/>
    </row>
    <row r="523" spans="1:32" ht="18" x14ac:dyDescent="0.4">
      <c r="A523" s="1886"/>
      <c r="B523" s="1152">
        <v>11026</v>
      </c>
      <c r="C523" s="1152"/>
      <c r="D523" s="754"/>
      <c r="E523" s="1394" t="s">
        <v>2423</v>
      </c>
      <c r="F523" s="1834">
        <v>5</v>
      </c>
      <c r="G523" s="1620">
        <v>5</v>
      </c>
      <c r="H523" s="1834">
        <v>6</v>
      </c>
      <c r="I523" s="708"/>
      <c r="J523" s="708"/>
      <c r="K523" s="709"/>
      <c r="L523" s="709"/>
      <c r="M523" s="1388"/>
      <c r="N523" s="709"/>
      <c r="O523" s="1378"/>
      <c r="P523" s="1371"/>
      <c r="Q523" s="1363">
        <v>0.63</v>
      </c>
      <c r="R523" s="1356"/>
      <c r="S523" s="1879"/>
      <c r="T523" s="1931"/>
      <c r="U523" s="728"/>
      <c r="V523" s="728"/>
      <c r="W523" s="720"/>
      <c r="X523" s="332"/>
      <c r="Y523" s="725"/>
      <c r="Z523" s="2664"/>
      <c r="AA523" s="3" t="s">
        <v>1442</v>
      </c>
      <c r="AE523" s="2461"/>
      <c r="AF523" s="68"/>
    </row>
    <row r="524" spans="1:32" ht="18" x14ac:dyDescent="0.4">
      <c r="A524" s="1886"/>
      <c r="B524" s="1152">
        <v>11026</v>
      </c>
      <c r="C524" s="1152"/>
      <c r="D524" s="754"/>
      <c r="E524" s="1394" t="s">
        <v>2424</v>
      </c>
      <c r="F524" s="1834" t="s">
        <v>827</v>
      </c>
      <c r="G524" s="1620">
        <v>5</v>
      </c>
      <c r="H524" s="1834">
        <v>6</v>
      </c>
      <c r="I524" s="708"/>
      <c r="J524" s="708"/>
      <c r="K524" s="709"/>
      <c r="L524" s="709"/>
      <c r="M524" s="1388"/>
      <c r="N524" s="709"/>
      <c r="O524" s="1378"/>
      <c r="P524" s="1371"/>
      <c r="Q524" s="1366">
        <v>1.466</v>
      </c>
      <c r="R524" s="1353"/>
      <c r="S524" s="1879"/>
      <c r="T524" s="1931"/>
      <c r="U524" s="728"/>
      <c r="V524" s="728"/>
      <c r="W524" s="720"/>
      <c r="X524" s="332"/>
      <c r="Y524" s="725"/>
      <c r="Z524" s="2664"/>
      <c r="AA524" s="3" t="s">
        <v>1442</v>
      </c>
      <c r="AE524" s="2461"/>
      <c r="AF524" s="68"/>
    </row>
    <row r="525" spans="1:32" ht="30" x14ac:dyDescent="0.35">
      <c r="A525" s="1880">
        <v>210</v>
      </c>
      <c r="B525" s="1148">
        <v>11004</v>
      </c>
      <c r="C525" s="2083" t="s">
        <v>1656</v>
      </c>
      <c r="D525" s="2471" t="s">
        <v>5537</v>
      </c>
      <c r="E525" s="739" t="s">
        <v>10086</v>
      </c>
      <c r="F525" s="1953" t="s">
        <v>664</v>
      </c>
      <c r="G525" s="1953">
        <v>5</v>
      </c>
      <c r="H525" s="1620">
        <v>6</v>
      </c>
      <c r="I525" s="702">
        <f>J525+K525+L525</f>
        <v>0.2</v>
      </c>
      <c r="J525" s="702">
        <f>SUM(M525:R525)</f>
        <v>0.2</v>
      </c>
      <c r="K525" s="703"/>
      <c r="L525" s="703"/>
      <c r="M525" s="1387"/>
      <c r="N525" s="703"/>
      <c r="O525" s="1379"/>
      <c r="P525" s="1372"/>
      <c r="Q525" s="1364"/>
      <c r="R525" s="929">
        <v>0.2</v>
      </c>
      <c r="S525" s="1890"/>
      <c r="T525" s="1931"/>
      <c r="U525" s="732"/>
      <c r="V525" s="732"/>
      <c r="W525" s="730"/>
      <c r="X525" s="731"/>
      <c r="Y525" s="730"/>
      <c r="Z525" s="1708"/>
      <c r="AB525" s="3">
        <v>1</v>
      </c>
      <c r="AE525" s="2461"/>
      <c r="AF525" s="68"/>
    </row>
    <row r="526" spans="1:32" ht="30" x14ac:dyDescent="0.35">
      <c r="A526" s="1880">
        <v>211</v>
      </c>
      <c r="B526" s="1152">
        <v>11027</v>
      </c>
      <c r="C526" s="1152"/>
      <c r="D526" s="755" t="s">
        <v>1395</v>
      </c>
      <c r="E526" s="715" t="s">
        <v>2899</v>
      </c>
      <c r="F526" s="1834"/>
      <c r="G526" s="1953" t="s">
        <v>191</v>
      </c>
      <c r="H526" s="179" t="s">
        <v>191</v>
      </c>
      <c r="I526" s="702">
        <f>J526+K526+L526</f>
        <v>2.7530000000000001</v>
      </c>
      <c r="J526" s="702">
        <f>SUM(M526:R526)</f>
        <v>2.7530000000000001</v>
      </c>
      <c r="K526" s="703"/>
      <c r="L526" s="703"/>
      <c r="M526" s="1387"/>
      <c r="N526" s="717">
        <f>SUM(N527:N530)</f>
        <v>0.22</v>
      </c>
      <c r="O526" s="1379"/>
      <c r="P526" s="1372"/>
      <c r="Q526" s="1365">
        <f>SUM(Q527:Q530)</f>
        <v>2.5329999999999999</v>
      </c>
      <c r="R526" s="1354"/>
      <c r="S526" s="716">
        <v>1</v>
      </c>
      <c r="T526" s="1931">
        <v>12.5</v>
      </c>
      <c r="U526" s="705"/>
      <c r="V526" s="705"/>
      <c r="W526" s="716">
        <v>6</v>
      </c>
      <c r="X526" s="333">
        <v>81.099999999999994</v>
      </c>
      <c r="Y526" s="716">
        <v>2</v>
      </c>
      <c r="Z526" s="1706">
        <v>20.2</v>
      </c>
      <c r="AB526" s="3">
        <v>1</v>
      </c>
      <c r="AE526" s="2461"/>
      <c r="AF526" s="68"/>
    </row>
    <row r="527" spans="1:32" ht="18" x14ac:dyDescent="0.4">
      <c r="A527" s="1886"/>
      <c r="B527" s="1152">
        <v>11027</v>
      </c>
      <c r="C527" s="1152"/>
      <c r="D527" s="754"/>
      <c r="E527" s="1394" t="s">
        <v>2344</v>
      </c>
      <c r="F527" s="1834">
        <v>5</v>
      </c>
      <c r="G527" s="1953">
        <v>5</v>
      </c>
      <c r="H527" s="179">
        <v>6</v>
      </c>
      <c r="I527" s="708"/>
      <c r="J527" s="708"/>
      <c r="K527" s="709"/>
      <c r="L527" s="709"/>
      <c r="M527" s="1388"/>
      <c r="N527" s="709"/>
      <c r="O527" s="1378"/>
      <c r="P527" s="1371"/>
      <c r="Q527" s="1366">
        <v>1.6</v>
      </c>
      <c r="R527" s="1353"/>
      <c r="S527" s="1879"/>
      <c r="T527" s="1931"/>
      <c r="U527" s="1877"/>
      <c r="V527" s="1877"/>
      <c r="W527" s="1879"/>
      <c r="X527" s="1911"/>
      <c r="Y527" s="1912"/>
      <c r="Z527" s="1913"/>
      <c r="AE527" s="2461"/>
      <c r="AF527" s="68"/>
    </row>
    <row r="528" spans="1:32" ht="18" x14ac:dyDescent="0.4">
      <c r="A528" s="1886"/>
      <c r="B528" s="1152">
        <v>11027</v>
      </c>
      <c r="C528" s="1152"/>
      <c r="D528" s="754"/>
      <c r="E528" s="1394" t="s">
        <v>2345</v>
      </c>
      <c r="F528" s="1834" t="s">
        <v>827</v>
      </c>
      <c r="G528" s="1953">
        <v>5</v>
      </c>
      <c r="H528" s="179">
        <v>6</v>
      </c>
      <c r="I528" s="708"/>
      <c r="J528" s="708"/>
      <c r="K528" s="709"/>
      <c r="L528" s="709"/>
      <c r="M528" s="1388"/>
      <c r="N528" s="709"/>
      <c r="O528" s="1378"/>
      <c r="P528" s="1371"/>
      <c r="Q528" s="1366">
        <f>2.08-1.6</f>
        <v>0.48</v>
      </c>
      <c r="R528" s="1353"/>
      <c r="S528" s="1879"/>
      <c r="T528" s="1931"/>
      <c r="U528" s="1877"/>
      <c r="V528" s="1877"/>
      <c r="W528" s="1879"/>
      <c r="X528" s="1911"/>
      <c r="Y528" s="1912"/>
      <c r="Z528" s="1913"/>
      <c r="AE528" s="2461"/>
      <c r="AF528" s="68"/>
    </row>
    <row r="529" spans="1:32" ht="18" x14ac:dyDescent="0.4">
      <c r="A529" s="1886"/>
      <c r="B529" s="1152">
        <v>11027</v>
      </c>
      <c r="C529" s="1152"/>
      <c r="D529" s="754"/>
      <c r="E529" s="711" t="s">
        <v>2008</v>
      </c>
      <c r="F529" s="1834" t="s">
        <v>827</v>
      </c>
      <c r="G529" s="1953">
        <v>5</v>
      </c>
      <c r="H529" s="179">
        <v>6</v>
      </c>
      <c r="I529" s="708"/>
      <c r="J529" s="708"/>
      <c r="K529" s="709"/>
      <c r="L529" s="709"/>
      <c r="M529" s="1388"/>
      <c r="N529" s="712">
        <v>0.22</v>
      </c>
      <c r="O529" s="1378"/>
      <c r="P529" s="1371"/>
      <c r="Q529" s="1363"/>
      <c r="R529" s="1353"/>
      <c r="S529" s="1879"/>
      <c r="T529" s="1931"/>
      <c r="U529" s="1877"/>
      <c r="V529" s="1877"/>
      <c r="W529" s="1879"/>
      <c r="X529" s="1911"/>
      <c r="Y529" s="1912"/>
      <c r="Z529" s="1913"/>
      <c r="AE529" s="2461"/>
      <c r="AF529" s="68"/>
    </row>
    <row r="530" spans="1:32" ht="18" x14ac:dyDescent="0.4">
      <c r="A530" s="1886"/>
      <c r="B530" s="1152">
        <v>11027</v>
      </c>
      <c r="C530" s="1152"/>
      <c r="D530" s="754"/>
      <c r="E530" s="1394" t="s">
        <v>2293</v>
      </c>
      <c r="F530" s="1834" t="s">
        <v>827</v>
      </c>
      <c r="G530" s="1953">
        <v>5</v>
      </c>
      <c r="H530" s="179">
        <v>6</v>
      </c>
      <c r="I530" s="708"/>
      <c r="J530" s="708"/>
      <c r="K530" s="709"/>
      <c r="L530" s="709"/>
      <c r="M530" s="1388"/>
      <c r="N530" s="709"/>
      <c r="O530" s="1378"/>
      <c r="P530" s="1371"/>
      <c r="Q530" s="1366">
        <v>0.45300000000000001</v>
      </c>
      <c r="R530" s="1353"/>
      <c r="S530" s="1879"/>
      <c r="T530" s="1931"/>
      <c r="U530" s="1877"/>
      <c r="V530" s="1877"/>
      <c r="W530" s="1879"/>
      <c r="X530" s="1911"/>
      <c r="Y530" s="1912"/>
      <c r="Z530" s="1913"/>
      <c r="AE530" s="2461"/>
      <c r="AF530" s="68"/>
    </row>
    <row r="531" spans="1:32" ht="45" x14ac:dyDescent="0.35">
      <c r="A531" s="1896">
        <v>212</v>
      </c>
      <c r="B531" s="1060">
        <v>11027</v>
      </c>
      <c r="C531" s="1979" t="s">
        <v>1655</v>
      </c>
      <c r="D531" s="2471" t="s">
        <v>5538</v>
      </c>
      <c r="E531" s="739" t="s">
        <v>7389</v>
      </c>
      <c r="F531" s="1953" t="s">
        <v>664</v>
      </c>
      <c r="G531" s="1953">
        <v>5</v>
      </c>
      <c r="H531" s="1620">
        <v>6</v>
      </c>
      <c r="I531" s="702">
        <f>J531+K531+L531</f>
        <v>0.6</v>
      </c>
      <c r="J531" s="702">
        <f>SUM(M531:R531)</f>
        <v>0.6</v>
      </c>
      <c r="K531" s="703"/>
      <c r="L531" s="703"/>
      <c r="M531" s="1387"/>
      <c r="N531" s="703"/>
      <c r="O531" s="1379"/>
      <c r="P531" s="1372"/>
      <c r="Q531" s="1364"/>
      <c r="R531" s="1357">
        <v>0.6</v>
      </c>
      <c r="S531" s="1890"/>
      <c r="T531" s="1931"/>
      <c r="U531" s="1892"/>
      <c r="V531" s="1892"/>
      <c r="W531" s="1890"/>
      <c r="X531" s="1891"/>
      <c r="Y531" s="1890"/>
      <c r="Z531" s="1897"/>
      <c r="AB531" s="3">
        <v>1</v>
      </c>
      <c r="AE531" s="2461"/>
      <c r="AF531" s="68"/>
    </row>
    <row r="532" spans="1:32" ht="60" x14ac:dyDescent="0.35">
      <c r="A532" s="1880">
        <v>213</v>
      </c>
      <c r="B532" s="1152">
        <v>11028</v>
      </c>
      <c r="C532" s="1152"/>
      <c r="D532" s="755" t="s">
        <v>1396</v>
      </c>
      <c r="E532" s="715" t="s">
        <v>10087</v>
      </c>
      <c r="F532" s="1834"/>
      <c r="G532" s="1953" t="s">
        <v>191</v>
      </c>
      <c r="H532" s="179" t="s">
        <v>191</v>
      </c>
      <c r="I532" s="702">
        <f>J532+K532+L532</f>
        <v>4.1820000000000004</v>
      </c>
      <c r="J532" s="702">
        <f>SUM(M532:R532)</f>
        <v>4.1820000000000004</v>
      </c>
      <c r="K532" s="703"/>
      <c r="L532" s="703"/>
      <c r="M532" s="1387"/>
      <c r="N532" s="717">
        <f>SUM(N533:N534)</f>
        <v>3.1</v>
      </c>
      <c r="O532" s="1379"/>
      <c r="P532" s="1372"/>
      <c r="Q532" s="1364">
        <f>SUM(Q533:Q534)</f>
        <v>1.0820000000000003</v>
      </c>
      <c r="R532" s="1355"/>
      <c r="S532" s="1882"/>
      <c r="T532" s="1931"/>
      <c r="U532" s="1874"/>
      <c r="V532" s="1874"/>
      <c r="W532" s="1882"/>
      <c r="X532" s="1883"/>
      <c r="Y532" s="1884"/>
      <c r="Z532" s="1885"/>
      <c r="AA532" s="3" t="s">
        <v>1995</v>
      </c>
      <c r="AB532" s="3">
        <v>1</v>
      </c>
      <c r="AE532" s="2461"/>
      <c r="AF532" s="68"/>
    </row>
    <row r="533" spans="1:32" ht="18" x14ac:dyDescent="0.4">
      <c r="A533" s="1880"/>
      <c r="B533" s="1152">
        <v>11028</v>
      </c>
      <c r="C533" s="1152"/>
      <c r="D533" s="756"/>
      <c r="E533" s="711" t="s">
        <v>1711</v>
      </c>
      <c r="F533" s="1834">
        <v>5</v>
      </c>
      <c r="G533" s="1953">
        <v>5</v>
      </c>
      <c r="H533" s="179">
        <v>6</v>
      </c>
      <c r="I533" s="726"/>
      <c r="J533" s="726"/>
      <c r="K533" s="721"/>
      <c r="L533" s="721"/>
      <c r="M533" s="1388"/>
      <c r="N533" s="727">
        <v>3.1</v>
      </c>
      <c r="O533" s="1378"/>
      <c r="P533" s="1371"/>
      <c r="Q533" s="1363"/>
      <c r="R533" s="1353"/>
      <c r="S533" s="1879"/>
      <c r="T533" s="1931"/>
      <c r="U533" s="1877"/>
      <c r="V533" s="1877"/>
      <c r="W533" s="1879"/>
      <c r="X533" s="1911"/>
      <c r="Y533" s="1912"/>
      <c r="Z533" s="1913"/>
      <c r="AE533" s="2461"/>
      <c r="AF533" s="68"/>
    </row>
    <row r="534" spans="1:32" ht="18" x14ac:dyDescent="0.4">
      <c r="A534" s="1880"/>
      <c r="B534" s="1152">
        <v>11028</v>
      </c>
      <c r="C534" s="1152"/>
      <c r="D534" s="756"/>
      <c r="E534" s="1394" t="s">
        <v>2002</v>
      </c>
      <c r="F534" s="1834">
        <v>5</v>
      </c>
      <c r="G534" s="1953">
        <v>5</v>
      </c>
      <c r="H534" s="179">
        <v>6</v>
      </c>
      <c r="I534" s="726"/>
      <c r="J534" s="726"/>
      <c r="K534" s="721"/>
      <c r="L534" s="721"/>
      <c r="M534" s="1388"/>
      <c r="N534" s="727"/>
      <c r="O534" s="1378"/>
      <c r="P534" s="1371"/>
      <c r="Q534" s="1363">
        <f>4.182-3.1</f>
        <v>1.0820000000000003</v>
      </c>
      <c r="R534" s="1353"/>
      <c r="S534" s="1879"/>
      <c r="T534" s="1931"/>
      <c r="U534" s="1877"/>
      <c r="V534" s="1877"/>
      <c r="W534" s="1879"/>
      <c r="X534" s="1911"/>
      <c r="Y534" s="1912"/>
      <c r="Z534" s="1913"/>
      <c r="AE534" s="2461"/>
      <c r="AF534" s="68"/>
    </row>
    <row r="535" spans="1:32" ht="30" x14ac:dyDescent="0.35">
      <c r="A535" s="1880">
        <v>214</v>
      </c>
      <c r="B535" s="1152">
        <v>11029</v>
      </c>
      <c r="C535" s="1152"/>
      <c r="D535" s="755" t="s">
        <v>1623</v>
      </c>
      <c r="E535" s="715" t="s">
        <v>10088</v>
      </c>
      <c r="F535" s="1834" t="s">
        <v>664</v>
      </c>
      <c r="G535" s="1953">
        <v>5</v>
      </c>
      <c r="H535" s="1620">
        <v>6</v>
      </c>
      <c r="I535" s="702">
        <f t="shared" ref="I535:I541" si="28">J535+K535+L535</f>
        <v>2</v>
      </c>
      <c r="J535" s="702">
        <f t="shared" ref="J535:J541" si="29">SUM(M535:R535)</f>
        <v>2</v>
      </c>
      <c r="K535" s="703"/>
      <c r="L535" s="703"/>
      <c r="M535" s="1387"/>
      <c r="N535" s="703"/>
      <c r="O535" s="1379"/>
      <c r="P535" s="1372"/>
      <c r="Q535" s="1364"/>
      <c r="R535" s="1355">
        <v>2</v>
      </c>
      <c r="S535" s="701"/>
      <c r="T535" s="1931"/>
      <c r="U535" s="705"/>
      <c r="V535" s="705"/>
      <c r="W535" s="716">
        <v>6</v>
      </c>
      <c r="X535" s="333">
        <f>59.4+7.5</f>
        <v>66.900000000000006</v>
      </c>
      <c r="Y535" s="716">
        <f>1+1</f>
        <v>2</v>
      </c>
      <c r="Z535" s="1706">
        <f>10.1+7.5</f>
        <v>17.600000000000001</v>
      </c>
      <c r="AB535" s="3">
        <v>1</v>
      </c>
      <c r="AE535" s="2461"/>
      <c r="AF535" s="68"/>
    </row>
    <row r="536" spans="1:32" ht="45" x14ac:dyDescent="0.35">
      <c r="A536" s="1896">
        <v>215</v>
      </c>
      <c r="B536" s="1060">
        <v>11029</v>
      </c>
      <c r="C536" s="2083" t="s">
        <v>1656</v>
      </c>
      <c r="D536" s="2471" t="s">
        <v>5539</v>
      </c>
      <c r="E536" s="739" t="s">
        <v>10089</v>
      </c>
      <c r="F536" s="1953" t="s">
        <v>664</v>
      </c>
      <c r="G536" s="1953">
        <v>5</v>
      </c>
      <c r="H536" s="1620">
        <v>6</v>
      </c>
      <c r="I536" s="702">
        <f t="shared" si="28"/>
        <v>0.5</v>
      </c>
      <c r="J536" s="702">
        <f t="shared" si="29"/>
        <v>0.5</v>
      </c>
      <c r="K536" s="703"/>
      <c r="L536" s="703"/>
      <c r="M536" s="1387"/>
      <c r="N536" s="703"/>
      <c r="O536" s="1379"/>
      <c r="P536" s="1372"/>
      <c r="Q536" s="1364"/>
      <c r="R536" s="929">
        <v>0.5</v>
      </c>
      <c r="S536" s="730"/>
      <c r="T536" s="1931"/>
      <c r="U536" s="732"/>
      <c r="V536" s="732"/>
      <c r="W536" s="730"/>
      <c r="X536" s="731"/>
      <c r="Y536" s="730"/>
      <c r="Z536" s="1708"/>
      <c r="AB536" s="3">
        <v>1</v>
      </c>
      <c r="AE536" s="2461"/>
      <c r="AF536" s="68"/>
    </row>
    <row r="537" spans="1:32" ht="30" x14ac:dyDescent="0.35">
      <c r="A537" s="1880">
        <v>216</v>
      </c>
      <c r="B537" s="1152">
        <v>11030</v>
      </c>
      <c r="C537" s="1152"/>
      <c r="D537" s="755" t="s">
        <v>1624</v>
      </c>
      <c r="E537" s="715" t="s">
        <v>10090</v>
      </c>
      <c r="F537" s="1834" t="s">
        <v>827</v>
      </c>
      <c r="G537" s="1953">
        <v>5</v>
      </c>
      <c r="H537" s="1620">
        <v>6</v>
      </c>
      <c r="I537" s="702">
        <f t="shared" si="28"/>
        <v>3.2450000000000001</v>
      </c>
      <c r="J537" s="702">
        <f t="shared" si="29"/>
        <v>3.2450000000000001</v>
      </c>
      <c r="K537" s="703"/>
      <c r="L537" s="703"/>
      <c r="M537" s="1387"/>
      <c r="N537" s="703"/>
      <c r="O537" s="1379"/>
      <c r="P537" s="1372"/>
      <c r="Q537" s="1364"/>
      <c r="R537" s="1355">
        <v>3.2450000000000001</v>
      </c>
      <c r="S537" s="701"/>
      <c r="T537" s="1931"/>
      <c r="U537" s="705"/>
      <c r="V537" s="705"/>
      <c r="W537" s="2682">
        <f>1+1+1</f>
        <v>3</v>
      </c>
      <c r="X537" s="2437">
        <f>6+7.5+10</f>
        <v>23.5</v>
      </c>
      <c r="Y537" s="716"/>
      <c r="Z537" s="1706"/>
      <c r="AB537" s="3">
        <v>1</v>
      </c>
      <c r="AC537" s="91" t="s">
        <v>2130</v>
      </c>
      <c r="AD537" s="353">
        <v>36706</v>
      </c>
      <c r="AE537" s="2461"/>
      <c r="AF537" s="68"/>
    </row>
    <row r="538" spans="1:32" ht="30" x14ac:dyDescent="0.35">
      <c r="A538" s="1896">
        <v>217</v>
      </c>
      <c r="B538" s="1972">
        <v>10977</v>
      </c>
      <c r="C538" s="2083" t="s">
        <v>1656</v>
      </c>
      <c r="D538" s="2470" t="s">
        <v>5394</v>
      </c>
      <c r="E538" s="1980" t="s">
        <v>10091</v>
      </c>
      <c r="F538" s="1953" t="s">
        <v>664</v>
      </c>
      <c r="G538" s="1953">
        <v>5</v>
      </c>
      <c r="H538" s="1620">
        <v>6</v>
      </c>
      <c r="I538" s="1924">
        <f>J538+K538+L538</f>
        <v>0.1</v>
      </c>
      <c r="J538" s="1924">
        <f>SUM(M538:R538)</f>
        <v>0.1</v>
      </c>
      <c r="K538" s="1925"/>
      <c r="L538" s="1925"/>
      <c r="M538" s="1957"/>
      <c r="N538" s="1925"/>
      <c r="O538" s="1959"/>
      <c r="P538" s="1960"/>
      <c r="Q538" s="1961"/>
      <c r="R538" s="1987">
        <v>0.1</v>
      </c>
      <c r="S538" s="1974"/>
      <c r="T538" s="1931"/>
      <c r="U538" s="108"/>
      <c r="V538" s="108"/>
      <c r="W538" s="1974"/>
      <c r="X538" s="1975"/>
      <c r="Y538" s="1974"/>
      <c r="Z538" s="1982"/>
      <c r="AB538" s="3">
        <v>1</v>
      </c>
      <c r="AE538" s="2461"/>
      <c r="AF538" s="68"/>
    </row>
    <row r="539" spans="1:32" ht="45" x14ac:dyDescent="0.35">
      <c r="A539" s="1880">
        <v>218</v>
      </c>
      <c r="B539" s="1058">
        <v>11030</v>
      </c>
      <c r="C539" s="1979" t="s">
        <v>1655</v>
      </c>
      <c r="D539" s="2471" t="s">
        <v>5540</v>
      </c>
      <c r="E539" s="699" t="s">
        <v>10092</v>
      </c>
      <c r="F539" s="1834" t="s">
        <v>664</v>
      </c>
      <c r="G539" s="1834">
        <v>5</v>
      </c>
      <c r="H539" s="1620">
        <v>6</v>
      </c>
      <c r="I539" s="702">
        <f t="shared" si="28"/>
        <v>1</v>
      </c>
      <c r="J539" s="702">
        <f t="shared" si="29"/>
        <v>1</v>
      </c>
      <c r="K539" s="703"/>
      <c r="L539" s="703"/>
      <c r="M539" s="1387"/>
      <c r="N539" s="703"/>
      <c r="O539" s="1379"/>
      <c r="P539" s="1372"/>
      <c r="Q539" s="1364"/>
      <c r="R539" s="925">
        <v>1</v>
      </c>
      <c r="S539" s="730"/>
      <c r="T539" s="1931"/>
      <c r="U539" s="732"/>
      <c r="V539" s="732"/>
      <c r="W539" s="730"/>
      <c r="X539" s="731"/>
      <c r="Y539" s="730"/>
      <c r="Z539" s="1708"/>
      <c r="AB539" s="3">
        <v>1</v>
      </c>
      <c r="AE539" s="2461"/>
      <c r="AF539" s="68"/>
    </row>
    <row r="540" spans="1:32" ht="45" x14ac:dyDescent="0.35">
      <c r="A540" s="1896">
        <v>219</v>
      </c>
      <c r="B540" s="1060">
        <v>11030</v>
      </c>
      <c r="C540" s="1060"/>
      <c r="D540" s="2471" t="s">
        <v>5541</v>
      </c>
      <c r="E540" s="739" t="s">
        <v>10093</v>
      </c>
      <c r="F540" s="1953" t="s">
        <v>664</v>
      </c>
      <c r="G540" s="1953">
        <v>5</v>
      </c>
      <c r="H540" s="1620">
        <v>6</v>
      </c>
      <c r="I540" s="702">
        <f t="shared" si="28"/>
        <v>0.4</v>
      </c>
      <c r="J540" s="702">
        <f t="shared" si="29"/>
        <v>0.4</v>
      </c>
      <c r="K540" s="703"/>
      <c r="L540" s="703"/>
      <c r="M540" s="1387"/>
      <c r="N540" s="703"/>
      <c r="O540" s="1379"/>
      <c r="P540" s="1372"/>
      <c r="Q540" s="1364"/>
      <c r="R540" s="929">
        <v>0.4</v>
      </c>
      <c r="S540" s="730"/>
      <c r="T540" s="1931"/>
      <c r="U540" s="732"/>
      <c r="V540" s="732"/>
      <c r="W540" s="730"/>
      <c r="X540" s="731"/>
      <c r="Y540" s="730"/>
      <c r="Z540" s="1708"/>
      <c r="AB540" s="3">
        <v>1</v>
      </c>
      <c r="AE540" s="2461"/>
      <c r="AF540" s="68"/>
    </row>
    <row r="541" spans="1:32" ht="30" x14ac:dyDescent="0.35">
      <c r="A541" s="1880">
        <v>220</v>
      </c>
      <c r="B541" s="1152">
        <v>11031</v>
      </c>
      <c r="C541" s="1152"/>
      <c r="D541" s="755" t="s">
        <v>2175</v>
      </c>
      <c r="E541" s="715" t="s">
        <v>10497</v>
      </c>
      <c r="F541" s="1834"/>
      <c r="G541" s="1953" t="s">
        <v>191</v>
      </c>
      <c r="H541" s="1943" t="s">
        <v>191</v>
      </c>
      <c r="I541" s="702">
        <f t="shared" si="28"/>
        <v>2.2890000000000001</v>
      </c>
      <c r="J541" s="702">
        <f t="shared" si="29"/>
        <v>2.2890000000000001</v>
      </c>
      <c r="K541" s="703"/>
      <c r="L541" s="703"/>
      <c r="M541" s="1387"/>
      <c r="N541" s="703">
        <f>SUM(N542:N544)</f>
        <v>1.5</v>
      </c>
      <c r="O541" s="1379"/>
      <c r="P541" s="1372"/>
      <c r="Q541" s="1365">
        <f>SUM(Q542:Q544)</f>
        <v>0.78900000000000015</v>
      </c>
      <c r="R541" s="1355"/>
      <c r="S541" s="701"/>
      <c r="T541" s="1931"/>
      <c r="U541" s="705"/>
      <c r="V541" s="705"/>
      <c r="W541" s="701">
        <v>2</v>
      </c>
      <c r="X541" s="333">
        <v>11.7</v>
      </c>
      <c r="Y541" s="716">
        <v>1</v>
      </c>
      <c r="Z541" s="1706">
        <v>5</v>
      </c>
      <c r="AB541" s="3">
        <v>1</v>
      </c>
      <c r="AE541" s="2461"/>
      <c r="AF541" s="68"/>
    </row>
    <row r="542" spans="1:32" x14ac:dyDescent="0.35">
      <c r="A542" s="1878"/>
      <c r="B542" s="1152">
        <v>11031</v>
      </c>
      <c r="C542" s="1152"/>
      <c r="D542" s="754"/>
      <c r="E542" s="711" t="s">
        <v>7260</v>
      </c>
      <c r="F542" s="720">
        <v>5</v>
      </c>
      <c r="G542" s="720">
        <v>5</v>
      </c>
      <c r="H542" s="725">
        <v>6</v>
      </c>
      <c r="I542" s="727"/>
      <c r="J542" s="727"/>
      <c r="K542" s="721"/>
      <c r="L542" s="721"/>
      <c r="M542" s="721"/>
      <c r="N542" s="721">
        <v>1.3819999999999999</v>
      </c>
      <c r="O542" s="1378"/>
      <c r="P542" s="1371"/>
      <c r="Q542" s="1366"/>
      <c r="R542" s="1353"/>
      <c r="S542" s="722"/>
      <c r="T542" s="1931"/>
      <c r="U542" s="723"/>
      <c r="V542" s="723"/>
      <c r="W542" s="722"/>
      <c r="X542" s="2665"/>
      <c r="Y542" s="722"/>
      <c r="Z542" s="2666"/>
      <c r="AE542" s="2461"/>
      <c r="AF542" s="68"/>
    </row>
    <row r="543" spans="1:32" x14ac:dyDescent="0.35">
      <c r="A543" s="1878"/>
      <c r="B543" s="1152"/>
      <c r="C543" s="1152"/>
      <c r="D543" s="754"/>
      <c r="E543" s="711" t="s">
        <v>10753</v>
      </c>
      <c r="F543" s="720" t="s">
        <v>827</v>
      </c>
      <c r="G543" s="720">
        <v>5</v>
      </c>
      <c r="H543" s="725">
        <v>6</v>
      </c>
      <c r="I543" s="727"/>
      <c r="J543" s="727"/>
      <c r="K543" s="721"/>
      <c r="L543" s="721"/>
      <c r="M543" s="721"/>
      <c r="N543" s="721">
        <f>1.5-1.382</f>
        <v>0.1180000000000001</v>
      </c>
      <c r="O543" s="1378"/>
      <c r="P543" s="1371"/>
      <c r="Q543" s="1366"/>
      <c r="R543" s="1353"/>
      <c r="S543" s="722"/>
      <c r="T543" s="1931"/>
      <c r="U543" s="723"/>
      <c r="V543" s="723"/>
      <c r="W543" s="722"/>
      <c r="X543" s="2665"/>
      <c r="Y543" s="722"/>
      <c r="Z543" s="2666"/>
      <c r="AE543" s="2461"/>
      <c r="AF543" s="68"/>
    </row>
    <row r="544" spans="1:32" x14ac:dyDescent="0.35">
      <c r="A544" s="1878"/>
      <c r="B544" s="1152">
        <v>11031</v>
      </c>
      <c r="C544" s="1152"/>
      <c r="D544" s="754"/>
      <c r="E544" s="1394" t="s">
        <v>10754</v>
      </c>
      <c r="F544" s="1953" t="s">
        <v>827</v>
      </c>
      <c r="G544" s="1620">
        <v>5</v>
      </c>
      <c r="H544" s="1834">
        <v>6</v>
      </c>
      <c r="I544" s="712"/>
      <c r="J544" s="712"/>
      <c r="K544" s="709"/>
      <c r="L544" s="709"/>
      <c r="M544" s="1388"/>
      <c r="N544" s="709"/>
      <c r="O544" s="1378"/>
      <c r="P544" s="1371"/>
      <c r="Q544" s="1366">
        <f>2.289-1.5</f>
        <v>0.78900000000000015</v>
      </c>
      <c r="R544" s="1353"/>
      <c r="S544" s="722"/>
      <c r="T544" s="1931"/>
      <c r="U544" s="723"/>
      <c r="V544" s="723"/>
      <c r="W544" s="722"/>
      <c r="X544" s="2665"/>
      <c r="Y544" s="722"/>
      <c r="Z544" s="2666"/>
      <c r="AE544" s="2461"/>
      <c r="AF544" s="68"/>
    </row>
    <row r="545" spans="1:32" ht="30" x14ac:dyDescent="0.35">
      <c r="A545" s="1880">
        <v>221</v>
      </c>
      <c r="B545" s="1059">
        <v>11031</v>
      </c>
      <c r="C545" s="1059"/>
      <c r="D545" s="2471" t="s">
        <v>5542</v>
      </c>
      <c r="E545" s="733" t="s">
        <v>9194</v>
      </c>
      <c r="F545" s="1834" t="s">
        <v>1490</v>
      </c>
      <c r="G545" s="1834">
        <v>5</v>
      </c>
      <c r="H545" s="1620">
        <v>6</v>
      </c>
      <c r="I545" s="702">
        <f>J545+K545+L545</f>
        <v>1.9</v>
      </c>
      <c r="J545" s="702">
        <f>SUM(M545:R545)</f>
        <v>1.9</v>
      </c>
      <c r="K545" s="703"/>
      <c r="L545" s="703"/>
      <c r="M545" s="1387"/>
      <c r="N545" s="703"/>
      <c r="O545" s="1379"/>
      <c r="P545" s="1372"/>
      <c r="Q545" s="1364"/>
      <c r="R545" s="1355">
        <v>1.9</v>
      </c>
      <c r="S545" s="701"/>
      <c r="T545" s="1931"/>
      <c r="U545" s="705"/>
      <c r="V545" s="705"/>
      <c r="W545" s="701">
        <v>4</v>
      </c>
      <c r="X545" s="333">
        <v>40.479999999999997</v>
      </c>
      <c r="Y545" s="716">
        <v>1</v>
      </c>
      <c r="Z545" s="1706">
        <v>10.119999999999999</v>
      </c>
      <c r="AB545" s="3">
        <v>1</v>
      </c>
      <c r="AE545" s="2461"/>
      <c r="AF545" s="68"/>
    </row>
    <row r="546" spans="1:32" ht="46.5" x14ac:dyDescent="0.35">
      <c r="A546" s="1880"/>
      <c r="B546" s="1059"/>
      <c r="C546" s="1059"/>
      <c r="D546" s="757"/>
      <c r="E546" s="1889" t="s">
        <v>10001</v>
      </c>
      <c r="F546" s="1834"/>
      <c r="G546" s="1834" t="s">
        <v>191</v>
      </c>
      <c r="H546" s="1834" t="s">
        <v>191</v>
      </c>
      <c r="I546" s="702"/>
      <c r="J546" s="702"/>
      <c r="K546" s="703"/>
      <c r="L546" s="703"/>
      <c r="M546" s="1387"/>
      <c r="N546" s="703"/>
      <c r="O546" s="1379"/>
      <c r="P546" s="1372"/>
      <c r="Q546" s="1364"/>
      <c r="R546" s="1355"/>
      <c r="S546" s="701"/>
      <c r="T546" s="1931"/>
      <c r="U546" s="705"/>
      <c r="V546" s="705"/>
      <c r="W546" s="701"/>
      <c r="X546" s="333"/>
      <c r="Y546" s="716"/>
      <c r="Z546" s="1706"/>
      <c r="AE546" s="2461"/>
      <c r="AF546" s="68"/>
    </row>
    <row r="547" spans="1:32" ht="45" x14ac:dyDescent="0.35">
      <c r="A547" s="1896">
        <v>222</v>
      </c>
      <c r="B547" s="1060">
        <v>11031</v>
      </c>
      <c r="C547" s="1979" t="s">
        <v>1655</v>
      </c>
      <c r="D547" s="2471" t="s">
        <v>5543</v>
      </c>
      <c r="E547" s="699" t="s">
        <v>11527</v>
      </c>
      <c r="F547" s="1834" t="s">
        <v>1490</v>
      </c>
      <c r="G547" s="1834">
        <v>5</v>
      </c>
      <c r="H547" s="1620">
        <v>6</v>
      </c>
      <c r="I547" s="2841">
        <f>J547+K547+L547</f>
        <v>0.85</v>
      </c>
      <c r="J547" s="2841">
        <f>SUM(M547:R547)</f>
        <v>0.85</v>
      </c>
      <c r="K547" s="703"/>
      <c r="L547" s="703"/>
      <c r="M547" s="1387"/>
      <c r="N547" s="703"/>
      <c r="O547" s="1379"/>
      <c r="P547" s="1372"/>
      <c r="Q547" s="1364"/>
      <c r="R547" s="925">
        <v>0.85</v>
      </c>
      <c r="S547" s="730"/>
      <c r="T547" s="1931"/>
      <c r="U547" s="732"/>
      <c r="V547" s="732"/>
      <c r="W547" s="701">
        <v>2</v>
      </c>
      <c r="X547" s="333">
        <v>17.5</v>
      </c>
      <c r="Y547" s="730"/>
      <c r="Z547" s="1708"/>
      <c r="AB547" s="3">
        <v>1</v>
      </c>
      <c r="AE547" s="2461"/>
      <c r="AF547" s="68"/>
    </row>
    <row r="548" spans="1:32" ht="30" x14ac:dyDescent="0.35">
      <c r="A548" s="1880">
        <v>223</v>
      </c>
      <c r="B548" s="1152">
        <v>11032</v>
      </c>
      <c r="C548" s="1152"/>
      <c r="D548" s="755" t="s">
        <v>2176</v>
      </c>
      <c r="E548" s="715" t="s">
        <v>3542</v>
      </c>
      <c r="F548" s="1834"/>
      <c r="G548" s="1953" t="s">
        <v>191</v>
      </c>
      <c r="H548" s="1620" t="s">
        <v>191</v>
      </c>
      <c r="I548" s="702">
        <f>J548+K548+L548</f>
        <v>3.27</v>
      </c>
      <c r="J548" s="702">
        <f>SUM(M548:R548)</f>
        <v>3.27</v>
      </c>
      <c r="K548" s="703"/>
      <c r="L548" s="703"/>
      <c r="M548" s="1387"/>
      <c r="N548" s="703"/>
      <c r="O548" s="1379"/>
      <c r="P548" s="1372"/>
      <c r="Q548" s="1364"/>
      <c r="R548" s="1355">
        <f>SUM(R549:R550)</f>
        <v>3.27</v>
      </c>
      <c r="S548" s="701"/>
      <c r="T548" s="1931"/>
      <c r="U548" s="705"/>
      <c r="V548" s="705"/>
      <c r="W548" s="716">
        <f>1+1</f>
        <v>2</v>
      </c>
      <c r="X548" s="333">
        <f>10.2+15.1</f>
        <v>25.299999999999997</v>
      </c>
      <c r="Y548" s="716"/>
      <c r="Z548" s="1706"/>
      <c r="AB548" s="3">
        <v>1</v>
      </c>
      <c r="AE548" s="2461"/>
      <c r="AF548" s="68"/>
    </row>
    <row r="549" spans="1:32" x14ac:dyDescent="0.35">
      <c r="A549" s="1880"/>
      <c r="B549" s="1152">
        <v>11032</v>
      </c>
      <c r="C549" s="1152"/>
      <c r="D549" s="755"/>
      <c r="E549" s="1390" t="s">
        <v>3437</v>
      </c>
      <c r="F549" s="1834">
        <v>5</v>
      </c>
      <c r="G549" s="1953">
        <v>5</v>
      </c>
      <c r="H549" s="1620">
        <v>6</v>
      </c>
      <c r="I549" s="702"/>
      <c r="J549" s="702"/>
      <c r="K549" s="703"/>
      <c r="L549" s="703"/>
      <c r="M549" s="1387"/>
      <c r="N549" s="703"/>
      <c r="O549" s="1379"/>
      <c r="P549" s="1372"/>
      <c r="Q549" s="1364"/>
      <c r="R549" s="1968">
        <v>1.8</v>
      </c>
      <c r="S549" s="701"/>
      <c r="T549" s="1931"/>
      <c r="U549" s="705"/>
      <c r="V549" s="705"/>
      <c r="W549" s="716"/>
      <c r="X549" s="333"/>
      <c r="Y549" s="716"/>
      <c r="Z549" s="1706"/>
      <c r="AE549" s="2461"/>
      <c r="AF549" s="68"/>
    </row>
    <row r="550" spans="1:32" x14ac:dyDescent="0.35">
      <c r="A550" s="1880"/>
      <c r="B550" s="1152">
        <v>11032</v>
      </c>
      <c r="C550" s="1152"/>
      <c r="D550" s="755"/>
      <c r="E550" s="1390" t="s">
        <v>3541</v>
      </c>
      <c r="F550" s="1834" t="s">
        <v>827</v>
      </c>
      <c r="G550" s="1953">
        <v>5</v>
      </c>
      <c r="H550" s="1620">
        <v>6</v>
      </c>
      <c r="I550" s="702"/>
      <c r="J550" s="702"/>
      <c r="K550" s="703"/>
      <c r="L550" s="703"/>
      <c r="M550" s="1387"/>
      <c r="N550" s="703"/>
      <c r="O550" s="1379"/>
      <c r="P550" s="1372"/>
      <c r="Q550" s="1364"/>
      <c r="R550" s="1968">
        <f>3.27-1.8</f>
        <v>1.47</v>
      </c>
      <c r="S550" s="701"/>
      <c r="T550" s="1931"/>
      <c r="U550" s="705"/>
      <c r="V550" s="705"/>
      <c r="W550" s="716"/>
      <c r="X550" s="333"/>
      <c r="Y550" s="716"/>
      <c r="Z550" s="1706"/>
      <c r="AE550" s="2461"/>
      <c r="AF550" s="68"/>
    </row>
    <row r="551" spans="1:32" ht="30" x14ac:dyDescent="0.35">
      <c r="A551" s="525">
        <v>224</v>
      </c>
      <c r="B551" s="1719">
        <v>11032</v>
      </c>
      <c r="C551" s="2083" t="s">
        <v>1656</v>
      </c>
      <c r="D551" s="2471" t="s">
        <v>5544</v>
      </c>
      <c r="E551" s="2187" t="s">
        <v>8752</v>
      </c>
      <c r="F551" s="92" t="s">
        <v>664</v>
      </c>
      <c r="G551" s="92">
        <v>5</v>
      </c>
      <c r="H551" s="1620">
        <v>6</v>
      </c>
      <c r="I551" s="702">
        <f>J551+K551+L551</f>
        <v>1.5</v>
      </c>
      <c r="J551" s="702">
        <f>SUM(M551:R551)</f>
        <v>1.5</v>
      </c>
      <c r="K551" s="622"/>
      <c r="L551" s="622"/>
      <c r="M551" s="622"/>
      <c r="N551" s="622"/>
      <c r="O551" s="622"/>
      <c r="P551" s="622"/>
      <c r="Q551" s="622"/>
      <c r="R551" s="2106">
        <v>1.5</v>
      </c>
      <c r="S551" s="106"/>
      <c r="T551" s="1931"/>
      <c r="U551" s="106"/>
      <c r="V551" s="106"/>
      <c r="W551" s="105"/>
      <c r="X551" s="105"/>
      <c r="Y551" s="105"/>
      <c r="Z551" s="323"/>
      <c r="AB551" s="3">
        <v>1</v>
      </c>
      <c r="AE551" s="2461"/>
      <c r="AF551" s="68"/>
    </row>
    <row r="552" spans="1:32" ht="30" x14ac:dyDescent="0.35">
      <c r="A552" s="1896">
        <v>225</v>
      </c>
      <c r="B552" s="1060">
        <v>11032</v>
      </c>
      <c r="C552" s="2083" t="s">
        <v>1656</v>
      </c>
      <c r="D552" s="2471" t="s">
        <v>5545</v>
      </c>
      <c r="E552" s="739" t="s">
        <v>8753</v>
      </c>
      <c r="F552" s="1953" t="s">
        <v>664</v>
      </c>
      <c r="G552" s="1953">
        <v>5</v>
      </c>
      <c r="H552" s="1620">
        <v>6</v>
      </c>
      <c r="I552" s="702">
        <f>J552+K552+L552</f>
        <v>0.6</v>
      </c>
      <c r="J552" s="702">
        <f>SUM(M552:R552)</f>
        <v>0.6</v>
      </c>
      <c r="K552" s="703"/>
      <c r="L552" s="703"/>
      <c r="M552" s="1387"/>
      <c r="N552" s="703"/>
      <c r="O552" s="1379"/>
      <c r="P552" s="1372"/>
      <c r="Q552" s="1364"/>
      <c r="R552" s="929">
        <v>0.6</v>
      </c>
      <c r="S552" s="1890"/>
      <c r="T552" s="1931"/>
      <c r="U552" s="1892"/>
      <c r="V552" s="1892"/>
      <c r="W552" s="730"/>
      <c r="X552" s="731"/>
      <c r="Y552" s="730"/>
      <c r="Z552" s="1708"/>
      <c r="AB552" s="3">
        <v>1</v>
      </c>
      <c r="AE552" s="2461"/>
      <c r="AF552" s="68"/>
    </row>
    <row r="553" spans="1:32" ht="30" x14ac:dyDescent="0.35">
      <c r="A553" s="525">
        <v>226</v>
      </c>
      <c r="B553" s="1152">
        <v>11033</v>
      </c>
      <c r="C553" s="1152"/>
      <c r="D553" s="755" t="s">
        <v>2177</v>
      </c>
      <c r="E553" s="715" t="s">
        <v>1277</v>
      </c>
      <c r="F553" s="1834"/>
      <c r="G553" s="1953" t="s">
        <v>191</v>
      </c>
      <c r="H553" s="1943" t="s">
        <v>191</v>
      </c>
      <c r="I553" s="702">
        <f>J553+K553+L553</f>
        <v>4.883</v>
      </c>
      <c r="J553" s="702">
        <f>SUM(M553:R553)</f>
        <v>4.883</v>
      </c>
      <c r="K553" s="703"/>
      <c r="L553" s="703"/>
      <c r="M553" s="1387"/>
      <c r="N553" s="703"/>
      <c r="O553" s="1379"/>
      <c r="P553" s="1372"/>
      <c r="Q553" s="1364">
        <f>SUM(Q554:Q556)</f>
        <v>4.6230000000000002</v>
      </c>
      <c r="R553" s="1355">
        <f>SUM(R554:R556)</f>
        <v>0.25999999999999979</v>
      </c>
      <c r="S553" s="701">
        <v>1</v>
      </c>
      <c r="T553" s="1931">
        <v>14.72</v>
      </c>
      <c r="U553" s="705"/>
      <c r="V553" s="705"/>
      <c r="W553" s="716">
        <v>11</v>
      </c>
      <c r="X553" s="333">
        <f>105.92+12.5</f>
        <v>118.42</v>
      </c>
      <c r="Y553" s="716">
        <v>7</v>
      </c>
      <c r="Z553" s="1706">
        <v>70.56</v>
      </c>
      <c r="AB553" s="3">
        <v>1</v>
      </c>
      <c r="AE553" s="2461"/>
      <c r="AF553" s="68"/>
    </row>
    <row r="554" spans="1:32" x14ac:dyDescent="0.35">
      <c r="A554" s="525"/>
      <c r="B554" s="1060">
        <v>11033</v>
      </c>
      <c r="C554" s="1152"/>
      <c r="D554" s="755"/>
      <c r="E554" s="1394" t="s">
        <v>3437</v>
      </c>
      <c r="F554" s="1834">
        <v>4</v>
      </c>
      <c r="G554" s="1953">
        <v>5</v>
      </c>
      <c r="H554" s="1834">
        <v>6</v>
      </c>
      <c r="I554" s="1918"/>
      <c r="J554" s="1918"/>
      <c r="K554" s="1919"/>
      <c r="L554" s="1919"/>
      <c r="M554" s="1920"/>
      <c r="N554" s="1919"/>
      <c r="O554" s="1949"/>
      <c r="P554" s="1950"/>
      <c r="Q554" s="1951">
        <v>1.8</v>
      </c>
      <c r="R554" s="1968"/>
      <c r="S554" s="701"/>
      <c r="T554" s="1931"/>
      <c r="U554" s="705"/>
      <c r="V554" s="705"/>
      <c r="W554" s="716"/>
      <c r="X554" s="333"/>
      <c r="Y554" s="716"/>
      <c r="Z554" s="1706"/>
      <c r="AE554" s="2461"/>
      <c r="AF554" s="68"/>
    </row>
    <row r="555" spans="1:32" x14ac:dyDescent="0.35">
      <c r="A555" s="525"/>
      <c r="B555" s="1060">
        <v>11033</v>
      </c>
      <c r="C555" s="1152"/>
      <c r="D555" s="755"/>
      <c r="E555" s="1394" t="s">
        <v>202</v>
      </c>
      <c r="F555" s="1834">
        <v>5</v>
      </c>
      <c r="G555" s="1953">
        <v>5</v>
      </c>
      <c r="H555" s="1834">
        <v>6</v>
      </c>
      <c r="I555" s="1918"/>
      <c r="J555" s="1918"/>
      <c r="K555" s="1919"/>
      <c r="L555" s="1919"/>
      <c r="M555" s="1920"/>
      <c r="N555" s="1919"/>
      <c r="O555" s="1949"/>
      <c r="P555" s="1950"/>
      <c r="Q555" s="1951">
        <f>4.623-1.8</f>
        <v>2.8230000000000004</v>
      </c>
      <c r="R555" s="1968"/>
      <c r="S555" s="701"/>
      <c r="T555" s="1931"/>
      <c r="U555" s="705"/>
      <c r="V555" s="705"/>
      <c r="W555" s="716"/>
      <c r="X555" s="333"/>
      <c r="Y555" s="716"/>
      <c r="Z555" s="1706"/>
      <c r="AE555" s="2461"/>
      <c r="AF555" s="68"/>
    </row>
    <row r="556" spans="1:32" x14ac:dyDescent="0.35">
      <c r="A556" s="525"/>
      <c r="B556" s="1060">
        <v>11033</v>
      </c>
      <c r="C556" s="1152"/>
      <c r="D556" s="755"/>
      <c r="E556" s="1390" t="s">
        <v>203</v>
      </c>
      <c r="F556" s="1834" t="s">
        <v>664</v>
      </c>
      <c r="G556" s="1953">
        <v>5</v>
      </c>
      <c r="H556" s="1620">
        <v>6</v>
      </c>
      <c r="I556" s="1918"/>
      <c r="J556" s="1918"/>
      <c r="K556" s="1919"/>
      <c r="L556" s="1919"/>
      <c r="M556" s="1920"/>
      <c r="N556" s="1919"/>
      <c r="O556" s="1949"/>
      <c r="P556" s="1950"/>
      <c r="Q556" s="1951"/>
      <c r="R556" s="1968">
        <f>4.883-4.623</f>
        <v>0.25999999999999979</v>
      </c>
      <c r="S556" s="701"/>
      <c r="T556" s="1931"/>
      <c r="U556" s="705"/>
      <c r="V556" s="705"/>
      <c r="W556" s="716"/>
      <c r="X556" s="333"/>
      <c r="Y556" s="716"/>
      <c r="Z556" s="1706"/>
      <c r="AE556" s="2461"/>
      <c r="AF556" s="68"/>
    </row>
    <row r="557" spans="1:32" ht="45" x14ac:dyDescent="0.35">
      <c r="A557" s="1896">
        <v>227</v>
      </c>
      <c r="B557" s="1060">
        <v>11033</v>
      </c>
      <c r="C557" s="1979" t="s">
        <v>1655</v>
      </c>
      <c r="D557" s="2471" t="s">
        <v>5546</v>
      </c>
      <c r="E557" s="739" t="s">
        <v>7390</v>
      </c>
      <c r="F557" s="1953" t="s">
        <v>664</v>
      </c>
      <c r="G557" s="1953">
        <v>5</v>
      </c>
      <c r="H557" s="1620">
        <v>6</v>
      </c>
      <c r="I557" s="702">
        <f>J557+K557+L557</f>
        <v>0.5</v>
      </c>
      <c r="J557" s="702">
        <f>SUM(M557:R557)</f>
        <v>0.5</v>
      </c>
      <c r="K557" s="703"/>
      <c r="L557" s="703"/>
      <c r="M557" s="1387"/>
      <c r="N557" s="703"/>
      <c r="O557" s="1379"/>
      <c r="P557" s="1372"/>
      <c r="Q557" s="1364"/>
      <c r="R557" s="1357">
        <v>0.5</v>
      </c>
      <c r="S557" s="730"/>
      <c r="T557" s="1931"/>
      <c r="U557" s="732"/>
      <c r="V557" s="732"/>
      <c r="W557" s="730"/>
      <c r="X557" s="731"/>
      <c r="Y557" s="730"/>
      <c r="Z557" s="1708"/>
      <c r="AB557" s="3">
        <v>1</v>
      </c>
      <c r="AE557" s="2461"/>
      <c r="AF557" s="68"/>
    </row>
    <row r="558" spans="1:32" ht="30" x14ac:dyDescent="0.35">
      <c r="A558" s="525">
        <v>228</v>
      </c>
      <c r="B558" s="1152">
        <v>11034</v>
      </c>
      <c r="C558" s="1152"/>
      <c r="D558" s="755" t="s">
        <v>893</v>
      </c>
      <c r="E558" s="715" t="s">
        <v>731</v>
      </c>
      <c r="F558" s="1834"/>
      <c r="G558" s="1953" t="s">
        <v>191</v>
      </c>
      <c r="H558" s="1620" t="s">
        <v>191</v>
      </c>
      <c r="I558" s="702">
        <f>J558+K558+L558</f>
        <v>2</v>
      </c>
      <c r="J558" s="702">
        <f>SUM(M558:R558)</f>
        <v>2</v>
      </c>
      <c r="K558" s="703"/>
      <c r="L558" s="703"/>
      <c r="M558" s="1387"/>
      <c r="N558" s="703"/>
      <c r="O558" s="1379"/>
      <c r="P558" s="1372"/>
      <c r="Q558" s="1364"/>
      <c r="R558" s="1355">
        <f>SUM(R559:R560)</f>
        <v>2</v>
      </c>
      <c r="S558" s="716"/>
      <c r="T558" s="1931"/>
      <c r="U558" s="705"/>
      <c r="V558" s="705"/>
      <c r="W558" s="716">
        <v>2</v>
      </c>
      <c r="X558" s="333">
        <v>20.2</v>
      </c>
      <c r="Y558" s="716"/>
      <c r="Z558" s="1706"/>
      <c r="AB558" s="3">
        <v>1</v>
      </c>
      <c r="AE558" s="2461"/>
      <c r="AF558" s="68"/>
    </row>
    <row r="559" spans="1:32" x14ac:dyDescent="0.35">
      <c r="A559" s="1896"/>
      <c r="B559" s="1152">
        <v>11034</v>
      </c>
      <c r="C559" s="1152"/>
      <c r="D559" s="755"/>
      <c r="E559" s="1390" t="s">
        <v>1844</v>
      </c>
      <c r="F559" s="1834" t="s">
        <v>664</v>
      </c>
      <c r="G559" s="1953">
        <v>5</v>
      </c>
      <c r="H559" s="1620">
        <v>6</v>
      </c>
      <c r="I559" s="702"/>
      <c r="J559" s="702"/>
      <c r="K559" s="703"/>
      <c r="L559" s="703"/>
      <c r="M559" s="1387"/>
      <c r="N559" s="703"/>
      <c r="O559" s="1379"/>
      <c r="P559" s="1372"/>
      <c r="Q559" s="1364"/>
      <c r="R559" s="1968">
        <v>1.4</v>
      </c>
      <c r="S559" s="716"/>
      <c r="T559" s="1931"/>
      <c r="U559" s="705"/>
      <c r="V559" s="705"/>
      <c r="W559" s="716"/>
      <c r="X559" s="333"/>
      <c r="Y559" s="716"/>
      <c r="Z559" s="1706"/>
      <c r="AE559" s="2461"/>
      <c r="AF559" s="68"/>
    </row>
    <row r="560" spans="1:32" x14ac:dyDescent="0.35">
      <c r="A560" s="1896"/>
      <c r="B560" s="1152">
        <v>11034</v>
      </c>
      <c r="C560" s="1152"/>
      <c r="D560" s="755"/>
      <c r="E560" s="1390" t="s">
        <v>181</v>
      </c>
      <c r="F560" s="1834" t="s">
        <v>664</v>
      </c>
      <c r="G560" s="1953">
        <v>5</v>
      </c>
      <c r="H560" s="1620">
        <v>6</v>
      </c>
      <c r="I560" s="702"/>
      <c r="J560" s="702"/>
      <c r="K560" s="703"/>
      <c r="L560" s="703"/>
      <c r="M560" s="1387"/>
      <c r="N560" s="703"/>
      <c r="O560" s="1379"/>
      <c r="P560" s="1372"/>
      <c r="Q560" s="1364"/>
      <c r="R560" s="1968">
        <v>0.6</v>
      </c>
      <c r="S560" s="716"/>
      <c r="T560" s="1931"/>
      <c r="U560" s="705"/>
      <c r="V560" s="705"/>
      <c r="W560" s="716"/>
      <c r="X560" s="333"/>
      <c r="Y560" s="716"/>
      <c r="Z560" s="1706"/>
      <c r="AE560" s="2461"/>
      <c r="AF560" s="68"/>
    </row>
    <row r="561" spans="1:32" ht="30" x14ac:dyDescent="0.35">
      <c r="A561" s="1880">
        <v>229</v>
      </c>
      <c r="B561" s="1060">
        <v>11034</v>
      </c>
      <c r="C561" s="2083" t="s">
        <v>1656</v>
      </c>
      <c r="D561" s="2471" t="s">
        <v>5547</v>
      </c>
      <c r="E561" s="739" t="s">
        <v>8754</v>
      </c>
      <c r="F561" s="1953" t="s">
        <v>664</v>
      </c>
      <c r="G561" s="1953">
        <v>5</v>
      </c>
      <c r="H561" s="1620">
        <v>6</v>
      </c>
      <c r="I561" s="702">
        <f>J561+K561+L561</f>
        <v>0.1</v>
      </c>
      <c r="J561" s="702">
        <f>SUM(M561:R561)</f>
        <v>0.1</v>
      </c>
      <c r="K561" s="703"/>
      <c r="L561" s="703"/>
      <c r="M561" s="1387"/>
      <c r="N561" s="703"/>
      <c r="O561" s="1379"/>
      <c r="P561" s="1372"/>
      <c r="Q561" s="1364"/>
      <c r="R561" s="929">
        <v>0.1</v>
      </c>
      <c r="S561" s="730"/>
      <c r="T561" s="1931"/>
      <c r="U561" s="732"/>
      <c r="V561" s="732"/>
      <c r="W561" s="730"/>
      <c r="X561" s="731"/>
      <c r="Y561" s="730"/>
      <c r="Z561" s="1708"/>
      <c r="AB561" s="3">
        <v>1</v>
      </c>
      <c r="AE561" s="2461"/>
      <c r="AF561" s="68"/>
    </row>
    <row r="562" spans="1:32" ht="30" x14ac:dyDescent="0.35">
      <c r="A562" s="1896">
        <v>230</v>
      </c>
      <c r="B562" s="1152">
        <v>11035</v>
      </c>
      <c r="C562" s="1152"/>
      <c r="D562" s="755" t="s">
        <v>1403</v>
      </c>
      <c r="E562" s="715" t="s">
        <v>2152</v>
      </c>
      <c r="F562" s="1834" t="s">
        <v>664</v>
      </c>
      <c r="G562" s="1953">
        <v>5</v>
      </c>
      <c r="H562" s="1620">
        <v>6</v>
      </c>
      <c r="I562" s="702">
        <f>J562+K562+L562</f>
        <v>1.8</v>
      </c>
      <c r="J562" s="702">
        <f>SUM(M562:R562)</f>
        <v>1.8</v>
      </c>
      <c r="K562" s="703"/>
      <c r="L562" s="703"/>
      <c r="M562" s="1387"/>
      <c r="N562" s="703"/>
      <c r="O562" s="1379"/>
      <c r="P562" s="1372"/>
      <c r="Q562" s="1364"/>
      <c r="R562" s="1355">
        <v>1.8</v>
      </c>
      <c r="S562" s="716">
        <v>1</v>
      </c>
      <c r="T562" s="1931">
        <v>12.15</v>
      </c>
      <c r="U562" s="705"/>
      <c r="V562" s="705"/>
      <c r="W562" s="701"/>
      <c r="X562" s="333"/>
      <c r="Y562" s="716"/>
      <c r="Z562" s="1706"/>
      <c r="AB562" s="3">
        <v>1</v>
      </c>
      <c r="AE562" s="2461"/>
      <c r="AF562" s="68"/>
    </row>
    <row r="563" spans="1:32" ht="30" x14ac:dyDescent="0.35">
      <c r="A563" s="1880">
        <v>231</v>
      </c>
      <c r="B563" s="1152">
        <v>11036</v>
      </c>
      <c r="C563" s="1152"/>
      <c r="D563" s="755" t="s">
        <v>2198</v>
      </c>
      <c r="E563" s="715" t="s">
        <v>10498</v>
      </c>
      <c r="F563" s="1834"/>
      <c r="G563" s="1953" t="s">
        <v>191</v>
      </c>
      <c r="H563" s="1943" t="s">
        <v>191</v>
      </c>
      <c r="I563" s="702">
        <f>J563+K563+L563</f>
        <v>4.6269999999999998</v>
      </c>
      <c r="J563" s="702">
        <f>SUM(M563:R563)</f>
        <v>3.9149999999999996</v>
      </c>
      <c r="K563" s="703"/>
      <c r="L563" s="717">
        <f>SUM(L564:L568)</f>
        <v>0.71200000000000019</v>
      </c>
      <c r="M563" s="1387"/>
      <c r="N563" s="717">
        <f>SUM(N564:N568)</f>
        <v>2.8319999999999999</v>
      </c>
      <c r="O563" s="1379"/>
      <c r="P563" s="1372"/>
      <c r="Q563" s="1364">
        <f>SUM(Q564:Q568)</f>
        <v>0.51900000000000013</v>
      </c>
      <c r="R563" s="1355">
        <f>SUM(R564:R568)</f>
        <v>0.56399999999999961</v>
      </c>
      <c r="S563" s="1882"/>
      <c r="T563" s="1931"/>
      <c r="U563" s="1874"/>
      <c r="V563" s="1874"/>
      <c r="W563" s="1882">
        <v>1</v>
      </c>
      <c r="X563" s="1883">
        <v>15.1</v>
      </c>
      <c r="Y563" s="1884"/>
      <c r="Z563" s="1885"/>
      <c r="AB563" s="3">
        <v>1</v>
      </c>
      <c r="AE563" s="2461"/>
      <c r="AF563" s="68"/>
    </row>
    <row r="564" spans="1:32" ht="18" x14ac:dyDescent="0.4">
      <c r="A564" s="1886"/>
      <c r="B564" s="1152">
        <v>11036</v>
      </c>
      <c r="C564" s="1152"/>
      <c r="D564" s="754"/>
      <c r="E564" s="711" t="s">
        <v>7274</v>
      </c>
      <c r="F564" s="1834">
        <v>4</v>
      </c>
      <c r="G564" s="179">
        <v>5</v>
      </c>
      <c r="H564" s="179">
        <v>6</v>
      </c>
      <c r="I564" s="708"/>
      <c r="J564" s="708"/>
      <c r="K564" s="709"/>
      <c r="L564" s="709"/>
      <c r="M564" s="1388"/>
      <c r="N564" s="712">
        <v>2.3959999999999999</v>
      </c>
      <c r="O564" s="1378"/>
      <c r="P564" s="1371"/>
      <c r="Q564" s="1363"/>
      <c r="R564" s="1353"/>
      <c r="S564" s="1879"/>
      <c r="T564" s="1931"/>
      <c r="U564" s="1877"/>
      <c r="V564" s="1877"/>
      <c r="W564" s="1879"/>
      <c r="X564" s="1911"/>
      <c r="Y564" s="1912"/>
      <c r="Z564" s="1913"/>
      <c r="AE564" s="2461"/>
      <c r="AF564" s="68"/>
    </row>
    <row r="565" spans="1:32" ht="31" x14ac:dyDescent="0.4">
      <c r="A565" s="1878"/>
      <c r="B565" s="1152">
        <v>11036</v>
      </c>
      <c r="C565" s="1152"/>
      <c r="D565" s="754"/>
      <c r="E565" s="711" t="s">
        <v>10205</v>
      </c>
      <c r="F565" s="1953">
        <v>4</v>
      </c>
      <c r="G565" s="179">
        <v>5</v>
      </c>
      <c r="H565" s="179" t="s">
        <v>191</v>
      </c>
      <c r="I565" s="712"/>
      <c r="J565" s="709"/>
      <c r="K565" s="709"/>
      <c r="L565" s="712">
        <f>3.108-2.396</f>
        <v>0.71200000000000019</v>
      </c>
      <c r="M565" s="1388"/>
      <c r="N565" s="709"/>
      <c r="O565" s="1378"/>
      <c r="P565" s="1371"/>
      <c r="Q565" s="1363"/>
      <c r="R565" s="1353"/>
      <c r="S565" s="1887"/>
      <c r="T565" s="1931"/>
      <c r="U565" s="1888"/>
      <c r="V565" s="1888"/>
      <c r="W565" s="1887"/>
      <c r="X565" s="2662"/>
      <c r="Y565" s="1887"/>
      <c r="Z565" s="2663"/>
      <c r="AE565" s="2461"/>
      <c r="AF565" s="68"/>
    </row>
    <row r="566" spans="1:32" ht="18" x14ac:dyDescent="0.4">
      <c r="A566" s="1878"/>
      <c r="B566" s="1152">
        <v>11036</v>
      </c>
      <c r="C566" s="1152"/>
      <c r="D566" s="754"/>
      <c r="E566" s="711" t="s">
        <v>7275</v>
      </c>
      <c r="F566" s="1953">
        <v>5</v>
      </c>
      <c r="G566" s="179">
        <v>5</v>
      </c>
      <c r="H566" s="179">
        <v>6</v>
      </c>
      <c r="I566" s="712"/>
      <c r="J566" s="712"/>
      <c r="K566" s="709"/>
      <c r="L566" s="709"/>
      <c r="M566" s="1388"/>
      <c r="N566" s="712">
        <f>3.544-3.108</f>
        <v>0.43599999999999994</v>
      </c>
      <c r="O566" s="1378"/>
      <c r="P566" s="1371"/>
      <c r="Q566" s="1363"/>
      <c r="R566" s="1353"/>
      <c r="S566" s="1887"/>
      <c r="T566" s="1931"/>
      <c r="U566" s="1888"/>
      <c r="V566" s="1888"/>
      <c r="W566" s="1887"/>
      <c r="X566" s="2662"/>
      <c r="Y566" s="1887"/>
      <c r="Z566" s="2663"/>
      <c r="AE566" s="2461"/>
      <c r="AF566" s="68"/>
    </row>
    <row r="567" spans="1:32" ht="18" x14ac:dyDescent="0.4">
      <c r="A567" s="1878"/>
      <c r="B567" s="1152">
        <v>11036</v>
      </c>
      <c r="C567" s="1152"/>
      <c r="D567" s="754"/>
      <c r="E567" s="1390" t="s">
        <v>7276</v>
      </c>
      <c r="F567" s="1953" t="s">
        <v>1490</v>
      </c>
      <c r="G567" s="179">
        <v>5</v>
      </c>
      <c r="H567" s="1620">
        <v>6</v>
      </c>
      <c r="I567" s="712"/>
      <c r="J567" s="712"/>
      <c r="K567" s="709"/>
      <c r="L567" s="709"/>
      <c r="M567" s="1388"/>
      <c r="N567" s="712"/>
      <c r="O567" s="1378"/>
      <c r="P567" s="1371"/>
      <c r="Q567" s="1363"/>
      <c r="R567" s="1353">
        <f>4.108-3.544</f>
        <v>0.56399999999999961</v>
      </c>
      <c r="S567" s="1887"/>
      <c r="T567" s="1931"/>
      <c r="U567" s="1888"/>
      <c r="V567" s="1888"/>
      <c r="W567" s="1887"/>
      <c r="X567" s="2662"/>
      <c r="Y567" s="1887"/>
      <c r="Z567" s="2663"/>
      <c r="AE567" s="2461"/>
      <c r="AF567" s="68"/>
    </row>
    <row r="568" spans="1:32" ht="18" x14ac:dyDescent="0.4">
      <c r="A568" s="1878"/>
      <c r="B568" s="1152">
        <v>11036</v>
      </c>
      <c r="C568" s="1152"/>
      <c r="D568" s="754"/>
      <c r="E568" s="1394" t="s">
        <v>7277</v>
      </c>
      <c r="F568" s="1953" t="s">
        <v>1490</v>
      </c>
      <c r="G568" s="179">
        <v>5</v>
      </c>
      <c r="H568" s="1620">
        <v>6</v>
      </c>
      <c r="I568" s="712"/>
      <c r="J568" s="712"/>
      <c r="K568" s="709"/>
      <c r="L568" s="709"/>
      <c r="M568" s="1388"/>
      <c r="N568" s="709"/>
      <c r="O568" s="1378"/>
      <c r="P568" s="1371"/>
      <c r="Q568" s="1363">
        <f>4.627-4.108</f>
        <v>0.51900000000000013</v>
      </c>
      <c r="R568" s="1356"/>
      <c r="S568" s="1887"/>
      <c r="T568" s="1931"/>
      <c r="U568" s="1888"/>
      <c r="V568" s="1888"/>
      <c r="W568" s="1887"/>
      <c r="X568" s="2662"/>
      <c r="Y568" s="1887"/>
      <c r="Z568" s="2663"/>
      <c r="AA568" s="3" t="s">
        <v>2003</v>
      </c>
      <c r="AE568" s="2461"/>
      <c r="AF568" s="68"/>
    </row>
    <row r="569" spans="1:32" ht="30" x14ac:dyDescent="0.35">
      <c r="A569" s="1880">
        <v>232</v>
      </c>
      <c r="B569" s="1152">
        <v>11037</v>
      </c>
      <c r="C569" s="1152"/>
      <c r="D569" s="755" t="s">
        <v>2312</v>
      </c>
      <c r="E569" s="715" t="s">
        <v>2433</v>
      </c>
      <c r="F569" s="1834" t="s">
        <v>664</v>
      </c>
      <c r="G569" s="1834">
        <v>5</v>
      </c>
      <c r="H569" s="1620">
        <v>6</v>
      </c>
      <c r="I569" s="702">
        <f>J569+K569+L569</f>
        <v>2</v>
      </c>
      <c r="J569" s="702">
        <f>SUM(M569:R569)</f>
        <v>2</v>
      </c>
      <c r="K569" s="703"/>
      <c r="L569" s="703"/>
      <c r="M569" s="1387"/>
      <c r="N569" s="703"/>
      <c r="O569" s="1379"/>
      <c r="P569" s="1372"/>
      <c r="Q569" s="1364"/>
      <c r="R569" s="1355">
        <v>2</v>
      </c>
      <c r="S569" s="1882"/>
      <c r="T569" s="1931"/>
      <c r="U569" s="1874"/>
      <c r="V569" s="1874"/>
      <c r="W569" s="1882"/>
      <c r="X569" s="1883"/>
      <c r="Y569" s="1884"/>
      <c r="Z569" s="1885"/>
      <c r="AB569" s="3">
        <v>1</v>
      </c>
      <c r="AE569" s="2461"/>
      <c r="AF569" s="68"/>
    </row>
    <row r="570" spans="1:32" ht="30" x14ac:dyDescent="0.35">
      <c r="A570" s="1896">
        <v>233</v>
      </c>
      <c r="B570" s="1152">
        <v>11038</v>
      </c>
      <c r="C570" s="1152"/>
      <c r="D570" s="755" t="s">
        <v>2314</v>
      </c>
      <c r="E570" s="715" t="s">
        <v>2900</v>
      </c>
      <c r="F570" s="1834"/>
      <c r="G570" s="1953" t="s">
        <v>191</v>
      </c>
      <c r="H570" s="1943" t="s">
        <v>191</v>
      </c>
      <c r="I570" s="702">
        <f>J570+K570+L570</f>
        <v>2</v>
      </c>
      <c r="J570" s="702">
        <f>SUM(M570:R570)</f>
        <v>2</v>
      </c>
      <c r="K570" s="703"/>
      <c r="L570" s="703"/>
      <c r="M570" s="1387"/>
      <c r="N570" s="703"/>
      <c r="O570" s="1379"/>
      <c r="P570" s="1372"/>
      <c r="Q570" s="1365">
        <v>0.45</v>
      </c>
      <c r="R570" s="1355">
        <f>SUM(R571:R573)</f>
        <v>1.55</v>
      </c>
      <c r="S570" s="701"/>
      <c r="T570" s="1931"/>
      <c r="U570" s="705"/>
      <c r="V570" s="705"/>
      <c r="W570" s="716">
        <v>2</v>
      </c>
      <c r="X570" s="333">
        <v>35.1</v>
      </c>
      <c r="Y570" s="716"/>
      <c r="Z570" s="1706"/>
      <c r="AB570" s="3">
        <v>1</v>
      </c>
      <c r="AE570" s="2461"/>
      <c r="AF570" s="68"/>
    </row>
    <row r="571" spans="1:32" x14ac:dyDescent="0.35">
      <c r="A571" s="1886"/>
      <c r="B571" s="1152">
        <v>11038</v>
      </c>
      <c r="C571" s="1152"/>
      <c r="D571" s="754"/>
      <c r="E571" s="1394" t="s">
        <v>2901</v>
      </c>
      <c r="F571" s="1834">
        <v>5</v>
      </c>
      <c r="G571" s="179">
        <v>5</v>
      </c>
      <c r="H571" s="1834">
        <v>6</v>
      </c>
      <c r="I571" s="708"/>
      <c r="J571" s="708"/>
      <c r="K571" s="709"/>
      <c r="L571" s="709"/>
      <c r="M571" s="1388"/>
      <c r="N571" s="709"/>
      <c r="O571" s="1378"/>
      <c r="P571" s="1371"/>
      <c r="Q571" s="1366">
        <v>0.45</v>
      </c>
      <c r="R571" s="1353"/>
      <c r="S571" s="720"/>
      <c r="T571" s="1931"/>
      <c r="U571" s="728"/>
      <c r="V571" s="728"/>
      <c r="W571" s="720"/>
      <c r="X571" s="332"/>
      <c r="Y571" s="725"/>
      <c r="Z571" s="2664"/>
      <c r="AE571" s="2461"/>
      <c r="AF571" s="68"/>
    </row>
    <row r="572" spans="1:32" x14ac:dyDescent="0.35">
      <c r="A572" s="1886"/>
      <c r="B572" s="1152">
        <v>11038</v>
      </c>
      <c r="C572" s="1152"/>
      <c r="D572" s="754"/>
      <c r="E572" s="1390" t="s">
        <v>1975</v>
      </c>
      <c r="F572" s="1834" t="s">
        <v>664</v>
      </c>
      <c r="G572" s="179">
        <v>5</v>
      </c>
      <c r="H572" s="1620">
        <v>6</v>
      </c>
      <c r="I572" s="708"/>
      <c r="J572" s="708"/>
      <c r="K572" s="709"/>
      <c r="L572" s="709"/>
      <c r="M572" s="1388"/>
      <c r="N572" s="709"/>
      <c r="O572" s="1378"/>
      <c r="P572" s="1371"/>
      <c r="Q572" s="1366"/>
      <c r="R572" s="1353">
        <f>1.63-0.45</f>
        <v>1.18</v>
      </c>
      <c r="S572" s="720"/>
      <c r="T572" s="1931"/>
      <c r="U572" s="728"/>
      <c r="V572" s="728"/>
      <c r="W572" s="720"/>
      <c r="X572" s="332"/>
      <c r="Y572" s="725"/>
      <c r="Z572" s="2664"/>
      <c r="AE572" s="2461"/>
      <c r="AF572" s="68"/>
    </row>
    <row r="573" spans="1:32" x14ac:dyDescent="0.35">
      <c r="A573" s="1886"/>
      <c r="B573" s="1152">
        <v>11038</v>
      </c>
      <c r="C573" s="1152"/>
      <c r="D573" s="754"/>
      <c r="E573" s="1390" t="s">
        <v>2638</v>
      </c>
      <c r="F573" s="1834" t="s">
        <v>664</v>
      </c>
      <c r="G573" s="179">
        <v>5</v>
      </c>
      <c r="H573" s="1620">
        <v>6</v>
      </c>
      <c r="I573" s="708"/>
      <c r="J573" s="708"/>
      <c r="K573" s="709"/>
      <c r="L573" s="709"/>
      <c r="M573" s="1388"/>
      <c r="N573" s="709"/>
      <c r="O573" s="1378"/>
      <c r="P573" s="1371"/>
      <c r="Q573" s="1363"/>
      <c r="R573" s="1356">
        <f>2-1.63</f>
        <v>0.37000000000000011</v>
      </c>
      <c r="S573" s="720"/>
      <c r="T573" s="1931"/>
      <c r="U573" s="728"/>
      <c r="V573" s="728"/>
      <c r="W573" s="720"/>
      <c r="X573" s="332"/>
      <c r="Y573" s="725"/>
      <c r="Z573" s="2664"/>
      <c r="AE573" s="2461"/>
      <c r="AF573" s="68"/>
    </row>
    <row r="574" spans="1:32" ht="45" x14ac:dyDescent="0.35">
      <c r="A574" s="1880">
        <v>234</v>
      </c>
      <c r="B574" s="1152">
        <v>11039</v>
      </c>
      <c r="C574" s="1152"/>
      <c r="D574" s="755" t="s">
        <v>2315</v>
      </c>
      <c r="E574" s="715" t="s">
        <v>10094</v>
      </c>
      <c r="F574" s="1834"/>
      <c r="G574" s="1953" t="s">
        <v>191</v>
      </c>
      <c r="H574" s="1943" t="s">
        <v>191</v>
      </c>
      <c r="I574" s="702">
        <f>J574+K574+L574</f>
        <v>11.738</v>
      </c>
      <c r="J574" s="702">
        <f>SUM(M574:R574)</f>
        <v>11.738</v>
      </c>
      <c r="K574" s="703"/>
      <c r="L574" s="703"/>
      <c r="M574" s="1387"/>
      <c r="N574" s="717">
        <f>SUM(N575:N580)</f>
        <v>3.7610000000000001</v>
      </c>
      <c r="O574" s="1379"/>
      <c r="P574" s="1372"/>
      <c r="Q574" s="1365">
        <f>SUM(Q575:Q580)</f>
        <v>6.9329999999999998</v>
      </c>
      <c r="R574" s="1355">
        <f>SUM(R575:R580)</f>
        <v>1.0439999999999996</v>
      </c>
      <c r="S574" s="701"/>
      <c r="T574" s="1931"/>
      <c r="U574" s="705"/>
      <c r="V574" s="705"/>
      <c r="W574" s="716">
        <f>22+7</f>
        <v>29</v>
      </c>
      <c r="X574" s="333">
        <f>258.58+66.5</f>
        <v>325.08</v>
      </c>
      <c r="Y574" s="716">
        <f>3+4</f>
        <v>7</v>
      </c>
      <c r="Z574" s="1706">
        <f>35.35+31.15</f>
        <v>66.5</v>
      </c>
      <c r="AB574" s="3">
        <v>1</v>
      </c>
      <c r="AE574" s="2461"/>
      <c r="AF574" s="68"/>
    </row>
    <row r="575" spans="1:32" x14ac:dyDescent="0.35">
      <c r="A575" s="1886"/>
      <c r="B575" s="1152">
        <v>11039</v>
      </c>
      <c r="C575" s="1152"/>
      <c r="D575" s="754"/>
      <c r="E575" s="711" t="s">
        <v>3422</v>
      </c>
      <c r="F575" s="1834">
        <v>5</v>
      </c>
      <c r="G575" s="179">
        <v>5</v>
      </c>
      <c r="H575" s="179">
        <v>6</v>
      </c>
      <c r="I575" s="708"/>
      <c r="J575" s="708"/>
      <c r="K575" s="709"/>
      <c r="L575" s="709"/>
      <c r="M575" s="1388"/>
      <c r="N575" s="712">
        <v>1.3029999999999999</v>
      </c>
      <c r="O575" s="1378"/>
      <c r="P575" s="1371"/>
      <c r="Q575" s="1363"/>
      <c r="R575" s="1353"/>
      <c r="S575" s="720"/>
      <c r="T575" s="1931"/>
      <c r="U575" s="728"/>
      <c r="V575" s="728"/>
      <c r="W575" s="720"/>
      <c r="X575" s="332"/>
      <c r="Y575" s="725"/>
      <c r="Z575" s="2664"/>
      <c r="AE575" s="2461"/>
      <c r="AF575" s="68"/>
    </row>
    <row r="576" spans="1:32" x14ac:dyDescent="0.35">
      <c r="A576" s="1886"/>
      <c r="B576" s="1152">
        <v>11039</v>
      </c>
      <c r="C576" s="1152"/>
      <c r="D576" s="754"/>
      <c r="E576" s="1394" t="s">
        <v>3423</v>
      </c>
      <c r="F576" s="1834">
        <v>4</v>
      </c>
      <c r="G576" s="179">
        <v>5</v>
      </c>
      <c r="H576" s="1834">
        <v>6</v>
      </c>
      <c r="I576" s="708"/>
      <c r="J576" s="708"/>
      <c r="K576" s="709"/>
      <c r="L576" s="709"/>
      <c r="M576" s="1388"/>
      <c r="N576" s="709"/>
      <c r="O576" s="1378"/>
      <c r="P576" s="1371"/>
      <c r="Q576" s="1366">
        <f>5.009-1.303</f>
        <v>3.7060000000000004</v>
      </c>
      <c r="R576" s="1353"/>
      <c r="S576" s="720"/>
      <c r="T576" s="1931"/>
      <c r="U576" s="728"/>
      <c r="V576" s="728"/>
      <c r="W576" s="720"/>
      <c r="X576" s="332"/>
      <c r="Y576" s="725"/>
      <c r="Z576" s="2664"/>
      <c r="AE576" s="2461"/>
      <c r="AF576" s="68"/>
    </row>
    <row r="577" spans="1:32" x14ac:dyDescent="0.35">
      <c r="A577" s="1886"/>
      <c r="B577" s="1152">
        <v>11039</v>
      </c>
      <c r="C577" s="1152"/>
      <c r="D577" s="754"/>
      <c r="E577" s="1394" t="s">
        <v>3424</v>
      </c>
      <c r="F577" s="1834">
        <v>5</v>
      </c>
      <c r="G577" s="179">
        <v>5</v>
      </c>
      <c r="H577" s="1834">
        <v>6</v>
      </c>
      <c r="I577" s="708"/>
      <c r="J577" s="708"/>
      <c r="K577" s="709"/>
      <c r="L577" s="709"/>
      <c r="M577" s="1388"/>
      <c r="N577" s="709"/>
      <c r="O577" s="1378"/>
      <c r="P577" s="1371"/>
      <c r="Q577" s="1366">
        <f>6.972-5.009</f>
        <v>1.9630000000000001</v>
      </c>
      <c r="R577" s="1353"/>
      <c r="S577" s="720"/>
      <c r="T577" s="1931"/>
      <c r="U577" s="728"/>
      <c r="V577" s="728"/>
      <c r="W577" s="720"/>
      <c r="X577" s="332"/>
      <c r="Y577" s="725"/>
      <c r="Z577" s="2664"/>
      <c r="AA577" s="3" t="s">
        <v>1267</v>
      </c>
      <c r="AE577" s="2461"/>
      <c r="AF577" s="68"/>
    </row>
    <row r="578" spans="1:32" x14ac:dyDescent="0.35">
      <c r="A578" s="1886"/>
      <c r="B578" s="1152">
        <v>11039</v>
      </c>
      <c r="C578" s="1152"/>
      <c r="D578" s="754"/>
      <c r="E578" s="1390" t="s">
        <v>3425</v>
      </c>
      <c r="F578" s="1834" t="s">
        <v>664</v>
      </c>
      <c r="G578" s="179">
        <v>5</v>
      </c>
      <c r="H578" s="1620">
        <v>6</v>
      </c>
      <c r="I578" s="708"/>
      <c r="J578" s="708"/>
      <c r="K578" s="709"/>
      <c r="L578" s="709"/>
      <c r="M578" s="1388"/>
      <c r="N578" s="709"/>
      <c r="O578" s="1378"/>
      <c r="P578" s="1371"/>
      <c r="Q578" s="1363"/>
      <c r="R578" s="1356">
        <f>8.016-6.972</f>
        <v>1.0439999999999996</v>
      </c>
      <c r="S578" s="720"/>
      <c r="T578" s="1931"/>
      <c r="U578" s="728"/>
      <c r="V578" s="728"/>
      <c r="W578" s="720"/>
      <c r="X578" s="332"/>
      <c r="Y578" s="725"/>
      <c r="Z578" s="2664"/>
      <c r="AE578" s="2461"/>
      <c r="AF578" s="68"/>
    </row>
    <row r="579" spans="1:32" x14ac:dyDescent="0.35">
      <c r="A579" s="1878"/>
      <c r="B579" s="1152">
        <v>11039</v>
      </c>
      <c r="C579" s="1152"/>
      <c r="D579" s="754"/>
      <c r="E579" s="1394" t="s">
        <v>3426</v>
      </c>
      <c r="F579" s="1953">
        <v>5</v>
      </c>
      <c r="G579" s="179">
        <v>5</v>
      </c>
      <c r="H579" s="1834">
        <v>6</v>
      </c>
      <c r="I579" s="712"/>
      <c r="J579" s="712"/>
      <c r="K579" s="709"/>
      <c r="L579" s="709"/>
      <c r="M579" s="1388"/>
      <c r="N579" s="709"/>
      <c r="O579" s="1378"/>
      <c r="P579" s="1371"/>
      <c r="Q579" s="1366">
        <f>9.28-8.016</f>
        <v>1.2639999999999993</v>
      </c>
      <c r="R579" s="1353"/>
      <c r="S579" s="722"/>
      <c r="T579" s="1931"/>
      <c r="U579" s="723"/>
      <c r="V579" s="723"/>
      <c r="W579" s="722"/>
      <c r="X579" s="2665"/>
      <c r="Y579" s="722"/>
      <c r="Z579" s="2666"/>
      <c r="AE579" s="2461"/>
      <c r="AF579" s="68"/>
    </row>
    <row r="580" spans="1:32" x14ac:dyDescent="0.35">
      <c r="A580" s="1878"/>
      <c r="B580" s="1152">
        <v>11039</v>
      </c>
      <c r="C580" s="1152"/>
      <c r="D580" s="754"/>
      <c r="E580" s="711" t="s">
        <v>3427</v>
      </c>
      <c r="F580" s="1953">
        <v>5</v>
      </c>
      <c r="G580" s="179">
        <v>5</v>
      </c>
      <c r="H580" s="179">
        <v>6</v>
      </c>
      <c r="I580" s="712"/>
      <c r="J580" s="712"/>
      <c r="K580" s="709"/>
      <c r="L580" s="709"/>
      <c r="M580" s="1388"/>
      <c r="N580" s="712">
        <f>11.738-9.28</f>
        <v>2.4580000000000002</v>
      </c>
      <c r="O580" s="1378"/>
      <c r="P580" s="1371"/>
      <c r="Q580" s="1363"/>
      <c r="R580" s="1353"/>
      <c r="S580" s="722"/>
      <c r="T580" s="1931"/>
      <c r="U580" s="723"/>
      <c r="V580" s="723"/>
      <c r="W580" s="722"/>
      <c r="X580" s="2665"/>
      <c r="Y580" s="722"/>
      <c r="Z580" s="2666"/>
      <c r="AE580" s="2461"/>
      <c r="AF580" s="68"/>
    </row>
    <row r="581" spans="1:32" ht="60" x14ac:dyDescent="0.35">
      <c r="A581" s="1896">
        <v>235</v>
      </c>
      <c r="B581" s="1152">
        <v>11039</v>
      </c>
      <c r="C581" s="1152"/>
      <c r="D581" s="2471" t="s">
        <v>5548</v>
      </c>
      <c r="E581" s="715" t="s">
        <v>10095</v>
      </c>
      <c r="F581" s="1953" t="s">
        <v>664</v>
      </c>
      <c r="G581" s="179">
        <v>5</v>
      </c>
      <c r="H581" s="1620">
        <v>6</v>
      </c>
      <c r="I581" s="702">
        <f>J581+K581+L581</f>
        <v>2.38</v>
      </c>
      <c r="J581" s="702">
        <f>SUM(M581:R581)</f>
        <v>2.38</v>
      </c>
      <c r="K581" s="709"/>
      <c r="L581" s="709"/>
      <c r="M581" s="1388"/>
      <c r="N581" s="712"/>
      <c r="O581" s="1378"/>
      <c r="P581" s="1371"/>
      <c r="Q581" s="1363"/>
      <c r="R581" s="1909">
        <v>2.38</v>
      </c>
      <c r="S581" s="722"/>
      <c r="T581" s="1931"/>
      <c r="U581" s="723"/>
      <c r="V581" s="723"/>
      <c r="W581" s="716">
        <v>1</v>
      </c>
      <c r="X581" s="333">
        <v>5</v>
      </c>
      <c r="Y581" s="722"/>
      <c r="Z581" s="2666"/>
      <c r="AB581" s="3">
        <v>1</v>
      </c>
      <c r="AE581" s="2461"/>
      <c r="AF581" s="68"/>
    </row>
    <row r="582" spans="1:32" ht="90" x14ac:dyDescent="0.35">
      <c r="A582" s="1896">
        <v>236</v>
      </c>
      <c r="B582" s="1058">
        <v>11039</v>
      </c>
      <c r="C582" s="1979" t="s">
        <v>1655</v>
      </c>
      <c r="D582" s="2471" t="s">
        <v>5549</v>
      </c>
      <c r="E582" s="739" t="s">
        <v>9405</v>
      </c>
      <c r="F582" s="1953" t="s">
        <v>664</v>
      </c>
      <c r="G582" s="1953">
        <v>5</v>
      </c>
      <c r="H582" s="1620">
        <v>6</v>
      </c>
      <c r="I582" s="702">
        <f>J582+K582+L582</f>
        <v>1</v>
      </c>
      <c r="J582" s="702">
        <f>SUM(M582:R582)</f>
        <v>1</v>
      </c>
      <c r="K582" s="703"/>
      <c r="L582" s="703"/>
      <c r="M582" s="1387"/>
      <c r="N582" s="703"/>
      <c r="O582" s="1379"/>
      <c r="P582" s="1372"/>
      <c r="Q582" s="1364"/>
      <c r="R582" s="1357">
        <v>1</v>
      </c>
      <c r="S582" s="730"/>
      <c r="T582" s="1931"/>
      <c r="U582" s="732"/>
      <c r="V582" s="732"/>
      <c r="W582" s="730"/>
      <c r="X582" s="731"/>
      <c r="Y582" s="730"/>
      <c r="Z582" s="1708"/>
      <c r="AB582" s="3">
        <v>1</v>
      </c>
      <c r="AC582" s="91"/>
      <c r="AD582" s="353"/>
      <c r="AE582" s="2461"/>
      <c r="AF582" s="68"/>
    </row>
    <row r="583" spans="1:32" ht="60" x14ac:dyDescent="0.35">
      <c r="A583" s="1896">
        <v>237</v>
      </c>
      <c r="B583" s="1059">
        <v>11039</v>
      </c>
      <c r="C583" s="1059"/>
      <c r="D583" s="2471" t="s">
        <v>5550</v>
      </c>
      <c r="E583" s="715" t="s">
        <v>11480</v>
      </c>
      <c r="F583" s="1834"/>
      <c r="G583" s="1834" t="s">
        <v>191</v>
      </c>
      <c r="H583" s="1943" t="s">
        <v>191</v>
      </c>
      <c r="I583" s="2841">
        <f>J583+K583+L583</f>
        <v>2.15</v>
      </c>
      <c r="J583" s="2841">
        <f>SUM(M583:R583)</f>
        <v>2.15</v>
      </c>
      <c r="K583" s="703"/>
      <c r="L583" s="703"/>
      <c r="M583" s="1387"/>
      <c r="N583" s="703"/>
      <c r="O583" s="1379"/>
      <c r="P583" s="1372"/>
      <c r="Q583" s="1365">
        <f>SUM(Q584:Q585)</f>
        <v>0.1</v>
      </c>
      <c r="R583" s="1355">
        <f>SUM(R584:R585)</f>
        <v>2.0499999999999998</v>
      </c>
      <c r="S583" s="716">
        <v>1</v>
      </c>
      <c r="T583" s="1931">
        <v>54.7</v>
      </c>
      <c r="U583" s="705"/>
      <c r="V583" s="705"/>
      <c r="W583" s="701"/>
      <c r="X583" s="333"/>
      <c r="Y583" s="716"/>
      <c r="Z583" s="1706"/>
      <c r="AB583" s="3">
        <v>1</v>
      </c>
      <c r="AE583" s="2461"/>
      <c r="AF583" s="68"/>
    </row>
    <row r="584" spans="1:32" x14ac:dyDescent="0.35">
      <c r="A584" s="1886"/>
      <c r="B584" s="1059">
        <v>11039</v>
      </c>
      <c r="C584" s="1059"/>
      <c r="D584" s="754"/>
      <c r="E584" s="1394" t="s">
        <v>1332</v>
      </c>
      <c r="F584" s="1834" t="s">
        <v>827</v>
      </c>
      <c r="G584" s="1620">
        <v>5</v>
      </c>
      <c r="H584" s="1834">
        <v>6</v>
      </c>
      <c r="I584" s="708"/>
      <c r="J584" s="708"/>
      <c r="K584" s="709"/>
      <c r="L584" s="709"/>
      <c r="M584" s="1388"/>
      <c r="N584" s="709"/>
      <c r="O584" s="1378"/>
      <c r="P584" s="1371"/>
      <c r="Q584" s="1366">
        <v>0.1</v>
      </c>
      <c r="R584" s="1353"/>
      <c r="S584" s="720"/>
      <c r="T584" s="1931"/>
      <c r="U584" s="728"/>
      <c r="V584" s="728"/>
      <c r="W584" s="720"/>
      <c r="X584" s="332"/>
      <c r="Y584" s="725"/>
      <c r="Z584" s="2664"/>
      <c r="AE584" s="2461"/>
      <c r="AF584" s="68"/>
    </row>
    <row r="585" spans="1:32" x14ac:dyDescent="0.35">
      <c r="A585" s="1886"/>
      <c r="B585" s="1059">
        <v>11039</v>
      </c>
      <c r="C585" s="1059"/>
      <c r="D585" s="754"/>
      <c r="E585" s="1390" t="s">
        <v>11479</v>
      </c>
      <c r="F585" s="1834" t="s">
        <v>664</v>
      </c>
      <c r="G585" s="1620">
        <v>5</v>
      </c>
      <c r="H585" s="1620">
        <v>6</v>
      </c>
      <c r="I585" s="708"/>
      <c r="J585" s="708"/>
      <c r="K585" s="709"/>
      <c r="L585" s="709"/>
      <c r="M585" s="1388"/>
      <c r="N585" s="709"/>
      <c r="O585" s="1378"/>
      <c r="P585" s="1371"/>
      <c r="Q585" s="1363"/>
      <c r="R585" s="1356">
        <f>2.15-0.1</f>
        <v>2.0499999999999998</v>
      </c>
      <c r="S585" s="720"/>
      <c r="T585" s="1931"/>
      <c r="U585" s="728"/>
      <c r="V585" s="728"/>
      <c r="W585" s="720"/>
      <c r="X585" s="332"/>
      <c r="Y585" s="725"/>
      <c r="Z585" s="2664"/>
      <c r="AE585" s="2461"/>
      <c r="AF585" s="68"/>
    </row>
    <row r="586" spans="1:32" ht="75" x14ac:dyDescent="0.35">
      <c r="A586" s="1896">
        <v>238</v>
      </c>
      <c r="B586" s="1060">
        <v>11039</v>
      </c>
      <c r="C586" s="2083" t="s">
        <v>1656</v>
      </c>
      <c r="D586" s="2471" t="s">
        <v>5551</v>
      </c>
      <c r="E586" s="739" t="s">
        <v>9406</v>
      </c>
      <c r="F586" s="1953" t="s">
        <v>664</v>
      </c>
      <c r="G586" s="1953">
        <v>5</v>
      </c>
      <c r="H586" s="1620">
        <v>6</v>
      </c>
      <c r="I586" s="702">
        <f t="shared" ref="I586:I591" si="30">J586+K586+L586</f>
        <v>2.14</v>
      </c>
      <c r="J586" s="702">
        <f t="shared" ref="J586:J591" si="31">SUM(M586:R586)</f>
        <v>2.14</v>
      </c>
      <c r="K586" s="703"/>
      <c r="L586" s="703"/>
      <c r="M586" s="1387"/>
      <c r="N586" s="703"/>
      <c r="O586" s="1379"/>
      <c r="P586" s="1372"/>
      <c r="Q586" s="1364"/>
      <c r="R586" s="929">
        <v>2.14</v>
      </c>
      <c r="S586" s="730"/>
      <c r="T586" s="1931"/>
      <c r="U586" s="732"/>
      <c r="V586" s="732"/>
      <c r="W586" s="730"/>
      <c r="X586" s="731"/>
      <c r="Y586" s="730"/>
      <c r="Z586" s="1708"/>
      <c r="AB586" s="3">
        <v>1</v>
      </c>
      <c r="AE586" s="2461"/>
      <c r="AF586" s="68"/>
    </row>
    <row r="587" spans="1:32" ht="75" x14ac:dyDescent="0.35">
      <c r="A587" s="1896">
        <v>239</v>
      </c>
      <c r="B587" s="1060">
        <v>11039</v>
      </c>
      <c r="C587" s="1979" t="s">
        <v>1655</v>
      </c>
      <c r="D587" s="2471" t="s">
        <v>5552</v>
      </c>
      <c r="E587" s="699" t="s">
        <v>10096</v>
      </c>
      <c r="F587" s="1943" t="s">
        <v>664</v>
      </c>
      <c r="G587" s="1834">
        <v>5</v>
      </c>
      <c r="H587" s="1620">
        <v>6</v>
      </c>
      <c r="I587" s="702">
        <f t="shared" si="30"/>
        <v>2</v>
      </c>
      <c r="J587" s="702">
        <f t="shared" si="31"/>
        <v>2</v>
      </c>
      <c r="K587" s="703"/>
      <c r="L587" s="703"/>
      <c r="M587" s="1384"/>
      <c r="N587" s="702"/>
      <c r="O587" s="1376"/>
      <c r="P587" s="1369"/>
      <c r="Q587" s="1361"/>
      <c r="R587" s="1358">
        <v>2</v>
      </c>
      <c r="S587" s="743"/>
      <c r="T587" s="1931"/>
      <c r="U587" s="732"/>
      <c r="V587" s="732"/>
      <c r="W587" s="743"/>
      <c r="X587" s="731"/>
      <c r="Y587" s="730"/>
      <c r="Z587" s="1708"/>
      <c r="AB587" s="3">
        <v>1</v>
      </c>
      <c r="AE587" s="2461"/>
      <c r="AF587" s="68"/>
    </row>
    <row r="588" spans="1:32" ht="75" x14ac:dyDescent="0.35">
      <c r="A588" s="1896">
        <v>240</v>
      </c>
      <c r="B588" s="1060">
        <v>11039</v>
      </c>
      <c r="C588" s="1979" t="s">
        <v>1655</v>
      </c>
      <c r="D588" s="2471" t="s">
        <v>5553</v>
      </c>
      <c r="E588" s="739" t="s">
        <v>10097</v>
      </c>
      <c r="F588" s="1953" t="s">
        <v>664</v>
      </c>
      <c r="G588" s="1953">
        <v>5</v>
      </c>
      <c r="H588" s="1620">
        <v>6</v>
      </c>
      <c r="I588" s="702">
        <f t="shared" si="30"/>
        <v>0.4</v>
      </c>
      <c r="J588" s="702">
        <f t="shared" si="31"/>
        <v>0.4</v>
      </c>
      <c r="K588" s="703"/>
      <c r="L588" s="703"/>
      <c r="M588" s="1387"/>
      <c r="N588" s="703"/>
      <c r="O588" s="1379"/>
      <c r="P588" s="1372"/>
      <c r="Q588" s="1364"/>
      <c r="R588" s="1357">
        <v>0.4</v>
      </c>
      <c r="S588" s="730"/>
      <c r="T588" s="1931"/>
      <c r="U588" s="732"/>
      <c r="V588" s="732"/>
      <c r="W588" s="730"/>
      <c r="X588" s="731"/>
      <c r="Y588" s="730"/>
      <c r="Z588" s="1708"/>
      <c r="AB588" s="3">
        <v>1</v>
      </c>
      <c r="AE588" s="2461"/>
      <c r="AF588" s="68"/>
    </row>
    <row r="589" spans="1:32" ht="60" x14ac:dyDescent="0.35">
      <c r="A589" s="1896">
        <v>241</v>
      </c>
      <c r="B589" s="1060">
        <v>11039</v>
      </c>
      <c r="C589" s="2083" t="s">
        <v>1656</v>
      </c>
      <c r="D589" s="2471" t="s">
        <v>5554</v>
      </c>
      <c r="E589" s="739" t="s">
        <v>10098</v>
      </c>
      <c r="F589" s="1953" t="s">
        <v>664</v>
      </c>
      <c r="G589" s="1953">
        <v>5</v>
      </c>
      <c r="H589" s="1620">
        <v>6</v>
      </c>
      <c r="I589" s="702">
        <f t="shared" si="30"/>
        <v>0.8</v>
      </c>
      <c r="J589" s="702">
        <f t="shared" si="31"/>
        <v>0.8</v>
      </c>
      <c r="K589" s="703"/>
      <c r="L589" s="703"/>
      <c r="M589" s="1387"/>
      <c r="N589" s="703"/>
      <c r="O589" s="1379"/>
      <c r="P589" s="1372"/>
      <c r="Q589" s="1364"/>
      <c r="R589" s="929">
        <v>0.8</v>
      </c>
      <c r="S589" s="730"/>
      <c r="T589" s="1931"/>
      <c r="U589" s="732"/>
      <c r="V589" s="732"/>
      <c r="W589" s="730"/>
      <c r="X589" s="731"/>
      <c r="Y589" s="730"/>
      <c r="Z589" s="1708"/>
      <c r="AB589" s="3">
        <v>1</v>
      </c>
      <c r="AE589" s="2461"/>
      <c r="AF589" s="68"/>
    </row>
    <row r="590" spans="1:32" ht="60" x14ac:dyDescent="0.35">
      <c r="A590" s="1896">
        <v>242</v>
      </c>
      <c r="B590" s="1060">
        <v>11039</v>
      </c>
      <c r="C590" s="2083" t="s">
        <v>1656</v>
      </c>
      <c r="D590" s="2471" t="s">
        <v>5555</v>
      </c>
      <c r="E590" s="739" t="s">
        <v>10099</v>
      </c>
      <c r="F590" s="1953" t="s">
        <v>664</v>
      </c>
      <c r="G590" s="1953">
        <v>5</v>
      </c>
      <c r="H590" s="1620">
        <v>6</v>
      </c>
      <c r="I590" s="702">
        <f t="shared" si="30"/>
        <v>0.5</v>
      </c>
      <c r="J590" s="702">
        <f t="shared" si="31"/>
        <v>0.5</v>
      </c>
      <c r="K590" s="703"/>
      <c r="L590" s="703"/>
      <c r="M590" s="1387"/>
      <c r="N590" s="703"/>
      <c r="O590" s="1379"/>
      <c r="P590" s="1372"/>
      <c r="Q590" s="1364"/>
      <c r="R590" s="929">
        <v>0.5</v>
      </c>
      <c r="S590" s="730"/>
      <c r="T590" s="1931"/>
      <c r="U590" s="732"/>
      <c r="V590" s="732"/>
      <c r="W590" s="730"/>
      <c r="X590" s="731"/>
      <c r="Y590" s="730"/>
      <c r="Z590" s="1708"/>
      <c r="AB590" s="3">
        <v>1</v>
      </c>
      <c r="AE590" s="2461"/>
      <c r="AF590" s="68"/>
    </row>
    <row r="591" spans="1:32" ht="30" x14ac:dyDescent="0.35">
      <c r="A591" s="1896">
        <v>243</v>
      </c>
      <c r="B591" s="1152">
        <v>11040</v>
      </c>
      <c r="C591" s="1152"/>
      <c r="D591" s="755" t="s">
        <v>993</v>
      </c>
      <c r="E591" s="715" t="s">
        <v>7081</v>
      </c>
      <c r="F591" s="1834"/>
      <c r="G591" s="1953" t="s">
        <v>191</v>
      </c>
      <c r="H591" s="1943" t="s">
        <v>191</v>
      </c>
      <c r="I591" s="702">
        <f t="shared" si="30"/>
        <v>2.7</v>
      </c>
      <c r="J591" s="702">
        <f t="shared" si="31"/>
        <v>2.7</v>
      </c>
      <c r="K591" s="703"/>
      <c r="L591" s="703"/>
      <c r="M591" s="1387"/>
      <c r="N591" s="717"/>
      <c r="O591" s="1379"/>
      <c r="P591" s="1372"/>
      <c r="Q591" s="1365">
        <f>SUM(Q592:Q592)</f>
        <v>1.53</v>
      </c>
      <c r="R591" s="1355">
        <f>SUM(R592:R594)</f>
        <v>1.17</v>
      </c>
      <c r="S591" s="701"/>
      <c r="T591" s="1931"/>
      <c r="U591" s="705"/>
      <c r="V591" s="705"/>
      <c r="W591" s="716">
        <v>3</v>
      </c>
      <c r="X591" s="333">
        <v>31</v>
      </c>
      <c r="Y591" s="716"/>
      <c r="Z591" s="1706"/>
      <c r="AB591" s="3">
        <v>1</v>
      </c>
      <c r="AE591" s="2461"/>
      <c r="AF591" s="68"/>
    </row>
    <row r="592" spans="1:32" x14ac:dyDescent="0.35">
      <c r="A592" s="1886"/>
      <c r="B592" s="1152">
        <v>11040</v>
      </c>
      <c r="C592" s="1152"/>
      <c r="D592" s="754"/>
      <c r="E592" s="1394" t="s">
        <v>2461</v>
      </c>
      <c r="F592" s="1834">
        <v>5</v>
      </c>
      <c r="G592" s="179">
        <v>5</v>
      </c>
      <c r="H592" s="1834">
        <v>6</v>
      </c>
      <c r="I592" s="708"/>
      <c r="J592" s="708"/>
      <c r="K592" s="709"/>
      <c r="L592" s="709"/>
      <c r="M592" s="1388"/>
      <c r="N592" s="709"/>
      <c r="O592" s="1378"/>
      <c r="P592" s="1371"/>
      <c r="Q592" s="1366">
        <v>1.53</v>
      </c>
      <c r="R592" s="1353"/>
      <c r="S592" s="720"/>
      <c r="T592" s="1931"/>
      <c r="U592" s="728"/>
      <c r="V592" s="728"/>
      <c r="W592" s="720"/>
      <c r="X592" s="332"/>
      <c r="Y592" s="725"/>
      <c r="Z592" s="2664"/>
      <c r="AE592" s="2461"/>
      <c r="AF592" s="68"/>
    </row>
    <row r="593" spans="1:32" x14ac:dyDescent="0.35">
      <c r="A593" s="1886"/>
      <c r="B593" s="1152">
        <v>11040</v>
      </c>
      <c r="C593" s="1152"/>
      <c r="D593" s="754"/>
      <c r="E593" s="1390" t="s">
        <v>3049</v>
      </c>
      <c r="F593" s="1834" t="s">
        <v>664</v>
      </c>
      <c r="G593" s="179">
        <v>5</v>
      </c>
      <c r="H593" s="1620">
        <v>6</v>
      </c>
      <c r="I593" s="708"/>
      <c r="J593" s="708"/>
      <c r="K593" s="709"/>
      <c r="L593" s="709"/>
      <c r="M593" s="1388"/>
      <c r="N593" s="709"/>
      <c r="O593" s="1378"/>
      <c r="P593" s="1371"/>
      <c r="Q593" s="1363"/>
      <c r="R593" s="1356">
        <v>1.17</v>
      </c>
      <c r="S593" s="720"/>
      <c r="T593" s="1931"/>
      <c r="U593" s="728"/>
      <c r="V593" s="728"/>
      <c r="W593" s="720"/>
      <c r="X593" s="332"/>
      <c r="Y593" s="725"/>
      <c r="Z593" s="2664"/>
      <c r="AE593" s="2461"/>
      <c r="AF593" s="68"/>
    </row>
    <row r="594" spans="1:32" ht="30" x14ac:dyDescent="0.35">
      <c r="A594" s="1886">
        <v>244</v>
      </c>
      <c r="B594" s="1152">
        <v>11040</v>
      </c>
      <c r="C594" s="1152"/>
      <c r="D594" s="2471" t="s">
        <v>5556</v>
      </c>
      <c r="E594" s="715" t="s">
        <v>10100</v>
      </c>
      <c r="F594" s="1834">
        <v>5</v>
      </c>
      <c r="G594" s="179">
        <v>5</v>
      </c>
      <c r="H594" s="1834">
        <v>6</v>
      </c>
      <c r="I594" s="702">
        <f>J594+K594+L594</f>
        <v>0.6</v>
      </c>
      <c r="J594" s="702">
        <f>SUM(M594:R594)</f>
        <v>0.6</v>
      </c>
      <c r="K594" s="709"/>
      <c r="L594" s="709"/>
      <c r="M594" s="1388"/>
      <c r="N594" s="709"/>
      <c r="O594" s="1378"/>
      <c r="P594" s="1371"/>
      <c r="Q594" s="1961">
        <v>0.6</v>
      </c>
      <c r="R594" s="1356"/>
      <c r="S594" s="720"/>
      <c r="T594" s="1931"/>
      <c r="U594" s="728"/>
      <c r="V594" s="728"/>
      <c r="W594" s="720"/>
      <c r="X594" s="332"/>
      <c r="Y594" s="725"/>
      <c r="Z594" s="2664"/>
      <c r="AB594" s="3">
        <v>1</v>
      </c>
      <c r="AC594" s="62" t="s">
        <v>3390</v>
      </c>
      <c r="AD594" s="353">
        <v>37251</v>
      </c>
      <c r="AE594" s="2461"/>
      <c r="AF594" s="68"/>
    </row>
    <row r="595" spans="1:32" ht="30" x14ac:dyDescent="0.35">
      <c r="A595" s="525">
        <v>245</v>
      </c>
      <c r="B595" s="1719">
        <v>11040</v>
      </c>
      <c r="C595" s="2083" t="s">
        <v>1656</v>
      </c>
      <c r="D595" s="2471" t="s">
        <v>5557</v>
      </c>
      <c r="E595" s="2187" t="s">
        <v>8755</v>
      </c>
      <c r="F595" s="92" t="s">
        <v>664</v>
      </c>
      <c r="G595" s="92">
        <v>5</v>
      </c>
      <c r="H595" s="1620">
        <v>6</v>
      </c>
      <c r="I595" s="702">
        <f>J595+K595+L595</f>
        <v>1</v>
      </c>
      <c r="J595" s="702">
        <f>SUM(M595:R595)</f>
        <v>1</v>
      </c>
      <c r="K595" s="622"/>
      <c r="L595" s="622"/>
      <c r="M595" s="622"/>
      <c r="N595" s="622"/>
      <c r="O595" s="622"/>
      <c r="P595" s="622"/>
      <c r="Q595" s="622"/>
      <c r="R595" s="1984">
        <v>1</v>
      </c>
      <c r="S595" s="106"/>
      <c r="T595" s="1931"/>
      <c r="U595" s="106"/>
      <c r="V595" s="106"/>
      <c r="W595" s="105"/>
      <c r="X595" s="105"/>
      <c r="Y595" s="105"/>
      <c r="Z595" s="323"/>
      <c r="AA595" s="3" t="s">
        <v>1013</v>
      </c>
      <c r="AB595" s="3">
        <v>1</v>
      </c>
      <c r="AE595" s="2461"/>
      <c r="AF595" s="68"/>
    </row>
    <row r="596" spans="1:32" ht="30" x14ac:dyDescent="0.35">
      <c r="A596" s="1880">
        <v>246</v>
      </c>
      <c r="B596" s="1152">
        <v>11041</v>
      </c>
      <c r="C596" s="1152"/>
      <c r="D596" s="755" t="s">
        <v>994</v>
      </c>
      <c r="E596" s="715" t="s">
        <v>1449</v>
      </c>
      <c r="F596" s="1834"/>
      <c r="G596" s="1953" t="s">
        <v>191</v>
      </c>
      <c r="H596" s="1943" t="s">
        <v>191</v>
      </c>
      <c r="I596" s="702">
        <f>J596+K596+L596</f>
        <v>2.25</v>
      </c>
      <c r="J596" s="702">
        <f>SUM(M596:R596)</f>
        <v>2.25</v>
      </c>
      <c r="K596" s="703"/>
      <c r="L596" s="703"/>
      <c r="M596" s="1387"/>
      <c r="N596" s="703">
        <f>SUM(N597:N599)</f>
        <v>0.8</v>
      </c>
      <c r="O596" s="1379"/>
      <c r="P596" s="1372"/>
      <c r="Q596" s="1365"/>
      <c r="R596" s="1355">
        <f>SUM(R597:R599)</f>
        <v>1.45</v>
      </c>
      <c r="S596" s="701"/>
      <c r="T596" s="1931"/>
      <c r="U596" s="705"/>
      <c r="V596" s="705"/>
      <c r="W596" s="716">
        <v>3</v>
      </c>
      <c r="X596" s="333">
        <v>25.04</v>
      </c>
      <c r="Y596" s="716">
        <v>1</v>
      </c>
      <c r="Z596" s="1706">
        <v>7.5</v>
      </c>
      <c r="AB596" s="3">
        <v>1</v>
      </c>
      <c r="AE596" s="2461"/>
      <c r="AF596" s="68"/>
    </row>
    <row r="597" spans="1:32" ht="18" x14ac:dyDescent="0.4">
      <c r="A597" s="1886"/>
      <c r="B597" s="1152">
        <v>11041</v>
      </c>
      <c r="C597" s="1152"/>
      <c r="D597" s="754"/>
      <c r="E597" s="711" t="s">
        <v>1966</v>
      </c>
      <c r="F597" s="1834">
        <v>5</v>
      </c>
      <c r="G597" s="1620">
        <v>5</v>
      </c>
      <c r="H597" s="179">
        <v>6</v>
      </c>
      <c r="I597" s="708"/>
      <c r="J597" s="708"/>
      <c r="K597" s="709"/>
      <c r="L597" s="709"/>
      <c r="M597" s="1388"/>
      <c r="N597" s="709">
        <v>0.8</v>
      </c>
      <c r="O597" s="1378"/>
      <c r="P597" s="1371"/>
      <c r="Q597" s="1366"/>
      <c r="R597" s="1353"/>
      <c r="S597" s="1879"/>
      <c r="T597" s="1931"/>
      <c r="U597" s="1877"/>
      <c r="V597" s="1877"/>
      <c r="W597" s="1879"/>
      <c r="X597" s="1911"/>
      <c r="Y597" s="1912"/>
      <c r="Z597" s="1913"/>
      <c r="AE597" s="2461"/>
      <c r="AF597" s="68"/>
    </row>
    <row r="598" spans="1:32" ht="18" x14ac:dyDescent="0.4">
      <c r="A598" s="1886"/>
      <c r="B598" s="1152"/>
      <c r="C598" s="1152"/>
      <c r="D598" s="754"/>
      <c r="E598" s="1390" t="s">
        <v>3534</v>
      </c>
      <c r="F598" s="1834" t="s">
        <v>1490</v>
      </c>
      <c r="G598" s="1620">
        <v>5</v>
      </c>
      <c r="H598" s="1620">
        <v>6</v>
      </c>
      <c r="I598" s="708"/>
      <c r="J598" s="708"/>
      <c r="K598" s="709"/>
      <c r="L598" s="709"/>
      <c r="M598" s="1388"/>
      <c r="N598" s="709"/>
      <c r="O598" s="1378"/>
      <c r="P598" s="1371"/>
      <c r="Q598" s="1366"/>
      <c r="R598" s="1353">
        <f>1.453-0.8</f>
        <v>0.65300000000000002</v>
      </c>
      <c r="S598" s="1879"/>
      <c r="T598" s="1931"/>
      <c r="U598" s="1877"/>
      <c r="V598" s="1877"/>
      <c r="W598" s="1879"/>
      <c r="X598" s="1911"/>
      <c r="Y598" s="1912"/>
      <c r="Z598" s="1913"/>
      <c r="AC598" s="3" t="s">
        <v>2570</v>
      </c>
      <c r="AE598" s="2461"/>
      <c r="AF598" s="68"/>
    </row>
    <row r="599" spans="1:32" x14ac:dyDescent="0.35">
      <c r="A599" s="1886"/>
      <c r="B599" s="1152">
        <v>11041</v>
      </c>
      <c r="C599" s="1152"/>
      <c r="D599" s="754"/>
      <c r="E599" s="1390" t="s">
        <v>3535</v>
      </c>
      <c r="F599" s="1834" t="s">
        <v>664</v>
      </c>
      <c r="G599" s="179">
        <v>5</v>
      </c>
      <c r="H599" s="1620">
        <v>6</v>
      </c>
      <c r="I599" s="708"/>
      <c r="J599" s="708"/>
      <c r="K599" s="709"/>
      <c r="L599" s="709"/>
      <c r="M599" s="1388"/>
      <c r="N599" s="709"/>
      <c r="O599" s="1378"/>
      <c r="P599" s="1371"/>
      <c r="Q599" s="1363"/>
      <c r="R599" s="1356">
        <f>2.25-1.453</f>
        <v>0.79699999999999993</v>
      </c>
      <c r="S599" s="720"/>
      <c r="T599" s="1931"/>
      <c r="U599" s="728"/>
      <c r="V599" s="728"/>
      <c r="W599" s="720"/>
      <c r="X599" s="332"/>
      <c r="Y599" s="725"/>
      <c r="Z599" s="2664"/>
      <c r="AE599" s="2461"/>
      <c r="AF599" s="68"/>
    </row>
    <row r="600" spans="1:32" ht="30" x14ac:dyDescent="0.35">
      <c r="A600" s="1880">
        <v>247</v>
      </c>
      <c r="B600" s="1152">
        <v>11042</v>
      </c>
      <c r="C600" s="1152"/>
      <c r="D600" s="755" t="s">
        <v>908</v>
      </c>
      <c r="E600" s="715" t="s">
        <v>667</v>
      </c>
      <c r="F600" s="1834"/>
      <c r="G600" s="1953" t="s">
        <v>191</v>
      </c>
      <c r="H600" s="1943" t="s">
        <v>191</v>
      </c>
      <c r="I600" s="702">
        <f>J600+K600+L600</f>
        <v>2.137</v>
      </c>
      <c r="J600" s="702">
        <f>SUM(M600:R600)</f>
        <v>2.137</v>
      </c>
      <c r="K600" s="703"/>
      <c r="L600" s="703"/>
      <c r="M600" s="1387"/>
      <c r="N600" s="703"/>
      <c r="O600" s="1379"/>
      <c r="P600" s="1372"/>
      <c r="Q600" s="1364">
        <f>SUM(Q601:Q602)</f>
        <v>1.8580000000000001</v>
      </c>
      <c r="R600" s="1355">
        <f>SUM(R601:R602)</f>
        <v>0.27899999999999991</v>
      </c>
      <c r="S600" s="716">
        <v>1</v>
      </c>
      <c r="T600" s="1931">
        <v>18.850000000000001</v>
      </c>
      <c r="U600" s="705"/>
      <c r="V600" s="705"/>
      <c r="W600" s="716">
        <v>2</v>
      </c>
      <c r="X600" s="333">
        <v>20.399999999999999</v>
      </c>
      <c r="Y600" s="716"/>
      <c r="Z600" s="1706"/>
      <c r="AA600" s="3" t="s">
        <v>447</v>
      </c>
      <c r="AB600" s="3">
        <v>1</v>
      </c>
      <c r="AE600" s="2461"/>
      <c r="AF600" s="68"/>
    </row>
    <row r="601" spans="1:32" x14ac:dyDescent="0.35">
      <c r="A601" s="1880"/>
      <c r="B601" s="1152">
        <v>11042</v>
      </c>
      <c r="C601" s="1152"/>
      <c r="D601" s="755"/>
      <c r="E601" s="1394" t="s">
        <v>832</v>
      </c>
      <c r="F601" s="1834" t="s">
        <v>827</v>
      </c>
      <c r="G601" s="1953">
        <v>5</v>
      </c>
      <c r="H601" s="1834">
        <v>6</v>
      </c>
      <c r="I601" s="1918"/>
      <c r="J601" s="1918"/>
      <c r="K601" s="1919"/>
      <c r="L601" s="1919"/>
      <c r="M601" s="1920"/>
      <c r="N601" s="1919"/>
      <c r="O601" s="1949"/>
      <c r="P601" s="1950"/>
      <c r="Q601" s="1951">
        <v>1.8580000000000001</v>
      </c>
      <c r="R601" s="1968"/>
      <c r="S601" s="716"/>
      <c r="T601" s="1931"/>
      <c r="U601" s="705"/>
      <c r="V601" s="705"/>
      <c r="W601" s="716"/>
      <c r="X601" s="333"/>
      <c r="Y601" s="716"/>
      <c r="Z601" s="1706"/>
      <c r="AE601" s="2461"/>
      <c r="AF601" s="68"/>
    </row>
    <row r="602" spans="1:32" x14ac:dyDescent="0.35">
      <c r="A602" s="1880"/>
      <c r="B602" s="1152">
        <v>11042</v>
      </c>
      <c r="C602" s="1152"/>
      <c r="D602" s="755"/>
      <c r="E602" s="1390" t="s">
        <v>833</v>
      </c>
      <c r="F602" s="1834" t="s">
        <v>827</v>
      </c>
      <c r="G602" s="1953">
        <v>5</v>
      </c>
      <c r="H602" s="1620">
        <v>6</v>
      </c>
      <c r="I602" s="1918"/>
      <c r="J602" s="1918"/>
      <c r="K602" s="1919"/>
      <c r="L602" s="1919"/>
      <c r="M602" s="1920"/>
      <c r="N602" s="1919"/>
      <c r="O602" s="1949"/>
      <c r="P602" s="1950"/>
      <c r="Q602" s="1951"/>
      <c r="R602" s="1968">
        <f>2.137-1.858</f>
        <v>0.27899999999999991</v>
      </c>
      <c r="S602" s="716"/>
      <c r="T602" s="1931"/>
      <c r="U602" s="705"/>
      <c r="V602" s="705"/>
      <c r="W602" s="716"/>
      <c r="X602" s="333"/>
      <c r="Y602" s="716"/>
      <c r="Z602" s="1706"/>
      <c r="AE602" s="2461"/>
      <c r="AF602" s="68"/>
    </row>
    <row r="603" spans="1:32" ht="30" x14ac:dyDescent="0.35">
      <c r="A603" s="1880">
        <v>248</v>
      </c>
      <c r="B603" s="1152">
        <v>11042</v>
      </c>
      <c r="C603" s="1152"/>
      <c r="D603" s="2471" t="s">
        <v>5558</v>
      </c>
      <c r="E603" s="715" t="s">
        <v>7858</v>
      </c>
      <c r="F603" s="1834"/>
      <c r="G603" s="1953" t="s">
        <v>191</v>
      </c>
      <c r="H603" s="1943" t="s">
        <v>191</v>
      </c>
      <c r="I603" s="702">
        <f>J603+K603+L603</f>
        <v>2.73</v>
      </c>
      <c r="J603" s="702">
        <f>SUM(M603:R603)</f>
        <v>2.73</v>
      </c>
      <c r="K603" s="703"/>
      <c r="L603" s="703"/>
      <c r="M603" s="1387"/>
      <c r="N603" s="703"/>
      <c r="O603" s="1379"/>
      <c r="P603" s="1372"/>
      <c r="Q603" s="1364">
        <f>SUM(Q604:Q605)</f>
        <v>2</v>
      </c>
      <c r="R603" s="1355">
        <f>SUM(R604:R605)</f>
        <v>0.73</v>
      </c>
      <c r="S603" s="716"/>
      <c r="T603" s="1931"/>
      <c r="U603" s="705"/>
      <c r="V603" s="705"/>
      <c r="W603" s="716">
        <v>3</v>
      </c>
      <c r="X603" s="333">
        <v>27.92</v>
      </c>
      <c r="Y603" s="716"/>
      <c r="Z603" s="1706"/>
      <c r="AA603" s="3" t="s">
        <v>447</v>
      </c>
      <c r="AB603" s="3">
        <v>1</v>
      </c>
      <c r="AE603" s="2461"/>
      <c r="AF603" s="68"/>
    </row>
    <row r="604" spans="1:32" x14ac:dyDescent="0.35">
      <c r="A604" s="1880"/>
      <c r="B604" s="1152">
        <v>11042</v>
      </c>
      <c r="C604" s="1152"/>
      <c r="D604" s="755"/>
      <c r="E604" s="1394" t="s">
        <v>1191</v>
      </c>
      <c r="F604" s="1834" t="s">
        <v>827</v>
      </c>
      <c r="G604" s="1953">
        <v>5</v>
      </c>
      <c r="H604" s="1834">
        <v>6</v>
      </c>
      <c r="I604" s="1918"/>
      <c r="J604" s="1918"/>
      <c r="K604" s="1919"/>
      <c r="L604" s="1919"/>
      <c r="M604" s="1920"/>
      <c r="N604" s="1919"/>
      <c r="O604" s="1949"/>
      <c r="P604" s="1950"/>
      <c r="Q604" s="1951">
        <v>2</v>
      </c>
      <c r="R604" s="1968"/>
      <c r="S604" s="716"/>
      <c r="T604" s="1931"/>
      <c r="U604" s="705"/>
      <c r="V604" s="705"/>
      <c r="W604" s="716"/>
      <c r="X604" s="333"/>
      <c r="Y604" s="716"/>
      <c r="Z604" s="1706"/>
      <c r="AE604" s="2461"/>
      <c r="AF604" s="68"/>
    </row>
    <row r="605" spans="1:32" x14ac:dyDescent="0.35">
      <c r="A605" s="1880"/>
      <c r="B605" s="1152">
        <v>11042</v>
      </c>
      <c r="C605" s="1152"/>
      <c r="D605" s="755"/>
      <c r="E605" s="1390" t="s">
        <v>668</v>
      </c>
      <c r="F605" s="1834" t="s">
        <v>1490</v>
      </c>
      <c r="G605" s="1953">
        <v>5</v>
      </c>
      <c r="H605" s="1620">
        <v>6</v>
      </c>
      <c r="I605" s="1918"/>
      <c r="J605" s="1918"/>
      <c r="K605" s="1919"/>
      <c r="L605" s="1919"/>
      <c r="M605" s="1920"/>
      <c r="N605" s="1919"/>
      <c r="O605" s="1949"/>
      <c r="P605" s="1950"/>
      <c r="Q605" s="1951"/>
      <c r="R605" s="1968">
        <f>2.73-2</f>
        <v>0.73</v>
      </c>
      <c r="S605" s="716"/>
      <c r="T605" s="1931"/>
      <c r="U605" s="705"/>
      <c r="V605" s="705"/>
      <c r="W605" s="716"/>
      <c r="X605" s="333"/>
      <c r="Y605" s="716"/>
      <c r="Z605" s="1706"/>
      <c r="AE605" s="2461"/>
      <c r="AF605" s="68"/>
    </row>
    <row r="606" spans="1:32" ht="60" x14ac:dyDescent="0.35">
      <c r="A606" s="1880">
        <v>249</v>
      </c>
      <c r="B606" s="1152">
        <v>11042</v>
      </c>
      <c r="C606" s="2083" t="s">
        <v>1656</v>
      </c>
      <c r="D606" s="2471" t="s">
        <v>5559</v>
      </c>
      <c r="E606" s="739" t="s">
        <v>8756</v>
      </c>
      <c r="F606" s="1953" t="s">
        <v>664</v>
      </c>
      <c r="G606" s="1953">
        <v>5</v>
      </c>
      <c r="H606" s="1620">
        <v>6</v>
      </c>
      <c r="I606" s="702">
        <f>J606+K606+L606</f>
        <v>0.9</v>
      </c>
      <c r="J606" s="702">
        <f>SUM(M606:R606)</f>
        <v>0.9</v>
      </c>
      <c r="K606" s="703"/>
      <c r="L606" s="703"/>
      <c r="M606" s="1387"/>
      <c r="N606" s="703"/>
      <c r="O606" s="1379"/>
      <c r="P606" s="1372"/>
      <c r="Q606" s="1364"/>
      <c r="R606" s="929">
        <v>0.9</v>
      </c>
      <c r="S606" s="1890"/>
      <c r="T606" s="1931"/>
      <c r="U606" s="732"/>
      <c r="V606" s="732"/>
      <c r="W606" s="730"/>
      <c r="X606" s="731"/>
      <c r="Y606" s="730"/>
      <c r="Z606" s="1708"/>
      <c r="AB606" s="3">
        <v>1</v>
      </c>
      <c r="AE606" s="2461"/>
      <c r="AF606" s="68"/>
    </row>
    <row r="607" spans="1:32" ht="30" x14ac:dyDescent="0.35">
      <c r="A607" s="1880">
        <v>250</v>
      </c>
      <c r="B607" s="1152">
        <v>11043</v>
      </c>
      <c r="C607" s="1152"/>
      <c r="D607" s="755" t="s">
        <v>3271</v>
      </c>
      <c r="E607" s="729" t="s">
        <v>44</v>
      </c>
      <c r="F607" s="1834"/>
      <c r="G607" s="1953" t="s">
        <v>191</v>
      </c>
      <c r="H607" s="1620" t="s">
        <v>191</v>
      </c>
      <c r="I607" s="702">
        <f>J607+K607+L607</f>
        <v>2.5</v>
      </c>
      <c r="J607" s="702">
        <f>SUM(M607:R607)</f>
        <v>2.5</v>
      </c>
      <c r="K607" s="703"/>
      <c r="L607" s="703"/>
      <c r="M607" s="1387"/>
      <c r="N607" s="703"/>
      <c r="O607" s="1379"/>
      <c r="P607" s="1372"/>
      <c r="Q607" s="1364"/>
      <c r="R607" s="1355">
        <f>SUM(R608:R609)</f>
        <v>2.5</v>
      </c>
      <c r="S607" s="701"/>
      <c r="T607" s="1931"/>
      <c r="U607" s="705"/>
      <c r="V607" s="705"/>
      <c r="W607" s="716">
        <v>1</v>
      </c>
      <c r="X607" s="333">
        <v>15.3</v>
      </c>
      <c r="Y607" s="716"/>
      <c r="Z607" s="1706"/>
      <c r="AB607" s="3">
        <v>1</v>
      </c>
      <c r="AE607" s="2461"/>
      <c r="AF607" s="68"/>
    </row>
    <row r="608" spans="1:32" x14ac:dyDescent="0.35">
      <c r="A608" s="1880"/>
      <c r="B608" s="1152">
        <v>11043</v>
      </c>
      <c r="C608" s="1152"/>
      <c r="D608" s="755"/>
      <c r="E608" s="1390" t="s">
        <v>1738</v>
      </c>
      <c r="F608" s="1834" t="s">
        <v>664</v>
      </c>
      <c r="G608" s="1953">
        <v>5</v>
      </c>
      <c r="H608" s="1620">
        <v>6</v>
      </c>
      <c r="I608" s="702"/>
      <c r="J608" s="702"/>
      <c r="K608" s="703"/>
      <c r="L608" s="703"/>
      <c r="M608" s="1387"/>
      <c r="N608" s="703"/>
      <c r="O608" s="1379"/>
      <c r="P608" s="1372"/>
      <c r="Q608" s="1364"/>
      <c r="R608" s="1968">
        <v>1.7</v>
      </c>
      <c r="S608" s="701"/>
      <c r="T608" s="1931"/>
      <c r="U608" s="705"/>
      <c r="V608" s="705"/>
      <c r="W608" s="716"/>
      <c r="X608" s="333"/>
      <c r="Y608" s="716"/>
      <c r="Z608" s="1706"/>
      <c r="AE608" s="2461"/>
      <c r="AF608" s="68"/>
    </row>
    <row r="609" spans="1:32" x14ac:dyDescent="0.35">
      <c r="A609" s="1880"/>
      <c r="B609" s="1152">
        <v>11043</v>
      </c>
      <c r="C609" s="1152"/>
      <c r="D609" s="755"/>
      <c r="E609" s="1390" t="s">
        <v>1310</v>
      </c>
      <c r="F609" s="1834" t="s">
        <v>664</v>
      </c>
      <c r="G609" s="1953">
        <v>5</v>
      </c>
      <c r="H609" s="1620">
        <v>6</v>
      </c>
      <c r="I609" s="702"/>
      <c r="J609" s="702"/>
      <c r="K609" s="703"/>
      <c r="L609" s="703"/>
      <c r="M609" s="1387"/>
      <c r="N609" s="703"/>
      <c r="O609" s="1379"/>
      <c r="P609" s="1372"/>
      <c r="Q609" s="1364"/>
      <c r="R609" s="1968">
        <f>2.5-1.7</f>
        <v>0.8</v>
      </c>
      <c r="S609" s="701"/>
      <c r="T609" s="1931"/>
      <c r="U609" s="705"/>
      <c r="V609" s="705"/>
      <c r="W609" s="716"/>
      <c r="X609" s="333"/>
      <c r="Y609" s="716"/>
      <c r="Z609" s="1706"/>
      <c r="AE609" s="2461"/>
      <c r="AF609" s="68"/>
    </row>
    <row r="610" spans="1:32" ht="30" x14ac:dyDescent="0.35">
      <c r="A610" s="1880">
        <v>251</v>
      </c>
      <c r="B610" s="1152">
        <v>11044</v>
      </c>
      <c r="C610" s="1152"/>
      <c r="D610" s="755" t="s">
        <v>3272</v>
      </c>
      <c r="E610" s="729" t="s">
        <v>9510</v>
      </c>
      <c r="F610" s="1834" t="s">
        <v>664</v>
      </c>
      <c r="G610" s="1953">
        <v>5</v>
      </c>
      <c r="H610" s="1620">
        <v>6</v>
      </c>
      <c r="I610" s="702">
        <f t="shared" ref="I610:I615" si="32">J610+K610+L610</f>
        <v>1.5</v>
      </c>
      <c r="J610" s="702">
        <f t="shared" ref="J610:J615" si="33">SUM(M610:R610)</f>
        <v>1.5</v>
      </c>
      <c r="K610" s="703"/>
      <c r="L610" s="703"/>
      <c r="M610" s="1387"/>
      <c r="N610" s="703"/>
      <c r="O610" s="1379"/>
      <c r="P610" s="1372"/>
      <c r="Q610" s="1364"/>
      <c r="R610" s="1355">
        <v>1.5</v>
      </c>
      <c r="S610" s="701"/>
      <c r="T610" s="1931"/>
      <c r="U610" s="705"/>
      <c r="V610" s="705"/>
      <c r="W610" s="701"/>
      <c r="X610" s="333"/>
      <c r="Y610" s="716"/>
      <c r="Z610" s="1706"/>
      <c r="AB610" s="3">
        <v>1</v>
      </c>
      <c r="AE610" s="2461"/>
      <c r="AF610" s="68"/>
    </row>
    <row r="611" spans="1:32" ht="30" x14ac:dyDescent="0.35">
      <c r="A611" s="1880">
        <v>252</v>
      </c>
      <c r="B611" s="1152">
        <v>11045</v>
      </c>
      <c r="C611" s="1152"/>
      <c r="D611" s="755" t="s">
        <v>3273</v>
      </c>
      <c r="E611" s="715" t="s">
        <v>9511</v>
      </c>
      <c r="F611" s="1834" t="s">
        <v>664</v>
      </c>
      <c r="G611" s="1953">
        <v>5</v>
      </c>
      <c r="H611" s="1620">
        <v>6</v>
      </c>
      <c r="I611" s="702">
        <f t="shared" si="32"/>
        <v>2.2000000000000002</v>
      </c>
      <c r="J611" s="702">
        <f t="shared" si="33"/>
        <v>2.2000000000000002</v>
      </c>
      <c r="K611" s="703"/>
      <c r="L611" s="703"/>
      <c r="M611" s="1387"/>
      <c r="N611" s="703"/>
      <c r="O611" s="1379"/>
      <c r="P611" s="1372"/>
      <c r="Q611" s="1364"/>
      <c r="R611" s="1355">
        <v>2.2000000000000002</v>
      </c>
      <c r="S611" s="701"/>
      <c r="T611" s="1931"/>
      <c r="U611" s="705"/>
      <c r="V611" s="705"/>
      <c r="W611" s="701"/>
      <c r="X611" s="333"/>
      <c r="Y611" s="716"/>
      <c r="Z611" s="1706"/>
      <c r="AB611" s="3">
        <v>1</v>
      </c>
      <c r="AE611" s="2461"/>
      <c r="AF611" s="68"/>
    </row>
    <row r="612" spans="1:32" ht="30" x14ac:dyDescent="0.35">
      <c r="A612" s="1880">
        <v>253</v>
      </c>
      <c r="B612" s="1059">
        <v>11045</v>
      </c>
      <c r="C612" s="1059"/>
      <c r="D612" s="2471" t="s">
        <v>5560</v>
      </c>
      <c r="E612" s="715" t="s">
        <v>9512</v>
      </c>
      <c r="F612" s="1834" t="s">
        <v>664</v>
      </c>
      <c r="G612" s="1834">
        <v>5</v>
      </c>
      <c r="H612" s="1620">
        <v>6</v>
      </c>
      <c r="I612" s="702">
        <f t="shared" si="32"/>
        <v>1</v>
      </c>
      <c r="J612" s="702">
        <f t="shared" si="33"/>
        <v>1</v>
      </c>
      <c r="K612" s="703"/>
      <c r="L612" s="703"/>
      <c r="M612" s="1387"/>
      <c r="N612" s="703"/>
      <c r="O612" s="1379"/>
      <c r="P612" s="1372"/>
      <c r="Q612" s="1364"/>
      <c r="R612" s="925">
        <v>1</v>
      </c>
      <c r="S612" s="730"/>
      <c r="T612" s="1931"/>
      <c r="U612" s="732"/>
      <c r="V612" s="732"/>
      <c r="W612" s="730"/>
      <c r="X612" s="735"/>
      <c r="Y612" s="736"/>
      <c r="Z612" s="1709"/>
      <c r="AB612" s="3">
        <v>1</v>
      </c>
      <c r="AE612" s="2461"/>
      <c r="AF612" s="68"/>
    </row>
    <row r="613" spans="1:32" ht="60" x14ac:dyDescent="0.35">
      <c r="A613" s="1880">
        <v>254</v>
      </c>
      <c r="B613" s="1058">
        <v>11045</v>
      </c>
      <c r="C613" s="1979" t="s">
        <v>1655</v>
      </c>
      <c r="D613" s="2471" t="s">
        <v>5561</v>
      </c>
      <c r="E613" s="739" t="s">
        <v>9513</v>
      </c>
      <c r="F613" s="1953" t="s">
        <v>664</v>
      </c>
      <c r="G613" s="1953">
        <v>5</v>
      </c>
      <c r="H613" s="1620">
        <v>6</v>
      </c>
      <c r="I613" s="702">
        <f t="shared" si="32"/>
        <v>0.5</v>
      </c>
      <c r="J613" s="702">
        <f t="shared" si="33"/>
        <v>0.5</v>
      </c>
      <c r="K613" s="703"/>
      <c r="L613" s="703"/>
      <c r="M613" s="1387"/>
      <c r="N613" s="703"/>
      <c r="O613" s="1379"/>
      <c r="P613" s="1372"/>
      <c r="Q613" s="1364"/>
      <c r="R613" s="1357">
        <v>0.5</v>
      </c>
      <c r="S613" s="730"/>
      <c r="T613" s="1931"/>
      <c r="U613" s="732"/>
      <c r="V613" s="732"/>
      <c r="W613" s="730"/>
      <c r="X613" s="731"/>
      <c r="Y613" s="730"/>
      <c r="Z613" s="1708"/>
      <c r="AB613" s="3">
        <v>1</v>
      </c>
      <c r="AE613" s="2461"/>
      <c r="AF613" s="68"/>
    </row>
    <row r="614" spans="1:32" ht="45" x14ac:dyDescent="0.35">
      <c r="A614" s="1880">
        <v>255</v>
      </c>
      <c r="B614" s="1058">
        <v>11045</v>
      </c>
      <c r="C614" s="1979" t="s">
        <v>1655</v>
      </c>
      <c r="D614" s="2471" t="s">
        <v>5562</v>
      </c>
      <c r="E614" s="739" t="s">
        <v>9514</v>
      </c>
      <c r="F614" s="1953" t="s">
        <v>664</v>
      </c>
      <c r="G614" s="1953">
        <v>5</v>
      </c>
      <c r="H614" s="1620">
        <v>6</v>
      </c>
      <c r="I614" s="702">
        <f t="shared" si="32"/>
        <v>0.2</v>
      </c>
      <c r="J614" s="702">
        <f t="shared" si="33"/>
        <v>0.2</v>
      </c>
      <c r="K614" s="703"/>
      <c r="L614" s="703"/>
      <c r="M614" s="1387"/>
      <c r="N614" s="703"/>
      <c r="O614" s="1379"/>
      <c r="P614" s="1372"/>
      <c r="Q614" s="1364"/>
      <c r="R614" s="1357">
        <v>0.2</v>
      </c>
      <c r="S614" s="730"/>
      <c r="T614" s="1931"/>
      <c r="U614" s="732"/>
      <c r="V614" s="732"/>
      <c r="W614" s="730"/>
      <c r="X614" s="731"/>
      <c r="Y614" s="730"/>
      <c r="Z614" s="1708"/>
      <c r="AB614" s="3">
        <v>1</v>
      </c>
      <c r="AE614" s="2461"/>
      <c r="AF614" s="68"/>
    </row>
    <row r="615" spans="1:32" ht="30" x14ac:dyDescent="0.35">
      <c r="A615" s="1880">
        <v>256</v>
      </c>
      <c r="B615" s="1152">
        <v>11046</v>
      </c>
      <c r="C615" s="1152"/>
      <c r="D615" s="755" t="s">
        <v>3274</v>
      </c>
      <c r="E615" s="715" t="s">
        <v>1863</v>
      </c>
      <c r="F615" s="1834"/>
      <c r="G615" s="1953" t="s">
        <v>191</v>
      </c>
      <c r="H615" s="1620" t="s">
        <v>191</v>
      </c>
      <c r="I615" s="702">
        <f t="shared" si="32"/>
        <v>4.45</v>
      </c>
      <c r="J615" s="702">
        <f t="shared" si="33"/>
        <v>4.45</v>
      </c>
      <c r="K615" s="703"/>
      <c r="L615" s="703"/>
      <c r="M615" s="1387"/>
      <c r="N615" s="703"/>
      <c r="O615" s="1379"/>
      <c r="P615" s="1372"/>
      <c r="Q615" s="1364"/>
      <c r="R615" s="1355">
        <f>SUM(R616:R617)</f>
        <v>4.45</v>
      </c>
      <c r="S615" s="701"/>
      <c r="T615" s="1931"/>
      <c r="U615" s="705"/>
      <c r="V615" s="705"/>
      <c r="W615" s="701"/>
      <c r="X615" s="333"/>
      <c r="Y615" s="716"/>
      <c r="Z615" s="1706"/>
      <c r="AB615" s="3">
        <v>1</v>
      </c>
      <c r="AE615" s="2461"/>
      <c r="AF615" s="68"/>
    </row>
    <row r="616" spans="1:32" x14ac:dyDescent="0.35">
      <c r="A616" s="1880"/>
      <c r="B616" s="1152">
        <v>11046</v>
      </c>
      <c r="C616" s="1152"/>
      <c r="D616" s="755"/>
      <c r="E616" s="1390" t="s">
        <v>2555</v>
      </c>
      <c r="F616" s="1834" t="s">
        <v>664</v>
      </c>
      <c r="G616" s="1953">
        <v>5</v>
      </c>
      <c r="H616" s="1620">
        <v>6</v>
      </c>
      <c r="I616" s="702"/>
      <c r="J616" s="702"/>
      <c r="K616" s="703"/>
      <c r="L616" s="703"/>
      <c r="M616" s="1387"/>
      <c r="N616" s="703"/>
      <c r="O616" s="1379"/>
      <c r="P616" s="1372"/>
      <c r="Q616" s="1364"/>
      <c r="R616" s="1968">
        <v>3.7</v>
      </c>
      <c r="S616" s="701"/>
      <c r="T616" s="1931"/>
      <c r="U616" s="705"/>
      <c r="V616" s="705"/>
      <c r="W616" s="701"/>
      <c r="X616" s="333"/>
      <c r="Y616" s="716"/>
      <c r="Z616" s="1706"/>
      <c r="AE616" s="2461"/>
      <c r="AF616" s="68"/>
    </row>
    <row r="617" spans="1:32" x14ac:dyDescent="0.35">
      <c r="A617" s="1880"/>
      <c r="B617" s="1152">
        <v>11046</v>
      </c>
      <c r="C617" s="1152"/>
      <c r="D617" s="755"/>
      <c r="E617" s="1390" t="s">
        <v>1864</v>
      </c>
      <c r="F617" s="1834" t="s">
        <v>664</v>
      </c>
      <c r="G617" s="1953">
        <v>5</v>
      </c>
      <c r="H617" s="1620">
        <v>6</v>
      </c>
      <c r="I617" s="702"/>
      <c r="J617" s="702"/>
      <c r="K617" s="703"/>
      <c r="L617" s="703"/>
      <c r="M617" s="1387"/>
      <c r="N617" s="703"/>
      <c r="O617" s="1379"/>
      <c r="P617" s="1372"/>
      <c r="Q617" s="1364"/>
      <c r="R617" s="1968">
        <f>4.45-3.7</f>
        <v>0.75</v>
      </c>
      <c r="S617" s="701"/>
      <c r="T617" s="1931"/>
      <c r="U617" s="705"/>
      <c r="V617" s="705"/>
      <c r="W617" s="701"/>
      <c r="X617" s="333"/>
      <c r="Y617" s="716"/>
      <c r="Z617" s="1706"/>
      <c r="AE617" s="2461"/>
      <c r="AF617" s="68"/>
    </row>
    <row r="618" spans="1:32" ht="30" x14ac:dyDescent="0.35">
      <c r="A618" s="1880">
        <v>257</v>
      </c>
      <c r="B618" s="1152">
        <v>11047</v>
      </c>
      <c r="C618" s="1152"/>
      <c r="D618" s="755" t="s">
        <v>42</v>
      </c>
      <c r="E618" s="715" t="s">
        <v>1632</v>
      </c>
      <c r="F618" s="1834" t="s">
        <v>664</v>
      </c>
      <c r="G618" s="1953">
        <v>5</v>
      </c>
      <c r="H618" s="1620">
        <v>6</v>
      </c>
      <c r="I618" s="702">
        <f>J618+K618+L618</f>
        <v>1.2</v>
      </c>
      <c r="J618" s="702">
        <f>SUM(M618:R618)</f>
        <v>1.2</v>
      </c>
      <c r="K618" s="703"/>
      <c r="L618" s="703"/>
      <c r="M618" s="1387"/>
      <c r="N618" s="703"/>
      <c r="O618" s="1379"/>
      <c r="P618" s="1372"/>
      <c r="Q618" s="1364"/>
      <c r="R618" s="1355">
        <v>1.2</v>
      </c>
      <c r="S618" s="701"/>
      <c r="T618" s="1931"/>
      <c r="U618" s="705"/>
      <c r="V618" s="705"/>
      <c r="W618" s="701"/>
      <c r="X618" s="333"/>
      <c r="Y618" s="716"/>
      <c r="Z618" s="1706"/>
      <c r="AB618" s="3">
        <v>1</v>
      </c>
      <c r="AE618" s="2461"/>
      <c r="AF618" s="68"/>
    </row>
    <row r="619" spans="1:32" ht="30" x14ac:dyDescent="0.35">
      <c r="A619" s="1880">
        <v>258</v>
      </c>
      <c r="B619" s="1152">
        <v>11048</v>
      </c>
      <c r="C619" s="1152"/>
      <c r="D619" s="755" t="s">
        <v>43</v>
      </c>
      <c r="E619" s="715" t="s">
        <v>1633</v>
      </c>
      <c r="F619" s="1834"/>
      <c r="G619" s="1953" t="s">
        <v>191</v>
      </c>
      <c r="H619" s="1834" t="s">
        <v>191</v>
      </c>
      <c r="I619" s="702">
        <f>J619+K619+L619</f>
        <v>4.8</v>
      </c>
      <c r="J619" s="702">
        <f>SUM(M619:R619)</f>
        <v>4.8</v>
      </c>
      <c r="K619" s="703"/>
      <c r="L619" s="703"/>
      <c r="M619" s="1387"/>
      <c r="N619" s="703"/>
      <c r="O619" s="1379"/>
      <c r="P619" s="1372"/>
      <c r="Q619" s="1365">
        <f>SUM(Q620:Q621)</f>
        <v>4.8</v>
      </c>
      <c r="R619" s="1355"/>
      <c r="S619" s="701"/>
      <c r="T619" s="1931"/>
      <c r="U619" s="705"/>
      <c r="V619" s="705"/>
      <c r="W619" s="716">
        <f>4+1</f>
        <v>5</v>
      </c>
      <c r="X619" s="333">
        <f>55.2+10.1</f>
        <v>65.3</v>
      </c>
      <c r="Y619" s="716">
        <v>1</v>
      </c>
      <c r="Z619" s="1706">
        <v>10.1</v>
      </c>
      <c r="AB619" s="3">
        <v>1</v>
      </c>
      <c r="AE619" s="2461"/>
      <c r="AF619" s="68"/>
    </row>
    <row r="620" spans="1:32" x14ac:dyDescent="0.35">
      <c r="A620" s="1880"/>
      <c r="B620" s="1152">
        <v>11048</v>
      </c>
      <c r="C620" s="1152"/>
      <c r="D620" s="755"/>
      <c r="E620" s="1394" t="s">
        <v>1634</v>
      </c>
      <c r="F620" s="1834">
        <v>5</v>
      </c>
      <c r="G620" s="1953">
        <v>5</v>
      </c>
      <c r="H620" s="1834">
        <v>6</v>
      </c>
      <c r="I620" s="702"/>
      <c r="J620" s="702"/>
      <c r="K620" s="703"/>
      <c r="L620" s="703"/>
      <c r="M620" s="1387"/>
      <c r="N620" s="703"/>
      <c r="O620" s="1379"/>
      <c r="P620" s="1372"/>
      <c r="Q620" s="1967">
        <v>4.3</v>
      </c>
      <c r="R620" s="1355"/>
      <c r="S620" s="701"/>
      <c r="T620" s="1931"/>
      <c r="U620" s="705"/>
      <c r="V620" s="705"/>
      <c r="W620" s="716"/>
      <c r="X620" s="333"/>
      <c r="Y620" s="716"/>
      <c r="Z620" s="1706"/>
      <c r="AA620" s="3" t="s">
        <v>329</v>
      </c>
      <c r="AE620" s="2461"/>
      <c r="AF620" s="68"/>
    </row>
    <row r="621" spans="1:32" x14ac:dyDescent="0.35">
      <c r="A621" s="1880"/>
      <c r="B621" s="1152">
        <v>11048</v>
      </c>
      <c r="C621" s="1152"/>
      <c r="D621" s="755"/>
      <c r="E621" s="1394" t="s">
        <v>1710</v>
      </c>
      <c r="F621" s="1834" t="s">
        <v>827</v>
      </c>
      <c r="G621" s="1953">
        <v>5</v>
      </c>
      <c r="H621" s="1834">
        <v>6</v>
      </c>
      <c r="I621" s="702"/>
      <c r="J621" s="702"/>
      <c r="K621" s="703"/>
      <c r="L621" s="703"/>
      <c r="M621" s="1387"/>
      <c r="N621" s="703"/>
      <c r="O621" s="1379"/>
      <c r="P621" s="1372"/>
      <c r="Q621" s="1967">
        <f>4.8-4.3</f>
        <v>0.5</v>
      </c>
      <c r="R621" s="1355"/>
      <c r="S621" s="701"/>
      <c r="T621" s="1931"/>
      <c r="U621" s="705"/>
      <c r="V621" s="705"/>
      <c r="W621" s="716"/>
      <c r="X621" s="333"/>
      <c r="Y621" s="716"/>
      <c r="Z621" s="1706"/>
      <c r="AE621" s="2461"/>
      <c r="AF621" s="68"/>
    </row>
    <row r="622" spans="1:32" ht="45" x14ac:dyDescent="0.35">
      <c r="A622" s="1880">
        <v>259</v>
      </c>
      <c r="B622" s="1060">
        <v>11048</v>
      </c>
      <c r="C622" s="2083" t="s">
        <v>1656</v>
      </c>
      <c r="D622" s="2471" t="s">
        <v>5563</v>
      </c>
      <c r="E622" s="739" t="s">
        <v>8757</v>
      </c>
      <c r="F622" s="1953" t="s">
        <v>664</v>
      </c>
      <c r="G622" s="1953">
        <v>5</v>
      </c>
      <c r="H622" s="1620">
        <v>6</v>
      </c>
      <c r="I622" s="702">
        <f>J622+K622+L622</f>
        <v>0.2</v>
      </c>
      <c r="J622" s="702">
        <f>SUM(M622:R622)</f>
        <v>0.2</v>
      </c>
      <c r="K622" s="703"/>
      <c r="L622" s="703"/>
      <c r="M622" s="1387"/>
      <c r="N622" s="703"/>
      <c r="O622" s="1379"/>
      <c r="P622" s="1372"/>
      <c r="Q622" s="1364"/>
      <c r="R622" s="929">
        <v>0.2</v>
      </c>
      <c r="S622" s="730"/>
      <c r="T622" s="1931"/>
      <c r="U622" s="732"/>
      <c r="V622" s="732"/>
      <c r="W622" s="730"/>
      <c r="X622" s="731"/>
      <c r="Y622" s="730"/>
      <c r="Z622" s="1708"/>
      <c r="AB622" s="3">
        <v>1</v>
      </c>
      <c r="AE622" s="2461"/>
      <c r="AF622" s="68"/>
    </row>
    <row r="623" spans="1:32" ht="45" x14ac:dyDescent="0.35">
      <c r="A623" s="2218">
        <v>260</v>
      </c>
      <c r="B623" s="2219">
        <v>11048</v>
      </c>
      <c r="C623" s="2083" t="s">
        <v>1656</v>
      </c>
      <c r="D623" s="2471" t="s">
        <v>5564</v>
      </c>
      <c r="E623" s="2113" t="s">
        <v>8758</v>
      </c>
      <c r="F623" s="2210" t="s">
        <v>664</v>
      </c>
      <c r="G623" s="2210">
        <v>5</v>
      </c>
      <c r="H623" s="1620">
        <v>6</v>
      </c>
      <c r="I623" s="580">
        <f>J623+K623+L623</f>
        <v>0.15</v>
      </c>
      <c r="J623" s="2216">
        <f>SUM(M623:R623)</f>
        <v>0.15</v>
      </c>
      <c r="K623" s="527"/>
      <c r="L623" s="527"/>
      <c r="M623" s="527"/>
      <c r="N623" s="580"/>
      <c r="O623" s="2215"/>
      <c r="P623" s="527"/>
      <c r="Q623" s="913"/>
      <c r="R623" s="906">
        <v>0.15</v>
      </c>
      <c r="S623" s="92"/>
      <c r="T623" s="1931"/>
      <c r="U623" s="92"/>
      <c r="V623" s="92"/>
      <c r="W623" s="92"/>
      <c r="X623" s="92"/>
      <c r="Y623" s="92"/>
      <c r="Z623" s="70"/>
      <c r="AB623" s="3">
        <v>1</v>
      </c>
      <c r="AE623" s="2461"/>
      <c r="AF623" s="68"/>
    </row>
    <row r="624" spans="1:32" ht="30" x14ac:dyDescent="0.35">
      <c r="A624" s="1880">
        <v>261</v>
      </c>
      <c r="B624" s="1152">
        <v>11049</v>
      </c>
      <c r="C624" s="1152"/>
      <c r="D624" s="755" t="s">
        <v>2911</v>
      </c>
      <c r="E624" s="715" t="s">
        <v>3154</v>
      </c>
      <c r="F624" s="1834"/>
      <c r="G624" s="1953" t="s">
        <v>191</v>
      </c>
      <c r="H624" s="1943" t="s">
        <v>191</v>
      </c>
      <c r="I624" s="702">
        <f>J624+K624+L624</f>
        <v>15.2</v>
      </c>
      <c r="J624" s="702">
        <f>SUM(M624:R624)</f>
        <v>15.2</v>
      </c>
      <c r="K624" s="703"/>
      <c r="L624" s="703"/>
      <c r="M624" s="1387"/>
      <c r="N624" s="717">
        <f>SUM(N625:N629)</f>
        <v>2.7199999999999998</v>
      </c>
      <c r="O624" s="1379"/>
      <c r="P624" s="1372"/>
      <c r="Q624" s="1365">
        <f>SUM(Q625:Q629)</f>
        <v>6.5759999999999996</v>
      </c>
      <c r="R624" s="1355">
        <f>SUM(R625:R629)</f>
        <v>5.9039999999999999</v>
      </c>
      <c r="S624" s="701"/>
      <c r="T624" s="1931"/>
      <c r="U624" s="705"/>
      <c r="V624" s="705"/>
      <c r="W624" s="716">
        <v>14</v>
      </c>
      <c r="X624" s="333">
        <v>168.7</v>
      </c>
      <c r="Y624" s="716">
        <v>5</v>
      </c>
      <c r="Z624" s="1706">
        <v>57.5</v>
      </c>
      <c r="AA624" s="3" t="s">
        <v>3369</v>
      </c>
      <c r="AB624" s="3">
        <v>1</v>
      </c>
      <c r="AE624" s="2461"/>
      <c r="AF624" s="68"/>
    </row>
    <row r="625" spans="1:32" x14ac:dyDescent="0.35">
      <c r="A625" s="1886"/>
      <c r="B625" s="1152">
        <v>11049</v>
      </c>
      <c r="C625" s="1152"/>
      <c r="D625" s="754"/>
      <c r="E625" s="711" t="s">
        <v>11294</v>
      </c>
      <c r="F625" s="1834">
        <v>4</v>
      </c>
      <c r="G625" s="179">
        <v>5</v>
      </c>
      <c r="H625" s="1834">
        <v>6</v>
      </c>
      <c r="I625" s="708"/>
      <c r="J625" s="708"/>
      <c r="K625" s="709"/>
      <c r="L625" s="709"/>
      <c r="M625" s="1388"/>
      <c r="N625" s="721">
        <v>0.63100000000000001</v>
      </c>
      <c r="O625" s="1378"/>
      <c r="P625" s="1371"/>
      <c r="Q625" s="1366"/>
      <c r="R625" s="1353"/>
      <c r="S625" s="720"/>
      <c r="T625" s="1931"/>
      <c r="U625" s="728"/>
      <c r="V625" s="728"/>
      <c r="W625" s="720"/>
      <c r="X625" s="332"/>
      <c r="Y625" s="725"/>
      <c r="Z625" s="2664"/>
      <c r="AA625" s="3" t="s">
        <v>3369</v>
      </c>
      <c r="AE625" s="2461"/>
      <c r="AF625" s="68"/>
    </row>
    <row r="626" spans="1:32" x14ac:dyDescent="0.35">
      <c r="A626" s="1886"/>
      <c r="B626" s="1152">
        <v>11049</v>
      </c>
      <c r="C626" s="1152"/>
      <c r="D626" s="754"/>
      <c r="E626" s="1394" t="s">
        <v>11295</v>
      </c>
      <c r="F626" s="1834">
        <v>4</v>
      </c>
      <c r="G626" s="179">
        <v>5</v>
      </c>
      <c r="H626" s="1834">
        <v>6</v>
      </c>
      <c r="I626" s="708"/>
      <c r="J626" s="708"/>
      <c r="K626" s="709"/>
      <c r="L626" s="709"/>
      <c r="M626" s="1388"/>
      <c r="N626" s="721"/>
      <c r="O626" s="1378"/>
      <c r="P626" s="1371"/>
      <c r="Q626" s="1366">
        <f>7.207-0.631</f>
        <v>6.5759999999999996</v>
      </c>
      <c r="R626" s="1353"/>
      <c r="S626" s="720"/>
      <c r="T626" s="1931"/>
      <c r="U626" s="728"/>
      <c r="V626" s="728"/>
      <c r="W626" s="720"/>
      <c r="X626" s="332"/>
      <c r="Y626" s="725"/>
      <c r="Z626" s="2664"/>
      <c r="AA626" s="3" t="s">
        <v>3369</v>
      </c>
      <c r="AE626" s="2461"/>
      <c r="AF626" s="68"/>
    </row>
    <row r="627" spans="1:32" x14ac:dyDescent="0.35">
      <c r="A627" s="1886"/>
      <c r="B627" s="1152">
        <v>11049</v>
      </c>
      <c r="C627" s="1152"/>
      <c r="D627" s="754"/>
      <c r="E627" s="711" t="s">
        <v>3155</v>
      </c>
      <c r="F627" s="1834">
        <v>4</v>
      </c>
      <c r="G627" s="179">
        <v>5</v>
      </c>
      <c r="H627" s="179">
        <v>6</v>
      </c>
      <c r="I627" s="708"/>
      <c r="J627" s="708"/>
      <c r="K627" s="709"/>
      <c r="L627" s="709"/>
      <c r="M627" s="1388"/>
      <c r="N627" s="712">
        <v>1.099</v>
      </c>
      <c r="O627" s="1378"/>
      <c r="P627" s="1371"/>
      <c r="Q627" s="1363"/>
      <c r="R627" s="1353"/>
      <c r="S627" s="720"/>
      <c r="T627" s="1931"/>
      <c r="U627" s="728"/>
      <c r="V627" s="728"/>
      <c r="W627" s="720"/>
      <c r="X627" s="332"/>
      <c r="Y627" s="725"/>
      <c r="Z627" s="2664"/>
      <c r="AA627" s="3" t="s">
        <v>3369</v>
      </c>
      <c r="AE627" s="2461"/>
      <c r="AF627" s="68"/>
    </row>
    <row r="628" spans="1:32" x14ac:dyDescent="0.35">
      <c r="A628" s="1886"/>
      <c r="B628" s="1152">
        <v>11049</v>
      </c>
      <c r="C628" s="1152"/>
      <c r="D628" s="754"/>
      <c r="E628" s="1390" t="s">
        <v>3156</v>
      </c>
      <c r="F628" s="1834" t="s">
        <v>664</v>
      </c>
      <c r="G628" s="179">
        <v>5</v>
      </c>
      <c r="H628" s="1620">
        <v>6</v>
      </c>
      <c r="I628" s="708"/>
      <c r="J628" s="708"/>
      <c r="K628" s="709"/>
      <c r="L628" s="709"/>
      <c r="M628" s="1388"/>
      <c r="N628" s="709"/>
      <c r="O628" s="1378"/>
      <c r="P628" s="1371"/>
      <c r="Q628" s="1363"/>
      <c r="R628" s="1356">
        <v>5.9039999999999999</v>
      </c>
      <c r="S628" s="720"/>
      <c r="T628" s="1931"/>
      <c r="U628" s="728"/>
      <c r="V628" s="728"/>
      <c r="W628" s="720"/>
      <c r="X628" s="332"/>
      <c r="Y628" s="725"/>
      <c r="Z628" s="2664"/>
      <c r="AE628" s="2461"/>
      <c r="AF628" s="68"/>
    </row>
    <row r="629" spans="1:32" x14ac:dyDescent="0.35">
      <c r="A629" s="1878"/>
      <c r="B629" s="1152">
        <v>11049</v>
      </c>
      <c r="C629" s="1152"/>
      <c r="D629" s="754"/>
      <c r="E629" s="711" t="s">
        <v>3157</v>
      </c>
      <c r="F629" s="1953">
        <v>4</v>
      </c>
      <c r="G629" s="179">
        <v>5</v>
      </c>
      <c r="H629" s="179">
        <v>6</v>
      </c>
      <c r="I629" s="712"/>
      <c r="J629" s="708"/>
      <c r="K629" s="709"/>
      <c r="L629" s="709"/>
      <c r="M629" s="1388"/>
      <c r="N629" s="712">
        <v>0.99</v>
      </c>
      <c r="O629" s="1378"/>
      <c r="P629" s="1371"/>
      <c r="Q629" s="1363"/>
      <c r="R629" s="1353"/>
      <c r="S629" s="720"/>
      <c r="T629" s="1931"/>
      <c r="U629" s="728"/>
      <c r="V629" s="728"/>
      <c r="W629" s="720"/>
      <c r="X629" s="2519"/>
      <c r="Y629" s="720"/>
      <c r="Z629" s="2673"/>
      <c r="AE629" s="2461"/>
      <c r="AF629" s="68"/>
    </row>
    <row r="630" spans="1:32" ht="45" x14ac:dyDescent="0.35">
      <c r="A630" s="1880">
        <v>262</v>
      </c>
      <c r="B630" s="1059">
        <v>11049</v>
      </c>
      <c r="C630" s="1059"/>
      <c r="D630" s="2471" t="s">
        <v>5565</v>
      </c>
      <c r="E630" s="733" t="s">
        <v>7859</v>
      </c>
      <c r="F630" s="1834"/>
      <c r="G630" s="1834" t="s">
        <v>191</v>
      </c>
      <c r="H630" s="1943" t="s">
        <v>191</v>
      </c>
      <c r="I630" s="702">
        <f>J630+K630+L630</f>
        <v>1.5</v>
      </c>
      <c r="J630" s="702">
        <f>SUM(M630:R630)</f>
        <v>1.5</v>
      </c>
      <c r="K630" s="703"/>
      <c r="L630" s="703"/>
      <c r="M630" s="1387"/>
      <c r="N630" s="703"/>
      <c r="O630" s="1379"/>
      <c r="P630" s="1372"/>
      <c r="Q630" s="1365">
        <f>SUM(Q631:Q632)</f>
        <v>1.26</v>
      </c>
      <c r="R630" s="1355">
        <f>SUM(R631:R632)</f>
        <v>0.24</v>
      </c>
      <c r="S630" s="701"/>
      <c r="T630" s="1931"/>
      <c r="U630" s="705"/>
      <c r="V630" s="705"/>
      <c r="W630" s="716">
        <v>2</v>
      </c>
      <c r="X630" s="333">
        <v>20.2</v>
      </c>
      <c r="Y630" s="716"/>
      <c r="Z630" s="1706"/>
      <c r="AB630" s="3">
        <v>1</v>
      </c>
      <c r="AE630" s="2461"/>
      <c r="AF630" s="68"/>
    </row>
    <row r="631" spans="1:32" ht="18" x14ac:dyDescent="0.4">
      <c r="A631" s="1886"/>
      <c r="B631" s="1059">
        <v>11049</v>
      </c>
      <c r="C631" s="1059"/>
      <c r="D631" s="758"/>
      <c r="E631" s="1395" t="s">
        <v>2640</v>
      </c>
      <c r="F631" s="1834">
        <v>5</v>
      </c>
      <c r="G631" s="1620">
        <v>5</v>
      </c>
      <c r="H631" s="1834">
        <v>6</v>
      </c>
      <c r="I631" s="708"/>
      <c r="J631" s="708"/>
      <c r="K631" s="709"/>
      <c r="L631" s="709"/>
      <c r="M631" s="1388"/>
      <c r="N631" s="709"/>
      <c r="O631" s="1378"/>
      <c r="P631" s="1371"/>
      <c r="Q631" s="1366">
        <v>1.26</v>
      </c>
      <c r="R631" s="1353"/>
      <c r="S631" s="1879"/>
      <c r="T631" s="1931"/>
      <c r="U631" s="1877"/>
      <c r="V631" s="1877"/>
      <c r="W631" s="1879"/>
      <c r="X631" s="1911"/>
      <c r="Y631" s="1912"/>
      <c r="Z631" s="1913"/>
      <c r="AE631" s="2461"/>
      <c r="AF631" s="68"/>
    </row>
    <row r="632" spans="1:32" ht="18" x14ac:dyDescent="0.4">
      <c r="A632" s="1878"/>
      <c r="B632" s="1059">
        <v>11049</v>
      </c>
      <c r="C632" s="1059"/>
      <c r="D632" s="754"/>
      <c r="E632" s="1390" t="s">
        <v>1837</v>
      </c>
      <c r="F632" s="1953" t="s">
        <v>664</v>
      </c>
      <c r="G632" s="1620">
        <v>5</v>
      </c>
      <c r="H632" s="1620">
        <v>6</v>
      </c>
      <c r="I632" s="712"/>
      <c r="J632" s="712"/>
      <c r="K632" s="709"/>
      <c r="L632" s="709"/>
      <c r="M632" s="1388"/>
      <c r="N632" s="709"/>
      <c r="O632" s="1378"/>
      <c r="P632" s="1371"/>
      <c r="Q632" s="1363"/>
      <c r="R632" s="1356">
        <v>0.24</v>
      </c>
      <c r="S632" s="1887"/>
      <c r="T632" s="1931"/>
      <c r="U632" s="1888"/>
      <c r="V632" s="1888"/>
      <c r="W632" s="1887"/>
      <c r="X632" s="2662"/>
      <c r="Y632" s="1887"/>
      <c r="Z632" s="2663"/>
      <c r="AE632" s="2461"/>
      <c r="AF632" s="68"/>
    </row>
    <row r="633" spans="1:32" ht="75" x14ac:dyDescent="0.35">
      <c r="A633" s="1896">
        <v>263</v>
      </c>
      <c r="B633" s="1060">
        <v>11049</v>
      </c>
      <c r="C633" s="1979" t="s">
        <v>1655</v>
      </c>
      <c r="D633" s="2471" t="s">
        <v>5566</v>
      </c>
      <c r="E633" s="739" t="s">
        <v>7860</v>
      </c>
      <c r="F633" s="1953" t="s">
        <v>664</v>
      </c>
      <c r="G633" s="1953">
        <v>5</v>
      </c>
      <c r="H633" s="1620">
        <v>6</v>
      </c>
      <c r="I633" s="702">
        <f t="shared" ref="I633:I638" si="34">J633+K633+L633</f>
        <v>0.4</v>
      </c>
      <c r="J633" s="702">
        <f t="shared" ref="J633:J638" si="35">SUM(M633:R633)</f>
        <v>0.4</v>
      </c>
      <c r="K633" s="703"/>
      <c r="L633" s="703"/>
      <c r="M633" s="1387"/>
      <c r="N633" s="703"/>
      <c r="O633" s="1379"/>
      <c r="P633" s="1372"/>
      <c r="Q633" s="1364"/>
      <c r="R633" s="1357">
        <v>0.4</v>
      </c>
      <c r="S633" s="730"/>
      <c r="T633" s="1931"/>
      <c r="U633" s="732"/>
      <c r="V633" s="732"/>
      <c r="W633" s="730"/>
      <c r="X633" s="731"/>
      <c r="Y633" s="730"/>
      <c r="Z633" s="1708"/>
      <c r="AB633" s="3">
        <v>1</v>
      </c>
      <c r="AE633" s="2461"/>
      <c r="AF633" s="68"/>
    </row>
    <row r="634" spans="1:32" ht="45" x14ac:dyDescent="0.35">
      <c r="A634" s="1896">
        <v>264</v>
      </c>
      <c r="B634" s="1060">
        <v>11049</v>
      </c>
      <c r="C634" s="2083" t="s">
        <v>1656</v>
      </c>
      <c r="D634" s="2471" t="s">
        <v>5567</v>
      </c>
      <c r="E634" s="739" t="s">
        <v>8759</v>
      </c>
      <c r="F634" s="1953" t="s">
        <v>664</v>
      </c>
      <c r="G634" s="1953">
        <v>5</v>
      </c>
      <c r="H634" s="1620">
        <v>6</v>
      </c>
      <c r="I634" s="702">
        <f t="shared" si="34"/>
        <v>0.1</v>
      </c>
      <c r="J634" s="702">
        <f t="shared" si="35"/>
        <v>0.1</v>
      </c>
      <c r="K634" s="703"/>
      <c r="L634" s="703"/>
      <c r="M634" s="1387"/>
      <c r="N634" s="703"/>
      <c r="O634" s="1379"/>
      <c r="P634" s="1372"/>
      <c r="Q634" s="1364"/>
      <c r="R634" s="929">
        <v>0.1</v>
      </c>
      <c r="S634" s="730"/>
      <c r="T634" s="1931"/>
      <c r="U634" s="732"/>
      <c r="V634" s="732"/>
      <c r="W634" s="730"/>
      <c r="X634" s="731"/>
      <c r="Y634" s="730"/>
      <c r="Z634" s="1708"/>
      <c r="AB634" s="3">
        <v>1</v>
      </c>
      <c r="AE634" s="2461"/>
      <c r="AF634" s="68"/>
    </row>
    <row r="635" spans="1:32" ht="60" x14ac:dyDescent="0.35">
      <c r="A635" s="1896">
        <v>265</v>
      </c>
      <c r="B635" s="1060">
        <v>11049</v>
      </c>
      <c r="C635" s="2083" t="s">
        <v>1656</v>
      </c>
      <c r="D635" s="2471" t="s">
        <v>10721</v>
      </c>
      <c r="E635" s="739" t="s">
        <v>10722</v>
      </c>
      <c r="F635" s="1953" t="s">
        <v>664</v>
      </c>
      <c r="G635" s="1953">
        <v>5</v>
      </c>
      <c r="H635" s="1620">
        <v>6</v>
      </c>
      <c r="I635" s="702">
        <f t="shared" si="34"/>
        <v>0.4</v>
      </c>
      <c r="J635" s="702">
        <f t="shared" si="35"/>
        <v>0.4</v>
      </c>
      <c r="K635" s="703"/>
      <c r="L635" s="703"/>
      <c r="M635" s="1387"/>
      <c r="N635" s="703"/>
      <c r="O635" s="1379"/>
      <c r="P635" s="1372"/>
      <c r="Q635" s="1364"/>
      <c r="R635" s="929">
        <v>0.4</v>
      </c>
      <c r="S635" s="730"/>
      <c r="T635" s="1931"/>
      <c r="U635" s="732"/>
      <c r="V635" s="732"/>
      <c r="W635" s="730"/>
      <c r="X635" s="731"/>
      <c r="Y635" s="730"/>
      <c r="Z635" s="1708"/>
      <c r="AB635" s="3">
        <v>1</v>
      </c>
      <c r="AE635" s="2461"/>
      <c r="AF635" s="68"/>
    </row>
    <row r="636" spans="1:32" ht="45" x14ac:dyDescent="0.35">
      <c r="A636" s="1896">
        <v>266</v>
      </c>
      <c r="B636" s="1059">
        <v>11049</v>
      </c>
      <c r="C636" s="1059"/>
      <c r="D636" s="2471" t="s">
        <v>5568</v>
      </c>
      <c r="E636" s="733" t="s">
        <v>7861</v>
      </c>
      <c r="F636" s="1834" t="s">
        <v>664</v>
      </c>
      <c r="G636" s="1834">
        <v>5</v>
      </c>
      <c r="H636" s="1620">
        <v>6</v>
      </c>
      <c r="I636" s="702">
        <f t="shared" si="34"/>
        <v>1.34</v>
      </c>
      <c r="J636" s="702">
        <f t="shared" si="35"/>
        <v>1.34</v>
      </c>
      <c r="K636" s="703"/>
      <c r="L636" s="703"/>
      <c r="M636" s="1387"/>
      <c r="N636" s="703"/>
      <c r="O636" s="1379"/>
      <c r="P636" s="1372"/>
      <c r="Q636" s="1364"/>
      <c r="R636" s="1355">
        <v>1.34</v>
      </c>
      <c r="S636" s="701"/>
      <c r="T636" s="1931"/>
      <c r="U636" s="705"/>
      <c r="V636" s="705"/>
      <c r="W636" s="716">
        <v>2</v>
      </c>
      <c r="X636" s="333">
        <v>25.2</v>
      </c>
      <c r="Y636" s="716"/>
      <c r="Z636" s="1706"/>
      <c r="AB636" s="3">
        <v>1</v>
      </c>
      <c r="AE636" s="2461"/>
      <c r="AF636" s="68"/>
    </row>
    <row r="637" spans="1:32" ht="60" x14ac:dyDescent="0.35">
      <c r="A637" s="1896">
        <v>267</v>
      </c>
      <c r="B637" s="1058">
        <v>11049</v>
      </c>
      <c r="C637" s="2083" t="s">
        <v>1656</v>
      </c>
      <c r="D637" s="2471" t="s">
        <v>5569</v>
      </c>
      <c r="E637" s="739" t="s">
        <v>8760</v>
      </c>
      <c r="F637" s="1953" t="s">
        <v>664</v>
      </c>
      <c r="G637" s="1953">
        <v>5</v>
      </c>
      <c r="H637" s="1620">
        <v>6</v>
      </c>
      <c r="I637" s="702">
        <f t="shared" si="34"/>
        <v>0.85</v>
      </c>
      <c r="J637" s="702">
        <f t="shared" si="35"/>
        <v>0.85</v>
      </c>
      <c r="K637" s="703"/>
      <c r="L637" s="703"/>
      <c r="M637" s="1387"/>
      <c r="N637" s="703"/>
      <c r="O637" s="1379"/>
      <c r="P637" s="1372"/>
      <c r="Q637" s="1364"/>
      <c r="R637" s="929">
        <v>0.85</v>
      </c>
      <c r="S637" s="730"/>
      <c r="T637" s="1931"/>
      <c r="U637" s="732"/>
      <c r="V637" s="732"/>
      <c r="W637" s="730"/>
      <c r="X637" s="731"/>
      <c r="Y637" s="730"/>
      <c r="Z637" s="1708"/>
      <c r="AB637" s="3">
        <v>1</v>
      </c>
      <c r="AE637" s="2461"/>
      <c r="AF637" s="68"/>
    </row>
    <row r="638" spans="1:32" ht="45" x14ac:dyDescent="0.35">
      <c r="A638" s="1896">
        <v>268</v>
      </c>
      <c r="B638" s="1059">
        <v>11049</v>
      </c>
      <c r="C638" s="1059"/>
      <c r="D638" s="2471" t="s">
        <v>5570</v>
      </c>
      <c r="E638" s="733" t="s">
        <v>7862</v>
      </c>
      <c r="F638" s="1834"/>
      <c r="G638" s="1834" t="s">
        <v>191</v>
      </c>
      <c r="H638" s="1620" t="s">
        <v>191</v>
      </c>
      <c r="I638" s="702">
        <f t="shared" si="34"/>
        <v>1.7</v>
      </c>
      <c r="J638" s="702">
        <f t="shared" si="35"/>
        <v>1.7</v>
      </c>
      <c r="K638" s="703"/>
      <c r="L638" s="703"/>
      <c r="M638" s="1387"/>
      <c r="N638" s="703"/>
      <c r="O638" s="1379"/>
      <c r="P638" s="1372"/>
      <c r="Q638" s="1364"/>
      <c r="R638" s="1355">
        <f>SUM(R639:R640)</f>
        <v>1.7</v>
      </c>
      <c r="S638" s="701"/>
      <c r="T638" s="1931"/>
      <c r="U638" s="705"/>
      <c r="V638" s="705"/>
      <c r="W638" s="716">
        <v>3</v>
      </c>
      <c r="X638" s="333">
        <v>33.200000000000003</v>
      </c>
      <c r="Y638" s="716"/>
      <c r="Z638" s="1706"/>
      <c r="AB638" s="3">
        <v>1</v>
      </c>
      <c r="AE638" s="2461"/>
      <c r="AF638" s="68"/>
    </row>
    <row r="639" spans="1:32" x14ac:dyDescent="0.35">
      <c r="A639" s="1896"/>
      <c r="B639" s="1059"/>
      <c r="C639" s="1059"/>
      <c r="D639" s="757"/>
      <c r="E639" s="1390" t="s">
        <v>3428</v>
      </c>
      <c r="F639" s="1834" t="s">
        <v>1490</v>
      </c>
      <c r="G639" s="1834">
        <v>5</v>
      </c>
      <c r="H639" s="1620">
        <v>6</v>
      </c>
      <c r="I639" s="702"/>
      <c r="J639" s="702"/>
      <c r="K639" s="703"/>
      <c r="L639" s="703"/>
      <c r="M639" s="1387"/>
      <c r="N639" s="703"/>
      <c r="O639" s="1379"/>
      <c r="P639" s="1372"/>
      <c r="Q639" s="1364"/>
      <c r="R639" s="1968">
        <v>1.2</v>
      </c>
      <c r="S639" s="701"/>
      <c r="T639" s="1931"/>
      <c r="U639" s="705"/>
      <c r="V639" s="705"/>
      <c r="W639" s="716"/>
      <c r="X639" s="333"/>
      <c r="Y639" s="716"/>
      <c r="Z639" s="1706"/>
      <c r="AC639" s="3" t="s">
        <v>2570</v>
      </c>
      <c r="AE639" s="2461"/>
      <c r="AF639" s="68"/>
    </row>
    <row r="640" spans="1:32" x14ac:dyDescent="0.35">
      <c r="A640" s="1896"/>
      <c r="B640" s="1059"/>
      <c r="C640" s="1059"/>
      <c r="D640" s="757"/>
      <c r="E640" s="1390" t="s">
        <v>3396</v>
      </c>
      <c r="F640" s="1834" t="s">
        <v>664</v>
      </c>
      <c r="G640" s="1834">
        <v>5</v>
      </c>
      <c r="H640" s="1620">
        <v>6</v>
      </c>
      <c r="I640" s="702"/>
      <c r="J640" s="702"/>
      <c r="K640" s="703"/>
      <c r="L640" s="703"/>
      <c r="M640" s="1387"/>
      <c r="N640" s="703"/>
      <c r="O640" s="1379"/>
      <c r="P640" s="1372"/>
      <c r="Q640" s="1364"/>
      <c r="R640" s="1968">
        <v>0.5</v>
      </c>
      <c r="S640" s="701"/>
      <c r="T640" s="1931"/>
      <c r="U640" s="705"/>
      <c r="V640" s="705"/>
      <c r="W640" s="716"/>
      <c r="X640" s="333"/>
      <c r="Y640" s="716"/>
      <c r="Z640" s="1706"/>
      <c r="AE640" s="2461"/>
      <c r="AF640" s="68"/>
    </row>
    <row r="641" spans="1:32" ht="45" x14ac:dyDescent="0.35">
      <c r="A641" s="1896">
        <v>269</v>
      </c>
      <c r="B641" s="1059">
        <v>11049</v>
      </c>
      <c r="C641" s="1059"/>
      <c r="D641" s="2471" t="s">
        <v>5571</v>
      </c>
      <c r="E641" s="733" t="s">
        <v>7863</v>
      </c>
      <c r="F641" s="1834"/>
      <c r="G641" s="1834" t="s">
        <v>191</v>
      </c>
      <c r="H641" s="1943" t="s">
        <v>191</v>
      </c>
      <c r="I641" s="702">
        <f>J641+K641+L641</f>
        <v>0.64</v>
      </c>
      <c r="J641" s="702">
        <f>SUM(M641:R641)</f>
        <v>0.64</v>
      </c>
      <c r="K641" s="703"/>
      <c r="L641" s="703"/>
      <c r="M641" s="1387"/>
      <c r="N641" s="717">
        <f>SUM(N642:N643)</f>
        <v>0.33600000000000002</v>
      </c>
      <c r="O641" s="1379"/>
      <c r="P641" s="1372"/>
      <c r="Q641" s="1364"/>
      <c r="R641" s="1355">
        <f>SUM(R642:R643)</f>
        <v>0.30399999999999999</v>
      </c>
      <c r="S641" s="701"/>
      <c r="T641" s="1931"/>
      <c r="U641" s="705"/>
      <c r="V641" s="705"/>
      <c r="W641" s="701"/>
      <c r="X641" s="333"/>
      <c r="Y641" s="716"/>
      <c r="Z641" s="1706"/>
      <c r="AB641" s="3">
        <v>1</v>
      </c>
      <c r="AE641" s="2461"/>
      <c r="AF641" s="68"/>
    </row>
    <row r="642" spans="1:32" x14ac:dyDescent="0.35">
      <c r="A642" s="1886"/>
      <c r="B642" s="1059">
        <v>11049</v>
      </c>
      <c r="C642" s="1059"/>
      <c r="D642" s="758"/>
      <c r="E642" s="734" t="s">
        <v>978</v>
      </c>
      <c r="F642" s="1834" t="s">
        <v>827</v>
      </c>
      <c r="G642" s="1620">
        <v>5</v>
      </c>
      <c r="H642" s="179">
        <v>6</v>
      </c>
      <c r="I642" s="708"/>
      <c r="J642" s="708"/>
      <c r="K642" s="709"/>
      <c r="L642" s="709"/>
      <c r="M642" s="1388"/>
      <c r="N642" s="712">
        <v>0.33600000000000002</v>
      </c>
      <c r="O642" s="1378"/>
      <c r="P642" s="1371"/>
      <c r="Q642" s="1363"/>
      <c r="R642" s="1353"/>
      <c r="S642" s="720"/>
      <c r="T642" s="1931"/>
      <c r="U642" s="728"/>
      <c r="V642" s="728"/>
      <c r="W642" s="720"/>
      <c r="X642" s="332"/>
      <c r="Y642" s="725"/>
      <c r="Z642" s="2664"/>
      <c r="AE642" s="2461"/>
      <c r="AF642" s="68"/>
    </row>
    <row r="643" spans="1:32" x14ac:dyDescent="0.35">
      <c r="A643" s="1878"/>
      <c r="B643" s="1059">
        <v>11049</v>
      </c>
      <c r="C643" s="1059"/>
      <c r="D643" s="754"/>
      <c r="E643" s="1390" t="s">
        <v>544</v>
      </c>
      <c r="F643" s="1834" t="s">
        <v>827</v>
      </c>
      <c r="G643" s="1620">
        <v>5</v>
      </c>
      <c r="H643" s="1620">
        <v>6</v>
      </c>
      <c r="I643" s="712"/>
      <c r="J643" s="712"/>
      <c r="K643" s="709"/>
      <c r="L643" s="709"/>
      <c r="M643" s="1388"/>
      <c r="N643" s="709"/>
      <c r="O643" s="1378"/>
      <c r="P643" s="1371"/>
      <c r="Q643" s="1363"/>
      <c r="R643" s="1356">
        <v>0.30399999999999999</v>
      </c>
      <c r="S643" s="722"/>
      <c r="T643" s="1931"/>
      <c r="U643" s="723"/>
      <c r="V643" s="723"/>
      <c r="W643" s="722"/>
      <c r="X643" s="2665"/>
      <c r="Y643" s="722"/>
      <c r="Z643" s="2666"/>
      <c r="AE643" s="2461"/>
      <c r="AF643" s="68"/>
    </row>
    <row r="644" spans="1:32" ht="30" x14ac:dyDescent="0.35">
      <c r="A644" s="1896">
        <v>270</v>
      </c>
      <c r="B644" s="1152">
        <v>11050</v>
      </c>
      <c r="C644" s="1152"/>
      <c r="D644" s="755" t="s">
        <v>2912</v>
      </c>
      <c r="E644" s="715" t="s">
        <v>10499</v>
      </c>
      <c r="F644" s="1834"/>
      <c r="G644" s="1953" t="s">
        <v>191</v>
      </c>
      <c r="H644" s="1943" t="s">
        <v>191</v>
      </c>
      <c r="I644" s="702">
        <f>J644+K644+L644</f>
        <v>4.3559999999999999</v>
      </c>
      <c r="J644" s="702">
        <f>SUM(M644:R644)</f>
        <v>4.3559999999999999</v>
      </c>
      <c r="K644" s="703"/>
      <c r="L644" s="703"/>
      <c r="M644" s="1387"/>
      <c r="N644" s="703"/>
      <c r="O644" s="1379"/>
      <c r="P644" s="1372"/>
      <c r="Q644" s="1365">
        <f>SUM(Q645:Q648)</f>
        <v>1.2010000000000001</v>
      </c>
      <c r="R644" s="1355">
        <f>SUM(R645:R648)</f>
        <v>3.1549999999999998</v>
      </c>
      <c r="S644" s="701"/>
      <c r="T644" s="1931"/>
      <c r="U644" s="705"/>
      <c r="V644" s="705"/>
      <c r="W644" s="716">
        <v>8</v>
      </c>
      <c r="X644" s="333">
        <v>83.3</v>
      </c>
      <c r="Y644" s="716">
        <v>1</v>
      </c>
      <c r="Z644" s="1706">
        <v>7</v>
      </c>
      <c r="AB644" s="3">
        <v>1</v>
      </c>
      <c r="AE644" s="2461"/>
      <c r="AF644" s="68"/>
    </row>
    <row r="645" spans="1:32" x14ac:dyDescent="0.35">
      <c r="A645" s="1886"/>
      <c r="B645" s="1152">
        <v>11050</v>
      </c>
      <c r="C645" s="1152"/>
      <c r="D645" s="754"/>
      <c r="E645" s="1394" t="s">
        <v>7267</v>
      </c>
      <c r="F645" s="1834">
        <v>5</v>
      </c>
      <c r="G645" s="179">
        <v>5</v>
      </c>
      <c r="H645" s="1834">
        <v>6</v>
      </c>
      <c r="I645" s="708"/>
      <c r="J645" s="708"/>
      <c r="K645" s="709"/>
      <c r="L645" s="709"/>
      <c r="M645" s="1388"/>
      <c r="N645" s="709"/>
      <c r="O645" s="1378"/>
      <c r="P645" s="1371"/>
      <c r="Q645" s="1366">
        <v>1.2010000000000001</v>
      </c>
      <c r="R645" s="1353"/>
      <c r="S645" s="720"/>
      <c r="T645" s="1931"/>
      <c r="U645" s="728"/>
      <c r="V645" s="728"/>
      <c r="W645" s="720"/>
      <c r="X645" s="332"/>
      <c r="Y645" s="725"/>
      <c r="Z645" s="2664"/>
      <c r="AE645" s="2461"/>
      <c r="AF645" s="68"/>
    </row>
    <row r="646" spans="1:32" x14ac:dyDescent="0.35">
      <c r="A646" s="1886"/>
      <c r="B646" s="1152"/>
      <c r="C646" s="1152"/>
      <c r="D646" s="754"/>
      <c r="E646" s="1390" t="s">
        <v>7295</v>
      </c>
      <c r="F646" s="1834" t="s">
        <v>827</v>
      </c>
      <c r="G646" s="179">
        <v>5</v>
      </c>
      <c r="H646" s="1620">
        <v>6</v>
      </c>
      <c r="I646" s="708"/>
      <c r="J646" s="708"/>
      <c r="K646" s="709"/>
      <c r="L646" s="709"/>
      <c r="M646" s="1388"/>
      <c r="N646" s="709"/>
      <c r="O646" s="1378"/>
      <c r="P646" s="1371"/>
      <c r="Q646" s="1366"/>
      <c r="R646" s="1353">
        <f>1.424-1.201</f>
        <v>0.22299999999999986</v>
      </c>
      <c r="S646" s="720"/>
      <c r="T646" s="1931"/>
      <c r="U646" s="728"/>
      <c r="V646" s="728"/>
      <c r="W646" s="720"/>
      <c r="X646" s="332"/>
      <c r="Y646" s="725"/>
      <c r="Z646" s="2664"/>
      <c r="AC646" s="3" t="s">
        <v>2570</v>
      </c>
      <c r="AE646" s="2461"/>
      <c r="AF646" s="68"/>
    </row>
    <row r="647" spans="1:32" x14ac:dyDescent="0.35">
      <c r="A647" s="1886"/>
      <c r="B647" s="1152"/>
      <c r="C647" s="1152"/>
      <c r="D647" s="754"/>
      <c r="E647" s="1390" t="s">
        <v>7296</v>
      </c>
      <c r="F647" s="1834">
        <v>5</v>
      </c>
      <c r="G647" s="179">
        <v>5</v>
      </c>
      <c r="H647" s="1620">
        <v>6</v>
      </c>
      <c r="I647" s="708"/>
      <c r="J647" s="708"/>
      <c r="K647" s="709"/>
      <c r="L647" s="709"/>
      <c r="M647" s="1388"/>
      <c r="N647" s="709"/>
      <c r="O647" s="1378"/>
      <c r="P647" s="1371"/>
      <c r="Q647" s="1366"/>
      <c r="R647" s="1353">
        <f>3.457-1.424</f>
        <v>2.0329999999999999</v>
      </c>
      <c r="S647" s="720"/>
      <c r="T647" s="1931"/>
      <c r="U647" s="728"/>
      <c r="V647" s="728"/>
      <c r="W647" s="720"/>
      <c r="X647" s="332"/>
      <c r="Y647" s="725"/>
      <c r="Z647" s="2664"/>
      <c r="AC647" s="3" t="s">
        <v>2570</v>
      </c>
      <c r="AE647" s="2461"/>
      <c r="AF647" s="68"/>
    </row>
    <row r="648" spans="1:32" x14ac:dyDescent="0.35">
      <c r="A648" s="1886"/>
      <c r="B648" s="1152">
        <v>11050</v>
      </c>
      <c r="C648" s="1152"/>
      <c r="D648" s="754"/>
      <c r="E648" s="1390" t="s">
        <v>7268</v>
      </c>
      <c r="F648" s="1834" t="s">
        <v>1490</v>
      </c>
      <c r="G648" s="179">
        <v>5</v>
      </c>
      <c r="H648" s="1620">
        <v>6</v>
      </c>
      <c r="I648" s="708"/>
      <c r="J648" s="708"/>
      <c r="K648" s="709"/>
      <c r="L648" s="709"/>
      <c r="M648" s="1388"/>
      <c r="N648" s="709"/>
      <c r="O648" s="1378"/>
      <c r="P648" s="1371"/>
      <c r="Q648" s="1363"/>
      <c r="R648" s="1356">
        <f>4.356-3.457</f>
        <v>0.89900000000000002</v>
      </c>
      <c r="S648" s="720"/>
      <c r="T648" s="1931"/>
      <c r="U648" s="728"/>
      <c r="V648" s="728"/>
      <c r="W648" s="720"/>
      <c r="X648" s="332"/>
      <c r="Y648" s="725"/>
      <c r="Z648" s="2664"/>
      <c r="AC648" s="3" t="s">
        <v>2570</v>
      </c>
      <c r="AE648" s="2461"/>
      <c r="AF648" s="68"/>
    </row>
    <row r="649" spans="1:32" ht="30" x14ac:dyDescent="0.35">
      <c r="A649" s="525">
        <v>271</v>
      </c>
      <c r="B649" s="1719">
        <v>11050</v>
      </c>
      <c r="C649" s="2083" t="s">
        <v>1656</v>
      </c>
      <c r="D649" s="2471" t="s">
        <v>5572</v>
      </c>
      <c r="E649" s="2187" t="s">
        <v>8761</v>
      </c>
      <c r="F649" s="92" t="s">
        <v>664</v>
      </c>
      <c r="G649" s="92">
        <v>5</v>
      </c>
      <c r="H649" s="1620">
        <v>6</v>
      </c>
      <c r="I649" s="702">
        <f>J649+K649+L649</f>
        <v>0.4</v>
      </c>
      <c r="J649" s="702">
        <f>SUM(M649:R649)</f>
        <v>0.4</v>
      </c>
      <c r="K649" s="622"/>
      <c r="L649" s="622"/>
      <c r="M649" s="622"/>
      <c r="N649" s="622"/>
      <c r="O649" s="622"/>
      <c r="P649" s="622"/>
      <c r="Q649" s="622"/>
      <c r="R649" s="1984">
        <v>0.4</v>
      </c>
      <c r="S649" s="106"/>
      <c r="T649" s="1931"/>
      <c r="U649" s="106"/>
      <c r="V649" s="106"/>
      <c r="W649" s="105"/>
      <c r="X649" s="105"/>
      <c r="Y649" s="105"/>
      <c r="Z649" s="323"/>
      <c r="AB649" s="3">
        <v>1</v>
      </c>
      <c r="AE649" s="2461"/>
      <c r="AF649" s="68"/>
    </row>
    <row r="650" spans="1:32" ht="30" x14ac:dyDescent="0.35">
      <c r="A650" s="1880">
        <v>272</v>
      </c>
      <c r="B650" s="1152">
        <v>11051</v>
      </c>
      <c r="C650" s="1152"/>
      <c r="D650" s="755" t="s">
        <v>2094</v>
      </c>
      <c r="E650" s="715" t="s">
        <v>3113</v>
      </c>
      <c r="F650" s="1834" t="s">
        <v>664</v>
      </c>
      <c r="G650" s="1953">
        <v>5</v>
      </c>
      <c r="H650" s="1620">
        <v>6</v>
      </c>
      <c r="I650" s="702">
        <f>J650+K650+L650</f>
        <v>3.4</v>
      </c>
      <c r="J650" s="702">
        <f>SUM(M650:R650)</f>
        <v>3.4</v>
      </c>
      <c r="K650" s="703"/>
      <c r="L650" s="703"/>
      <c r="M650" s="1387"/>
      <c r="N650" s="703"/>
      <c r="O650" s="1379"/>
      <c r="P650" s="1372"/>
      <c r="Q650" s="1364"/>
      <c r="R650" s="1355">
        <v>3.4</v>
      </c>
      <c r="S650" s="701"/>
      <c r="T650" s="1931"/>
      <c r="U650" s="705"/>
      <c r="V650" s="705"/>
      <c r="W650" s="716">
        <f>1+2</f>
        <v>3</v>
      </c>
      <c r="X650" s="333">
        <f>20.2+20.02</f>
        <v>40.22</v>
      </c>
      <c r="Y650" s="716"/>
      <c r="Z650" s="1706"/>
      <c r="AA650" s="3" t="s">
        <v>1630</v>
      </c>
      <c r="AB650" s="3">
        <v>1</v>
      </c>
      <c r="AE650" s="2461"/>
      <c r="AF650" s="68"/>
    </row>
    <row r="651" spans="1:32" ht="30" x14ac:dyDescent="0.35">
      <c r="A651" s="525">
        <v>273</v>
      </c>
      <c r="B651" s="1152">
        <v>11052</v>
      </c>
      <c r="C651" s="1152"/>
      <c r="D651" s="755" t="s">
        <v>1428</v>
      </c>
      <c r="E651" s="715" t="s">
        <v>184</v>
      </c>
      <c r="F651" s="1834"/>
      <c r="G651" s="1953" t="s">
        <v>191</v>
      </c>
      <c r="H651" s="1620" t="s">
        <v>191</v>
      </c>
      <c r="I651" s="702">
        <f>J651+K651+L651</f>
        <v>4</v>
      </c>
      <c r="J651" s="702">
        <f>SUM(M651:R651)</f>
        <v>4</v>
      </c>
      <c r="K651" s="703"/>
      <c r="L651" s="703"/>
      <c r="M651" s="1387"/>
      <c r="N651" s="703"/>
      <c r="O651" s="1379"/>
      <c r="P651" s="1372"/>
      <c r="Q651" s="1364"/>
      <c r="R651" s="1355">
        <f>SUM(R652:R653)</f>
        <v>4</v>
      </c>
      <c r="S651" s="701"/>
      <c r="T651" s="1931"/>
      <c r="U651" s="705"/>
      <c r="V651" s="705"/>
      <c r="W651" s="716">
        <v>1</v>
      </c>
      <c r="X651" s="333">
        <v>10.1</v>
      </c>
      <c r="Y651" s="716"/>
      <c r="Z651" s="1706"/>
      <c r="AB651" s="3">
        <v>1</v>
      </c>
      <c r="AE651" s="2461"/>
      <c r="AF651" s="68"/>
    </row>
    <row r="652" spans="1:32" x14ac:dyDescent="0.35">
      <c r="A652" s="1872"/>
      <c r="B652" s="1152">
        <v>11052</v>
      </c>
      <c r="C652" s="1152"/>
      <c r="D652" s="755"/>
      <c r="E652" s="1390" t="s">
        <v>369</v>
      </c>
      <c r="F652" s="1834" t="s">
        <v>664</v>
      </c>
      <c r="G652" s="1953">
        <v>5</v>
      </c>
      <c r="H652" s="1620">
        <v>6</v>
      </c>
      <c r="I652" s="702"/>
      <c r="J652" s="702"/>
      <c r="K652" s="703"/>
      <c r="L652" s="703"/>
      <c r="M652" s="1387"/>
      <c r="N652" s="703"/>
      <c r="O652" s="1379"/>
      <c r="P652" s="1372"/>
      <c r="Q652" s="1364"/>
      <c r="R652" s="1968">
        <v>3.57</v>
      </c>
      <c r="S652" s="701"/>
      <c r="T652" s="1931"/>
      <c r="U652" s="705"/>
      <c r="V652" s="705"/>
      <c r="W652" s="716"/>
      <c r="X652" s="333"/>
      <c r="Y652" s="716"/>
      <c r="Z652" s="1706"/>
      <c r="AE652" s="2461"/>
      <c r="AF652" s="68"/>
    </row>
    <row r="653" spans="1:32" x14ac:dyDescent="0.35">
      <c r="A653" s="1872"/>
      <c r="B653" s="1152">
        <v>11052</v>
      </c>
      <c r="C653" s="1152"/>
      <c r="D653" s="755"/>
      <c r="E653" s="1390" t="s">
        <v>182</v>
      </c>
      <c r="F653" s="1834" t="s">
        <v>664</v>
      </c>
      <c r="G653" s="1953">
        <v>5</v>
      </c>
      <c r="H653" s="1620">
        <v>6</v>
      </c>
      <c r="I653" s="702"/>
      <c r="J653" s="702"/>
      <c r="K653" s="703"/>
      <c r="L653" s="703"/>
      <c r="M653" s="1387"/>
      <c r="N653" s="703"/>
      <c r="O653" s="1379"/>
      <c r="P653" s="1372"/>
      <c r="Q653" s="1364"/>
      <c r="R653" s="1968">
        <f>4-3.57</f>
        <v>0.43000000000000016</v>
      </c>
      <c r="S653" s="701"/>
      <c r="T653" s="1931"/>
      <c r="U653" s="705"/>
      <c r="V653" s="705"/>
      <c r="W653" s="716"/>
      <c r="X653" s="333"/>
      <c r="Y653" s="716"/>
      <c r="Z653" s="1706"/>
      <c r="AE653" s="2461"/>
      <c r="AF653" s="68"/>
    </row>
    <row r="654" spans="1:32" ht="30" x14ac:dyDescent="0.35">
      <c r="A654" s="1880">
        <v>274</v>
      </c>
      <c r="B654" s="1152">
        <v>11053</v>
      </c>
      <c r="C654" s="1152"/>
      <c r="D654" s="755" t="s">
        <v>1429</v>
      </c>
      <c r="E654" s="715" t="s">
        <v>9581</v>
      </c>
      <c r="F654" s="1834">
        <v>5</v>
      </c>
      <c r="G654" s="1953">
        <v>5</v>
      </c>
      <c r="H654" s="1834">
        <v>6</v>
      </c>
      <c r="I654" s="702">
        <f>J654+K654+L654</f>
        <v>1.1000000000000001</v>
      </c>
      <c r="J654" s="702">
        <f>SUM(M654:R654)</f>
        <v>1.1000000000000001</v>
      </c>
      <c r="K654" s="703"/>
      <c r="L654" s="703"/>
      <c r="M654" s="1387"/>
      <c r="N654" s="703"/>
      <c r="O654" s="1379"/>
      <c r="P654" s="1372"/>
      <c r="Q654" s="1365">
        <v>1.1000000000000001</v>
      </c>
      <c r="R654" s="1354"/>
      <c r="S654" s="701"/>
      <c r="T654" s="1931"/>
      <c r="U654" s="705"/>
      <c r="V654" s="705"/>
      <c r="W654" s="716">
        <v>4</v>
      </c>
      <c r="X654" s="333">
        <v>58.7</v>
      </c>
      <c r="Y654" s="716">
        <v>2</v>
      </c>
      <c r="Z654" s="1706">
        <v>20.2</v>
      </c>
      <c r="AA654" s="3" t="s">
        <v>1630</v>
      </c>
      <c r="AB654" s="3">
        <v>1</v>
      </c>
      <c r="AC654" s="3" t="s">
        <v>3370</v>
      </c>
      <c r="AE654" s="2461"/>
      <c r="AF654" s="68"/>
    </row>
    <row r="655" spans="1:32" ht="60" x14ac:dyDescent="0.35">
      <c r="A655" s="1872">
        <v>275</v>
      </c>
      <c r="B655" s="1152">
        <v>11054</v>
      </c>
      <c r="C655" s="1152"/>
      <c r="D655" s="755" t="s">
        <v>472</v>
      </c>
      <c r="E655" s="715" t="s">
        <v>10101</v>
      </c>
      <c r="F655" s="1834"/>
      <c r="G655" s="1953" t="s">
        <v>191</v>
      </c>
      <c r="H655" s="1620" t="s">
        <v>191</v>
      </c>
      <c r="I655" s="702">
        <f>J655+K655+L655</f>
        <v>2.88</v>
      </c>
      <c r="J655" s="702">
        <f>SUM(M655:R655)</f>
        <v>2.88</v>
      </c>
      <c r="K655" s="703"/>
      <c r="L655" s="703"/>
      <c r="M655" s="1387"/>
      <c r="N655" s="703"/>
      <c r="O655" s="1379"/>
      <c r="P655" s="1372"/>
      <c r="Q655" s="1364"/>
      <c r="R655" s="1355">
        <f>SUM(R656:R657)</f>
        <v>2.88</v>
      </c>
      <c r="S655" s="701"/>
      <c r="T655" s="1931"/>
      <c r="U655" s="705"/>
      <c r="V655" s="705"/>
      <c r="W655" s="701">
        <v>1</v>
      </c>
      <c r="X655" s="333">
        <v>7.5</v>
      </c>
      <c r="Y655" s="716"/>
      <c r="Z655" s="1706"/>
      <c r="AB655" s="3">
        <v>1</v>
      </c>
      <c r="AE655" s="2461"/>
      <c r="AF655" s="68"/>
    </row>
    <row r="656" spans="1:32" x14ac:dyDescent="0.35">
      <c r="A656" s="1872"/>
      <c r="B656" s="1152">
        <v>11054</v>
      </c>
      <c r="C656" s="1152"/>
      <c r="D656" s="755"/>
      <c r="E656" s="1390" t="s">
        <v>282</v>
      </c>
      <c r="F656" s="1834" t="s">
        <v>827</v>
      </c>
      <c r="G656" s="1953">
        <v>5</v>
      </c>
      <c r="H656" s="1620">
        <v>6</v>
      </c>
      <c r="I656" s="702"/>
      <c r="J656" s="702"/>
      <c r="K656" s="703"/>
      <c r="L656" s="703"/>
      <c r="M656" s="1387"/>
      <c r="N656" s="703"/>
      <c r="O656" s="1379"/>
      <c r="P656" s="1372"/>
      <c r="Q656" s="1364"/>
      <c r="R656" s="1968">
        <v>0.9</v>
      </c>
      <c r="S656" s="701"/>
      <c r="T656" s="1931"/>
      <c r="U656" s="705"/>
      <c r="V656" s="705"/>
      <c r="W656" s="701"/>
      <c r="X656" s="333"/>
      <c r="Y656" s="716"/>
      <c r="Z656" s="1706"/>
      <c r="AC656" s="3" t="s">
        <v>2570</v>
      </c>
      <c r="AE656" s="2461"/>
      <c r="AF656" s="68"/>
    </row>
    <row r="657" spans="1:32" x14ac:dyDescent="0.35">
      <c r="A657" s="1872"/>
      <c r="B657" s="1152">
        <v>11054</v>
      </c>
      <c r="C657" s="1152"/>
      <c r="D657" s="755"/>
      <c r="E657" s="1390" t="s">
        <v>530</v>
      </c>
      <c r="F657" s="1834" t="s">
        <v>1490</v>
      </c>
      <c r="G657" s="1953">
        <v>5</v>
      </c>
      <c r="H657" s="1620">
        <v>6</v>
      </c>
      <c r="I657" s="702"/>
      <c r="J657" s="702"/>
      <c r="K657" s="703"/>
      <c r="L657" s="703"/>
      <c r="M657" s="1387"/>
      <c r="N657" s="703"/>
      <c r="O657" s="1379"/>
      <c r="P657" s="1372"/>
      <c r="Q657" s="1364"/>
      <c r="R657" s="1968">
        <f>2.88-0.9</f>
        <v>1.98</v>
      </c>
      <c r="S657" s="701"/>
      <c r="T657" s="1931"/>
      <c r="U657" s="705"/>
      <c r="V657" s="705"/>
      <c r="W657" s="701"/>
      <c r="X657" s="333"/>
      <c r="Y657" s="716"/>
      <c r="Z657" s="1706"/>
      <c r="AC657" s="3" t="s">
        <v>2570</v>
      </c>
      <c r="AE657" s="2461"/>
      <c r="AF657" s="68"/>
    </row>
    <row r="658" spans="1:32" ht="30" x14ac:dyDescent="0.35">
      <c r="A658" s="1880">
        <v>276</v>
      </c>
      <c r="B658" s="1152">
        <v>11055</v>
      </c>
      <c r="C658" s="1152"/>
      <c r="D658" s="755" t="s">
        <v>1495</v>
      </c>
      <c r="E658" s="715" t="s">
        <v>10102</v>
      </c>
      <c r="F658" s="1834"/>
      <c r="G658" s="1953" t="s">
        <v>191</v>
      </c>
      <c r="H658" s="1943" t="s">
        <v>191</v>
      </c>
      <c r="I658" s="702">
        <f>J658+K658+L658</f>
        <v>6.26</v>
      </c>
      <c r="J658" s="702">
        <f>SUM(M658:R658)</f>
        <v>6.26</v>
      </c>
      <c r="K658" s="703"/>
      <c r="L658" s="703"/>
      <c r="M658" s="1387"/>
      <c r="N658" s="703"/>
      <c r="O658" s="1379"/>
      <c r="P658" s="1372"/>
      <c r="Q658" s="1365">
        <f>SUM(Q659:Q664)</f>
        <v>2.2890000000000001</v>
      </c>
      <c r="R658" s="1355">
        <f>SUM(R659:R663)</f>
        <v>3.9709999999999996</v>
      </c>
      <c r="S658" s="701"/>
      <c r="T658" s="1931"/>
      <c r="U658" s="705"/>
      <c r="V658" s="705"/>
      <c r="W658" s="716">
        <f>5+1</f>
        <v>6</v>
      </c>
      <c r="X658" s="333">
        <v>56.26</v>
      </c>
      <c r="Y658" s="716"/>
      <c r="Z658" s="1706"/>
      <c r="AA658" s="3" t="s">
        <v>551</v>
      </c>
      <c r="AB658" s="3">
        <v>1</v>
      </c>
      <c r="AE658" s="2461"/>
      <c r="AF658" s="68"/>
    </row>
    <row r="659" spans="1:32" x14ac:dyDescent="0.35">
      <c r="A659" s="1886"/>
      <c r="B659" s="1152">
        <v>11055</v>
      </c>
      <c r="C659" s="1152"/>
      <c r="D659" s="754"/>
      <c r="E659" s="1394" t="s">
        <v>2207</v>
      </c>
      <c r="F659" s="1834">
        <v>5</v>
      </c>
      <c r="G659" s="179">
        <v>5</v>
      </c>
      <c r="H659" s="1834">
        <v>6</v>
      </c>
      <c r="I659" s="708"/>
      <c r="J659" s="708"/>
      <c r="K659" s="709"/>
      <c r="L659" s="709"/>
      <c r="M659" s="1388"/>
      <c r="N659" s="709"/>
      <c r="O659" s="1378"/>
      <c r="P659" s="1371"/>
      <c r="Q659" s="1366">
        <v>2.2890000000000001</v>
      </c>
      <c r="R659" s="1353"/>
      <c r="S659" s="720"/>
      <c r="T659" s="1931"/>
      <c r="U659" s="728"/>
      <c r="V659" s="728"/>
      <c r="W659" s="720"/>
      <c r="X659" s="332"/>
      <c r="Y659" s="725"/>
      <c r="Z659" s="2664"/>
      <c r="AE659" s="2461"/>
      <c r="AF659" s="68"/>
    </row>
    <row r="660" spans="1:32" x14ac:dyDescent="0.35">
      <c r="A660" s="1886"/>
      <c r="B660" s="1152">
        <v>11055</v>
      </c>
      <c r="C660" s="1152"/>
      <c r="D660" s="754"/>
      <c r="E660" s="1390" t="s">
        <v>3537</v>
      </c>
      <c r="F660" s="1834" t="s">
        <v>664</v>
      </c>
      <c r="G660" s="179">
        <v>5</v>
      </c>
      <c r="H660" s="1620">
        <v>6</v>
      </c>
      <c r="I660" s="708"/>
      <c r="J660" s="708"/>
      <c r="K660" s="709"/>
      <c r="L660" s="709"/>
      <c r="M660" s="1388"/>
      <c r="N660" s="709"/>
      <c r="O660" s="1378"/>
      <c r="P660" s="1371"/>
      <c r="Q660" s="1366"/>
      <c r="R660" s="1353">
        <f>3.21-2.289</f>
        <v>0.92099999999999982</v>
      </c>
      <c r="S660" s="720"/>
      <c r="T660" s="1931"/>
      <c r="U660" s="728"/>
      <c r="V660" s="728"/>
      <c r="W660" s="720"/>
      <c r="X660" s="332"/>
      <c r="Y660" s="725"/>
      <c r="Z660" s="2664"/>
      <c r="AE660" s="2461"/>
      <c r="AF660" s="68"/>
    </row>
    <row r="661" spans="1:32" x14ac:dyDescent="0.35">
      <c r="A661" s="1886"/>
      <c r="B661" s="1152"/>
      <c r="C661" s="1152"/>
      <c r="D661" s="754"/>
      <c r="E661" s="1390" t="s">
        <v>3538</v>
      </c>
      <c r="F661" s="1834" t="s">
        <v>1490</v>
      </c>
      <c r="G661" s="179">
        <v>5</v>
      </c>
      <c r="H661" s="1620">
        <v>6</v>
      </c>
      <c r="I661" s="708"/>
      <c r="J661" s="708"/>
      <c r="K661" s="709"/>
      <c r="L661" s="709"/>
      <c r="M661" s="1388"/>
      <c r="N661" s="709"/>
      <c r="O661" s="1378"/>
      <c r="P661" s="1371"/>
      <c r="Q661" s="1366"/>
      <c r="R661" s="1353">
        <f>3.686-3.21</f>
        <v>0.47599999999999998</v>
      </c>
      <c r="S661" s="720"/>
      <c r="T661" s="1931"/>
      <c r="U661" s="728"/>
      <c r="V661" s="728"/>
      <c r="W661" s="720"/>
      <c r="X661" s="332"/>
      <c r="Y661" s="725"/>
      <c r="Z661" s="2664"/>
      <c r="AE661" s="2461"/>
      <c r="AF661" s="68"/>
    </row>
    <row r="662" spans="1:32" x14ac:dyDescent="0.35">
      <c r="A662" s="1886"/>
      <c r="B662" s="1152"/>
      <c r="C662" s="1152"/>
      <c r="D662" s="754"/>
      <c r="E662" s="1390" t="s">
        <v>3539</v>
      </c>
      <c r="F662" s="1834" t="s">
        <v>664</v>
      </c>
      <c r="G662" s="179">
        <v>5</v>
      </c>
      <c r="H662" s="1620">
        <v>6</v>
      </c>
      <c r="I662" s="708"/>
      <c r="J662" s="708"/>
      <c r="K662" s="709"/>
      <c r="L662" s="709"/>
      <c r="M662" s="1388"/>
      <c r="N662" s="709"/>
      <c r="O662" s="1378"/>
      <c r="P662" s="1371"/>
      <c r="Q662" s="1366"/>
      <c r="R662" s="1353">
        <f>4.385-3.686</f>
        <v>0.69899999999999984</v>
      </c>
      <c r="S662" s="720"/>
      <c r="T662" s="1931"/>
      <c r="U662" s="728"/>
      <c r="V662" s="728"/>
      <c r="W662" s="720"/>
      <c r="X662" s="332"/>
      <c r="Y662" s="725"/>
      <c r="Z662" s="2664"/>
      <c r="AE662" s="2461"/>
      <c r="AF662" s="68"/>
    </row>
    <row r="663" spans="1:32" x14ac:dyDescent="0.35">
      <c r="A663" s="1886"/>
      <c r="B663" s="1152">
        <v>11055</v>
      </c>
      <c r="C663" s="1152"/>
      <c r="D663" s="754"/>
      <c r="E663" s="1390" t="s">
        <v>3540</v>
      </c>
      <c r="F663" s="1834" t="s">
        <v>1490</v>
      </c>
      <c r="G663" s="179">
        <v>5</v>
      </c>
      <c r="H663" s="1620">
        <v>6</v>
      </c>
      <c r="I663" s="708"/>
      <c r="J663" s="708"/>
      <c r="K663" s="709"/>
      <c r="L663" s="709"/>
      <c r="M663" s="1388"/>
      <c r="N663" s="709"/>
      <c r="O663" s="1378"/>
      <c r="P663" s="1371"/>
      <c r="Q663" s="1363"/>
      <c r="R663" s="1356">
        <f>6.26-4.385</f>
        <v>1.875</v>
      </c>
      <c r="S663" s="720"/>
      <c r="T663" s="1931"/>
      <c r="U663" s="728"/>
      <c r="V663" s="728"/>
      <c r="W663" s="720"/>
      <c r="X663" s="332"/>
      <c r="Y663" s="725"/>
      <c r="Z663" s="2664"/>
      <c r="AE663" s="2461"/>
      <c r="AF663" s="68"/>
    </row>
    <row r="664" spans="1:32" ht="45" x14ac:dyDescent="0.35">
      <c r="A664" s="1886">
        <v>277</v>
      </c>
      <c r="B664" s="1152">
        <v>11055</v>
      </c>
      <c r="C664" s="1152"/>
      <c r="D664" s="2471" t="s">
        <v>5573</v>
      </c>
      <c r="E664" s="715" t="s">
        <v>10103</v>
      </c>
      <c r="F664" s="1834" t="s">
        <v>664</v>
      </c>
      <c r="G664" s="179">
        <v>5</v>
      </c>
      <c r="H664" s="1620">
        <v>6</v>
      </c>
      <c r="I664" s="702">
        <f t="shared" ref="I664:I674" si="36">J664+K664+L664</f>
        <v>1</v>
      </c>
      <c r="J664" s="702">
        <f t="shared" ref="J664:J674" si="37">SUM(M664:R664)</f>
        <v>1</v>
      </c>
      <c r="K664" s="709"/>
      <c r="L664" s="709"/>
      <c r="M664" s="1388"/>
      <c r="N664" s="709"/>
      <c r="O664" s="1378"/>
      <c r="P664" s="1371"/>
      <c r="Q664" s="1363"/>
      <c r="R664" s="1914">
        <v>1</v>
      </c>
      <c r="S664" s="720"/>
      <c r="T664" s="1931"/>
      <c r="U664" s="728"/>
      <c r="V664" s="728"/>
      <c r="W664" s="720"/>
      <c r="X664" s="332"/>
      <c r="Y664" s="725"/>
      <c r="Z664" s="2664"/>
      <c r="AB664" s="3">
        <v>1</v>
      </c>
      <c r="AE664" s="2461"/>
      <c r="AF664" s="68"/>
    </row>
    <row r="665" spans="1:32" ht="45" x14ac:dyDescent="0.35">
      <c r="A665" s="1880">
        <v>278</v>
      </c>
      <c r="B665" s="46">
        <v>11055</v>
      </c>
      <c r="C665" s="2083" t="s">
        <v>1656</v>
      </c>
      <c r="D665" s="2471" t="s">
        <v>5574</v>
      </c>
      <c r="E665" s="2187" t="s">
        <v>10104</v>
      </c>
      <c r="F665" s="92" t="s">
        <v>664</v>
      </c>
      <c r="G665" s="92">
        <v>5</v>
      </c>
      <c r="H665" s="1620">
        <v>6</v>
      </c>
      <c r="I665" s="702">
        <f>J665+K665+L665</f>
        <v>0.5</v>
      </c>
      <c r="J665" s="702">
        <f>SUM(M665:R665)</f>
        <v>0.5</v>
      </c>
      <c r="K665" s="622"/>
      <c r="L665" s="622"/>
      <c r="M665" s="622"/>
      <c r="N665" s="622"/>
      <c r="O665" s="622"/>
      <c r="P665" s="622"/>
      <c r="Q665" s="622"/>
      <c r="R665" s="1984">
        <v>0.5</v>
      </c>
      <c r="S665" s="106"/>
      <c r="T665" s="1931"/>
      <c r="U665" s="106"/>
      <c r="V665" s="106"/>
      <c r="W665" s="962"/>
      <c r="X665" s="962"/>
      <c r="Y665" s="962"/>
      <c r="Z665" s="323"/>
      <c r="AB665" s="3">
        <v>1</v>
      </c>
      <c r="AE665" s="2461"/>
      <c r="AF665" s="68"/>
    </row>
    <row r="666" spans="1:32" ht="30" x14ac:dyDescent="0.35">
      <c r="A666" s="1880">
        <v>279</v>
      </c>
      <c r="B666" s="1152">
        <v>11056</v>
      </c>
      <c r="C666" s="1152"/>
      <c r="D666" s="755" t="s">
        <v>792</v>
      </c>
      <c r="E666" s="1916" t="s">
        <v>11422</v>
      </c>
      <c r="F666" s="1834"/>
      <c r="G666" s="1953" t="s">
        <v>191</v>
      </c>
      <c r="H666" s="1943" t="s">
        <v>191</v>
      </c>
      <c r="I666" s="702">
        <f t="shared" si="36"/>
        <v>3.3769999999999998</v>
      </c>
      <c r="J666" s="702">
        <f t="shared" si="37"/>
        <v>3.3769999999999998</v>
      </c>
      <c r="K666" s="703"/>
      <c r="L666" s="703"/>
      <c r="M666" s="1387"/>
      <c r="N666" s="703"/>
      <c r="O666" s="1379"/>
      <c r="P666" s="1372"/>
      <c r="Q666" s="1365">
        <f>SUM(Q667:Q668)</f>
        <v>1.9</v>
      </c>
      <c r="R666" s="1354">
        <f>SUM(R667:R668)</f>
        <v>1.4769999999999999</v>
      </c>
      <c r="S666" s="701"/>
      <c r="T666" s="1931"/>
      <c r="U666" s="705"/>
      <c r="V666" s="705"/>
      <c r="W666" s="716">
        <v>3</v>
      </c>
      <c r="X666" s="333">
        <v>22.5</v>
      </c>
      <c r="Y666" s="716"/>
      <c r="Z666" s="1706"/>
      <c r="AB666" s="3">
        <v>1</v>
      </c>
      <c r="AE666" s="2461"/>
      <c r="AF666" s="68"/>
    </row>
    <row r="667" spans="1:32" x14ac:dyDescent="0.35">
      <c r="A667" s="1880"/>
      <c r="B667" s="1152">
        <v>11056</v>
      </c>
      <c r="C667" s="1152"/>
      <c r="D667" s="755"/>
      <c r="E667" s="1394" t="s">
        <v>430</v>
      </c>
      <c r="F667" s="1834" t="s">
        <v>1490</v>
      </c>
      <c r="G667" s="1953">
        <v>5</v>
      </c>
      <c r="H667" s="1834">
        <v>6</v>
      </c>
      <c r="I667" s="702"/>
      <c r="J667" s="702"/>
      <c r="K667" s="703"/>
      <c r="L667" s="703"/>
      <c r="M667" s="1387"/>
      <c r="N667" s="703"/>
      <c r="O667" s="1379"/>
      <c r="P667" s="1372"/>
      <c r="Q667" s="1365">
        <v>1.9</v>
      </c>
      <c r="R667" s="1354"/>
      <c r="S667" s="701"/>
      <c r="T667" s="1931"/>
      <c r="U667" s="705"/>
      <c r="V667" s="705"/>
      <c r="W667" s="716"/>
      <c r="X667" s="333"/>
      <c r="Y667" s="716"/>
      <c r="Z667" s="1706"/>
      <c r="AE667" s="2461"/>
      <c r="AF667" s="68"/>
    </row>
    <row r="668" spans="1:32" x14ac:dyDescent="0.35">
      <c r="A668" s="1880"/>
      <c r="B668" s="1152">
        <v>11056</v>
      </c>
      <c r="C668" s="1152"/>
      <c r="D668" s="755"/>
      <c r="E668" s="1390" t="s">
        <v>3536</v>
      </c>
      <c r="F668" s="1834" t="s">
        <v>1490</v>
      </c>
      <c r="G668" s="1953">
        <v>5</v>
      </c>
      <c r="H668" s="1620">
        <v>6</v>
      </c>
      <c r="I668" s="702"/>
      <c r="J668" s="702"/>
      <c r="K668" s="703"/>
      <c r="L668" s="703"/>
      <c r="M668" s="1387"/>
      <c r="N668" s="703"/>
      <c r="O668" s="1379"/>
      <c r="P668" s="1372"/>
      <c r="Q668" s="1365"/>
      <c r="R668" s="1354">
        <f>3.377-1.9</f>
        <v>1.4769999999999999</v>
      </c>
      <c r="S668" s="701"/>
      <c r="T668" s="1931"/>
      <c r="U668" s="705"/>
      <c r="V668" s="705"/>
      <c r="W668" s="716"/>
      <c r="X668" s="333"/>
      <c r="Y668" s="716"/>
      <c r="Z668" s="1706"/>
      <c r="AE668" s="2461"/>
      <c r="AF668" s="68"/>
    </row>
    <row r="669" spans="1:32" ht="30" x14ac:dyDescent="0.35">
      <c r="A669" s="1886">
        <v>280</v>
      </c>
      <c r="B669" s="1152">
        <v>11056</v>
      </c>
      <c r="C669" s="1152"/>
      <c r="D669" s="2471" t="s">
        <v>5575</v>
      </c>
      <c r="E669" s="715" t="s">
        <v>11423</v>
      </c>
      <c r="F669" s="1834">
        <v>5</v>
      </c>
      <c r="G669" s="1620">
        <v>5</v>
      </c>
      <c r="H669" s="1834">
        <v>6</v>
      </c>
      <c r="I669" s="702">
        <f t="shared" si="36"/>
        <v>0.3</v>
      </c>
      <c r="J669" s="702">
        <f t="shared" si="37"/>
        <v>0.3</v>
      </c>
      <c r="K669" s="709"/>
      <c r="L669" s="709"/>
      <c r="M669" s="1388"/>
      <c r="N669" s="709"/>
      <c r="O669" s="1378"/>
      <c r="P669" s="1371"/>
      <c r="Q669" s="1964">
        <v>0.3</v>
      </c>
      <c r="R669" s="1353"/>
      <c r="S669" s="720"/>
      <c r="T669" s="1931"/>
      <c r="U669" s="728"/>
      <c r="V669" s="728"/>
      <c r="W669" s="720"/>
      <c r="X669" s="332"/>
      <c r="Y669" s="725"/>
      <c r="Z669" s="2664"/>
      <c r="AA669" s="3" t="s">
        <v>1000</v>
      </c>
      <c r="AB669" s="3">
        <v>1</v>
      </c>
      <c r="AE669" s="2461"/>
      <c r="AF669" s="68"/>
    </row>
    <row r="670" spans="1:32" ht="30" x14ac:dyDescent="0.35">
      <c r="A670" s="1886">
        <v>281</v>
      </c>
      <c r="B670" s="1060">
        <v>11434</v>
      </c>
      <c r="C670" s="1060"/>
      <c r="D670" s="759" t="s">
        <v>1508</v>
      </c>
      <c r="E670" s="715" t="s">
        <v>1477</v>
      </c>
      <c r="F670" s="1834"/>
      <c r="G670" s="1953" t="s">
        <v>191</v>
      </c>
      <c r="H670" s="1943" t="s">
        <v>191</v>
      </c>
      <c r="I670" s="702">
        <f t="shared" si="36"/>
        <v>0.48799999999999955</v>
      </c>
      <c r="J670" s="702">
        <f t="shared" si="37"/>
        <v>0.48799999999999955</v>
      </c>
      <c r="K670" s="703"/>
      <c r="L670" s="703"/>
      <c r="M670" s="1387"/>
      <c r="N670" s="703">
        <f>SUM(N671:N673)</f>
        <v>5.6000000000000938E-2</v>
      </c>
      <c r="O670" s="1379"/>
      <c r="P670" s="1372"/>
      <c r="Q670" s="1364">
        <f>SUM(Q671:Q673)</f>
        <v>0.43199999999999861</v>
      </c>
      <c r="R670" s="925"/>
      <c r="S670" s="716">
        <v>1</v>
      </c>
      <c r="T670" s="1931">
        <v>37.1</v>
      </c>
      <c r="U670" s="1892"/>
      <c r="V670" s="1892"/>
      <c r="W670" s="1890"/>
      <c r="X670" s="1891"/>
      <c r="Y670" s="1890"/>
      <c r="Z670" s="1897"/>
      <c r="AA670" s="3" t="s">
        <v>999</v>
      </c>
      <c r="AB670" s="3">
        <v>1</v>
      </c>
      <c r="AE670" s="2461"/>
      <c r="AF670" s="68"/>
    </row>
    <row r="671" spans="1:32" ht="17.5" x14ac:dyDescent="0.35">
      <c r="A671" s="1886"/>
      <c r="B671" s="1060"/>
      <c r="C671" s="1060"/>
      <c r="D671" s="759"/>
      <c r="E671" s="1394" t="s">
        <v>11650</v>
      </c>
      <c r="F671" s="1834">
        <v>5</v>
      </c>
      <c r="G671" s="1834">
        <v>5</v>
      </c>
      <c r="H671" s="1834">
        <v>6</v>
      </c>
      <c r="I671" s="1918"/>
      <c r="J671" s="1918"/>
      <c r="K671" s="1919"/>
      <c r="L671" s="1919"/>
      <c r="M671" s="1919"/>
      <c r="N671" s="1919"/>
      <c r="O671" s="1949"/>
      <c r="P671" s="1950"/>
      <c r="Q671" s="1951">
        <f>24.323-23.94</f>
        <v>0.38299999999999912</v>
      </c>
      <c r="R671" s="925"/>
      <c r="S671" s="716"/>
      <c r="T671" s="2764"/>
      <c r="U671" s="1892"/>
      <c r="V671" s="1892"/>
      <c r="W671" s="1890"/>
      <c r="X671" s="1891"/>
      <c r="Y671" s="1890"/>
      <c r="Z671" s="1897"/>
      <c r="AE671" s="2461"/>
      <c r="AF671" s="68"/>
    </row>
    <row r="672" spans="1:32" ht="17.5" x14ac:dyDescent="0.35">
      <c r="A672" s="1886"/>
      <c r="B672" s="1060"/>
      <c r="C672" s="1060"/>
      <c r="D672" s="759"/>
      <c r="E672" s="711" t="s">
        <v>11066</v>
      </c>
      <c r="F672" s="1834">
        <v>5</v>
      </c>
      <c r="G672" s="1834">
        <v>5</v>
      </c>
      <c r="H672" s="1834">
        <v>6</v>
      </c>
      <c r="I672" s="1918"/>
      <c r="J672" s="1918"/>
      <c r="K672" s="1919"/>
      <c r="L672" s="1919"/>
      <c r="M672" s="1919"/>
      <c r="N672" s="1919">
        <f>24.379-24.323</f>
        <v>5.6000000000000938E-2</v>
      </c>
      <c r="O672" s="1949"/>
      <c r="P672" s="1950"/>
      <c r="Q672" s="1951"/>
      <c r="R672" s="925"/>
      <c r="S672" s="716"/>
      <c r="T672" s="2764"/>
      <c r="U672" s="1892"/>
      <c r="V672" s="1892"/>
      <c r="W672" s="1890"/>
      <c r="X672" s="1891"/>
      <c r="Y672" s="1890"/>
      <c r="Z672" s="1897"/>
      <c r="AE672" s="2461"/>
      <c r="AF672" s="68"/>
    </row>
    <row r="673" spans="1:32" ht="17.5" x14ac:dyDescent="0.35">
      <c r="A673" s="1886"/>
      <c r="B673" s="1060"/>
      <c r="C673" s="1060"/>
      <c r="D673" s="759"/>
      <c r="E673" s="1394" t="s">
        <v>11649</v>
      </c>
      <c r="F673" s="1834">
        <v>5</v>
      </c>
      <c r="G673" s="1834">
        <v>5</v>
      </c>
      <c r="H673" s="1834">
        <v>6</v>
      </c>
      <c r="I673" s="1918"/>
      <c r="J673" s="1918"/>
      <c r="K673" s="1919"/>
      <c r="L673" s="1919"/>
      <c r="M673" s="1919"/>
      <c r="N673" s="1919"/>
      <c r="O673" s="1949"/>
      <c r="P673" s="1950"/>
      <c r="Q673" s="1951">
        <f>24.428-24.379</f>
        <v>4.8999999999999488E-2</v>
      </c>
      <c r="R673" s="925"/>
      <c r="S673" s="716"/>
      <c r="T673" s="2764"/>
      <c r="U673" s="1892"/>
      <c r="V673" s="1892"/>
      <c r="W673" s="1890"/>
      <c r="X673" s="1891"/>
      <c r="Y673" s="1890"/>
      <c r="Z673" s="1897"/>
      <c r="AE673" s="2461"/>
      <c r="AF673" s="68"/>
    </row>
    <row r="674" spans="1:32" ht="45" x14ac:dyDescent="0.35">
      <c r="A674" s="1886">
        <v>282</v>
      </c>
      <c r="B674" s="1060">
        <v>11434</v>
      </c>
      <c r="C674" s="1979" t="s">
        <v>1655</v>
      </c>
      <c r="D674" s="2471" t="s">
        <v>5576</v>
      </c>
      <c r="E674" s="1980" t="s">
        <v>7391</v>
      </c>
      <c r="F674" s="1953" t="s">
        <v>664</v>
      </c>
      <c r="G674" s="1953">
        <v>5</v>
      </c>
      <c r="H674" s="1620">
        <v>6</v>
      </c>
      <c r="I674" s="702">
        <f t="shared" si="36"/>
        <v>3</v>
      </c>
      <c r="J674" s="702">
        <f t="shared" si="37"/>
        <v>3</v>
      </c>
      <c r="K674" s="703"/>
      <c r="L674" s="703"/>
      <c r="M674" s="1387"/>
      <c r="N674" s="703"/>
      <c r="O674" s="1379"/>
      <c r="P674" s="1372"/>
      <c r="Q674" s="1364"/>
      <c r="R674" s="1357">
        <v>3</v>
      </c>
      <c r="S674" s="730"/>
      <c r="T674" s="1931"/>
      <c r="U674" s="732"/>
      <c r="V674" s="732"/>
      <c r="W674" s="730"/>
      <c r="X674" s="731"/>
      <c r="Y674" s="730"/>
      <c r="Z674" s="1708"/>
      <c r="AB674" s="3">
        <v>1</v>
      </c>
      <c r="AE674" s="2461"/>
      <c r="AF674" s="68"/>
    </row>
    <row r="675" spans="1:32" ht="30.5" x14ac:dyDescent="0.35">
      <c r="A675" s="1880"/>
      <c r="B675" s="1059" t="s">
        <v>692</v>
      </c>
      <c r="C675" s="1059"/>
      <c r="D675" s="755"/>
      <c r="E675" s="1582" t="s">
        <v>1988</v>
      </c>
      <c r="F675" s="1834"/>
      <c r="G675" s="1953"/>
      <c r="H675" s="1953"/>
      <c r="I675" s="702"/>
      <c r="J675" s="702"/>
      <c r="K675" s="703"/>
      <c r="L675" s="703"/>
      <c r="M675" s="1387"/>
      <c r="N675" s="703"/>
      <c r="O675" s="1379"/>
      <c r="P675" s="1372"/>
      <c r="Q675" s="1364"/>
      <c r="R675" s="1355"/>
      <c r="S675" s="1890"/>
      <c r="T675" s="1931"/>
      <c r="U675" s="1892"/>
      <c r="V675" s="1892"/>
      <c r="W675" s="1890"/>
      <c r="X675" s="1891"/>
      <c r="Y675" s="1890"/>
      <c r="Z675" s="1897"/>
      <c r="AE675" s="2461"/>
      <c r="AF675" s="68"/>
    </row>
    <row r="676" spans="1:32" ht="30" x14ac:dyDescent="0.35">
      <c r="A676" s="1886">
        <v>283</v>
      </c>
      <c r="B676" s="1059" t="s">
        <v>692</v>
      </c>
      <c r="C676" s="1059"/>
      <c r="D676" s="2471" t="s">
        <v>5577</v>
      </c>
      <c r="E676" s="715" t="s">
        <v>7305</v>
      </c>
      <c r="F676" s="1834">
        <v>5</v>
      </c>
      <c r="G676" s="1834">
        <v>5</v>
      </c>
      <c r="H676" s="179">
        <v>6</v>
      </c>
      <c r="I676" s="702">
        <f>J676+K676+L676</f>
        <v>1.1000000000000001</v>
      </c>
      <c r="J676" s="702">
        <f>SUM(M676:R676)</f>
        <v>1.1000000000000001</v>
      </c>
      <c r="K676" s="703"/>
      <c r="L676" s="703"/>
      <c r="M676" s="1387"/>
      <c r="N676" s="717">
        <v>1.1000000000000001</v>
      </c>
      <c r="O676" s="1379"/>
      <c r="P676" s="1372"/>
      <c r="Q676" s="1364"/>
      <c r="R676" s="1354"/>
      <c r="S676" s="1882"/>
      <c r="T676" s="1931"/>
      <c r="U676" s="1874"/>
      <c r="V676" s="1874"/>
      <c r="W676" s="716">
        <v>2</v>
      </c>
      <c r="X676" s="333">
        <v>20.9</v>
      </c>
      <c r="Y676" s="716"/>
      <c r="Z676" s="1706"/>
      <c r="AB676" s="3">
        <v>1</v>
      </c>
      <c r="AE676" s="2461"/>
      <c r="AF676" s="68"/>
    </row>
    <row r="677" spans="1:32" ht="30" x14ac:dyDescent="0.35">
      <c r="A677" s="1880">
        <v>284</v>
      </c>
      <c r="B677" s="1059" t="s">
        <v>692</v>
      </c>
      <c r="C677" s="1059"/>
      <c r="D677" s="2471" t="s">
        <v>5578</v>
      </c>
      <c r="E677" s="733" t="s">
        <v>9363</v>
      </c>
      <c r="F677" s="1834">
        <v>4</v>
      </c>
      <c r="G677" s="1834">
        <v>4</v>
      </c>
      <c r="H677" s="179">
        <v>6</v>
      </c>
      <c r="I677" s="702">
        <f>J677+K677+L677</f>
        <v>2.7</v>
      </c>
      <c r="J677" s="702">
        <f>SUM(M677:R677)</f>
        <v>2.7</v>
      </c>
      <c r="K677" s="703"/>
      <c r="L677" s="703"/>
      <c r="M677" s="1387"/>
      <c r="N677" s="717">
        <v>2.7</v>
      </c>
      <c r="O677" s="1379"/>
      <c r="P677" s="1372"/>
      <c r="Q677" s="1364"/>
      <c r="R677" s="1354"/>
      <c r="S677" s="1882"/>
      <c r="T677" s="1931"/>
      <c r="U677" s="1874"/>
      <c r="V677" s="1874"/>
      <c r="W677" s="716">
        <v>7</v>
      </c>
      <c r="X677" s="333">
        <v>149.69999999999999</v>
      </c>
      <c r="Y677" s="716">
        <v>1</v>
      </c>
      <c r="Z677" s="1706">
        <v>15.15</v>
      </c>
      <c r="AB677" s="3">
        <v>1</v>
      </c>
      <c r="AE677" s="2461"/>
      <c r="AF677" s="68"/>
    </row>
    <row r="678" spans="1:32" ht="30" x14ac:dyDescent="0.35">
      <c r="A678" s="1886">
        <v>285</v>
      </c>
      <c r="B678" s="1148">
        <v>11009</v>
      </c>
      <c r="C678" s="2083" t="s">
        <v>1656</v>
      </c>
      <c r="D678" s="2470" t="s">
        <v>5503</v>
      </c>
      <c r="E678" s="739" t="s">
        <v>9275</v>
      </c>
      <c r="F678" s="1953" t="s">
        <v>664</v>
      </c>
      <c r="G678" s="1953">
        <v>5</v>
      </c>
      <c r="H678" s="1620">
        <v>6</v>
      </c>
      <c r="I678" s="702">
        <f>J678+K678+L678</f>
        <v>0.1</v>
      </c>
      <c r="J678" s="702">
        <f>SUM(M678:R678)</f>
        <v>0.1</v>
      </c>
      <c r="K678" s="703"/>
      <c r="L678" s="703"/>
      <c r="M678" s="1387"/>
      <c r="N678" s="703"/>
      <c r="O678" s="1379"/>
      <c r="P678" s="1372"/>
      <c r="Q678" s="1364"/>
      <c r="R678" s="929">
        <v>0.1</v>
      </c>
      <c r="S678" s="1890"/>
      <c r="T678" s="1931"/>
      <c r="U678" s="1892"/>
      <c r="V678" s="1892"/>
      <c r="W678" s="730"/>
      <c r="X678" s="731"/>
      <c r="Y678" s="730"/>
      <c r="Z678" s="1708"/>
      <c r="AB678" s="3">
        <v>1</v>
      </c>
      <c r="AE678" s="2461"/>
      <c r="AF678" s="68"/>
    </row>
    <row r="679" spans="1:32" ht="30" x14ac:dyDescent="0.35">
      <c r="A679" s="1880">
        <v>286</v>
      </c>
      <c r="B679" s="1059" t="s">
        <v>692</v>
      </c>
      <c r="C679" s="1059"/>
      <c r="D679" s="2471" t="s">
        <v>5579</v>
      </c>
      <c r="E679" s="715" t="s">
        <v>7864</v>
      </c>
      <c r="F679" s="1834">
        <v>5</v>
      </c>
      <c r="G679" s="1834">
        <v>5</v>
      </c>
      <c r="H679" s="179">
        <v>6</v>
      </c>
      <c r="I679" s="702">
        <f>J679+K679+L679</f>
        <v>0.8</v>
      </c>
      <c r="J679" s="702">
        <f>SUM(M679:R679)</f>
        <v>0.8</v>
      </c>
      <c r="K679" s="703"/>
      <c r="L679" s="703"/>
      <c r="M679" s="1387"/>
      <c r="N679" s="717">
        <v>0.8</v>
      </c>
      <c r="O679" s="1379"/>
      <c r="P679" s="1372"/>
      <c r="Q679" s="1364"/>
      <c r="R679" s="929"/>
      <c r="S679" s="1890"/>
      <c r="T679" s="1931"/>
      <c r="U679" s="1892"/>
      <c r="V679" s="1892"/>
      <c r="W679" s="1890">
        <v>3</v>
      </c>
      <c r="X679" s="1900">
        <v>35.49</v>
      </c>
      <c r="Y679" s="1901">
        <v>1</v>
      </c>
      <c r="Z679" s="1902">
        <v>10.14</v>
      </c>
      <c r="AB679" s="3">
        <v>1</v>
      </c>
      <c r="AE679" s="2461"/>
      <c r="AF679" s="68"/>
    </row>
    <row r="680" spans="1:32" ht="45.5" x14ac:dyDescent="0.35">
      <c r="A680" s="1872"/>
      <c r="B680" s="1059" t="s">
        <v>9468</v>
      </c>
      <c r="C680" s="1059"/>
      <c r="D680" s="759"/>
      <c r="E680" s="1915" t="s">
        <v>9461</v>
      </c>
      <c r="F680" s="1953"/>
      <c r="G680" s="1953"/>
      <c r="H680" s="1953"/>
      <c r="I680" s="702"/>
      <c r="J680" s="702"/>
      <c r="K680" s="703"/>
      <c r="L680" s="703"/>
      <c r="M680" s="1387"/>
      <c r="N680" s="703"/>
      <c r="O680" s="1379"/>
      <c r="P680" s="1372"/>
      <c r="Q680" s="1364"/>
      <c r="R680" s="925"/>
      <c r="S680" s="1890"/>
      <c r="T680" s="1931"/>
      <c r="U680" s="1892"/>
      <c r="V680" s="1892"/>
      <c r="W680" s="1890"/>
      <c r="X680" s="1891"/>
      <c r="Y680" s="1890"/>
      <c r="Z680" s="1897"/>
      <c r="AE680" s="2461"/>
      <c r="AF680" s="68"/>
    </row>
    <row r="681" spans="1:32" ht="60" x14ac:dyDescent="0.35">
      <c r="A681" s="1880">
        <v>287</v>
      </c>
      <c r="B681" s="1059" t="s">
        <v>39</v>
      </c>
      <c r="C681" s="1059"/>
      <c r="D681" s="2471" t="s">
        <v>5580</v>
      </c>
      <c r="E681" s="733" t="s">
        <v>9469</v>
      </c>
      <c r="F681" s="1834"/>
      <c r="G681" s="1834" t="s">
        <v>191</v>
      </c>
      <c r="H681" s="1620" t="s">
        <v>191</v>
      </c>
      <c r="I681" s="702">
        <f>J681+K681+L681</f>
        <v>1.9</v>
      </c>
      <c r="J681" s="702">
        <f>SUM(M681:R681)</f>
        <v>1.9</v>
      </c>
      <c r="K681" s="703"/>
      <c r="L681" s="703"/>
      <c r="M681" s="1387"/>
      <c r="N681" s="703"/>
      <c r="O681" s="1379"/>
      <c r="P681" s="1372"/>
      <c r="Q681" s="1364"/>
      <c r="R681" s="1355">
        <f>SUM(R682:R683)</f>
        <v>1.9</v>
      </c>
      <c r="S681" s="1882"/>
      <c r="T681" s="1931"/>
      <c r="U681" s="1874"/>
      <c r="V681" s="1874"/>
      <c r="W681" s="701">
        <v>1</v>
      </c>
      <c r="X681" s="333">
        <v>10.199999999999999</v>
      </c>
      <c r="Y681" s="1884"/>
      <c r="Z681" s="1885"/>
      <c r="AB681" s="3">
        <v>1</v>
      </c>
      <c r="AE681" s="2461"/>
      <c r="AF681" s="68"/>
    </row>
    <row r="682" spans="1:32" ht="17.5" x14ac:dyDescent="0.35">
      <c r="A682" s="1880"/>
      <c r="B682" s="1059" t="s">
        <v>39</v>
      </c>
      <c r="C682" s="1059"/>
      <c r="D682" s="757"/>
      <c r="E682" s="1996" t="s">
        <v>2628</v>
      </c>
      <c r="F682" s="1834" t="s">
        <v>1490</v>
      </c>
      <c r="G682" s="1834">
        <v>5</v>
      </c>
      <c r="H682" s="1620">
        <v>6</v>
      </c>
      <c r="I682" s="702"/>
      <c r="J682" s="702"/>
      <c r="K682" s="703"/>
      <c r="L682" s="703"/>
      <c r="M682" s="1387"/>
      <c r="N682" s="703"/>
      <c r="O682" s="1379"/>
      <c r="P682" s="1372"/>
      <c r="Q682" s="1364"/>
      <c r="R682" s="1968">
        <v>1</v>
      </c>
      <c r="S682" s="1882"/>
      <c r="T682" s="1931"/>
      <c r="U682" s="1874"/>
      <c r="V682" s="1874"/>
      <c r="W682" s="1882"/>
      <c r="X682" s="1883"/>
      <c r="Y682" s="1884"/>
      <c r="Z682" s="1885"/>
      <c r="AE682" s="2461"/>
      <c r="AF682" s="68"/>
    </row>
    <row r="683" spans="1:32" ht="17.5" x14ac:dyDescent="0.35">
      <c r="A683" s="1880"/>
      <c r="B683" s="1059" t="s">
        <v>39</v>
      </c>
      <c r="C683" s="1059"/>
      <c r="D683" s="757"/>
      <c r="E683" s="1996" t="s">
        <v>503</v>
      </c>
      <c r="F683" s="1834" t="s">
        <v>664</v>
      </c>
      <c r="G683" s="1834">
        <v>5</v>
      </c>
      <c r="H683" s="1620">
        <v>6</v>
      </c>
      <c r="I683" s="702"/>
      <c r="J683" s="702"/>
      <c r="K683" s="703"/>
      <c r="L683" s="703"/>
      <c r="M683" s="1387"/>
      <c r="N683" s="703"/>
      <c r="O683" s="1379"/>
      <c r="P683" s="1372"/>
      <c r="Q683" s="1364"/>
      <c r="R683" s="1968">
        <v>0.9</v>
      </c>
      <c r="S683" s="1882"/>
      <c r="T683" s="1931"/>
      <c r="U683" s="1874"/>
      <c r="V683" s="1874"/>
      <c r="W683" s="1882"/>
      <c r="X683" s="1883"/>
      <c r="Y683" s="1884"/>
      <c r="Z683" s="1885"/>
      <c r="AE683" s="2461"/>
      <c r="AF683" s="68"/>
    </row>
    <row r="684" spans="1:32" ht="60" x14ac:dyDescent="0.35">
      <c r="A684" s="1880">
        <v>288</v>
      </c>
      <c r="B684" s="1059" t="s">
        <v>39</v>
      </c>
      <c r="C684" s="1059"/>
      <c r="D684" s="2471" t="s">
        <v>5581</v>
      </c>
      <c r="E684" s="715" t="s">
        <v>9470</v>
      </c>
      <c r="F684" s="1834">
        <v>5</v>
      </c>
      <c r="G684" s="1834">
        <v>5</v>
      </c>
      <c r="H684" s="1834">
        <v>6</v>
      </c>
      <c r="I684" s="702">
        <f>J684+K684+L684</f>
        <v>3.1</v>
      </c>
      <c r="J684" s="702">
        <f>SUM(M684:R684)</f>
        <v>3.1</v>
      </c>
      <c r="K684" s="703"/>
      <c r="L684" s="703"/>
      <c r="M684" s="1387"/>
      <c r="N684" s="703"/>
      <c r="O684" s="1379"/>
      <c r="P684" s="1372"/>
      <c r="Q684" s="1365">
        <v>3.1</v>
      </c>
      <c r="R684" s="1354"/>
      <c r="S684" s="716">
        <v>1</v>
      </c>
      <c r="T684" s="1931">
        <v>19</v>
      </c>
      <c r="U684" s="705"/>
      <c r="V684" s="705"/>
      <c r="W684" s="716">
        <v>10</v>
      </c>
      <c r="X684" s="333">
        <v>108.83</v>
      </c>
      <c r="Y684" s="716">
        <v>4</v>
      </c>
      <c r="Z684" s="1706">
        <v>40.4</v>
      </c>
      <c r="AB684" s="3">
        <v>1</v>
      </c>
      <c r="AE684" s="2461"/>
      <c r="AF684" s="68"/>
    </row>
    <row r="685" spans="1:32" ht="75" x14ac:dyDescent="0.35">
      <c r="A685" s="1880">
        <v>289</v>
      </c>
      <c r="B685" s="2219" t="s">
        <v>39</v>
      </c>
      <c r="C685" s="2083" t="s">
        <v>1656</v>
      </c>
      <c r="D685" s="2471" t="s">
        <v>5582</v>
      </c>
      <c r="E685" s="2113" t="s">
        <v>10851</v>
      </c>
      <c r="F685" s="2210"/>
      <c r="G685" s="2210" t="s">
        <v>191</v>
      </c>
      <c r="H685" s="1620" t="s">
        <v>191</v>
      </c>
      <c r="I685" s="580">
        <f>J685+K685+L685</f>
        <v>2.8</v>
      </c>
      <c r="J685" s="2216">
        <f>SUM(M685:R685)</f>
        <v>2.1999999999999997</v>
      </c>
      <c r="K685" s="527"/>
      <c r="L685" s="580">
        <f>SUM(L686:L688)</f>
        <v>0.60000000000000009</v>
      </c>
      <c r="M685" s="527"/>
      <c r="N685" s="580"/>
      <c r="O685" s="2215"/>
      <c r="P685" s="527"/>
      <c r="Q685" s="913"/>
      <c r="R685" s="906">
        <f>SUM(R686:R688)</f>
        <v>2.1999999999999997</v>
      </c>
      <c r="S685" s="92"/>
      <c r="T685" s="1931"/>
      <c r="U685" s="92"/>
      <c r="V685" s="92"/>
      <c r="W685" s="92"/>
      <c r="X685" s="92"/>
      <c r="Y685" s="92"/>
      <c r="Z685" s="70"/>
      <c r="AB685" s="3">
        <v>1</v>
      </c>
      <c r="AE685" s="2461"/>
      <c r="AF685" s="68"/>
    </row>
    <row r="686" spans="1:32" x14ac:dyDescent="0.35">
      <c r="A686" s="1880"/>
      <c r="B686" s="2219"/>
      <c r="C686" s="2083"/>
      <c r="D686" s="2471"/>
      <c r="E686" s="1996" t="s">
        <v>7083</v>
      </c>
      <c r="F686" s="2210" t="s">
        <v>664</v>
      </c>
      <c r="G686" s="2210">
        <v>5</v>
      </c>
      <c r="H686" s="1620">
        <v>6</v>
      </c>
      <c r="I686" s="581"/>
      <c r="J686" s="2212"/>
      <c r="K686" s="2210"/>
      <c r="L686" s="581"/>
      <c r="M686" s="2210"/>
      <c r="N686" s="581"/>
      <c r="O686" s="2211"/>
      <c r="P686" s="2210"/>
      <c r="Q686" s="914"/>
      <c r="R686" s="907">
        <v>2.0499999999999998</v>
      </c>
      <c r="S686" s="92"/>
      <c r="T686" s="1931"/>
      <c r="U686" s="92"/>
      <c r="V686" s="92"/>
      <c r="W686" s="92"/>
      <c r="X686" s="92"/>
      <c r="Y686" s="92"/>
      <c r="Z686" s="70"/>
      <c r="AE686" s="2461"/>
      <c r="AF686" s="68"/>
    </row>
    <row r="687" spans="1:32" ht="46.5" x14ac:dyDescent="0.35">
      <c r="A687" s="1880"/>
      <c r="B687" s="2219"/>
      <c r="C687" s="2083"/>
      <c r="D687" s="2471"/>
      <c r="E687" s="2214" t="s">
        <v>7082</v>
      </c>
      <c r="F687" s="2210" t="s">
        <v>664</v>
      </c>
      <c r="G687" s="2210">
        <v>5</v>
      </c>
      <c r="H687" s="1620" t="s">
        <v>191</v>
      </c>
      <c r="I687" s="581"/>
      <c r="J687" s="2212"/>
      <c r="K687" s="2210"/>
      <c r="L687" s="581">
        <f>2.65-2.05</f>
        <v>0.60000000000000009</v>
      </c>
      <c r="M687" s="2210"/>
      <c r="N687" s="581"/>
      <c r="O687" s="2211"/>
      <c r="P687" s="2210"/>
      <c r="Q687" s="914"/>
      <c r="R687" s="907"/>
      <c r="S687" s="92"/>
      <c r="T687" s="1931"/>
      <c r="U687" s="92"/>
      <c r="V687" s="92"/>
      <c r="W687" s="92"/>
      <c r="X687" s="92"/>
      <c r="Y687" s="92"/>
      <c r="Z687" s="70"/>
      <c r="AE687" s="2461"/>
      <c r="AF687" s="68"/>
    </row>
    <row r="688" spans="1:32" x14ac:dyDescent="0.35">
      <c r="A688" s="1880"/>
      <c r="B688" s="2219"/>
      <c r="C688" s="2083"/>
      <c r="D688" s="2471"/>
      <c r="E688" s="1996" t="s">
        <v>7084</v>
      </c>
      <c r="F688" s="2210" t="s">
        <v>664</v>
      </c>
      <c r="G688" s="2210">
        <v>5</v>
      </c>
      <c r="H688" s="1620">
        <v>6</v>
      </c>
      <c r="I688" s="581"/>
      <c r="J688" s="2212"/>
      <c r="K688" s="2210"/>
      <c r="L688" s="2210"/>
      <c r="M688" s="2210"/>
      <c r="N688" s="581"/>
      <c r="O688" s="2211"/>
      <c r="P688" s="2210"/>
      <c r="Q688" s="914"/>
      <c r="R688" s="907">
        <f>2.8-2.65</f>
        <v>0.14999999999999991</v>
      </c>
      <c r="S688" s="92"/>
      <c r="T688" s="1931"/>
      <c r="U688" s="92"/>
      <c r="V688" s="92"/>
      <c r="W688" s="92"/>
      <c r="X688" s="92"/>
      <c r="Y688" s="92"/>
      <c r="Z688" s="70"/>
      <c r="AE688" s="2461"/>
      <c r="AF688" s="68"/>
    </row>
    <row r="689" spans="1:32" ht="60" x14ac:dyDescent="0.35">
      <c r="A689" s="1880">
        <v>290</v>
      </c>
      <c r="B689" s="1059" t="s">
        <v>39</v>
      </c>
      <c r="C689" s="1059"/>
      <c r="D689" s="2471" t="s">
        <v>5583</v>
      </c>
      <c r="E689" s="715" t="s">
        <v>9471</v>
      </c>
      <c r="F689" s="1834"/>
      <c r="G689" s="1834" t="s">
        <v>191</v>
      </c>
      <c r="H689" s="1943" t="s">
        <v>191</v>
      </c>
      <c r="I689" s="702">
        <f>J689+K689+L689</f>
        <v>8.0129999999999999</v>
      </c>
      <c r="J689" s="702">
        <f>SUM(M689:R689)</f>
        <v>7.9769999999999994</v>
      </c>
      <c r="K689" s="703">
        <f>SUM(K690:K695)</f>
        <v>3.5999999999999997E-2</v>
      </c>
      <c r="L689" s="703"/>
      <c r="M689" s="1389">
        <f>SUM(M690:M695)</f>
        <v>2.722</v>
      </c>
      <c r="N689" s="717">
        <f>SUM(N690:N695)</f>
        <v>4.157</v>
      </c>
      <c r="O689" s="1379"/>
      <c r="P689" s="1372"/>
      <c r="Q689" s="1364">
        <f>SUM(Q690:Q695)</f>
        <v>0</v>
      </c>
      <c r="R689" s="1355">
        <f>SUM(R690:R695)</f>
        <v>1.0979999999999999</v>
      </c>
      <c r="S689" s="701"/>
      <c r="T689" s="1931"/>
      <c r="U689" s="705"/>
      <c r="V689" s="705"/>
      <c r="W689" s="716">
        <v>9</v>
      </c>
      <c r="X689" s="333">
        <v>109</v>
      </c>
      <c r="Y689" s="716">
        <v>2</v>
      </c>
      <c r="Z689" s="1706">
        <v>20</v>
      </c>
      <c r="AA689" s="3" t="s">
        <v>1534</v>
      </c>
      <c r="AB689" s="3">
        <v>1</v>
      </c>
      <c r="AE689" s="2461"/>
      <c r="AF689" s="68"/>
    </row>
    <row r="690" spans="1:32" ht="31" x14ac:dyDescent="0.35">
      <c r="A690" s="1880"/>
      <c r="B690" s="1059"/>
      <c r="C690" s="1059"/>
      <c r="D690" s="2471"/>
      <c r="E690" s="711" t="s">
        <v>9472</v>
      </c>
      <c r="F690" s="1834">
        <v>4</v>
      </c>
      <c r="G690" s="1834">
        <v>4</v>
      </c>
      <c r="H690" s="1943" t="s">
        <v>191</v>
      </c>
      <c r="I690" s="1918"/>
      <c r="J690" s="1918"/>
      <c r="K690" s="1919">
        <v>3.5999999999999997E-2</v>
      </c>
      <c r="L690" s="1919"/>
      <c r="M690" s="1948"/>
      <c r="N690" s="2076"/>
      <c r="O690" s="1949"/>
      <c r="P690" s="1950"/>
      <c r="Q690" s="1951"/>
      <c r="R690" s="1968"/>
      <c r="S690" s="701"/>
      <c r="T690" s="1931"/>
      <c r="U690" s="705"/>
      <c r="V690" s="705"/>
      <c r="W690" s="716"/>
      <c r="X690" s="333"/>
      <c r="Y690" s="716"/>
      <c r="Z690" s="1706"/>
      <c r="AE690" s="2461"/>
      <c r="AF690" s="68"/>
    </row>
    <row r="691" spans="1:32" x14ac:dyDescent="0.35">
      <c r="A691" s="1880"/>
      <c r="B691" s="1059"/>
      <c r="C691" s="1059"/>
      <c r="D691" s="2471"/>
      <c r="E691" s="711" t="s">
        <v>6854</v>
      </c>
      <c r="F691" s="1834">
        <v>4</v>
      </c>
      <c r="G691" s="1834">
        <v>4</v>
      </c>
      <c r="H691" s="1943">
        <v>6</v>
      </c>
      <c r="I691" s="1918"/>
      <c r="J691" s="1918"/>
      <c r="K691" s="1919"/>
      <c r="L691" s="1919"/>
      <c r="M691" s="1948"/>
      <c r="N691" s="2076">
        <f>0.071-0.036</f>
        <v>3.4999999999999996E-2</v>
      </c>
      <c r="O691" s="1949"/>
      <c r="P691" s="1950"/>
      <c r="Q691" s="1951"/>
      <c r="R691" s="1968"/>
      <c r="S691" s="701"/>
      <c r="T691" s="1931"/>
      <c r="U691" s="705"/>
      <c r="V691" s="705"/>
      <c r="W691" s="716"/>
      <c r="X691" s="333"/>
      <c r="Y691" s="716"/>
      <c r="Z691" s="1706"/>
      <c r="AE691" s="2461"/>
      <c r="AF691" s="68"/>
    </row>
    <row r="692" spans="1:32" x14ac:dyDescent="0.35">
      <c r="A692" s="1886"/>
      <c r="B692" s="1059" t="s">
        <v>39</v>
      </c>
      <c r="C692" s="1059"/>
      <c r="D692" s="754"/>
      <c r="E692" s="1399" t="s">
        <v>6855</v>
      </c>
      <c r="F692" s="1834">
        <v>4</v>
      </c>
      <c r="G692" s="1620">
        <v>4</v>
      </c>
      <c r="H692" s="1943">
        <v>10</v>
      </c>
      <c r="I692" s="1936"/>
      <c r="J692" s="1936"/>
      <c r="K692" s="1937"/>
      <c r="L692" s="1937"/>
      <c r="M692" s="1948">
        <f>2.793-0.071</f>
        <v>2.722</v>
      </c>
      <c r="N692" s="1937"/>
      <c r="O692" s="1949"/>
      <c r="P692" s="1950"/>
      <c r="Q692" s="1951"/>
      <c r="R692" s="1952"/>
      <c r="S692" s="720"/>
      <c r="T692" s="1931"/>
      <c r="U692" s="728"/>
      <c r="V692" s="728"/>
      <c r="W692" s="720"/>
      <c r="X692" s="332"/>
      <c r="Y692" s="725"/>
      <c r="Z692" s="2664"/>
      <c r="AA692" s="3" t="s">
        <v>1534</v>
      </c>
      <c r="AE692" s="2461"/>
      <c r="AF692" s="68"/>
    </row>
    <row r="693" spans="1:32" x14ac:dyDescent="0.35">
      <c r="A693" s="1886"/>
      <c r="B693" s="1059" t="s">
        <v>39</v>
      </c>
      <c r="C693" s="1059"/>
      <c r="D693" s="754"/>
      <c r="E693" s="2917" t="s">
        <v>6856</v>
      </c>
      <c r="F693" s="1834">
        <v>4</v>
      </c>
      <c r="G693" s="1620">
        <v>4</v>
      </c>
      <c r="H693" s="1834">
        <v>6</v>
      </c>
      <c r="I693" s="1936"/>
      <c r="J693" s="1936"/>
      <c r="K693" s="1937"/>
      <c r="L693" s="1937"/>
      <c r="M693" s="1920"/>
      <c r="N693" s="2923">
        <f>4.464-2.793</f>
        <v>1.6710000000000003</v>
      </c>
      <c r="O693" s="1949"/>
      <c r="P693" s="1950"/>
      <c r="Q693" s="1951">
        <v>0</v>
      </c>
      <c r="R693" s="1952"/>
      <c r="S693" s="720"/>
      <c r="T693" s="1931"/>
      <c r="U693" s="728"/>
      <c r="V693" s="728"/>
      <c r="W693" s="720"/>
      <c r="X693" s="332"/>
      <c r="Y693" s="725"/>
      <c r="Z693" s="2664"/>
      <c r="AE693" s="2461"/>
      <c r="AF693" s="68"/>
    </row>
    <row r="694" spans="1:32" x14ac:dyDescent="0.35">
      <c r="A694" s="1886"/>
      <c r="B694" s="1059" t="s">
        <v>39</v>
      </c>
      <c r="C694" s="1059"/>
      <c r="D694" s="754"/>
      <c r="E694" s="711" t="s">
        <v>6857</v>
      </c>
      <c r="F694" s="1834">
        <v>4</v>
      </c>
      <c r="G694" s="1620">
        <v>4</v>
      </c>
      <c r="H694" s="179">
        <v>6</v>
      </c>
      <c r="I694" s="1936"/>
      <c r="J694" s="1936"/>
      <c r="K694" s="1937"/>
      <c r="L694" s="1937"/>
      <c r="M694" s="1920"/>
      <c r="N694" s="1970">
        <f>6.915-4.464</f>
        <v>2.4509999999999996</v>
      </c>
      <c r="O694" s="1949"/>
      <c r="P694" s="1950"/>
      <c r="Q694" s="1951"/>
      <c r="R694" s="1952"/>
      <c r="S694" s="720"/>
      <c r="T694" s="1931"/>
      <c r="U694" s="728"/>
      <c r="V694" s="728"/>
      <c r="W694" s="720"/>
      <c r="X694" s="332"/>
      <c r="Y694" s="725"/>
      <c r="Z694" s="2664"/>
      <c r="AE694" s="2461"/>
      <c r="AF694" s="68"/>
    </row>
    <row r="695" spans="1:32" x14ac:dyDescent="0.35">
      <c r="A695" s="1886"/>
      <c r="B695" s="1059" t="s">
        <v>39</v>
      </c>
      <c r="C695" s="1059"/>
      <c r="D695" s="754"/>
      <c r="E695" s="1390" t="s">
        <v>6858</v>
      </c>
      <c r="F695" s="1834" t="s">
        <v>664</v>
      </c>
      <c r="G695" s="1620">
        <v>4</v>
      </c>
      <c r="H695" s="1620">
        <v>6</v>
      </c>
      <c r="I695" s="1936"/>
      <c r="J695" s="1936"/>
      <c r="K695" s="1937"/>
      <c r="L695" s="1937"/>
      <c r="M695" s="1920"/>
      <c r="N695" s="1937"/>
      <c r="O695" s="1949"/>
      <c r="P695" s="1950"/>
      <c r="Q695" s="1951"/>
      <c r="R695" s="1968">
        <f>8.013-6.915</f>
        <v>1.0979999999999999</v>
      </c>
      <c r="S695" s="720"/>
      <c r="T695" s="1931"/>
      <c r="U695" s="728"/>
      <c r="V695" s="728"/>
      <c r="W695" s="720"/>
      <c r="X695" s="332"/>
      <c r="Y695" s="725"/>
      <c r="Z695" s="2664"/>
      <c r="AE695" s="2461"/>
      <c r="AF695" s="68"/>
    </row>
    <row r="696" spans="1:32" ht="75" x14ac:dyDescent="0.35">
      <c r="A696" s="1896">
        <v>292</v>
      </c>
      <c r="B696" s="1060" t="s">
        <v>39</v>
      </c>
      <c r="C696" s="2083" t="s">
        <v>1656</v>
      </c>
      <c r="D696" s="2471" t="s">
        <v>5584</v>
      </c>
      <c r="E696" s="739" t="s">
        <v>9473</v>
      </c>
      <c r="F696" s="1953" t="s">
        <v>664</v>
      </c>
      <c r="G696" s="1953">
        <v>5</v>
      </c>
      <c r="H696" s="1620">
        <v>6</v>
      </c>
      <c r="I696" s="702">
        <f>J696+K696+L696</f>
        <v>0.5</v>
      </c>
      <c r="J696" s="702">
        <f>SUM(M696:R696)</f>
        <v>0.5</v>
      </c>
      <c r="K696" s="703"/>
      <c r="L696" s="703"/>
      <c r="M696" s="1387"/>
      <c r="N696" s="703"/>
      <c r="O696" s="1379"/>
      <c r="P696" s="1372"/>
      <c r="Q696" s="1364"/>
      <c r="R696" s="929">
        <v>0.5</v>
      </c>
      <c r="S696" s="730"/>
      <c r="T696" s="1931"/>
      <c r="U696" s="732"/>
      <c r="V696" s="732"/>
      <c r="W696" s="730"/>
      <c r="X696" s="731"/>
      <c r="Y696" s="730"/>
      <c r="Z696" s="1708"/>
      <c r="AB696" s="3">
        <v>1</v>
      </c>
      <c r="AE696" s="2461"/>
      <c r="AF696" s="68"/>
    </row>
    <row r="697" spans="1:32" ht="75" x14ac:dyDescent="0.35">
      <c r="A697" s="1878">
        <v>293</v>
      </c>
      <c r="B697" s="1059" t="s">
        <v>39</v>
      </c>
      <c r="C697" s="1059"/>
      <c r="D697" s="2471" t="s">
        <v>5585</v>
      </c>
      <c r="E697" s="733" t="s">
        <v>9474</v>
      </c>
      <c r="F697" s="1834"/>
      <c r="G697" s="1834" t="s">
        <v>191</v>
      </c>
      <c r="H697" s="1943" t="s">
        <v>191</v>
      </c>
      <c r="I697" s="702">
        <f>J697+K697+L697</f>
        <v>1.8959999999999999</v>
      </c>
      <c r="J697" s="702">
        <f>SUM(M697:R697)</f>
        <v>1.8959999999999999</v>
      </c>
      <c r="K697" s="703"/>
      <c r="L697" s="703"/>
      <c r="M697" s="1387"/>
      <c r="N697" s="703"/>
      <c r="O697" s="1379"/>
      <c r="P697" s="1372"/>
      <c r="Q697" s="1364">
        <f>SUM(Q698:Q699)</f>
        <v>1.587</v>
      </c>
      <c r="R697" s="1355">
        <f>SUM(R698:R699)</f>
        <v>0.309</v>
      </c>
      <c r="S697" s="701"/>
      <c r="T697" s="1931"/>
      <c r="U697" s="705"/>
      <c r="V697" s="705"/>
      <c r="W697" s="716">
        <v>8</v>
      </c>
      <c r="X697" s="333">
        <v>90.06</v>
      </c>
      <c r="Y697" s="716">
        <v>6</v>
      </c>
      <c r="Z697" s="1706">
        <v>60</v>
      </c>
      <c r="AA697" s="3" t="s">
        <v>998</v>
      </c>
      <c r="AB697" s="3">
        <v>1</v>
      </c>
      <c r="AE697" s="2461"/>
      <c r="AF697" s="68"/>
    </row>
    <row r="698" spans="1:32" x14ac:dyDescent="0.35">
      <c r="A698" s="1878"/>
      <c r="B698" s="1059" t="s">
        <v>39</v>
      </c>
      <c r="C698" s="1059"/>
      <c r="D698" s="757"/>
      <c r="E698" s="1394" t="s">
        <v>1602</v>
      </c>
      <c r="F698" s="1834" t="s">
        <v>827</v>
      </c>
      <c r="G698" s="1834">
        <v>5</v>
      </c>
      <c r="H698" s="1834">
        <v>6</v>
      </c>
      <c r="I698" s="1918"/>
      <c r="J698" s="1918"/>
      <c r="K698" s="1919"/>
      <c r="L698" s="1919"/>
      <c r="M698" s="1920"/>
      <c r="N698" s="1919"/>
      <c r="O698" s="1949"/>
      <c r="P698" s="1950"/>
      <c r="Q698" s="1951">
        <v>1.587</v>
      </c>
      <c r="R698" s="1968"/>
      <c r="S698" s="701"/>
      <c r="T698" s="1931"/>
      <c r="U698" s="705"/>
      <c r="V698" s="705"/>
      <c r="W698" s="716"/>
      <c r="X698" s="333"/>
      <c r="Y698" s="716"/>
      <c r="Z698" s="1706"/>
      <c r="AE698" s="2461"/>
      <c r="AF698" s="68"/>
    </row>
    <row r="699" spans="1:32" x14ac:dyDescent="0.35">
      <c r="A699" s="1878"/>
      <c r="B699" s="1059" t="s">
        <v>39</v>
      </c>
      <c r="C699" s="1059"/>
      <c r="D699" s="757"/>
      <c r="E699" s="1390" t="s">
        <v>3532</v>
      </c>
      <c r="F699" s="1834" t="s">
        <v>827</v>
      </c>
      <c r="G699" s="1834">
        <v>5</v>
      </c>
      <c r="H699" s="1620">
        <v>6</v>
      </c>
      <c r="I699" s="1918"/>
      <c r="J699" s="1918"/>
      <c r="K699" s="1919"/>
      <c r="L699" s="1919"/>
      <c r="M699" s="1920"/>
      <c r="N699" s="1919"/>
      <c r="O699" s="1949"/>
      <c r="P699" s="1950"/>
      <c r="Q699" s="1951"/>
      <c r="R699" s="1968">
        <v>0.309</v>
      </c>
      <c r="S699" s="701"/>
      <c r="T699" s="1931"/>
      <c r="U699" s="705"/>
      <c r="V699" s="705"/>
      <c r="W699" s="716"/>
      <c r="X699" s="333"/>
      <c r="Y699" s="716"/>
      <c r="Z699" s="1706"/>
      <c r="AE699" s="2461"/>
      <c r="AF699" s="68"/>
    </row>
    <row r="700" spans="1:32" ht="90" x14ac:dyDescent="0.35">
      <c r="A700" s="1896">
        <v>294</v>
      </c>
      <c r="B700" s="1060" t="s">
        <v>39</v>
      </c>
      <c r="C700" s="2083" t="s">
        <v>1656</v>
      </c>
      <c r="D700" s="2471" t="s">
        <v>5586</v>
      </c>
      <c r="E700" s="739" t="s">
        <v>9475</v>
      </c>
      <c r="F700" s="1953" t="s">
        <v>664</v>
      </c>
      <c r="G700" s="1953">
        <v>5</v>
      </c>
      <c r="H700" s="1620">
        <v>6</v>
      </c>
      <c r="I700" s="702">
        <f>J700+K700+L700</f>
        <v>0.7</v>
      </c>
      <c r="J700" s="702">
        <f>SUM(M700:R700)</f>
        <v>0.7</v>
      </c>
      <c r="K700" s="703"/>
      <c r="L700" s="703"/>
      <c r="M700" s="1387"/>
      <c r="N700" s="703"/>
      <c r="O700" s="1379"/>
      <c r="P700" s="1372"/>
      <c r="Q700" s="1364"/>
      <c r="R700" s="929">
        <v>0.7</v>
      </c>
      <c r="S700" s="730"/>
      <c r="T700" s="1931"/>
      <c r="U700" s="732"/>
      <c r="V700" s="732"/>
      <c r="W700" s="730"/>
      <c r="X700" s="731"/>
      <c r="Y700" s="730"/>
      <c r="Z700" s="1708"/>
      <c r="AB700" s="3">
        <v>1</v>
      </c>
      <c r="AE700" s="2461"/>
      <c r="AF700" s="68"/>
    </row>
    <row r="701" spans="1:32" ht="75" x14ac:dyDescent="0.35">
      <c r="A701" s="1896">
        <v>295</v>
      </c>
      <c r="B701" s="1060" t="s">
        <v>39</v>
      </c>
      <c r="C701" s="2083" t="s">
        <v>1656</v>
      </c>
      <c r="D701" s="2471" t="s">
        <v>5587</v>
      </c>
      <c r="E701" s="739" t="s">
        <v>9476</v>
      </c>
      <c r="F701" s="1953" t="s">
        <v>664</v>
      </c>
      <c r="G701" s="1953">
        <v>5</v>
      </c>
      <c r="H701" s="1620">
        <v>6</v>
      </c>
      <c r="I701" s="702">
        <f>J701+K701+L701</f>
        <v>0.9</v>
      </c>
      <c r="J701" s="702">
        <f>SUM(M701:R701)</f>
        <v>0.9</v>
      </c>
      <c r="K701" s="703"/>
      <c r="L701" s="703"/>
      <c r="M701" s="1387"/>
      <c r="N701" s="703"/>
      <c r="O701" s="1379"/>
      <c r="P701" s="1372"/>
      <c r="Q701" s="1364"/>
      <c r="R701" s="929">
        <v>0.9</v>
      </c>
      <c r="S701" s="730"/>
      <c r="T701" s="1931"/>
      <c r="U701" s="732"/>
      <c r="V701" s="732"/>
      <c r="W701" s="730"/>
      <c r="X701" s="731"/>
      <c r="Y701" s="730"/>
      <c r="Z701" s="1708"/>
      <c r="AB701" s="3">
        <v>1</v>
      </c>
      <c r="AE701" s="2461"/>
      <c r="AF701" s="68"/>
    </row>
    <row r="702" spans="1:32" ht="75" x14ac:dyDescent="0.35">
      <c r="A702" s="1896">
        <v>296</v>
      </c>
      <c r="B702" s="1058" t="s">
        <v>39</v>
      </c>
      <c r="C702" s="1058"/>
      <c r="D702" s="2471" t="s">
        <v>5588</v>
      </c>
      <c r="E702" s="715" t="s">
        <v>9477</v>
      </c>
      <c r="F702" s="1834"/>
      <c r="G702" s="1834" t="s">
        <v>191</v>
      </c>
      <c r="H702" s="179" t="s">
        <v>191</v>
      </c>
      <c r="I702" s="702">
        <f>J702+K702+L702</f>
        <v>2.5</v>
      </c>
      <c r="J702" s="702">
        <f>SUM(M702:R702)</f>
        <v>2.5</v>
      </c>
      <c r="K702" s="703"/>
      <c r="L702" s="703"/>
      <c r="M702" s="1387"/>
      <c r="N702" s="717">
        <f>SUM(N703:N707)</f>
        <v>0.70799999999999996</v>
      </c>
      <c r="O702" s="1379"/>
      <c r="P702" s="1372"/>
      <c r="Q702" s="1365">
        <f>SUM(Q703:Q707)</f>
        <v>1.792</v>
      </c>
      <c r="R702" s="929"/>
      <c r="S702" s="730"/>
      <c r="T702" s="1931"/>
      <c r="U702" s="732"/>
      <c r="V702" s="732"/>
      <c r="W702" s="730"/>
      <c r="X702" s="737"/>
      <c r="Y702" s="738"/>
      <c r="Z702" s="1707"/>
      <c r="AB702" s="3">
        <v>1</v>
      </c>
      <c r="AE702" s="2461"/>
      <c r="AF702" s="68"/>
    </row>
    <row r="703" spans="1:32" x14ac:dyDescent="0.35">
      <c r="A703" s="1875"/>
      <c r="B703" s="1058" t="s">
        <v>39</v>
      </c>
      <c r="C703" s="1058"/>
      <c r="D703" s="754"/>
      <c r="E703" s="711" t="s">
        <v>1330</v>
      </c>
      <c r="F703" s="1834" t="s">
        <v>827</v>
      </c>
      <c r="G703" s="1834">
        <v>5</v>
      </c>
      <c r="H703" s="179">
        <v>6</v>
      </c>
      <c r="I703" s="712"/>
      <c r="J703" s="712"/>
      <c r="K703" s="709"/>
      <c r="L703" s="709"/>
      <c r="M703" s="1388"/>
      <c r="N703" s="727">
        <v>0.05</v>
      </c>
      <c r="O703" s="1378"/>
      <c r="P703" s="1371"/>
      <c r="Q703" s="1363"/>
      <c r="R703" s="1014"/>
      <c r="S703" s="722"/>
      <c r="T703" s="1931"/>
      <c r="U703" s="723"/>
      <c r="V703" s="723"/>
      <c r="W703" s="722"/>
      <c r="X703" s="2674"/>
      <c r="Y703" s="2675"/>
      <c r="Z703" s="2676"/>
      <c r="AE703" s="2461"/>
      <c r="AF703" s="68"/>
    </row>
    <row r="704" spans="1:32" x14ac:dyDescent="0.35">
      <c r="A704" s="1875"/>
      <c r="B704" s="1058" t="s">
        <v>39</v>
      </c>
      <c r="C704" s="1058"/>
      <c r="D704" s="754"/>
      <c r="E704" s="1394" t="s">
        <v>10421</v>
      </c>
      <c r="F704" s="1834" t="s">
        <v>827</v>
      </c>
      <c r="G704" s="1834">
        <v>5</v>
      </c>
      <c r="H704" s="179">
        <v>6</v>
      </c>
      <c r="I704" s="712"/>
      <c r="J704" s="712"/>
      <c r="K704" s="709"/>
      <c r="L704" s="709"/>
      <c r="M704" s="1388"/>
      <c r="N704" s="721"/>
      <c r="O704" s="1378"/>
      <c r="P704" s="1371"/>
      <c r="Q704" s="1366">
        <f>0.845-0.05</f>
        <v>0.79499999999999993</v>
      </c>
      <c r="R704" s="1014"/>
      <c r="S704" s="722"/>
      <c r="T704" s="1931"/>
      <c r="U704" s="723"/>
      <c r="V704" s="723"/>
      <c r="W704" s="722"/>
      <c r="X704" s="2674"/>
      <c r="Y704" s="2675"/>
      <c r="Z704" s="2676"/>
      <c r="AE704" s="2461"/>
      <c r="AF704" s="68"/>
    </row>
    <row r="705" spans="1:32" x14ac:dyDescent="0.35">
      <c r="A705" s="1875"/>
      <c r="B705" s="1058" t="s">
        <v>39</v>
      </c>
      <c r="C705" s="1058"/>
      <c r="D705" s="754"/>
      <c r="E705" s="711" t="s">
        <v>10422</v>
      </c>
      <c r="F705" s="1834" t="s">
        <v>827</v>
      </c>
      <c r="G705" s="1834">
        <v>5</v>
      </c>
      <c r="H705" s="179">
        <v>6</v>
      </c>
      <c r="I705" s="712"/>
      <c r="J705" s="712"/>
      <c r="K705" s="709"/>
      <c r="L705" s="709"/>
      <c r="M705" s="1388"/>
      <c r="N705" s="727">
        <f>1.2-0.845</f>
        <v>0.35499999999999998</v>
      </c>
      <c r="O705" s="1378"/>
      <c r="P705" s="1371"/>
      <c r="Q705" s="1363"/>
      <c r="R705" s="1014"/>
      <c r="S705" s="722"/>
      <c r="T705" s="1931"/>
      <c r="U705" s="723"/>
      <c r="V705" s="723"/>
      <c r="W705" s="722"/>
      <c r="X705" s="2674"/>
      <c r="Y705" s="2675"/>
      <c r="Z705" s="2676"/>
      <c r="AE705" s="2461"/>
      <c r="AF705" s="68"/>
    </row>
    <row r="706" spans="1:32" x14ac:dyDescent="0.35">
      <c r="A706" s="1875"/>
      <c r="B706" s="1058" t="s">
        <v>39</v>
      </c>
      <c r="C706" s="1058"/>
      <c r="D706" s="754"/>
      <c r="E706" s="1394" t="s">
        <v>10420</v>
      </c>
      <c r="F706" s="1834" t="s">
        <v>827</v>
      </c>
      <c r="G706" s="1834">
        <v>5</v>
      </c>
      <c r="H706" s="179">
        <v>6</v>
      </c>
      <c r="I706" s="712"/>
      <c r="J706" s="712"/>
      <c r="K706" s="709"/>
      <c r="L706" s="709"/>
      <c r="M706" s="1388"/>
      <c r="N706" s="721"/>
      <c r="O706" s="1378"/>
      <c r="P706" s="1371"/>
      <c r="Q706" s="1366">
        <f>2.197-1.2</f>
        <v>0.99700000000000011</v>
      </c>
      <c r="R706" s="1014"/>
      <c r="S706" s="722"/>
      <c r="T706" s="1931"/>
      <c r="U706" s="723"/>
      <c r="V706" s="723"/>
      <c r="W706" s="722"/>
      <c r="X706" s="2674"/>
      <c r="Y706" s="2675"/>
      <c r="Z706" s="2676"/>
      <c r="AE706" s="2461"/>
      <c r="AF706" s="68"/>
    </row>
    <row r="707" spans="1:32" x14ac:dyDescent="0.35">
      <c r="A707" s="1875"/>
      <c r="B707" s="1058" t="s">
        <v>39</v>
      </c>
      <c r="C707" s="1058"/>
      <c r="D707" s="754"/>
      <c r="E707" s="711" t="s">
        <v>10423</v>
      </c>
      <c r="F707" s="1834" t="s">
        <v>827</v>
      </c>
      <c r="G707" s="1834">
        <v>5</v>
      </c>
      <c r="H707" s="179">
        <v>6</v>
      </c>
      <c r="I707" s="712"/>
      <c r="J707" s="712"/>
      <c r="K707" s="709"/>
      <c r="L707" s="709"/>
      <c r="M707" s="1388"/>
      <c r="N707" s="727">
        <f>2.5-2.197</f>
        <v>0.30299999999999994</v>
      </c>
      <c r="O707" s="1378"/>
      <c r="P707" s="1371"/>
      <c r="Q707" s="1363"/>
      <c r="R707" s="1014"/>
      <c r="S707" s="722"/>
      <c r="T707" s="1931"/>
      <c r="U707" s="723"/>
      <c r="V707" s="723"/>
      <c r="W707" s="722"/>
      <c r="X707" s="2674"/>
      <c r="Y707" s="2675"/>
      <c r="Z707" s="2676"/>
      <c r="AE707" s="2461"/>
      <c r="AF707" s="68"/>
    </row>
    <row r="708" spans="1:32" ht="75" x14ac:dyDescent="0.35">
      <c r="A708" s="1896">
        <v>297</v>
      </c>
      <c r="B708" s="1058" t="s">
        <v>39</v>
      </c>
      <c r="C708" s="2083" t="s">
        <v>1656</v>
      </c>
      <c r="D708" s="2471" t="s">
        <v>5589</v>
      </c>
      <c r="E708" s="739" t="s">
        <v>9478</v>
      </c>
      <c r="F708" s="1953" t="s">
        <v>664</v>
      </c>
      <c r="G708" s="1953">
        <v>5</v>
      </c>
      <c r="H708" s="1620">
        <v>6</v>
      </c>
      <c r="I708" s="702">
        <f>J708+K708+L708</f>
        <v>0.94</v>
      </c>
      <c r="J708" s="702">
        <f>SUM(M708:R708)</f>
        <v>0.94</v>
      </c>
      <c r="K708" s="703"/>
      <c r="L708" s="703"/>
      <c r="M708" s="1387"/>
      <c r="N708" s="703"/>
      <c r="O708" s="1379"/>
      <c r="P708" s="1372"/>
      <c r="Q708" s="1364"/>
      <c r="R708" s="929">
        <v>0.94</v>
      </c>
      <c r="S708" s="730"/>
      <c r="T708" s="1931"/>
      <c r="U708" s="732"/>
      <c r="V708" s="732"/>
      <c r="W708" s="730"/>
      <c r="X708" s="731"/>
      <c r="Y708" s="730"/>
      <c r="Z708" s="1708"/>
      <c r="AB708" s="3">
        <v>1</v>
      </c>
      <c r="AE708" s="2461"/>
      <c r="AF708" s="68"/>
    </row>
    <row r="709" spans="1:32" ht="60" x14ac:dyDescent="0.35">
      <c r="A709" s="1880">
        <v>298</v>
      </c>
      <c r="B709" s="1059" t="s">
        <v>39</v>
      </c>
      <c r="C709" s="1059"/>
      <c r="D709" s="2471" t="s">
        <v>5590</v>
      </c>
      <c r="E709" s="715" t="s">
        <v>9479</v>
      </c>
      <c r="F709" s="1834"/>
      <c r="G709" s="1834" t="s">
        <v>191</v>
      </c>
      <c r="H709" s="179" t="s">
        <v>191</v>
      </c>
      <c r="I709" s="702">
        <f>J709+K709+L709</f>
        <v>2.331</v>
      </c>
      <c r="J709" s="702">
        <f>SUM(M709:R709)</f>
        <v>2.2170000000000001</v>
      </c>
      <c r="K709" s="703"/>
      <c r="L709" s="717">
        <f>SUM(L710:L711)</f>
        <v>0.114</v>
      </c>
      <c r="M709" s="1387"/>
      <c r="N709" s="717"/>
      <c r="O709" s="1379"/>
      <c r="P709" s="1372"/>
      <c r="Q709" s="1365">
        <f>SUM(Q710:Q711)</f>
        <v>2.2170000000000001</v>
      </c>
      <c r="R709" s="1354"/>
      <c r="S709" s="701"/>
      <c r="T709" s="1931"/>
      <c r="U709" s="705"/>
      <c r="V709" s="705"/>
      <c r="W709" s="716">
        <v>4</v>
      </c>
      <c r="X709" s="333">
        <v>56.8</v>
      </c>
      <c r="Y709" s="716">
        <v>1</v>
      </c>
      <c r="Z709" s="1706">
        <v>15.2</v>
      </c>
      <c r="AB709" s="3">
        <v>1</v>
      </c>
      <c r="AE709" s="2461"/>
      <c r="AF709" s="68"/>
    </row>
    <row r="710" spans="1:32" ht="31" x14ac:dyDescent="0.35">
      <c r="A710" s="1886"/>
      <c r="B710" s="1059" t="s">
        <v>39</v>
      </c>
      <c r="C710" s="1059"/>
      <c r="D710" s="754"/>
      <c r="E710" s="711" t="s">
        <v>11013</v>
      </c>
      <c r="F710" s="725">
        <v>4</v>
      </c>
      <c r="G710" s="725">
        <v>5</v>
      </c>
      <c r="H710" s="725">
        <v>6</v>
      </c>
      <c r="I710" s="726"/>
      <c r="J710" s="726"/>
      <c r="K710" s="721"/>
      <c r="L710" s="721">
        <v>0.114</v>
      </c>
      <c r="M710" s="721"/>
      <c r="N710" s="727"/>
      <c r="O710" s="1378"/>
      <c r="P710" s="1371"/>
      <c r="Q710" s="1363"/>
      <c r="R710" s="1353"/>
      <c r="S710" s="720"/>
      <c r="T710" s="1931"/>
      <c r="U710" s="728"/>
      <c r="V710" s="728"/>
      <c r="W710" s="720"/>
      <c r="X710" s="332"/>
      <c r="Y710" s="725"/>
      <c r="Z710" s="2664"/>
      <c r="AE710" s="2461"/>
      <c r="AF710" s="68"/>
    </row>
    <row r="711" spans="1:32" x14ac:dyDescent="0.35">
      <c r="A711" s="1878"/>
      <c r="B711" s="1059" t="s">
        <v>39</v>
      </c>
      <c r="C711" s="1059"/>
      <c r="D711" s="754"/>
      <c r="E711" s="1394" t="s">
        <v>2278</v>
      </c>
      <c r="F711" s="1834">
        <v>4</v>
      </c>
      <c r="G711" s="1834">
        <v>5</v>
      </c>
      <c r="H711" s="179">
        <v>6</v>
      </c>
      <c r="I711" s="712"/>
      <c r="J711" s="712"/>
      <c r="K711" s="709"/>
      <c r="L711" s="709"/>
      <c r="M711" s="1388"/>
      <c r="N711" s="709"/>
      <c r="O711" s="1378"/>
      <c r="P711" s="1371"/>
      <c r="Q711" s="1366">
        <v>2.2170000000000001</v>
      </c>
      <c r="R711" s="1353"/>
      <c r="S711" s="722"/>
      <c r="T711" s="1931"/>
      <c r="U711" s="723"/>
      <c r="V711" s="723"/>
      <c r="W711" s="722"/>
      <c r="X711" s="2665"/>
      <c r="Y711" s="722"/>
      <c r="Z711" s="2666"/>
      <c r="AE711" s="2461"/>
      <c r="AF711" s="68"/>
    </row>
    <row r="712" spans="1:32" ht="75" x14ac:dyDescent="0.35">
      <c r="A712" s="525">
        <v>299</v>
      </c>
      <c r="B712" s="1719" t="s">
        <v>39</v>
      </c>
      <c r="C712" s="2083" t="s">
        <v>1656</v>
      </c>
      <c r="D712" s="2471" t="s">
        <v>5591</v>
      </c>
      <c r="E712" s="2187" t="s">
        <v>9480</v>
      </c>
      <c r="F712" s="92" t="s">
        <v>664</v>
      </c>
      <c r="G712" s="92">
        <v>5</v>
      </c>
      <c r="H712" s="1620">
        <v>6</v>
      </c>
      <c r="I712" s="702">
        <f>J712+K712+L712</f>
        <v>0.5</v>
      </c>
      <c r="J712" s="702">
        <f>SUM(M712:R712)</f>
        <v>0.5</v>
      </c>
      <c r="K712" s="622"/>
      <c r="L712" s="622"/>
      <c r="M712" s="622"/>
      <c r="N712" s="622"/>
      <c r="O712" s="622"/>
      <c r="P712" s="622"/>
      <c r="Q712" s="622"/>
      <c r="R712" s="906">
        <v>0.5</v>
      </c>
      <c r="S712" s="106"/>
      <c r="T712" s="1931"/>
      <c r="U712" s="106"/>
      <c r="V712" s="106"/>
      <c r="W712" s="105"/>
      <c r="X712" s="105"/>
      <c r="Y712" s="105"/>
      <c r="Z712" s="323"/>
      <c r="AB712" s="3">
        <v>1</v>
      </c>
      <c r="AE712" s="2461"/>
      <c r="AF712" s="68"/>
    </row>
    <row r="713" spans="1:32" ht="90" x14ac:dyDescent="0.35">
      <c r="A713" s="1880">
        <v>300</v>
      </c>
      <c r="B713" s="1059" t="s">
        <v>39</v>
      </c>
      <c r="C713" s="1059"/>
      <c r="D713" s="2471" t="s">
        <v>5592</v>
      </c>
      <c r="E713" s="715" t="s">
        <v>10105</v>
      </c>
      <c r="F713" s="1834">
        <v>4</v>
      </c>
      <c r="G713" s="1834">
        <v>4</v>
      </c>
      <c r="H713" s="179">
        <v>6</v>
      </c>
      <c r="I713" s="702">
        <f>J713+K713+L713</f>
        <v>1.9</v>
      </c>
      <c r="J713" s="702">
        <f>SUM(M713:R713)</f>
        <v>1.9</v>
      </c>
      <c r="K713" s="703"/>
      <c r="L713" s="703"/>
      <c r="M713" s="1387"/>
      <c r="N713" s="717">
        <v>1.9</v>
      </c>
      <c r="O713" s="1379"/>
      <c r="P713" s="1372"/>
      <c r="Q713" s="1364"/>
      <c r="R713" s="1354"/>
      <c r="S713" s="701"/>
      <c r="T713" s="1931"/>
      <c r="U713" s="705"/>
      <c r="V713" s="705"/>
      <c r="W713" s="716">
        <v>2</v>
      </c>
      <c r="X713" s="333">
        <v>31</v>
      </c>
      <c r="Y713" s="716">
        <v>1</v>
      </c>
      <c r="Z713" s="1706">
        <v>11</v>
      </c>
      <c r="AB713" s="3">
        <v>1</v>
      </c>
      <c r="AE713" s="2461"/>
      <c r="AF713" s="68"/>
    </row>
    <row r="714" spans="1:32" ht="60" x14ac:dyDescent="0.35">
      <c r="A714" s="525">
        <v>301</v>
      </c>
      <c r="B714" s="1059" t="s">
        <v>39</v>
      </c>
      <c r="C714" s="1059"/>
      <c r="D714" s="2471" t="s">
        <v>5593</v>
      </c>
      <c r="E714" s="733" t="s">
        <v>9481</v>
      </c>
      <c r="F714" s="1834"/>
      <c r="G714" s="1834" t="s">
        <v>191</v>
      </c>
      <c r="H714" s="1943" t="s">
        <v>191</v>
      </c>
      <c r="I714" s="702">
        <f>J714+K714+L714</f>
        <v>6.6899999999999995</v>
      </c>
      <c r="J714" s="702">
        <f>SUM(M714:R714)</f>
        <v>6.6899999999999995</v>
      </c>
      <c r="K714" s="703"/>
      <c r="L714" s="703"/>
      <c r="M714" s="1389">
        <f>SUM(M715:M720)</f>
        <v>1.2</v>
      </c>
      <c r="N714" s="717">
        <f>SUM(N715:N720)</f>
        <v>0.377</v>
      </c>
      <c r="O714" s="1380"/>
      <c r="P714" s="1373">
        <f>SUM(P715:P720)</f>
        <v>0.9</v>
      </c>
      <c r="Q714" s="1365">
        <f>SUM(Q715:Q720)</f>
        <v>4.2130000000000001</v>
      </c>
      <c r="R714" s="1355"/>
      <c r="S714" s="716">
        <v>1</v>
      </c>
      <c r="T714" s="1931">
        <v>18.45</v>
      </c>
      <c r="U714" s="705"/>
      <c r="V714" s="705"/>
      <c r="W714" s="716">
        <v>12</v>
      </c>
      <c r="X714" s="333">
        <v>174.78</v>
      </c>
      <c r="Y714" s="716">
        <v>2</v>
      </c>
      <c r="Z714" s="1706">
        <v>16.2</v>
      </c>
      <c r="AB714" s="3">
        <v>1</v>
      </c>
      <c r="AE714" s="2461"/>
      <c r="AF714" s="68"/>
    </row>
    <row r="715" spans="1:32" x14ac:dyDescent="0.35">
      <c r="A715" s="1878"/>
      <c r="B715" s="1059" t="s">
        <v>39</v>
      </c>
      <c r="C715" s="1059"/>
      <c r="D715" s="754"/>
      <c r="E715" s="711" t="s">
        <v>1661</v>
      </c>
      <c r="F715" s="1953">
        <v>4</v>
      </c>
      <c r="G715" s="1620">
        <v>5</v>
      </c>
      <c r="H715" s="179">
        <v>6</v>
      </c>
      <c r="I715" s="712"/>
      <c r="J715" s="712"/>
      <c r="K715" s="709"/>
      <c r="L715" s="709"/>
      <c r="M715" s="1388"/>
      <c r="N715" s="712">
        <v>0.377</v>
      </c>
      <c r="O715" s="1378"/>
      <c r="P715" s="1371"/>
      <c r="Q715" s="1363"/>
      <c r="R715" s="1353"/>
      <c r="S715" s="722"/>
      <c r="T715" s="1931"/>
      <c r="U715" s="723"/>
      <c r="V715" s="723"/>
      <c r="W715" s="722"/>
      <c r="X715" s="2665"/>
      <c r="Y715" s="722"/>
      <c r="Z715" s="2666"/>
      <c r="AE715" s="2461"/>
      <c r="AF715" s="68"/>
    </row>
    <row r="716" spans="1:32" x14ac:dyDescent="0.35">
      <c r="A716" s="1886"/>
      <c r="B716" s="1059" t="s">
        <v>39</v>
      </c>
      <c r="C716" s="1059"/>
      <c r="D716" s="758"/>
      <c r="E716" s="1400" t="s">
        <v>1781</v>
      </c>
      <c r="F716" s="1834">
        <v>4</v>
      </c>
      <c r="G716" s="1620">
        <v>5</v>
      </c>
      <c r="H716" s="1943">
        <v>10</v>
      </c>
      <c r="I716" s="708"/>
      <c r="J716" s="708"/>
      <c r="K716" s="709"/>
      <c r="L716" s="709"/>
      <c r="M716" s="1386">
        <v>1.2</v>
      </c>
      <c r="N716" s="709"/>
      <c r="O716" s="1378"/>
      <c r="P716" s="1371"/>
      <c r="Q716" s="1363"/>
      <c r="R716" s="1353"/>
      <c r="S716" s="720"/>
      <c r="T716" s="1931"/>
      <c r="U716" s="728"/>
      <c r="V716" s="728"/>
      <c r="W716" s="720"/>
      <c r="X716" s="332"/>
      <c r="Y716" s="725"/>
      <c r="Z716" s="2664"/>
      <c r="AE716" s="2461"/>
      <c r="AF716" s="68"/>
    </row>
    <row r="717" spans="1:32" x14ac:dyDescent="0.35">
      <c r="A717" s="1886"/>
      <c r="B717" s="1059" t="s">
        <v>39</v>
      </c>
      <c r="C717" s="1059"/>
      <c r="D717" s="758"/>
      <c r="E717" s="1395" t="s">
        <v>1603</v>
      </c>
      <c r="F717" s="1834">
        <v>4</v>
      </c>
      <c r="G717" s="1620">
        <v>5</v>
      </c>
      <c r="H717" s="1834">
        <v>6</v>
      </c>
      <c r="I717" s="708"/>
      <c r="J717" s="708"/>
      <c r="K717" s="709"/>
      <c r="L717" s="709"/>
      <c r="M717" s="1388"/>
      <c r="N717" s="709"/>
      <c r="O717" s="1378"/>
      <c r="P717" s="1371"/>
      <c r="Q717" s="1366">
        <f>3-1.577</f>
        <v>1.423</v>
      </c>
      <c r="R717" s="1353"/>
      <c r="S717" s="720"/>
      <c r="T717" s="1931"/>
      <c r="U717" s="728"/>
      <c r="V717" s="728"/>
      <c r="W717" s="720"/>
      <c r="X717" s="332"/>
      <c r="Y717" s="725"/>
      <c r="Z717" s="2664"/>
      <c r="AE717" s="2461"/>
      <c r="AF717" s="68"/>
    </row>
    <row r="718" spans="1:32" x14ac:dyDescent="0.35">
      <c r="A718" s="1886"/>
      <c r="B718" s="1059" t="s">
        <v>39</v>
      </c>
      <c r="C718" s="1059"/>
      <c r="D718" s="758"/>
      <c r="E718" s="1395" t="s">
        <v>3296</v>
      </c>
      <c r="F718" s="1834">
        <v>5</v>
      </c>
      <c r="G718" s="1620">
        <v>5</v>
      </c>
      <c r="H718" s="1834">
        <v>6</v>
      </c>
      <c r="I718" s="708"/>
      <c r="J718" s="708"/>
      <c r="K718" s="709"/>
      <c r="L718" s="709"/>
      <c r="M718" s="1388"/>
      <c r="N718" s="709"/>
      <c r="O718" s="1378"/>
      <c r="P718" s="1371"/>
      <c r="Q718" s="1366">
        <f>4.8-3</f>
        <v>1.7999999999999998</v>
      </c>
      <c r="R718" s="1353"/>
      <c r="S718" s="720"/>
      <c r="T718" s="1931"/>
      <c r="U718" s="728"/>
      <c r="V718" s="728"/>
      <c r="W718" s="720"/>
      <c r="X718" s="332"/>
      <c r="Y718" s="725"/>
      <c r="Z718" s="2664"/>
      <c r="AE718" s="2461"/>
      <c r="AF718" s="68"/>
    </row>
    <row r="719" spans="1:32" x14ac:dyDescent="0.35">
      <c r="A719" s="1886"/>
      <c r="B719" s="1059" t="s">
        <v>39</v>
      </c>
      <c r="C719" s="1059"/>
      <c r="D719" s="758"/>
      <c r="E719" s="1397" t="s">
        <v>370</v>
      </c>
      <c r="F719" s="1834" t="s">
        <v>827</v>
      </c>
      <c r="G719" s="1620">
        <v>5</v>
      </c>
      <c r="H719" s="1620">
        <v>6</v>
      </c>
      <c r="I719" s="708"/>
      <c r="J719" s="708"/>
      <c r="K719" s="709"/>
      <c r="L719" s="709"/>
      <c r="M719" s="1388"/>
      <c r="N719" s="709"/>
      <c r="O719" s="1378"/>
      <c r="P719" s="1374">
        <v>0.9</v>
      </c>
      <c r="Q719" s="1363"/>
      <c r="R719" s="1353"/>
      <c r="S719" s="720"/>
      <c r="T719" s="1931"/>
      <c r="U719" s="728"/>
      <c r="V719" s="728"/>
      <c r="W719" s="720"/>
      <c r="X719" s="332"/>
      <c r="Y719" s="725"/>
      <c r="Z719" s="2664"/>
      <c r="AE719" s="2461"/>
      <c r="AF719" s="68"/>
    </row>
    <row r="720" spans="1:32" x14ac:dyDescent="0.35">
      <c r="A720" s="1886"/>
      <c r="B720" s="1059" t="s">
        <v>39</v>
      </c>
      <c r="C720" s="1059"/>
      <c r="D720" s="758"/>
      <c r="E720" s="1395" t="s">
        <v>1202</v>
      </c>
      <c r="F720" s="1834">
        <v>5</v>
      </c>
      <c r="G720" s="1620">
        <v>5</v>
      </c>
      <c r="H720" s="1834">
        <v>6</v>
      </c>
      <c r="I720" s="708"/>
      <c r="J720" s="708"/>
      <c r="K720" s="709"/>
      <c r="L720" s="709"/>
      <c r="M720" s="1388"/>
      <c r="N720" s="709"/>
      <c r="O720" s="1378"/>
      <c r="P720" s="1371"/>
      <c r="Q720" s="1366">
        <v>0.99</v>
      </c>
      <c r="R720" s="1353"/>
      <c r="S720" s="720"/>
      <c r="T720" s="1931"/>
      <c r="U720" s="728"/>
      <c r="V720" s="728"/>
      <c r="W720" s="720"/>
      <c r="X720" s="332"/>
      <c r="Y720" s="725"/>
      <c r="Z720" s="2664"/>
      <c r="AE720" s="2461"/>
      <c r="AF720" s="68"/>
    </row>
    <row r="721" spans="1:32" ht="90" x14ac:dyDescent="0.35">
      <c r="A721" s="525">
        <v>302</v>
      </c>
      <c r="B721" s="1719" t="s">
        <v>39</v>
      </c>
      <c r="C721" s="2083" t="s">
        <v>1656</v>
      </c>
      <c r="D721" s="2471" t="s">
        <v>5594</v>
      </c>
      <c r="E721" s="2187" t="s">
        <v>9482</v>
      </c>
      <c r="F721" s="92" t="s">
        <v>664</v>
      </c>
      <c r="G721" s="92">
        <v>5</v>
      </c>
      <c r="H721" s="1620">
        <v>6</v>
      </c>
      <c r="I721" s="702">
        <f>J721+K721+L721</f>
        <v>0.4</v>
      </c>
      <c r="J721" s="702">
        <f>SUM(M721:R721)</f>
        <v>0.4</v>
      </c>
      <c r="K721" s="622"/>
      <c r="L721" s="622"/>
      <c r="M721" s="622"/>
      <c r="N721" s="622"/>
      <c r="O721" s="622"/>
      <c r="P721" s="622"/>
      <c r="Q721" s="622"/>
      <c r="R721" s="906">
        <v>0.4</v>
      </c>
      <c r="S721" s="106"/>
      <c r="T721" s="1931"/>
      <c r="U721" s="106"/>
      <c r="V721" s="106"/>
      <c r="W721" s="105"/>
      <c r="X721" s="105"/>
      <c r="Y721" s="105"/>
      <c r="Z721" s="323"/>
      <c r="AB721" s="3">
        <v>1</v>
      </c>
      <c r="AE721" s="2461"/>
      <c r="AF721" s="68"/>
    </row>
    <row r="722" spans="1:32" ht="90" x14ac:dyDescent="0.35">
      <c r="A722" s="1872">
        <v>303</v>
      </c>
      <c r="B722" s="1060" t="s">
        <v>39</v>
      </c>
      <c r="C722" s="1979" t="s">
        <v>1655</v>
      </c>
      <c r="D722" s="2471" t="s">
        <v>5595</v>
      </c>
      <c r="E722" s="739" t="s">
        <v>10873</v>
      </c>
      <c r="F722" s="1953" t="s">
        <v>664</v>
      </c>
      <c r="G722" s="1953">
        <v>5</v>
      </c>
      <c r="H722" s="1620">
        <v>6</v>
      </c>
      <c r="I722" s="702">
        <f>J722+K722+L722</f>
        <v>2</v>
      </c>
      <c r="J722" s="702">
        <f>SUM(M722:R722)</f>
        <v>2</v>
      </c>
      <c r="K722" s="703"/>
      <c r="L722" s="703"/>
      <c r="M722" s="1387"/>
      <c r="N722" s="703"/>
      <c r="O722" s="1379"/>
      <c r="P722" s="1372"/>
      <c r="Q722" s="1364"/>
      <c r="R722" s="1357">
        <v>2</v>
      </c>
      <c r="S722" s="730"/>
      <c r="T722" s="1931"/>
      <c r="U722" s="732"/>
      <c r="V722" s="732"/>
      <c r="W722" s="730"/>
      <c r="X722" s="731"/>
      <c r="Y722" s="730"/>
      <c r="Z722" s="1708"/>
      <c r="AB722" s="3">
        <v>1</v>
      </c>
      <c r="AE722" s="2461"/>
      <c r="AF722" s="68"/>
    </row>
    <row r="723" spans="1:32" ht="60" x14ac:dyDescent="0.35">
      <c r="A723" s="525">
        <v>304</v>
      </c>
      <c r="B723" s="1059" t="s">
        <v>39</v>
      </c>
      <c r="C723" s="1059"/>
      <c r="D723" s="2471" t="s">
        <v>5596</v>
      </c>
      <c r="E723" s="2733" t="s">
        <v>10874</v>
      </c>
      <c r="F723" s="2658"/>
      <c r="G723" s="1834" t="s">
        <v>191</v>
      </c>
      <c r="H723" s="1943" t="s">
        <v>191</v>
      </c>
      <c r="I723" s="702">
        <f>J723+K723+L723</f>
        <v>1.7</v>
      </c>
      <c r="J723" s="702">
        <f>SUM(M723:R723)</f>
        <v>1.7</v>
      </c>
      <c r="K723" s="703"/>
      <c r="L723" s="703"/>
      <c r="M723" s="1387"/>
      <c r="N723" s="703">
        <f>SUM(N724:N726)</f>
        <v>1.7</v>
      </c>
      <c r="O723" s="1379"/>
      <c r="P723" s="1372"/>
      <c r="Q723" s="2487"/>
      <c r="R723" s="2487"/>
      <c r="S723" s="701"/>
      <c r="T723" s="1931"/>
      <c r="U723" s="705"/>
      <c r="V723" s="705"/>
      <c r="W723" s="716">
        <v>3</v>
      </c>
      <c r="X723" s="333">
        <v>26.1</v>
      </c>
      <c r="Y723" s="716">
        <v>1</v>
      </c>
      <c r="Z723" s="1706">
        <v>6</v>
      </c>
      <c r="AB723" s="3">
        <v>1</v>
      </c>
      <c r="AE723" s="2461"/>
      <c r="AF723" s="68"/>
    </row>
    <row r="724" spans="1:32" ht="18" x14ac:dyDescent="0.4">
      <c r="A724" s="1886"/>
      <c r="B724" s="1059" t="s">
        <v>39</v>
      </c>
      <c r="C724" s="1059"/>
      <c r="D724" s="758"/>
      <c r="E724" s="734" t="s">
        <v>2628</v>
      </c>
      <c r="F724" s="2734">
        <v>5</v>
      </c>
      <c r="G724" s="720">
        <v>5</v>
      </c>
      <c r="H724" s="725">
        <v>6</v>
      </c>
      <c r="I724" s="726"/>
      <c r="J724" s="726"/>
      <c r="K724" s="721"/>
      <c r="L724" s="721"/>
      <c r="M724" s="721"/>
      <c r="N724" s="721">
        <v>1</v>
      </c>
      <c r="O724" s="1378"/>
      <c r="P724" s="1371"/>
      <c r="Q724" s="1366"/>
      <c r="R724" s="1353"/>
      <c r="S724" s="1879"/>
      <c r="T724" s="1931"/>
      <c r="U724" s="1877"/>
      <c r="V724" s="1877"/>
      <c r="W724" s="1879"/>
      <c r="X724" s="1911"/>
      <c r="Y724" s="1912"/>
      <c r="Z724" s="1913"/>
      <c r="AE724" s="2461"/>
      <c r="AF724" s="68"/>
    </row>
    <row r="725" spans="1:32" ht="18" x14ac:dyDescent="0.4">
      <c r="A725" s="1878"/>
      <c r="B725" s="1059" t="s">
        <v>39</v>
      </c>
      <c r="C725" s="1059"/>
      <c r="D725" s="754"/>
      <c r="E725" s="711" t="s">
        <v>594</v>
      </c>
      <c r="F725" s="2734" t="s">
        <v>1490</v>
      </c>
      <c r="G725" s="720">
        <v>5</v>
      </c>
      <c r="H725" s="720">
        <v>6</v>
      </c>
      <c r="I725" s="727"/>
      <c r="J725" s="727"/>
      <c r="K725" s="721"/>
      <c r="L725" s="721"/>
      <c r="M725" s="721"/>
      <c r="N725" s="721">
        <f>1.7-1</f>
        <v>0.7</v>
      </c>
      <c r="O725" s="1378"/>
      <c r="P725" s="1371"/>
      <c r="Q725" s="1363"/>
      <c r="R725" s="1356"/>
      <c r="S725" s="1887"/>
      <c r="T725" s="1931"/>
      <c r="U725" s="1888"/>
      <c r="V725" s="1888"/>
      <c r="W725" s="1887"/>
      <c r="X725" s="2662"/>
      <c r="Y725" s="1887"/>
      <c r="Z725" s="2663"/>
      <c r="AE725" s="2461"/>
      <c r="AF725" s="68"/>
    </row>
    <row r="726" spans="1:32" ht="75" x14ac:dyDescent="0.4">
      <c r="A726" s="1878">
        <v>305</v>
      </c>
      <c r="B726" s="1059" t="s">
        <v>39</v>
      </c>
      <c r="C726" s="1059"/>
      <c r="D726" s="2471" t="s">
        <v>5597</v>
      </c>
      <c r="E726" s="1786" t="s">
        <v>10875</v>
      </c>
      <c r="F726" s="2658" t="s">
        <v>664</v>
      </c>
      <c r="G726" s="1620">
        <v>5</v>
      </c>
      <c r="H726" s="1620">
        <v>6</v>
      </c>
      <c r="I726" s="702">
        <f>J726+K726+L726</f>
        <v>0.7</v>
      </c>
      <c r="J726" s="702">
        <f>SUM(M726:R726)</f>
        <v>0.7</v>
      </c>
      <c r="K726" s="709"/>
      <c r="L726" s="709"/>
      <c r="M726" s="1388"/>
      <c r="N726" s="709"/>
      <c r="O726" s="1378"/>
      <c r="P726" s="1371"/>
      <c r="Q726" s="1363"/>
      <c r="R726" s="1914">
        <v>0.7</v>
      </c>
      <c r="S726" s="1887"/>
      <c r="T726" s="1931"/>
      <c r="U726" s="1888"/>
      <c r="V726" s="1888"/>
      <c r="W726" s="1887"/>
      <c r="X726" s="2662"/>
      <c r="Y726" s="1887"/>
      <c r="Z726" s="2663"/>
      <c r="AB726" s="3">
        <v>1</v>
      </c>
      <c r="AC726" s="91" t="s">
        <v>2130</v>
      </c>
      <c r="AD726" s="353">
        <v>36706</v>
      </c>
      <c r="AE726" s="2461"/>
      <c r="AF726" s="68"/>
    </row>
    <row r="727" spans="1:32" ht="81.75" customHeight="1" x14ac:dyDescent="0.35">
      <c r="A727" s="1878">
        <v>306</v>
      </c>
      <c r="B727" s="1058" t="s">
        <v>39</v>
      </c>
      <c r="C727" s="1979" t="s">
        <v>1655</v>
      </c>
      <c r="D727" s="2471" t="s">
        <v>5598</v>
      </c>
      <c r="E727" s="1786" t="s">
        <v>10876</v>
      </c>
      <c r="F727" s="2658" t="s">
        <v>664</v>
      </c>
      <c r="G727" s="1834">
        <v>5</v>
      </c>
      <c r="H727" s="1620">
        <v>6</v>
      </c>
      <c r="I727" s="702">
        <f>J727+K727+L727</f>
        <v>1</v>
      </c>
      <c r="J727" s="702">
        <f>SUM(M727:R727)</f>
        <v>1</v>
      </c>
      <c r="K727" s="703"/>
      <c r="L727" s="703"/>
      <c r="M727" s="1387"/>
      <c r="N727" s="703"/>
      <c r="O727" s="1379"/>
      <c r="P727" s="1372"/>
      <c r="Q727" s="1364"/>
      <c r="R727" s="925">
        <v>1</v>
      </c>
      <c r="S727" s="730"/>
      <c r="T727" s="1931"/>
      <c r="U727" s="732"/>
      <c r="V727" s="732"/>
      <c r="W727" s="730"/>
      <c r="X727" s="731"/>
      <c r="Y727" s="730"/>
      <c r="Z727" s="1708"/>
      <c r="AB727" s="3">
        <v>1</v>
      </c>
      <c r="AE727" s="2461"/>
      <c r="AF727" s="68"/>
    </row>
    <row r="728" spans="1:32" ht="120" x14ac:dyDescent="0.35">
      <c r="A728" s="1878">
        <v>307</v>
      </c>
      <c r="B728" s="1058" t="s">
        <v>39</v>
      </c>
      <c r="C728" s="1979" t="s">
        <v>1655</v>
      </c>
      <c r="D728" s="2471" t="s">
        <v>5599</v>
      </c>
      <c r="E728" s="2712" t="s">
        <v>10877</v>
      </c>
      <c r="F728" s="2710" t="s">
        <v>664</v>
      </c>
      <c r="G728" s="1953">
        <v>5</v>
      </c>
      <c r="H728" s="1620">
        <v>6</v>
      </c>
      <c r="I728" s="702">
        <f>J728+K728+L728</f>
        <v>0.5</v>
      </c>
      <c r="J728" s="702">
        <f>SUM(M728:R728)</f>
        <v>0.5</v>
      </c>
      <c r="K728" s="703"/>
      <c r="L728" s="703"/>
      <c r="M728" s="1387"/>
      <c r="N728" s="703"/>
      <c r="O728" s="1379"/>
      <c r="P728" s="1372"/>
      <c r="Q728" s="1364"/>
      <c r="R728" s="1357">
        <v>0.5</v>
      </c>
      <c r="S728" s="730"/>
      <c r="T728" s="1931"/>
      <c r="U728" s="732"/>
      <c r="V728" s="732"/>
      <c r="W728" s="730"/>
      <c r="X728" s="731"/>
      <c r="Y728" s="730"/>
      <c r="Z728" s="1708"/>
      <c r="AB728" s="3">
        <v>1</v>
      </c>
      <c r="AE728" s="2461"/>
      <c r="AF728" s="68"/>
    </row>
    <row r="729" spans="1:32" ht="60" x14ac:dyDescent="0.35">
      <c r="A729" s="1878">
        <v>308</v>
      </c>
      <c r="B729" s="1954" t="s">
        <v>39</v>
      </c>
      <c r="C729" s="358" t="s">
        <v>1656</v>
      </c>
      <c r="D729" s="2471" t="s">
        <v>5600</v>
      </c>
      <c r="E729" s="2711" t="s">
        <v>9483</v>
      </c>
      <c r="F729" s="1834" t="s">
        <v>664</v>
      </c>
      <c r="G729" s="92">
        <v>5</v>
      </c>
      <c r="H729" s="1620">
        <v>6</v>
      </c>
      <c r="I729" s="297">
        <f>J729+K729+L729</f>
        <v>0.6</v>
      </c>
      <c r="J729" s="297">
        <f>SUM(M729:R729)</f>
        <v>0.6</v>
      </c>
      <c r="K729" s="1925"/>
      <c r="L729" s="1925"/>
      <c r="M729" s="1957"/>
      <c r="N729" s="1925"/>
      <c r="O729" s="1959"/>
      <c r="P729" s="1960"/>
      <c r="Q729" s="1964"/>
      <c r="R729" s="1914">
        <v>0.6</v>
      </c>
      <c r="S729" s="164"/>
      <c r="T729" s="1931"/>
      <c r="U729" s="154"/>
      <c r="V729" s="154"/>
      <c r="W729" s="1881"/>
      <c r="X729" s="1962"/>
      <c r="Y729" s="1881"/>
      <c r="Z729" s="1963"/>
      <c r="AB729" s="3">
        <v>1</v>
      </c>
      <c r="AE729" s="2461"/>
      <c r="AF729" s="68"/>
    </row>
    <row r="730" spans="1:32" ht="60" x14ac:dyDescent="0.35">
      <c r="A730" s="1878">
        <v>309</v>
      </c>
      <c r="B730" s="1059" t="s">
        <v>39</v>
      </c>
      <c r="C730" s="1059"/>
      <c r="D730" s="2471" t="s">
        <v>5601</v>
      </c>
      <c r="E730" s="733" t="s">
        <v>9484</v>
      </c>
      <c r="F730" s="1834"/>
      <c r="G730" s="1834" t="s">
        <v>191</v>
      </c>
      <c r="H730" s="179" t="s">
        <v>191</v>
      </c>
      <c r="I730" s="702">
        <f>J730+K730+L730</f>
        <v>3.1749999999999994</v>
      </c>
      <c r="J730" s="702">
        <f>SUM(M730:R730)</f>
        <v>3.1489999999999996</v>
      </c>
      <c r="K730" s="703">
        <f>SUM(K731:K735)</f>
        <v>2.5999999999999999E-2</v>
      </c>
      <c r="L730" s="703"/>
      <c r="M730" s="1387"/>
      <c r="N730" s="717">
        <f>SUM(N731:N735)</f>
        <v>2.3369999999999997</v>
      </c>
      <c r="O730" s="1379"/>
      <c r="P730" s="1372"/>
      <c r="Q730" s="1365">
        <f>SUM(Q731:Q735)</f>
        <v>0.81199999999999983</v>
      </c>
      <c r="R730" s="1354"/>
      <c r="S730" s="701"/>
      <c r="T730" s="1931"/>
      <c r="U730" s="705"/>
      <c r="V730" s="705"/>
      <c r="W730" s="716">
        <v>13</v>
      </c>
      <c r="X730" s="333">
        <v>126.13</v>
      </c>
      <c r="Y730" s="716">
        <v>1</v>
      </c>
      <c r="Z730" s="1706">
        <v>10</v>
      </c>
      <c r="AB730" s="3">
        <v>1</v>
      </c>
      <c r="AE730" s="2461"/>
      <c r="AF730" s="68"/>
    </row>
    <row r="731" spans="1:32" ht="31" x14ac:dyDescent="0.35">
      <c r="A731" s="1886"/>
      <c r="B731" s="1059" t="s">
        <v>39</v>
      </c>
      <c r="C731" s="1059"/>
      <c r="D731" s="758"/>
      <c r="E731" s="734" t="s">
        <v>9485</v>
      </c>
      <c r="F731" s="1834">
        <v>5</v>
      </c>
      <c r="G731" s="1834">
        <v>5</v>
      </c>
      <c r="H731" s="179" t="s">
        <v>191</v>
      </c>
      <c r="I731" s="708"/>
      <c r="J731" s="708"/>
      <c r="K731" s="709">
        <v>2.5999999999999999E-2</v>
      </c>
      <c r="L731" s="709"/>
      <c r="M731" s="1388"/>
      <c r="N731" s="712"/>
      <c r="O731" s="1378"/>
      <c r="P731" s="1371"/>
      <c r="Q731" s="1363"/>
      <c r="R731" s="1353"/>
      <c r="S731" s="720"/>
      <c r="T731" s="1931"/>
      <c r="U731" s="728"/>
      <c r="V731" s="728"/>
      <c r="W731" s="720"/>
      <c r="X731" s="332"/>
      <c r="Y731" s="725"/>
      <c r="Z731" s="2664"/>
      <c r="AE731" s="2461"/>
      <c r="AF731" s="68"/>
    </row>
    <row r="732" spans="1:32" x14ac:dyDescent="0.35">
      <c r="A732" s="1886"/>
      <c r="B732" s="1059"/>
      <c r="C732" s="1059"/>
      <c r="D732" s="758"/>
      <c r="E732" s="734" t="s">
        <v>6861</v>
      </c>
      <c r="F732" s="1834">
        <v>5</v>
      </c>
      <c r="G732" s="1834">
        <v>5</v>
      </c>
      <c r="H732" s="179">
        <v>6</v>
      </c>
      <c r="I732" s="708"/>
      <c r="J732" s="708"/>
      <c r="K732" s="709"/>
      <c r="L732" s="709"/>
      <c r="M732" s="1388"/>
      <c r="N732" s="712">
        <f>1.103-0.026</f>
        <v>1.077</v>
      </c>
      <c r="O732" s="1378"/>
      <c r="P732" s="1371"/>
      <c r="Q732" s="1363"/>
      <c r="R732" s="1353"/>
      <c r="S732" s="720"/>
      <c r="T732" s="1931"/>
      <c r="U732" s="728"/>
      <c r="V732" s="728"/>
      <c r="W732" s="720"/>
      <c r="X732" s="332"/>
      <c r="Y732" s="725"/>
      <c r="Z732" s="2664"/>
      <c r="AE732" s="2461"/>
      <c r="AF732" s="68"/>
    </row>
    <row r="733" spans="1:32" x14ac:dyDescent="0.35">
      <c r="A733" s="1886"/>
      <c r="B733" s="1059"/>
      <c r="C733" s="1059"/>
      <c r="D733" s="758"/>
      <c r="E733" s="734" t="s">
        <v>6862</v>
      </c>
      <c r="F733" s="1834" t="s">
        <v>827</v>
      </c>
      <c r="G733" s="1834">
        <v>5</v>
      </c>
      <c r="H733" s="179">
        <v>6</v>
      </c>
      <c r="I733" s="708"/>
      <c r="J733" s="708"/>
      <c r="K733" s="709"/>
      <c r="L733" s="709"/>
      <c r="M733" s="1388"/>
      <c r="N733" s="712">
        <f>2.363-1.103</f>
        <v>1.26</v>
      </c>
      <c r="O733" s="1378"/>
      <c r="P733" s="1371"/>
      <c r="Q733" s="1363"/>
      <c r="R733" s="1353"/>
      <c r="S733" s="720"/>
      <c r="T733" s="1931"/>
      <c r="U733" s="728"/>
      <c r="V733" s="728"/>
      <c r="W733" s="720"/>
      <c r="X733" s="332"/>
      <c r="Y733" s="725"/>
      <c r="Z733" s="2664"/>
      <c r="AE733" s="2461"/>
      <c r="AF733" s="68"/>
    </row>
    <row r="734" spans="1:32" x14ac:dyDescent="0.35">
      <c r="A734" s="1886"/>
      <c r="B734" s="1059"/>
      <c r="C734" s="1059"/>
      <c r="D734" s="758"/>
      <c r="E734" s="1394" t="s">
        <v>6863</v>
      </c>
      <c r="F734" s="1953">
        <v>5</v>
      </c>
      <c r="G734" s="1834">
        <v>5</v>
      </c>
      <c r="H734" s="179">
        <v>6</v>
      </c>
      <c r="I734" s="712"/>
      <c r="J734" s="712"/>
      <c r="K734" s="709"/>
      <c r="L734" s="709"/>
      <c r="M734" s="1388"/>
      <c r="N734" s="709"/>
      <c r="O734" s="1378"/>
      <c r="P734" s="1371"/>
      <c r="Q734" s="1366">
        <f>2.905-2.363</f>
        <v>0.54199999999999982</v>
      </c>
      <c r="R734" s="1353"/>
      <c r="S734" s="720"/>
      <c r="T734" s="1931"/>
      <c r="U734" s="728"/>
      <c r="V734" s="728"/>
      <c r="W734" s="720"/>
      <c r="X734" s="332"/>
      <c r="Y734" s="725"/>
      <c r="Z734" s="2664"/>
      <c r="AE734" s="2461"/>
      <c r="AF734" s="68"/>
    </row>
    <row r="735" spans="1:32" x14ac:dyDescent="0.35">
      <c r="A735" s="1878"/>
      <c r="B735" s="1059" t="s">
        <v>39</v>
      </c>
      <c r="C735" s="1059"/>
      <c r="D735" s="754"/>
      <c r="E735" s="1394" t="s">
        <v>6864</v>
      </c>
      <c r="F735" s="1953" t="s">
        <v>827</v>
      </c>
      <c r="G735" s="1834">
        <v>5</v>
      </c>
      <c r="H735" s="179">
        <v>6</v>
      </c>
      <c r="I735" s="712"/>
      <c r="J735" s="712"/>
      <c r="K735" s="709"/>
      <c r="L735" s="709"/>
      <c r="M735" s="1388"/>
      <c r="N735" s="709"/>
      <c r="O735" s="1378"/>
      <c r="P735" s="1371"/>
      <c r="Q735" s="1366">
        <f>3.175-2.905</f>
        <v>0.27</v>
      </c>
      <c r="R735" s="1353"/>
      <c r="S735" s="722"/>
      <c r="T735" s="1931"/>
      <c r="U735" s="723"/>
      <c r="V735" s="723"/>
      <c r="W735" s="722"/>
      <c r="X735" s="2665"/>
      <c r="Y735" s="722"/>
      <c r="Z735" s="2666"/>
      <c r="AE735" s="2461"/>
      <c r="AF735" s="68"/>
    </row>
    <row r="736" spans="1:32" ht="75" x14ac:dyDescent="0.35">
      <c r="A736" s="525">
        <v>310</v>
      </c>
      <c r="B736" s="1719" t="s">
        <v>39</v>
      </c>
      <c r="C736" s="2083" t="s">
        <v>1656</v>
      </c>
      <c r="D736" s="2471" t="s">
        <v>5602</v>
      </c>
      <c r="E736" s="2187" t="s">
        <v>9486</v>
      </c>
      <c r="F736" s="92" t="s">
        <v>664</v>
      </c>
      <c r="G736" s="92">
        <v>5</v>
      </c>
      <c r="H736" s="1620">
        <v>6</v>
      </c>
      <c r="I736" s="702">
        <f t="shared" ref="I736:I751" si="38">J736+K736+L736</f>
        <v>0.7</v>
      </c>
      <c r="J736" s="702">
        <f t="shared" ref="J736:J751" si="39">SUM(M736:R736)</f>
        <v>0.7</v>
      </c>
      <c r="K736" s="622"/>
      <c r="L736" s="622"/>
      <c r="M736" s="622"/>
      <c r="N736" s="622"/>
      <c r="O736" s="622"/>
      <c r="P736" s="622"/>
      <c r="Q736" s="622"/>
      <c r="R736" s="906">
        <v>0.7</v>
      </c>
      <c r="S736" s="106"/>
      <c r="T736" s="1931"/>
      <c r="U736" s="106"/>
      <c r="V736" s="106"/>
      <c r="W736" s="105"/>
      <c r="X736" s="105"/>
      <c r="Y736" s="105"/>
      <c r="Z736" s="323"/>
      <c r="AB736" s="3">
        <v>1</v>
      </c>
      <c r="AE736" s="2461"/>
      <c r="AF736" s="68"/>
    </row>
    <row r="737" spans="1:32" ht="60" x14ac:dyDescent="0.35">
      <c r="A737" s="1880">
        <v>311</v>
      </c>
      <c r="B737" s="1059" t="s">
        <v>39</v>
      </c>
      <c r="C737" s="1059"/>
      <c r="D737" s="2471" t="s">
        <v>5603</v>
      </c>
      <c r="E737" s="733" t="s">
        <v>9487</v>
      </c>
      <c r="F737" s="1834"/>
      <c r="G737" s="1834" t="s">
        <v>191</v>
      </c>
      <c r="H737" s="1943" t="s">
        <v>191</v>
      </c>
      <c r="I737" s="702">
        <f t="shared" si="38"/>
        <v>1.85</v>
      </c>
      <c r="J737" s="702">
        <f t="shared" si="39"/>
        <v>1.85</v>
      </c>
      <c r="K737" s="703"/>
      <c r="L737" s="703"/>
      <c r="M737" s="1387"/>
      <c r="N737" s="703">
        <f>SUM(N738:N741)</f>
        <v>0.24</v>
      </c>
      <c r="O737" s="1379"/>
      <c r="P737" s="1372"/>
      <c r="Q737" s="1364">
        <f>SUM(Q738:Q741)</f>
        <v>0.8899999999999999</v>
      </c>
      <c r="R737" s="1355">
        <f>SUM(R738:R741)</f>
        <v>0.7200000000000002</v>
      </c>
      <c r="S737" s="701"/>
      <c r="T737" s="1931"/>
      <c r="U737" s="705"/>
      <c r="V737" s="705"/>
      <c r="W737" s="716">
        <v>1</v>
      </c>
      <c r="X737" s="333">
        <v>14.1</v>
      </c>
      <c r="Y737" s="716"/>
      <c r="Z737" s="1706"/>
      <c r="AB737" s="3">
        <v>1</v>
      </c>
      <c r="AE737" s="2461"/>
      <c r="AF737" s="68"/>
    </row>
    <row r="738" spans="1:32" x14ac:dyDescent="0.35">
      <c r="A738" s="1880"/>
      <c r="B738" s="1059" t="s">
        <v>39</v>
      </c>
      <c r="C738" s="1059"/>
      <c r="D738" s="757"/>
      <c r="E738" s="734" t="s">
        <v>1296</v>
      </c>
      <c r="F738" s="1834">
        <v>4</v>
      </c>
      <c r="G738" s="1834">
        <v>5</v>
      </c>
      <c r="H738" s="179">
        <v>6</v>
      </c>
      <c r="I738" s="1918"/>
      <c r="J738" s="1918"/>
      <c r="K738" s="1919"/>
      <c r="L738" s="1919"/>
      <c r="M738" s="1920"/>
      <c r="N738" s="1919">
        <v>0.24</v>
      </c>
      <c r="O738" s="1949"/>
      <c r="P738" s="1950"/>
      <c r="Q738" s="1951"/>
      <c r="R738" s="1968"/>
      <c r="S738" s="701"/>
      <c r="T738" s="1931"/>
      <c r="U738" s="705"/>
      <c r="V738" s="705"/>
      <c r="W738" s="716"/>
      <c r="X738" s="333"/>
      <c r="Y738" s="716"/>
      <c r="Z738" s="1706"/>
      <c r="AE738" s="2461"/>
      <c r="AF738" s="68"/>
    </row>
    <row r="739" spans="1:32" x14ac:dyDescent="0.35">
      <c r="A739" s="1880"/>
      <c r="B739" s="1059" t="s">
        <v>39</v>
      </c>
      <c r="C739" s="1059"/>
      <c r="D739" s="757"/>
      <c r="E739" s="2952" t="s">
        <v>1297</v>
      </c>
      <c r="F739" s="1834" t="s">
        <v>827</v>
      </c>
      <c r="G739" s="1834">
        <v>5</v>
      </c>
      <c r="H739" s="2690">
        <v>6</v>
      </c>
      <c r="I739" s="1918"/>
      <c r="J739" s="1918"/>
      <c r="K739" s="1919"/>
      <c r="L739" s="1919"/>
      <c r="M739" s="1920"/>
      <c r="N739" s="1919"/>
      <c r="O739" s="1949"/>
      <c r="P739" s="1950"/>
      <c r="Q739" s="1951">
        <f>0.45-0.24</f>
        <v>0.21000000000000002</v>
      </c>
      <c r="R739" s="2923">
        <v>0</v>
      </c>
      <c r="S739" s="701"/>
      <c r="T739" s="1931"/>
      <c r="U739" s="705"/>
      <c r="V739" s="705"/>
      <c r="W739" s="716"/>
      <c r="X739" s="333"/>
      <c r="Y739" s="716"/>
      <c r="Z739" s="1706"/>
      <c r="AE739" s="2461"/>
      <c r="AF739" s="68"/>
    </row>
    <row r="740" spans="1:32" x14ac:dyDescent="0.35">
      <c r="A740" s="1880"/>
      <c r="B740" s="1059" t="s">
        <v>39</v>
      </c>
      <c r="C740" s="1059"/>
      <c r="D740" s="757"/>
      <c r="E740" s="2952" t="s">
        <v>1127</v>
      </c>
      <c r="F740" s="1834" t="s">
        <v>1490</v>
      </c>
      <c r="G740" s="1834">
        <v>5</v>
      </c>
      <c r="H740" s="2690">
        <v>6</v>
      </c>
      <c r="I740" s="1918"/>
      <c r="J740" s="1918"/>
      <c r="K740" s="1919"/>
      <c r="L740" s="1919"/>
      <c r="M740" s="1920"/>
      <c r="N740" s="1919"/>
      <c r="O740" s="1949"/>
      <c r="P740" s="1950"/>
      <c r="Q740" s="1951">
        <f>1.13-0.45</f>
        <v>0.67999999999999994</v>
      </c>
      <c r="R740" s="2923">
        <v>0</v>
      </c>
      <c r="S740" s="701"/>
      <c r="T740" s="1931"/>
      <c r="U740" s="705"/>
      <c r="V740" s="705"/>
      <c r="W740" s="716"/>
      <c r="X740" s="333"/>
      <c r="Y740" s="716"/>
      <c r="Z740" s="1706"/>
      <c r="AE740" s="2461"/>
      <c r="AF740" s="68"/>
    </row>
    <row r="741" spans="1:32" x14ac:dyDescent="0.35">
      <c r="A741" s="1880"/>
      <c r="B741" s="1059" t="s">
        <v>39</v>
      </c>
      <c r="C741" s="1059"/>
      <c r="D741" s="757"/>
      <c r="E741" s="1393" t="s">
        <v>1126</v>
      </c>
      <c r="F741" s="1834" t="s">
        <v>664</v>
      </c>
      <c r="G741" s="1834">
        <v>5</v>
      </c>
      <c r="H741" s="1620">
        <v>6</v>
      </c>
      <c r="I741" s="1918"/>
      <c r="J741" s="1918"/>
      <c r="K741" s="1919"/>
      <c r="L741" s="1919"/>
      <c r="M741" s="1920"/>
      <c r="N741" s="1919"/>
      <c r="O741" s="1949"/>
      <c r="P741" s="1950"/>
      <c r="Q741" s="1951"/>
      <c r="R741" s="1968">
        <f>1.85-1.13</f>
        <v>0.7200000000000002</v>
      </c>
      <c r="S741" s="701"/>
      <c r="T741" s="1931"/>
      <c r="U741" s="705"/>
      <c r="V741" s="705"/>
      <c r="W741" s="716"/>
      <c r="X741" s="333"/>
      <c r="Y741" s="716"/>
      <c r="Z741" s="1706"/>
      <c r="AE741" s="2461"/>
      <c r="AF741" s="68"/>
    </row>
    <row r="742" spans="1:32" ht="60" x14ac:dyDescent="0.35">
      <c r="A742" s="525">
        <v>312</v>
      </c>
      <c r="B742" s="1058" t="s">
        <v>39</v>
      </c>
      <c r="C742" s="1058"/>
      <c r="D742" s="2471" t="s">
        <v>5604</v>
      </c>
      <c r="E742" s="715" t="s">
        <v>9488</v>
      </c>
      <c r="F742" s="1834" t="s">
        <v>827</v>
      </c>
      <c r="G742" s="1834">
        <v>5</v>
      </c>
      <c r="H742" s="1834">
        <v>6</v>
      </c>
      <c r="I742" s="702">
        <f t="shared" si="38"/>
        <v>0.6</v>
      </c>
      <c r="J742" s="702">
        <f t="shared" si="39"/>
        <v>0.6</v>
      </c>
      <c r="K742" s="703"/>
      <c r="L742" s="703"/>
      <c r="M742" s="1387"/>
      <c r="N742" s="703"/>
      <c r="O742" s="1379"/>
      <c r="P742" s="1372"/>
      <c r="Q742" s="1365">
        <v>0.6</v>
      </c>
      <c r="R742" s="929"/>
      <c r="S742" s="730"/>
      <c r="T742" s="1931"/>
      <c r="U742" s="732"/>
      <c r="V742" s="732"/>
      <c r="W742" s="730"/>
      <c r="X742" s="737"/>
      <c r="Y742" s="738"/>
      <c r="Z742" s="1707"/>
      <c r="AB742" s="3">
        <v>1</v>
      </c>
      <c r="AE742" s="2461"/>
      <c r="AF742" s="68"/>
    </row>
    <row r="743" spans="1:32" ht="75" x14ac:dyDescent="0.35">
      <c r="A743" s="1880">
        <v>313</v>
      </c>
      <c r="B743" s="1060" t="s">
        <v>39</v>
      </c>
      <c r="C743" s="1979" t="s">
        <v>1655</v>
      </c>
      <c r="D743" s="2471" t="s">
        <v>5605</v>
      </c>
      <c r="E743" s="699" t="s">
        <v>11625</v>
      </c>
      <c r="F743" s="1834"/>
      <c r="G743" s="1834" t="s">
        <v>191</v>
      </c>
      <c r="H743" s="1943" t="s">
        <v>191</v>
      </c>
      <c r="I743" s="702">
        <f t="shared" si="38"/>
        <v>2.802</v>
      </c>
      <c r="J743" s="702">
        <f t="shared" si="39"/>
        <v>1.55</v>
      </c>
      <c r="K743" s="703"/>
      <c r="L743" s="703">
        <f>SUM(L744:L745)</f>
        <v>1.252</v>
      </c>
      <c r="M743" s="1384"/>
      <c r="N743" s="702"/>
      <c r="O743" s="1376"/>
      <c r="P743" s="1369"/>
      <c r="Q743" s="1361"/>
      <c r="R743" s="1358">
        <f>SUM(R744:R745)</f>
        <v>1.55</v>
      </c>
      <c r="S743" s="743"/>
      <c r="T743" s="1931"/>
      <c r="U743" s="732"/>
      <c r="V743" s="732"/>
      <c r="W743" s="743"/>
      <c r="X743" s="731"/>
      <c r="Y743" s="730"/>
      <c r="Z743" s="1708"/>
      <c r="AB743" s="3">
        <v>1</v>
      </c>
      <c r="AE743" s="2461"/>
      <c r="AF743" s="68"/>
    </row>
    <row r="744" spans="1:32" ht="108.5" x14ac:dyDescent="0.35">
      <c r="A744" s="1880"/>
      <c r="B744" s="1060"/>
      <c r="C744" s="2960"/>
      <c r="D744" s="2471"/>
      <c r="E744" s="2917" t="s">
        <v>11623</v>
      </c>
      <c r="F744" s="1943" t="s">
        <v>664</v>
      </c>
      <c r="G744" s="1834">
        <v>5</v>
      </c>
      <c r="H744" s="1943" t="s">
        <v>191</v>
      </c>
      <c r="I744" s="1918"/>
      <c r="J744" s="1918"/>
      <c r="K744" s="1919"/>
      <c r="L744" s="1919">
        <v>1.252</v>
      </c>
      <c r="M744" s="1938"/>
      <c r="N744" s="1918"/>
      <c r="O744" s="1939"/>
      <c r="P744" s="1940"/>
      <c r="Q744" s="1941"/>
      <c r="R744" s="2305"/>
      <c r="S744" s="743"/>
      <c r="T744" s="1931"/>
      <c r="U744" s="732"/>
      <c r="V744" s="732"/>
      <c r="W744" s="743"/>
      <c r="X744" s="731"/>
      <c r="Y744" s="730"/>
      <c r="Z744" s="1708"/>
      <c r="AE744" s="2461"/>
      <c r="AF744" s="68"/>
    </row>
    <row r="745" spans="1:32" x14ac:dyDescent="0.35">
      <c r="A745" s="1880"/>
      <c r="B745" s="1060"/>
      <c r="C745" s="2960"/>
      <c r="D745" s="2471"/>
      <c r="E745" s="1393" t="s">
        <v>11624</v>
      </c>
      <c r="F745" s="1943" t="s">
        <v>664</v>
      </c>
      <c r="G745" s="1834">
        <v>5</v>
      </c>
      <c r="H745" s="1620">
        <v>6</v>
      </c>
      <c r="I745" s="1918"/>
      <c r="J745" s="1918"/>
      <c r="K745" s="1919"/>
      <c r="L745" s="1919"/>
      <c r="M745" s="1938"/>
      <c r="N745" s="1918"/>
      <c r="O745" s="1939"/>
      <c r="P745" s="1940"/>
      <c r="Q745" s="1941"/>
      <c r="R745" s="2305">
        <f>2.802-1.252</f>
        <v>1.55</v>
      </c>
      <c r="S745" s="743"/>
      <c r="T745" s="1931"/>
      <c r="U745" s="732"/>
      <c r="V745" s="732"/>
      <c r="W745" s="743"/>
      <c r="X745" s="731"/>
      <c r="Y745" s="730"/>
      <c r="Z745" s="1708"/>
      <c r="AE745" s="2461"/>
      <c r="AF745" s="68"/>
    </row>
    <row r="746" spans="1:32" ht="105" x14ac:dyDescent="0.35">
      <c r="A746" s="1880">
        <v>314</v>
      </c>
      <c r="B746" s="1060" t="s">
        <v>39</v>
      </c>
      <c r="C746" s="1060"/>
      <c r="D746" s="2471" t="s">
        <v>5606</v>
      </c>
      <c r="E746" s="739" t="s">
        <v>9489</v>
      </c>
      <c r="F746" s="1953">
        <v>5</v>
      </c>
      <c r="G746" s="1953">
        <v>5</v>
      </c>
      <c r="H746" s="179">
        <v>6</v>
      </c>
      <c r="I746" s="702">
        <f>J746+K746+L746</f>
        <v>1.9930000000000001</v>
      </c>
      <c r="J746" s="702">
        <f>SUM(M746:R746)</f>
        <v>1.9930000000000001</v>
      </c>
      <c r="K746" s="703"/>
      <c r="L746" s="703"/>
      <c r="M746" s="1387"/>
      <c r="N746" s="703">
        <v>1.9930000000000001</v>
      </c>
      <c r="O746" s="1379"/>
      <c r="P746" s="1372"/>
      <c r="Q746" s="1364"/>
      <c r="R746" s="929"/>
      <c r="S746" s="730"/>
      <c r="T746" s="1931"/>
      <c r="U746" s="732"/>
      <c r="V746" s="732"/>
      <c r="W746" s="730">
        <f>1+3</f>
        <v>4</v>
      </c>
      <c r="X746" s="731">
        <f>15+42.8</f>
        <v>57.8</v>
      </c>
      <c r="Y746" s="730"/>
      <c r="Z746" s="1708"/>
      <c r="AB746" s="3">
        <v>1</v>
      </c>
      <c r="AE746" s="2461"/>
      <c r="AF746" s="68"/>
    </row>
    <row r="747" spans="1:32" ht="135" x14ac:dyDescent="0.35">
      <c r="A747" s="525">
        <v>315</v>
      </c>
      <c r="B747" s="1060" t="s">
        <v>39</v>
      </c>
      <c r="C747" s="1060"/>
      <c r="D747" s="2471" t="s">
        <v>5607</v>
      </c>
      <c r="E747" s="739" t="s">
        <v>10106</v>
      </c>
      <c r="F747" s="1953">
        <v>4</v>
      </c>
      <c r="G747" s="1953">
        <v>5</v>
      </c>
      <c r="H747" s="179">
        <v>6</v>
      </c>
      <c r="I747" s="702">
        <f>J747+K747+L747</f>
        <v>0.51500000000000001</v>
      </c>
      <c r="J747" s="702">
        <f>SUM(M747:R747)</f>
        <v>0.51500000000000001</v>
      </c>
      <c r="K747" s="703"/>
      <c r="L747" s="703"/>
      <c r="M747" s="1387"/>
      <c r="N747" s="703">
        <v>0.51500000000000001</v>
      </c>
      <c r="O747" s="1379"/>
      <c r="P747" s="1372"/>
      <c r="Q747" s="1364"/>
      <c r="R747" s="929"/>
      <c r="S747" s="730"/>
      <c r="T747" s="1931"/>
      <c r="U747" s="732"/>
      <c r="V747" s="732"/>
      <c r="W747" s="730">
        <v>2</v>
      </c>
      <c r="X747" s="731">
        <v>34.18</v>
      </c>
      <c r="Y747" s="730"/>
      <c r="Z747" s="1708"/>
      <c r="AB747" s="3">
        <v>1</v>
      </c>
      <c r="AE747" s="2461"/>
      <c r="AF747" s="68"/>
    </row>
    <row r="748" spans="1:32" ht="60" x14ac:dyDescent="0.35">
      <c r="A748" s="1880">
        <v>316</v>
      </c>
      <c r="B748" s="1719" t="s">
        <v>39</v>
      </c>
      <c r="C748" s="2083" t="s">
        <v>1656</v>
      </c>
      <c r="D748" s="2471" t="s">
        <v>5608</v>
      </c>
      <c r="E748" s="2187" t="s">
        <v>11580</v>
      </c>
      <c r="F748" s="811"/>
      <c r="G748" s="812" t="s">
        <v>191</v>
      </c>
      <c r="H748" s="812" t="s">
        <v>191</v>
      </c>
      <c r="I748" s="2841">
        <f t="shared" si="38"/>
        <v>0.35</v>
      </c>
      <c r="J748" s="2841">
        <f t="shared" si="39"/>
        <v>0.11999999999999997</v>
      </c>
      <c r="K748" s="622"/>
      <c r="L748" s="2937">
        <f>SUM(L749:L750)</f>
        <v>0.23</v>
      </c>
      <c r="M748" s="622"/>
      <c r="N748" s="622"/>
      <c r="O748" s="622"/>
      <c r="P748" s="622"/>
      <c r="Q748" s="622"/>
      <c r="R748" s="906">
        <f>SUM(R749:R750)</f>
        <v>0.11999999999999997</v>
      </c>
      <c r="S748" s="106"/>
      <c r="T748" s="1931"/>
      <c r="U748" s="106"/>
      <c r="V748" s="106"/>
      <c r="W748" s="105"/>
      <c r="X748" s="105"/>
      <c r="Y748" s="105"/>
      <c r="Z748" s="323"/>
      <c r="AB748" s="3">
        <v>1</v>
      </c>
      <c r="AE748" s="2461"/>
      <c r="AF748" s="68"/>
    </row>
    <row r="749" spans="1:32" ht="31" x14ac:dyDescent="0.35">
      <c r="A749" s="1880"/>
      <c r="B749" s="1719"/>
      <c r="C749" s="2219"/>
      <c r="D749" s="2471"/>
      <c r="E749" s="2938" t="s">
        <v>11579</v>
      </c>
      <c r="F749" s="2872" t="s">
        <v>664</v>
      </c>
      <c r="G749" s="2872">
        <v>5</v>
      </c>
      <c r="H749" s="2876" t="s">
        <v>191</v>
      </c>
      <c r="I749" s="1918"/>
      <c r="J749" s="1918"/>
      <c r="K749" s="395"/>
      <c r="L749" s="2930">
        <f>0.23</f>
        <v>0.23</v>
      </c>
      <c r="M749" s="395"/>
      <c r="N749" s="395"/>
      <c r="O749" s="395"/>
      <c r="P749" s="395"/>
      <c r="Q749" s="395"/>
      <c r="R749" s="907"/>
      <c r="S749" s="106"/>
      <c r="T749" s="1931"/>
      <c r="U749" s="106"/>
      <c r="V749" s="106"/>
      <c r="W749" s="105"/>
      <c r="X749" s="105"/>
      <c r="Y749" s="105"/>
      <c r="Z749" s="323"/>
      <c r="AE749" s="2461"/>
      <c r="AF749" s="68"/>
    </row>
    <row r="750" spans="1:32" x14ac:dyDescent="0.35">
      <c r="A750" s="1880"/>
      <c r="B750" s="1719"/>
      <c r="C750" s="2219"/>
      <c r="D750" s="2471"/>
      <c r="E750" s="1193" t="s">
        <v>11633</v>
      </c>
      <c r="F750" s="92" t="s">
        <v>664</v>
      </c>
      <c r="G750" s="92">
        <v>5</v>
      </c>
      <c r="H750" s="1620">
        <v>6</v>
      </c>
      <c r="I750" s="1918"/>
      <c r="J750" s="1918"/>
      <c r="K750" s="395"/>
      <c r="L750" s="395"/>
      <c r="M750" s="395"/>
      <c r="N750" s="395"/>
      <c r="O750" s="395"/>
      <c r="P750" s="395"/>
      <c r="Q750" s="395"/>
      <c r="R750" s="907">
        <f>0.35-0.23</f>
        <v>0.11999999999999997</v>
      </c>
      <c r="S750" s="106"/>
      <c r="T750" s="1931"/>
      <c r="U750" s="106"/>
      <c r="V750" s="106"/>
      <c r="W750" s="105"/>
      <c r="X750" s="105"/>
      <c r="Y750" s="105"/>
      <c r="Z750" s="323"/>
      <c r="AE750" s="2461"/>
      <c r="AF750" s="68"/>
    </row>
    <row r="751" spans="1:32" ht="60" x14ac:dyDescent="0.35">
      <c r="A751" s="525">
        <v>317</v>
      </c>
      <c r="B751" s="2219" t="s">
        <v>39</v>
      </c>
      <c r="C751" s="2219"/>
      <c r="D751" s="2471" t="s">
        <v>5609</v>
      </c>
      <c r="E751" s="2113" t="s">
        <v>9490</v>
      </c>
      <c r="F751" s="2210" t="s">
        <v>664</v>
      </c>
      <c r="G751" s="2210">
        <v>5</v>
      </c>
      <c r="H751" s="1620">
        <v>6</v>
      </c>
      <c r="I751" s="580">
        <f t="shared" si="38"/>
        <v>1.05</v>
      </c>
      <c r="J751" s="2216">
        <f t="shared" si="39"/>
        <v>1.05</v>
      </c>
      <c r="K751" s="527"/>
      <c r="L751" s="527"/>
      <c r="M751" s="527"/>
      <c r="N751" s="580"/>
      <c r="O751" s="2215"/>
      <c r="P751" s="527"/>
      <c r="Q751" s="913"/>
      <c r="R751" s="906">
        <v>1.05</v>
      </c>
      <c r="S751" s="92"/>
      <c r="T751" s="1931"/>
      <c r="U751" s="92"/>
      <c r="V751" s="92"/>
      <c r="W751" s="92"/>
      <c r="X751" s="92"/>
      <c r="Y751" s="92"/>
      <c r="Z751" s="70"/>
      <c r="AB751" s="3">
        <v>1</v>
      </c>
      <c r="AE751" s="2461"/>
      <c r="AF751" s="68"/>
    </row>
    <row r="752" spans="1:32" x14ac:dyDescent="0.35">
      <c r="A752" s="1872"/>
      <c r="B752" s="1059" t="s">
        <v>2925</v>
      </c>
      <c r="C752" s="1059"/>
      <c r="D752" s="759"/>
      <c r="E752" s="1915" t="s">
        <v>3143</v>
      </c>
      <c r="F752" s="1953"/>
      <c r="G752" s="1953"/>
      <c r="H752" s="1953"/>
      <c r="I752" s="702"/>
      <c r="J752" s="702"/>
      <c r="K752" s="703"/>
      <c r="L752" s="703"/>
      <c r="M752" s="1387"/>
      <c r="N752" s="703"/>
      <c r="O752" s="1379"/>
      <c r="P752" s="1372"/>
      <c r="Q752" s="1364"/>
      <c r="R752" s="929"/>
      <c r="S752" s="730"/>
      <c r="T752" s="1931"/>
      <c r="U752" s="732"/>
      <c r="V752" s="732"/>
      <c r="W752" s="730"/>
      <c r="X752" s="731"/>
      <c r="Y752" s="730"/>
      <c r="Z752" s="1708"/>
      <c r="AE752" s="2461"/>
      <c r="AF752" s="68"/>
    </row>
    <row r="753" spans="1:32" ht="30" x14ac:dyDescent="0.35">
      <c r="A753" s="1880">
        <v>318</v>
      </c>
      <c r="B753" s="1059" t="s">
        <v>2925</v>
      </c>
      <c r="C753" s="1059"/>
      <c r="D753" s="2471" t="s">
        <v>5610</v>
      </c>
      <c r="E753" s="733" t="s">
        <v>10107</v>
      </c>
      <c r="F753" s="1834" t="s">
        <v>664</v>
      </c>
      <c r="G753" s="1834">
        <v>5</v>
      </c>
      <c r="H753" s="1620">
        <v>6</v>
      </c>
      <c r="I753" s="702">
        <f>J753+K753+L753</f>
        <v>0.5</v>
      </c>
      <c r="J753" s="702">
        <f>SUM(M753:R753)</f>
        <v>0.5</v>
      </c>
      <c r="K753" s="703"/>
      <c r="L753" s="703"/>
      <c r="M753" s="1387"/>
      <c r="N753" s="703"/>
      <c r="O753" s="1379"/>
      <c r="P753" s="1372"/>
      <c r="Q753" s="1364"/>
      <c r="R753" s="1355">
        <v>0.5</v>
      </c>
      <c r="S753" s="701"/>
      <c r="T753" s="1931"/>
      <c r="U753" s="705"/>
      <c r="V753" s="705"/>
      <c r="W753" s="701"/>
      <c r="X753" s="333"/>
      <c r="Y753" s="716"/>
      <c r="Z753" s="1706"/>
      <c r="AB753" s="3">
        <v>1</v>
      </c>
      <c r="AE753" s="2461"/>
      <c r="AF753" s="68"/>
    </row>
    <row r="754" spans="1:32" ht="30" x14ac:dyDescent="0.35">
      <c r="A754" s="1880">
        <v>319</v>
      </c>
      <c r="B754" s="1059" t="s">
        <v>2925</v>
      </c>
      <c r="C754" s="1059"/>
      <c r="D754" s="2471" t="s">
        <v>5611</v>
      </c>
      <c r="E754" s="715" t="s">
        <v>10002</v>
      </c>
      <c r="F754" s="1834"/>
      <c r="G754" s="1834" t="s">
        <v>191</v>
      </c>
      <c r="H754" s="179" t="s">
        <v>191</v>
      </c>
      <c r="I754" s="702">
        <f>J754+K754+L754</f>
        <v>2.262</v>
      </c>
      <c r="J754" s="702">
        <f>SUM(M754:R754)</f>
        <v>2.262</v>
      </c>
      <c r="K754" s="703"/>
      <c r="L754" s="703"/>
      <c r="M754" s="1387"/>
      <c r="N754" s="703">
        <f>SUM(N755:N757)</f>
        <v>1.129</v>
      </c>
      <c r="O754" s="1379"/>
      <c r="P754" s="1372"/>
      <c r="Q754" s="1365">
        <f>SUM(Q755:Q757)</f>
        <v>1.133</v>
      </c>
      <c r="R754" s="1354"/>
      <c r="S754" s="701"/>
      <c r="T754" s="1931"/>
      <c r="U754" s="705"/>
      <c r="V754" s="705"/>
      <c r="W754" s="716">
        <v>6</v>
      </c>
      <c r="X754" s="333">
        <v>61.6</v>
      </c>
      <c r="Y754" s="716">
        <v>2</v>
      </c>
      <c r="Z754" s="1706">
        <v>16</v>
      </c>
      <c r="AB754" s="3">
        <v>1</v>
      </c>
      <c r="AE754" s="2461"/>
      <c r="AF754" s="68"/>
    </row>
    <row r="755" spans="1:32" ht="46.5" x14ac:dyDescent="0.35">
      <c r="A755" s="1880"/>
      <c r="B755" s="1059" t="s">
        <v>2925</v>
      </c>
      <c r="C755" s="1059"/>
      <c r="D755" s="755"/>
      <c r="E755" s="1022" t="s">
        <v>3707</v>
      </c>
      <c r="F755" s="1834"/>
      <c r="G755" s="1834" t="s">
        <v>191</v>
      </c>
      <c r="H755" s="1834" t="s">
        <v>191</v>
      </c>
      <c r="I755" s="702"/>
      <c r="J755" s="702"/>
      <c r="K755" s="703"/>
      <c r="L755" s="703"/>
      <c r="M755" s="1387"/>
      <c r="N755" s="703"/>
      <c r="O755" s="1379"/>
      <c r="P755" s="1372"/>
      <c r="Q755" s="1365"/>
      <c r="R755" s="1354"/>
      <c r="S755" s="701"/>
      <c r="T755" s="1931"/>
      <c r="U755" s="705"/>
      <c r="V755" s="705"/>
      <c r="W755" s="716"/>
      <c r="X755" s="333"/>
      <c r="Y755" s="716"/>
      <c r="Z755" s="1706"/>
      <c r="AE755" s="2461"/>
      <c r="AF755" s="68"/>
    </row>
    <row r="756" spans="1:32" x14ac:dyDescent="0.35">
      <c r="A756" s="1880"/>
      <c r="B756" s="1059" t="s">
        <v>2925</v>
      </c>
      <c r="C756" s="1059"/>
      <c r="D756" s="755"/>
      <c r="E756" s="711" t="s">
        <v>3708</v>
      </c>
      <c r="F756" s="1834">
        <v>4</v>
      </c>
      <c r="G756" s="1834">
        <v>5</v>
      </c>
      <c r="H756" s="179">
        <v>6</v>
      </c>
      <c r="I756" s="1918"/>
      <c r="J756" s="1918"/>
      <c r="K756" s="1919"/>
      <c r="L756" s="1919"/>
      <c r="M756" s="1920"/>
      <c r="N756" s="1919">
        <v>1.129</v>
      </c>
      <c r="O756" s="1949"/>
      <c r="P756" s="1950"/>
      <c r="Q756" s="1967"/>
      <c r="R756" s="1354"/>
      <c r="S756" s="701"/>
      <c r="T756" s="1931"/>
      <c r="U756" s="705"/>
      <c r="V756" s="705"/>
      <c r="W756" s="716"/>
      <c r="X756" s="333"/>
      <c r="Y756" s="716"/>
      <c r="Z756" s="1706"/>
      <c r="AE756" s="2461"/>
      <c r="AF756" s="68"/>
    </row>
    <row r="757" spans="1:32" x14ac:dyDescent="0.35">
      <c r="A757" s="1880"/>
      <c r="B757" s="1059" t="s">
        <v>2925</v>
      </c>
      <c r="C757" s="1059"/>
      <c r="D757" s="755"/>
      <c r="E757" s="1971" t="s">
        <v>3709</v>
      </c>
      <c r="F757" s="1834">
        <v>5</v>
      </c>
      <c r="G757" s="1834">
        <v>5</v>
      </c>
      <c r="H757" s="179">
        <v>6</v>
      </c>
      <c r="I757" s="1918"/>
      <c r="J757" s="1918"/>
      <c r="K757" s="1919"/>
      <c r="L757" s="1919"/>
      <c r="M757" s="1920"/>
      <c r="N757" s="1919"/>
      <c r="O757" s="1949"/>
      <c r="P757" s="1950"/>
      <c r="Q757" s="1967">
        <f>2.262-1.129</f>
        <v>1.133</v>
      </c>
      <c r="R757" s="1354"/>
      <c r="S757" s="701"/>
      <c r="T757" s="1931"/>
      <c r="U757" s="705"/>
      <c r="V757" s="705"/>
      <c r="W757" s="716"/>
      <c r="X757" s="333"/>
      <c r="Y757" s="716"/>
      <c r="Z757" s="1706"/>
      <c r="AE757" s="2461"/>
      <c r="AF757" s="68"/>
    </row>
    <row r="758" spans="1:32" ht="30" x14ac:dyDescent="0.35">
      <c r="A758" s="1896">
        <v>320</v>
      </c>
      <c r="B758" s="1060" t="s">
        <v>2925</v>
      </c>
      <c r="C758" s="1979" t="s">
        <v>1655</v>
      </c>
      <c r="D758" s="2471" t="s">
        <v>5612</v>
      </c>
      <c r="E758" s="699" t="s">
        <v>10003</v>
      </c>
      <c r="F758" s="1943" t="s">
        <v>664</v>
      </c>
      <c r="G758" s="1834">
        <v>5</v>
      </c>
      <c r="H758" s="1620">
        <v>6</v>
      </c>
      <c r="I758" s="702">
        <f>J758+K758+L758</f>
        <v>0.2</v>
      </c>
      <c r="J758" s="702">
        <f>SUM(M758:R758)</f>
        <v>0.2</v>
      </c>
      <c r="K758" s="703"/>
      <c r="L758" s="703"/>
      <c r="M758" s="1384"/>
      <c r="N758" s="702"/>
      <c r="O758" s="1376"/>
      <c r="P758" s="1369"/>
      <c r="Q758" s="1361"/>
      <c r="R758" s="1358">
        <v>0.2</v>
      </c>
      <c r="S758" s="743"/>
      <c r="T758" s="1931"/>
      <c r="U758" s="732"/>
      <c r="V758" s="732"/>
      <c r="W758" s="743"/>
      <c r="X758" s="731"/>
      <c r="Y758" s="730"/>
      <c r="Z758" s="1708"/>
      <c r="AB758" s="3">
        <v>1</v>
      </c>
      <c r="AE758" s="2461"/>
      <c r="AF758" s="68"/>
    </row>
    <row r="759" spans="1:32" ht="30" x14ac:dyDescent="0.35">
      <c r="A759" s="1896">
        <v>321</v>
      </c>
      <c r="B759" s="1058" t="s">
        <v>2925</v>
      </c>
      <c r="C759" s="1058"/>
      <c r="D759" s="2471" t="s">
        <v>5613</v>
      </c>
      <c r="E759" s="715" t="s">
        <v>10004</v>
      </c>
      <c r="F759" s="1834" t="s">
        <v>827</v>
      </c>
      <c r="G759" s="1953">
        <v>5</v>
      </c>
      <c r="H759" s="1620">
        <v>6</v>
      </c>
      <c r="I759" s="702">
        <f>J759+K759+L759</f>
        <v>1</v>
      </c>
      <c r="J759" s="702">
        <f>SUM(M759:R759)</f>
        <v>1</v>
      </c>
      <c r="K759" s="703"/>
      <c r="L759" s="703"/>
      <c r="M759" s="1387"/>
      <c r="N759" s="717"/>
      <c r="O759" s="1379"/>
      <c r="P759" s="1372"/>
      <c r="Q759" s="1364"/>
      <c r="R759" s="1355">
        <v>1</v>
      </c>
      <c r="S759" s="730"/>
      <c r="T759" s="1931"/>
      <c r="U759" s="732"/>
      <c r="V759" s="732"/>
      <c r="W759" s="730">
        <v>2</v>
      </c>
      <c r="X759" s="737">
        <v>17.5</v>
      </c>
      <c r="Y759" s="738"/>
      <c r="Z759" s="1707"/>
      <c r="AB759" s="3">
        <v>1</v>
      </c>
      <c r="AE759" s="2461"/>
      <c r="AF759" s="68"/>
    </row>
    <row r="760" spans="1:32" ht="45.5" x14ac:dyDescent="0.35">
      <c r="A760" s="1896"/>
      <c r="B760" s="1059" t="s">
        <v>7306</v>
      </c>
      <c r="C760" s="1059"/>
      <c r="D760" s="759"/>
      <c r="E760" s="1915" t="s">
        <v>7227</v>
      </c>
      <c r="F760" s="1953"/>
      <c r="G760" s="1953"/>
      <c r="H760" s="1953"/>
      <c r="I760" s="702"/>
      <c r="J760" s="702"/>
      <c r="K760" s="703"/>
      <c r="L760" s="703"/>
      <c r="M760" s="1387"/>
      <c r="N760" s="703"/>
      <c r="O760" s="1379"/>
      <c r="P760" s="1372"/>
      <c r="Q760" s="1364"/>
      <c r="R760" s="929"/>
      <c r="S760" s="730"/>
      <c r="T760" s="1931"/>
      <c r="U760" s="732"/>
      <c r="V760" s="732"/>
      <c r="W760" s="730"/>
      <c r="X760" s="731"/>
      <c r="Y760" s="730"/>
      <c r="Z760" s="1708"/>
      <c r="AE760" s="2461"/>
      <c r="AF760" s="68"/>
    </row>
    <row r="761" spans="1:32" ht="45" x14ac:dyDescent="0.35">
      <c r="A761" s="1880">
        <v>322</v>
      </c>
      <c r="B761" s="1059" t="s">
        <v>7306</v>
      </c>
      <c r="C761" s="1059"/>
      <c r="D761" s="2471" t="s">
        <v>5614</v>
      </c>
      <c r="E761" s="715" t="s">
        <v>7865</v>
      </c>
      <c r="F761" s="1834" t="s">
        <v>827</v>
      </c>
      <c r="G761" s="1834">
        <v>5</v>
      </c>
      <c r="H761" s="179">
        <v>6</v>
      </c>
      <c r="I761" s="702">
        <f>J761+K761+L761</f>
        <v>0.4</v>
      </c>
      <c r="J761" s="702">
        <f>SUM(M761:R761)</f>
        <v>0.4</v>
      </c>
      <c r="K761" s="703"/>
      <c r="L761" s="703"/>
      <c r="M761" s="1387"/>
      <c r="N761" s="717">
        <v>0.4</v>
      </c>
      <c r="O761" s="1379"/>
      <c r="P761" s="1372"/>
      <c r="Q761" s="1364"/>
      <c r="R761" s="929"/>
      <c r="S761" s="730"/>
      <c r="T761" s="1931"/>
      <c r="U761" s="732"/>
      <c r="V761" s="732"/>
      <c r="W761" s="730"/>
      <c r="X761" s="735"/>
      <c r="Y761" s="736"/>
      <c r="Z761" s="1709"/>
      <c r="AB761" s="3">
        <v>1</v>
      </c>
      <c r="AE761" s="2461"/>
      <c r="AF761" s="68"/>
    </row>
    <row r="762" spans="1:32" ht="30.5" x14ac:dyDescent="0.35">
      <c r="A762" s="1880"/>
      <c r="B762" s="1059" t="s">
        <v>7307</v>
      </c>
      <c r="C762" s="1059"/>
      <c r="D762" s="755"/>
      <c r="E762" s="1915" t="s">
        <v>10878</v>
      </c>
      <c r="F762" s="1834"/>
      <c r="G762" s="1834"/>
      <c r="H762" s="1834"/>
      <c r="I762" s="702"/>
      <c r="J762" s="702"/>
      <c r="K762" s="703"/>
      <c r="L762" s="703"/>
      <c r="M762" s="1387"/>
      <c r="N762" s="717"/>
      <c r="O762" s="1379"/>
      <c r="P762" s="1372"/>
      <c r="Q762" s="1364"/>
      <c r="R762" s="929"/>
      <c r="S762" s="730"/>
      <c r="T762" s="1931"/>
      <c r="U762" s="732"/>
      <c r="V762" s="732"/>
      <c r="W762" s="730"/>
      <c r="X762" s="735"/>
      <c r="Y762" s="736"/>
      <c r="Z762" s="1709"/>
      <c r="AE762" s="2461"/>
      <c r="AF762" s="68"/>
    </row>
    <row r="763" spans="1:32" ht="75" x14ac:dyDescent="0.35">
      <c r="A763" s="1880">
        <v>323</v>
      </c>
      <c r="B763" s="1059" t="s">
        <v>7307</v>
      </c>
      <c r="C763" s="1059"/>
      <c r="D763" s="2471" t="s">
        <v>5615</v>
      </c>
      <c r="E763" s="715" t="s">
        <v>7308</v>
      </c>
      <c r="F763" s="1834">
        <v>4</v>
      </c>
      <c r="G763" s="1834">
        <v>4</v>
      </c>
      <c r="H763" s="179">
        <v>6</v>
      </c>
      <c r="I763" s="702">
        <f>J763+K763+L763</f>
        <v>2.9710000000000001</v>
      </c>
      <c r="J763" s="702">
        <f>SUM(M763:R763)</f>
        <v>2.9710000000000001</v>
      </c>
      <c r="K763" s="703"/>
      <c r="L763" s="703"/>
      <c r="M763" s="1387"/>
      <c r="N763" s="717">
        <v>2.9710000000000001</v>
      </c>
      <c r="O763" s="1379"/>
      <c r="P763" s="1372"/>
      <c r="Q763" s="1365"/>
      <c r="R763" s="1354"/>
      <c r="S763" s="2682">
        <v>0</v>
      </c>
      <c r="T763" s="2964">
        <v>0</v>
      </c>
      <c r="U763" s="705"/>
      <c r="V763" s="705"/>
      <c r="W763" s="716">
        <v>9</v>
      </c>
      <c r="X763" s="333">
        <v>98.1</v>
      </c>
      <c r="Y763" s="716">
        <v>5</v>
      </c>
      <c r="Z763" s="1706">
        <v>42.55</v>
      </c>
      <c r="AB763" s="3">
        <v>1</v>
      </c>
      <c r="AE763" s="2461"/>
      <c r="AF763" s="68"/>
    </row>
    <row r="764" spans="1:32" ht="90" x14ac:dyDescent="0.35">
      <c r="A764" s="1880">
        <v>324</v>
      </c>
      <c r="B764" s="1059" t="s">
        <v>7307</v>
      </c>
      <c r="C764" s="1059"/>
      <c r="D764" s="2471" t="s">
        <v>5616</v>
      </c>
      <c r="E764" s="1916" t="s">
        <v>7866</v>
      </c>
      <c r="F764" s="1834">
        <v>5</v>
      </c>
      <c r="G764" s="1620">
        <v>4</v>
      </c>
      <c r="H764" s="179">
        <v>6</v>
      </c>
      <c r="I764" s="702">
        <f>J764+K764+L764</f>
        <v>3.1139999999999999</v>
      </c>
      <c r="J764" s="702">
        <f>SUM(M764:R764)</f>
        <v>3.1139999999999999</v>
      </c>
      <c r="K764" s="709"/>
      <c r="L764" s="709"/>
      <c r="M764" s="1388"/>
      <c r="N764" s="1917">
        <v>3.1139999999999999</v>
      </c>
      <c r="O764" s="1378"/>
      <c r="P764" s="1371"/>
      <c r="Q764" s="1961"/>
      <c r="R764" s="1353"/>
      <c r="S764" s="720"/>
      <c r="T764" s="1931"/>
      <c r="U764" s="728"/>
      <c r="V764" s="728"/>
      <c r="W764" s="716">
        <v>7</v>
      </c>
      <c r="X764" s="333">
        <v>71.599999999999994</v>
      </c>
      <c r="Y764" s="725"/>
      <c r="Z764" s="2664"/>
      <c r="AB764" s="3">
        <v>1</v>
      </c>
      <c r="AD764" s="20"/>
      <c r="AE764" s="2461"/>
      <c r="AF764" s="68"/>
    </row>
    <row r="765" spans="1:32" ht="90" x14ac:dyDescent="0.35">
      <c r="A765" s="1880">
        <v>325</v>
      </c>
      <c r="B765" s="1059" t="s">
        <v>7307</v>
      </c>
      <c r="C765" s="1059"/>
      <c r="D765" s="2471" t="s">
        <v>5617</v>
      </c>
      <c r="E765" s="1916" t="s">
        <v>7867</v>
      </c>
      <c r="F765" s="1834">
        <v>5</v>
      </c>
      <c r="G765" s="1620">
        <v>4</v>
      </c>
      <c r="H765" s="179">
        <v>6</v>
      </c>
      <c r="I765" s="702">
        <f>J765+K765+L765</f>
        <v>1.3740000000000001</v>
      </c>
      <c r="J765" s="702">
        <f>SUM(M765:R765)</f>
        <v>1.3740000000000001</v>
      </c>
      <c r="K765" s="709"/>
      <c r="L765" s="709"/>
      <c r="M765" s="1388"/>
      <c r="N765" s="1917">
        <v>1.3740000000000001</v>
      </c>
      <c r="O765" s="1378"/>
      <c r="P765" s="1371"/>
      <c r="Q765" s="1363"/>
      <c r="R765" s="1353"/>
      <c r="S765" s="720"/>
      <c r="T765" s="1931"/>
      <c r="U765" s="728"/>
      <c r="V765" s="728"/>
      <c r="W765" s="716">
        <v>4</v>
      </c>
      <c r="X765" s="333">
        <v>47.5</v>
      </c>
      <c r="Y765" s="725"/>
      <c r="Z765" s="2664"/>
      <c r="AB765" s="3">
        <v>1</v>
      </c>
      <c r="AE765" s="2461"/>
      <c r="AF765" s="68"/>
    </row>
    <row r="766" spans="1:32" ht="90" x14ac:dyDescent="0.35">
      <c r="A766" s="1880">
        <v>326</v>
      </c>
      <c r="B766" s="1059" t="s">
        <v>7307</v>
      </c>
      <c r="C766" s="1059"/>
      <c r="D766" s="2471" t="s">
        <v>5618</v>
      </c>
      <c r="E766" s="733" t="s">
        <v>7392</v>
      </c>
      <c r="F766" s="1834" t="s">
        <v>827</v>
      </c>
      <c r="G766" s="1834">
        <v>5</v>
      </c>
      <c r="H766" s="1834">
        <v>6</v>
      </c>
      <c r="I766" s="702">
        <f>J766+K766+L766</f>
        <v>0.44</v>
      </c>
      <c r="J766" s="702">
        <f>SUM(M766:R766)</f>
        <v>0.44</v>
      </c>
      <c r="K766" s="703"/>
      <c r="L766" s="703"/>
      <c r="M766" s="1387"/>
      <c r="N766" s="703"/>
      <c r="O766" s="1379"/>
      <c r="P766" s="1372"/>
      <c r="Q766" s="1365">
        <v>0.44</v>
      </c>
      <c r="R766" s="1354"/>
      <c r="S766" s="701"/>
      <c r="T766" s="1931"/>
      <c r="U766" s="705"/>
      <c r="V766" s="705"/>
      <c r="W766" s="701"/>
      <c r="X766" s="333"/>
      <c r="Y766" s="716"/>
      <c r="Z766" s="1706"/>
      <c r="AB766" s="3">
        <v>1</v>
      </c>
      <c r="AE766" s="2461"/>
      <c r="AF766" s="68"/>
    </row>
    <row r="767" spans="1:32" ht="60" x14ac:dyDescent="0.35">
      <c r="A767" s="1880">
        <v>327</v>
      </c>
      <c r="B767" s="1059" t="s">
        <v>7307</v>
      </c>
      <c r="C767" s="1059"/>
      <c r="D767" s="2471" t="s">
        <v>5619</v>
      </c>
      <c r="E767" s="715" t="s">
        <v>7309</v>
      </c>
      <c r="F767" s="1834"/>
      <c r="G767" s="1834" t="s">
        <v>191</v>
      </c>
      <c r="H767" s="179" t="s">
        <v>191</v>
      </c>
      <c r="I767" s="702">
        <f>J767+K767+L767</f>
        <v>1.68</v>
      </c>
      <c r="J767" s="702">
        <f>SUM(M767:R767)</f>
        <v>1.65</v>
      </c>
      <c r="K767" s="703"/>
      <c r="L767" s="717">
        <f>SUM(L768:L770)</f>
        <v>0.03</v>
      </c>
      <c r="M767" s="1387"/>
      <c r="N767" s="717">
        <f>SUM(N768:N770)</f>
        <v>1.65</v>
      </c>
      <c r="O767" s="1379"/>
      <c r="P767" s="1372"/>
      <c r="Q767" s="1365"/>
      <c r="R767" s="1354"/>
      <c r="S767" s="701"/>
      <c r="T767" s="1931"/>
      <c r="U767" s="705"/>
      <c r="V767" s="705"/>
      <c r="W767" s="716">
        <v>2</v>
      </c>
      <c r="X767" s="333">
        <v>32.9</v>
      </c>
      <c r="Y767" s="716"/>
      <c r="Z767" s="1706"/>
      <c r="AB767" s="3">
        <v>1</v>
      </c>
      <c r="AE767" s="2461"/>
      <c r="AF767" s="68"/>
    </row>
    <row r="768" spans="1:32" ht="31" x14ac:dyDescent="0.35">
      <c r="A768" s="1880"/>
      <c r="B768" s="1059"/>
      <c r="C768" s="1059"/>
      <c r="D768" s="2471"/>
      <c r="E768" s="711" t="s">
        <v>11072</v>
      </c>
      <c r="F768" s="725">
        <v>4</v>
      </c>
      <c r="G768" s="725">
        <v>5</v>
      </c>
      <c r="H768" s="725">
        <v>6</v>
      </c>
      <c r="I768" s="726"/>
      <c r="J768" s="726"/>
      <c r="K768" s="721"/>
      <c r="L768" s="721">
        <v>0.03</v>
      </c>
      <c r="M768" s="721"/>
      <c r="N768" s="727"/>
      <c r="O768" s="1949"/>
      <c r="P768" s="1950"/>
      <c r="Q768" s="1967"/>
      <c r="R768" s="1952"/>
      <c r="S768" s="1953"/>
      <c r="T768" s="2454"/>
      <c r="U768" s="1944"/>
      <c r="V768" s="1944"/>
      <c r="W768" s="1834"/>
      <c r="X768" s="2074"/>
      <c r="Y768" s="1834"/>
      <c r="Z768" s="2075"/>
      <c r="AE768" s="2461"/>
      <c r="AF768" s="68"/>
    </row>
    <row r="769" spans="1:32" x14ac:dyDescent="0.35">
      <c r="A769" s="1880"/>
      <c r="B769" s="1059"/>
      <c r="C769" s="1059"/>
      <c r="D769" s="2471"/>
      <c r="E769" s="711" t="s">
        <v>11180</v>
      </c>
      <c r="F769" s="725">
        <v>4</v>
      </c>
      <c r="G769" s="725">
        <v>5</v>
      </c>
      <c r="H769" s="725">
        <v>6</v>
      </c>
      <c r="I769" s="726"/>
      <c r="J769" s="726"/>
      <c r="K769" s="721"/>
      <c r="L769" s="721"/>
      <c r="M769" s="721"/>
      <c r="N769" s="727">
        <f>1.68-0.03</f>
        <v>1.65</v>
      </c>
      <c r="O769" s="1949"/>
      <c r="P769" s="1950"/>
      <c r="Q769" s="1967"/>
      <c r="R769" s="1952"/>
      <c r="S769" s="1953"/>
      <c r="T769" s="2454"/>
      <c r="U769" s="1944"/>
      <c r="V769" s="1944"/>
      <c r="W769" s="1834"/>
      <c r="X769" s="2074"/>
      <c r="Y769" s="1834"/>
      <c r="Z769" s="2075"/>
      <c r="AE769" s="2461"/>
      <c r="AF769" s="68"/>
    </row>
    <row r="770" spans="1:32" ht="46.5" x14ac:dyDescent="0.35">
      <c r="A770" s="1886"/>
      <c r="B770" s="1059"/>
      <c r="C770" s="1059"/>
      <c r="D770" s="755"/>
      <c r="E770" s="711" t="s">
        <v>10005</v>
      </c>
      <c r="F770" s="1834"/>
      <c r="G770" s="1834" t="s">
        <v>191</v>
      </c>
      <c r="H770" s="1834" t="s">
        <v>191</v>
      </c>
      <c r="I770" s="1918"/>
      <c r="J770" s="1918"/>
      <c r="K770" s="1919"/>
      <c r="L770" s="1919"/>
      <c r="M770" s="1920"/>
      <c r="N770" s="2076"/>
      <c r="O770" s="1949"/>
      <c r="P770" s="1950"/>
      <c r="Q770" s="1951"/>
      <c r="R770" s="1952"/>
      <c r="S770" s="1953"/>
      <c r="T770" s="2454"/>
      <c r="U770" s="1944"/>
      <c r="V770" s="1944"/>
      <c r="W770" s="1834"/>
      <c r="X770" s="2074"/>
      <c r="Y770" s="1834"/>
      <c r="Z770" s="2075"/>
      <c r="AE770" s="2461"/>
      <c r="AF770" s="68"/>
    </row>
    <row r="771" spans="1:32" ht="45" x14ac:dyDescent="0.35">
      <c r="A771" s="1880">
        <v>328</v>
      </c>
      <c r="B771" s="1059" t="s">
        <v>7307</v>
      </c>
      <c r="C771" s="1059"/>
      <c r="D771" s="2471" t="s">
        <v>5620</v>
      </c>
      <c r="E771" s="715" t="s">
        <v>7310</v>
      </c>
      <c r="F771" s="1834">
        <v>4</v>
      </c>
      <c r="G771" s="1834">
        <v>4</v>
      </c>
      <c r="H771" s="179">
        <v>6</v>
      </c>
      <c r="I771" s="702">
        <f>J771+K771+L771</f>
        <v>0.317</v>
      </c>
      <c r="J771" s="702">
        <f>SUM(M771:R771)</f>
        <v>0.317</v>
      </c>
      <c r="K771" s="703"/>
      <c r="L771" s="703"/>
      <c r="M771" s="1387"/>
      <c r="N771" s="717">
        <v>0.317</v>
      </c>
      <c r="O771" s="1379"/>
      <c r="P771" s="1372"/>
      <c r="Q771" s="1364"/>
      <c r="R771" s="1354"/>
      <c r="S771" s="701"/>
      <c r="T771" s="1931"/>
      <c r="U771" s="705"/>
      <c r="V771" s="705"/>
      <c r="W771" s="701"/>
      <c r="X771" s="333"/>
      <c r="Y771" s="716"/>
      <c r="Z771" s="1706"/>
      <c r="AB771" s="3">
        <v>1</v>
      </c>
      <c r="AE771" s="2461"/>
      <c r="AF771" s="68"/>
    </row>
    <row r="772" spans="1:32" ht="45" x14ac:dyDescent="0.35">
      <c r="A772" s="1886">
        <v>329</v>
      </c>
      <c r="B772" s="1059" t="s">
        <v>7307</v>
      </c>
      <c r="C772" s="1059"/>
      <c r="D772" s="2471" t="s">
        <v>5621</v>
      </c>
      <c r="E772" s="715" t="s">
        <v>7868</v>
      </c>
      <c r="F772" s="1834"/>
      <c r="G772" s="1834" t="s">
        <v>191</v>
      </c>
      <c r="H772" s="179" t="s">
        <v>191</v>
      </c>
      <c r="I772" s="702">
        <f>J772+K772+L772</f>
        <v>2.3980000000000001</v>
      </c>
      <c r="J772" s="702">
        <f>SUM(M772:R772)</f>
        <v>2.3980000000000001</v>
      </c>
      <c r="K772" s="703"/>
      <c r="L772" s="703"/>
      <c r="M772" s="1387"/>
      <c r="N772" s="717">
        <f>SUM(N773:N774)</f>
        <v>2.3980000000000001</v>
      </c>
      <c r="O772" s="1379"/>
      <c r="P772" s="1372"/>
      <c r="Q772" s="1364"/>
      <c r="R772" s="1355"/>
      <c r="S772" s="701"/>
      <c r="T772" s="1931"/>
      <c r="U772" s="705"/>
      <c r="V772" s="705"/>
      <c r="W772" s="716">
        <f>2+3</f>
        <v>5</v>
      </c>
      <c r="X772" s="333">
        <f>26.09+26</f>
        <v>52.09</v>
      </c>
      <c r="Y772" s="716">
        <v>3</v>
      </c>
      <c r="Z772" s="1706">
        <f>30.3-4.3</f>
        <v>26</v>
      </c>
      <c r="AB772" s="3">
        <v>1</v>
      </c>
      <c r="AE772" s="2461"/>
      <c r="AF772" s="68"/>
    </row>
    <row r="773" spans="1:32" x14ac:dyDescent="0.35">
      <c r="A773" s="1886"/>
      <c r="B773" s="1059" t="s">
        <v>7307</v>
      </c>
      <c r="C773" s="1059"/>
      <c r="D773" s="754"/>
      <c r="E773" s="711" t="s">
        <v>1484</v>
      </c>
      <c r="F773" s="1834">
        <v>4</v>
      </c>
      <c r="G773" s="1834">
        <v>5</v>
      </c>
      <c r="H773" s="179">
        <v>6</v>
      </c>
      <c r="I773" s="708"/>
      <c r="J773" s="708"/>
      <c r="K773" s="709"/>
      <c r="L773" s="709"/>
      <c r="M773" s="1388"/>
      <c r="N773" s="712">
        <v>0.95599999999999996</v>
      </c>
      <c r="O773" s="1378"/>
      <c r="P773" s="1371"/>
      <c r="Q773" s="1363"/>
      <c r="R773" s="1353"/>
      <c r="S773" s="720"/>
      <c r="T773" s="1931"/>
      <c r="U773" s="728"/>
      <c r="V773" s="728"/>
      <c r="W773" s="720"/>
      <c r="X773" s="332"/>
      <c r="Y773" s="725"/>
      <c r="Z773" s="2664"/>
      <c r="AE773" s="2461"/>
      <c r="AF773" s="68"/>
    </row>
    <row r="774" spans="1:32" x14ac:dyDescent="0.35">
      <c r="A774" s="2141"/>
      <c r="B774" s="1146" t="s">
        <v>7307</v>
      </c>
      <c r="C774" s="1146"/>
      <c r="D774" s="754"/>
      <c r="E774" s="711" t="s">
        <v>1485</v>
      </c>
      <c r="F774" s="1834" t="s">
        <v>827</v>
      </c>
      <c r="G774" s="1834">
        <v>5</v>
      </c>
      <c r="H774" s="179">
        <v>6</v>
      </c>
      <c r="I774" s="712"/>
      <c r="J774" s="712"/>
      <c r="K774" s="709"/>
      <c r="L774" s="709"/>
      <c r="M774" s="1388"/>
      <c r="N774" s="709">
        <f>2.398-0.956</f>
        <v>1.4420000000000002</v>
      </c>
      <c r="O774" s="1378"/>
      <c r="P774" s="1371"/>
      <c r="Q774" s="1363"/>
      <c r="R774" s="1356"/>
      <c r="S774" s="722"/>
      <c r="T774" s="1931"/>
      <c r="U774" s="723"/>
      <c r="V774" s="723"/>
      <c r="W774" s="722"/>
      <c r="X774" s="2665"/>
      <c r="Y774" s="722"/>
      <c r="Z774" s="2665"/>
      <c r="AE774" s="2461"/>
      <c r="AF774" s="68"/>
    </row>
    <row r="775" spans="1:32" ht="45" x14ac:dyDescent="0.35">
      <c r="A775" s="1972">
        <v>330</v>
      </c>
      <c r="B775" s="1147" t="s">
        <v>7307</v>
      </c>
      <c r="C775" s="1147"/>
      <c r="D775" s="2471" t="s">
        <v>5622</v>
      </c>
      <c r="E775" s="715" t="s">
        <v>7869</v>
      </c>
      <c r="F775" s="1834"/>
      <c r="G775" s="1834" t="s">
        <v>191</v>
      </c>
      <c r="H775" s="1943" t="s">
        <v>191</v>
      </c>
      <c r="I775" s="702">
        <f>J775+K775+L775</f>
        <v>1.1000000000000001</v>
      </c>
      <c r="J775" s="702">
        <f>SUM(M775:R775)</f>
        <v>1.1000000000000001</v>
      </c>
      <c r="K775" s="703"/>
      <c r="L775" s="703"/>
      <c r="M775" s="1387"/>
      <c r="N775" s="703">
        <f>SUM(N776:N777)</f>
        <v>1</v>
      </c>
      <c r="O775" s="1379"/>
      <c r="P775" s="1372"/>
      <c r="Q775" s="1364"/>
      <c r="R775" s="1354">
        <f>SUM(R776:R777)</f>
        <v>0.1</v>
      </c>
      <c r="S775" s="730"/>
      <c r="T775" s="1931"/>
      <c r="U775" s="732"/>
      <c r="V775" s="732"/>
      <c r="W775" s="730">
        <v>1</v>
      </c>
      <c r="X775" s="737">
        <v>6</v>
      </c>
      <c r="Y775" s="738"/>
      <c r="Z775" s="737"/>
      <c r="AB775" s="3">
        <v>1</v>
      </c>
      <c r="AE775" s="2461"/>
      <c r="AF775" s="68"/>
    </row>
    <row r="776" spans="1:32" x14ac:dyDescent="0.35">
      <c r="A776" s="1979"/>
      <c r="B776" s="1147" t="s">
        <v>7307</v>
      </c>
      <c r="C776" s="1147"/>
      <c r="D776" s="754"/>
      <c r="E776" s="710" t="s">
        <v>2628</v>
      </c>
      <c r="F776" s="1834" t="s">
        <v>827</v>
      </c>
      <c r="G776" s="1834">
        <v>5</v>
      </c>
      <c r="H776" s="179">
        <v>6</v>
      </c>
      <c r="I776" s="712"/>
      <c r="J776" s="712"/>
      <c r="K776" s="709"/>
      <c r="L776" s="709"/>
      <c r="M776" s="1388"/>
      <c r="N776" s="709">
        <v>1</v>
      </c>
      <c r="O776" s="1378"/>
      <c r="P776" s="1371"/>
      <c r="Q776" s="1363"/>
      <c r="R776" s="927"/>
      <c r="S776" s="722"/>
      <c r="T776" s="1931"/>
      <c r="U776" s="723"/>
      <c r="V776" s="723"/>
      <c r="W776" s="720"/>
      <c r="X776" s="2519"/>
      <c r="Y776" s="722"/>
      <c r="Z776" s="2665"/>
      <c r="AE776" s="2461"/>
      <c r="AF776" s="68"/>
    </row>
    <row r="777" spans="1:32" x14ac:dyDescent="0.35">
      <c r="A777" s="1896"/>
      <c r="B777" s="1058" t="s">
        <v>7307</v>
      </c>
      <c r="C777" s="1058"/>
      <c r="D777" s="754"/>
      <c r="E777" s="1393" t="s">
        <v>2131</v>
      </c>
      <c r="F777" s="1834" t="s">
        <v>827</v>
      </c>
      <c r="G777" s="1834">
        <v>5</v>
      </c>
      <c r="H777" s="1620">
        <v>6</v>
      </c>
      <c r="I777" s="712"/>
      <c r="J777" s="712"/>
      <c r="K777" s="709"/>
      <c r="L777" s="709"/>
      <c r="M777" s="1388"/>
      <c r="N777" s="709"/>
      <c r="O777" s="1378"/>
      <c r="P777" s="1371"/>
      <c r="Q777" s="1363"/>
      <c r="R777" s="927">
        <v>0.1</v>
      </c>
      <c r="S777" s="722"/>
      <c r="T777" s="1931"/>
      <c r="U777" s="723"/>
      <c r="V777" s="723"/>
      <c r="W777" s="722"/>
      <c r="X777" s="2665"/>
      <c r="Y777" s="722"/>
      <c r="Z777" s="2666"/>
      <c r="AE777" s="2461"/>
      <c r="AF777" s="68"/>
    </row>
    <row r="778" spans="1:32" ht="60" x14ac:dyDescent="0.35">
      <c r="A778" s="1880">
        <v>331</v>
      </c>
      <c r="B778" s="1058" t="s">
        <v>7307</v>
      </c>
      <c r="C778" s="1058"/>
      <c r="D778" s="2471" t="s">
        <v>5623</v>
      </c>
      <c r="E778" s="715" t="s">
        <v>10108</v>
      </c>
      <c r="F778" s="1834"/>
      <c r="G778" s="1834" t="s">
        <v>191</v>
      </c>
      <c r="H778" s="1943" t="s">
        <v>191</v>
      </c>
      <c r="I778" s="702">
        <f>J778+K778+L778</f>
        <v>2.14</v>
      </c>
      <c r="J778" s="702">
        <f>SUM(M778:R778)</f>
        <v>2.14</v>
      </c>
      <c r="K778" s="703"/>
      <c r="L778" s="703"/>
      <c r="M778" s="1389">
        <f>SUM(M779:M780)</f>
        <v>1.74</v>
      </c>
      <c r="N778" s="717">
        <f>SUM(N779:N780)</f>
        <v>0.40000000000000013</v>
      </c>
      <c r="O778" s="1379"/>
      <c r="P778" s="1372"/>
      <c r="Q778" s="1364"/>
      <c r="R778" s="1354"/>
      <c r="S778" s="701"/>
      <c r="T778" s="1931"/>
      <c r="U778" s="705"/>
      <c r="V778" s="705"/>
      <c r="W778" s="701">
        <v>1</v>
      </c>
      <c r="X778" s="333">
        <v>15</v>
      </c>
      <c r="Y778" s="716"/>
      <c r="Z778" s="1706"/>
      <c r="AA778" s="3" t="s">
        <v>1535</v>
      </c>
      <c r="AB778" s="3">
        <v>1</v>
      </c>
      <c r="AE778" s="2461"/>
      <c r="AF778" s="68"/>
    </row>
    <row r="779" spans="1:32" x14ac:dyDescent="0.35">
      <c r="A779" s="1880"/>
      <c r="B779" s="1058" t="s">
        <v>7307</v>
      </c>
      <c r="C779" s="1058"/>
      <c r="D779" s="755"/>
      <c r="E779" s="1399" t="s">
        <v>1777</v>
      </c>
      <c r="F779" s="1834">
        <v>4</v>
      </c>
      <c r="G779" s="1834">
        <v>3</v>
      </c>
      <c r="H779" s="1943">
        <v>10</v>
      </c>
      <c r="I779" s="1918"/>
      <c r="J779" s="1918"/>
      <c r="K779" s="1919"/>
      <c r="L779" s="1919"/>
      <c r="M779" s="1948">
        <v>1.74</v>
      </c>
      <c r="N779" s="2076"/>
      <c r="O779" s="1949"/>
      <c r="P779" s="1950"/>
      <c r="Q779" s="1951"/>
      <c r="R779" s="1952"/>
      <c r="S779" s="701"/>
      <c r="T779" s="1931"/>
      <c r="U779" s="705"/>
      <c r="V779" s="705"/>
      <c r="W779" s="701"/>
      <c r="X779" s="333"/>
      <c r="Y779" s="716"/>
      <c r="Z779" s="1706"/>
      <c r="AE779" s="2461"/>
      <c r="AF779" s="68"/>
    </row>
    <row r="780" spans="1:32" x14ac:dyDescent="0.35">
      <c r="A780" s="1880"/>
      <c r="B780" s="1058" t="s">
        <v>7307</v>
      </c>
      <c r="C780" s="1058"/>
      <c r="D780" s="755"/>
      <c r="E780" s="711" t="s">
        <v>1778</v>
      </c>
      <c r="F780" s="1834">
        <v>4</v>
      </c>
      <c r="G780" s="1834">
        <v>3</v>
      </c>
      <c r="H780" s="179">
        <v>6</v>
      </c>
      <c r="I780" s="1918"/>
      <c r="J780" s="1918"/>
      <c r="K780" s="1919"/>
      <c r="L780" s="1919"/>
      <c r="M780" s="1948"/>
      <c r="N780" s="2076">
        <f>2.14-1.74</f>
        <v>0.40000000000000013</v>
      </c>
      <c r="O780" s="1949"/>
      <c r="P780" s="1950"/>
      <c r="Q780" s="1951"/>
      <c r="R780" s="1952"/>
      <c r="S780" s="701"/>
      <c r="T780" s="1931"/>
      <c r="U780" s="705"/>
      <c r="V780" s="705"/>
      <c r="W780" s="701"/>
      <c r="X780" s="333"/>
      <c r="Y780" s="716"/>
      <c r="Z780" s="1706"/>
      <c r="AE780" s="2461"/>
      <c r="AF780" s="68"/>
    </row>
    <row r="781" spans="1:32" ht="60" x14ac:dyDescent="0.35">
      <c r="A781" s="1954">
        <v>332</v>
      </c>
      <c r="B781" s="1147" t="s">
        <v>981</v>
      </c>
      <c r="C781" s="1147"/>
      <c r="D781" s="2471" t="s">
        <v>5710</v>
      </c>
      <c r="E781" s="739" t="s">
        <v>7311</v>
      </c>
      <c r="F781" s="1953" t="s">
        <v>664</v>
      </c>
      <c r="G781" s="1953">
        <v>5</v>
      </c>
      <c r="H781" s="1620">
        <v>6</v>
      </c>
      <c r="I781" s="702">
        <f>J781+K781+L781</f>
        <v>0.4</v>
      </c>
      <c r="J781" s="702">
        <f>SUM(M781:R781)</f>
        <v>0.4</v>
      </c>
      <c r="K781" s="703"/>
      <c r="L781" s="703"/>
      <c r="M781" s="1387"/>
      <c r="N781" s="703"/>
      <c r="O781" s="1379"/>
      <c r="P781" s="1372"/>
      <c r="Q781" s="1364"/>
      <c r="R781" s="929">
        <v>0.4</v>
      </c>
      <c r="S781" s="730"/>
      <c r="T781" s="1931"/>
      <c r="U781" s="732"/>
      <c r="V781" s="732"/>
      <c r="W781" s="730"/>
      <c r="X781" s="731"/>
      <c r="Y781" s="730"/>
      <c r="Z781" s="731"/>
      <c r="AA781" s="3" t="s">
        <v>1536</v>
      </c>
      <c r="AB781" s="3">
        <v>1</v>
      </c>
      <c r="AE781" s="2461"/>
      <c r="AF781" s="68"/>
    </row>
    <row r="782" spans="1:32" ht="30.5" x14ac:dyDescent="0.35">
      <c r="A782" s="1896"/>
      <c r="B782" s="1059" t="s">
        <v>298</v>
      </c>
      <c r="C782" s="1059"/>
      <c r="D782" s="754"/>
      <c r="E782" s="1582" t="s">
        <v>2287</v>
      </c>
      <c r="F782" s="1953"/>
      <c r="G782" s="1620"/>
      <c r="H782" s="1620"/>
      <c r="I782" s="712"/>
      <c r="J782" s="712"/>
      <c r="K782" s="709"/>
      <c r="L782" s="709"/>
      <c r="M782" s="1388"/>
      <c r="N782" s="709"/>
      <c r="O782" s="1378"/>
      <c r="P782" s="1371"/>
      <c r="Q782" s="1363"/>
      <c r="R782" s="927"/>
      <c r="S782" s="722"/>
      <c r="T782" s="1931"/>
      <c r="U782" s="723"/>
      <c r="V782" s="723"/>
      <c r="W782" s="722"/>
      <c r="X782" s="2665"/>
      <c r="Y782" s="722"/>
      <c r="Z782" s="2666"/>
      <c r="AE782" s="2461"/>
      <c r="AF782" s="68"/>
    </row>
    <row r="783" spans="1:32" ht="30" x14ac:dyDescent="0.35">
      <c r="A783" s="1880">
        <v>333</v>
      </c>
      <c r="B783" s="1059" t="s">
        <v>298</v>
      </c>
      <c r="C783" s="1059"/>
      <c r="D783" s="2471" t="s">
        <v>5624</v>
      </c>
      <c r="E783" s="733" t="s">
        <v>7870</v>
      </c>
      <c r="F783" s="1834"/>
      <c r="G783" s="1834" t="s">
        <v>191</v>
      </c>
      <c r="H783" s="1620" t="s">
        <v>191</v>
      </c>
      <c r="I783" s="702">
        <f>J783+K783+L783</f>
        <v>1.46</v>
      </c>
      <c r="J783" s="702">
        <f>SUM(M783:R783)</f>
        <v>1.46</v>
      </c>
      <c r="K783" s="703"/>
      <c r="L783" s="703"/>
      <c r="M783" s="1387"/>
      <c r="N783" s="703"/>
      <c r="O783" s="1379"/>
      <c r="P783" s="1372"/>
      <c r="Q783" s="1364"/>
      <c r="R783" s="1355">
        <f>SUM(R784:R785)</f>
        <v>1.46</v>
      </c>
      <c r="S783" s="701"/>
      <c r="T783" s="1931"/>
      <c r="U783" s="705"/>
      <c r="V783" s="705"/>
      <c r="W783" s="701"/>
      <c r="X783" s="333"/>
      <c r="Y783" s="716"/>
      <c r="Z783" s="1706"/>
      <c r="AB783" s="3">
        <v>1</v>
      </c>
      <c r="AE783" s="2461"/>
      <c r="AF783" s="68"/>
    </row>
    <row r="784" spans="1:32" x14ac:dyDescent="0.35">
      <c r="A784" s="1880"/>
      <c r="B784" s="1059" t="s">
        <v>298</v>
      </c>
      <c r="C784" s="1059"/>
      <c r="D784" s="757"/>
      <c r="E784" s="1393" t="s">
        <v>2628</v>
      </c>
      <c r="F784" s="1834" t="s">
        <v>664</v>
      </c>
      <c r="G784" s="1834">
        <v>5</v>
      </c>
      <c r="H784" s="1620">
        <v>6</v>
      </c>
      <c r="I784" s="702"/>
      <c r="J784" s="702"/>
      <c r="K784" s="703"/>
      <c r="L784" s="703"/>
      <c r="M784" s="1387"/>
      <c r="N784" s="703"/>
      <c r="O784" s="1379"/>
      <c r="P784" s="1372"/>
      <c r="Q784" s="1364"/>
      <c r="R784" s="1968">
        <v>1</v>
      </c>
      <c r="S784" s="701"/>
      <c r="T784" s="1931"/>
      <c r="U784" s="705"/>
      <c r="V784" s="705"/>
      <c r="W784" s="701"/>
      <c r="X784" s="333"/>
      <c r="Y784" s="716"/>
      <c r="Z784" s="1706"/>
      <c r="AE784" s="2461"/>
      <c r="AF784" s="68"/>
    </row>
    <row r="785" spans="1:32" x14ac:dyDescent="0.35">
      <c r="A785" s="1880"/>
      <c r="B785" s="1059" t="s">
        <v>298</v>
      </c>
      <c r="C785" s="1059"/>
      <c r="D785" s="757"/>
      <c r="E785" s="1393" t="s">
        <v>666</v>
      </c>
      <c r="F785" s="1834" t="s">
        <v>664</v>
      </c>
      <c r="G785" s="1834">
        <v>5</v>
      </c>
      <c r="H785" s="1620">
        <v>6</v>
      </c>
      <c r="I785" s="702"/>
      <c r="J785" s="702"/>
      <c r="K785" s="703"/>
      <c r="L785" s="703"/>
      <c r="M785" s="1387"/>
      <c r="N785" s="703"/>
      <c r="O785" s="1379"/>
      <c r="P785" s="1372"/>
      <c r="Q785" s="1364"/>
      <c r="R785" s="1968">
        <v>0.46</v>
      </c>
      <c r="S785" s="701"/>
      <c r="T785" s="1931"/>
      <c r="U785" s="705"/>
      <c r="V785" s="705"/>
      <c r="W785" s="701"/>
      <c r="X785" s="333"/>
      <c r="Y785" s="716"/>
      <c r="Z785" s="1706"/>
      <c r="AE785" s="2461"/>
      <c r="AF785" s="68"/>
    </row>
    <row r="786" spans="1:32" ht="45" x14ac:dyDescent="0.35">
      <c r="A786" s="1896">
        <v>334</v>
      </c>
      <c r="B786" s="1060" t="s">
        <v>298</v>
      </c>
      <c r="C786" s="1979" t="s">
        <v>1655</v>
      </c>
      <c r="D786" s="2471" t="s">
        <v>5625</v>
      </c>
      <c r="E786" s="739" t="s">
        <v>7331</v>
      </c>
      <c r="F786" s="1953" t="s">
        <v>664</v>
      </c>
      <c r="G786" s="1953">
        <v>5</v>
      </c>
      <c r="H786" s="1620">
        <v>6</v>
      </c>
      <c r="I786" s="702">
        <f>J786+K786+L786</f>
        <v>0.5</v>
      </c>
      <c r="J786" s="702">
        <f>SUM(M786:R786)</f>
        <v>0.5</v>
      </c>
      <c r="K786" s="703"/>
      <c r="L786" s="703"/>
      <c r="M786" s="1387"/>
      <c r="N786" s="703"/>
      <c r="O786" s="1379"/>
      <c r="P786" s="1372"/>
      <c r="Q786" s="1364"/>
      <c r="R786" s="1357">
        <v>0.5</v>
      </c>
      <c r="S786" s="730"/>
      <c r="T786" s="1931"/>
      <c r="U786" s="732"/>
      <c r="V786" s="732"/>
      <c r="W786" s="730"/>
      <c r="X786" s="731"/>
      <c r="Y786" s="730"/>
      <c r="Z786" s="1708"/>
      <c r="AB786" s="3">
        <v>1</v>
      </c>
      <c r="AE786" s="2461"/>
      <c r="AF786" s="68"/>
    </row>
    <row r="787" spans="1:32" ht="30.5" x14ac:dyDescent="0.35">
      <c r="A787" s="1896"/>
      <c r="B787" s="1059" t="s">
        <v>982</v>
      </c>
      <c r="C787" s="1059"/>
      <c r="D787" s="759"/>
      <c r="E787" s="1582" t="s">
        <v>1457</v>
      </c>
      <c r="F787" s="1953"/>
      <c r="G787" s="1953"/>
      <c r="H787" s="1953"/>
      <c r="I787" s="702"/>
      <c r="J787" s="702"/>
      <c r="K787" s="703"/>
      <c r="L787" s="703"/>
      <c r="M787" s="1387"/>
      <c r="N787" s="703"/>
      <c r="O787" s="1379"/>
      <c r="P787" s="1372"/>
      <c r="Q787" s="1364"/>
      <c r="R787" s="1357"/>
      <c r="S787" s="730"/>
      <c r="T787" s="1931"/>
      <c r="U787" s="732"/>
      <c r="V787" s="732"/>
      <c r="W787" s="730"/>
      <c r="X787" s="731"/>
      <c r="Y787" s="730"/>
      <c r="Z787" s="1708"/>
      <c r="AE787" s="2461"/>
      <c r="AF787" s="68"/>
    </row>
    <row r="788" spans="1:32" ht="30" x14ac:dyDescent="0.35">
      <c r="A788" s="1880">
        <v>335</v>
      </c>
      <c r="B788" s="1059" t="s">
        <v>982</v>
      </c>
      <c r="C788" s="1059"/>
      <c r="D788" s="2471" t="s">
        <v>5626</v>
      </c>
      <c r="E788" s="715" t="s">
        <v>9364</v>
      </c>
      <c r="F788" s="1834"/>
      <c r="G788" s="1834" t="s">
        <v>191</v>
      </c>
      <c r="H788" s="179" t="s">
        <v>191</v>
      </c>
      <c r="I788" s="702">
        <f>J788+K788+L788</f>
        <v>4</v>
      </c>
      <c r="J788" s="702">
        <f>SUM(M788:R788)</f>
        <v>4</v>
      </c>
      <c r="K788" s="703"/>
      <c r="L788" s="703"/>
      <c r="M788" s="1387"/>
      <c r="N788" s="717">
        <v>4</v>
      </c>
      <c r="O788" s="1379"/>
      <c r="P788" s="1372"/>
      <c r="Q788" s="1364"/>
      <c r="R788" s="1354"/>
      <c r="S788" s="701"/>
      <c r="T788" s="1931"/>
      <c r="U788" s="705"/>
      <c r="V788" s="705"/>
      <c r="W788" s="716">
        <v>2</v>
      </c>
      <c r="X788" s="333">
        <v>28.7</v>
      </c>
      <c r="Y788" s="716"/>
      <c r="Z788" s="1706"/>
      <c r="AB788" s="3">
        <v>1</v>
      </c>
      <c r="AE788" s="2461"/>
      <c r="AF788" s="68"/>
    </row>
    <row r="789" spans="1:32" x14ac:dyDescent="0.35">
      <c r="A789" s="1880"/>
      <c r="B789" s="1059" t="s">
        <v>982</v>
      </c>
      <c r="C789" s="1059"/>
      <c r="D789" s="755"/>
      <c r="E789" s="2214" t="s">
        <v>1572</v>
      </c>
      <c r="F789" s="1834">
        <v>4</v>
      </c>
      <c r="G789" s="1834">
        <v>4</v>
      </c>
      <c r="H789" s="179">
        <v>6</v>
      </c>
      <c r="I789" s="1918"/>
      <c r="J789" s="1918"/>
      <c r="K789" s="1919"/>
      <c r="L789" s="1919"/>
      <c r="M789" s="1920"/>
      <c r="N789" s="2076">
        <v>2.1</v>
      </c>
      <c r="O789" s="1379"/>
      <c r="P789" s="1372"/>
      <c r="Q789" s="1364"/>
      <c r="R789" s="1354"/>
      <c r="S789" s="701"/>
      <c r="T789" s="1931"/>
      <c r="U789" s="705"/>
      <c r="V789" s="705"/>
      <c r="W789" s="716"/>
      <c r="X789" s="333"/>
      <c r="Y789" s="716"/>
      <c r="Z789" s="1706"/>
      <c r="AE789" s="2461"/>
      <c r="AF789" s="68"/>
    </row>
    <row r="790" spans="1:32" x14ac:dyDescent="0.35">
      <c r="A790" s="1880"/>
      <c r="B790" s="1059" t="s">
        <v>982</v>
      </c>
      <c r="C790" s="1059"/>
      <c r="D790" s="755"/>
      <c r="E790" s="2214" t="s">
        <v>2826</v>
      </c>
      <c r="F790" s="1834">
        <v>5</v>
      </c>
      <c r="G790" s="1834">
        <v>4</v>
      </c>
      <c r="H790" s="179">
        <v>6</v>
      </c>
      <c r="I790" s="1918"/>
      <c r="J790" s="1918"/>
      <c r="K790" s="1919"/>
      <c r="L790" s="1919"/>
      <c r="M790" s="1920"/>
      <c r="N790" s="2076">
        <v>1.9</v>
      </c>
      <c r="O790" s="1379"/>
      <c r="P790" s="1372"/>
      <c r="Q790" s="1364"/>
      <c r="R790" s="1354"/>
      <c r="S790" s="701"/>
      <c r="T790" s="1931"/>
      <c r="U790" s="705"/>
      <c r="V790" s="705"/>
      <c r="W790" s="716"/>
      <c r="X790" s="333"/>
      <c r="Y790" s="716"/>
      <c r="Z790" s="1706"/>
      <c r="AE790" s="2461"/>
      <c r="AF790" s="68"/>
    </row>
    <row r="791" spans="1:32" ht="45" x14ac:dyDescent="0.35">
      <c r="A791" s="2218">
        <v>336</v>
      </c>
      <c r="B791" s="2219" t="s">
        <v>982</v>
      </c>
      <c r="C791" s="2083" t="s">
        <v>1656</v>
      </c>
      <c r="D791" s="2471" t="s">
        <v>5627</v>
      </c>
      <c r="E791" s="2113" t="s">
        <v>9365</v>
      </c>
      <c r="F791" s="2210"/>
      <c r="G791" s="2210" t="s">
        <v>191</v>
      </c>
      <c r="H791" s="1943" t="s">
        <v>191</v>
      </c>
      <c r="I791" s="580">
        <f>J791+K791+L791</f>
        <v>1</v>
      </c>
      <c r="J791" s="2216">
        <f>SUM(M791:R791)</f>
        <v>1</v>
      </c>
      <c r="K791" s="527"/>
      <c r="L791" s="527"/>
      <c r="M791" s="527"/>
      <c r="N791" s="580">
        <f>SUM(N792:N793)</f>
        <v>0.25</v>
      </c>
      <c r="O791" s="2215"/>
      <c r="P791" s="527"/>
      <c r="Q791" s="913"/>
      <c r="R791" s="906">
        <f>SUM(R792:R793)</f>
        <v>0.75</v>
      </c>
      <c r="S791" s="92"/>
      <c r="T791" s="1931"/>
      <c r="U791" s="92"/>
      <c r="V791" s="92"/>
      <c r="W791" s="92"/>
      <c r="X791" s="92"/>
      <c r="Y791" s="92"/>
      <c r="Z791" s="70"/>
      <c r="AB791" s="3">
        <v>1</v>
      </c>
      <c r="AE791" s="2461"/>
      <c r="AF791" s="68"/>
    </row>
    <row r="792" spans="1:32" x14ac:dyDescent="0.35">
      <c r="A792" s="2218"/>
      <c r="B792" s="2219" t="s">
        <v>982</v>
      </c>
      <c r="C792" s="2219"/>
      <c r="D792" s="2083"/>
      <c r="E792" s="2214" t="s">
        <v>2134</v>
      </c>
      <c r="F792" s="2210">
        <v>5</v>
      </c>
      <c r="G792" s="2210">
        <v>5</v>
      </c>
      <c r="H792" s="179">
        <v>6</v>
      </c>
      <c r="I792" s="581"/>
      <c r="J792" s="2212"/>
      <c r="K792" s="2210"/>
      <c r="L792" s="2210"/>
      <c r="M792" s="2210"/>
      <c r="N792" s="581">
        <v>0.25</v>
      </c>
      <c r="O792" s="2211"/>
      <c r="P792" s="2210"/>
      <c r="Q792" s="914"/>
      <c r="R792" s="907"/>
      <c r="S792" s="92"/>
      <c r="T792" s="1931"/>
      <c r="U792" s="92"/>
      <c r="V792" s="92"/>
      <c r="W792" s="92"/>
      <c r="X792" s="92"/>
      <c r="Y792" s="92"/>
      <c r="Z792" s="70"/>
      <c r="AE792" s="2461"/>
      <c r="AF792" s="68"/>
    </row>
    <row r="793" spans="1:32" x14ac:dyDescent="0.35">
      <c r="A793" s="2218"/>
      <c r="B793" s="2219" t="s">
        <v>982</v>
      </c>
      <c r="C793" s="2219"/>
      <c r="D793" s="2083"/>
      <c r="E793" s="2217" t="s">
        <v>2059</v>
      </c>
      <c r="F793" s="2210" t="s">
        <v>664</v>
      </c>
      <c r="G793" s="2210">
        <v>5</v>
      </c>
      <c r="H793" s="1620">
        <v>6</v>
      </c>
      <c r="I793" s="581"/>
      <c r="J793" s="2212"/>
      <c r="K793" s="2210"/>
      <c r="L793" s="2210"/>
      <c r="M793" s="2210"/>
      <c r="N793" s="581"/>
      <c r="O793" s="2211"/>
      <c r="P793" s="2210"/>
      <c r="Q793" s="914"/>
      <c r="R793" s="907">
        <v>0.75</v>
      </c>
      <c r="S793" s="92"/>
      <c r="T793" s="1931"/>
      <c r="U793" s="92"/>
      <c r="V793" s="92"/>
      <c r="W793" s="92"/>
      <c r="X793" s="92"/>
      <c r="Y793" s="92"/>
      <c r="Z793" s="70"/>
      <c r="AE793" s="2461"/>
      <c r="AF793" s="68"/>
    </row>
    <row r="794" spans="1:32" ht="45" x14ac:dyDescent="0.35">
      <c r="A794" s="1880">
        <v>337</v>
      </c>
      <c r="B794" s="1059" t="s">
        <v>982</v>
      </c>
      <c r="C794" s="1059"/>
      <c r="D794" s="2471" t="s">
        <v>5628</v>
      </c>
      <c r="E794" s="715" t="s">
        <v>9366</v>
      </c>
      <c r="F794" s="1834"/>
      <c r="G794" s="1834" t="s">
        <v>191</v>
      </c>
      <c r="H794" s="179" t="s">
        <v>191</v>
      </c>
      <c r="I794" s="702">
        <f t="shared" ref="I794:I805" si="40">J794+K794+L794</f>
        <v>1.1000000000000001</v>
      </c>
      <c r="J794" s="702">
        <f t="shared" ref="J794:J805" si="41">SUM(M794:R794)</f>
        <v>1.1000000000000001</v>
      </c>
      <c r="K794" s="703"/>
      <c r="L794" s="703"/>
      <c r="M794" s="1387"/>
      <c r="N794" s="717">
        <f>SUM(N795:N797)</f>
        <v>0.6</v>
      </c>
      <c r="O794" s="1379"/>
      <c r="P794" s="1372"/>
      <c r="Q794" s="1365">
        <f>SUM(Q795:Q797)</f>
        <v>0.5</v>
      </c>
      <c r="R794" s="1354"/>
      <c r="S794" s="730"/>
      <c r="T794" s="1931"/>
      <c r="U794" s="732"/>
      <c r="V794" s="732"/>
      <c r="W794" s="730"/>
      <c r="X794" s="735"/>
      <c r="Y794" s="736"/>
      <c r="Z794" s="1709"/>
      <c r="AB794" s="3">
        <v>1</v>
      </c>
      <c r="AE794" s="2461"/>
      <c r="AF794" s="68"/>
    </row>
    <row r="795" spans="1:32" x14ac:dyDescent="0.35">
      <c r="A795" s="1880"/>
      <c r="B795" s="1059" t="s">
        <v>982</v>
      </c>
      <c r="C795" s="1059"/>
      <c r="D795" s="755"/>
      <c r="E795" s="2214" t="s">
        <v>642</v>
      </c>
      <c r="F795" s="1834" t="s">
        <v>827</v>
      </c>
      <c r="G795" s="1834">
        <v>5</v>
      </c>
      <c r="H795" s="179">
        <v>6</v>
      </c>
      <c r="I795" s="1918"/>
      <c r="J795" s="1918"/>
      <c r="K795" s="1919"/>
      <c r="L795" s="1919"/>
      <c r="M795" s="1920"/>
      <c r="N795" s="2076">
        <v>0.3</v>
      </c>
      <c r="O795" s="1949"/>
      <c r="P795" s="1950"/>
      <c r="Q795" s="1967"/>
      <c r="R795" s="1354"/>
      <c r="S795" s="730"/>
      <c r="T795" s="1931"/>
      <c r="U795" s="732"/>
      <c r="V795" s="732"/>
      <c r="W795" s="730"/>
      <c r="X795" s="735"/>
      <c r="Y795" s="736"/>
      <c r="Z795" s="1709"/>
      <c r="AE795" s="2461"/>
      <c r="AF795" s="68"/>
    </row>
    <row r="796" spans="1:32" x14ac:dyDescent="0.35">
      <c r="A796" s="1880"/>
      <c r="B796" s="1059" t="s">
        <v>982</v>
      </c>
      <c r="C796" s="1059"/>
      <c r="D796" s="755"/>
      <c r="E796" s="2213" t="s">
        <v>724</v>
      </c>
      <c r="F796" s="1834" t="s">
        <v>827</v>
      </c>
      <c r="G796" s="1834">
        <v>5</v>
      </c>
      <c r="H796" s="179">
        <v>6</v>
      </c>
      <c r="I796" s="1918"/>
      <c r="J796" s="1918"/>
      <c r="K796" s="1919"/>
      <c r="L796" s="1919"/>
      <c r="M796" s="1920"/>
      <c r="N796" s="2076"/>
      <c r="O796" s="1949"/>
      <c r="P796" s="1950"/>
      <c r="Q796" s="1967">
        <v>0.5</v>
      </c>
      <c r="R796" s="1354"/>
      <c r="S796" s="730"/>
      <c r="T796" s="1931"/>
      <c r="U796" s="732"/>
      <c r="V796" s="732"/>
      <c r="W796" s="730"/>
      <c r="X796" s="735"/>
      <c r="Y796" s="736"/>
      <c r="Z796" s="1709"/>
      <c r="AE796" s="2461"/>
      <c r="AF796" s="68"/>
    </row>
    <row r="797" spans="1:32" x14ac:dyDescent="0.35">
      <c r="A797" s="1880"/>
      <c r="B797" s="1059" t="s">
        <v>982</v>
      </c>
      <c r="C797" s="1059"/>
      <c r="D797" s="755"/>
      <c r="E797" s="2214" t="s">
        <v>725</v>
      </c>
      <c r="F797" s="1834" t="s">
        <v>827</v>
      </c>
      <c r="G797" s="1834">
        <v>5</v>
      </c>
      <c r="H797" s="179">
        <v>6</v>
      </c>
      <c r="I797" s="1918"/>
      <c r="J797" s="1918"/>
      <c r="K797" s="1919"/>
      <c r="L797" s="1919"/>
      <c r="M797" s="1920"/>
      <c r="N797" s="2076">
        <v>0.3</v>
      </c>
      <c r="O797" s="1949"/>
      <c r="P797" s="1950"/>
      <c r="Q797" s="1967"/>
      <c r="R797" s="1354"/>
      <c r="S797" s="730"/>
      <c r="T797" s="1931"/>
      <c r="U797" s="732"/>
      <c r="V797" s="732"/>
      <c r="W797" s="730"/>
      <c r="X797" s="735"/>
      <c r="Y797" s="736"/>
      <c r="Z797" s="1709"/>
      <c r="AE797" s="2461"/>
      <c r="AF797" s="68"/>
    </row>
    <row r="798" spans="1:32" ht="30" x14ac:dyDescent="0.35">
      <c r="A798" s="1880">
        <v>338</v>
      </c>
      <c r="B798" s="1059" t="s">
        <v>982</v>
      </c>
      <c r="C798" s="1059"/>
      <c r="D798" s="2471" t="s">
        <v>5629</v>
      </c>
      <c r="E798" s="715" t="s">
        <v>9367</v>
      </c>
      <c r="F798" s="1834">
        <v>4</v>
      </c>
      <c r="G798" s="1834">
        <v>4</v>
      </c>
      <c r="H798" s="179">
        <v>6</v>
      </c>
      <c r="I798" s="702">
        <f t="shared" si="40"/>
        <v>1.929</v>
      </c>
      <c r="J798" s="702">
        <f t="shared" si="41"/>
        <v>1.929</v>
      </c>
      <c r="K798" s="703"/>
      <c r="L798" s="703"/>
      <c r="M798" s="1387"/>
      <c r="N798" s="717">
        <v>1.929</v>
      </c>
      <c r="O798" s="1379"/>
      <c r="P798" s="1372"/>
      <c r="Q798" s="1364"/>
      <c r="R798" s="1354"/>
      <c r="S798" s="701"/>
      <c r="T798" s="1931"/>
      <c r="U798" s="705"/>
      <c r="V798" s="705"/>
      <c r="W798" s="716">
        <v>2</v>
      </c>
      <c r="X798" s="333">
        <v>20.3</v>
      </c>
      <c r="Y798" s="716"/>
      <c r="Z798" s="1706"/>
      <c r="AB798" s="3">
        <v>1</v>
      </c>
      <c r="AE798" s="2461"/>
      <c r="AF798" s="68"/>
    </row>
    <row r="799" spans="1:32" ht="60" x14ac:dyDescent="0.35">
      <c r="A799" s="1880">
        <v>339</v>
      </c>
      <c r="B799" s="1059" t="s">
        <v>982</v>
      </c>
      <c r="C799" s="1059"/>
      <c r="D799" s="2471" t="s">
        <v>5630</v>
      </c>
      <c r="E799" s="715" t="s">
        <v>10109</v>
      </c>
      <c r="F799" s="1834">
        <v>5</v>
      </c>
      <c r="G799" s="1834">
        <v>5</v>
      </c>
      <c r="H799" s="1834">
        <v>6</v>
      </c>
      <c r="I799" s="702">
        <f t="shared" si="40"/>
        <v>0.73</v>
      </c>
      <c r="J799" s="702">
        <f t="shared" si="41"/>
        <v>0.73</v>
      </c>
      <c r="K799" s="703"/>
      <c r="L799" s="703"/>
      <c r="M799" s="1387"/>
      <c r="N799" s="703"/>
      <c r="O799" s="1379"/>
      <c r="P799" s="1372"/>
      <c r="Q799" s="1365">
        <v>0.73</v>
      </c>
      <c r="R799" s="1354"/>
      <c r="S799" s="701"/>
      <c r="T799" s="1931"/>
      <c r="U799" s="705"/>
      <c r="V799" s="705"/>
      <c r="W799" s="716">
        <v>1</v>
      </c>
      <c r="X799" s="333">
        <v>13.1</v>
      </c>
      <c r="Y799" s="716"/>
      <c r="Z799" s="1706"/>
      <c r="AB799" s="3">
        <v>1</v>
      </c>
      <c r="AE799" s="2461"/>
      <c r="AF799" s="68"/>
    </row>
    <row r="800" spans="1:32" ht="30" x14ac:dyDescent="0.35">
      <c r="A800" s="1880">
        <v>340</v>
      </c>
      <c r="B800" s="1059" t="s">
        <v>982</v>
      </c>
      <c r="C800" s="1059"/>
      <c r="D800" s="2471" t="s">
        <v>5631</v>
      </c>
      <c r="E800" s="733" t="s">
        <v>7871</v>
      </c>
      <c r="F800" s="1834">
        <v>5</v>
      </c>
      <c r="G800" s="1834">
        <v>5</v>
      </c>
      <c r="H800" s="1834">
        <v>6</v>
      </c>
      <c r="I800" s="702">
        <f t="shared" si="40"/>
        <v>0.4</v>
      </c>
      <c r="J800" s="702">
        <f t="shared" si="41"/>
        <v>0.4</v>
      </c>
      <c r="K800" s="703"/>
      <c r="L800" s="703"/>
      <c r="M800" s="1387"/>
      <c r="N800" s="703"/>
      <c r="O800" s="1379"/>
      <c r="P800" s="1372"/>
      <c r="Q800" s="1365">
        <v>0.4</v>
      </c>
      <c r="R800" s="1354"/>
      <c r="S800" s="701"/>
      <c r="T800" s="1931"/>
      <c r="U800" s="705"/>
      <c r="V800" s="705"/>
      <c r="W800" s="701"/>
      <c r="X800" s="333"/>
      <c r="Y800" s="716"/>
      <c r="Z800" s="1706"/>
      <c r="AB800" s="3">
        <v>1</v>
      </c>
      <c r="AE800" s="2461"/>
      <c r="AF800" s="68"/>
    </row>
    <row r="801" spans="1:32" ht="30" x14ac:dyDescent="0.35">
      <c r="A801" s="1880">
        <v>341</v>
      </c>
      <c r="B801" s="1059" t="s">
        <v>982</v>
      </c>
      <c r="C801" s="1059"/>
      <c r="D801" s="2471" t="s">
        <v>5632</v>
      </c>
      <c r="E801" s="733" t="s">
        <v>7872</v>
      </c>
      <c r="F801" s="1834">
        <v>4</v>
      </c>
      <c r="G801" s="1834">
        <v>5</v>
      </c>
      <c r="H801" s="1834">
        <v>6</v>
      </c>
      <c r="I801" s="702">
        <f t="shared" si="40"/>
        <v>1.8120000000000001</v>
      </c>
      <c r="J801" s="702">
        <f t="shared" si="41"/>
        <v>1.8120000000000001</v>
      </c>
      <c r="K801" s="703"/>
      <c r="L801" s="703"/>
      <c r="M801" s="1387"/>
      <c r="N801" s="703"/>
      <c r="O801" s="1379"/>
      <c r="P801" s="1372"/>
      <c r="Q801" s="1365">
        <v>1.8120000000000001</v>
      </c>
      <c r="R801" s="1354"/>
      <c r="S801" s="716"/>
      <c r="T801" s="1931"/>
      <c r="U801" s="705"/>
      <c r="V801" s="705"/>
      <c r="W801" s="716">
        <v>3</v>
      </c>
      <c r="X801" s="333">
        <v>32.950000000000003</v>
      </c>
      <c r="Y801" s="716"/>
      <c r="Z801" s="1706"/>
      <c r="AB801" s="3">
        <v>1</v>
      </c>
      <c r="AE801" s="2461"/>
      <c r="AF801" s="68"/>
    </row>
    <row r="802" spans="1:32" ht="45" x14ac:dyDescent="0.35">
      <c r="A802" s="1880">
        <v>342</v>
      </c>
      <c r="B802" s="1719" t="s">
        <v>982</v>
      </c>
      <c r="C802" s="2083" t="s">
        <v>1656</v>
      </c>
      <c r="D802" s="2471" t="s">
        <v>5633</v>
      </c>
      <c r="E802" s="2187" t="s">
        <v>8762</v>
      </c>
      <c r="F802" s="92" t="s">
        <v>664</v>
      </c>
      <c r="G802" s="92">
        <v>5</v>
      </c>
      <c r="H802" s="1620">
        <v>6</v>
      </c>
      <c r="I802" s="702">
        <f t="shared" si="40"/>
        <v>0.7</v>
      </c>
      <c r="J802" s="702">
        <f t="shared" si="41"/>
        <v>0.7</v>
      </c>
      <c r="K802" s="622"/>
      <c r="L802" s="622"/>
      <c r="M802" s="622"/>
      <c r="N802" s="622"/>
      <c r="O802" s="622"/>
      <c r="P802" s="622"/>
      <c r="Q802" s="622"/>
      <c r="R802" s="906">
        <v>0.7</v>
      </c>
      <c r="S802" s="106"/>
      <c r="T802" s="1931"/>
      <c r="U802" s="106"/>
      <c r="V802" s="106"/>
      <c r="W802" s="105"/>
      <c r="X802" s="105"/>
      <c r="Y802" s="105"/>
      <c r="Z802" s="323"/>
      <c r="AB802" s="3">
        <v>1</v>
      </c>
      <c r="AE802" s="2461"/>
      <c r="AF802" s="68"/>
    </row>
    <row r="803" spans="1:32" ht="30" x14ac:dyDescent="0.35">
      <c r="A803" s="1880">
        <v>343</v>
      </c>
      <c r="B803" s="1059" t="s">
        <v>982</v>
      </c>
      <c r="C803" s="1059"/>
      <c r="D803" s="2471" t="s">
        <v>5634</v>
      </c>
      <c r="E803" s="1956" t="s">
        <v>7873</v>
      </c>
      <c r="F803" s="1834">
        <v>5</v>
      </c>
      <c r="G803" s="1834">
        <v>5</v>
      </c>
      <c r="H803" s="179">
        <v>6</v>
      </c>
      <c r="I803" s="702">
        <f t="shared" si="40"/>
        <v>0.9</v>
      </c>
      <c r="J803" s="702">
        <f t="shared" si="41"/>
        <v>0.9</v>
      </c>
      <c r="K803" s="703"/>
      <c r="L803" s="703"/>
      <c r="M803" s="1387"/>
      <c r="N803" s="717"/>
      <c r="O803" s="1379"/>
      <c r="P803" s="1372"/>
      <c r="Q803" s="1364">
        <v>0.9</v>
      </c>
      <c r="R803" s="1354"/>
      <c r="S803" s="701"/>
      <c r="T803" s="1931"/>
      <c r="U803" s="705"/>
      <c r="V803" s="705"/>
      <c r="W803" s="701"/>
      <c r="X803" s="333"/>
      <c r="Y803" s="716"/>
      <c r="Z803" s="1706"/>
      <c r="AB803" s="3">
        <v>1</v>
      </c>
      <c r="AE803" s="2461"/>
      <c r="AF803" s="68"/>
    </row>
    <row r="804" spans="1:32" ht="45" x14ac:dyDescent="0.35">
      <c r="A804" s="1880">
        <v>344</v>
      </c>
      <c r="B804" s="2219" t="s">
        <v>982</v>
      </c>
      <c r="C804" s="2083" t="s">
        <v>1656</v>
      </c>
      <c r="D804" s="2471" t="s">
        <v>5635</v>
      </c>
      <c r="E804" s="2113" t="s">
        <v>8763</v>
      </c>
      <c r="F804" s="2210" t="s">
        <v>664</v>
      </c>
      <c r="G804" s="2210">
        <v>5</v>
      </c>
      <c r="H804" s="1620">
        <v>6</v>
      </c>
      <c r="I804" s="580">
        <f t="shared" si="40"/>
        <v>0.6</v>
      </c>
      <c r="J804" s="2216">
        <f t="shared" si="41"/>
        <v>0.6</v>
      </c>
      <c r="K804" s="527"/>
      <c r="L804" s="527"/>
      <c r="M804" s="527"/>
      <c r="N804" s="580"/>
      <c r="O804" s="2215"/>
      <c r="P804" s="527"/>
      <c r="Q804" s="913"/>
      <c r="R804" s="906">
        <v>0.6</v>
      </c>
      <c r="S804" s="92"/>
      <c r="T804" s="1931"/>
      <c r="U804" s="92"/>
      <c r="V804" s="92"/>
      <c r="W804" s="92"/>
      <c r="X804" s="92"/>
      <c r="Y804" s="92"/>
      <c r="Z804" s="70"/>
      <c r="AB804" s="3">
        <v>1</v>
      </c>
      <c r="AE804" s="2461"/>
      <c r="AF804" s="68"/>
    </row>
    <row r="805" spans="1:32" ht="30" x14ac:dyDescent="0.35">
      <c r="A805" s="1880">
        <v>345</v>
      </c>
      <c r="B805" s="1059" t="s">
        <v>982</v>
      </c>
      <c r="C805" s="1059"/>
      <c r="D805" s="2471" t="s">
        <v>5636</v>
      </c>
      <c r="E805" s="733" t="s">
        <v>7874</v>
      </c>
      <c r="F805" s="1834" t="s">
        <v>664</v>
      </c>
      <c r="G805" s="1834">
        <v>5</v>
      </c>
      <c r="H805" s="1620">
        <v>6</v>
      </c>
      <c r="I805" s="702">
        <f t="shared" si="40"/>
        <v>0.7</v>
      </c>
      <c r="J805" s="702">
        <f t="shared" si="41"/>
        <v>0.7</v>
      </c>
      <c r="K805" s="703"/>
      <c r="L805" s="703"/>
      <c r="M805" s="1387"/>
      <c r="N805" s="703"/>
      <c r="O805" s="1379"/>
      <c r="P805" s="1372"/>
      <c r="Q805" s="1364"/>
      <c r="R805" s="1355">
        <v>0.7</v>
      </c>
      <c r="S805" s="701"/>
      <c r="T805" s="1931"/>
      <c r="U805" s="705"/>
      <c r="V805" s="705"/>
      <c r="W805" s="716">
        <v>2</v>
      </c>
      <c r="X805" s="333">
        <v>21</v>
      </c>
      <c r="Y805" s="716"/>
      <c r="Z805" s="1706"/>
      <c r="AB805" s="3">
        <v>1</v>
      </c>
      <c r="AE805" s="2461"/>
      <c r="AF805" s="68"/>
    </row>
    <row r="806" spans="1:32" ht="30" x14ac:dyDescent="0.35">
      <c r="A806" s="1880">
        <v>346</v>
      </c>
      <c r="B806" s="1059" t="s">
        <v>982</v>
      </c>
      <c r="C806" s="1059"/>
      <c r="D806" s="2471" t="s">
        <v>7085</v>
      </c>
      <c r="E806" s="733" t="s">
        <v>7875</v>
      </c>
      <c r="F806" s="1834" t="s">
        <v>664</v>
      </c>
      <c r="G806" s="1834">
        <v>5</v>
      </c>
      <c r="H806" s="1620">
        <v>6</v>
      </c>
      <c r="I806" s="702">
        <f>J806+K806+L806</f>
        <v>0.5</v>
      </c>
      <c r="J806" s="702">
        <f>SUM(M806:R806)</f>
        <v>0.5</v>
      </c>
      <c r="K806" s="703"/>
      <c r="L806" s="703"/>
      <c r="M806" s="1387"/>
      <c r="N806" s="703"/>
      <c r="O806" s="1379"/>
      <c r="P806" s="1372"/>
      <c r="Q806" s="1364"/>
      <c r="R806" s="1355">
        <v>0.5</v>
      </c>
      <c r="S806" s="701"/>
      <c r="T806" s="1931"/>
      <c r="U806" s="705"/>
      <c r="V806" s="705"/>
      <c r="W806" s="716"/>
      <c r="X806" s="333"/>
      <c r="Y806" s="716"/>
      <c r="Z806" s="1706"/>
      <c r="AB806" s="3">
        <v>1</v>
      </c>
      <c r="AE806" s="2461"/>
      <c r="AF806" s="68"/>
    </row>
    <row r="807" spans="1:32" ht="90" x14ac:dyDescent="0.35">
      <c r="A807" s="1880">
        <v>347</v>
      </c>
      <c r="B807" s="1060" t="s">
        <v>982</v>
      </c>
      <c r="C807" s="1979" t="s">
        <v>1655</v>
      </c>
      <c r="D807" s="2471" t="s">
        <v>5637</v>
      </c>
      <c r="E807" s="739" t="s">
        <v>7876</v>
      </c>
      <c r="F807" s="1953" t="s">
        <v>664</v>
      </c>
      <c r="G807" s="1953">
        <v>5</v>
      </c>
      <c r="H807" s="1620">
        <v>6</v>
      </c>
      <c r="I807" s="702">
        <f t="shared" ref="I807:I814" si="42">J807+K807+L807</f>
        <v>0.1</v>
      </c>
      <c r="J807" s="702">
        <f t="shared" ref="J807:J814" si="43">SUM(M807:R807)</f>
        <v>0.1</v>
      </c>
      <c r="K807" s="703"/>
      <c r="L807" s="703"/>
      <c r="M807" s="1387"/>
      <c r="N807" s="703"/>
      <c r="O807" s="1379"/>
      <c r="P807" s="1372"/>
      <c r="Q807" s="1364"/>
      <c r="R807" s="1357">
        <v>0.1</v>
      </c>
      <c r="S807" s="730"/>
      <c r="T807" s="1931"/>
      <c r="U807" s="732"/>
      <c r="V807" s="732"/>
      <c r="W807" s="730"/>
      <c r="X807" s="731"/>
      <c r="Y807" s="730"/>
      <c r="Z807" s="1708"/>
      <c r="AB807" s="3">
        <v>1</v>
      </c>
      <c r="AE807" s="2461"/>
      <c r="AF807" s="68"/>
    </row>
    <row r="808" spans="1:32" ht="60" x14ac:dyDescent="0.35">
      <c r="A808" s="1880">
        <v>348</v>
      </c>
      <c r="B808" s="1060" t="s">
        <v>982</v>
      </c>
      <c r="C808" s="1979" t="s">
        <v>1655</v>
      </c>
      <c r="D808" s="2471" t="s">
        <v>5638</v>
      </c>
      <c r="E808" s="739" t="s">
        <v>7877</v>
      </c>
      <c r="F808" s="1953" t="s">
        <v>664</v>
      </c>
      <c r="G808" s="1953">
        <v>5</v>
      </c>
      <c r="H808" s="1620">
        <v>6</v>
      </c>
      <c r="I808" s="702">
        <f t="shared" si="42"/>
        <v>0.5</v>
      </c>
      <c r="J808" s="702">
        <f t="shared" si="43"/>
        <v>0.5</v>
      </c>
      <c r="K808" s="703"/>
      <c r="L808" s="703"/>
      <c r="M808" s="1387"/>
      <c r="N808" s="703"/>
      <c r="O808" s="1379"/>
      <c r="P808" s="1372"/>
      <c r="Q808" s="1364"/>
      <c r="R808" s="1357">
        <v>0.5</v>
      </c>
      <c r="S808" s="730"/>
      <c r="T808" s="1931"/>
      <c r="U808" s="732"/>
      <c r="V808" s="732"/>
      <c r="W808" s="730"/>
      <c r="X808" s="731"/>
      <c r="Y808" s="730"/>
      <c r="Z808" s="1708"/>
      <c r="AB808" s="3">
        <v>1</v>
      </c>
      <c r="AE808" s="2461"/>
      <c r="AF808" s="68"/>
    </row>
    <row r="809" spans="1:32" ht="45" x14ac:dyDescent="0.35">
      <c r="A809" s="1880">
        <v>349</v>
      </c>
      <c r="B809" s="1060" t="s">
        <v>982</v>
      </c>
      <c r="C809" s="1979" t="s">
        <v>1655</v>
      </c>
      <c r="D809" s="2471" t="s">
        <v>5639</v>
      </c>
      <c r="E809" s="715" t="s">
        <v>11181</v>
      </c>
      <c r="F809" s="2801"/>
      <c r="G809" s="2801" t="s">
        <v>191</v>
      </c>
      <c r="H809" s="1770" t="s">
        <v>191</v>
      </c>
      <c r="I809" s="702">
        <f t="shared" si="42"/>
        <v>1.69</v>
      </c>
      <c r="J809" s="702">
        <f t="shared" si="43"/>
        <v>1.6759999999999999</v>
      </c>
      <c r="K809" s="703"/>
      <c r="L809" s="703">
        <f>SUM(L810:L811)</f>
        <v>1.4E-2</v>
      </c>
      <c r="M809" s="1384"/>
      <c r="N809" s="702"/>
      <c r="O809" s="1376"/>
      <c r="P809" s="1369"/>
      <c r="Q809" s="1361">
        <f>SUM(Q810:Q811)</f>
        <v>1.6759999999999999</v>
      </c>
      <c r="R809" s="2772"/>
      <c r="S809" s="741"/>
      <c r="T809" s="1931"/>
      <c r="U809" s="732"/>
      <c r="V809" s="732"/>
      <c r="W809" s="700">
        <v>2</v>
      </c>
      <c r="X809" s="704">
        <v>15</v>
      </c>
      <c r="Y809" s="730"/>
      <c r="Z809" s="1708"/>
      <c r="AB809" s="3">
        <v>1</v>
      </c>
      <c r="AE809" s="2461"/>
      <c r="AF809" s="68"/>
    </row>
    <row r="810" spans="1:32" ht="31" x14ac:dyDescent="0.35">
      <c r="A810" s="1880"/>
      <c r="B810" s="1060"/>
      <c r="C810" s="1979"/>
      <c r="D810" s="2471"/>
      <c r="E810" s="707" t="s">
        <v>11069</v>
      </c>
      <c r="F810" s="1770" t="s">
        <v>1490</v>
      </c>
      <c r="G810" s="725">
        <v>5</v>
      </c>
      <c r="H810" s="1770" t="s">
        <v>191</v>
      </c>
      <c r="I810" s="726"/>
      <c r="J810" s="726"/>
      <c r="K810" s="721"/>
      <c r="L810" s="721">
        <v>1.4E-2</v>
      </c>
      <c r="M810" s="1938"/>
      <c r="N810" s="1918"/>
      <c r="O810" s="1939"/>
      <c r="P810" s="1940"/>
      <c r="Q810" s="1941"/>
      <c r="R810" s="2845"/>
      <c r="S810" s="741"/>
      <c r="T810" s="1931"/>
      <c r="U810" s="732"/>
      <c r="V810" s="732"/>
      <c r="W810" s="700"/>
      <c r="X810" s="704"/>
      <c r="Y810" s="730"/>
      <c r="Z810" s="1708"/>
      <c r="AE810" s="2461"/>
      <c r="AF810" s="68"/>
    </row>
    <row r="811" spans="1:32" x14ac:dyDescent="0.35">
      <c r="A811" s="1880"/>
      <c r="B811" s="1060"/>
      <c r="C811" s="1979"/>
      <c r="D811" s="2471"/>
      <c r="E811" s="2213" t="s">
        <v>11070</v>
      </c>
      <c r="F811" s="1943" t="s">
        <v>1490</v>
      </c>
      <c r="G811" s="1834">
        <v>5</v>
      </c>
      <c r="H811" s="1953">
        <v>6</v>
      </c>
      <c r="I811" s="1918"/>
      <c r="J811" s="1918"/>
      <c r="K811" s="1919"/>
      <c r="L811" s="1919"/>
      <c r="M811" s="1938"/>
      <c r="N811" s="1918"/>
      <c r="O811" s="1939"/>
      <c r="P811" s="1940"/>
      <c r="Q811" s="1941">
        <f>1.69-0.014</f>
        <v>1.6759999999999999</v>
      </c>
      <c r="R811" s="2845"/>
      <c r="S811" s="741"/>
      <c r="T811" s="1931"/>
      <c r="U811" s="732"/>
      <c r="V811" s="732"/>
      <c r="W811" s="700"/>
      <c r="X811" s="704"/>
      <c r="Y811" s="730"/>
      <c r="Z811" s="1708"/>
      <c r="AE811" s="2461"/>
      <c r="AF811" s="68"/>
    </row>
    <row r="812" spans="1:32" ht="75" x14ac:dyDescent="0.35">
      <c r="A812" s="1880">
        <v>350</v>
      </c>
      <c r="B812" s="1060" t="s">
        <v>982</v>
      </c>
      <c r="C812" s="1979" t="s">
        <v>1655</v>
      </c>
      <c r="D812" s="2471" t="s">
        <v>5640</v>
      </c>
      <c r="E812" s="715" t="s">
        <v>11182</v>
      </c>
      <c r="F812" s="1943" t="s">
        <v>664</v>
      </c>
      <c r="G812" s="1834">
        <v>5</v>
      </c>
      <c r="H812" s="1620">
        <v>6</v>
      </c>
      <c r="I812" s="702">
        <f t="shared" si="42"/>
        <v>0.05</v>
      </c>
      <c r="J812" s="702">
        <f t="shared" si="43"/>
        <v>0.05</v>
      </c>
      <c r="K812" s="703"/>
      <c r="L812" s="703"/>
      <c r="M812" s="1384"/>
      <c r="N812" s="702"/>
      <c r="O812" s="1376"/>
      <c r="P812" s="1369"/>
      <c r="Q812" s="1361"/>
      <c r="R812" s="1358">
        <v>0.05</v>
      </c>
      <c r="S812" s="743"/>
      <c r="T812" s="1931"/>
      <c r="U812" s="732"/>
      <c r="V812" s="732"/>
      <c r="W812" s="743"/>
      <c r="X812" s="731"/>
      <c r="Y812" s="730"/>
      <c r="Z812" s="1708"/>
      <c r="AB812" s="3">
        <v>1</v>
      </c>
      <c r="AE812" s="2461"/>
      <c r="AF812" s="68"/>
    </row>
    <row r="813" spans="1:32" ht="45" x14ac:dyDescent="0.35">
      <c r="A813" s="1880">
        <v>351</v>
      </c>
      <c r="B813" s="1058" t="s">
        <v>982</v>
      </c>
      <c r="C813" s="1979" t="s">
        <v>1655</v>
      </c>
      <c r="D813" s="2471" t="s">
        <v>5641</v>
      </c>
      <c r="E813" s="715" t="s">
        <v>11183</v>
      </c>
      <c r="F813" s="1943" t="s">
        <v>664</v>
      </c>
      <c r="G813" s="1834">
        <v>5</v>
      </c>
      <c r="H813" s="1620">
        <v>6</v>
      </c>
      <c r="I813" s="702">
        <f t="shared" si="42"/>
        <v>0.5</v>
      </c>
      <c r="J813" s="702">
        <f t="shared" si="43"/>
        <v>0.5</v>
      </c>
      <c r="K813" s="703"/>
      <c r="L813" s="703"/>
      <c r="M813" s="1384"/>
      <c r="N813" s="702"/>
      <c r="O813" s="1376"/>
      <c r="P813" s="1369"/>
      <c r="Q813" s="1361"/>
      <c r="R813" s="1358">
        <v>0.5</v>
      </c>
      <c r="S813" s="743"/>
      <c r="T813" s="1931"/>
      <c r="U813" s="732"/>
      <c r="V813" s="732"/>
      <c r="W813" s="743"/>
      <c r="X813" s="731"/>
      <c r="Y813" s="730"/>
      <c r="Z813" s="1708"/>
      <c r="AB813" s="3">
        <v>1</v>
      </c>
      <c r="AE813" s="2461"/>
      <c r="AF813" s="68"/>
    </row>
    <row r="814" spans="1:32" ht="45" x14ac:dyDescent="0.35">
      <c r="A814" s="1880">
        <v>352</v>
      </c>
      <c r="B814" s="1921" t="s">
        <v>982</v>
      </c>
      <c r="C814" s="358" t="s">
        <v>1655</v>
      </c>
      <c r="D814" s="2471" t="s">
        <v>5642</v>
      </c>
      <c r="E814" s="1905" t="s">
        <v>7332</v>
      </c>
      <c r="F814" s="1943" t="s">
        <v>664</v>
      </c>
      <c r="G814" s="92">
        <v>5</v>
      </c>
      <c r="H814" s="1620">
        <v>6</v>
      </c>
      <c r="I814" s="297">
        <f t="shared" si="42"/>
        <v>0.5</v>
      </c>
      <c r="J814" s="297">
        <f t="shared" si="43"/>
        <v>0.5</v>
      </c>
      <c r="K814" s="1925"/>
      <c r="L814" s="1924"/>
      <c r="M814" s="1926"/>
      <c r="N814" s="1924"/>
      <c r="O814" s="1927"/>
      <c r="P814" s="1928"/>
      <c r="Q814" s="1929"/>
      <c r="R814" s="1930">
        <v>0.5</v>
      </c>
      <c r="S814" s="1923"/>
      <c r="T814" s="1931"/>
      <c r="U814" s="154"/>
      <c r="V814" s="154"/>
      <c r="W814" s="1923"/>
      <c r="X814" s="1931"/>
      <c r="Y814" s="1923"/>
      <c r="Z814" s="1932"/>
      <c r="AB814" s="3">
        <v>1</v>
      </c>
      <c r="AE814" s="2461"/>
      <c r="AF814" s="68"/>
    </row>
    <row r="815" spans="1:32" ht="45.5" x14ac:dyDescent="0.35">
      <c r="A815" s="1896"/>
      <c r="B815" s="1059" t="s">
        <v>2893</v>
      </c>
      <c r="C815" s="1059"/>
      <c r="D815" s="759"/>
      <c r="E815" s="1582" t="s">
        <v>11320</v>
      </c>
      <c r="F815" s="1953"/>
      <c r="G815" s="1953"/>
      <c r="H815" s="1953"/>
      <c r="I815" s="702"/>
      <c r="J815" s="702"/>
      <c r="K815" s="703"/>
      <c r="L815" s="703"/>
      <c r="M815" s="1387"/>
      <c r="N815" s="703"/>
      <c r="O815" s="1379"/>
      <c r="P815" s="1372"/>
      <c r="Q815" s="1364"/>
      <c r="R815" s="1357"/>
      <c r="S815" s="730"/>
      <c r="T815" s="1931"/>
      <c r="U815" s="732"/>
      <c r="V815" s="732"/>
      <c r="W815" s="730"/>
      <c r="X815" s="731"/>
      <c r="Y815" s="730"/>
      <c r="Z815" s="1708"/>
      <c r="AE815" s="2461"/>
      <c r="AF815" s="68"/>
    </row>
    <row r="816" spans="1:32" ht="45" x14ac:dyDescent="0.35">
      <c r="A816" s="1880">
        <v>353</v>
      </c>
      <c r="B816" s="1059" t="s">
        <v>2893</v>
      </c>
      <c r="C816" s="1059"/>
      <c r="D816" s="2471" t="s">
        <v>5643</v>
      </c>
      <c r="E816" s="715" t="s">
        <v>11424</v>
      </c>
      <c r="F816" s="1834">
        <v>4</v>
      </c>
      <c r="G816" s="1834">
        <v>5</v>
      </c>
      <c r="H816" s="179">
        <v>6</v>
      </c>
      <c r="I816" s="702">
        <f>J816+K816+L816</f>
        <v>1.022</v>
      </c>
      <c r="J816" s="702">
        <f>SUM(M816:R816)</f>
        <v>1.022</v>
      </c>
      <c r="K816" s="703"/>
      <c r="L816" s="703"/>
      <c r="M816" s="1387"/>
      <c r="N816" s="717">
        <v>1.022</v>
      </c>
      <c r="O816" s="1379"/>
      <c r="P816" s="1372"/>
      <c r="Q816" s="1364"/>
      <c r="R816" s="1354"/>
      <c r="S816" s="701"/>
      <c r="T816" s="1931"/>
      <c r="U816" s="705"/>
      <c r="V816" s="705"/>
      <c r="W816" s="716">
        <v>5</v>
      </c>
      <c r="X816" s="333">
        <v>55.6</v>
      </c>
      <c r="Y816" s="716">
        <v>3</v>
      </c>
      <c r="Z816" s="1706">
        <v>30.3</v>
      </c>
      <c r="AB816" s="3">
        <v>1</v>
      </c>
      <c r="AE816" s="2461"/>
      <c r="AF816" s="68"/>
    </row>
    <row r="817" spans="1:32" ht="60" x14ac:dyDescent="0.35">
      <c r="A817" s="1875">
        <v>354</v>
      </c>
      <c r="B817" s="1921" t="s">
        <v>2893</v>
      </c>
      <c r="C817" s="358" t="s">
        <v>1656</v>
      </c>
      <c r="D817" s="2471" t="s">
        <v>5644</v>
      </c>
      <c r="E817" s="699" t="s">
        <v>11425</v>
      </c>
      <c r="F817" s="1943" t="s">
        <v>664</v>
      </c>
      <c r="G817" s="92">
        <v>5</v>
      </c>
      <c r="H817" s="1620">
        <v>6</v>
      </c>
      <c r="I817" s="297">
        <f>J817+K817+L817</f>
        <v>0.8</v>
      </c>
      <c r="J817" s="297">
        <f>SUM(M817:R817)</f>
        <v>0.8</v>
      </c>
      <c r="K817" s="1937"/>
      <c r="L817" s="1937"/>
      <c r="M817" s="1926"/>
      <c r="N817" s="1997"/>
      <c r="O817" s="1927"/>
      <c r="P817" s="1928"/>
      <c r="Q817" s="1929"/>
      <c r="R817" s="1930">
        <v>0.8</v>
      </c>
      <c r="S817" s="1943"/>
      <c r="T817" s="1931"/>
      <c r="U817" s="1944"/>
      <c r="V817" s="1944"/>
      <c r="W817" s="1943"/>
      <c r="X817" s="2454"/>
      <c r="Y817" s="1943"/>
      <c r="Z817" s="2454"/>
      <c r="AB817" s="3">
        <v>1</v>
      </c>
      <c r="AE817" s="2461"/>
      <c r="AF817" s="68"/>
    </row>
    <row r="818" spans="1:32" ht="45" x14ac:dyDescent="0.35">
      <c r="A818" s="1880">
        <v>355</v>
      </c>
      <c r="B818" s="1058" t="s">
        <v>2893</v>
      </c>
      <c r="C818" s="1058"/>
      <c r="D818" s="2471" t="s">
        <v>5645</v>
      </c>
      <c r="E818" s="715" t="s">
        <v>11426</v>
      </c>
      <c r="F818" s="1834" t="s">
        <v>1490</v>
      </c>
      <c r="G818" s="1834">
        <v>5</v>
      </c>
      <c r="H818" s="1620">
        <v>6</v>
      </c>
      <c r="I818" s="702">
        <f>J818+K818+L818</f>
        <v>0.8</v>
      </c>
      <c r="J818" s="702">
        <f>SUM(M818:R818)</f>
        <v>0.8</v>
      </c>
      <c r="K818" s="703"/>
      <c r="L818" s="703"/>
      <c r="M818" s="1387"/>
      <c r="N818" s="703"/>
      <c r="O818" s="1379"/>
      <c r="P818" s="1372"/>
      <c r="Q818" s="1364"/>
      <c r="R818" s="1355">
        <v>0.8</v>
      </c>
      <c r="S818" s="730"/>
      <c r="T818" s="1931"/>
      <c r="U818" s="732"/>
      <c r="V818" s="732"/>
      <c r="W818" s="701">
        <v>3</v>
      </c>
      <c r="X818" s="706">
        <v>38.9</v>
      </c>
      <c r="Y818" s="700">
        <v>1</v>
      </c>
      <c r="Z818" s="1705">
        <v>10.1</v>
      </c>
      <c r="AB818" s="3">
        <v>1</v>
      </c>
      <c r="AE818" s="2461"/>
      <c r="AF818" s="68"/>
    </row>
    <row r="819" spans="1:32" ht="60" x14ac:dyDescent="0.35">
      <c r="A819" s="1875">
        <v>356</v>
      </c>
      <c r="B819" s="2219" t="s">
        <v>2893</v>
      </c>
      <c r="C819" s="2083" t="s">
        <v>1656</v>
      </c>
      <c r="D819" s="2471" t="s">
        <v>5646</v>
      </c>
      <c r="E819" s="2861" t="s">
        <v>11427</v>
      </c>
      <c r="F819" s="2210" t="s">
        <v>664</v>
      </c>
      <c r="G819" s="2210">
        <v>5</v>
      </c>
      <c r="H819" s="1620">
        <v>6</v>
      </c>
      <c r="I819" s="580">
        <f>J819+K819+L819</f>
        <v>0.9</v>
      </c>
      <c r="J819" s="2216">
        <f>SUM(M819:R819)</f>
        <v>0.9</v>
      </c>
      <c r="K819" s="527"/>
      <c r="L819" s="527"/>
      <c r="M819" s="527"/>
      <c r="N819" s="580"/>
      <c r="O819" s="2215"/>
      <c r="P819" s="527"/>
      <c r="Q819" s="913"/>
      <c r="R819" s="906">
        <v>0.9</v>
      </c>
      <c r="S819" s="92"/>
      <c r="T819" s="1931"/>
      <c r="U819" s="92"/>
      <c r="V819" s="92"/>
      <c r="W819" s="92"/>
      <c r="X819" s="92"/>
      <c r="Y819" s="92"/>
      <c r="Z819" s="70"/>
      <c r="AB819" s="3">
        <v>1</v>
      </c>
      <c r="AE819" s="2461"/>
      <c r="AF819" s="68"/>
    </row>
    <row r="820" spans="1:32" ht="45" x14ac:dyDescent="0.35">
      <c r="A820" s="1880">
        <v>357</v>
      </c>
      <c r="B820" s="1921" t="s">
        <v>2893</v>
      </c>
      <c r="C820" s="358"/>
      <c r="D820" s="2471" t="s">
        <v>5647</v>
      </c>
      <c r="E820" s="715" t="s">
        <v>11428</v>
      </c>
      <c r="F820" s="2210" t="s">
        <v>664</v>
      </c>
      <c r="G820" s="2210">
        <v>5</v>
      </c>
      <c r="H820" s="1620">
        <v>6</v>
      </c>
      <c r="I820" s="580">
        <f>J820+K820+L820</f>
        <v>0.97</v>
      </c>
      <c r="J820" s="2216">
        <f>SUM(M820:R820)</f>
        <v>0.97</v>
      </c>
      <c r="K820" s="1937"/>
      <c r="L820" s="1937"/>
      <c r="M820" s="2392"/>
      <c r="N820" s="1998"/>
      <c r="O820" s="1959"/>
      <c r="P820" s="1960"/>
      <c r="Q820" s="1961"/>
      <c r="R820" s="1909">
        <v>0.97</v>
      </c>
      <c r="S820" s="1953"/>
      <c r="T820" s="1931"/>
      <c r="U820" s="1944"/>
      <c r="V820" s="1944"/>
      <c r="W820" s="1953"/>
      <c r="X820" s="2497"/>
      <c r="Y820" s="1943"/>
      <c r="Z820" s="2454"/>
      <c r="AB820" s="3">
        <v>1</v>
      </c>
      <c r="AE820" s="2461"/>
      <c r="AF820" s="68"/>
    </row>
    <row r="821" spans="1:32" ht="30.5" x14ac:dyDescent="0.35">
      <c r="A821" s="1872"/>
      <c r="B821" s="1059" t="s">
        <v>1823</v>
      </c>
      <c r="C821" s="1059"/>
      <c r="D821" s="755"/>
      <c r="E821" s="1582" t="s">
        <v>849</v>
      </c>
      <c r="F821" s="1834"/>
      <c r="G821" s="1834"/>
      <c r="H821" s="1834"/>
      <c r="I821" s="702"/>
      <c r="J821" s="702"/>
      <c r="K821" s="703"/>
      <c r="L821" s="703"/>
      <c r="M821" s="1387"/>
      <c r="N821" s="703"/>
      <c r="O821" s="1379"/>
      <c r="P821" s="1372"/>
      <c r="Q821" s="1364"/>
      <c r="R821" s="1355"/>
      <c r="S821" s="730"/>
      <c r="T821" s="1931"/>
      <c r="U821" s="732"/>
      <c r="V821" s="732"/>
      <c r="W821" s="730"/>
      <c r="X821" s="737"/>
      <c r="Y821" s="738"/>
      <c r="Z821" s="1707"/>
      <c r="AE821" s="2461"/>
      <c r="AF821" s="68"/>
    </row>
    <row r="822" spans="1:32" ht="30" x14ac:dyDescent="0.35">
      <c r="A822" s="1880">
        <v>358</v>
      </c>
      <c r="B822" s="1059" t="s">
        <v>1823</v>
      </c>
      <c r="C822" s="1059"/>
      <c r="D822" s="2471" t="s">
        <v>5648</v>
      </c>
      <c r="E822" s="715" t="s">
        <v>7878</v>
      </c>
      <c r="F822" s="1834"/>
      <c r="G822" s="1834" t="s">
        <v>191</v>
      </c>
      <c r="H822" s="1943" t="s">
        <v>191</v>
      </c>
      <c r="I822" s="702">
        <f>J822+K822+L822</f>
        <v>0.60000000000000009</v>
      </c>
      <c r="J822" s="702">
        <f>SUM(M822:R822)</f>
        <v>0.60000000000000009</v>
      </c>
      <c r="K822" s="703"/>
      <c r="L822" s="703"/>
      <c r="M822" s="1387"/>
      <c r="N822" s="717">
        <f>SUM(N823:N824)</f>
        <v>0.4</v>
      </c>
      <c r="O822" s="1379"/>
      <c r="P822" s="1372"/>
      <c r="Q822" s="1364"/>
      <c r="R822" s="1355">
        <f>SUM(R823:R824)</f>
        <v>0.2</v>
      </c>
      <c r="S822" s="701"/>
      <c r="T822" s="1931"/>
      <c r="U822" s="705"/>
      <c r="V822" s="705"/>
      <c r="W822" s="716"/>
      <c r="X822" s="333"/>
      <c r="Y822" s="716"/>
      <c r="Z822" s="1706"/>
      <c r="AB822" s="3">
        <v>1</v>
      </c>
      <c r="AE822" s="2461"/>
      <c r="AF822" s="68"/>
    </row>
    <row r="823" spans="1:32" x14ac:dyDescent="0.35">
      <c r="A823" s="1886"/>
      <c r="B823" s="1059" t="s">
        <v>1823</v>
      </c>
      <c r="C823" s="1059"/>
      <c r="D823" s="754"/>
      <c r="E823" s="711" t="s">
        <v>1074</v>
      </c>
      <c r="F823" s="1834">
        <v>5</v>
      </c>
      <c r="G823" s="1620">
        <v>5</v>
      </c>
      <c r="H823" s="179">
        <v>6</v>
      </c>
      <c r="I823" s="708"/>
      <c r="J823" s="708"/>
      <c r="K823" s="709"/>
      <c r="L823" s="709"/>
      <c r="M823" s="1388"/>
      <c r="N823" s="712">
        <v>0.4</v>
      </c>
      <c r="O823" s="1378"/>
      <c r="P823" s="1371"/>
      <c r="Q823" s="1363"/>
      <c r="R823" s="1353"/>
      <c r="S823" s="720"/>
      <c r="T823" s="1931"/>
      <c r="U823" s="728"/>
      <c r="V823" s="728"/>
      <c r="W823" s="720"/>
      <c r="X823" s="332"/>
      <c r="Y823" s="725"/>
      <c r="Z823" s="2664"/>
      <c r="AE823" s="2461"/>
      <c r="AF823" s="68"/>
    </row>
    <row r="824" spans="1:32" x14ac:dyDescent="0.35">
      <c r="A824" s="1886"/>
      <c r="B824" s="1059" t="s">
        <v>1823</v>
      </c>
      <c r="C824" s="1059"/>
      <c r="D824" s="754"/>
      <c r="E824" s="1390" t="s">
        <v>2939</v>
      </c>
      <c r="F824" s="1834" t="s">
        <v>827</v>
      </c>
      <c r="G824" s="1620">
        <v>5</v>
      </c>
      <c r="H824" s="1620">
        <v>6</v>
      </c>
      <c r="I824" s="708"/>
      <c r="J824" s="708"/>
      <c r="K824" s="709"/>
      <c r="L824" s="709"/>
      <c r="M824" s="1388"/>
      <c r="N824" s="709"/>
      <c r="O824" s="1378"/>
      <c r="P824" s="1371"/>
      <c r="Q824" s="1363"/>
      <c r="R824" s="1356">
        <v>0.2</v>
      </c>
      <c r="S824" s="720"/>
      <c r="T824" s="1931"/>
      <c r="U824" s="728"/>
      <c r="V824" s="728"/>
      <c r="W824" s="720"/>
      <c r="X824" s="332"/>
      <c r="Y824" s="725"/>
      <c r="Z824" s="2664"/>
      <c r="AE824" s="2461"/>
      <c r="AF824" s="68"/>
    </row>
    <row r="825" spans="1:32" ht="30" x14ac:dyDescent="0.35">
      <c r="A825" s="1880">
        <v>359</v>
      </c>
      <c r="B825" s="1059" t="s">
        <v>1823</v>
      </c>
      <c r="C825" s="1059"/>
      <c r="D825" s="2471" t="s">
        <v>5649</v>
      </c>
      <c r="E825" s="715" t="s">
        <v>10110</v>
      </c>
      <c r="F825" s="1834" t="s">
        <v>827</v>
      </c>
      <c r="G825" s="1834">
        <v>5</v>
      </c>
      <c r="H825" s="1620">
        <v>6</v>
      </c>
      <c r="I825" s="702">
        <f t="shared" ref="I825:I831" si="44">J825+K825+L825</f>
        <v>0.7</v>
      </c>
      <c r="J825" s="702">
        <f t="shared" ref="J825:J831" si="45">SUM(M825:R825)</f>
        <v>0.7</v>
      </c>
      <c r="K825" s="703"/>
      <c r="L825" s="703"/>
      <c r="M825" s="1387"/>
      <c r="N825" s="703"/>
      <c r="O825" s="1379"/>
      <c r="P825" s="1372"/>
      <c r="Q825" s="1364"/>
      <c r="R825" s="1355">
        <v>0.7</v>
      </c>
      <c r="S825" s="730"/>
      <c r="T825" s="1931"/>
      <c r="U825" s="732"/>
      <c r="V825" s="732"/>
      <c r="W825" s="730"/>
      <c r="X825" s="735"/>
      <c r="Y825" s="736"/>
      <c r="Z825" s="1709"/>
      <c r="AB825" s="3">
        <v>1</v>
      </c>
      <c r="AE825" s="2461"/>
      <c r="AF825" s="68"/>
    </row>
    <row r="826" spans="1:32" ht="30" x14ac:dyDescent="0.35">
      <c r="A826" s="1872">
        <v>360</v>
      </c>
      <c r="B826" s="1058" t="s">
        <v>1823</v>
      </c>
      <c r="C826" s="1058"/>
      <c r="D826" s="2471" t="s">
        <v>5650</v>
      </c>
      <c r="E826" s="715" t="s">
        <v>10111</v>
      </c>
      <c r="F826" s="1834" t="s">
        <v>664</v>
      </c>
      <c r="G826" s="1834">
        <v>5</v>
      </c>
      <c r="H826" s="1620">
        <v>6</v>
      </c>
      <c r="I826" s="702">
        <f t="shared" si="44"/>
        <v>0.4</v>
      </c>
      <c r="J826" s="702">
        <f t="shared" si="45"/>
        <v>0.4</v>
      </c>
      <c r="K826" s="703"/>
      <c r="L826" s="703"/>
      <c r="M826" s="1387"/>
      <c r="N826" s="703"/>
      <c r="O826" s="1379"/>
      <c r="P826" s="1372"/>
      <c r="Q826" s="1364"/>
      <c r="R826" s="1355">
        <v>0.4</v>
      </c>
      <c r="S826" s="730"/>
      <c r="T826" s="1931"/>
      <c r="U826" s="732"/>
      <c r="V826" s="732"/>
      <c r="W826" s="730"/>
      <c r="X826" s="737"/>
      <c r="Y826" s="738"/>
      <c r="Z826" s="1707"/>
      <c r="AB826" s="3">
        <v>1</v>
      </c>
      <c r="AE826" s="2461"/>
      <c r="AF826" s="68"/>
    </row>
    <row r="827" spans="1:32" ht="45" x14ac:dyDescent="0.35">
      <c r="A827" s="1880">
        <v>361</v>
      </c>
      <c r="B827" s="1719" t="s">
        <v>1823</v>
      </c>
      <c r="C827" s="2083" t="s">
        <v>1656</v>
      </c>
      <c r="D827" s="2471" t="s">
        <v>5651</v>
      </c>
      <c r="E827" s="2187" t="s">
        <v>10112</v>
      </c>
      <c r="F827" s="92" t="s">
        <v>664</v>
      </c>
      <c r="G827" s="92">
        <v>5</v>
      </c>
      <c r="H827" s="1620">
        <v>6</v>
      </c>
      <c r="I827" s="702">
        <f t="shared" si="44"/>
        <v>0.5</v>
      </c>
      <c r="J827" s="702">
        <f t="shared" si="45"/>
        <v>0.5</v>
      </c>
      <c r="K827" s="622"/>
      <c r="L827" s="622"/>
      <c r="M827" s="622"/>
      <c r="N827" s="622"/>
      <c r="O827" s="622"/>
      <c r="P827" s="622"/>
      <c r="Q827" s="622"/>
      <c r="R827" s="1984">
        <v>0.5</v>
      </c>
      <c r="S827" s="106"/>
      <c r="T827" s="1931"/>
      <c r="U827" s="106"/>
      <c r="V827" s="106"/>
      <c r="W827" s="105"/>
      <c r="X827" s="105"/>
      <c r="Y827" s="105"/>
      <c r="Z827" s="323"/>
      <c r="AB827" s="3">
        <v>1</v>
      </c>
      <c r="AE827" s="2461"/>
      <c r="AF827" s="68"/>
    </row>
    <row r="828" spans="1:32" ht="30" x14ac:dyDescent="0.35">
      <c r="A828" s="1872">
        <v>362</v>
      </c>
      <c r="B828" s="1059" t="s">
        <v>1823</v>
      </c>
      <c r="C828" s="1059"/>
      <c r="D828" s="2471" t="s">
        <v>5652</v>
      </c>
      <c r="E828" s="715" t="s">
        <v>10757</v>
      </c>
      <c r="F828" s="1834" t="s">
        <v>827</v>
      </c>
      <c r="G828" s="1834">
        <v>5</v>
      </c>
      <c r="H828" s="1953">
        <v>6</v>
      </c>
      <c r="I828" s="1924">
        <f t="shared" si="44"/>
        <v>1.55</v>
      </c>
      <c r="J828" s="1924">
        <f t="shared" si="45"/>
        <v>1.55</v>
      </c>
      <c r="K828" s="1925"/>
      <c r="L828" s="1925"/>
      <c r="M828" s="1925"/>
      <c r="N828" s="1925">
        <v>1.55</v>
      </c>
      <c r="O828" s="1379"/>
      <c r="P828" s="1372"/>
      <c r="Q828" s="1364"/>
      <c r="R828" s="2706"/>
      <c r="S828" s="730"/>
      <c r="T828" s="1931"/>
      <c r="U828" s="732"/>
      <c r="V828" s="732"/>
      <c r="W828" s="730"/>
      <c r="X828" s="735"/>
      <c r="Y828" s="736"/>
      <c r="Z828" s="1709"/>
      <c r="AB828" s="3">
        <v>1</v>
      </c>
      <c r="AE828" s="2461"/>
      <c r="AF828" s="68"/>
    </row>
    <row r="829" spans="1:32" ht="45" x14ac:dyDescent="0.35">
      <c r="A829" s="1880">
        <v>363</v>
      </c>
      <c r="B829" s="1058" t="s">
        <v>1823</v>
      </c>
      <c r="C829" s="1979" t="s">
        <v>1655</v>
      </c>
      <c r="D829" s="2471" t="s">
        <v>5653</v>
      </c>
      <c r="E829" s="739" t="s">
        <v>7333</v>
      </c>
      <c r="F829" s="1953" t="s">
        <v>664</v>
      </c>
      <c r="G829" s="1953">
        <v>5</v>
      </c>
      <c r="H829" s="1620">
        <v>6</v>
      </c>
      <c r="I829" s="702">
        <f t="shared" si="44"/>
        <v>0.1</v>
      </c>
      <c r="J829" s="702">
        <f t="shared" si="45"/>
        <v>0.1</v>
      </c>
      <c r="K829" s="703"/>
      <c r="L829" s="703"/>
      <c r="M829" s="1387"/>
      <c r="N829" s="703"/>
      <c r="O829" s="1379"/>
      <c r="P829" s="1372"/>
      <c r="Q829" s="1364"/>
      <c r="R829" s="1357">
        <v>0.1</v>
      </c>
      <c r="S829" s="730"/>
      <c r="T829" s="1931"/>
      <c r="U829" s="732"/>
      <c r="V829" s="732"/>
      <c r="W829" s="730"/>
      <c r="X829" s="731"/>
      <c r="Y829" s="730"/>
      <c r="Z829" s="1708"/>
      <c r="AB829" s="3">
        <v>1</v>
      </c>
      <c r="AE829" s="2461"/>
      <c r="AF829" s="68"/>
    </row>
    <row r="830" spans="1:32" ht="30" x14ac:dyDescent="0.35">
      <c r="A830" s="1872">
        <v>364</v>
      </c>
      <c r="B830" s="1060" t="s">
        <v>1823</v>
      </c>
      <c r="C830" s="2083" t="s">
        <v>1656</v>
      </c>
      <c r="D830" s="2471" t="s">
        <v>5654</v>
      </c>
      <c r="E830" s="739" t="s">
        <v>8764</v>
      </c>
      <c r="F830" s="1953" t="s">
        <v>1490</v>
      </c>
      <c r="G830" s="1953">
        <v>5</v>
      </c>
      <c r="H830" s="1620">
        <v>6</v>
      </c>
      <c r="I830" s="702">
        <f t="shared" si="44"/>
        <v>1.1000000000000001</v>
      </c>
      <c r="J830" s="702">
        <f t="shared" si="45"/>
        <v>1.1000000000000001</v>
      </c>
      <c r="K830" s="703"/>
      <c r="L830" s="703"/>
      <c r="M830" s="1387"/>
      <c r="N830" s="703"/>
      <c r="O830" s="1379"/>
      <c r="P830" s="1372"/>
      <c r="Q830" s="1364"/>
      <c r="R830" s="929">
        <v>1.1000000000000001</v>
      </c>
      <c r="S830" s="730"/>
      <c r="T830" s="1931"/>
      <c r="U830" s="732"/>
      <c r="V830" s="732"/>
      <c r="W830" s="730"/>
      <c r="X830" s="731"/>
      <c r="Y830" s="730"/>
      <c r="Z830" s="1708"/>
      <c r="AB830" s="3">
        <v>1</v>
      </c>
      <c r="AC830" s="3" t="s">
        <v>2570</v>
      </c>
      <c r="AE830" s="2461"/>
      <c r="AF830" s="68"/>
    </row>
    <row r="831" spans="1:32" ht="30" x14ac:dyDescent="0.35">
      <c r="A831" s="1880">
        <v>365</v>
      </c>
      <c r="B831" s="1060" t="s">
        <v>1823</v>
      </c>
      <c r="C831" s="1152"/>
      <c r="D831" s="2471" t="s">
        <v>5655</v>
      </c>
      <c r="E831" s="715" t="s">
        <v>7879</v>
      </c>
      <c r="F831" s="1834" t="s">
        <v>664</v>
      </c>
      <c r="G831" s="1953">
        <v>5</v>
      </c>
      <c r="H831" s="1620">
        <v>6</v>
      </c>
      <c r="I831" s="702">
        <f t="shared" si="44"/>
        <v>0.8</v>
      </c>
      <c r="J831" s="702">
        <f t="shared" si="45"/>
        <v>0.8</v>
      </c>
      <c r="K831" s="703"/>
      <c r="L831" s="703"/>
      <c r="M831" s="1387"/>
      <c r="N831" s="703"/>
      <c r="O831" s="1379"/>
      <c r="P831" s="1372"/>
      <c r="Q831" s="1364"/>
      <c r="R831" s="1355">
        <v>0.8</v>
      </c>
      <c r="S831" s="730"/>
      <c r="T831" s="1931"/>
      <c r="U831" s="732"/>
      <c r="V831" s="732"/>
      <c r="W831" s="730"/>
      <c r="X831" s="731"/>
      <c r="Y831" s="730"/>
      <c r="Z831" s="1708"/>
      <c r="AA831" s="3" t="s">
        <v>2711</v>
      </c>
      <c r="AB831" s="3">
        <v>1</v>
      </c>
      <c r="AE831" s="2461"/>
      <c r="AF831" s="68"/>
    </row>
    <row r="832" spans="1:32" ht="45" x14ac:dyDescent="0.35">
      <c r="A832" s="1872">
        <v>366</v>
      </c>
      <c r="B832" s="1060" t="s">
        <v>1823</v>
      </c>
      <c r="C832" s="2083" t="s">
        <v>1656</v>
      </c>
      <c r="D832" s="2471" t="s">
        <v>5656</v>
      </c>
      <c r="E832" s="2187" t="s">
        <v>8765</v>
      </c>
      <c r="F832" s="92" t="s">
        <v>664</v>
      </c>
      <c r="G832" s="92">
        <v>5</v>
      </c>
      <c r="H832" s="1620">
        <v>6</v>
      </c>
      <c r="I832" s="702">
        <f>J832+K832+L832</f>
        <v>0.7</v>
      </c>
      <c r="J832" s="702">
        <f>SUM(M832:R832)</f>
        <v>0.7</v>
      </c>
      <c r="K832" s="622"/>
      <c r="L832" s="622"/>
      <c r="M832" s="622"/>
      <c r="N832" s="622"/>
      <c r="O832" s="622"/>
      <c r="P832" s="622"/>
      <c r="Q832" s="622"/>
      <c r="R832" s="1984">
        <v>0.7</v>
      </c>
      <c r="S832" s="106"/>
      <c r="T832" s="1931"/>
      <c r="U832" s="106"/>
      <c r="V832" s="106"/>
      <c r="W832" s="105"/>
      <c r="X832" s="105"/>
      <c r="Y832" s="105"/>
      <c r="Z832" s="323"/>
      <c r="AB832" s="3">
        <v>1</v>
      </c>
      <c r="AE832" s="2461"/>
      <c r="AF832" s="68"/>
    </row>
    <row r="833" spans="1:32" ht="30.5" x14ac:dyDescent="0.35">
      <c r="A833" s="1896"/>
      <c r="B833" s="1059" t="s">
        <v>1205</v>
      </c>
      <c r="C833" s="1059"/>
      <c r="D833" s="759"/>
      <c r="E833" s="1582" t="s">
        <v>850</v>
      </c>
      <c r="F833" s="1953"/>
      <c r="G833" s="1953"/>
      <c r="H833" s="1953"/>
      <c r="I833" s="702"/>
      <c r="J833" s="702"/>
      <c r="K833" s="703"/>
      <c r="L833" s="703"/>
      <c r="M833" s="1387"/>
      <c r="N833" s="703"/>
      <c r="O833" s="1379"/>
      <c r="P833" s="1372"/>
      <c r="Q833" s="1364"/>
      <c r="R833" s="929"/>
      <c r="S833" s="730"/>
      <c r="T833" s="1931"/>
      <c r="U833" s="732"/>
      <c r="V833" s="732"/>
      <c r="W833" s="730"/>
      <c r="X833" s="731"/>
      <c r="Y833" s="730"/>
      <c r="Z833" s="1708"/>
      <c r="AE833" s="2461"/>
      <c r="AF833" s="68"/>
    </row>
    <row r="834" spans="1:32" ht="30" x14ac:dyDescent="0.35">
      <c r="A834" s="1880">
        <v>367</v>
      </c>
      <c r="B834" s="1059" t="s">
        <v>1205</v>
      </c>
      <c r="C834" s="1059"/>
      <c r="D834" s="2471" t="s">
        <v>5657</v>
      </c>
      <c r="E834" s="715" t="s">
        <v>7880</v>
      </c>
      <c r="F834" s="1834"/>
      <c r="G834" s="1834" t="s">
        <v>191</v>
      </c>
      <c r="H834" s="1943" t="s">
        <v>191</v>
      </c>
      <c r="I834" s="702">
        <f>J834+K834+L834</f>
        <v>13.224</v>
      </c>
      <c r="J834" s="702">
        <f>SUM(M834:R834)</f>
        <v>13.224</v>
      </c>
      <c r="K834" s="703"/>
      <c r="L834" s="703"/>
      <c r="M834" s="1387">
        <f>SUM(M835:M838)</f>
        <v>2.1820000000000004</v>
      </c>
      <c r="N834" s="717">
        <f>SUM(N835:N838)</f>
        <v>11.042</v>
      </c>
      <c r="O834" s="1379"/>
      <c r="P834" s="1372"/>
      <c r="Q834" s="1364"/>
      <c r="R834" s="1354"/>
      <c r="S834" s="716">
        <v>2</v>
      </c>
      <c r="T834" s="706">
        <f>50.05-18.6</f>
        <v>31.449999999999996</v>
      </c>
      <c r="U834" s="705"/>
      <c r="V834" s="705"/>
      <c r="W834" s="716">
        <v>29</v>
      </c>
      <c r="X834" s="333">
        <v>413.2</v>
      </c>
      <c r="Y834" s="716">
        <v>17</v>
      </c>
      <c r="Z834" s="1706">
        <v>204.5</v>
      </c>
      <c r="AB834" s="3">
        <v>1</v>
      </c>
      <c r="AE834" s="2461"/>
      <c r="AF834" s="68"/>
    </row>
    <row r="835" spans="1:32" x14ac:dyDescent="0.35">
      <c r="A835" s="1880"/>
      <c r="B835" s="1059" t="s">
        <v>1205</v>
      </c>
      <c r="C835" s="1059"/>
      <c r="D835" s="755"/>
      <c r="E835" s="711" t="s">
        <v>3671</v>
      </c>
      <c r="F835" s="1834">
        <v>4</v>
      </c>
      <c r="G835" s="1834">
        <v>4</v>
      </c>
      <c r="H835" s="179">
        <v>6</v>
      </c>
      <c r="I835" s="702"/>
      <c r="J835" s="702"/>
      <c r="K835" s="703"/>
      <c r="L835" s="703"/>
      <c r="M835" s="1387"/>
      <c r="N835" s="2076">
        <v>11.026</v>
      </c>
      <c r="O835" s="1379"/>
      <c r="P835" s="1372"/>
      <c r="Q835" s="1364"/>
      <c r="R835" s="1354"/>
      <c r="S835" s="716"/>
      <c r="T835" s="1931"/>
      <c r="U835" s="705"/>
      <c r="V835" s="705"/>
      <c r="W835" s="716"/>
      <c r="X835" s="333"/>
      <c r="Y835" s="716"/>
      <c r="Z835" s="1706"/>
      <c r="AA835" s="3" t="s">
        <v>7334</v>
      </c>
      <c r="AE835" s="2461"/>
      <c r="AF835" s="68"/>
    </row>
    <row r="836" spans="1:32" x14ac:dyDescent="0.35">
      <c r="A836" s="1880"/>
      <c r="B836" s="1059" t="s">
        <v>1205</v>
      </c>
      <c r="C836" s="1059"/>
      <c r="D836" s="755"/>
      <c r="E836" s="1399" t="s">
        <v>3672</v>
      </c>
      <c r="F836" s="1834">
        <v>4</v>
      </c>
      <c r="G836" s="1834">
        <v>4</v>
      </c>
      <c r="H836" s="1943">
        <v>10</v>
      </c>
      <c r="I836" s="702"/>
      <c r="J836" s="702"/>
      <c r="K836" s="703"/>
      <c r="L836" s="703"/>
      <c r="M836" s="1920">
        <f>12.5-11.026</f>
        <v>1.4740000000000002</v>
      </c>
      <c r="N836" s="2076"/>
      <c r="O836" s="1379"/>
      <c r="P836" s="1372"/>
      <c r="Q836" s="1364"/>
      <c r="R836" s="1354"/>
      <c r="S836" s="716"/>
      <c r="T836" s="1931"/>
      <c r="U836" s="705"/>
      <c r="V836" s="705"/>
      <c r="W836" s="716"/>
      <c r="X836" s="333"/>
      <c r="Y836" s="716"/>
      <c r="Z836" s="1706"/>
      <c r="AE836" s="2461"/>
      <c r="AF836" s="68"/>
    </row>
    <row r="837" spans="1:32" x14ac:dyDescent="0.35">
      <c r="A837" s="1880"/>
      <c r="B837" s="1059" t="s">
        <v>1205</v>
      </c>
      <c r="C837" s="1059"/>
      <c r="D837" s="755"/>
      <c r="E837" s="1399" t="s">
        <v>3673</v>
      </c>
      <c r="F837" s="1834">
        <v>4</v>
      </c>
      <c r="G837" s="1834">
        <v>4</v>
      </c>
      <c r="H837" s="1943">
        <v>10</v>
      </c>
      <c r="I837" s="702"/>
      <c r="J837" s="702"/>
      <c r="K837" s="703"/>
      <c r="L837" s="703"/>
      <c r="M837" s="1920">
        <f>13.208-12.5</f>
        <v>0.70800000000000018</v>
      </c>
      <c r="N837" s="2076"/>
      <c r="O837" s="1379"/>
      <c r="P837" s="1372"/>
      <c r="Q837" s="1364"/>
      <c r="R837" s="1354"/>
      <c r="S837" s="716"/>
      <c r="T837" s="1931"/>
      <c r="U837" s="705"/>
      <c r="V837" s="705"/>
      <c r="W837" s="716"/>
      <c r="X837" s="333"/>
      <c r="Y837" s="716"/>
      <c r="Z837" s="1706"/>
      <c r="AA837" s="3" t="s">
        <v>1556</v>
      </c>
      <c r="AE837" s="2461"/>
      <c r="AF837" s="68"/>
    </row>
    <row r="838" spans="1:32" x14ac:dyDescent="0.35">
      <c r="A838" s="1880"/>
      <c r="B838" s="1059" t="s">
        <v>1205</v>
      </c>
      <c r="C838" s="1059"/>
      <c r="D838" s="755"/>
      <c r="E838" s="711" t="s">
        <v>3674</v>
      </c>
      <c r="F838" s="1834">
        <v>4</v>
      </c>
      <c r="G838" s="1834">
        <v>4</v>
      </c>
      <c r="H838" s="1943">
        <v>10</v>
      </c>
      <c r="I838" s="702"/>
      <c r="J838" s="702"/>
      <c r="K838" s="703"/>
      <c r="L838" s="703"/>
      <c r="M838" s="1920"/>
      <c r="N838" s="2076">
        <f>13.224-13.208</f>
        <v>1.6000000000000014E-2</v>
      </c>
      <c r="O838" s="1379"/>
      <c r="P838" s="1372"/>
      <c r="Q838" s="1364"/>
      <c r="R838" s="1354"/>
      <c r="S838" s="716"/>
      <c r="T838" s="1931"/>
      <c r="U838" s="705"/>
      <c r="V838" s="705"/>
      <c r="W838" s="716"/>
      <c r="X838" s="333"/>
      <c r="Y838" s="716"/>
      <c r="Z838" s="1706"/>
      <c r="AE838" s="2461"/>
      <c r="AF838" s="68"/>
    </row>
    <row r="839" spans="1:32" ht="45" x14ac:dyDescent="0.35">
      <c r="A839" s="525">
        <v>368</v>
      </c>
      <c r="B839" s="1719" t="s">
        <v>1205</v>
      </c>
      <c r="C839" s="2083" t="s">
        <v>1656</v>
      </c>
      <c r="D839" s="2471" t="s">
        <v>5658</v>
      </c>
      <c r="E839" s="2187" t="s">
        <v>8766</v>
      </c>
      <c r="F839" s="92" t="s">
        <v>664</v>
      </c>
      <c r="G839" s="92">
        <v>5</v>
      </c>
      <c r="H839" s="1620">
        <v>6</v>
      </c>
      <c r="I839" s="702">
        <f t="shared" ref="I839:I845" si="46">J839+K839+L839</f>
        <v>0.2</v>
      </c>
      <c r="J839" s="702">
        <f t="shared" ref="J839:J845" si="47">SUM(M839:R839)</f>
        <v>0.2</v>
      </c>
      <c r="K839" s="622"/>
      <c r="L839" s="622"/>
      <c r="M839" s="622"/>
      <c r="N839" s="622"/>
      <c r="O839" s="622"/>
      <c r="P839" s="622"/>
      <c r="Q839" s="622"/>
      <c r="R839" s="1984">
        <v>0.2</v>
      </c>
      <c r="S839" s="106"/>
      <c r="T839" s="1931"/>
      <c r="U839" s="106"/>
      <c r="V839" s="106"/>
      <c r="W839" s="105"/>
      <c r="X839" s="105"/>
      <c r="Y839" s="105"/>
      <c r="Z839" s="323"/>
      <c r="AB839" s="3">
        <v>1</v>
      </c>
      <c r="AE839" s="2461"/>
      <c r="AF839" s="68"/>
    </row>
    <row r="840" spans="1:32" ht="45" x14ac:dyDescent="0.35">
      <c r="A840" s="1880">
        <v>369</v>
      </c>
      <c r="B840" s="1146" t="s">
        <v>1205</v>
      </c>
      <c r="C840" s="1146"/>
      <c r="D840" s="2471" t="s">
        <v>5659</v>
      </c>
      <c r="E840" s="733" t="s">
        <v>9368</v>
      </c>
      <c r="F840" s="1834" t="s">
        <v>664</v>
      </c>
      <c r="G840" s="1834">
        <v>5</v>
      </c>
      <c r="H840" s="1620">
        <v>6</v>
      </c>
      <c r="I840" s="702">
        <f t="shared" si="46"/>
        <v>0.65</v>
      </c>
      <c r="J840" s="702">
        <f t="shared" si="47"/>
        <v>0.65</v>
      </c>
      <c r="K840" s="703"/>
      <c r="L840" s="703"/>
      <c r="M840" s="1387"/>
      <c r="N840" s="703"/>
      <c r="O840" s="1379"/>
      <c r="P840" s="1372"/>
      <c r="Q840" s="1364"/>
      <c r="R840" s="1355">
        <v>0.65</v>
      </c>
      <c r="S840" s="701"/>
      <c r="T840" s="1931"/>
      <c r="U840" s="705"/>
      <c r="V840" s="705"/>
      <c r="W840" s="701"/>
      <c r="X840" s="333"/>
      <c r="Y840" s="716"/>
      <c r="Z840" s="333"/>
      <c r="AB840" s="3">
        <v>1</v>
      </c>
      <c r="AE840" s="2461"/>
      <c r="AF840" s="68"/>
    </row>
    <row r="841" spans="1:32" ht="60" x14ac:dyDescent="0.35">
      <c r="A841" s="525">
        <v>370</v>
      </c>
      <c r="B841" s="1148" t="s">
        <v>1205</v>
      </c>
      <c r="C841" s="1979" t="s">
        <v>1655</v>
      </c>
      <c r="D841" s="2471" t="s">
        <v>5660</v>
      </c>
      <c r="E841" s="715" t="s">
        <v>7881</v>
      </c>
      <c r="F841" s="1834" t="s">
        <v>664</v>
      </c>
      <c r="G841" s="1834">
        <v>5</v>
      </c>
      <c r="H841" s="1620">
        <v>6</v>
      </c>
      <c r="I841" s="702">
        <f t="shared" si="46"/>
        <v>1</v>
      </c>
      <c r="J841" s="702">
        <f t="shared" si="47"/>
        <v>1</v>
      </c>
      <c r="K841" s="703"/>
      <c r="L841" s="703"/>
      <c r="M841" s="1387"/>
      <c r="N841" s="703"/>
      <c r="O841" s="1379"/>
      <c r="P841" s="1372"/>
      <c r="Q841" s="1364"/>
      <c r="R841" s="925">
        <v>1</v>
      </c>
      <c r="S841" s="742"/>
      <c r="T841" s="1931"/>
      <c r="U841" s="732"/>
      <c r="V841" s="732"/>
      <c r="W841" s="730"/>
      <c r="X841" s="731"/>
      <c r="Y841" s="730"/>
      <c r="Z841" s="1708"/>
      <c r="AB841" s="3">
        <v>1</v>
      </c>
      <c r="AE841" s="2461"/>
      <c r="AF841" s="68"/>
    </row>
    <row r="842" spans="1:32" ht="60" x14ac:dyDescent="0.35">
      <c r="A842" s="1880">
        <v>371</v>
      </c>
      <c r="B842" s="1060" t="s">
        <v>1205</v>
      </c>
      <c r="C842" s="1979" t="s">
        <v>1655</v>
      </c>
      <c r="D842" s="2471" t="s">
        <v>5661</v>
      </c>
      <c r="E842" s="739" t="s">
        <v>7882</v>
      </c>
      <c r="F842" s="1953" t="s">
        <v>664</v>
      </c>
      <c r="G842" s="1953">
        <v>5</v>
      </c>
      <c r="H842" s="1620">
        <v>6</v>
      </c>
      <c r="I842" s="702">
        <f t="shared" si="46"/>
        <v>0.5</v>
      </c>
      <c r="J842" s="702">
        <f t="shared" si="47"/>
        <v>0.5</v>
      </c>
      <c r="K842" s="703"/>
      <c r="L842" s="703"/>
      <c r="M842" s="1387"/>
      <c r="N842" s="703"/>
      <c r="O842" s="1379"/>
      <c r="P842" s="1372"/>
      <c r="Q842" s="1364"/>
      <c r="R842" s="1357">
        <v>0.5</v>
      </c>
      <c r="S842" s="730"/>
      <c r="T842" s="1931"/>
      <c r="U842" s="732"/>
      <c r="V842" s="732"/>
      <c r="W842" s="730"/>
      <c r="X842" s="731"/>
      <c r="Y842" s="730"/>
      <c r="Z842" s="1708"/>
      <c r="AB842" s="3">
        <v>1</v>
      </c>
      <c r="AE842" s="2461"/>
      <c r="AF842" s="68"/>
    </row>
    <row r="843" spans="1:32" ht="45" x14ac:dyDescent="0.35">
      <c r="A843" s="525">
        <v>372</v>
      </c>
      <c r="B843" s="1060" t="s">
        <v>1205</v>
      </c>
      <c r="C843" s="2083" t="s">
        <v>1656</v>
      </c>
      <c r="D843" s="2471" t="s">
        <v>5662</v>
      </c>
      <c r="E843" s="739" t="s">
        <v>8767</v>
      </c>
      <c r="F843" s="1953" t="s">
        <v>664</v>
      </c>
      <c r="G843" s="1953">
        <v>5</v>
      </c>
      <c r="H843" s="1620">
        <v>6</v>
      </c>
      <c r="I843" s="702">
        <f t="shared" si="46"/>
        <v>0.3</v>
      </c>
      <c r="J843" s="702">
        <f t="shared" si="47"/>
        <v>0.3</v>
      </c>
      <c r="K843" s="703"/>
      <c r="L843" s="703"/>
      <c r="M843" s="1387"/>
      <c r="N843" s="703"/>
      <c r="O843" s="1379"/>
      <c r="P843" s="1372"/>
      <c r="Q843" s="1364"/>
      <c r="R843" s="929">
        <v>0.3</v>
      </c>
      <c r="S843" s="1890"/>
      <c r="T843" s="1931"/>
      <c r="U843" s="1892"/>
      <c r="V843" s="1892"/>
      <c r="W843" s="730"/>
      <c r="X843" s="731"/>
      <c r="Y843" s="730"/>
      <c r="Z843" s="1708"/>
      <c r="AB843" s="3">
        <v>1</v>
      </c>
      <c r="AE843" s="2461"/>
      <c r="AF843" s="68"/>
    </row>
    <row r="844" spans="1:32" ht="45" x14ac:dyDescent="0.35">
      <c r="A844" s="1880">
        <v>373</v>
      </c>
      <c r="B844" s="1060" t="s">
        <v>1205</v>
      </c>
      <c r="C844" s="2083" t="s">
        <v>1656</v>
      </c>
      <c r="D844" s="2471" t="s">
        <v>5663</v>
      </c>
      <c r="E844" s="1916" t="s">
        <v>9276</v>
      </c>
      <c r="F844" s="1834" t="s">
        <v>664</v>
      </c>
      <c r="G844" s="1834">
        <v>5</v>
      </c>
      <c r="H844" s="1620">
        <v>6</v>
      </c>
      <c r="I844" s="702">
        <f t="shared" si="46"/>
        <v>0.5</v>
      </c>
      <c r="J844" s="702">
        <f t="shared" si="47"/>
        <v>0.5</v>
      </c>
      <c r="K844" s="703"/>
      <c r="L844" s="703"/>
      <c r="M844" s="1387"/>
      <c r="N844" s="2076"/>
      <c r="O844" s="1379"/>
      <c r="P844" s="1372"/>
      <c r="Q844" s="1364"/>
      <c r="R844" s="1354">
        <v>0.5</v>
      </c>
      <c r="S844" s="716"/>
      <c r="T844" s="1931"/>
      <c r="U844" s="705"/>
      <c r="V844" s="705"/>
      <c r="W844" s="716"/>
      <c r="X844" s="333"/>
      <c r="Y844" s="716"/>
      <c r="Z844" s="1706"/>
      <c r="AB844" s="3">
        <v>1</v>
      </c>
      <c r="AE844" s="2461"/>
      <c r="AF844" s="68"/>
    </row>
    <row r="845" spans="1:32" ht="30" x14ac:dyDescent="0.35">
      <c r="A845" s="525">
        <v>374</v>
      </c>
      <c r="B845" s="1059" t="s">
        <v>1205</v>
      </c>
      <c r="C845" s="1059"/>
      <c r="D845" s="2471" t="s">
        <v>5664</v>
      </c>
      <c r="E845" s="715" t="s">
        <v>9369</v>
      </c>
      <c r="F845" s="1834"/>
      <c r="G845" s="1834" t="s">
        <v>191</v>
      </c>
      <c r="H845" s="179" t="s">
        <v>191</v>
      </c>
      <c r="I845" s="702">
        <f t="shared" si="46"/>
        <v>2.7589999999999999</v>
      </c>
      <c r="J845" s="702">
        <f t="shared" si="47"/>
        <v>2.7589999999999999</v>
      </c>
      <c r="K845" s="703"/>
      <c r="L845" s="703"/>
      <c r="M845" s="1387"/>
      <c r="N845" s="717">
        <f>SUM(N846:N847)</f>
        <v>2.7589999999999999</v>
      </c>
      <c r="O845" s="1379"/>
      <c r="P845" s="1372"/>
      <c r="Q845" s="2487"/>
      <c r="R845" s="1354"/>
      <c r="S845" s="701"/>
      <c r="T845" s="1931"/>
      <c r="U845" s="705"/>
      <c r="V845" s="705"/>
      <c r="W845" s="716">
        <v>2</v>
      </c>
      <c r="X845" s="333">
        <v>37.6</v>
      </c>
      <c r="Y845" s="716"/>
      <c r="Z845" s="1706"/>
      <c r="AB845" s="3">
        <v>1</v>
      </c>
      <c r="AE845" s="2461"/>
      <c r="AF845" s="68"/>
    </row>
    <row r="846" spans="1:32" x14ac:dyDescent="0.35">
      <c r="A846" s="1886"/>
      <c r="B846" s="1059" t="s">
        <v>1205</v>
      </c>
      <c r="C846" s="1059"/>
      <c r="D846" s="754"/>
      <c r="E846" s="711" t="s">
        <v>1844</v>
      </c>
      <c r="F846" s="725">
        <v>4</v>
      </c>
      <c r="G846" s="725">
        <v>5</v>
      </c>
      <c r="H846" s="725">
        <v>6</v>
      </c>
      <c r="I846" s="726"/>
      <c r="J846" s="726"/>
      <c r="K846" s="721"/>
      <c r="L846" s="721"/>
      <c r="M846" s="721"/>
      <c r="N846" s="721">
        <v>1.4</v>
      </c>
      <c r="O846" s="1378"/>
      <c r="P846" s="1371"/>
      <c r="Q846" s="1366"/>
      <c r="R846" s="1353"/>
      <c r="S846" s="720"/>
      <c r="T846" s="1931"/>
      <c r="U846" s="728"/>
      <c r="V846" s="728"/>
      <c r="W846" s="720"/>
      <c r="X846" s="332"/>
      <c r="Y846" s="725"/>
      <c r="Z846" s="2664"/>
      <c r="AE846" s="2461"/>
      <c r="AF846" s="68"/>
    </row>
    <row r="847" spans="1:32" x14ac:dyDescent="0.35">
      <c r="A847" s="1886"/>
      <c r="B847" s="1146" t="s">
        <v>1205</v>
      </c>
      <c r="C847" s="1146"/>
      <c r="D847" s="754"/>
      <c r="E847" s="711" t="s">
        <v>1716</v>
      </c>
      <c r="F847" s="1834">
        <v>4</v>
      </c>
      <c r="G847" s="1834">
        <v>5</v>
      </c>
      <c r="H847" s="179">
        <v>6</v>
      </c>
      <c r="I847" s="708"/>
      <c r="J847" s="708"/>
      <c r="K847" s="709"/>
      <c r="L847" s="709"/>
      <c r="M847" s="1388"/>
      <c r="N847" s="712">
        <f>2.759-1.4</f>
        <v>1.359</v>
      </c>
      <c r="O847" s="1378"/>
      <c r="P847" s="1371"/>
      <c r="Q847" s="1363"/>
      <c r="R847" s="1353"/>
      <c r="S847" s="720"/>
      <c r="T847" s="1931"/>
      <c r="U847" s="728"/>
      <c r="V847" s="728"/>
      <c r="W847" s="720"/>
      <c r="X847" s="332"/>
      <c r="Y847" s="725"/>
      <c r="Z847" s="332"/>
      <c r="AE847" s="2461"/>
      <c r="AF847" s="68"/>
    </row>
    <row r="848" spans="1:32" ht="30" x14ac:dyDescent="0.35">
      <c r="A848" s="1880">
        <v>375</v>
      </c>
      <c r="B848" s="1059" t="s">
        <v>1205</v>
      </c>
      <c r="C848" s="1059"/>
      <c r="D848" s="2471" t="s">
        <v>5665</v>
      </c>
      <c r="E848" s="715" t="s">
        <v>11429</v>
      </c>
      <c r="F848" s="1953"/>
      <c r="G848" s="1953" t="s">
        <v>191</v>
      </c>
      <c r="H848" s="1943" t="s">
        <v>191</v>
      </c>
      <c r="I848" s="702">
        <f>J848+K848+L848</f>
        <v>2.4500000000000002</v>
      </c>
      <c r="J848" s="702">
        <f>SUM(M848:R848)</f>
        <v>2.4500000000000002</v>
      </c>
      <c r="K848" s="703"/>
      <c r="L848" s="703"/>
      <c r="M848" s="1387"/>
      <c r="N848" s="717">
        <f>SUM(N849:N851)</f>
        <v>1.4999999999999999E-2</v>
      </c>
      <c r="O848" s="1379"/>
      <c r="P848" s="1372"/>
      <c r="Q848" s="1364">
        <f>SUM(Q849:Q851)</f>
        <v>1.5850000000000002</v>
      </c>
      <c r="R848" s="1355">
        <f>SUM(R849:R851)</f>
        <v>0.85000000000000009</v>
      </c>
      <c r="S848" s="730"/>
      <c r="T848" s="1931"/>
      <c r="U848" s="732"/>
      <c r="V848" s="732"/>
      <c r="W848" s="730"/>
      <c r="X848" s="735"/>
      <c r="Y848" s="736"/>
      <c r="Z848" s="1709"/>
      <c r="AB848" s="3">
        <v>1</v>
      </c>
      <c r="AE848" s="2461"/>
      <c r="AF848" s="68"/>
    </row>
    <row r="849" spans="1:32" x14ac:dyDescent="0.35">
      <c r="A849" s="1878"/>
      <c r="B849" s="1059" t="s">
        <v>1205</v>
      </c>
      <c r="C849" s="1059"/>
      <c r="D849" s="754"/>
      <c r="E849" s="711" t="s">
        <v>3415</v>
      </c>
      <c r="F849" s="725">
        <v>5</v>
      </c>
      <c r="G849" s="725">
        <v>5</v>
      </c>
      <c r="H849" s="725">
        <v>6</v>
      </c>
      <c r="I849" s="727"/>
      <c r="J849" s="727"/>
      <c r="K849" s="721"/>
      <c r="L849" s="721"/>
      <c r="M849" s="721"/>
      <c r="N849" s="727">
        <v>1.4999999999999999E-2</v>
      </c>
      <c r="O849" s="1378"/>
      <c r="P849" s="1371"/>
      <c r="Q849" s="1363"/>
      <c r="R849" s="1353"/>
      <c r="S849" s="722"/>
      <c r="T849" s="1931"/>
      <c r="U849" s="723"/>
      <c r="V849" s="723"/>
      <c r="W849" s="722"/>
      <c r="X849" s="2519"/>
      <c r="Y849" s="720"/>
      <c r="Z849" s="2673"/>
      <c r="AE849" s="2461"/>
      <c r="AF849" s="68"/>
    </row>
    <row r="850" spans="1:32" x14ac:dyDescent="0.35">
      <c r="A850" s="1878"/>
      <c r="B850" s="1059"/>
      <c r="C850" s="1059"/>
      <c r="D850" s="754"/>
      <c r="E850" s="1394" t="s">
        <v>11014</v>
      </c>
      <c r="F850" s="1834">
        <v>5</v>
      </c>
      <c r="G850" s="179">
        <v>5</v>
      </c>
      <c r="H850" s="179">
        <v>6</v>
      </c>
      <c r="I850" s="712"/>
      <c r="J850" s="712"/>
      <c r="K850" s="709"/>
      <c r="L850" s="709"/>
      <c r="M850" s="1388"/>
      <c r="N850" s="712"/>
      <c r="O850" s="1378"/>
      <c r="P850" s="1371"/>
      <c r="Q850" s="1363">
        <f>1.6-0.015</f>
        <v>1.5850000000000002</v>
      </c>
      <c r="R850" s="1353"/>
      <c r="S850" s="722"/>
      <c r="T850" s="1931"/>
      <c r="U850" s="723"/>
      <c r="V850" s="723"/>
      <c r="W850" s="722"/>
      <c r="X850" s="2519"/>
      <c r="Y850" s="720"/>
      <c r="Z850" s="2673"/>
      <c r="AE850" s="2461"/>
      <c r="AF850" s="68"/>
    </row>
    <row r="851" spans="1:32" x14ac:dyDescent="0.35">
      <c r="A851" s="1878"/>
      <c r="B851" s="1059" t="s">
        <v>1205</v>
      </c>
      <c r="C851" s="1059"/>
      <c r="D851" s="754"/>
      <c r="E851" s="1390" t="s">
        <v>11269</v>
      </c>
      <c r="F851" s="1834" t="s">
        <v>664</v>
      </c>
      <c r="G851" s="1620">
        <v>5</v>
      </c>
      <c r="H851" s="1620">
        <v>6</v>
      </c>
      <c r="I851" s="712"/>
      <c r="J851" s="712"/>
      <c r="K851" s="709"/>
      <c r="L851" s="709"/>
      <c r="M851" s="1388"/>
      <c r="N851" s="709"/>
      <c r="O851" s="1378"/>
      <c r="P851" s="1371"/>
      <c r="Q851" s="1363"/>
      <c r="R851" s="1356">
        <f>2.45-1.6</f>
        <v>0.85000000000000009</v>
      </c>
      <c r="S851" s="722"/>
      <c r="T851" s="1931"/>
      <c r="U851" s="723"/>
      <c r="V851" s="723"/>
      <c r="W851" s="722"/>
      <c r="X851" s="2665"/>
      <c r="Y851" s="722"/>
      <c r="Z851" s="2666"/>
      <c r="AE851" s="2461"/>
      <c r="AF851" s="68"/>
    </row>
    <row r="852" spans="1:32" ht="45" x14ac:dyDescent="0.35">
      <c r="A852" s="1872">
        <v>376</v>
      </c>
      <c r="B852" s="1060" t="s">
        <v>1205</v>
      </c>
      <c r="C852" s="1060"/>
      <c r="D852" s="2471" t="s">
        <v>5666</v>
      </c>
      <c r="E852" s="739" t="s">
        <v>7883</v>
      </c>
      <c r="F852" s="1953" t="s">
        <v>664</v>
      </c>
      <c r="G852" s="1953">
        <v>5</v>
      </c>
      <c r="H852" s="1620">
        <v>6</v>
      </c>
      <c r="I852" s="702">
        <f>J852+K852+L852</f>
        <v>0.9</v>
      </c>
      <c r="J852" s="702">
        <f>SUM(M852:R852)</f>
        <v>0.9</v>
      </c>
      <c r="K852" s="703"/>
      <c r="L852" s="703"/>
      <c r="M852" s="1387"/>
      <c r="N852" s="703"/>
      <c r="O852" s="1379"/>
      <c r="P852" s="1372"/>
      <c r="Q852" s="1364"/>
      <c r="R852" s="929">
        <v>0.9</v>
      </c>
      <c r="S852" s="730"/>
      <c r="T852" s="1931"/>
      <c r="U852" s="732"/>
      <c r="V852" s="732"/>
      <c r="W852" s="730"/>
      <c r="X852" s="731"/>
      <c r="Y852" s="730"/>
      <c r="Z852" s="1708"/>
      <c r="AB852" s="3">
        <v>1</v>
      </c>
      <c r="AE852" s="2461"/>
      <c r="AF852" s="68"/>
    </row>
    <row r="853" spans="1:32" ht="45" x14ac:dyDescent="0.35">
      <c r="A853" s="1872">
        <v>377</v>
      </c>
      <c r="B853" s="1058" t="s">
        <v>1205</v>
      </c>
      <c r="C853" s="1058"/>
      <c r="D853" s="2471" t="s">
        <v>5667</v>
      </c>
      <c r="E853" s="715" t="s">
        <v>10113</v>
      </c>
      <c r="F853" s="1834" t="s">
        <v>664</v>
      </c>
      <c r="G853" s="1834">
        <v>5</v>
      </c>
      <c r="H853" s="1620">
        <v>6</v>
      </c>
      <c r="I853" s="702">
        <f>J853+K853+L853</f>
        <v>0.06</v>
      </c>
      <c r="J853" s="702">
        <f>SUM(M853:R853)</f>
        <v>0.06</v>
      </c>
      <c r="K853" s="703"/>
      <c r="L853" s="703"/>
      <c r="M853" s="1387"/>
      <c r="N853" s="703"/>
      <c r="O853" s="1379"/>
      <c r="P853" s="1372"/>
      <c r="Q853" s="1364"/>
      <c r="R853" s="1355">
        <v>0.06</v>
      </c>
      <c r="S853" s="730"/>
      <c r="T853" s="1931"/>
      <c r="U853" s="732"/>
      <c r="V853" s="732"/>
      <c r="W853" s="730"/>
      <c r="X853" s="737"/>
      <c r="Y853" s="738"/>
      <c r="Z853" s="1707"/>
      <c r="AB853" s="3">
        <v>1</v>
      </c>
      <c r="AE853" s="2461"/>
      <c r="AF853" s="68"/>
    </row>
    <row r="854" spans="1:32" ht="30.5" x14ac:dyDescent="0.35">
      <c r="A854" s="1896"/>
      <c r="B854" s="1059" t="s">
        <v>571</v>
      </c>
      <c r="C854" s="1059"/>
      <c r="D854" s="759"/>
      <c r="E854" s="1596" t="s">
        <v>327</v>
      </c>
      <c r="F854" s="1953"/>
      <c r="G854" s="1953"/>
      <c r="H854" s="1953"/>
      <c r="I854" s="702"/>
      <c r="J854" s="702"/>
      <c r="K854" s="703"/>
      <c r="L854" s="703"/>
      <c r="M854" s="1387"/>
      <c r="N854" s="703"/>
      <c r="O854" s="1379"/>
      <c r="P854" s="1372"/>
      <c r="Q854" s="1364"/>
      <c r="R854" s="929"/>
      <c r="S854" s="730"/>
      <c r="T854" s="1931"/>
      <c r="U854" s="732"/>
      <c r="V854" s="732"/>
      <c r="W854" s="730"/>
      <c r="X854" s="731"/>
      <c r="Y854" s="730"/>
      <c r="Z854" s="1708"/>
      <c r="AE854" s="2461"/>
      <c r="AF854" s="68"/>
    </row>
    <row r="855" spans="1:32" ht="30" x14ac:dyDescent="0.35">
      <c r="A855" s="1880">
        <v>378</v>
      </c>
      <c r="B855" s="1059" t="s">
        <v>571</v>
      </c>
      <c r="C855" s="1059"/>
      <c r="D855" s="2471" t="s">
        <v>5668</v>
      </c>
      <c r="E855" s="715" t="s">
        <v>10542</v>
      </c>
      <c r="F855" s="1834"/>
      <c r="G855" s="1834" t="s">
        <v>191</v>
      </c>
      <c r="H855" s="179" t="s">
        <v>191</v>
      </c>
      <c r="I855" s="702">
        <f>J855+K855+L855</f>
        <v>2.044</v>
      </c>
      <c r="J855" s="702">
        <f>SUM(M855:R855)</f>
        <v>2.024</v>
      </c>
      <c r="K855" s="703"/>
      <c r="L855" s="717">
        <f>SUM(L856:L858)</f>
        <v>0.02</v>
      </c>
      <c r="M855" s="1387"/>
      <c r="N855" s="717">
        <f>SUM(N856:N858)</f>
        <v>2.024</v>
      </c>
      <c r="O855" s="703"/>
      <c r="P855" s="703"/>
      <c r="Q855" s="717"/>
      <c r="R855" s="703"/>
      <c r="S855" s="701"/>
      <c r="T855" s="706"/>
      <c r="U855" s="705"/>
      <c r="V855" s="705"/>
      <c r="W855" s="716">
        <v>5</v>
      </c>
      <c r="X855" s="333">
        <v>71.28</v>
      </c>
      <c r="Y855" s="716">
        <v>1</v>
      </c>
      <c r="Z855" s="1706">
        <v>9</v>
      </c>
      <c r="AB855" s="3">
        <v>1</v>
      </c>
      <c r="AE855" s="2461"/>
      <c r="AF855" s="68"/>
    </row>
    <row r="856" spans="1:32" ht="31" x14ac:dyDescent="0.35">
      <c r="A856" s="1880"/>
      <c r="B856" s="1059"/>
      <c r="C856" s="1059"/>
      <c r="D856" s="2471"/>
      <c r="E856" s="1935" t="s">
        <v>10543</v>
      </c>
      <c r="F856" s="1834">
        <v>4</v>
      </c>
      <c r="G856" s="1834">
        <v>5</v>
      </c>
      <c r="H856" s="179" t="s">
        <v>191</v>
      </c>
      <c r="I856" s="702"/>
      <c r="J856" s="702"/>
      <c r="K856" s="703"/>
      <c r="L856" s="1919">
        <v>0.02</v>
      </c>
      <c r="M856" s="1387"/>
      <c r="N856" s="717"/>
      <c r="O856" s="1379"/>
      <c r="P856" s="1372"/>
      <c r="Q856" s="1365"/>
      <c r="R856" s="1354"/>
      <c r="S856" s="701"/>
      <c r="T856" s="1931"/>
      <c r="U856" s="705"/>
      <c r="V856" s="705"/>
      <c r="W856" s="2682"/>
      <c r="X856" s="2437"/>
      <c r="Y856" s="2682"/>
      <c r="Z856" s="2683"/>
      <c r="AE856" s="2461"/>
      <c r="AF856" s="68"/>
    </row>
    <row r="857" spans="1:32" x14ac:dyDescent="0.35">
      <c r="A857" s="1886"/>
      <c r="B857" s="1059" t="s">
        <v>571</v>
      </c>
      <c r="C857" s="1059"/>
      <c r="D857" s="754"/>
      <c r="E857" s="711" t="s">
        <v>10544</v>
      </c>
      <c r="F857" s="1834">
        <v>4</v>
      </c>
      <c r="G857" s="1834">
        <v>5</v>
      </c>
      <c r="H857" s="179">
        <v>6</v>
      </c>
      <c r="I857" s="708"/>
      <c r="J857" s="708"/>
      <c r="K857" s="709"/>
      <c r="L857" s="709"/>
      <c r="M857" s="1388"/>
      <c r="N857" s="712">
        <f>0.562-0.02</f>
        <v>0.54200000000000004</v>
      </c>
      <c r="O857" s="1378"/>
      <c r="P857" s="1371"/>
      <c r="Q857" s="1363"/>
      <c r="R857" s="1353"/>
      <c r="S857" s="720"/>
      <c r="T857" s="1931"/>
      <c r="U857" s="728"/>
      <c r="V857" s="728"/>
      <c r="W857" s="720"/>
      <c r="X857" s="332"/>
      <c r="Y857" s="725"/>
      <c r="Z857" s="2664"/>
      <c r="AE857" s="2461"/>
      <c r="AF857" s="68"/>
    </row>
    <row r="858" spans="1:32" x14ac:dyDescent="0.35">
      <c r="A858" s="1886"/>
      <c r="B858" s="1059" t="s">
        <v>571</v>
      </c>
      <c r="C858" s="1059"/>
      <c r="D858" s="754"/>
      <c r="E858" s="711" t="s">
        <v>10545</v>
      </c>
      <c r="F858" s="1834">
        <v>4</v>
      </c>
      <c r="G858" s="1834">
        <v>5</v>
      </c>
      <c r="H858" s="179">
        <v>6</v>
      </c>
      <c r="I858" s="708"/>
      <c r="J858" s="708"/>
      <c r="K858" s="709"/>
      <c r="L858" s="709"/>
      <c r="M858" s="1388"/>
      <c r="N858" s="709">
        <f>2.044-0.562</f>
        <v>1.482</v>
      </c>
      <c r="O858" s="1378"/>
      <c r="P858" s="1371"/>
      <c r="Q858" s="1366"/>
      <c r="R858" s="1353"/>
      <c r="S858" s="720"/>
      <c r="T858" s="1931"/>
      <c r="U858" s="728"/>
      <c r="V858" s="728"/>
      <c r="W858" s="720"/>
      <c r="X858" s="332"/>
      <c r="Y858" s="725"/>
      <c r="Z858" s="2664"/>
      <c r="AE858" s="2461"/>
      <c r="AF858" s="68"/>
    </row>
    <row r="859" spans="1:32" ht="45" x14ac:dyDescent="0.35">
      <c r="A859" s="1880">
        <v>379</v>
      </c>
      <c r="B859" s="1058" t="s">
        <v>571</v>
      </c>
      <c r="C859" s="2083" t="s">
        <v>1656</v>
      </c>
      <c r="D859" s="2471" t="s">
        <v>5669</v>
      </c>
      <c r="E859" s="739" t="s">
        <v>10114</v>
      </c>
      <c r="F859" s="1834" t="s">
        <v>664</v>
      </c>
      <c r="G859" s="1953">
        <v>5</v>
      </c>
      <c r="H859" s="1620">
        <v>6</v>
      </c>
      <c r="I859" s="702">
        <f t="shared" ref="I859:I864" si="48">J859+K859+L859</f>
        <v>0.1</v>
      </c>
      <c r="J859" s="702">
        <f t="shared" ref="J859:J864" si="49">SUM(M859:R859)</f>
        <v>0.1</v>
      </c>
      <c r="K859" s="703"/>
      <c r="L859" s="703"/>
      <c r="M859" s="1387"/>
      <c r="N859" s="703"/>
      <c r="O859" s="1379"/>
      <c r="P859" s="1372"/>
      <c r="Q859" s="1364"/>
      <c r="R859" s="929">
        <v>0.1</v>
      </c>
      <c r="S859" s="730"/>
      <c r="T859" s="1931"/>
      <c r="U859" s="732"/>
      <c r="V859" s="732"/>
      <c r="W859" s="730"/>
      <c r="X859" s="731"/>
      <c r="Y859" s="730"/>
      <c r="Z859" s="1708"/>
      <c r="AB859" s="3">
        <v>1</v>
      </c>
      <c r="AE859" s="2461"/>
      <c r="AF859" s="68"/>
    </row>
    <row r="860" spans="1:32" ht="60" x14ac:dyDescent="0.35">
      <c r="A860" s="1880">
        <v>380</v>
      </c>
      <c r="B860" s="1146" t="s">
        <v>571</v>
      </c>
      <c r="C860" s="1146"/>
      <c r="D860" s="2471" t="s">
        <v>5670</v>
      </c>
      <c r="E860" s="715" t="s">
        <v>7335</v>
      </c>
      <c r="F860" s="1834" t="s">
        <v>827</v>
      </c>
      <c r="G860" s="1834">
        <v>5</v>
      </c>
      <c r="H860" s="179">
        <v>6</v>
      </c>
      <c r="I860" s="702">
        <f t="shared" si="48"/>
        <v>0.55000000000000004</v>
      </c>
      <c r="J860" s="702">
        <f t="shared" si="49"/>
        <v>0.55000000000000004</v>
      </c>
      <c r="K860" s="703"/>
      <c r="L860" s="703"/>
      <c r="M860" s="1387"/>
      <c r="N860" s="717">
        <v>0.55000000000000004</v>
      </c>
      <c r="O860" s="1379"/>
      <c r="P860" s="1372"/>
      <c r="Q860" s="1364"/>
      <c r="R860" s="1354"/>
      <c r="S860" s="701"/>
      <c r="T860" s="1931"/>
      <c r="U860" s="705"/>
      <c r="V860" s="705"/>
      <c r="W860" s="716">
        <v>1</v>
      </c>
      <c r="X860" s="333">
        <v>16.399999999999999</v>
      </c>
      <c r="Y860" s="716"/>
      <c r="Z860" s="333"/>
      <c r="AB860" s="3">
        <v>1</v>
      </c>
      <c r="AE860" s="2461"/>
      <c r="AF860" s="68"/>
    </row>
    <row r="861" spans="1:32" ht="60" x14ac:dyDescent="0.35">
      <c r="A861" s="1880">
        <v>381</v>
      </c>
      <c r="B861" s="1146" t="s">
        <v>571</v>
      </c>
      <c r="C861" s="1146"/>
      <c r="D861" s="2471" t="s">
        <v>5671</v>
      </c>
      <c r="E861" s="715" t="s">
        <v>9323</v>
      </c>
      <c r="F861" s="1834">
        <v>4</v>
      </c>
      <c r="G861" s="1834">
        <v>5</v>
      </c>
      <c r="H861" s="179">
        <v>6</v>
      </c>
      <c r="I861" s="702">
        <f t="shared" si="48"/>
        <v>1</v>
      </c>
      <c r="J861" s="702">
        <f t="shared" si="49"/>
        <v>1</v>
      </c>
      <c r="K861" s="703"/>
      <c r="L861" s="703"/>
      <c r="M861" s="1387"/>
      <c r="N861" s="717">
        <v>1</v>
      </c>
      <c r="O861" s="1379"/>
      <c r="P861" s="1372"/>
      <c r="Q861" s="1364"/>
      <c r="R861" s="1354"/>
      <c r="S861" s="701"/>
      <c r="T861" s="1931"/>
      <c r="U861" s="705"/>
      <c r="V861" s="705"/>
      <c r="W861" s="716">
        <v>2</v>
      </c>
      <c r="X861" s="333">
        <v>30.15</v>
      </c>
      <c r="Y861" s="716"/>
      <c r="Z861" s="333"/>
      <c r="AB861" s="3">
        <v>1</v>
      </c>
      <c r="AE861" s="2461"/>
      <c r="AF861" s="68"/>
    </row>
    <row r="862" spans="1:32" ht="75" x14ac:dyDescent="0.35">
      <c r="A862" s="1880">
        <v>382</v>
      </c>
      <c r="B862" s="1059" t="s">
        <v>571</v>
      </c>
      <c r="C862" s="1059"/>
      <c r="D862" s="2471" t="s">
        <v>5672</v>
      </c>
      <c r="E862" s="715" t="s">
        <v>10115</v>
      </c>
      <c r="F862" s="1834">
        <v>5</v>
      </c>
      <c r="G862" s="1834">
        <v>5</v>
      </c>
      <c r="H862" s="179">
        <v>6</v>
      </c>
      <c r="I862" s="702">
        <f t="shared" si="48"/>
        <v>0.88</v>
      </c>
      <c r="J862" s="702">
        <f t="shared" si="49"/>
        <v>0.88</v>
      </c>
      <c r="K862" s="703"/>
      <c r="L862" s="703"/>
      <c r="M862" s="1387"/>
      <c r="N862" s="717">
        <v>0.88</v>
      </c>
      <c r="O862" s="1379"/>
      <c r="P862" s="1372"/>
      <c r="Q862" s="1364"/>
      <c r="R862" s="1354"/>
      <c r="S862" s="701"/>
      <c r="T862" s="1931"/>
      <c r="U862" s="705"/>
      <c r="V862" s="705"/>
      <c r="W862" s="716"/>
      <c r="X862" s="333"/>
      <c r="Y862" s="716"/>
      <c r="Z862" s="1706"/>
      <c r="AB862" s="3">
        <v>1</v>
      </c>
      <c r="AE862" s="2461"/>
      <c r="AF862" s="68"/>
    </row>
    <row r="863" spans="1:32" ht="30" x14ac:dyDescent="0.35">
      <c r="A863" s="1880">
        <v>383</v>
      </c>
      <c r="B863" s="1148" t="s">
        <v>571</v>
      </c>
      <c r="C863" s="2083" t="s">
        <v>1656</v>
      </c>
      <c r="D863" s="2471" t="s">
        <v>5673</v>
      </c>
      <c r="E863" s="739" t="s">
        <v>9277</v>
      </c>
      <c r="F863" s="1953" t="s">
        <v>827</v>
      </c>
      <c r="G863" s="1953">
        <v>5</v>
      </c>
      <c r="H863" s="1620">
        <v>6</v>
      </c>
      <c r="I863" s="702">
        <f t="shared" si="48"/>
        <v>0.95</v>
      </c>
      <c r="J863" s="702">
        <f t="shared" si="49"/>
        <v>0.95</v>
      </c>
      <c r="K863" s="703"/>
      <c r="L863" s="703"/>
      <c r="M863" s="1387"/>
      <c r="N863" s="703"/>
      <c r="O863" s="1379"/>
      <c r="P863" s="1372"/>
      <c r="Q863" s="1364"/>
      <c r="R863" s="929">
        <v>0.95</v>
      </c>
      <c r="S863" s="730"/>
      <c r="T863" s="1931"/>
      <c r="U863" s="732"/>
      <c r="V863" s="732"/>
      <c r="W863" s="730"/>
      <c r="X863" s="731"/>
      <c r="Y863" s="730"/>
      <c r="Z863" s="731"/>
      <c r="AB863" s="3">
        <v>1</v>
      </c>
      <c r="AE863" s="2461"/>
      <c r="AF863" s="68"/>
    </row>
    <row r="864" spans="1:32" ht="30" x14ac:dyDescent="0.35">
      <c r="A864" s="1880">
        <v>384</v>
      </c>
      <c r="B864" s="1059" t="s">
        <v>571</v>
      </c>
      <c r="C864" s="1059"/>
      <c r="D864" s="2471" t="s">
        <v>5674</v>
      </c>
      <c r="E864" s="715" t="s">
        <v>10850</v>
      </c>
      <c r="F864" s="1834"/>
      <c r="G864" s="1834" t="s">
        <v>191</v>
      </c>
      <c r="H864" s="179" t="s">
        <v>191</v>
      </c>
      <c r="I864" s="702">
        <f t="shared" si="48"/>
        <v>4.7</v>
      </c>
      <c r="J864" s="702">
        <f t="shared" si="49"/>
        <v>4.7</v>
      </c>
      <c r="K864" s="703"/>
      <c r="L864" s="703"/>
      <c r="M864" s="1387"/>
      <c r="N864" s="717">
        <f>SUM(N865:N867)</f>
        <v>1.875</v>
      </c>
      <c r="O864" s="1379"/>
      <c r="P864" s="1372"/>
      <c r="Q864" s="1364">
        <f>SUM(Q865:Q867)</f>
        <v>2.8250000000000002</v>
      </c>
      <c r="R864" s="1355"/>
      <c r="S864" s="701"/>
      <c r="T864" s="1931"/>
      <c r="U864" s="705"/>
      <c r="V864" s="705"/>
      <c r="W864" s="716">
        <v>1</v>
      </c>
      <c r="X864" s="333">
        <v>5.7</v>
      </c>
      <c r="Y864" s="716"/>
      <c r="Z864" s="1706"/>
      <c r="AB864" s="3">
        <v>1</v>
      </c>
      <c r="AE864" s="2461"/>
      <c r="AF864" s="68"/>
    </row>
    <row r="865" spans="1:32" x14ac:dyDescent="0.35">
      <c r="A865" s="1880"/>
      <c r="B865" s="1059"/>
      <c r="C865" s="1059"/>
      <c r="D865" s="755"/>
      <c r="E865" s="711" t="s">
        <v>2020</v>
      </c>
      <c r="F865" s="1834" t="s">
        <v>827</v>
      </c>
      <c r="G865" s="1834">
        <v>5</v>
      </c>
      <c r="H865" s="179">
        <v>6</v>
      </c>
      <c r="I865" s="1918"/>
      <c r="J865" s="1918"/>
      <c r="K865" s="1919"/>
      <c r="L865" s="1919"/>
      <c r="M865" s="1920"/>
      <c r="N865" s="2076">
        <v>1.5</v>
      </c>
      <c r="O865" s="1949"/>
      <c r="P865" s="1950"/>
      <c r="Q865" s="1951"/>
      <c r="R865" s="1968"/>
      <c r="S865" s="701"/>
      <c r="T865" s="1931"/>
      <c r="U865" s="705"/>
      <c r="V865" s="705"/>
      <c r="W865" s="716"/>
      <c r="X865" s="333"/>
      <c r="Y865" s="716"/>
      <c r="Z865" s="1706"/>
      <c r="AE865" s="2461"/>
      <c r="AF865" s="68"/>
    </row>
    <row r="866" spans="1:32" x14ac:dyDescent="0.35">
      <c r="A866" s="1880"/>
      <c r="B866" s="1059"/>
      <c r="C866" s="1059"/>
      <c r="D866" s="755"/>
      <c r="E866" s="1394" t="s">
        <v>565</v>
      </c>
      <c r="F866" s="1834" t="s">
        <v>827</v>
      </c>
      <c r="G866" s="1834">
        <v>5</v>
      </c>
      <c r="H866" s="179">
        <v>6</v>
      </c>
      <c r="I866" s="1918"/>
      <c r="J866" s="1918"/>
      <c r="K866" s="1919"/>
      <c r="L866" s="1919"/>
      <c r="M866" s="1920"/>
      <c r="N866" s="2076"/>
      <c r="O866" s="1949"/>
      <c r="P866" s="1950"/>
      <c r="Q866" s="1951">
        <f>4.325-1.5</f>
        <v>2.8250000000000002</v>
      </c>
      <c r="R866" s="1968"/>
      <c r="S866" s="701"/>
      <c r="T866" s="1931"/>
      <c r="U866" s="705"/>
      <c r="V866" s="705"/>
      <c r="W866" s="716"/>
      <c r="X866" s="333"/>
      <c r="Y866" s="716"/>
      <c r="Z866" s="1706"/>
      <c r="AE866" s="2461"/>
      <c r="AF866" s="68"/>
    </row>
    <row r="867" spans="1:32" x14ac:dyDescent="0.35">
      <c r="A867" s="1880"/>
      <c r="B867" s="1059"/>
      <c r="C867" s="1059"/>
      <c r="D867" s="755"/>
      <c r="E867" s="711" t="s">
        <v>566</v>
      </c>
      <c r="F867" s="1834" t="s">
        <v>827</v>
      </c>
      <c r="G867" s="1834">
        <v>5</v>
      </c>
      <c r="H867" s="179">
        <v>6</v>
      </c>
      <c r="I867" s="1918"/>
      <c r="J867" s="1918"/>
      <c r="K867" s="1919"/>
      <c r="L867" s="1919"/>
      <c r="M867" s="1920"/>
      <c r="N867" s="2076">
        <f>4.7-4.325</f>
        <v>0.375</v>
      </c>
      <c r="O867" s="1949"/>
      <c r="P867" s="1950"/>
      <c r="Q867" s="1951"/>
      <c r="R867" s="1968"/>
      <c r="S867" s="701"/>
      <c r="T867" s="1931"/>
      <c r="U867" s="705"/>
      <c r="V867" s="705"/>
      <c r="W867" s="716"/>
      <c r="X867" s="333"/>
      <c r="Y867" s="716"/>
      <c r="Z867" s="1706"/>
      <c r="AE867" s="2461"/>
      <c r="AF867" s="68"/>
    </row>
    <row r="868" spans="1:32" ht="45" x14ac:dyDescent="0.35">
      <c r="A868" s="1880">
        <v>358</v>
      </c>
      <c r="B868" s="1059" t="s">
        <v>571</v>
      </c>
      <c r="C868" s="1059"/>
      <c r="D868" s="2471" t="s">
        <v>5675</v>
      </c>
      <c r="E868" s="733" t="s">
        <v>10116</v>
      </c>
      <c r="F868" s="1834">
        <v>4</v>
      </c>
      <c r="G868" s="1834">
        <v>4</v>
      </c>
      <c r="H868" s="179">
        <v>6</v>
      </c>
      <c r="I868" s="702">
        <f>J868+K868+L868</f>
        <v>11.148999999999999</v>
      </c>
      <c r="J868" s="702">
        <f>SUM(M868:R868)</f>
        <v>11.148999999999999</v>
      </c>
      <c r="K868" s="703"/>
      <c r="L868" s="703"/>
      <c r="M868" s="1387"/>
      <c r="N868" s="717">
        <v>11.148999999999999</v>
      </c>
      <c r="O868" s="1380"/>
      <c r="P868" s="1372"/>
      <c r="Q868" s="1364"/>
      <c r="R868" s="1354"/>
      <c r="S868" s="716">
        <v>1</v>
      </c>
      <c r="T868" s="1931">
        <v>99.1</v>
      </c>
      <c r="U868" s="705"/>
      <c r="V868" s="705"/>
      <c r="W868" s="716">
        <v>18</v>
      </c>
      <c r="X868" s="333">
        <v>232.26</v>
      </c>
      <c r="Y868" s="716">
        <v>5</v>
      </c>
      <c r="Z868" s="1706">
        <v>54</v>
      </c>
      <c r="AB868" s="3">
        <v>1</v>
      </c>
      <c r="AE868" s="2461"/>
      <c r="AF868" s="68"/>
    </row>
    <row r="869" spans="1:32" ht="60" x14ac:dyDescent="0.35">
      <c r="A869" s="1880">
        <v>386</v>
      </c>
      <c r="B869" s="1059" t="s">
        <v>571</v>
      </c>
      <c r="C869" s="1059"/>
      <c r="D869" s="2471" t="s">
        <v>5676</v>
      </c>
      <c r="E869" s="715" t="s">
        <v>9428</v>
      </c>
      <c r="F869" s="1834"/>
      <c r="G869" s="1834" t="s">
        <v>191</v>
      </c>
      <c r="H869" s="179" t="s">
        <v>191</v>
      </c>
      <c r="I869" s="702">
        <f>J869+K869+L869</f>
        <v>6.4560000000000004</v>
      </c>
      <c r="J869" s="702">
        <f>SUM(M869:R869)</f>
        <v>6.4560000000000004</v>
      </c>
      <c r="K869" s="703"/>
      <c r="L869" s="717"/>
      <c r="M869" s="1387"/>
      <c r="N869" s="717">
        <f>SUM(N870:N872)</f>
        <v>1.54</v>
      </c>
      <c r="O869" s="1380">
        <f>SUM(O870:O872)</f>
        <v>3</v>
      </c>
      <c r="P869" s="1373"/>
      <c r="Q869" s="1365">
        <f>SUM(Q870:Q872)</f>
        <v>1.9160000000000004</v>
      </c>
      <c r="R869" s="1355"/>
      <c r="S869" s="701"/>
      <c r="T869" s="1931"/>
      <c r="U869" s="705"/>
      <c r="V869" s="705"/>
      <c r="W869" s="716">
        <v>4</v>
      </c>
      <c r="X869" s="333">
        <v>57.7</v>
      </c>
      <c r="Y869" s="716">
        <v>1</v>
      </c>
      <c r="Z869" s="1706">
        <v>15</v>
      </c>
      <c r="AB869" s="3">
        <v>1</v>
      </c>
      <c r="AE869" s="2461"/>
      <c r="AF869" s="68"/>
    </row>
    <row r="870" spans="1:32" x14ac:dyDescent="0.35">
      <c r="A870" s="1886"/>
      <c r="B870" s="1146" t="s">
        <v>571</v>
      </c>
      <c r="C870" s="1146"/>
      <c r="D870" s="754"/>
      <c r="E870" s="714" t="s">
        <v>948</v>
      </c>
      <c r="F870" s="1834">
        <v>5</v>
      </c>
      <c r="G870" s="1834">
        <v>5</v>
      </c>
      <c r="H870" s="179">
        <v>6</v>
      </c>
      <c r="I870" s="708"/>
      <c r="J870" s="708"/>
      <c r="K870" s="709"/>
      <c r="L870" s="709"/>
      <c r="M870" s="1388"/>
      <c r="N870" s="709"/>
      <c r="O870" s="1381">
        <v>3</v>
      </c>
      <c r="P870" s="1371"/>
      <c r="Q870" s="1363"/>
      <c r="R870" s="1353"/>
      <c r="S870" s="720"/>
      <c r="T870" s="1931"/>
      <c r="U870" s="728"/>
      <c r="V870" s="728"/>
      <c r="W870" s="720"/>
      <c r="X870" s="332"/>
      <c r="Y870" s="725"/>
      <c r="Z870" s="332"/>
      <c r="AE870" s="2461"/>
      <c r="AF870" s="68"/>
    </row>
    <row r="871" spans="1:32" x14ac:dyDescent="0.35">
      <c r="A871" s="1886"/>
      <c r="B871" s="1146" t="s">
        <v>571</v>
      </c>
      <c r="C871" s="1146"/>
      <c r="D871" s="754"/>
      <c r="E871" s="1394" t="s">
        <v>3699</v>
      </c>
      <c r="F871" s="1834">
        <v>5</v>
      </c>
      <c r="G871" s="1834">
        <v>5</v>
      </c>
      <c r="H871" s="179">
        <v>6</v>
      </c>
      <c r="I871" s="708"/>
      <c r="J871" s="708"/>
      <c r="K871" s="709"/>
      <c r="L871" s="709"/>
      <c r="M871" s="1388"/>
      <c r="N871" s="709"/>
      <c r="O871" s="1378"/>
      <c r="P871" s="1371"/>
      <c r="Q871" s="1366">
        <f>4.916-3</f>
        <v>1.9160000000000004</v>
      </c>
      <c r="R871" s="1353"/>
      <c r="S871" s="720"/>
      <c r="T871" s="1931"/>
      <c r="U871" s="728"/>
      <c r="V871" s="728"/>
      <c r="W871" s="720"/>
      <c r="X871" s="332"/>
      <c r="Y871" s="725"/>
      <c r="Z871" s="332"/>
      <c r="AE871" s="2461"/>
      <c r="AF871" s="68"/>
    </row>
    <row r="872" spans="1:32" x14ac:dyDescent="0.35">
      <c r="A872" s="1878"/>
      <c r="B872" s="1059" t="s">
        <v>571</v>
      </c>
      <c r="C872" s="1059"/>
      <c r="D872" s="754"/>
      <c r="E872" s="711" t="s">
        <v>3533</v>
      </c>
      <c r="F872" s="1834">
        <v>5</v>
      </c>
      <c r="G872" s="1834">
        <v>5</v>
      </c>
      <c r="H872" s="179">
        <v>6</v>
      </c>
      <c r="I872" s="712"/>
      <c r="J872" s="708"/>
      <c r="K872" s="709"/>
      <c r="L872" s="709"/>
      <c r="M872" s="1388"/>
      <c r="N872" s="712">
        <f>6.456-4.916</f>
        <v>1.54</v>
      </c>
      <c r="O872" s="1378"/>
      <c r="P872" s="1371"/>
      <c r="Q872" s="1363"/>
      <c r="R872" s="1353"/>
      <c r="S872" s="720"/>
      <c r="T872" s="1931"/>
      <c r="U872" s="728"/>
      <c r="V872" s="728"/>
      <c r="W872" s="720"/>
      <c r="X872" s="2519"/>
      <c r="Y872" s="720"/>
      <c r="Z872" s="2673"/>
      <c r="AE872" s="2461"/>
      <c r="AF872" s="68"/>
    </row>
    <row r="873" spans="1:32" ht="90" x14ac:dyDescent="0.35">
      <c r="A873" s="1880">
        <v>387</v>
      </c>
      <c r="B873" s="1148" t="s">
        <v>571</v>
      </c>
      <c r="C873" s="1979" t="s">
        <v>1655</v>
      </c>
      <c r="D873" s="2471" t="s">
        <v>5677</v>
      </c>
      <c r="E873" s="739" t="s">
        <v>10117</v>
      </c>
      <c r="F873" s="1953" t="s">
        <v>664</v>
      </c>
      <c r="G873" s="1953">
        <v>5</v>
      </c>
      <c r="H873" s="1620">
        <v>6</v>
      </c>
      <c r="I873" s="702">
        <f t="shared" ref="I873:I886" si="50">J873+K873+L873</f>
        <v>0.5</v>
      </c>
      <c r="J873" s="702">
        <f t="shared" ref="J873:J886" si="51">SUM(M873:R873)</f>
        <v>0.5</v>
      </c>
      <c r="K873" s="703"/>
      <c r="L873" s="703"/>
      <c r="M873" s="1387"/>
      <c r="N873" s="703"/>
      <c r="O873" s="1379"/>
      <c r="P873" s="1372"/>
      <c r="Q873" s="1364"/>
      <c r="R873" s="1357">
        <v>0.5</v>
      </c>
      <c r="S873" s="730"/>
      <c r="T873" s="1931"/>
      <c r="U873" s="732"/>
      <c r="V873" s="732"/>
      <c r="W873" s="730"/>
      <c r="X873" s="731"/>
      <c r="Y873" s="730"/>
      <c r="Z873" s="731"/>
      <c r="AB873" s="3">
        <v>1</v>
      </c>
      <c r="AE873" s="2461"/>
      <c r="AF873" s="68"/>
    </row>
    <row r="874" spans="1:32" ht="90" x14ac:dyDescent="0.35">
      <c r="A874" s="1880">
        <v>388</v>
      </c>
      <c r="B874" s="1060" t="s">
        <v>571</v>
      </c>
      <c r="C874" s="1979" t="s">
        <v>1655</v>
      </c>
      <c r="D874" s="2471" t="s">
        <v>5678</v>
      </c>
      <c r="E874" s="739" t="s">
        <v>10118</v>
      </c>
      <c r="F874" s="1953" t="s">
        <v>664</v>
      </c>
      <c r="G874" s="1953">
        <v>5</v>
      </c>
      <c r="H874" s="1620">
        <v>6</v>
      </c>
      <c r="I874" s="702">
        <f t="shared" si="50"/>
        <v>0.2</v>
      </c>
      <c r="J874" s="702">
        <f t="shared" si="51"/>
        <v>0.2</v>
      </c>
      <c r="K874" s="703"/>
      <c r="L874" s="703"/>
      <c r="M874" s="1387"/>
      <c r="N874" s="703"/>
      <c r="O874" s="1379"/>
      <c r="P874" s="1372"/>
      <c r="Q874" s="1364"/>
      <c r="R874" s="1357">
        <v>0.2</v>
      </c>
      <c r="S874" s="730"/>
      <c r="T874" s="1931"/>
      <c r="U874" s="732"/>
      <c r="V874" s="732"/>
      <c r="W874" s="730"/>
      <c r="X874" s="731"/>
      <c r="Y874" s="730"/>
      <c r="Z874" s="1708"/>
      <c r="AB874" s="3">
        <v>1</v>
      </c>
      <c r="AE874" s="2461"/>
      <c r="AF874" s="68"/>
    </row>
    <row r="875" spans="1:32" ht="45" x14ac:dyDescent="0.35">
      <c r="A875" s="1880">
        <v>389</v>
      </c>
      <c r="B875" s="1059" t="s">
        <v>571</v>
      </c>
      <c r="C875" s="1059"/>
      <c r="D875" s="2471" t="s">
        <v>5679</v>
      </c>
      <c r="E875" s="715" t="s">
        <v>10119</v>
      </c>
      <c r="F875" s="1834">
        <v>5</v>
      </c>
      <c r="G875" s="1834">
        <v>5</v>
      </c>
      <c r="H875" s="1834">
        <v>6</v>
      </c>
      <c r="I875" s="702">
        <f t="shared" si="50"/>
        <v>3.448</v>
      </c>
      <c r="J875" s="702">
        <f t="shared" si="51"/>
        <v>3.448</v>
      </c>
      <c r="K875" s="703"/>
      <c r="L875" s="703"/>
      <c r="M875" s="1387"/>
      <c r="N875" s="703"/>
      <c r="O875" s="1379"/>
      <c r="P875" s="1372"/>
      <c r="Q875" s="1365">
        <v>3.448</v>
      </c>
      <c r="R875" s="1354"/>
      <c r="S875" s="701"/>
      <c r="T875" s="1931"/>
      <c r="U875" s="705"/>
      <c r="V875" s="705"/>
      <c r="W875" s="716">
        <v>6</v>
      </c>
      <c r="X875" s="333">
        <v>71.400000000000006</v>
      </c>
      <c r="Y875" s="716">
        <v>2</v>
      </c>
      <c r="Z875" s="1706">
        <v>20.2</v>
      </c>
      <c r="AB875" s="3">
        <v>1</v>
      </c>
      <c r="AE875" s="2461"/>
      <c r="AF875" s="68"/>
    </row>
    <row r="876" spans="1:32" ht="75" x14ac:dyDescent="0.35">
      <c r="A876" s="1880">
        <v>390</v>
      </c>
      <c r="B876" s="1060" t="s">
        <v>571</v>
      </c>
      <c r="C876" s="1979" t="s">
        <v>1655</v>
      </c>
      <c r="D876" s="2471" t="s">
        <v>5680</v>
      </c>
      <c r="E876" s="739" t="s">
        <v>10120</v>
      </c>
      <c r="F876" s="1953" t="s">
        <v>664</v>
      </c>
      <c r="G876" s="1953">
        <v>5</v>
      </c>
      <c r="H876" s="1620">
        <v>6</v>
      </c>
      <c r="I876" s="702">
        <f t="shared" si="50"/>
        <v>0.2</v>
      </c>
      <c r="J876" s="702">
        <f t="shared" si="51"/>
        <v>0.2</v>
      </c>
      <c r="K876" s="703"/>
      <c r="L876" s="703"/>
      <c r="M876" s="1387"/>
      <c r="N876" s="703"/>
      <c r="O876" s="1379"/>
      <c r="P876" s="1372"/>
      <c r="Q876" s="1364"/>
      <c r="R876" s="1357">
        <v>0.2</v>
      </c>
      <c r="S876" s="730"/>
      <c r="T876" s="1931"/>
      <c r="U876" s="732"/>
      <c r="V876" s="732"/>
      <c r="W876" s="730"/>
      <c r="X876" s="731"/>
      <c r="Y876" s="730"/>
      <c r="Z876" s="1708"/>
      <c r="AB876" s="3">
        <v>1</v>
      </c>
      <c r="AE876" s="2461"/>
      <c r="AF876" s="68"/>
    </row>
    <row r="877" spans="1:32" ht="60" x14ac:dyDescent="0.35">
      <c r="A877" s="1880">
        <v>391</v>
      </c>
      <c r="B877" s="1146" t="s">
        <v>571</v>
      </c>
      <c r="C877" s="1146"/>
      <c r="D877" s="2471" t="s">
        <v>5681</v>
      </c>
      <c r="E877" s="733" t="s">
        <v>10121</v>
      </c>
      <c r="F877" s="1834" t="s">
        <v>664</v>
      </c>
      <c r="G877" s="1834">
        <v>5</v>
      </c>
      <c r="H877" s="1620">
        <v>6</v>
      </c>
      <c r="I877" s="702">
        <f t="shared" si="50"/>
        <v>0.5</v>
      </c>
      <c r="J877" s="702">
        <f t="shared" si="51"/>
        <v>0.5</v>
      </c>
      <c r="K877" s="703"/>
      <c r="L877" s="703"/>
      <c r="M877" s="1387"/>
      <c r="N877" s="703"/>
      <c r="O877" s="1379"/>
      <c r="P877" s="1372"/>
      <c r="Q877" s="1364"/>
      <c r="R877" s="1355">
        <v>0.5</v>
      </c>
      <c r="S877" s="701"/>
      <c r="T877" s="1931"/>
      <c r="U877" s="705"/>
      <c r="V877" s="705"/>
      <c r="W877" s="716">
        <v>1</v>
      </c>
      <c r="X877" s="333">
        <v>10.199999999999999</v>
      </c>
      <c r="Y877" s="716"/>
      <c r="Z877" s="333"/>
      <c r="AA877" s="3" t="s">
        <v>2878</v>
      </c>
      <c r="AB877" s="3">
        <v>1</v>
      </c>
      <c r="AE877" s="2461"/>
      <c r="AF877" s="68"/>
    </row>
    <row r="878" spans="1:32" ht="60" x14ac:dyDescent="0.35">
      <c r="A878" s="1880">
        <v>392</v>
      </c>
      <c r="B878" s="1146" t="s">
        <v>571</v>
      </c>
      <c r="C878" s="1146"/>
      <c r="D878" s="2471" t="s">
        <v>5682</v>
      </c>
      <c r="E878" s="733" t="s">
        <v>10122</v>
      </c>
      <c r="F878" s="1834" t="s">
        <v>664</v>
      </c>
      <c r="G878" s="1834">
        <v>5</v>
      </c>
      <c r="H878" s="1620">
        <v>6</v>
      </c>
      <c r="I878" s="702">
        <f t="shared" si="50"/>
        <v>0.4</v>
      </c>
      <c r="J878" s="702">
        <f t="shared" si="51"/>
        <v>0.4</v>
      </c>
      <c r="K878" s="703"/>
      <c r="L878" s="703"/>
      <c r="M878" s="1387"/>
      <c r="N878" s="703"/>
      <c r="O878" s="1379"/>
      <c r="P878" s="1372"/>
      <c r="Q878" s="1364"/>
      <c r="R878" s="1355">
        <v>0.4</v>
      </c>
      <c r="S878" s="701"/>
      <c r="T878" s="1931"/>
      <c r="U878" s="705"/>
      <c r="V878" s="705"/>
      <c r="W878" s="716">
        <v>1</v>
      </c>
      <c r="X878" s="333">
        <v>10.199999999999999</v>
      </c>
      <c r="Y878" s="716"/>
      <c r="Z878" s="333"/>
      <c r="AA878" s="3" t="s">
        <v>2878</v>
      </c>
      <c r="AB878" s="3">
        <v>1</v>
      </c>
      <c r="AE878" s="2461"/>
      <c r="AF878" s="68"/>
    </row>
    <row r="879" spans="1:32" ht="60" x14ac:dyDescent="0.4">
      <c r="A879" s="1880">
        <v>393</v>
      </c>
      <c r="B879" s="693" t="s">
        <v>571</v>
      </c>
      <c r="C879" s="1979" t="s">
        <v>1655</v>
      </c>
      <c r="D879" s="2471" t="s">
        <v>5683</v>
      </c>
      <c r="E879" s="2187" t="s">
        <v>10123</v>
      </c>
      <c r="F879" s="92" t="s">
        <v>664</v>
      </c>
      <c r="G879" s="92">
        <v>5</v>
      </c>
      <c r="H879" s="1620">
        <v>6</v>
      </c>
      <c r="I879" s="702">
        <f t="shared" si="50"/>
        <v>1.1000000000000001</v>
      </c>
      <c r="J879" s="702">
        <f t="shared" si="51"/>
        <v>1.1000000000000001</v>
      </c>
      <c r="K879" s="2139"/>
      <c r="L879" s="2139"/>
      <c r="M879" s="2139"/>
      <c r="N879" s="2139"/>
      <c r="O879" s="2139"/>
      <c r="P879" s="2139"/>
      <c r="Q879" s="2139"/>
      <c r="R879" s="2106">
        <v>1.1000000000000001</v>
      </c>
      <c r="S879" s="785"/>
      <c r="T879" s="1931"/>
      <c r="U879" s="785"/>
      <c r="V879" s="785"/>
      <c r="W879" s="785"/>
      <c r="X879" s="785"/>
      <c r="Y879" s="785"/>
      <c r="Z879" s="785"/>
      <c r="AB879" s="3">
        <v>1</v>
      </c>
      <c r="AE879" s="2461"/>
      <c r="AF879" s="68"/>
    </row>
    <row r="880" spans="1:32" ht="60" x14ac:dyDescent="0.35">
      <c r="A880" s="1880">
        <v>394</v>
      </c>
      <c r="B880" s="1147" t="s">
        <v>571</v>
      </c>
      <c r="C880" s="1979" t="s">
        <v>1655</v>
      </c>
      <c r="D880" s="2471" t="s">
        <v>5684</v>
      </c>
      <c r="E880" s="715" t="s">
        <v>10124</v>
      </c>
      <c r="F880" s="1834" t="s">
        <v>664</v>
      </c>
      <c r="G880" s="1834">
        <v>5</v>
      </c>
      <c r="H880" s="1620">
        <v>6</v>
      </c>
      <c r="I880" s="702">
        <f t="shared" si="50"/>
        <v>1</v>
      </c>
      <c r="J880" s="702">
        <f t="shared" si="51"/>
        <v>1</v>
      </c>
      <c r="K880" s="703"/>
      <c r="L880" s="703"/>
      <c r="M880" s="1387"/>
      <c r="N880" s="703"/>
      <c r="O880" s="1379"/>
      <c r="P880" s="1372"/>
      <c r="Q880" s="1364"/>
      <c r="R880" s="925">
        <v>1</v>
      </c>
      <c r="S880" s="730"/>
      <c r="T880" s="1931"/>
      <c r="U880" s="732"/>
      <c r="V880" s="732"/>
      <c r="W880" s="730"/>
      <c r="X880" s="740"/>
      <c r="Y880" s="741"/>
      <c r="Z880" s="740"/>
      <c r="AB880" s="3">
        <v>1</v>
      </c>
      <c r="AE880" s="2461"/>
      <c r="AF880" s="68"/>
    </row>
    <row r="881" spans="1:32" ht="90" x14ac:dyDescent="0.35">
      <c r="A881" s="1880">
        <v>395</v>
      </c>
      <c r="B881" s="1147" t="s">
        <v>571</v>
      </c>
      <c r="C881" s="1979" t="s">
        <v>1655</v>
      </c>
      <c r="D881" s="2471" t="s">
        <v>5685</v>
      </c>
      <c r="E881" s="715" t="s">
        <v>10125</v>
      </c>
      <c r="F881" s="1834" t="s">
        <v>664</v>
      </c>
      <c r="G881" s="1834">
        <v>5</v>
      </c>
      <c r="H881" s="1620">
        <v>6</v>
      </c>
      <c r="I881" s="702">
        <f t="shared" si="50"/>
        <v>1</v>
      </c>
      <c r="J881" s="702">
        <f t="shared" si="51"/>
        <v>1</v>
      </c>
      <c r="K881" s="703"/>
      <c r="L881" s="703"/>
      <c r="M881" s="1387"/>
      <c r="N881" s="703"/>
      <c r="O881" s="1379"/>
      <c r="P881" s="1372"/>
      <c r="Q881" s="1364"/>
      <c r="R881" s="925">
        <v>1</v>
      </c>
      <c r="S881" s="730"/>
      <c r="T881" s="1931"/>
      <c r="U881" s="732"/>
      <c r="V881" s="732"/>
      <c r="W881" s="730"/>
      <c r="X881" s="731"/>
      <c r="Y881" s="730"/>
      <c r="Z881" s="731"/>
      <c r="AB881" s="3">
        <v>1</v>
      </c>
      <c r="AE881" s="2461"/>
      <c r="AF881" s="68"/>
    </row>
    <row r="882" spans="1:32" ht="60" x14ac:dyDescent="0.35">
      <c r="A882" s="1880">
        <v>396</v>
      </c>
      <c r="B882" s="1147" t="s">
        <v>571</v>
      </c>
      <c r="C882" s="1979" t="s">
        <v>1655</v>
      </c>
      <c r="D882" s="2471" t="s">
        <v>5686</v>
      </c>
      <c r="E882" s="715" t="s">
        <v>10126</v>
      </c>
      <c r="F882" s="1834" t="s">
        <v>664</v>
      </c>
      <c r="G882" s="1834">
        <v>5</v>
      </c>
      <c r="H882" s="1620">
        <v>6</v>
      </c>
      <c r="I882" s="702">
        <f t="shared" si="50"/>
        <v>1</v>
      </c>
      <c r="J882" s="702">
        <f t="shared" si="51"/>
        <v>1</v>
      </c>
      <c r="K882" s="703"/>
      <c r="L882" s="703"/>
      <c r="M882" s="1387"/>
      <c r="N882" s="703"/>
      <c r="O882" s="1379"/>
      <c r="P882" s="1372"/>
      <c r="Q882" s="1364"/>
      <c r="R882" s="925">
        <v>1</v>
      </c>
      <c r="S882" s="701"/>
      <c r="T882" s="1931"/>
      <c r="U882" s="705"/>
      <c r="V882" s="705"/>
      <c r="W882" s="701"/>
      <c r="X882" s="740"/>
      <c r="Y882" s="741"/>
      <c r="Z882" s="740"/>
      <c r="AB882" s="3">
        <v>1</v>
      </c>
      <c r="AE882" s="2461"/>
      <c r="AF882" s="68"/>
    </row>
    <row r="883" spans="1:32" ht="90" x14ac:dyDescent="0.35">
      <c r="A883" s="1880">
        <v>397</v>
      </c>
      <c r="B883" s="1147" t="s">
        <v>571</v>
      </c>
      <c r="C883" s="1979" t="s">
        <v>1655</v>
      </c>
      <c r="D883" s="2471" t="s">
        <v>5687</v>
      </c>
      <c r="E883" s="739" t="s">
        <v>10127</v>
      </c>
      <c r="F883" s="1834" t="s">
        <v>664</v>
      </c>
      <c r="G883" s="1834">
        <v>5</v>
      </c>
      <c r="H883" s="1620">
        <v>6</v>
      </c>
      <c r="I883" s="702">
        <f t="shared" si="50"/>
        <v>1.1000000000000001</v>
      </c>
      <c r="J883" s="702">
        <f t="shared" si="51"/>
        <v>1.1000000000000001</v>
      </c>
      <c r="K883" s="703"/>
      <c r="L883" s="703"/>
      <c r="M883" s="1387"/>
      <c r="N883" s="703"/>
      <c r="O883" s="1379"/>
      <c r="P883" s="1372"/>
      <c r="Q883" s="1364"/>
      <c r="R883" s="1357">
        <v>1.1000000000000001</v>
      </c>
      <c r="S883" s="730"/>
      <c r="T883" s="1931"/>
      <c r="U883" s="732"/>
      <c r="V883" s="732"/>
      <c r="W883" s="730"/>
      <c r="X883" s="731"/>
      <c r="Y883" s="730"/>
      <c r="Z883" s="731"/>
      <c r="AB883" s="3">
        <v>1</v>
      </c>
      <c r="AE883" s="2461"/>
      <c r="AF883" s="68"/>
    </row>
    <row r="884" spans="1:32" ht="60" x14ac:dyDescent="0.35">
      <c r="A884" s="1880">
        <v>398</v>
      </c>
      <c r="B884" s="1148" t="s">
        <v>571</v>
      </c>
      <c r="C884" s="1979" t="s">
        <v>1655</v>
      </c>
      <c r="D884" s="2471" t="s">
        <v>5688</v>
      </c>
      <c r="E884" s="739" t="s">
        <v>10128</v>
      </c>
      <c r="F884" s="1953" t="s">
        <v>664</v>
      </c>
      <c r="G884" s="1953">
        <v>5</v>
      </c>
      <c r="H884" s="1620">
        <v>6</v>
      </c>
      <c r="I884" s="702">
        <f t="shared" si="50"/>
        <v>1</v>
      </c>
      <c r="J884" s="702">
        <f t="shared" si="51"/>
        <v>1</v>
      </c>
      <c r="K884" s="703"/>
      <c r="L884" s="703"/>
      <c r="M884" s="1387"/>
      <c r="N884" s="703"/>
      <c r="O884" s="1379"/>
      <c r="P884" s="1372"/>
      <c r="Q884" s="1364"/>
      <c r="R884" s="1357">
        <v>1</v>
      </c>
      <c r="S884" s="730"/>
      <c r="T884" s="1931"/>
      <c r="U884" s="732"/>
      <c r="V884" s="732"/>
      <c r="W884" s="730"/>
      <c r="X884" s="731"/>
      <c r="Y884" s="730"/>
      <c r="Z884" s="731"/>
      <c r="AB884" s="3">
        <v>1</v>
      </c>
      <c r="AE884" s="2461"/>
      <c r="AF884" s="68"/>
    </row>
    <row r="885" spans="1:32" ht="60" x14ac:dyDescent="0.35">
      <c r="A885" s="1880">
        <v>399</v>
      </c>
      <c r="B885" s="2083" t="s">
        <v>571</v>
      </c>
      <c r="C885" s="358" t="s">
        <v>1655</v>
      </c>
      <c r="D885" s="2471" t="s">
        <v>5689</v>
      </c>
      <c r="E885" s="2113" t="s">
        <v>10129</v>
      </c>
      <c r="F885" s="2210" t="s">
        <v>664</v>
      </c>
      <c r="G885" s="92">
        <v>5</v>
      </c>
      <c r="H885" s="1620">
        <v>6</v>
      </c>
      <c r="I885" s="297">
        <f>J885+K885+L885</f>
        <v>0.2</v>
      </c>
      <c r="J885" s="297">
        <f>SUM(M885:R885)</f>
        <v>0.2</v>
      </c>
      <c r="K885" s="2210"/>
      <c r="L885" s="2210"/>
      <c r="M885" s="527"/>
      <c r="N885" s="580"/>
      <c r="O885" s="2215"/>
      <c r="P885" s="527"/>
      <c r="Q885" s="913"/>
      <c r="R885" s="906">
        <v>0.2</v>
      </c>
      <c r="S885" s="92"/>
      <c r="T885" s="1931"/>
      <c r="U885" s="92"/>
      <c r="V885" s="92"/>
      <c r="W885" s="92"/>
      <c r="X885" s="92"/>
      <c r="Y885" s="92"/>
      <c r="Z885" s="70"/>
      <c r="AB885" s="3">
        <v>1</v>
      </c>
      <c r="AE885" s="2461"/>
      <c r="AF885" s="68"/>
    </row>
    <row r="886" spans="1:32" ht="45" x14ac:dyDescent="0.35">
      <c r="A886" s="1880">
        <v>400</v>
      </c>
      <c r="B886" s="1146" t="s">
        <v>571</v>
      </c>
      <c r="C886" s="1146"/>
      <c r="D886" s="2471" t="s">
        <v>5690</v>
      </c>
      <c r="E886" s="733" t="s">
        <v>10130</v>
      </c>
      <c r="F886" s="1834"/>
      <c r="G886" s="1834" t="s">
        <v>191</v>
      </c>
      <c r="H886" s="1943" t="s">
        <v>191</v>
      </c>
      <c r="I886" s="702">
        <f t="shared" si="50"/>
        <v>1.5</v>
      </c>
      <c r="J886" s="702">
        <f t="shared" si="51"/>
        <v>1.5</v>
      </c>
      <c r="K886" s="703"/>
      <c r="L886" s="703"/>
      <c r="M886" s="1387"/>
      <c r="N886" s="703"/>
      <c r="O886" s="1379"/>
      <c r="P886" s="1372"/>
      <c r="Q886" s="1365">
        <f>SUM(Q887:Q888)</f>
        <v>1.155</v>
      </c>
      <c r="R886" s="1355">
        <f>SUM(R887:R888)</f>
        <v>0.34499999999999997</v>
      </c>
      <c r="S886" s="701"/>
      <c r="T886" s="1931"/>
      <c r="U886" s="705"/>
      <c r="V886" s="705"/>
      <c r="W886" s="701">
        <v>1</v>
      </c>
      <c r="X886" s="333">
        <v>10.1</v>
      </c>
      <c r="Y886" s="716">
        <v>1</v>
      </c>
      <c r="Z886" s="333">
        <v>10.1</v>
      </c>
      <c r="AB886" s="3">
        <v>1</v>
      </c>
      <c r="AE886" s="2461"/>
      <c r="AF886" s="68"/>
    </row>
    <row r="887" spans="1:32" x14ac:dyDescent="0.35">
      <c r="A887" s="1954"/>
      <c r="B887" s="1146" t="s">
        <v>571</v>
      </c>
      <c r="C887" s="1146"/>
      <c r="D887" s="758"/>
      <c r="E887" s="1395" t="s">
        <v>2556</v>
      </c>
      <c r="F887" s="1834">
        <v>5</v>
      </c>
      <c r="G887" s="1834">
        <v>5</v>
      </c>
      <c r="H887" s="1834">
        <v>6</v>
      </c>
      <c r="I887" s="726"/>
      <c r="J887" s="726"/>
      <c r="K887" s="721"/>
      <c r="L887" s="721"/>
      <c r="M887" s="1388"/>
      <c r="N887" s="721"/>
      <c r="O887" s="1378"/>
      <c r="P887" s="1371"/>
      <c r="Q887" s="1366">
        <v>1.155</v>
      </c>
      <c r="R887" s="1353"/>
      <c r="S887" s="720"/>
      <c r="T887" s="1931"/>
      <c r="U887" s="728"/>
      <c r="V887" s="728"/>
      <c r="W887" s="720"/>
      <c r="X887" s="332"/>
      <c r="Y887" s="725"/>
      <c r="Z887" s="332"/>
      <c r="AE887" s="2461"/>
      <c r="AF887" s="68"/>
    </row>
    <row r="888" spans="1:32" x14ac:dyDescent="0.35">
      <c r="A888" s="1954"/>
      <c r="B888" s="1146" t="s">
        <v>571</v>
      </c>
      <c r="C888" s="1146"/>
      <c r="D888" s="758"/>
      <c r="E888" s="1392" t="s">
        <v>521</v>
      </c>
      <c r="F888" s="1834" t="s">
        <v>827</v>
      </c>
      <c r="G888" s="1834">
        <v>5</v>
      </c>
      <c r="H888" s="1620">
        <v>6</v>
      </c>
      <c r="I888" s="726"/>
      <c r="J888" s="726"/>
      <c r="K888" s="721"/>
      <c r="L888" s="721"/>
      <c r="M888" s="1388"/>
      <c r="N888" s="721"/>
      <c r="O888" s="1378"/>
      <c r="P888" s="1371"/>
      <c r="Q888" s="1366"/>
      <c r="R888" s="1353">
        <v>0.34499999999999997</v>
      </c>
      <c r="S888" s="720"/>
      <c r="T888" s="1931"/>
      <c r="U888" s="728"/>
      <c r="V888" s="728"/>
      <c r="W888" s="720"/>
      <c r="X888" s="332"/>
      <c r="Y888" s="725"/>
      <c r="Z888" s="332"/>
      <c r="AE888" s="2461"/>
      <c r="AF888" s="68"/>
    </row>
    <row r="889" spans="1:32" ht="75" x14ac:dyDescent="0.35">
      <c r="A889" s="1954">
        <v>401</v>
      </c>
      <c r="B889" s="1148" t="s">
        <v>571</v>
      </c>
      <c r="C889" s="1979" t="s">
        <v>1655</v>
      </c>
      <c r="D889" s="2471" t="s">
        <v>5691</v>
      </c>
      <c r="E889" s="715" t="s">
        <v>10131</v>
      </c>
      <c r="F889" s="1943" t="s">
        <v>664</v>
      </c>
      <c r="G889" s="1834">
        <v>5</v>
      </c>
      <c r="H889" s="1620">
        <v>6</v>
      </c>
      <c r="I889" s="702">
        <f t="shared" ref="I889:I903" si="52">J889+K889+L889</f>
        <v>0.6</v>
      </c>
      <c r="J889" s="702">
        <f t="shared" ref="J889:J903" si="53">SUM(M889:R889)</f>
        <v>0.6</v>
      </c>
      <c r="K889" s="703"/>
      <c r="L889" s="703"/>
      <c r="M889" s="1384"/>
      <c r="N889" s="702"/>
      <c r="O889" s="1376"/>
      <c r="P889" s="1369"/>
      <c r="Q889" s="1361"/>
      <c r="R889" s="1358">
        <v>0.6</v>
      </c>
      <c r="S889" s="741"/>
      <c r="T889" s="1931"/>
      <c r="U889" s="732"/>
      <c r="V889" s="732"/>
      <c r="W889" s="741"/>
      <c r="X889" s="731"/>
      <c r="Y889" s="730"/>
      <c r="Z889" s="731"/>
      <c r="AB889" s="3">
        <v>1</v>
      </c>
      <c r="AE889" s="2461"/>
      <c r="AF889" s="68"/>
    </row>
    <row r="890" spans="1:32" ht="30" x14ac:dyDescent="0.35">
      <c r="A890" s="1954">
        <v>402</v>
      </c>
      <c r="B890" s="1921" t="s">
        <v>571</v>
      </c>
      <c r="C890" s="1921"/>
      <c r="D890" s="2471" t="s">
        <v>5692</v>
      </c>
      <c r="E890" s="1905" t="s">
        <v>10132</v>
      </c>
      <c r="F890" s="1943" t="s">
        <v>664</v>
      </c>
      <c r="G890" s="92">
        <v>5</v>
      </c>
      <c r="H890" s="1620">
        <v>6</v>
      </c>
      <c r="I890" s="297">
        <f>J890+K890+L890</f>
        <v>0.9</v>
      </c>
      <c r="J890" s="297">
        <f>SUM(M890:R890)</f>
        <v>0.9</v>
      </c>
      <c r="K890" s="1937"/>
      <c r="L890" s="1937"/>
      <c r="M890" s="1926"/>
      <c r="N890" s="1997"/>
      <c r="O890" s="1927"/>
      <c r="P890" s="1928"/>
      <c r="Q890" s="1929"/>
      <c r="R890" s="1930">
        <v>0.9</v>
      </c>
      <c r="S890" s="1943"/>
      <c r="T890" s="1931"/>
      <c r="U890" s="1944"/>
      <c r="V890" s="1944"/>
      <c r="W890" s="1943"/>
      <c r="X890" s="2454"/>
      <c r="Y890" s="1943"/>
      <c r="Z890" s="2454"/>
      <c r="AB890" s="3">
        <v>1</v>
      </c>
      <c r="AE890" s="2461"/>
      <c r="AF890" s="68"/>
    </row>
    <row r="891" spans="1:32" ht="30" x14ac:dyDescent="0.35">
      <c r="A891" s="1954">
        <v>403</v>
      </c>
      <c r="B891" s="1146" t="s">
        <v>571</v>
      </c>
      <c r="C891" s="1146"/>
      <c r="D891" s="2471" t="s">
        <v>5693</v>
      </c>
      <c r="E891" s="715" t="s">
        <v>10133</v>
      </c>
      <c r="F891" s="1834"/>
      <c r="G891" s="1834" t="s">
        <v>191</v>
      </c>
      <c r="H891" s="1943" t="s">
        <v>191</v>
      </c>
      <c r="I891" s="702">
        <f t="shared" si="52"/>
        <v>0.75</v>
      </c>
      <c r="J891" s="702">
        <f t="shared" si="53"/>
        <v>0.71299999999999997</v>
      </c>
      <c r="K891" s="703"/>
      <c r="L891" s="703">
        <f>SUM(L892:L893)</f>
        <v>3.6999999999999998E-2</v>
      </c>
      <c r="M891" s="1387"/>
      <c r="N891" s="703"/>
      <c r="O891" s="1379"/>
      <c r="P891" s="1372"/>
      <c r="Q891" s="1364"/>
      <c r="R891" s="925">
        <f>SUM(R892:R893)</f>
        <v>0.71299999999999997</v>
      </c>
      <c r="S891" s="730"/>
      <c r="T891" s="1931"/>
      <c r="U891" s="732"/>
      <c r="V891" s="732"/>
      <c r="W891" s="730"/>
      <c r="X891" s="731"/>
      <c r="Y891" s="730"/>
      <c r="Z891" s="731"/>
      <c r="AB891" s="3">
        <v>1</v>
      </c>
      <c r="AC891" s="2337" t="s">
        <v>2129</v>
      </c>
      <c r="AD891" s="353">
        <v>37797</v>
      </c>
      <c r="AE891" s="2461"/>
      <c r="AF891" s="68"/>
    </row>
    <row r="892" spans="1:32" ht="31" x14ac:dyDescent="0.35">
      <c r="A892" s="1954"/>
      <c r="B892" s="1146"/>
      <c r="C892" s="1146"/>
      <c r="D892" s="2471"/>
      <c r="E892" s="1935" t="s">
        <v>11302</v>
      </c>
      <c r="F892" s="1834" t="s">
        <v>664</v>
      </c>
      <c r="G892" s="1834">
        <v>5</v>
      </c>
      <c r="H892" s="1943" t="s">
        <v>191</v>
      </c>
      <c r="I892" s="1918"/>
      <c r="J892" s="1918"/>
      <c r="K892" s="1919"/>
      <c r="L892" s="721">
        <v>3.6999999999999998E-2</v>
      </c>
      <c r="M892" s="1920"/>
      <c r="N892" s="1919"/>
      <c r="O892" s="1949"/>
      <c r="P892" s="1950"/>
      <c r="Q892" s="1951"/>
      <c r="R892" s="2049"/>
      <c r="S892" s="730"/>
      <c r="T892" s="1931"/>
      <c r="U892" s="732"/>
      <c r="V892" s="732"/>
      <c r="W892" s="730"/>
      <c r="X892" s="731"/>
      <c r="Y892" s="730"/>
      <c r="Z892" s="2843"/>
      <c r="AC892" s="2423"/>
      <c r="AD892" s="2072"/>
      <c r="AE892" s="2461"/>
      <c r="AF892" s="68"/>
    </row>
    <row r="893" spans="1:32" x14ac:dyDescent="0.35">
      <c r="A893" s="1954"/>
      <c r="B893" s="1146"/>
      <c r="C893" s="1146"/>
      <c r="D893" s="2471"/>
      <c r="E893" s="1392" t="s">
        <v>11301</v>
      </c>
      <c r="F893" s="1834" t="s">
        <v>664</v>
      </c>
      <c r="G893" s="1834">
        <v>5</v>
      </c>
      <c r="H893" s="1620">
        <v>6</v>
      </c>
      <c r="I893" s="1918"/>
      <c r="J893" s="1918"/>
      <c r="K893" s="1919"/>
      <c r="L893" s="1919"/>
      <c r="M893" s="1920"/>
      <c r="N893" s="1919"/>
      <c r="O893" s="1949"/>
      <c r="P893" s="1950"/>
      <c r="Q893" s="1951"/>
      <c r="R893" s="2049">
        <f>0.75-0.037</f>
        <v>0.71299999999999997</v>
      </c>
      <c r="S893" s="730"/>
      <c r="T893" s="1931"/>
      <c r="U893" s="732"/>
      <c r="V893" s="732"/>
      <c r="W893" s="730"/>
      <c r="X893" s="731"/>
      <c r="Y893" s="730"/>
      <c r="Z893" s="2843"/>
      <c r="AC893" s="2423"/>
      <c r="AD893" s="2072"/>
      <c r="AE893" s="2461"/>
      <c r="AF893" s="68"/>
    </row>
    <row r="894" spans="1:32" ht="30" x14ac:dyDescent="0.35">
      <c r="A894" s="1954">
        <v>404</v>
      </c>
      <c r="B894" s="1921" t="s">
        <v>571</v>
      </c>
      <c r="C894" s="358" t="s">
        <v>1656</v>
      </c>
      <c r="D894" s="2471" t="s">
        <v>5694</v>
      </c>
      <c r="E894" s="1905" t="s">
        <v>10134</v>
      </c>
      <c r="F894" s="1943" t="s">
        <v>664</v>
      </c>
      <c r="G894" s="92">
        <v>5</v>
      </c>
      <c r="H894" s="1620">
        <v>6</v>
      </c>
      <c r="I894" s="297">
        <f>J894+K894+L894</f>
        <v>0.2</v>
      </c>
      <c r="J894" s="297">
        <f>SUM(M894:R894)</f>
        <v>0.2</v>
      </c>
      <c r="K894" s="1937"/>
      <c r="L894" s="1937"/>
      <c r="M894" s="1926"/>
      <c r="N894" s="1997"/>
      <c r="O894" s="1927"/>
      <c r="P894" s="1928"/>
      <c r="Q894" s="1929"/>
      <c r="R894" s="1930">
        <v>0.2</v>
      </c>
      <c r="S894" s="1943"/>
      <c r="T894" s="1931"/>
      <c r="U894" s="1944"/>
      <c r="V894" s="1944"/>
      <c r="W894" s="1943"/>
      <c r="X894" s="2454"/>
      <c r="Y894" s="1943"/>
      <c r="Z894" s="2455"/>
      <c r="AB894" s="3">
        <v>1</v>
      </c>
      <c r="AE894" s="2461"/>
      <c r="AF894" s="68"/>
    </row>
    <row r="895" spans="1:32" ht="45" x14ac:dyDescent="0.35">
      <c r="A895" s="1954">
        <v>405</v>
      </c>
      <c r="B895" s="1148" t="s">
        <v>571</v>
      </c>
      <c r="C895" s="1979" t="s">
        <v>1655</v>
      </c>
      <c r="D895" s="2471" t="s">
        <v>5695</v>
      </c>
      <c r="E895" s="715" t="s">
        <v>7336</v>
      </c>
      <c r="F895" s="1943" t="s">
        <v>664</v>
      </c>
      <c r="G895" s="1834">
        <v>5</v>
      </c>
      <c r="H895" s="1620">
        <v>6</v>
      </c>
      <c r="I895" s="702">
        <f t="shared" si="52"/>
        <v>2.5</v>
      </c>
      <c r="J895" s="702">
        <f t="shared" si="53"/>
        <v>2.5</v>
      </c>
      <c r="K895" s="703"/>
      <c r="L895" s="703"/>
      <c r="M895" s="1384"/>
      <c r="N895" s="702"/>
      <c r="O895" s="1376"/>
      <c r="P895" s="1369"/>
      <c r="Q895" s="1361"/>
      <c r="R895" s="1358">
        <v>2.5</v>
      </c>
      <c r="S895" s="743"/>
      <c r="T895" s="1931"/>
      <c r="U895" s="732"/>
      <c r="V895" s="732"/>
      <c r="W895" s="741"/>
      <c r="X895" s="731"/>
      <c r="Y895" s="730"/>
      <c r="Z895" s="731"/>
      <c r="AB895" s="3">
        <v>1</v>
      </c>
      <c r="AE895" s="2461"/>
      <c r="AF895" s="68"/>
    </row>
    <row r="896" spans="1:32" ht="45" x14ac:dyDescent="0.35">
      <c r="A896" s="1954">
        <v>406</v>
      </c>
      <c r="B896" s="1148" t="s">
        <v>571</v>
      </c>
      <c r="C896" s="1979" t="s">
        <v>1655</v>
      </c>
      <c r="D896" s="2471" t="s">
        <v>5696</v>
      </c>
      <c r="E896" s="715" t="s">
        <v>7337</v>
      </c>
      <c r="F896" s="1943" t="s">
        <v>664</v>
      </c>
      <c r="G896" s="1834">
        <v>5</v>
      </c>
      <c r="H896" s="1620">
        <v>6</v>
      </c>
      <c r="I896" s="702">
        <f t="shared" si="52"/>
        <v>1</v>
      </c>
      <c r="J896" s="702">
        <f t="shared" si="53"/>
        <v>1</v>
      </c>
      <c r="K896" s="703"/>
      <c r="L896" s="703"/>
      <c r="M896" s="1384"/>
      <c r="N896" s="702"/>
      <c r="O896" s="1376"/>
      <c r="P896" s="1369"/>
      <c r="Q896" s="1361"/>
      <c r="R896" s="1358">
        <v>1</v>
      </c>
      <c r="S896" s="743"/>
      <c r="T896" s="1931"/>
      <c r="U896" s="732"/>
      <c r="V896" s="732"/>
      <c r="W896" s="741"/>
      <c r="X896" s="731"/>
      <c r="Y896" s="730"/>
      <c r="Z896" s="1708"/>
      <c r="AA896" s="3" t="s">
        <v>1067</v>
      </c>
      <c r="AB896" s="3">
        <v>1</v>
      </c>
      <c r="AE896" s="2461"/>
      <c r="AF896" s="68"/>
    </row>
    <row r="897" spans="1:32" ht="45" x14ac:dyDescent="0.35">
      <c r="A897" s="1954">
        <v>407</v>
      </c>
      <c r="B897" s="1148" t="s">
        <v>571</v>
      </c>
      <c r="C897" s="1979" t="s">
        <v>1655</v>
      </c>
      <c r="D897" s="2471" t="s">
        <v>5697</v>
      </c>
      <c r="E897" s="739" t="s">
        <v>11630</v>
      </c>
      <c r="F897" s="1953" t="s">
        <v>664</v>
      </c>
      <c r="G897" s="1953">
        <v>5</v>
      </c>
      <c r="H897" s="1620">
        <v>6</v>
      </c>
      <c r="I897" s="2841">
        <f t="shared" si="52"/>
        <v>0.6</v>
      </c>
      <c r="J897" s="2841">
        <f t="shared" si="53"/>
        <v>0.6</v>
      </c>
      <c r="K897" s="703"/>
      <c r="L897" s="703"/>
      <c r="M897" s="1387"/>
      <c r="N897" s="703"/>
      <c r="O897" s="1379"/>
      <c r="P897" s="1372"/>
      <c r="Q897" s="1364"/>
      <c r="R897" s="1357">
        <v>0.6</v>
      </c>
      <c r="S897" s="730"/>
      <c r="T897" s="1931"/>
      <c r="U897" s="732"/>
      <c r="V897" s="732"/>
      <c r="W897" s="730"/>
      <c r="X897" s="731"/>
      <c r="Y897" s="730"/>
      <c r="Z897" s="731"/>
      <c r="AB897" s="3">
        <v>1</v>
      </c>
      <c r="AE897" s="2461"/>
      <c r="AF897" s="68"/>
    </row>
    <row r="898" spans="1:32" ht="45" x14ac:dyDescent="0.35">
      <c r="A898" s="1954">
        <v>408</v>
      </c>
      <c r="B898" s="1147" t="s">
        <v>571</v>
      </c>
      <c r="C898" s="1979" t="s">
        <v>1655</v>
      </c>
      <c r="D898" s="2471" t="s">
        <v>5698</v>
      </c>
      <c r="E898" s="739" t="s">
        <v>7338</v>
      </c>
      <c r="F898" s="1953" t="s">
        <v>664</v>
      </c>
      <c r="G898" s="1953">
        <v>5</v>
      </c>
      <c r="H898" s="1620">
        <v>6</v>
      </c>
      <c r="I898" s="702">
        <f t="shared" si="52"/>
        <v>0.6</v>
      </c>
      <c r="J898" s="702">
        <f t="shared" si="53"/>
        <v>0.6</v>
      </c>
      <c r="K898" s="703"/>
      <c r="L898" s="703"/>
      <c r="M898" s="1387"/>
      <c r="N898" s="703"/>
      <c r="O898" s="1379"/>
      <c r="P898" s="1372"/>
      <c r="Q898" s="1364"/>
      <c r="R898" s="1357">
        <v>0.6</v>
      </c>
      <c r="S898" s="730"/>
      <c r="T898" s="1931"/>
      <c r="U898" s="732"/>
      <c r="V898" s="732"/>
      <c r="W898" s="730"/>
      <c r="X898" s="731"/>
      <c r="Y898" s="730"/>
      <c r="Z898" s="731"/>
      <c r="AB898" s="3">
        <v>1</v>
      </c>
      <c r="AE898" s="2461"/>
      <c r="AF898" s="68"/>
    </row>
    <row r="899" spans="1:32" ht="45" x14ac:dyDescent="0.35">
      <c r="A899" s="1954">
        <v>409</v>
      </c>
      <c r="B899" s="1148" t="s">
        <v>571</v>
      </c>
      <c r="C899" s="1979" t="s">
        <v>1655</v>
      </c>
      <c r="D899" s="2471" t="s">
        <v>5699</v>
      </c>
      <c r="E899" s="739" t="s">
        <v>7339</v>
      </c>
      <c r="F899" s="1953" t="s">
        <v>664</v>
      </c>
      <c r="G899" s="1953">
        <v>5</v>
      </c>
      <c r="H899" s="1620">
        <v>6</v>
      </c>
      <c r="I899" s="702">
        <f t="shared" si="52"/>
        <v>0.3</v>
      </c>
      <c r="J899" s="702">
        <f t="shared" si="53"/>
        <v>0.3</v>
      </c>
      <c r="K899" s="703"/>
      <c r="L899" s="703"/>
      <c r="M899" s="1387"/>
      <c r="N899" s="703"/>
      <c r="O899" s="1379"/>
      <c r="P899" s="1372"/>
      <c r="Q899" s="1364"/>
      <c r="R899" s="1357">
        <v>0.3</v>
      </c>
      <c r="S899" s="730"/>
      <c r="T899" s="1931"/>
      <c r="U899" s="732"/>
      <c r="V899" s="732"/>
      <c r="W899" s="730"/>
      <c r="X899" s="731"/>
      <c r="Y899" s="730"/>
      <c r="Z899" s="731"/>
      <c r="AB899" s="3">
        <v>1</v>
      </c>
      <c r="AE899" s="2461"/>
      <c r="AF899" s="68"/>
    </row>
    <row r="900" spans="1:32" ht="45" x14ac:dyDescent="0.35">
      <c r="A900" s="1954">
        <v>410</v>
      </c>
      <c r="B900" s="1148" t="s">
        <v>571</v>
      </c>
      <c r="C900" s="1979" t="s">
        <v>1655</v>
      </c>
      <c r="D900" s="2471" t="s">
        <v>5700</v>
      </c>
      <c r="E900" s="739" t="s">
        <v>7340</v>
      </c>
      <c r="F900" s="1953" t="s">
        <v>664</v>
      </c>
      <c r="G900" s="1953">
        <v>5</v>
      </c>
      <c r="H900" s="1620">
        <v>6</v>
      </c>
      <c r="I900" s="702">
        <f>J900+K900+L900</f>
        <v>0.1</v>
      </c>
      <c r="J900" s="702">
        <f>SUM(M900:R900)</f>
        <v>0.1</v>
      </c>
      <c r="K900" s="703"/>
      <c r="L900" s="703"/>
      <c r="M900" s="1387"/>
      <c r="N900" s="703"/>
      <c r="O900" s="1379"/>
      <c r="P900" s="1372"/>
      <c r="Q900" s="1364"/>
      <c r="R900" s="1357">
        <v>0.1</v>
      </c>
      <c r="S900" s="730"/>
      <c r="T900" s="1931"/>
      <c r="U900" s="732"/>
      <c r="V900" s="732"/>
      <c r="W900" s="730"/>
      <c r="X900" s="731"/>
      <c r="Y900" s="730"/>
      <c r="Z900" s="731"/>
      <c r="AB900" s="3">
        <v>1</v>
      </c>
      <c r="AE900" s="2461"/>
      <c r="AF900" s="68"/>
    </row>
    <row r="901" spans="1:32" ht="45" x14ac:dyDescent="0.35">
      <c r="A901" s="1954">
        <v>411</v>
      </c>
      <c r="B901" s="1148" t="s">
        <v>571</v>
      </c>
      <c r="C901" s="1148"/>
      <c r="D901" s="2471" t="s">
        <v>5701</v>
      </c>
      <c r="E901" s="739" t="s">
        <v>7884</v>
      </c>
      <c r="F901" s="1953" t="s">
        <v>664</v>
      </c>
      <c r="G901" s="1953">
        <v>5</v>
      </c>
      <c r="H901" s="1620">
        <v>6</v>
      </c>
      <c r="I901" s="702">
        <f t="shared" si="52"/>
        <v>0.5</v>
      </c>
      <c r="J901" s="702">
        <f t="shared" si="53"/>
        <v>0.5</v>
      </c>
      <c r="K901" s="703"/>
      <c r="L901" s="703"/>
      <c r="M901" s="1387"/>
      <c r="N901" s="703"/>
      <c r="O901" s="1379"/>
      <c r="P901" s="1372"/>
      <c r="Q901" s="1364"/>
      <c r="R901" s="929">
        <v>0.5</v>
      </c>
      <c r="S901" s="730"/>
      <c r="T901" s="1931"/>
      <c r="U901" s="732"/>
      <c r="V901" s="732"/>
      <c r="W901" s="730"/>
      <c r="X901" s="731"/>
      <c r="Y901" s="730"/>
      <c r="Z901" s="731"/>
      <c r="AB901" s="3">
        <v>1</v>
      </c>
      <c r="AE901" s="2461"/>
      <c r="AF901" s="68"/>
    </row>
    <row r="902" spans="1:32" ht="30" x14ac:dyDescent="0.35">
      <c r="A902" s="1954">
        <v>412</v>
      </c>
      <c r="B902" s="46" t="s">
        <v>571</v>
      </c>
      <c r="C902" s="2083" t="s">
        <v>1656</v>
      </c>
      <c r="D902" s="2471" t="s">
        <v>5702</v>
      </c>
      <c r="E902" s="2187" t="s">
        <v>8768</v>
      </c>
      <c r="F902" s="92" t="s">
        <v>664</v>
      </c>
      <c r="G902" s="92">
        <v>5</v>
      </c>
      <c r="H902" s="1620">
        <v>6</v>
      </c>
      <c r="I902" s="702">
        <f t="shared" si="52"/>
        <v>0.3</v>
      </c>
      <c r="J902" s="702">
        <f t="shared" si="53"/>
        <v>0.3</v>
      </c>
      <c r="K902" s="622"/>
      <c r="L902" s="622"/>
      <c r="M902" s="622"/>
      <c r="N902" s="622"/>
      <c r="O902" s="622"/>
      <c r="P902" s="622"/>
      <c r="Q902" s="622"/>
      <c r="R902" s="1984">
        <v>0.3</v>
      </c>
      <c r="S902" s="106"/>
      <c r="T902" s="1931"/>
      <c r="U902" s="106"/>
      <c r="V902" s="106"/>
      <c r="W902" s="105"/>
      <c r="X902" s="105"/>
      <c r="Y902" s="105"/>
      <c r="Z902" s="105"/>
      <c r="AB902" s="3">
        <v>1</v>
      </c>
      <c r="AE902" s="2461"/>
      <c r="AF902" s="68"/>
    </row>
    <row r="903" spans="1:32" ht="45" x14ac:dyDescent="0.35">
      <c r="A903" s="1954">
        <v>413</v>
      </c>
      <c r="B903" s="2083" t="s">
        <v>571</v>
      </c>
      <c r="C903" s="2083" t="s">
        <v>1656</v>
      </c>
      <c r="D903" s="2471" t="s">
        <v>5703</v>
      </c>
      <c r="E903" s="2113" t="s">
        <v>7341</v>
      </c>
      <c r="F903" s="2210" t="s">
        <v>827</v>
      </c>
      <c r="G903" s="2210">
        <v>5</v>
      </c>
      <c r="H903" s="1620">
        <v>6</v>
      </c>
      <c r="I903" s="580">
        <f t="shared" si="52"/>
        <v>0.8</v>
      </c>
      <c r="J903" s="2216">
        <f t="shared" si="53"/>
        <v>0.8</v>
      </c>
      <c r="K903" s="527"/>
      <c r="L903" s="527"/>
      <c r="M903" s="527"/>
      <c r="N903" s="580"/>
      <c r="O903" s="2215"/>
      <c r="P903" s="527"/>
      <c r="Q903" s="913"/>
      <c r="R903" s="906">
        <v>0.8</v>
      </c>
      <c r="S903" s="92"/>
      <c r="T903" s="1931"/>
      <c r="U903" s="92"/>
      <c r="V903" s="92"/>
      <c r="W903" s="92"/>
      <c r="X903" s="92"/>
      <c r="Y903" s="92"/>
      <c r="Z903" s="92"/>
      <c r="AB903" s="3">
        <v>1</v>
      </c>
      <c r="AE903" s="2461"/>
      <c r="AF903" s="68"/>
    </row>
    <row r="904" spans="1:32" ht="30.5" x14ac:dyDescent="0.35">
      <c r="A904" s="1979"/>
      <c r="B904" s="1146" t="s">
        <v>981</v>
      </c>
      <c r="C904" s="1146"/>
      <c r="D904" s="759"/>
      <c r="E904" s="1596" t="s">
        <v>2419</v>
      </c>
      <c r="F904" s="1953"/>
      <c r="G904" s="1953"/>
      <c r="H904" s="1953"/>
      <c r="I904" s="702"/>
      <c r="J904" s="702"/>
      <c r="K904" s="703"/>
      <c r="L904" s="703"/>
      <c r="M904" s="1387"/>
      <c r="N904" s="703"/>
      <c r="O904" s="1379"/>
      <c r="P904" s="1372"/>
      <c r="Q904" s="1364"/>
      <c r="R904" s="929"/>
      <c r="S904" s="730"/>
      <c r="T904" s="1931"/>
      <c r="U904" s="732"/>
      <c r="V904" s="732"/>
      <c r="W904" s="730"/>
      <c r="X904" s="731"/>
      <c r="Y904" s="730"/>
      <c r="Z904" s="731"/>
      <c r="AE904" s="2461"/>
      <c r="AF904" s="68"/>
    </row>
    <row r="905" spans="1:32" ht="30" x14ac:dyDescent="0.35">
      <c r="A905" s="1954">
        <v>414</v>
      </c>
      <c r="B905" s="1146" t="s">
        <v>981</v>
      </c>
      <c r="C905" s="1146"/>
      <c r="D905" s="2471" t="s">
        <v>5704</v>
      </c>
      <c r="E905" s="733" t="s">
        <v>7885</v>
      </c>
      <c r="F905" s="1834" t="s">
        <v>827</v>
      </c>
      <c r="G905" s="1834">
        <v>5</v>
      </c>
      <c r="H905" s="1620">
        <v>6</v>
      </c>
      <c r="I905" s="702">
        <f>J905+K905+L905</f>
        <v>2.9</v>
      </c>
      <c r="J905" s="702">
        <f>SUM(M905:R905)</f>
        <v>2.9</v>
      </c>
      <c r="K905" s="703"/>
      <c r="L905" s="703"/>
      <c r="M905" s="1387"/>
      <c r="N905" s="703"/>
      <c r="O905" s="1379"/>
      <c r="P905" s="1372"/>
      <c r="Q905" s="1364"/>
      <c r="R905" s="1355">
        <v>2.9</v>
      </c>
      <c r="S905" s="701"/>
      <c r="T905" s="1931"/>
      <c r="U905" s="705"/>
      <c r="V905" s="705"/>
      <c r="W905" s="701">
        <v>6</v>
      </c>
      <c r="X905" s="333">
        <v>52.5</v>
      </c>
      <c r="Y905" s="716"/>
      <c r="Z905" s="333"/>
      <c r="AA905" s="3" t="s">
        <v>2473</v>
      </c>
      <c r="AB905" s="3">
        <v>1</v>
      </c>
      <c r="AE905" s="2461"/>
      <c r="AF905" s="68"/>
    </row>
    <row r="906" spans="1:32" ht="30" x14ac:dyDescent="0.35">
      <c r="A906" s="1954">
        <v>415</v>
      </c>
      <c r="B906" s="1146" t="s">
        <v>981</v>
      </c>
      <c r="C906" s="1146"/>
      <c r="D906" s="2471" t="s">
        <v>5705</v>
      </c>
      <c r="E906" s="733" t="s">
        <v>9370</v>
      </c>
      <c r="F906" s="1834"/>
      <c r="G906" s="1834" t="s">
        <v>191</v>
      </c>
      <c r="H906" s="179" t="s">
        <v>191</v>
      </c>
      <c r="I906" s="702">
        <f>J906+K906+L906</f>
        <v>2.6</v>
      </c>
      <c r="J906" s="702">
        <f>SUM(M906:R906)</f>
        <v>2.6</v>
      </c>
      <c r="K906" s="703"/>
      <c r="L906" s="703"/>
      <c r="M906" s="1387"/>
      <c r="N906" s="703">
        <f>SUM(N907:N908)</f>
        <v>2.6</v>
      </c>
      <c r="O906" s="1379"/>
      <c r="P906" s="1372"/>
      <c r="Q906" s="1364"/>
      <c r="R906" s="1355"/>
      <c r="S906" s="701"/>
      <c r="T906" s="1931"/>
      <c r="U906" s="705"/>
      <c r="V906" s="705"/>
      <c r="W906" s="701">
        <v>6</v>
      </c>
      <c r="X906" s="333">
        <v>69.900000000000006</v>
      </c>
      <c r="Y906" s="716"/>
      <c r="Z906" s="333"/>
      <c r="AB906" s="3">
        <v>1</v>
      </c>
      <c r="AE906" s="2461"/>
      <c r="AF906" s="68"/>
    </row>
    <row r="907" spans="1:32" x14ac:dyDescent="0.35">
      <c r="A907" s="1954"/>
      <c r="B907" s="1146" t="s">
        <v>981</v>
      </c>
      <c r="C907" s="1146"/>
      <c r="D907" s="757"/>
      <c r="E907" s="734" t="s">
        <v>2027</v>
      </c>
      <c r="F907" s="1834">
        <v>5</v>
      </c>
      <c r="G907" s="1834">
        <v>5</v>
      </c>
      <c r="H907" s="179">
        <v>6</v>
      </c>
      <c r="I907" s="1918"/>
      <c r="J907" s="1918"/>
      <c r="K907" s="1919"/>
      <c r="L907" s="1919"/>
      <c r="M907" s="1920"/>
      <c r="N907" s="1919">
        <v>1.7450000000000001</v>
      </c>
      <c r="O907" s="1949"/>
      <c r="P907" s="1950"/>
      <c r="Q907" s="1951"/>
      <c r="R907" s="1355"/>
      <c r="S907" s="701"/>
      <c r="T907" s="1931"/>
      <c r="U907" s="705"/>
      <c r="V907" s="705"/>
      <c r="W907" s="701"/>
      <c r="X907" s="333"/>
      <c r="Y907" s="716"/>
      <c r="Z907" s="333"/>
      <c r="AE907" s="2461"/>
      <c r="AF907" s="68"/>
    </row>
    <row r="908" spans="1:32" x14ac:dyDescent="0.35">
      <c r="A908" s="1954"/>
      <c r="B908" s="1146" t="s">
        <v>981</v>
      </c>
      <c r="C908" s="1146"/>
      <c r="D908" s="757"/>
      <c r="E908" s="734" t="s">
        <v>2132</v>
      </c>
      <c r="F908" s="1834">
        <v>5</v>
      </c>
      <c r="G908" s="1834">
        <v>5</v>
      </c>
      <c r="H908" s="179">
        <v>6</v>
      </c>
      <c r="I908" s="1918"/>
      <c r="J908" s="1918"/>
      <c r="K908" s="1919"/>
      <c r="L908" s="1919"/>
      <c r="M908" s="1920"/>
      <c r="N908" s="1919">
        <f>2.6-1.745</f>
        <v>0.85499999999999998</v>
      </c>
      <c r="O908" s="1949"/>
      <c r="P908" s="1950"/>
      <c r="Q908" s="1951"/>
      <c r="R908" s="1355"/>
      <c r="S908" s="701"/>
      <c r="T908" s="1931"/>
      <c r="U908" s="705"/>
      <c r="V908" s="705"/>
      <c r="W908" s="701"/>
      <c r="X908" s="333"/>
      <c r="Y908" s="716"/>
      <c r="Z908" s="333"/>
      <c r="AE908" s="2461"/>
      <c r="AF908" s="68"/>
    </row>
    <row r="909" spans="1:32" ht="30" x14ac:dyDescent="0.35">
      <c r="A909" s="1954">
        <v>416</v>
      </c>
      <c r="B909" s="1146" t="s">
        <v>981</v>
      </c>
      <c r="C909" s="1146"/>
      <c r="D909" s="2471" t="s">
        <v>5706</v>
      </c>
      <c r="E909" s="733" t="s">
        <v>9371</v>
      </c>
      <c r="F909" s="1834">
        <v>5</v>
      </c>
      <c r="G909" s="1834">
        <v>5</v>
      </c>
      <c r="H909" s="179">
        <v>6</v>
      </c>
      <c r="I909" s="702">
        <f t="shared" ref="I909:I913" si="54">J909+K909+L909</f>
        <v>0.3</v>
      </c>
      <c r="J909" s="702">
        <f t="shared" ref="J909:J913" si="55">SUM(M909:R909)</f>
        <v>0.3</v>
      </c>
      <c r="K909" s="703"/>
      <c r="L909" s="703"/>
      <c r="M909" s="1387"/>
      <c r="N909" s="703">
        <v>0.3</v>
      </c>
      <c r="O909" s="1379"/>
      <c r="P909" s="1372"/>
      <c r="Q909" s="1364"/>
      <c r="R909" s="1355"/>
      <c r="S909" s="701"/>
      <c r="T909" s="1931"/>
      <c r="U909" s="705"/>
      <c r="V909" s="705"/>
      <c r="W909" s="701"/>
      <c r="X909" s="333"/>
      <c r="Y909" s="716"/>
      <c r="Z909" s="333"/>
      <c r="AB909" s="3">
        <v>1</v>
      </c>
      <c r="AE909" s="2461"/>
      <c r="AF909" s="68"/>
    </row>
    <row r="910" spans="1:32" ht="30" x14ac:dyDescent="0.35">
      <c r="A910" s="1954">
        <v>417</v>
      </c>
      <c r="B910" s="1146" t="s">
        <v>981</v>
      </c>
      <c r="C910" s="1146"/>
      <c r="D910" s="2471" t="s">
        <v>5707</v>
      </c>
      <c r="E910" s="733" t="s">
        <v>9372</v>
      </c>
      <c r="F910" s="1834">
        <v>5</v>
      </c>
      <c r="G910" s="1834">
        <v>5</v>
      </c>
      <c r="H910" s="179">
        <v>6</v>
      </c>
      <c r="I910" s="702">
        <f t="shared" si="54"/>
        <v>0.28599999999999998</v>
      </c>
      <c r="J910" s="702">
        <f t="shared" si="55"/>
        <v>0.28599999999999998</v>
      </c>
      <c r="K910" s="703"/>
      <c r="L910" s="703"/>
      <c r="M910" s="1387"/>
      <c r="N910" s="703">
        <v>0.28599999999999998</v>
      </c>
      <c r="O910" s="1379"/>
      <c r="P910" s="1372"/>
      <c r="Q910" s="1364"/>
      <c r="R910" s="1355"/>
      <c r="S910" s="701"/>
      <c r="T910" s="1931"/>
      <c r="U910" s="705"/>
      <c r="V910" s="705"/>
      <c r="W910" s="701">
        <v>1</v>
      </c>
      <c r="X910" s="333">
        <v>13</v>
      </c>
      <c r="Y910" s="716"/>
      <c r="Z910" s="333"/>
      <c r="AB910" s="3">
        <v>1</v>
      </c>
      <c r="AE910" s="2461"/>
      <c r="AF910" s="68"/>
    </row>
    <row r="911" spans="1:32" ht="30" x14ac:dyDescent="0.35">
      <c r="A911" s="1954">
        <v>418</v>
      </c>
      <c r="B911" s="1146" t="s">
        <v>981</v>
      </c>
      <c r="C911" s="2083" t="s">
        <v>1656</v>
      </c>
      <c r="D911" s="2471" t="s">
        <v>5708</v>
      </c>
      <c r="E911" s="739" t="s">
        <v>9278</v>
      </c>
      <c r="F911" s="1953" t="s">
        <v>1490</v>
      </c>
      <c r="G911" s="1953">
        <v>5</v>
      </c>
      <c r="H911" s="179">
        <v>6</v>
      </c>
      <c r="I911" s="702">
        <f t="shared" si="54"/>
        <v>0.32</v>
      </c>
      <c r="J911" s="702">
        <f t="shared" si="55"/>
        <v>0.32</v>
      </c>
      <c r="K911" s="703"/>
      <c r="L911" s="703"/>
      <c r="M911" s="1387"/>
      <c r="N911" s="703">
        <v>0.32</v>
      </c>
      <c r="O911" s="1379"/>
      <c r="P911" s="1372"/>
      <c r="Q911" s="1364"/>
      <c r="R911" s="929"/>
      <c r="S911" s="1974"/>
      <c r="T911" s="1931"/>
      <c r="U911" s="108"/>
      <c r="V911" s="108"/>
      <c r="W911" s="1974"/>
      <c r="X911" s="1975"/>
      <c r="Y911" s="1974"/>
      <c r="Z911" s="1975"/>
      <c r="AB911" s="3">
        <v>1</v>
      </c>
      <c r="AE911" s="2461"/>
      <c r="AF911" s="68"/>
    </row>
    <row r="912" spans="1:32" ht="45" x14ac:dyDescent="0.35">
      <c r="A912" s="1954">
        <v>419</v>
      </c>
      <c r="B912" s="1148" t="s">
        <v>981</v>
      </c>
      <c r="C912" s="1148"/>
      <c r="D912" s="2471" t="s">
        <v>5711</v>
      </c>
      <c r="E912" s="739" t="s">
        <v>10135</v>
      </c>
      <c r="F912" s="1953" t="s">
        <v>827</v>
      </c>
      <c r="G912" s="1953">
        <v>5</v>
      </c>
      <c r="H912" s="179">
        <v>6</v>
      </c>
      <c r="I912" s="702">
        <f t="shared" si="54"/>
        <v>0.1</v>
      </c>
      <c r="J912" s="702">
        <f t="shared" si="55"/>
        <v>0.1</v>
      </c>
      <c r="K912" s="703"/>
      <c r="L912" s="703"/>
      <c r="M912" s="1387"/>
      <c r="N912" s="703">
        <v>0.1</v>
      </c>
      <c r="O912" s="1379"/>
      <c r="P912" s="1372"/>
      <c r="Q912" s="1364"/>
      <c r="R912" s="929"/>
      <c r="S912" s="730"/>
      <c r="T912" s="1931"/>
      <c r="U912" s="732"/>
      <c r="V912" s="732"/>
      <c r="W912" s="730"/>
      <c r="X912" s="731"/>
      <c r="Y912" s="730"/>
      <c r="Z912" s="731"/>
      <c r="AA912" s="3" t="s">
        <v>1537</v>
      </c>
      <c r="AB912" s="3">
        <v>1</v>
      </c>
      <c r="AE912" s="2461"/>
      <c r="AF912" s="68"/>
    </row>
    <row r="913" spans="1:32" ht="45" x14ac:dyDescent="0.35">
      <c r="A913" s="1954">
        <v>420</v>
      </c>
      <c r="B913" s="1147" t="s">
        <v>981</v>
      </c>
      <c r="C913" s="1147"/>
      <c r="D913" s="2471" t="s">
        <v>5712</v>
      </c>
      <c r="E913" s="739" t="s">
        <v>10136</v>
      </c>
      <c r="F913" s="1953" t="s">
        <v>827</v>
      </c>
      <c r="G913" s="1953">
        <v>5</v>
      </c>
      <c r="H913" s="179">
        <v>6</v>
      </c>
      <c r="I913" s="702">
        <f t="shared" si="54"/>
        <v>0.1</v>
      </c>
      <c r="J913" s="702">
        <f t="shared" si="55"/>
        <v>0.1</v>
      </c>
      <c r="K913" s="703"/>
      <c r="L913" s="703"/>
      <c r="M913" s="1387"/>
      <c r="N913" s="703">
        <v>0.1</v>
      </c>
      <c r="O913" s="1379"/>
      <c r="P913" s="1372"/>
      <c r="Q913" s="1364"/>
      <c r="R913" s="929"/>
      <c r="S913" s="730"/>
      <c r="T913" s="1931"/>
      <c r="U913" s="732"/>
      <c r="V913" s="732"/>
      <c r="W913" s="730"/>
      <c r="X913" s="731"/>
      <c r="Y913" s="730"/>
      <c r="Z913" s="731"/>
      <c r="AA913" s="3" t="s">
        <v>1538</v>
      </c>
      <c r="AB913" s="3">
        <v>1</v>
      </c>
      <c r="AE913" s="2461"/>
      <c r="AF913" s="68"/>
    </row>
    <row r="914" spans="1:32" ht="30.5" x14ac:dyDescent="0.35">
      <c r="A914" s="1972"/>
      <c r="B914" s="1146" t="s">
        <v>41</v>
      </c>
      <c r="C914" s="1146"/>
      <c r="D914" s="759"/>
      <c r="E914" s="1596" t="s">
        <v>528</v>
      </c>
      <c r="F914" s="1953"/>
      <c r="G914" s="1953"/>
      <c r="H914" s="1953"/>
      <c r="I914" s="702"/>
      <c r="J914" s="702"/>
      <c r="K914" s="703"/>
      <c r="L914" s="703"/>
      <c r="M914" s="1387"/>
      <c r="N914" s="703"/>
      <c r="O914" s="1379"/>
      <c r="P914" s="1372"/>
      <c r="Q914" s="1364"/>
      <c r="R914" s="929"/>
      <c r="S914" s="730"/>
      <c r="T914" s="1931"/>
      <c r="U914" s="732"/>
      <c r="V914" s="732"/>
      <c r="W914" s="730"/>
      <c r="X914" s="731"/>
      <c r="Y914" s="730"/>
      <c r="Z914" s="731"/>
      <c r="AE914" s="2461"/>
      <c r="AF914" s="68"/>
    </row>
    <row r="915" spans="1:32" ht="45" x14ac:dyDescent="0.35">
      <c r="A915" s="1954">
        <v>421</v>
      </c>
      <c r="B915" s="1146" t="s">
        <v>41</v>
      </c>
      <c r="C915" s="1146"/>
      <c r="D915" s="2471" t="s">
        <v>5713</v>
      </c>
      <c r="E915" s="733" t="s">
        <v>9324</v>
      </c>
      <c r="F915" s="1834"/>
      <c r="G915" s="1834" t="s">
        <v>191</v>
      </c>
      <c r="H915" s="179" t="s">
        <v>191</v>
      </c>
      <c r="I915" s="702">
        <f>J915+K915+L915</f>
        <v>0.96199999999999997</v>
      </c>
      <c r="J915" s="702">
        <f>SUM(M915:R915)</f>
        <v>0.96199999999999997</v>
      </c>
      <c r="K915" s="703"/>
      <c r="L915" s="703"/>
      <c r="M915" s="1387"/>
      <c r="N915" s="717">
        <f>SUM(N916:N917)</f>
        <v>0.112</v>
      </c>
      <c r="O915" s="1379"/>
      <c r="P915" s="1372"/>
      <c r="Q915" s="1365">
        <f>SUM(Q916:Q917)</f>
        <v>0.85</v>
      </c>
      <c r="R915" s="1354"/>
      <c r="S915" s="701"/>
      <c r="T915" s="1931"/>
      <c r="U915" s="705"/>
      <c r="V915" s="705"/>
      <c r="W915" s="701"/>
      <c r="X915" s="333"/>
      <c r="Y915" s="716"/>
      <c r="Z915" s="333"/>
      <c r="AB915" s="3">
        <v>1</v>
      </c>
      <c r="AE915" s="2461"/>
      <c r="AF915" s="68"/>
    </row>
    <row r="916" spans="1:32" x14ac:dyDescent="0.35">
      <c r="A916" s="2140"/>
      <c r="B916" s="1146" t="s">
        <v>41</v>
      </c>
      <c r="C916" s="1146"/>
      <c r="D916" s="758"/>
      <c r="E916" s="1395" t="s">
        <v>3308</v>
      </c>
      <c r="F916" s="1834">
        <v>5</v>
      </c>
      <c r="G916" s="1834">
        <v>5</v>
      </c>
      <c r="H916" s="179">
        <v>6</v>
      </c>
      <c r="I916" s="708"/>
      <c r="J916" s="708"/>
      <c r="K916" s="709"/>
      <c r="L916" s="709"/>
      <c r="M916" s="1388"/>
      <c r="N916" s="709"/>
      <c r="O916" s="1378"/>
      <c r="P916" s="1371"/>
      <c r="Q916" s="1366">
        <v>0.85</v>
      </c>
      <c r="R916" s="1353"/>
      <c r="S916" s="720"/>
      <c r="T916" s="1931"/>
      <c r="U916" s="728"/>
      <c r="V916" s="728"/>
      <c r="W916" s="720"/>
      <c r="X916" s="332"/>
      <c r="Y916" s="725"/>
      <c r="Z916" s="332"/>
      <c r="AE916" s="2461"/>
      <c r="AF916" s="68"/>
    </row>
    <row r="917" spans="1:32" x14ac:dyDescent="0.35">
      <c r="A917" s="2140"/>
      <c r="B917" s="1146" t="s">
        <v>41</v>
      </c>
      <c r="C917" s="1146"/>
      <c r="D917" s="758"/>
      <c r="E917" s="734" t="s">
        <v>3384</v>
      </c>
      <c r="F917" s="1834">
        <v>5</v>
      </c>
      <c r="G917" s="1834">
        <v>5</v>
      </c>
      <c r="H917" s="179">
        <v>6</v>
      </c>
      <c r="I917" s="708"/>
      <c r="J917" s="708"/>
      <c r="K917" s="709"/>
      <c r="L917" s="709"/>
      <c r="M917" s="1388"/>
      <c r="N917" s="712">
        <v>0.112</v>
      </c>
      <c r="O917" s="1378"/>
      <c r="P917" s="1371"/>
      <c r="Q917" s="1363"/>
      <c r="R917" s="1353"/>
      <c r="S917" s="720"/>
      <c r="T917" s="1931"/>
      <c r="U917" s="728"/>
      <c r="V917" s="728"/>
      <c r="W917" s="720"/>
      <c r="X917" s="332"/>
      <c r="Y917" s="725"/>
      <c r="Z917" s="332"/>
      <c r="AE917" s="2461"/>
      <c r="AF917" s="68"/>
    </row>
    <row r="918" spans="1:32" ht="45" x14ac:dyDescent="0.35">
      <c r="A918" s="1954">
        <v>422</v>
      </c>
      <c r="B918" s="1146" t="s">
        <v>41</v>
      </c>
      <c r="C918" s="1146"/>
      <c r="D918" s="2471" t="s">
        <v>5714</v>
      </c>
      <c r="E918" s="715" t="s">
        <v>10137</v>
      </c>
      <c r="F918" s="1834"/>
      <c r="G918" s="1834" t="s">
        <v>191</v>
      </c>
      <c r="H918" s="1834" t="s">
        <v>191</v>
      </c>
      <c r="I918" s="702">
        <f>J918+K918+L918</f>
        <v>1.7</v>
      </c>
      <c r="J918" s="702">
        <f>SUM(M918:R918)</f>
        <v>1.7</v>
      </c>
      <c r="K918" s="703"/>
      <c r="L918" s="703"/>
      <c r="M918" s="1387"/>
      <c r="N918" s="703"/>
      <c r="O918" s="1379"/>
      <c r="P918" s="1372"/>
      <c r="Q918" s="1365">
        <f>SUM(Q919:Q920)</f>
        <v>1.7</v>
      </c>
      <c r="R918" s="1354"/>
      <c r="S918" s="701"/>
      <c r="T918" s="1931"/>
      <c r="U918" s="705"/>
      <c r="V918" s="705"/>
      <c r="W918" s="716">
        <v>1</v>
      </c>
      <c r="X918" s="333">
        <v>10.3</v>
      </c>
      <c r="Y918" s="716"/>
      <c r="Z918" s="333"/>
      <c r="AB918" s="3">
        <v>1</v>
      </c>
      <c r="AE918" s="2461"/>
      <c r="AF918" s="68"/>
    </row>
    <row r="919" spans="1:32" x14ac:dyDescent="0.35">
      <c r="A919" s="1954"/>
      <c r="B919" s="1146" t="s">
        <v>41</v>
      </c>
      <c r="C919" s="1146"/>
      <c r="D919" s="755"/>
      <c r="E919" s="1395" t="s">
        <v>1844</v>
      </c>
      <c r="F919" s="1834">
        <v>5</v>
      </c>
      <c r="G919" s="1834">
        <v>5</v>
      </c>
      <c r="H919" s="1834">
        <v>6</v>
      </c>
      <c r="I919" s="702"/>
      <c r="J919" s="702"/>
      <c r="K919" s="703"/>
      <c r="L919" s="703"/>
      <c r="M919" s="1387"/>
      <c r="N919" s="703"/>
      <c r="O919" s="1379"/>
      <c r="P919" s="1372"/>
      <c r="Q919" s="1967">
        <v>1.4</v>
      </c>
      <c r="R919" s="1354"/>
      <c r="S919" s="701"/>
      <c r="T919" s="1931"/>
      <c r="U919" s="705"/>
      <c r="V919" s="705"/>
      <c r="W919" s="716"/>
      <c r="X919" s="333"/>
      <c r="Y919" s="716"/>
      <c r="Z919" s="333"/>
      <c r="AE919" s="2461"/>
      <c r="AF919" s="68"/>
    </row>
    <row r="920" spans="1:32" x14ac:dyDescent="0.35">
      <c r="A920" s="1954"/>
      <c r="B920" s="1146" t="s">
        <v>41</v>
      </c>
      <c r="C920" s="1146"/>
      <c r="D920" s="755"/>
      <c r="E920" s="1395" t="s">
        <v>1311</v>
      </c>
      <c r="F920" s="1834">
        <v>5</v>
      </c>
      <c r="G920" s="1834">
        <v>5</v>
      </c>
      <c r="H920" s="1834">
        <v>6</v>
      </c>
      <c r="I920" s="702"/>
      <c r="J920" s="702"/>
      <c r="K920" s="703"/>
      <c r="L920" s="703"/>
      <c r="M920" s="1387"/>
      <c r="N920" s="703"/>
      <c r="O920" s="1379"/>
      <c r="P920" s="1372"/>
      <c r="Q920" s="1967">
        <v>0.3</v>
      </c>
      <c r="R920" s="1354"/>
      <c r="S920" s="701"/>
      <c r="T920" s="1931"/>
      <c r="U920" s="705"/>
      <c r="V920" s="705"/>
      <c r="W920" s="716"/>
      <c r="X920" s="333"/>
      <c r="Y920" s="716"/>
      <c r="Z920" s="333"/>
      <c r="AE920" s="2461"/>
      <c r="AF920" s="68"/>
    </row>
    <row r="921" spans="1:32" ht="30" x14ac:dyDescent="0.35">
      <c r="A921" s="1954">
        <v>423</v>
      </c>
      <c r="B921" s="1146" t="s">
        <v>41</v>
      </c>
      <c r="C921" s="1146"/>
      <c r="D921" s="2471" t="s">
        <v>5715</v>
      </c>
      <c r="E921" s="715" t="s">
        <v>7886</v>
      </c>
      <c r="F921" s="1834"/>
      <c r="G921" s="1834" t="s">
        <v>191</v>
      </c>
      <c r="H921" s="179" t="s">
        <v>191</v>
      </c>
      <c r="I921" s="702">
        <f>J921+K921+L921</f>
        <v>0.60000000000000009</v>
      </c>
      <c r="J921" s="702">
        <f>SUM(M921:R921)</f>
        <v>0.60000000000000009</v>
      </c>
      <c r="K921" s="703"/>
      <c r="L921" s="703"/>
      <c r="M921" s="1387"/>
      <c r="N921" s="717">
        <f>SUM(N922:N923)</f>
        <v>0.4</v>
      </c>
      <c r="O921" s="1379"/>
      <c r="P921" s="1372"/>
      <c r="Q921" s="1365">
        <f>SUM(Q922:Q923)</f>
        <v>0.2</v>
      </c>
      <c r="R921" s="929"/>
      <c r="S921" s="730"/>
      <c r="T921" s="1931"/>
      <c r="U921" s="732"/>
      <c r="V921" s="732"/>
      <c r="W921" s="730"/>
      <c r="X921" s="735"/>
      <c r="Y921" s="736"/>
      <c r="Z921" s="735"/>
      <c r="AB921" s="3">
        <v>1</v>
      </c>
      <c r="AE921" s="2461"/>
      <c r="AF921" s="68"/>
    </row>
    <row r="922" spans="1:32" x14ac:dyDescent="0.35">
      <c r="A922" s="2141"/>
      <c r="B922" s="1146" t="s">
        <v>41</v>
      </c>
      <c r="C922" s="1146"/>
      <c r="D922" s="754"/>
      <c r="E922" s="711" t="s">
        <v>1074</v>
      </c>
      <c r="F922" s="1834" t="s">
        <v>827</v>
      </c>
      <c r="G922" s="1834">
        <v>5</v>
      </c>
      <c r="H922" s="179">
        <v>6</v>
      </c>
      <c r="I922" s="712"/>
      <c r="J922" s="712"/>
      <c r="K922" s="709"/>
      <c r="L922" s="709"/>
      <c r="M922" s="1388"/>
      <c r="N922" s="712">
        <v>0.4</v>
      </c>
      <c r="O922" s="1378"/>
      <c r="P922" s="1371"/>
      <c r="Q922" s="1363"/>
      <c r="R922" s="1014"/>
      <c r="S922" s="722"/>
      <c r="T922" s="1931"/>
      <c r="U922" s="723"/>
      <c r="V922" s="723"/>
      <c r="W922" s="722"/>
      <c r="X922" s="2665"/>
      <c r="Y922" s="722"/>
      <c r="Z922" s="2665"/>
      <c r="AE922" s="2461"/>
      <c r="AF922" s="68"/>
    </row>
    <row r="923" spans="1:32" x14ac:dyDescent="0.35">
      <c r="A923" s="2141"/>
      <c r="B923" s="1146" t="s">
        <v>41</v>
      </c>
      <c r="C923" s="1146"/>
      <c r="D923" s="754"/>
      <c r="E923" s="1394" t="s">
        <v>2939</v>
      </c>
      <c r="F923" s="1834" t="s">
        <v>827</v>
      </c>
      <c r="G923" s="1834">
        <v>5</v>
      </c>
      <c r="H923" s="179">
        <v>6</v>
      </c>
      <c r="I923" s="712"/>
      <c r="J923" s="712"/>
      <c r="K923" s="709"/>
      <c r="L923" s="709"/>
      <c r="M923" s="1388"/>
      <c r="N923" s="709"/>
      <c r="O923" s="1378"/>
      <c r="P923" s="1371"/>
      <c r="Q923" s="1366">
        <v>0.2</v>
      </c>
      <c r="R923" s="1014"/>
      <c r="S923" s="722"/>
      <c r="T923" s="1931"/>
      <c r="U923" s="723"/>
      <c r="V923" s="723"/>
      <c r="W923" s="722"/>
      <c r="X923" s="2665"/>
      <c r="Y923" s="722"/>
      <c r="Z923" s="2665"/>
      <c r="AE923" s="2461"/>
      <c r="AF923" s="68"/>
    </row>
    <row r="924" spans="1:32" ht="30" x14ac:dyDescent="0.35">
      <c r="A924" s="693">
        <v>424</v>
      </c>
      <c r="B924" s="46" t="s">
        <v>41</v>
      </c>
      <c r="C924" s="2083" t="s">
        <v>1656</v>
      </c>
      <c r="D924" s="2471" t="s">
        <v>5716</v>
      </c>
      <c r="E924" s="2187" t="s">
        <v>8769</v>
      </c>
      <c r="F924" s="92" t="s">
        <v>664</v>
      </c>
      <c r="G924" s="92">
        <v>5</v>
      </c>
      <c r="H924" s="1620">
        <v>6</v>
      </c>
      <c r="I924" s="702">
        <f t="shared" ref="I924:I929" si="56">J924+K924+L924</f>
        <v>0.6</v>
      </c>
      <c r="J924" s="702">
        <f t="shared" ref="J924:J929" si="57">SUM(M924:R924)</f>
        <v>0.6</v>
      </c>
      <c r="K924" s="622"/>
      <c r="L924" s="622"/>
      <c r="M924" s="622"/>
      <c r="N924" s="622"/>
      <c r="O924" s="622"/>
      <c r="P924" s="622"/>
      <c r="Q924" s="622"/>
      <c r="R924" s="1984">
        <v>0.6</v>
      </c>
      <c r="S924" s="106"/>
      <c r="T924" s="1931"/>
      <c r="U924" s="106"/>
      <c r="V924" s="106"/>
      <c r="W924" s="105"/>
      <c r="X924" s="105"/>
      <c r="Y924" s="105"/>
      <c r="Z924" s="105"/>
      <c r="AB924" s="3">
        <v>1</v>
      </c>
      <c r="AE924" s="2461"/>
      <c r="AF924" s="68"/>
    </row>
    <row r="925" spans="1:32" ht="45" x14ac:dyDescent="0.35">
      <c r="A925" s="1979">
        <v>425</v>
      </c>
      <c r="B925" s="1148" t="s">
        <v>41</v>
      </c>
      <c r="C925" s="1148" t="s">
        <v>2435</v>
      </c>
      <c r="D925" s="2471" t="s">
        <v>5717</v>
      </c>
      <c r="E925" s="1980" t="s">
        <v>10138</v>
      </c>
      <c r="F925" s="1953">
        <v>5</v>
      </c>
      <c r="G925" s="1953">
        <v>5</v>
      </c>
      <c r="H925" s="179">
        <v>6</v>
      </c>
      <c r="I925" s="702">
        <f t="shared" si="56"/>
        <v>0.66</v>
      </c>
      <c r="J925" s="702">
        <f t="shared" si="57"/>
        <v>0.66</v>
      </c>
      <c r="K925" s="703"/>
      <c r="L925" s="703"/>
      <c r="M925" s="1387"/>
      <c r="N925" s="703">
        <v>0.66</v>
      </c>
      <c r="O925" s="1379"/>
      <c r="P925" s="1372"/>
      <c r="Q925" s="1364"/>
      <c r="R925" s="929"/>
      <c r="S925" s="730"/>
      <c r="T925" s="1931"/>
      <c r="U925" s="732"/>
      <c r="V925" s="732"/>
      <c r="W925" s="701">
        <v>1</v>
      </c>
      <c r="X925" s="704">
        <v>10</v>
      </c>
      <c r="Y925" s="701">
        <v>1</v>
      </c>
      <c r="Z925" s="704">
        <v>10</v>
      </c>
      <c r="AB925" s="3">
        <v>1</v>
      </c>
      <c r="AE925" s="2461"/>
      <c r="AF925" s="68"/>
    </row>
    <row r="926" spans="1:32" ht="60" x14ac:dyDescent="0.35">
      <c r="A926" s="693">
        <v>426</v>
      </c>
      <c r="B926" s="1921" t="s">
        <v>41</v>
      </c>
      <c r="C926" s="358" t="s">
        <v>1656</v>
      </c>
      <c r="D926" s="2471" t="s">
        <v>5718</v>
      </c>
      <c r="E926" s="1905" t="s">
        <v>10139</v>
      </c>
      <c r="F926" s="1943" t="s">
        <v>1490</v>
      </c>
      <c r="G926" s="92">
        <v>5</v>
      </c>
      <c r="H926" s="179">
        <v>6</v>
      </c>
      <c r="I926" s="297">
        <f t="shared" si="56"/>
        <v>0.45</v>
      </c>
      <c r="J926" s="297">
        <f t="shared" si="57"/>
        <v>0.45</v>
      </c>
      <c r="K926" s="1924"/>
      <c r="L926" s="1924"/>
      <c r="M926" s="1926"/>
      <c r="N926" s="1924">
        <v>0.45</v>
      </c>
      <c r="O926" s="1927"/>
      <c r="P926" s="1928"/>
      <c r="Q926" s="1929"/>
      <c r="R926" s="1930"/>
      <c r="S926" s="1923"/>
      <c r="T926" s="1931"/>
      <c r="U926" s="1815"/>
      <c r="V926" s="1815"/>
      <c r="W926" s="1923"/>
      <c r="X926" s="1931"/>
      <c r="Y926" s="1923"/>
      <c r="Z926" s="1932"/>
      <c r="AB926" s="3">
        <v>1</v>
      </c>
      <c r="AE926" s="2461"/>
      <c r="AF926" s="68"/>
    </row>
    <row r="927" spans="1:32" ht="30" x14ac:dyDescent="0.35">
      <c r="A927" s="1979">
        <v>427</v>
      </c>
      <c r="B927" s="2083" t="s">
        <v>41</v>
      </c>
      <c r="C927" s="2083" t="s">
        <v>2435</v>
      </c>
      <c r="D927" s="2471" t="s">
        <v>5719</v>
      </c>
      <c r="E927" s="2113" t="s">
        <v>9325</v>
      </c>
      <c r="F927" s="2210">
        <v>5</v>
      </c>
      <c r="G927" s="2210">
        <v>5</v>
      </c>
      <c r="H927" s="179">
        <v>6</v>
      </c>
      <c r="I927" s="580">
        <f t="shared" si="56"/>
        <v>0.8</v>
      </c>
      <c r="J927" s="2216">
        <f t="shared" si="57"/>
        <v>0.8</v>
      </c>
      <c r="K927" s="527"/>
      <c r="L927" s="527"/>
      <c r="M927" s="527"/>
      <c r="N927" s="580">
        <v>0.8</v>
      </c>
      <c r="O927" s="2215"/>
      <c r="P927" s="527"/>
      <c r="Q927" s="913"/>
      <c r="R927" s="906"/>
      <c r="S927" s="92"/>
      <c r="T927" s="1931"/>
      <c r="U927" s="92"/>
      <c r="V927" s="92"/>
      <c r="W927" s="92"/>
      <c r="X927" s="92"/>
      <c r="Y927" s="92"/>
      <c r="Z927" s="92"/>
      <c r="AB927" s="3">
        <v>1</v>
      </c>
      <c r="AE927" s="2461"/>
      <c r="AF927" s="68"/>
    </row>
    <row r="928" spans="1:32" ht="30" x14ac:dyDescent="0.35">
      <c r="A928" s="693">
        <v>428</v>
      </c>
      <c r="B928" s="1148" t="s">
        <v>41</v>
      </c>
      <c r="C928" s="2083" t="s">
        <v>1656</v>
      </c>
      <c r="D928" s="2471" t="s">
        <v>5720</v>
      </c>
      <c r="E928" s="1980" t="s">
        <v>7887</v>
      </c>
      <c r="F928" s="1953" t="s">
        <v>664</v>
      </c>
      <c r="G928" s="1953">
        <v>5</v>
      </c>
      <c r="H928" s="1620">
        <v>6</v>
      </c>
      <c r="I928" s="702">
        <f t="shared" si="56"/>
        <v>1</v>
      </c>
      <c r="J928" s="702">
        <f t="shared" si="57"/>
        <v>1</v>
      </c>
      <c r="K928" s="703"/>
      <c r="L928" s="703"/>
      <c r="M928" s="1387"/>
      <c r="N928" s="703"/>
      <c r="O928" s="1379"/>
      <c r="P928" s="1372"/>
      <c r="Q928" s="1364"/>
      <c r="R928" s="929">
        <v>1</v>
      </c>
      <c r="S928" s="730"/>
      <c r="T928" s="1931"/>
      <c r="U928" s="732"/>
      <c r="V928" s="732"/>
      <c r="W928" s="730"/>
      <c r="X928" s="731"/>
      <c r="Y928" s="730"/>
      <c r="Z928" s="731"/>
      <c r="AB928" s="3">
        <v>1</v>
      </c>
      <c r="AE928" s="2461"/>
      <c r="AF928" s="68"/>
    </row>
    <row r="929" spans="1:32" ht="45" x14ac:dyDescent="0.4">
      <c r="A929" s="1979">
        <v>429</v>
      </c>
      <c r="B929" s="693" t="s">
        <v>41</v>
      </c>
      <c r="C929" s="1979" t="s">
        <v>1655</v>
      </c>
      <c r="D929" s="2471" t="s">
        <v>5721</v>
      </c>
      <c r="E929" s="2187" t="s">
        <v>7343</v>
      </c>
      <c r="F929" s="92" t="s">
        <v>664</v>
      </c>
      <c r="G929" s="92">
        <v>5</v>
      </c>
      <c r="H929" s="1620">
        <v>6</v>
      </c>
      <c r="I929" s="702">
        <f t="shared" si="56"/>
        <v>2</v>
      </c>
      <c r="J929" s="702">
        <f t="shared" si="57"/>
        <v>2</v>
      </c>
      <c r="K929" s="2139"/>
      <c r="L929" s="2139"/>
      <c r="M929" s="2139"/>
      <c r="N929" s="2139"/>
      <c r="O929" s="2139"/>
      <c r="P929" s="2139"/>
      <c r="Q929" s="2139"/>
      <c r="R929" s="2106">
        <v>2</v>
      </c>
      <c r="S929" s="785"/>
      <c r="T929" s="1931"/>
      <c r="U929" s="785"/>
      <c r="V929" s="785"/>
      <c r="W929" s="785"/>
      <c r="X929" s="785"/>
      <c r="Y929" s="785"/>
      <c r="Z929" s="785"/>
      <c r="AB929" s="3">
        <v>1</v>
      </c>
      <c r="AE929" s="2461"/>
      <c r="AF929" s="68"/>
    </row>
  </sheetData>
  <autoFilter ref="A29:AB929"/>
  <mergeCells count="35">
    <mergeCell ref="S6:T6"/>
    <mergeCell ref="S7:S8"/>
    <mergeCell ref="T7:T8"/>
    <mergeCell ref="A2:Z2"/>
    <mergeCell ref="A3:Z3"/>
    <mergeCell ref="W7:W8"/>
    <mergeCell ref="X7:X8"/>
    <mergeCell ref="W6:X6"/>
    <mergeCell ref="Y6:Z6"/>
    <mergeCell ref="P6:P8"/>
    <mergeCell ref="Y7:Y8"/>
    <mergeCell ref="M6:M8"/>
    <mergeCell ref="E5:E8"/>
    <mergeCell ref="F5:F8"/>
    <mergeCell ref="H5:H8"/>
    <mergeCell ref="G5:G8"/>
    <mergeCell ref="N6:N8"/>
    <mergeCell ref="M5:R5"/>
    <mergeCell ref="K6:K8"/>
    <mergeCell ref="A5:A8"/>
    <mergeCell ref="D5:D8"/>
    <mergeCell ref="Z7:Z8"/>
    <mergeCell ref="B5:B8"/>
    <mergeCell ref="R6:R8"/>
    <mergeCell ref="I6:I8"/>
    <mergeCell ref="W5:Z5"/>
    <mergeCell ref="J6:J8"/>
    <mergeCell ref="Q6:Q8"/>
    <mergeCell ref="O6:O8"/>
    <mergeCell ref="S5:V5"/>
    <mergeCell ref="U6:V6"/>
    <mergeCell ref="U7:U8"/>
    <mergeCell ref="V7:V8"/>
    <mergeCell ref="I5:L5"/>
    <mergeCell ref="L6:L8"/>
  </mergeCells>
  <phoneticPr fontId="0" type="noConversion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Roman,обычный"&amp;10Могилевское ДРСУ-128&amp;R&amp;"Times New Roman,обычный"&amp;10&amp;P</oddFooter>
  </headerFooter>
  <rowBreaks count="21" manualBreakCount="21">
    <brk id="44" max="24" man="1"/>
    <brk id="78" max="24" man="1"/>
    <brk id="129" max="24" man="1"/>
    <brk id="174" max="24" man="1"/>
    <brk id="219" max="24" man="1"/>
    <brk id="248" max="24" man="1"/>
    <brk id="330" max="24" man="1"/>
    <brk id="397" max="24" man="1"/>
    <brk id="425" max="24" man="1"/>
    <brk id="459" max="24" man="1"/>
    <brk id="490" max="24" man="1"/>
    <brk id="517" max="24" man="1"/>
    <brk id="547" max="24" man="1"/>
    <brk id="582" max="24" man="1"/>
    <brk id="612" max="24" man="1"/>
    <brk id="680" max="24" man="1"/>
    <brk id="708" max="24" man="1"/>
    <brk id="793" max="24" man="1"/>
    <brk id="839" max="24" man="1"/>
    <brk id="882" max="24" man="1"/>
    <brk id="905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M594"/>
  <sheetViews>
    <sheetView zoomScale="90" zoomScaleNormal="90" workbookViewId="0">
      <pane xSplit="5" ySplit="10" topLeftCell="F14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9.58203125" defaultRowHeight="15.5" x14ac:dyDescent="0.35"/>
  <cols>
    <col min="1" max="1" width="4.4140625" style="7" customWidth="1"/>
    <col min="2" max="3" width="7.25" style="7" hidden="1" customWidth="1"/>
    <col min="4" max="4" width="7.33203125" style="7" customWidth="1"/>
    <col min="5" max="5" width="43.4140625" style="3" customWidth="1"/>
    <col min="6" max="6" width="6.75" style="7" customWidth="1"/>
    <col min="7" max="9" width="7.25" style="7" customWidth="1"/>
    <col min="10" max="10" width="7.08203125" style="7" customWidth="1"/>
    <col min="11" max="13" width="6.58203125" style="7" customWidth="1"/>
    <col min="14" max="14" width="7.33203125" style="7" customWidth="1"/>
    <col min="15" max="16" width="6.6640625" style="7" customWidth="1"/>
    <col min="17" max="18" width="7.08203125" style="7" customWidth="1"/>
    <col min="19" max="19" width="4.4140625" style="7" customWidth="1"/>
    <col min="20" max="20" width="7.25" style="7" customWidth="1"/>
    <col min="21" max="21" width="4.58203125" style="7" customWidth="1"/>
    <col min="22" max="22" width="5.58203125" style="7" customWidth="1"/>
    <col min="23" max="23" width="4.4140625" style="7" customWidth="1"/>
    <col min="24" max="24" width="7.75" style="7" customWidth="1"/>
    <col min="25" max="25" width="4.58203125" style="7" customWidth="1"/>
    <col min="26" max="26" width="7.9140625" style="7" customWidth="1"/>
    <col min="27" max="36" width="9.58203125" style="3"/>
    <col min="37" max="37" width="22.25" style="3" customWidth="1"/>
    <col min="38" max="16384" width="9.58203125" style="3"/>
  </cols>
  <sheetData>
    <row r="1" spans="1:39" x14ac:dyDescent="0.35">
      <c r="F1" s="60"/>
      <c r="T1" s="2066"/>
    </row>
    <row r="2" spans="1:39" ht="20" x14ac:dyDescent="0.4">
      <c r="A2" s="3123" t="s">
        <v>10629</v>
      </c>
      <c r="B2" s="3123"/>
      <c r="C2" s="3123"/>
      <c r="D2" s="3123"/>
      <c r="E2" s="3123"/>
      <c r="F2" s="3123"/>
      <c r="G2" s="3123"/>
      <c r="H2" s="3123"/>
      <c r="I2" s="3123"/>
      <c r="J2" s="3123"/>
      <c r="K2" s="3123"/>
      <c r="L2" s="3123"/>
      <c r="M2" s="3123"/>
      <c r="N2" s="3123"/>
      <c r="O2" s="3123"/>
      <c r="P2" s="3123"/>
      <c r="Q2" s="3123"/>
      <c r="R2" s="3123"/>
      <c r="S2" s="3123"/>
      <c r="T2" s="3123"/>
      <c r="U2" s="3123"/>
      <c r="V2" s="3123"/>
      <c r="W2" s="3123"/>
      <c r="X2" s="3123"/>
      <c r="Y2" s="3123"/>
      <c r="Z2" s="3123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F4" s="160"/>
      <c r="J4" s="1853"/>
    </row>
    <row r="5" spans="1:39" ht="15.7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1.5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" thickBot="1" x14ac:dyDescent="0.4">
      <c r="A10" s="1433"/>
      <c r="B10" s="1434"/>
      <c r="C10" s="1434"/>
      <c r="D10" s="1434"/>
      <c r="E10" s="1207" t="s">
        <v>2392</v>
      </c>
      <c r="F10" s="1450"/>
      <c r="G10" s="1450"/>
      <c r="H10" s="1450"/>
      <c r="I10" s="1451">
        <f>J10+K10+L10</f>
        <v>594.49199999999985</v>
      </c>
      <c r="J10" s="1451">
        <f>M10+N10+O10+P10+Q10+R10</f>
        <v>579.06699999999989</v>
      </c>
      <c r="K10" s="1451">
        <f t="shared" ref="K10:R10" si="0">K11+K12+K13+K14</f>
        <v>4.0200000000000005</v>
      </c>
      <c r="L10" s="1451">
        <f t="shared" si="0"/>
        <v>11.404999999999998</v>
      </c>
      <c r="M10" s="1451">
        <f t="shared" si="0"/>
        <v>0</v>
      </c>
      <c r="N10" s="1451">
        <f t="shared" si="0"/>
        <v>200.87299999999996</v>
      </c>
      <c r="O10" s="1451">
        <f t="shared" si="0"/>
        <v>0</v>
      </c>
      <c r="P10" s="1451">
        <f t="shared" si="0"/>
        <v>0</v>
      </c>
      <c r="Q10" s="1446">
        <f t="shared" si="0"/>
        <v>191.608</v>
      </c>
      <c r="R10" s="1441">
        <f t="shared" si="0"/>
        <v>186.5859999999999</v>
      </c>
      <c r="S10" s="1450">
        <f>SUM(S30:S992)</f>
        <v>31</v>
      </c>
      <c r="T10" s="1452">
        <f t="shared" ref="T10:Z10" si="1">SUM(T30:T992)</f>
        <v>730.32000000000016</v>
      </c>
      <c r="U10" s="1450">
        <f t="shared" si="1"/>
        <v>2</v>
      </c>
      <c r="V10" s="1452">
        <f t="shared" si="1"/>
        <v>84.1</v>
      </c>
      <c r="W10" s="1450">
        <f t="shared" si="1"/>
        <v>867</v>
      </c>
      <c r="X10" s="1452">
        <f t="shared" si="1"/>
        <v>11967.920000000002</v>
      </c>
      <c r="Y10" s="1450">
        <f t="shared" si="1"/>
        <v>264</v>
      </c>
      <c r="Z10" s="1711">
        <f t="shared" si="1"/>
        <v>2792.61</v>
      </c>
      <c r="AB10" s="1450">
        <f>SUM(AB30:AB485)</f>
        <v>269</v>
      </c>
      <c r="AK10" s="2150" t="s">
        <v>11226</v>
      </c>
      <c r="AL10" s="43"/>
      <c r="AM10" s="2812" t="s">
        <v>11227</v>
      </c>
    </row>
    <row r="11" spans="1:39" x14ac:dyDescent="0.35">
      <c r="A11" s="418"/>
      <c r="B11" s="1061"/>
      <c r="C11" s="1061"/>
      <c r="D11" s="419"/>
      <c r="E11" s="1264" t="s">
        <v>909</v>
      </c>
      <c r="F11" s="1245">
        <v>3</v>
      </c>
      <c r="G11" s="1245"/>
      <c r="H11" s="1245"/>
      <c r="I11" s="1454"/>
      <c r="J11" s="1454"/>
      <c r="K11" s="1454"/>
      <c r="L11" s="1454"/>
      <c r="M11" s="1454"/>
      <c r="N11" s="1454"/>
      <c r="O11" s="1454"/>
      <c r="P11" s="1454"/>
      <c r="Q11" s="1454"/>
      <c r="R11" s="1454"/>
      <c r="S11" s="419"/>
      <c r="T11" s="420"/>
      <c r="U11" s="421"/>
      <c r="V11" s="421"/>
      <c r="W11" s="422"/>
      <c r="X11" s="423"/>
      <c r="Y11" s="423"/>
      <c r="Z11" s="424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1</v>
      </c>
      <c r="AM11" s="2814">
        <f>AL11-J18</f>
        <v>0</v>
      </c>
    </row>
    <row r="12" spans="1:39" x14ac:dyDescent="0.35">
      <c r="A12" s="425"/>
      <c r="B12" s="1062"/>
      <c r="C12" s="1062"/>
      <c r="D12" s="167"/>
      <c r="E12" s="640"/>
      <c r="F12" s="1249">
        <v>4</v>
      </c>
      <c r="G12" s="1249"/>
      <c r="H12" s="1249"/>
      <c r="I12" s="1250">
        <f t="shared" ref="I12:I20" si="2">J12+K12+L12</f>
        <v>275.00599999999997</v>
      </c>
      <c r="J12" s="1250">
        <f t="shared" ref="J12:J20" si="3">R12+Q12+P12+O12+N12+M12</f>
        <v>264.61099999999999</v>
      </c>
      <c r="K12" s="1455">
        <f>SUMIF(F30:F982,4,K30:K982)</f>
        <v>4.0200000000000005</v>
      </c>
      <c r="L12" s="1455">
        <f>SUMIF(F30:F982,4,L30:L982)</f>
        <v>6.3749999999999982</v>
      </c>
      <c r="M12" s="1455">
        <f>SUMIF(F30:F982,4,M30:M982)</f>
        <v>0</v>
      </c>
      <c r="N12" s="1455">
        <f>SUMIF(F30:F982,4,N30:N982)</f>
        <v>157.32999999999996</v>
      </c>
      <c r="O12" s="1455">
        <f>SUMIF(F30:F982,4,O30:O982)</f>
        <v>0</v>
      </c>
      <c r="P12" s="1455">
        <f>SUMIF(F30:F982,4,P30:P982)</f>
        <v>0</v>
      </c>
      <c r="Q12" s="1456">
        <f>SUMIF(F30:F982,4,Q30:Q982)</f>
        <v>107.28100000000002</v>
      </c>
      <c r="R12" s="1457">
        <f>SUMIF(F30:F982,4,R30:R982)</f>
        <v>0</v>
      </c>
      <c r="S12" s="137"/>
      <c r="T12" s="415"/>
      <c r="U12" s="426"/>
      <c r="V12" s="426"/>
      <c r="W12" s="427"/>
      <c r="X12" s="137"/>
      <c r="Y12" s="137"/>
      <c r="Z12" s="428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425"/>
      <c r="B13" s="1062"/>
      <c r="C13" s="1062"/>
      <c r="D13" s="167"/>
      <c r="E13" s="640"/>
      <c r="F13" s="1249">
        <v>5</v>
      </c>
      <c r="G13" s="1249"/>
      <c r="H13" s="1249"/>
      <c r="I13" s="1250">
        <f t="shared" si="2"/>
        <v>128.285</v>
      </c>
      <c r="J13" s="1250">
        <f t="shared" si="3"/>
        <v>127.995</v>
      </c>
      <c r="K13" s="1455">
        <f>SUMIF(F30:F982,5,K30:K982)</f>
        <v>0</v>
      </c>
      <c r="L13" s="1455">
        <f>SUMIF(F30:F982,5,L30:L982)</f>
        <v>0.28999999999999915</v>
      </c>
      <c r="M13" s="1455">
        <f>SUMIF(F30:F982,5,M30:M982)</f>
        <v>0</v>
      </c>
      <c r="N13" s="1455">
        <f>SUMIF(F30:F982,5,N30:N982)</f>
        <v>39.182000000000002</v>
      </c>
      <c r="O13" s="1455">
        <f>SUMIF(F30:F982,5,O30:O982)</f>
        <v>0</v>
      </c>
      <c r="P13" s="1455">
        <f>SUMIF(F30:F982,5,P30:P982)</f>
        <v>0</v>
      </c>
      <c r="Q13" s="1456">
        <f>SUMIF(F30:F982,5,Q30:Q982)</f>
        <v>76.25</v>
      </c>
      <c r="R13" s="1457">
        <f>SUMIF(F30:F982,5,R30:R982)</f>
        <v>12.562999999999999</v>
      </c>
      <c r="S13" s="167"/>
      <c r="T13" s="415"/>
      <c r="U13" s="426"/>
      <c r="V13" s="426"/>
      <c r="W13" s="427"/>
      <c r="X13" s="137"/>
      <c r="Y13" s="137"/>
      <c r="Z13" s="428"/>
      <c r="AD13" s="2777" t="s">
        <v>11126</v>
      </c>
      <c r="AE13" s="2776"/>
      <c r="AF13" s="2778">
        <v>79</v>
      </c>
      <c r="AG13" s="2783">
        <f>M12+N12+O12</f>
        <v>157.32999999999996</v>
      </c>
      <c r="AH13" s="2783">
        <f>M13+N13+O13</f>
        <v>39.182000000000002</v>
      </c>
      <c r="AI13" s="2784">
        <f>M14+N14+O14</f>
        <v>4.3610000000000095</v>
      </c>
      <c r="AK13" s="2818" t="s">
        <v>7184</v>
      </c>
      <c r="AL13" s="2819">
        <f>AL14+AL15+AL16+AL17+AL18</f>
        <v>1</v>
      </c>
      <c r="AM13" s="2820">
        <f>AL13-AF29</f>
        <v>0</v>
      </c>
    </row>
    <row r="14" spans="1:39" x14ac:dyDescent="0.35">
      <c r="A14" s="425"/>
      <c r="B14" s="1062"/>
      <c r="C14" s="1062"/>
      <c r="D14" s="167"/>
      <c r="E14" s="640"/>
      <c r="F14" s="1249" t="s">
        <v>448</v>
      </c>
      <c r="G14" s="1249"/>
      <c r="H14" s="1249"/>
      <c r="I14" s="1250">
        <f>J14+K14+L14</f>
        <v>191.20099999999994</v>
      </c>
      <c r="J14" s="1250">
        <f>R14+Q14+P14+O14+N14+M14</f>
        <v>186.46099999999993</v>
      </c>
      <c r="K14" s="1250">
        <f>K15+K16+K17</f>
        <v>0</v>
      </c>
      <c r="L14" s="1250">
        <f>L15+L16+L17</f>
        <v>4.74</v>
      </c>
      <c r="M14" s="1250">
        <f t="shared" ref="M14:R14" si="4">M15+M16+M17</f>
        <v>0</v>
      </c>
      <c r="N14" s="1250">
        <f t="shared" si="4"/>
        <v>4.3610000000000095</v>
      </c>
      <c r="O14" s="1251">
        <f t="shared" si="4"/>
        <v>0</v>
      </c>
      <c r="P14" s="1317">
        <f t="shared" si="4"/>
        <v>0</v>
      </c>
      <c r="Q14" s="1252">
        <f t="shared" si="4"/>
        <v>8.0769999999999893</v>
      </c>
      <c r="R14" s="1256">
        <f t="shared" si="4"/>
        <v>174.02299999999991</v>
      </c>
      <c r="S14" s="167"/>
      <c r="T14" s="415"/>
      <c r="U14" s="426"/>
      <c r="V14" s="426"/>
      <c r="W14" s="427"/>
      <c r="X14" s="137"/>
      <c r="Y14" s="137"/>
      <c r="Z14" s="428"/>
      <c r="AD14" s="2777" t="s">
        <v>11127</v>
      </c>
      <c r="AE14" s="2776"/>
      <c r="AF14" s="2778">
        <v>80</v>
      </c>
      <c r="AG14" s="2785">
        <f>P12+Q12</f>
        <v>107.28100000000002</v>
      </c>
      <c r="AH14" s="2785">
        <f>P13+Q13</f>
        <v>76.25</v>
      </c>
      <c r="AI14" s="2786">
        <f>P14+Q14</f>
        <v>8.0769999999999893</v>
      </c>
      <c r="AK14" s="2815" t="s">
        <v>11230</v>
      </c>
      <c r="AL14" s="2579">
        <f>SUMIFS(M30:M949,F30:F949,4,G30:G949,3)</f>
        <v>0</v>
      </c>
      <c r="AM14" s="2817"/>
    </row>
    <row r="15" spans="1:39" x14ac:dyDescent="0.35">
      <c r="A15" s="425"/>
      <c r="B15" s="1062"/>
      <c r="C15" s="1062"/>
      <c r="D15" s="167"/>
      <c r="E15" s="640"/>
      <c r="F15" s="1253" t="s">
        <v>827</v>
      </c>
      <c r="G15" s="1249"/>
      <c r="H15" s="1249"/>
      <c r="I15" s="1318">
        <f>J15+K15+L15</f>
        <v>31.631</v>
      </c>
      <c r="J15" s="1318">
        <f>R15+Q15+P15+O15+N15+M15</f>
        <v>31.631</v>
      </c>
      <c r="K15" s="1318">
        <f>SUMIF(F30:F984,"=6а",K30:K984)</f>
        <v>0</v>
      </c>
      <c r="L15" s="1318">
        <f>SUMIF(F30:F984,"=6а",L30:L984)</f>
        <v>0</v>
      </c>
      <c r="M15" s="1318">
        <f>SUMIF(F30:F984,"=6а",M30:M984)</f>
        <v>0</v>
      </c>
      <c r="N15" s="1318">
        <f>SUMIF(F30:F984,"=6а",N30:N984)</f>
        <v>2.9610000000000092</v>
      </c>
      <c r="O15" s="1319">
        <f>SUMIF(F30:F984,"=6а",O30:O984)</f>
        <v>0</v>
      </c>
      <c r="P15" s="1320">
        <f>SUMIF(F30:F984,"=6а",P30:P984)</f>
        <v>0</v>
      </c>
      <c r="Q15" s="1321">
        <f>SUMIF(F30:F984,"=6а",Q30:Q984)</f>
        <v>5.9969999999999892</v>
      </c>
      <c r="R15" s="1322">
        <f>SUMIF(F30:F984,"=6а",R30:R984)</f>
        <v>22.673000000000002</v>
      </c>
      <c r="S15" s="167"/>
      <c r="T15" s="415"/>
      <c r="U15" s="426"/>
      <c r="V15" s="426"/>
      <c r="W15" s="427"/>
      <c r="X15" s="137"/>
      <c r="Y15" s="137"/>
      <c r="Z15" s="428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12.562999999999999</v>
      </c>
      <c r="AI15" s="2788">
        <f>R14</f>
        <v>174.02299999999991</v>
      </c>
      <c r="AK15" s="2815" t="s">
        <v>11231</v>
      </c>
      <c r="AL15" s="2579">
        <f>SUMIFS(N30:N949,F30:F949,4,G30:G949,3)</f>
        <v>1</v>
      </c>
      <c r="AM15" s="2817"/>
    </row>
    <row r="16" spans="1:39" x14ac:dyDescent="0.35">
      <c r="A16" s="425"/>
      <c r="B16" s="1062"/>
      <c r="C16" s="1062"/>
      <c r="D16" s="167"/>
      <c r="E16" s="1265"/>
      <c r="F16" s="1254" t="s">
        <v>1490</v>
      </c>
      <c r="G16" s="1249"/>
      <c r="H16" s="1249"/>
      <c r="I16" s="1318">
        <f>J16+K16+L16</f>
        <v>5.68</v>
      </c>
      <c r="J16" s="1318">
        <f>R16+Q16+P16+O16+N16+M16</f>
        <v>4.88</v>
      </c>
      <c r="K16" s="1318">
        <f>SUMIF(F30:F985,"=6б",K30:K985)</f>
        <v>0</v>
      </c>
      <c r="L16" s="1318">
        <f>SUMIF(F30:F985,"=6б",L30:L985)</f>
        <v>0.8</v>
      </c>
      <c r="M16" s="1318">
        <f>SUMIF(F30:F985,"=6б",M30:M985)</f>
        <v>0</v>
      </c>
      <c r="N16" s="1318">
        <f>SUMIF(F30:F985,"=6б",N30:N985)</f>
        <v>0</v>
      </c>
      <c r="O16" s="1319">
        <f>SUMIF(F30:F985,"=6б",O30:O985)</f>
        <v>0</v>
      </c>
      <c r="P16" s="1320">
        <f>SUMIF(F30:F985,"=6б",P30:P985)</f>
        <v>0</v>
      </c>
      <c r="Q16" s="1321">
        <f>SUMIF(F30:F985,"=6б",Q30:Q985)</f>
        <v>1.93</v>
      </c>
      <c r="R16" s="1322">
        <f>SUMIF(F30:F985,"=6б",R30:R985)</f>
        <v>2.95</v>
      </c>
      <c r="S16" s="167"/>
      <c r="T16" s="415"/>
      <c r="U16" s="426"/>
      <c r="V16" s="426"/>
      <c r="W16" s="427"/>
      <c r="X16" s="137"/>
      <c r="Y16" s="137"/>
      <c r="Z16" s="428"/>
      <c r="AK16" s="2815" t="s">
        <v>11232</v>
      </c>
      <c r="AL16" s="2579">
        <f>SUMIFS(O30:O949,F30:F949,4,G30:G949,3)</f>
        <v>0</v>
      </c>
      <c r="AM16" s="2817"/>
    </row>
    <row r="17" spans="1:39" x14ac:dyDescent="0.35">
      <c r="A17" s="425"/>
      <c r="B17" s="1062"/>
      <c r="C17" s="1062"/>
      <c r="D17" s="167"/>
      <c r="E17" s="1265"/>
      <c r="F17" s="2271" t="s">
        <v>449</v>
      </c>
      <c r="G17" s="1249"/>
      <c r="H17" s="1249"/>
      <c r="I17" s="2272">
        <f>J17+K17+L17</f>
        <v>153.88999999999993</v>
      </c>
      <c r="J17" s="2272">
        <f>R17+Q17+P17+O17+N17+M17</f>
        <v>149.94999999999993</v>
      </c>
      <c r="K17" s="2272">
        <f>SUMIF(F30:F986,"=б/к",K30:K986)</f>
        <v>0</v>
      </c>
      <c r="L17" s="2272">
        <f>SUMIF(F30:F986,"=б/к",L30:L986)</f>
        <v>3.94</v>
      </c>
      <c r="M17" s="2272">
        <f>SUMIF(F30:F986,"=б/к",M30:M986)</f>
        <v>0</v>
      </c>
      <c r="N17" s="2272">
        <f>SUMIF(F30:F986,"=б/к",N30:N986)</f>
        <v>1.4</v>
      </c>
      <c r="O17" s="2272">
        <f>SUMIF(F30:F986,"=б/к",O30:O986)</f>
        <v>0</v>
      </c>
      <c r="P17" s="2272">
        <f>SUMIF(F30:F986,"=б/к",P30:P986)</f>
        <v>0</v>
      </c>
      <c r="Q17" s="2273">
        <f>SUMIF(F30:F986,"=б/к",Q30:Q986)</f>
        <v>0.15</v>
      </c>
      <c r="R17" s="2274">
        <f>SUMIF(F30:F986,"=б/к",R30:R986)</f>
        <v>148.39999999999992</v>
      </c>
      <c r="S17" s="167"/>
      <c r="T17" s="415"/>
      <c r="U17" s="426"/>
      <c r="V17" s="426"/>
      <c r="W17" s="427"/>
      <c r="X17" s="137"/>
      <c r="Y17" s="137"/>
      <c r="Z17" s="428"/>
      <c r="AK17" s="2815" t="s">
        <v>11233</v>
      </c>
      <c r="AL17" s="2579">
        <f>SUMIFS(P30:P949,F30:F949,4,G30:G949,3)+SUMIFS(Q30:Q949,F30:F949,4,G30:G949,3)</f>
        <v>0</v>
      </c>
      <c r="AM17" s="2817"/>
    </row>
    <row r="18" spans="1:39" x14ac:dyDescent="0.35">
      <c r="A18" s="425"/>
      <c r="B18" s="1062"/>
      <c r="C18" s="1062"/>
      <c r="D18" s="167"/>
      <c r="E18" s="1266"/>
      <c r="F18" s="1266" t="s">
        <v>3303</v>
      </c>
      <c r="G18" s="1241">
        <v>3</v>
      </c>
      <c r="H18" s="1241"/>
      <c r="I18" s="2077">
        <f t="shared" si="2"/>
        <v>1</v>
      </c>
      <c r="J18" s="2077">
        <f t="shared" si="3"/>
        <v>1</v>
      </c>
      <c r="K18" s="2077">
        <f>SUMIF(G30:G982,3,K30:K982)</f>
        <v>0</v>
      </c>
      <c r="L18" s="2077">
        <f>SUMIF(G30:G982,3,L30:L982)</f>
        <v>0</v>
      </c>
      <c r="M18" s="2077">
        <f>SUMIF(G30:G982,3,M30:M982)</f>
        <v>0</v>
      </c>
      <c r="N18" s="2077">
        <f>SUMIF(G30:G982,3,N30:N982)</f>
        <v>1</v>
      </c>
      <c r="O18" s="2077">
        <f>SUMIF(G30:G982,3,O30:O982)</f>
        <v>0</v>
      </c>
      <c r="P18" s="2077">
        <f>SUMIF(G30:G982,3,P30:P982)</f>
        <v>0</v>
      </c>
      <c r="Q18" s="2078">
        <f>SUMIF(G30:G982,3,Q30:Q982)</f>
        <v>0</v>
      </c>
      <c r="R18" s="2079">
        <f>SUMIF(G30:G982,3,R30:R982)</f>
        <v>0</v>
      </c>
      <c r="S18" s="167"/>
      <c r="T18" s="415"/>
      <c r="U18" s="426"/>
      <c r="V18" s="426"/>
      <c r="W18" s="427"/>
      <c r="X18" s="137"/>
      <c r="Y18" s="137"/>
      <c r="Z18" s="428"/>
      <c r="AK18" s="2815" t="s">
        <v>910</v>
      </c>
      <c r="AL18" s="2579">
        <f>SUMIFS(R30:R949,F30:F949,4,G30:G949,3)</f>
        <v>0</v>
      </c>
      <c r="AM18" s="2817"/>
    </row>
    <row r="19" spans="1:39" x14ac:dyDescent="0.35">
      <c r="A19" s="425"/>
      <c r="B19" s="1062"/>
      <c r="C19" s="1062"/>
      <c r="D19" s="167"/>
      <c r="E19" s="98"/>
      <c r="F19" s="1240"/>
      <c r="G19" s="1241">
        <v>4</v>
      </c>
      <c r="H19" s="1241"/>
      <c r="I19" s="2077">
        <f t="shared" si="2"/>
        <v>265.53699999999992</v>
      </c>
      <c r="J19" s="2077">
        <f t="shared" si="3"/>
        <v>255.34199999999993</v>
      </c>
      <c r="K19" s="2077">
        <f>SUMIF(G30:G982,4,K30:K982)</f>
        <v>4.0200000000000005</v>
      </c>
      <c r="L19" s="2077">
        <f>SUMIF(G30:G982,4,L30:L982)</f>
        <v>6.1749999999999972</v>
      </c>
      <c r="M19" s="2077">
        <f>SUMIF(G30:G982,4,M30:M982)</f>
        <v>0</v>
      </c>
      <c r="N19" s="2077">
        <f>SUMIF(G30:G982,4,N30:N982)</f>
        <v>157.92999999999992</v>
      </c>
      <c r="O19" s="2077">
        <f>SUMIF(G30:G982,4,O30:O982)</f>
        <v>0</v>
      </c>
      <c r="P19" s="2077">
        <f>SUMIF(G30:G982,4,P30:P982)</f>
        <v>0</v>
      </c>
      <c r="Q19" s="2078">
        <f>SUMIF(G30:G982,4,Q30:Q982)</f>
        <v>95.439000000000021</v>
      </c>
      <c r="R19" s="2079">
        <f>SUMIF(G30:G982,4,R30:R982)</f>
        <v>1.9729999999999994</v>
      </c>
      <c r="S19" s="167"/>
      <c r="T19" s="415"/>
      <c r="U19" s="426"/>
      <c r="V19" s="426"/>
      <c r="W19" s="427"/>
      <c r="X19" s="137"/>
      <c r="Y19" s="137"/>
      <c r="Z19" s="428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1418"/>
      <c r="B20" s="1419"/>
      <c r="C20" s="1419"/>
      <c r="D20" s="1420"/>
      <c r="E20" s="319"/>
      <c r="F20" s="1258"/>
      <c r="G20" s="1259">
        <v>5</v>
      </c>
      <c r="H20" s="1259"/>
      <c r="I20" s="2080">
        <f t="shared" si="2"/>
        <v>327.95500000000004</v>
      </c>
      <c r="J20" s="2080">
        <f t="shared" si="3"/>
        <v>322.72500000000002</v>
      </c>
      <c r="K20" s="2080">
        <f>SUMIF(G30:G982,5,K30:K982)</f>
        <v>0</v>
      </c>
      <c r="L20" s="2080">
        <f>SUMIF(G30:G982,5,L30:L982)</f>
        <v>5.2299999999999995</v>
      </c>
      <c r="M20" s="2080">
        <f>SUMIF(G30:G982,5,M30:M982)</f>
        <v>0</v>
      </c>
      <c r="N20" s="2080">
        <f>SUMIF(G30:G982,5,N30:N982)</f>
        <v>41.943000000000012</v>
      </c>
      <c r="O20" s="2080">
        <f>SUMIF(G30:G982,5,O30:O982)</f>
        <v>0</v>
      </c>
      <c r="P20" s="2080">
        <f>SUMIF(G30:G982,5,P30:P982)</f>
        <v>0</v>
      </c>
      <c r="Q20" s="2081">
        <f>SUMIF(G30:G982,5,Q30:Q982)</f>
        <v>96.168999999999969</v>
      </c>
      <c r="R20" s="2082">
        <f>SUMIF(G30:G982,5,R30:R982)</f>
        <v>184.613</v>
      </c>
      <c r="S20" s="1420"/>
      <c r="T20" s="1421"/>
      <c r="U20" s="1422"/>
      <c r="V20" s="1422"/>
      <c r="W20" s="1423"/>
      <c r="X20" s="1424"/>
      <c r="Y20" s="1424"/>
      <c r="Z20" s="1425"/>
      <c r="AK20" s="2815" t="s">
        <v>11230</v>
      </c>
      <c r="AL20" s="2579">
        <f>SUMIFS(M30:M949,F30:F949,5,G30:G949,3)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SUMIFS(N30:N949,F30:F949,5,G30:G949,3)</f>
        <v>0</v>
      </c>
      <c r="AM21" s="2817"/>
    </row>
    <row r="22" spans="1:39" customFormat="1" x14ac:dyDescent="0.35">
      <c r="A22" s="285"/>
      <c r="B22" s="993"/>
      <c r="C22" s="993"/>
      <c r="D22" s="538">
        <f>SUMIF(C30:C916,"=сад",AB30:AB916)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SUMIF(C30:C916,"=сад",K30:K916)</f>
        <v>0</v>
      </c>
      <c r="L22" s="2247">
        <f>SUMIF(C30:C916,"=сад",L30:L916)</f>
        <v>0</v>
      </c>
      <c r="M22" s="2247">
        <f>SUMIF(C30:C916,"=сад",M30:M916)</f>
        <v>0</v>
      </c>
      <c r="N22" s="2247">
        <f>SUMIF(C30:C916,"=сад",N30:N916)</f>
        <v>0</v>
      </c>
      <c r="O22" s="2248">
        <f>SUMIF(C30:C916,"=сад",O30:O916)</f>
        <v>0</v>
      </c>
      <c r="P22" s="2247">
        <f>SUMIF(C30:C916,"=сад",P30:P916)</f>
        <v>0</v>
      </c>
      <c r="Q22" s="2249">
        <f>SUMIF(C30:C916,"=сад",Q30:Q916)</f>
        <v>0</v>
      </c>
      <c r="R22" s="2250">
        <f>SUMIF(C30:C916,"=сад",R30:R916)</f>
        <v>0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SUMIFS(O30:O949,F30:F949,5,G30:G949,3)</f>
        <v>0</v>
      </c>
      <c r="AM22" s="2817"/>
    </row>
    <row r="23" spans="1:39" customFormat="1" x14ac:dyDescent="0.35">
      <c r="A23" s="285"/>
      <c r="B23" s="993"/>
      <c r="C23" s="993"/>
      <c r="D23" s="538">
        <f>SUMIF(C30:C917,"=индив",AB30:AB917)</f>
        <v>1</v>
      </c>
      <c r="E23" s="2241" t="s">
        <v>2762</v>
      </c>
      <c r="F23" s="98"/>
      <c r="G23" s="226"/>
      <c r="H23" s="226"/>
      <c r="I23" s="2247">
        <f>J23+K23+L23</f>
        <v>0.45</v>
      </c>
      <c r="J23" s="2247">
        <f>R23+Q23+P23+O23+N23+M23</f>
        <v>0.45</v>
      </c>
      <c r="K23" s="2247">
        <f>SUMIF(C30:C917,"=индив",K30:K917)</f>
        <v>0</v>
      </c>
      <c r="L23" s="2247">
        <f>SUMIF(C30:C917,"=индив",L30:L917)</f>
        <v>0</v>
      </c>
      <c r="M23" s="2247">
        <f>SUMIF(C30:C917,"=индив",M30:M917)</f>
        <v>0</v>
      </c>
      <c r="N23" s="2247">
        <f>SUMIF(C30:C917,"=индив",N30:N917)</f>
        <v>0</v>
      </c>
      <c r="O23" s="2248">
        <f>SUMIF(C30:C917,"=индив",O30:O917)</f>
        <v>0</v>
      </c>
      <c r="P23" s="2247">
        <f>SUMIF(C30:C917,"=индив",P30:P917)</f>
        <v>0</v>
      </c>
      <c r="Q23" s="2249">
        <f>SUMIF(C30:C917,"=индив",Q30:Q917)</f>
        <v>0</v>
      </c>
      <c r="R23" s="2250">
        <f>SUMIF(C30:C917,"=индив",R30:R917)</f>
        <v>0.45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SUMIFS(P30:P949,F30:F949,5,G30:G949,3)+SUMIFS(Q30:Q949,F30:F949,5,G30:G949,3)</f>
        <v>0</v>
      </c>
      <c r="AM23" s="2817"/>
    </row>
    <row r="24" spans="1:39" customFormat="1" x14ac:dyDescent="0.35">
      <c r="A24" s="285"/>
      <c r="B24" s="993"/>
      <c r="C24" s="993"/>
      <c r="D24" s="538">
        <f>SUMIF(C30:C918,"=кладб",AB30:AB918)</f>
        <v>148</v>
      </c>
      <c r="E24" s="2241" t="s">
        <v>2761</v>
      </c>
      <c r="F24" s="98"/>
      <c r="G24" s="226"/>
      <c r="H24" s="226"/>
      <c r="I24" s="2247">
        <f>J24+K24+L24</f>
        <v>98.650000000000034</v>
      </c>
      <c r="J24" s="2247">
        <f>R24+Q24+P24+O24+N24+M24</f>
        <v>93.910000000000039</v>
      </c>
      <c r="K24" s="2247">
        <f>SUMIF(C30:C918,"=кладб",K30:K918)</f>
        <v>0</v>
      </c>
      <c r="L24" s="2247">
        <f>SUMIF(C30:C918,"=кладб",L30:L918)</f>
        <v>4.7399999999999993</v>
      </c>
      <c r="M24" s="2247">
        <f>SUMIF(C30:C918,"=кладб",M30:M918)</f>
        <v>0</v>
      </c>
      <c r="N24" s="2247">
        <f>SUMIF(C30:C918,"=кладб",N30:N918)</f>
        <v>1.5999999999999999</v>
      </c>
      <c r="O24" s="2248">
        <f>SUMIF(C30:C918,"=кладб",O30:O918)</f>
        <v>0</v>
      </c>
      <c r="P24" s="2247">
        <f>SUMIF(C30:C918,"=кладб",P30:P918)</f>
        <v>0</v>
      </c>
      <c r="Q24" s="2249">
        <f>SUMIF(C30:C918,"=кладб",Q30:Q918)</f>
        <v>1.1499999999999999</v>
      </c>
      <c r="R24" s="2250">
        <f>SUMIF(C30:C918,"=кладб",R30:R918)</f>
        <v>91.160000000000039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SUMIFS(R30:R949,F30:F949,5,G30:G949,3)</f>
        <v>0</v>
      </c>
      <c r="AM24" s="2817"/>
    </row>
    <row r="25" spans="1:39" customFormat="1" x14ac:dyDescent="0.35">
      <c r="A25" s="387"/>
      <c r="B25" s="994"/>
      <c r="C25" s="994"/>
      <c r="D25" s="538">
        <f>SUMIF(C30:C919,"=прир",AB30:AB919)</f>
        <v>2</v>
      </c>
      <c r="E25" s="2241" t="s">
        <v>2760</v>
      </c>
      <c r="F25" s="319"/>
      <c r="G25" s="2258"/>
      <c r="H25" s="2258"/>
      <c r="I25" s="2259">
        <f>J25+K25+L25</f>
        <v>2</v>
      </c>
      <c r="J25" s="2259">
        <f>R25+Q25+P25+O25+N25+M25</f>
        <v>2</v>
      </c>
      <c r="K25" s="2259">
        <f>SUMIF(C30:C919,"=прир",K30:K919)</f>
        <v>0</v>
      </c>
      <c r="L25" s="2259">
        <f>SUMIF(C30:C919,"=прир",L30:L919)</f>
        <v>0</v>
      </c>
      <c r="M25" s="2259">
        <f>SUMIF(C30:C919,"=прир",M30:M919)</f>
        <v>0</v>
      </c>
      <c r="N25" s="2259">
        <f>SUMIF(C30:C919,"=прир",N30:N919)</f>
        <v>0.60000000000000009</v>
      </c>
      <c r="O25" s="2260">
        <f>SUMIF(C30:C919,"=прир",O30:O919)</f>
        <v>0</v>
      </c>
      <c r="P25" s="2259">
        <f>SUMIF(C30:C919,"=прир",P30:P919)</f>
        <v>0</v>
      </c>
      <c r="Q25" s="2261">
        <f>SUMIF(C30:C919,"=прир",Q30:Q919)</f>
        <v>1.4</v>
      </c>
      <c r="R25" s="2262">
        <f>SUMIF(C30:C919,"=прир",R30:R919)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SUMIF(C30:C920,"=ист",AB30:AB920)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SUMIF(C30:C920,"=ист",K30:K920)</f>
        <v>0</v>
      </c>
      <c r="L26" s="2259">
        <f>SUMIF(C30:C920,"=ист",L30:L920)</f>
        <v>0</v>
      </c>
      <c r="M26" s="2259">
        <f>SUMIF(C30:C920,"=ист",M30:M920)</f>
        <v>0</v>
      </c>
      <c r="N26" s="2259">
        <f>SUMIF(C30:C920,"=ист",N30:N920)</f>
        <v>0</v>
      </c>
      <c r="O26" s="2260">
        <f>SUMIF(C30:C920,"=ист",O30:O920)</f>
        <v>0</v>
      </c>
      <c r="P26" s="2259">
        <f>SUMIF(C30:C920,"=ист",P30:P920)</f>
        <v>0</v>
      </c>
      <c r="Q26" s="2261">
        <f>SUMIF(C30:C920,"=ист",Q30:Q920)</f>
        <v>0</v>
      </c>
      <c r="R26" s="2262">
        <f>SUMIF(C30:C920,"=ист",R30:R920)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SUMIFS(M30:M949,F30:F949,"6а",G30:G949,3)+SUMIFS(M30:M949,F30:F949,"6б",G30:G949,3)+SUMIFS(M30:M949,F30:F949,"б/к",G30:G949,3)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SUMIFS(N30:N949,F30:F949,"6а",G30:G949,3)+SUMIFS(N30:N949,F30:F949,"6б",G30:G949,3)+SUMIFS(N30:N949,F30:F949,"б/к",G30:G949,3)</f>
        <v>0</v>
      </c>
      <c r="AM27" s="2817"/>
    </row>
    <row r="28" spans="1:39" ht="16" thickBot="1" x14ac:dyDescent="0.4">
      <c r="A28" s="1433"/>
      <c r="B28" s="1434"/>
      <c r="C28" s="1434"/>
      <c r="D28" s="1434"/>
      <c r="E28" s="451"/>
      <c r="F28" s="1434"/>
      <c r="G28" s="1434"/>
      <c r="H28" s="1434"/>
      <c r="I28" s="2325">
        <f t="shared" ref="I28:R28" si="5">SUBTOTAL(9,I30:I638)</f>
        <v>594.49200000000019</v>
      </c>
      <c r="J28" s="2325">
        <f t="shared" si="5"/>
        <v>579.06700000000001</v>
      </c>
      <c r="K28" s="2325">
        <f t="shared" si="5"/>
        <v>8.0400000000000009</v>
      </c>
      <c r="L28" s="2325">
        <f t="shared" si="5"/>
        <v>22.809999999999995</v>
      </c>
      <c r="M28" s="2325">
        <f t="shared" si="5"/>
        <v>0</v>
      </c>
      <c r="N28" s="2325">
        <f t="shared" si="5"/>
        <v>359.59399999999994</v>
      </c>
      <c r="O28" s="2325">
        <f t="shared" si="5"/>
        <v>0</v>
      </c>
      <c r="P28" s="2325">
        <f t="shared" si="5"/>
        <v>0</v>
      </c>
      <c r="Q28" s="2325">
        <f t="shared" si="5"/>
        <v>354.5270000000001</v>
      </c>
      <c r="R28" s="2325">
        <f t="shared" si="5"/>
        <v>230.23899999999995</v>
      </c>
      <c r="S28" s="1434"/>
      <c r="T28" s="1435"/>
      <c r="U28" s="1436"/>
      <c r="V28" s="1436"/>
      <c r="W28" s="1437"/>
      <c r="X28" s="1438"/>
      <c r="Y28" s="1438"/>
      <c r="Z28" s="1439"/>
      <c r="AB28" s="2322">
        <f>SUBTOTAL(9,AB30:AB638)</f>
        <v>269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SUMIFS(O30:O949,F30:F949,"6а",G30:G949,3)+SUMIFS(O30:O949,F30:F949,"6б",G30:G949,3)+SUMIFS(O30:O949,F30:F949,"б/к",G30:G949,3)</f>
        <v>0</v>
      </c>
      <c r="AM28" s="2817"/>
    </row>
    <row r="29" spans="1:39" x14ac:dyDescent="0.35">
      <c r="A29" s="1426"/>
      <c r="B29" s="1427"/>
      <c r="C29" s="1427"/>
      <c r="D29" s="1428"/>
      <c r="E29" s="1453" t="s">
        <v>2871</v>
      </c>
      <c r="F29" s="1428"/>
      <c r="G29" s="1428"/>
      <c r="H29" s="1428"/>
      <c r="I29" s="1429"/>
      <c r="J29" s="1429"/>
      <c r="K29" s="1429"/>
      <c r="L29" s="1429"/>
      <c r="M29" s="1429"/>
      <c r="N29" s="1429"/>
      <c r="O29" s="1429"/>
      <c r="P29" s="1429"/>
      <c r="Q29" s="1447"/>
      <c r="R29" s="1442"/>
      <c r="S29" s="1428"/>
      <c r="T29" s="1430"/>
      <c r="U29" s="1428"/>
      <c r="V29" s="1428"/>
      <c r="W29" s="1431"/>
      <c r="X29" s="1431"/>
      <c r="Y29" s="1428"/>
      <c r="Z29" s="1432"/>
      <c r="AD29" s="2578" t="s">
        <v>7180</v>
      </c>
      <c r="AE29" s="2579">
        <f>SUMIFS(M30:M886,F30:F886,3,G30:G886,3)+SUMIFS(N30:N886,F30:F886,3,G30:G886,3)+SUMIFS(O30:O886,F30:F886,3,G30:G886,3)+SUMIFS(P30:P886,F30:F886,3,G30:G886,3)+SUMIFS(Q30:Q886,F30:F886,3,G30:G886,3)+SUMIFS(R30:R886,F30:F886,3,G30:G886,3)</f>
        <v>0</v>
      </c>
      <c r="AF29" s="2579">
        <f>SUMIFS(M30:M886,F30:F886,4,G30:G886,3)+SUMIFS(N30:N886,F30:F886,4,G30:G886,3)+SUMIFS(O30:O886,F30:F886,4,G30:G886,3)+SUMIFS(P30:P886,F30:F886,4,G30:G886,3)+SUMIFS(Q30:Q886,F30:F886,4,G30:G886,3)+SUMIFS(R30:R886,F30:F886,4,G30:G886,3)</f>
        <v>1</v>
      </c>
      <c r="AG29" s="2579">
        <f>SUMIFS(M30:M886,F30:F886,5,G30:G886,3)+SUMIFS(N30:N886,F30:F886,5,G30:G886,3)+SUMIFS(O30:O886,F30:F886,5,G30:G886,3)+SUMIFS(P30:P886,F30:F886,5,G30:G886,3)+SUMIFS(Q30:Q886,F30:F886,5,G30:G886,3)+SUMIFS(R30:R886,F30:F886,5,G30:G886,3)</f>
        <v>0</v>
      </c>
      <c r="AH29" s="2579">
        <f>SUMIFS(M30:M886,F30:F886,"6а",G30:G886,3)+SUMIFS(N30:N886,F30:F886,"6а",G30:G886,3)+SUMIFS(O30:O886,F30:F886,"6а",G30:G886,3)+SUMIFS(P30:P886,F30:F886,"6а",G30:G886,3)+SUMIFS(Q30:Q886,F30:F886,"6а",G30:G886,3)+SUMIFS(R30:R886,F30:F886,"6а",G30:G886,3)</f>
        <v>0</v>
      </c>
      <c r="AI29" s="2579">
        <f>SUMIFS(M30:M886,F30:F886,"6б",G30:G886,3)+SUMIFS(N30:N886,F30:F886,"6б",G30:G886,3)+SUMIFS(O30:O886,F30:F886,"6б",G30:G886,3)+SUMIFS(P30:P886,F30:F886,"6б",G30:G886,3)+SUMIFS(Q30:Q886,F30:F886,"6б",G30:G886,3)+SUMIFS(R30:R886,F30:F886,"6б",G30:G886,3)</f>
        <v>0</v>
      </c>
      <c r="AJ29" s="2580">
        <f>SUMIFS(M30:M886,F30:F886,"б/к",G30:G886,3)+SUMIFS(N30:N886,F30:F886,"б/к",G30:G886,3)+SUMIFS(O30:O886,F30:F886,"б/к",G30:G886,3)+SUMIFS(P30:P886,F30:F886,"б/к",G30:G886,3)+SUMIFS(Q30:Q886,F30:F886,"б/к",G30:G886,3)+SUMIFS(R30:R886,F30:F886,"б/к",G30:G886,3)</f>
        <v>0</v>
      </c>
      <c r="AK29" s="2815" t="s">
        <v>11233</v>
      </c>
      <c r="AL29" s="2579">
        <f>SUMIFS(P30:P949,F30:F949,"6а",G30:G949,3)+SUMIFS(Q30:Q949,F30:F949,"6а",G30:G949,3)+SUMIFS(P30:P949,F30:F949,"6б",G30:G949,3)+SUMIFS(Q30:Q949,F30:F949,"6б",G30:G949,3)+SUMIFS(P30:P949,F30:F949,"б/к",G30:G949,3)+SUMIFS(Q30:Q949,F30:F949,"б/к",G30:G949,3)</f>
        <v>0</v>
      </c>
      <c r="AM29" s="2817"/>
    </row>
    <row r="30" spans="1:39" ht="30" x14ac:dyDescent="0.35">
      <c r="A30" s="441">
        <v>1</v>
      </c>
      <c r="B30" s="358">
        <v>10381</v>
      </c>
      <c r="C30" s="358"/>
      <c r="D30" s="358" t="s">
        <v>2626</v>
      </c>
      <c r="E30" s="417" t="s">
        <v>2835</v>
      </c>
      <c r="F30" s="41"/>
      <c r="G30" s="50" t="s">
        <v>191</v>
      </c>
      <c r="H30" s="50" t="s">
        <v>191</v>
      </c>
      <c r="I30" s="762">
        <f>J30+K30+L30</f>
        <v>14.1</v>
      </c>
      <c r="J30" s="762">
        <f>SUM(M30:R30)</f>
        <v>14.1</v>
      </c>
      <c r="K30" s="762"/>
      <c r="L30" s="762"/>
      <c r="M30" s="762"/>
      <c r="N30" s="762">
        <f>SUM(N31:N36)</f>
        <v>3.8399999999999994</v>
      </c>
      <c r="O30" s="763"/>
      <c r="P30" s="762"/>
      <c r="Q30" s="1445">
        <f>SUM(Q31:Q36)</f>
        <v>10.26</v>
      </c>
      <c r="R30" s="1440"/>
      <c r="S30" s="49">
        <v>2</v>
      </c>
      <c r="T30" s="255">
        <v>46.5</v>
      </c>
      <c r="U30" s="49"/>
      <c r="V30" s="49"/>
      <c r="W30" s="168">
        <v>25</v>
      </c>
      <c r="X30" s="168">
        <v>317.89999999999998</v>
      </c>
      <c r="Y30" s="42">
        <v>9</v>
      </c>
      <c r="Z30" s="107">
        <v>85</v>
      </c>
      <c r="AB30" s="3">
        <v>1</v>
      </c>
      <c r="AD30" s="2578" t="s">
        <v>7181</v>
      </c>
      <c r="AE30" s="2579">
        <f>SUMIFS(M30:M886,F30:F886,3,G30:G886,4)+SUMIFS(N30:N886,F30:F886,3,G30:G886,4)+SUMIFS(O30:O886,F30:F886,3,G30:G886,4)+SUMIFS(P30:P886,F30:F886,3,G30:G886,4)+SUMIFS(Q30:Q886,F30:F886,3,G30:G886,4)+SUMIFS(R30:R886,F30:F886,3,G30:G886,4)</f>
        <v>0</v>
      </c>
      <c r="AF30" s="2579">
        <f>SUMIFS(M30:M886,F30:F886,4,G30:G886,4)+SUMIFS(N30:N886,F30:F886,4,G30:G886,4)+SUMIFS(O30:O886,F30:F886,4,G30:G886,4)+SUMIFS(P30:P886,F30:F886,4,G30:G886,4)+SUMIFS(Q30:Q886,F30:F886,4,G30:G886,4)+SUMIFS(R30:R886,F30:F886,4,G30:G886,4)</f>
        <v>221.40099999999998</v>
      </c>
      <c r="AG30" s="2579">
        <f>SUMIFS(M30:M886,F30:F886,5,G30:G886,4)+SUMIFS(N30:N886,F30:F886,5,G30:G886,4)+SUMIFS(O30:O886,F30:F886,5,G30:G886,4)+SUMIFS(P30:P886,F30:F886,5,G30:G886,4)+SUMIFS(Q30:Q886,F30:F886,5,G30:G886,4)+SUMIFS(R30:R886,F30:F886,5,G30:G886,4)</f>
        <v>31.971000000000004</v>
      </c>
      <c r="AH30" s="2579">
        <f>SUMIFS(M30:M886,F30:F886,"6а",G30:G886,4)+SUMIFS(N30:N886,F30:F886,"6а",G30:G886,4)+SUMIFS(O30:O886,F30:F886,"6а",G30:G886,4)+SUMIFS(P30:P886,F30:F886,"6а",G30:G886,4)+SUMIFS(Q30:Q886,F30:F886,"6а",G30:G886,4)+SUMIFS(R30:R886,F30:F886,"6а",G30:G886,4)</f>
        <v>1.04</v>
      </c>
      <c r="AI30" s="2579">
        <f>SUMIFS(M30:M886,F30:F886,"6б",G30:G886,4)+SUMIFS(N30:N886,F30:F886,"6б",G30:G886,4)+SUMIFS(O30:O886,F30:F886,"6б",G30:G886,4)+SUMIFS(P30:P886,F30:F886,"6б",G30:G886,4)+SUMIFS(Q30:Q886,F30:F886,"6б",G30:G886,4)+SUMIFS(R30:R886,F30:F886,"6б",G30:G886,4)</f>
        <v>0</v>
      </c>
      <c r="AJ30" s="2580">
        <f>SUMIFS(M30:M886,F30:F886,"б/к",G30:G886,4)+SUMIFS(N30:N886,F30:F886,"б/к",G30:G886,4)+SUMIFS(O30:O886,F30:F886,"б/к",G30:G886,4)+SUMIFS(P30:P886,F30:F886,"б/к",G30:G886,4)+SUMIFS(Q30:Q886,F30:F886,"б/к",G30:G886,4)+SUMIFS(R30:R886,F30:F886,"б/к",G30:G886,4)</f>
        <v>0.92999999999999994</v>
      </c>
      <c r="AK30" s="2815" t="s">
        <v>910</v>
      </c>
      <c r="AL30" s="2579">
        <f>SUMIFS(R30:R949,F30:F949,"6а",G30:G949,3)+SUMIFS(R30:R949,F30:F949,"6б",G30:G949,3)+SUMIFS(R30:R949,F30:F949,"б/к",G30:G949,3)</f>
        <v>0</v>
      </c>
      <c r="AM30" s="2817"/>
    </row>
    <row r="31" spans="1:39" x14ac:dyDescent="0.35">
      <c r="A31" s="359"/>
      <c r="B31" s="358">
        <v>10381</v>
      </c>
      <c r="C31" s="358"/>
      <c r="D31" s="360"/>
      <c r="E31" s="884" t="s">
        <v>2829</v>
      </c>
      <c r="F31" s="41">
        <v>4</v>
      </c>
      <c r="G31" s="50">
        <v>4</v>
      </c>
      <c r="H31" s="50">
        <v>6</v>
      </c>
      <c r="I31" s="745"/>
      <c r="J31" s="745"/>
      <c r="K31" s="745"/>
      <c r="L31" s="745"/>
      <c r="M31" s="745"/>
      <c r="N31" s="745"/>
      <c r="O31" s="764"/>
      <c r="P31" s="745"/>
      <c r="Q31" s="1448">
        <f>9.86-4.9</f>
        <v>4.9599999999999991</v>
      </c>
      <c r="R31" s="1084"/>
      <c r="S31" s="40"/>
      <c r="T31" s="246"/>
      <c r="U31" s="40"/>
      <c r="V31" s="40"/>
      <c r="W31" s="166"/>
      <c r="X31" s="166"/>
      <c r="Y31" s="40"/>
      <c r="Z31" s="94"/>
      <c r="AD31" s="2581" t="s">
        <v>7182</v>
      </c>
      <c r="AE31" s="2582">
        <f>SUMIFS(M30:M886,F30:F886,3,G30:G886,5)+SUMIFS(N30:N886,F30:F886,3,G30:G886,5)+SUMIFS(O30:O886,F30:F886,3,G30:G886,5)+SUMIFS(P30:P886,F30:F886,3,G30:G886,5)+SUMIFS(Q30:Q886,F30:F886,3,G30:G886,5)+SUMIFS(R30:R886,F30:F886,3,G30:G886,5)</f>
        <v>0</v>
      </c>
      <c r="AF31" s="2582">
        <f>SUMIFS(M30:M886,F30:F886,4,G30:G886,5)+SUMIFS(N30:N886,F30:F886,4,G30:G886,5)+SUMIFS(O30:O886,F30:F886,4,G30:G886,5)+SUMIFS(P30:P886,F30:F886,4,G30:G886,5)+SUMIFS(Q30:Q886,F30:F886,4,G30:G886,5)+SUMIFS(R30:R886,F30:F886,4,G30:G886,5)</f>
        <v>42.210000000000008</v>
      </c>
      <c r="AG31" s="2582">
        <f>SUMIFS(M30:M886,F30:F886,5,G30:G886,5)+SUMIFS(N30:N886,F30:F886,5,G30:G886,5)+SUMIFS(O30:O886,F30:F886,5,G30:G886,5)+SUMIFS(P30:P886,F30:F886,5,G30:G886,5)+SUMIFS(Q30:Q886,F30:F886,5,G30:G886,5)+SUMIFS(R30:R886,F30:F886,5,G30:G886,5)</f>
        <v>96.023999999999987</v>
      </c>
      <c r="AH31" s="2582">
        <f>SUMIFS(M30:M886,F30:F886,"6а",G30:G886,5)+SUMIFS(N30:N886,F30:F886,"6а",G30:G886,5)+SUMIFS(O30:O886,F30:F886,"6а",G30:G886,5)+SUMIFS(P30:P886,F30:F886,"6а",G30:G886,5)+SUMIFS(Q30:Q886,F30:F886,"6а",G30:G886,5)+SUMIFS(R30:R886,F30:F886,"6а",G30:G886,5)</f>
        <v>30.591000000000001</v>
      </c>
      <c r="AI31" s="2582">
        <f>SUMIFS(M30:M886,F30:F886,"6б",G30:G886,5)+SUMIFS(N30:N886,F30:F886,"6б",G30:G886,5)+SUMIFS(O30:O886,F30:F886,"6б",G30:G886,5)+SUMIFS(P30:P886,F30:F886,"6б",G30:G886,5)+SUMIFS(Q30:Q886,F30:F886,"6б",G30:G886,5)+SUMIFS(R30:R886,F30:F886,"6б",G30:G886,5)</f>
        <v>4.88</v>
      </c>
      <c r="AJ31" s="2583">
        <f>SUMIFS(M30:M886,F30:F886,"б/к",G30:G886,5)+SUMIFS(N30:N886,F30:F886,"б/к",G30:G886,5)+SUMIFS(O30:O886,F30:F886,"б/к",G30:G886,5)+SUMIFS(P30:P886,F30:F886,"б/к",G30:G886,5)+SUMIFS(Q30:Q886,F30:F886,"б/к",G30:G886,5)+SUMIFS(R30:R886,F30:F886,"б/к",G30:G886,5)</f>
        <v>149.01999999999995</v>
      </c>
      <c r="AK31" s="2815"/>
      <c r="AL31" s="2579"/>
      <c r="AM31" s="2817"/>
    </row>
    <row r="32" spans="1:39" x14ac:dyDescent="0.35">
      <c r="A32" s="359"/>
      <c r="B32" s="358">
        <v>10381</v>
      </c>
      <c r="C32" s="358"/>
      <c r="D32" s="360"/>
      <c r="E32" s="442" t="s">
        <v>2830</v>
      </c>
      <c r="F32" s="41">
        <v>4</v>
      </c>
      <c r="G32" s="50">
        <v>4</v>
      </c>
      <c r="H32" s="50">
        <v>6</v>
      </c>
      <c r="I32" s="745"/>
      <c r="J32" s="745"/>
      <c r="K32" s="745"/>
      <c r="L32" s="745"/>
      <c r="M32" s="745"/>
      <c r="N32" s="765">
        <f>11-9.86</f>
        <v>1.1400000000000006</v>
      </c>
      <c r="O32" s="764"/>
      <c r="P32" s="745"/>
      <c r="Q32" s="1089"/>
      <c r="R32" s="1084"/>
      <c r="S32" s="40"/>
      <c r="T32" s="246"/>
      <c r="U32" s="40"/>
      <c r="V32" s="40"/>
      <c r="W32" s="166"/>
      <c r="X32" s="166"/>
      <c r="Y32" s="40"/>
      <c r="Z32" s="94"/>
      <c r="AD32"/>
      <c r="AE32" s="1572"/>
      <c r="AF32"/>
      <c r="AG32"/>
      <c r="AH32"/>
      <c r="AI32" s="2584" t="s">
        <v>7183</v>
      </c>
      <c r="AJ32" s="2585">
        <f>SUMIF(AB30:AB886,"=1",J30:J886)</f>
        <v>579.06700000000001</v>
      </c>
      <c r="AK32" s="2818" t="s">
        <v>11235</v>
      </c>
      <c r="AL32" s="2821">
        <f>AL34+AL40+AL46</f>
        <v>255.34199999999998</v>
      </c>
      <c r="AM32" s="2820">
        <f>AL32-J19</f>
        <v>0</v>
      </c>
    </row>
    <row r="33" spans="1:39" x14ac:dyDescent="0.35">
      <c r="A33" s="359"/>
      <c r="B33" s="358">
        <v>10381</v>
      </c>
      <c r="C33" s="358"/>
      <c r="D33" s="360"/>
      <c r="E33" s="884" t="s">
        <v>2831</v>
      </c>
      <c r="F33" s="41">
        <v>4</v>
      </c>
      <c r="G33" s="50">
        <v>4</v>
      </c>
      <c r="H33" s="50">
        <v>6</v>
      </c>
      <c r="I33" s="745"/>
      <c r="J33" s="745"/>
      <c r="K33" s="745"/>
      <c r="L33" s="745"/>
      <c r="M33" s="745"/>
      <c r="N33" s="745"/>
      <c r="O33" s="764"/>
      <c r="P33" s="745"/>
      <c r="Q33" s="1448">
        <f>13.82-11</f>
        <v>2.8200000000000003</v>
      </c>
      <c r="R33" s="1084"/>
      <c r="S33" s="40"/>
      <c r="T33" s="246"/>
      <c r="U33" s="40"/>
      <c r="V33" s="40"/>
      <c r="W33" s="166"/>
      <c r="X33" s="166"/>
      <c r="Y33" s="40"/>
      <c r="Z33" s="94"/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x14ac:dyDescent="0.35">
      <c r="A34" s="359"/>
      <c r="B34" s="358">
        <v>10381</v>
      </c>
      <c r="C34" s="358"/>
      <c r="D34" s="360"/>
      <c r="E34" s="442" t="s">
        <v>2832</v>
      </c>
      <c r="F34" s="41">
        <v>4</v>
      </c>
      <c r="G34" s="50">
        <v>4</v>
      </c>
      <c r="H34" s="50">
        <v>6</v>
      </c>
      <c r="I34" s="745"/>
      <c r="J34" s="745"/>
      <c r="K34" s="745"/>
      <c r="L34" s="745"/>
      <c r="M34" s="745"/>
      <c r="N34" s="765">
        <f>14.45-13.82</f>
        <v>0.62999999999999901</v>
      </c>
      <c r="O34" s="764"/>
      <c r="P34" s="745"/>
      <c r="Q34" s="1089"/>
      <c r="R34" s="1084"/>
      <c r="S34" s="40"/>
      <c r="T34" s="246"/>
      <c r="U34" s="40"/>
      <c r="V34" s="40"/>
      <c r="W34" s="166"/>
      <c r="X34" s="166"/>
      <c r="Y34" s="40"/>
      <c r="Z34" s="94"/>
      <c r="AK34" s="2818" t="s">
        <v>7184</v>
      </c>
      <c r="AL34" s="2821">
        <f>AL35+AL36+AL37+AL38+AL39</f>
        <v>221.40099999999998</v>
      </c>
      <c r="AM34" s="2820">
        <f>AL34-AF30</f>
        <v>0</v>
      </c>
    </row>
    <row r="35" spans="1:39" x14ac:dyDescent="0.35">
      <c r="A35" s="359"/>
      <c r="B35" s="358">
        <v>10381</v>
      </c>
      <c r="C35" s="358"/>
      <c r="D35" s="360"/>
      <c r="E35" s="884" t="s">
        <v>2833</v>
      </c>
      <c r="F35" s="41">
        <v>4</v>
      </c>
      <c r="G35" s="50">
        <v>4</v>
      </c>
      <c r="H35" s="50">
        <v>6</v>
      </c>
      <c r="I35" s="745"/>
      <c r="J35" s="745"/>
      <c r="K35" s="745"/>
      <c r="L35" s="745"/>
      <c r="M35" s="745"/>
      <c r="N35" s="745"/>
      <c r="O35" s="764"/>
      <c r="P35" s="745"/>
      <c r="Q35" s="1448">
        <f>16.93-14.45</f>
        <v>2.4800000000000004</v>
      </c>
      <c r="R35" s="1084"/>
      <c r="S35" s="40"/>
      <c r="T35" s="246"/>
      <c r="U35" s="40"/>
      <c r="V35" s="40"/>
      <c r="W35" s="166"/>
      <c r="X35" s="166"/>
      <c r="Y35" s="40"/>
      <c r="Z35" s="94"/>
      <c r="AK35" s="2815" t="s">
        <v>11230</v>
      </c>
      <c r="AL35" s="2579">
        <f>SUMIFS(M30:M949,F30:F949,4,G30:G949,4)</f>
        <v>0</v>
      </c>
      <c r="AM35" s="2817"/>
    </row>
    <row r="36" spans="1:39" x14ac:dyDescent="0.35">
      <c r="A36" s="359"/>
      <c r="B36" s="358">
        <v>10381</v>
      </c>
      <c r="C36" s="358"/>
      <c r="D36" s="360"/>
      <c r="E36" s="442" t="s">
        <v>2834</v>
      </c>
      <c r="F36" s="41">
        <v>4</v>
      </c>
      <c r="G36" s="50">
        <v>4</v>
      </c>
      <c r="H36" s="50">
        <v>6</v>
      </c>
      <c r="I36" s="745"/>
      <c r="J36" s="745"/>
      <c r="K36" s="745"/>
      <c r="L36" s="745"/>
      <c r="M36" s="745"/>
      <c r="N36" s="765">
        <v>2.0699999999999998</v>
      </c>
      <c r="O36" s="764"/>
      <c r="P36" s="745"/>
      <c r="Q36" s="1089"/>
      <c r="R36" s="1084"/>
      <c r="S36" s="40"/>
      <c r="T36" s="246"/>
      <c r="U36" s="40"/>
      <c r="V36" s="40"/>
      <c r="W36" s="166"/>
      <c r="X36" s="166"/>
      <c r="Y36" s="40"/>
      <c r="Z36" s="94"/>
      <c r="AK36" s="2815" t="s">
        <v>11231</v>
      </c>
      <c r="AL36" s="2579">
        <f>SUMIFS(N30:N949,F30:F949,4,G30:G949,4)</f>
        <v>143.57999999999998</v>
      </c>
      <c r="AM36" s="2817"/>
    </row>
    <row r="37" spans="1:39" ht="30.5" x14ac:dyDescent="0.35">
      <c r="A37" s="441">
        <v>2</v>
      </c>
      <c r="B37" s="358">
        <v>10381</v>
      </c>
      <c r="C37" s="358"/>
      <c r="D37" s="2464" t="s">
        <v>5723</v>
      </c>
      <c r="E37" s="417" t="s">
        <v>7888</v>
      </c>
      <c r="F37" s="41" t="s">
        <v>827</v>
      </c>
      <c r="G37" s="50">
        <v>5</v>
      </c>
      <c r="H37" s="50">
        <v>6</v>
      </c>
      <c r="I37" s="762">
        <f>J37+K37+L37</f>
        <v>1</v>
      </c>
      <c r="J37" s="762">
        <f>SUM(M37:R37)</f>
        <v>1</v>
      </c>
      <c r="K37" s="762"/>
      <c r="L37" s="762"/>
      <c r="M37" s="762"/>
      <c r="N37" s="762"/>
      <c r="O37" s="763"/>
      <c r="P37" s="762"/>
      <c r="Q37" s="1445"/>
      <c r="R37" s="1440">
        <v>1</v>
      </c>
      <c r="S37" s="49"/>
      <c r="T37" s="255"/>
      <c r="U37" s="49"/>
      <c r="V37" s="49"/>
      <c r="W37" s="168"/>
      <c r="X37" s="168"/>
      <c r="Y37" s="42"/>
      <c r="Z37" s="107"/>
      <c r="AB37" s="3">
        <v>1</v>
      </c>
      <c r="AE37" s="2461"/>
      <c r="AF37" s="2462"/>
      <c r="AK37" s="2815" t="s">
        <v>11232</v>
      </c>
      <c r="AL37" s="2579">
        <f>SUMIFS(O30:O949,F30:F949,4,G30:G949,4)</f>
        <v>0</v>
      </c>
      <c r="AM37" s="2817"/>
    </row>
    <row r="38" spans="1:39" ht="30" x14ac:dyDescent="0.35">
      <c r="A38" s="525">
        <v>3</v>
      </c>
      <c r="B38" s="693">
        <v>10381</v>
      </c>
      <c r="C38" s="693" t="s">
        <v>1656</v>
      </c>
      <c r="D38" s="2464" t="s">
        <v>5724</v>
      </c>
      <c r="E38" s="2187" t="s">
        <v>8770</v>
      </c>
      <c r="F38" s="93" t="s">
        <v>664</v>
      </c>
      <c r="G38" s="93">
        <v>5</v>
      </c>
      <c r="H38" s="50">
        <v>6</v>
      </c>
      <c r="I38" s="2143">
        <f>L38+K38+J38</f>
        <v>0.4</v>
      </c>
      <c r="J38" s="2143">
        <f>SUM(M38:R38)</f>
        <v>0.4</v>
      </c>
      <c r="K38" s="622"/>
      <c r="L38" s="622"/>
      <c r="M38" s="622"/>
      <c r="N38" s="622"/>
      <c r="O38" s="622"/>
      <c r="P38" s="622"/>
      <c r="Q38" s="2085"/>
      <c r="R38" s="906">
        <v>0.4</v>
      </c>
      <c r="S38" s="106"/>
      <c r="T38" s="106"/>
      <c r="U38" s="106"/>
      <c r="V38" s="106"/>
      <c r="W38" s="105"/>
      <c r="X38" s="105"/>
      <c r="Y38" s="105"/>
      <c r="Z38" s="323"/>
      <c r="AB38" s="3">
        <v>1</v>
      </c>
      <c r="AE38" s="2461"/>
      <c r="AF38" s="68"/>
      <c r="AK38" s="2815" t="s">
        <v>11233</v>
      </c>
      <c r="AL38" s="2579">
        <f>SUMIFS(P30:P949,F30:F949,4,G30:G949,4)+SUMIFS(Q30:Q949,F30:F949,4,G30:G949,4)</f>
        <v>77.820999999999998</v>
      </c>
      <c r="AM38" s="2817"/>
    </row>
    <row r="39" spans="1:39" ht="30.5" x14ac:dyDescent="0.35">
      <c r="A39" s="441">
        <v>4</v>
      </c>
      <c r="B39" s="358">
        <v>10381</v>
      </c>
      <c r="C39" s="358" t="s">
        <v>1656</v>
      </c>
      <c r="D39" s="2464" t="s">
        <v>5725</v>
      </c>
      <c r="E39" s="443" t="s">
        <v>8771</v>
      </c>
      <c r="F39" s="166" t="s">
        <v>664</v>
      </c>
      <c r="G39" s="50">
        <v>5</v>
      </c>
      <c r="H39" s="50">
        <v>6</v>
      </c>
      <c r="I39" s="297">
        <f>J39+K39+L39</f>
        <v>0.5</v>
      </c>
      <c r="J39" s="297">
        <f>SUM(M39:R39)</f>
        <v>0.5</v>
      </c>
      <c r="K39" s="745"/>
      <c r="L39" s="745"/>
      <c r="M39" s="749"/>
      <c r="N39" s="744"/>
      <c r="O39" s="769"/>
      <c r="P39" s="749"/>
      <c r="Q39" s="2393"/>
      <c r="R39" s="2394">
        <v>0.5</v>
      </c>
      <c r="S39" s="40"/>
      <c r="T39" s="246"/>
      <c r="U39" s="40"/>
      <c r="V39" s="40"/>
      <c r="W39" s="166"/>
      <c r="X39" s="166"/>
      <c r="Y39" s="40"/>
      <c r="Z39" s="94"/>
      <c r="AB39" s="3">
        <v>1</v>
      </c>
      <c r="AE39" s="2461"/>
      <c r="AF39" s="68"/>
      <c r="AK39" s="2815" t="s">
        <v>910</v>
      </c>
      <c r="AL39" s="2579">
        <f>SUMIFS(R30:R949,F30:F949,4,G30:G949,4)</f>
        <v>0</v>
      </c>
      <c r="AM39" s="2817"/>
    </row>
    <row r="40" spans="1:39" ht="30" x14ac:dyDescent="0.35">
      <c r="A40" s="525">
        <v>5</v>
      </c>
      <c r="B40" s="358">
        <v>10381</v>
      </c>
      <c r="C40" s="693" t="s">
        <v>1656</v>
      </c>
      <c r="D40" s="2464" t="s">
        <v>5726</v>
      </c>
      <c r="E40" s="2187" t="s">
        <v>8772</v>
      </c>
      <c r="F40" s="93" t="s">
        <v>664</v>
      </c>
      <c r="G40" s="93">
        <v>5</v>
      </c>
      <c r="H40" s="50">
        <v>6</v>
      </c>
      <c r="I40" s="2143">
        <f>L40+K40+J40</f>
        <v>0.15</v>
      </c>
      <c r="J40" s="2143">
        <f>SUM(M40:R40)</f>
        <v>0.15</v>
      </c>
      <c r="K40" s="622"/>
      <c r="L40" s="622"/>
      <c r="M40" s="622"/>
      <c r="N40" s="622"/>
      <c r="O40" s="622"/>
      <c r="P40" s="622"/>
      <c r="Q40" s="2085"/>
      <c r="R40" s="906">
        <v>0.15</v>
      </c>
      <c r="S40" s="106"/>
      <c r="T40" s="106"/>
      <c r="U40" s="106"/>
      <c r="V40" s="106"/>
      <c r="W40" s="105"/>
      <c r="X40" s="105"/>
      <c r="Y40" s="105"/>
      <c r="Z40" s="323"/>
      <c r="AB40" s="3">
        <v>1</v>
      </c>
      <c r="AE40" s="2461"/>
      <c r="AF40" s="68"/>
      <c r="AK40" s="2818" t="s">
        <v>7185</v>
      </c>
      <c r="AL40" s="2821">
        <f>AL41+AL42+AL43+AL44+AL45</f>
        <v>31.971000000000004</v>
      </c>
      <c r="AM40" s="2820">
        <f>AL40-AG30</f>
        <v>0</v>
      </c>
    </row>
    <row r="41" spans="1:39" ht="30.5" x14ac:dyDescent="0.35">
      <c r="A41" s="441">
        <v>6</v>
      </c>
      <c r="B41" s="358">
        <v>10827</v>
      </c>
      <c r="C41" s="358"/>
      <c r="D41" s="358" t="s">
        <v>1160</v>
      </c>
      <c r="E41" s="443" t="s">
        <v>3356</v>
      </c>
      <c r="F41" s="41"/>
      <c r="G41" s="50" t="s">
        <v>191</v>
      </c>
      <c r="H41" s="50" t="s">
        <v>191</v>
      </c>
      <c r="I41" s="762">
        <f>J41+K41+L41</f>
        <v>44.876999999999995</v>
      </c>
      <c r="J41" s="762">
        <f>SUM(M41:R41)</f>
        <v>43.600999999999999</v>
      </c>
      <c r="K41" s="762"/>
      <c r="L41" s="762">
        <f>SUM(L42:L56)</f>
        <v>1.2759999999999998</v>
      </c>
      <c r="M41" s="762"/>
      <c r="N41" s="762">
        <f>SUM(N42:N56)</f>
        <v>29.526000000000007</v>
      </c>
      <c r="O41" s="763"/>
      <c r="P41" s="762"/>
      <c r="Q41" s="1445">
        <f>SUM(Q42:Q56)</f>
        <v>14.074999999999989</v>
      </c>
      <c r="R41" s="1440"/>
      <c r="S41" s="49">
        <v>3</v>
      </c>
      <c r="T41" s="255">
        <v>55.6</v>
      </c>
      <c r="U41" s="49"/>
      <c r="V41" s="49"/>
      <c r="W41" s="168">
        <v>105</v>
      </c>
      <c r="X41" s="168">
        <v>1526.7</v>
      </c>
      <c r="Y41" s="42">
        <v>46</v>
      </c>
      <c r="Z41" s="107">
        <v>535</v>
      </c>
      <c r="AB41" s="3">
        <v>1</v>
      </c>
      <c r="AE41" s="2461"/>
      <c r="AF41" s="68"/>
      <c r="AK41" s="2815" t="s">
        <v>11230</v>
      </c>
      <c r="AL41" s="2579">
        <f>SUMIFS(M30:M949,F30:F949,5,G30:G949,4)</f>
        <v>0</v>
      </c>
      <c r="AM41" s="2817"/>
    </row>
    <row r="42" spans="1:39" x14ac:dyDescent="0.35">
      <c r="A42" s="359"/>
      <c r="B42" s="358">
        <v>10827</v>
      </c>
      <c r="C42" s="358"/>
      <c r="D42" s="360"/>
      <c r="E42" s="442" t="s">
        <v>1193</v>
      </c>
      <c r="F42" s="40">
        <v>4</v>
      </c>
      <c r="G42" s="40">
        <v>4</v>
      </c>
      <c r="H42" s="50">
        <v>6</v>
      </c>
      <c r="I42" s="745"/>
      <c r="J42" s="745"/>
      <c r="K42" s="745"/>
      <c r="L42" s="745"/>
      <c r="M42" s="745"/>
      <c r="N42" s="747">
        <f>27.647-19.25</f>
        <v>8.3969999999999985</v>
      </c>
      <c r="O42" s="764"/>
      <c r="P42" s="745"/>
      <c r="Q42" s="1089"/>
      <c r="R42" s="1084"/>
      <c r="S42" s="40"/>
      <c r="T42" s="246"/>
      <c r="U42" s="40"/>
      <c r="V42" s="40"/>
      <c r="W42" s="166"/>
      <c r="X42" s="166"/>
      <c r="Y42" s="40"/>
      <c r="Z42" s="94"/>
      <c r="AE42" s="2461"/>
      <c r="AF42" s="68"/>
      <c r="AK42" s="2815" t="s">
        <v>11231</v>
      </c>
      <c r="AL42" s="2579">
        <f>SUMIFS(N30:N949,F30:F949,5,G30:G949,4)</f>
        <v>13.31</v>
      </c>
      <c r="AM42" s="2817"/>
    </row>
    <row r="43" spans="1:39" ht="46.5" x14ac:dyDescent="0.35">
      <c r="A43" s="359"/>
      <c r="B43" s="358">
        <v>10827</v>
      </c>
      <c r="C43" s="358"/>
      <c r="D43" s="360"/>
      <c r="E43" s="442" t="s">
        <v>6765</v>
      </c>
      <c r="F43" s="40">
        <v>4</v>
      </c>
      <c r="G43" s="40">
        <v>4</v>
      </c>
      <c r="H43" s="40" t="s">
        <v>191</v>
      </c>
      <c r="I43" s="745"/>
      <c r="J43" s="745"/>
      <c r="K43" s="745"/>
      <c r="L43" s="747">
        <f>28.923-27.647</f>
        <v>1.2759999999999998</v>
      </c>
      <c r="M43" s="745"/>
      <c r="N43" s="745"/>
      <c r="O43" s="764"/>
      <c r="P43" s="745"/>
      <c r="Q43" s="1089"/>
      <c r="R43" s="1084"/>
      <c r="S43" s="40"/>
      <c r="T43" s="246"/>
      <c r="U43" s="40"/>
      <c r="V43" s="40"/>
      <c r="W43" s="166"/>
      <c r="X43" s="166"/>
      <c r="Y43" s="40"/>
      <c r="Z43" s="94"/>
      <c r="AE43" s="2461"/>
      <c r="AF43" s="68"/>
      <c r="AK43" s="2815" t="s">
        <v>11232</v>
      </c>
      <c r="AL43" s="2579">
        <f>SUMIFS(O30:O949,F30:F949,5,G30:G949,4)</f>
        <v>0</v>
      </c>
      <c r="AM43" s="2817"/>
    </row>
    <row r="44" spans="1:39" x14ac:dyDescent="0.35">
      <c r="A44" s="359"/>
      <c r="B44" s="358">
        <v>10827</v>
      </c>
      <c r="C44" s="358"/>
      <c r="D44" s="360"/>
      <c r="E44" s="442" t="s">
        <v>1291</v>
      </c>
      <c r="F44" s="40">
        <v>4</v>
      </c>
      <c r="G44" s="40">
        <v>4</v>
      </c>
      <c r="H44" s="50">
        <v>6</v>
      </c>
      <c r="I44" s="745"/>
      <c r="J44" s="745"/>
      <c r="K44" s="745"/>
      <c r="L44" s="745"/>
      <c r="M44" s="745"/>
      <c r="N44" s="747">
        <f>41.931-28.923</f>
        <v>13.007999999999999</v>
      </c>
      <c r="O44" s="764"/>
      <c r="P44" s="745"/>
      <c r="Q44" s="1089"/>
      <c r="R44" s="1084"/>
      <c r="S44" s="40"/>
      <c r="T44" s="246"/>
      <c r="U44" s="40"/>
      <c r="V44" s="40"/>
      <c r="W44" s="166"/>
      <c r="X44" s="166"/>
      <c r="Y44" s="40"/>
      <c r="Z44" s="94"/>
      <c r="AE44" s="2461"/>
      <c r="AF44" s="68"/>
      <c r="AK44" s="2815" t="s">
        <v>11233</v>
      </c>
      <c r="AL44" s="2579">
        <f>SUMIFS(P30:P949,F30:F949,5,G30:G949,4)+SUMIFS(Q30:Q949,F30:F949,5,G30:G949,4)</f>
        <v>17.618000000000002</v>
      </c>
      <c r="AM44" s="2817"/>
    </row>
    <row r="45" spans="1:39" x14ac:dyDescent="0.35">
      <c r="A45" s="359"/>
      <c r="B45" s="358">
        <v>10827</v>
      </c>
      <c r="C45" s="358"/>
      <c r="D45" s="360"/>
      <c r="E45" s="884" t="s">
        <v>79</v>
      </c>
      <c r="F45" s="40">
        <v>4</v>
      </c>
      <c r="G45" s="40">
        <v>4</v>
      </c>
      <c r="H45" s="50">
        <v>6</v>
      </c>
      <c r="I45" s="745"/>
      <c r="J45" s="745"/>
      <c r="K45" s="745"/>
      <c r="L45" s="745"/>
      <c r="M45" s="745"/>
      <c r="N45" s="745"/>
      <c r="O45" s="764"/>
      <c r="P45" s="745"/>
      <c r="Q45" s="1087">
        <f>45.5-41.931</f>
        <v>3.5690000000000026</v>
      </c>
      <c r="R45" s="1084"/>
      <c r="S45" s="40"/>
      <c r="T45" s="246"/>
      <c r="U45" s="40"/>
      <c r="V45" s="40"/>
      <c r="W45" s="166"/>
      <c r="X45" s="166"/>
      <c r="Y45" s="40"/>
      <c r="Z45" s="94"/>
      <c r="AE45" s="2461"/>
      <c r="AF45" s="68"/>
      <c r="AK45" s="2815" t="s">
        <v>910</v>
      </c>
      <c r="AL45" s="2579">
        <f>SUMIFS(R30:R949,F30:F949,5,G30:G949,4)</f>
        <v>1.0429999999999993</v>
      </c>
      <c r="AM45" s="2817"/>
    </row>
    <row r="46" spans="1:39" x14ac:dyDescent="0.35">
      <c r="A46" s="359"/>
      <c r="B46" s="358">
        <v>10827</v>
      </c>
      <c r="C46" s="358"/>
      <c r="D46" s="360"/>
      <c r="E46" s="442" t="s">
        <v>80</v>
      </c>
      <c r="F46" s="40">
        <v>4</v>
      </c>
      <c r="G46" s="40">
        <v>4</v>
      </c>
      <c r="H46" s="50">
        <v>6</v>
      </c>
      <c r="I46" s="745"/>
      <c r="J46" s="745"/>
      <c r="K46" s="745"/>
      <c r="L46" s="745"/>
      <c r="M46" s="745"/>
      <c r="N46" s="747">
        <f>46-45.5</f>
        <v>0.5</v>
      </c>
      <c r="O46" s="764"/>
      <c r="P46" s="745"/>
      <c r="Q46" s="1089"/>
      <c r="R46" s="1084"/>
      <c r="S46" s="40"/>
      <c r="T46" s="246"/>
      <c r="U46" s="40"/>
      <c r="V46" s="40"/>
      <c r="W46" s="166"/>
      <c r="X46" s="166"/>
      <c r="Y46" s="40"/>
      <c r="Z46" s="94"/>
      <c r="AE46" s="2461"/>
      <c r="AF46" s="68"/>
      <c r="AK46" s="2818" t="s">
        <v>11234</v>
      </c>
      <c r="AL46" s="2821">
        <f>AL47+AL48+AL49+AL50+AL51</f>
        <v>1.97</v>
      </c>
      <c r="AM46" s="2820">
        <f>AL46-AH30-AI30-AJ30</f>
        <v>0</v>
      </c>
    </row>
    <row r="47" spans="1:39" x14ac:dyDescent="0.35">
      <c r="A47" s="359"/>
      <c r="B47" s="358">
        <v>10827</v>
      </c>
      <c r="C47" s="358"/>
      <c r="D47" s="360"/>
      <c r="E47" s="884" t="s">
        <v>81</v>
      </c>
      <c r="F47" s="40">
        <v>4</v>
      </c>
      <c r="G47" s="40">
        <v>4</v>
      </c>
      <c r="H47" s="50">
        <v>6</v>
      </c>
      <c r="I47" s="745"/>
      <c r="J47" s="745"/>
      <c r="K47" s="745"/>
      <c r="L47" s="745"/>
      <c r="M47" s="745"/>
      <c r="N47" s="745"/>
      <c r="O47" s="764"/>
      <c r="P47" s="745"/>
      <c r="Q47" s="1087">
        <f>50.523-46</f>
        <v>4.5230000000000032</v>
      </c>
      <c r="R47" s="1084"/>
      <c r="S47" s="40"/>
      <c r="T47" s="246"/>
      <c r="U47" s="40"/>
      <c r="V47" s="40"/>
      <c r="W47" s="166"/>
      <c r="X47" s="166"/>
      <c r="Y47" s="40"/>
      <c r="Z47" s="94"/>
      <c r="AE47" s="2461"/>
      <c r="AF47" s="68"/>
      <c r="AK47" s="2815" t="s">
        <v>11230</v>
      </c>
      <c r="AL47" s="2579">
        <f>SUMIFS(M30:M949,F30:F949,"6а",G30:G949,4)+SUMIFS(M30:M949,F30:F949,"6б",G30:G949,4)+SUMIFS(M30:M949,F30:F949,"б/к",G30:G949,4)</f>
        <v>0</v>
      </c>
      <c r="AM47" s="2817"/>
    </row>
    <row r="48" spans="1:39" x14ac:dyDescent="0.35">
      <c r="A48" s="359"/>
      <c r="B48" s="358">
        <v>10827</v>
      </c>
      <c r="C48" s="358"/>
      <c r="D48" s="360"/>
      <c r="E48" s="442" t="s">
        <v>82</v>
      </c>
      <c r="F48" s="40">
        <v>4</v>
      </c>
      <c r="G48" s="40">
        <v>4</v>
      </c>
      <c r="H48" s="50">
        <v>6</v>
      </c>
      <c r="I48" s="745"/>
      <c r="J48" s="745"/>
      <c r="K48" s="745"/>
      <c r="L48" s="745"/>
      <c r="M48" s="745"/>
      <c r="N48" s="747">
        <f>51.6-50.523</f>
        <v>1.0769999999999982</v>
      </c>
      <c r="O48" s="764"/>
      <c r="P48" s="745"/>
      <c r="Q48" s="1089"/>
      <c r="R48" s="1084"/>
      <c r="S48" s="40"/>
      <c r="T48" s="246"/>
      <c r="U48" s="40"/>
      <c r="V48" s="40"/>
      <c r="W48" s="166"/>
      <c r="X48" s="166"/>
      <c r="Y48" s="40"/>
      <c r="Z48" s="94"/>
      <c r="AE48" s="2461"/>
      <c r="AF48" s="68"/>
      <c r="AK48" s="2815" t="s">
        <v>11231</v>
      </c>
      <c r="AL48" s="2579">
        <f>SUMIFS(N30:N949,F30:F949,"6а",G30:G949,4)+SUMIFS(N30:N949,F30:F949,"6б",G30:G949,4)+SUMIFS(N30:N949,F30:F949,"б/к",G30:G949,4)</f>
        <v>1.04</v>
      </c>
      <c r="AM48" s="2817"/>
    </row>
    <row r="49" spans="1:39" x14ac:dyDescent="0.35">
      <c r="A49" s="359"/>
      <c r="B49" s="358">
        <v>10827</v>
      </c>
      <c r="C49" s="358"/>
      <c r="D49" s="360"/>
      <c r="E49" s="884" t="s">
        <v>83</v>
      </c>
      <c r="F49" s="40">
        <v>4</v>
      </c>
      <c r="G49" s="40">
        <v>4</v>
      </c>
      <c r="H49" s="50">
        <v>6</v>
      </c>
      <c r="I49" s="745"/>
      <c r="J49" s="745"/>
      <c r="K49" s="745"/>
      <c r="L49" s="745"/>
      <c r="M49" s="745"/>
      <c r="N49" s="745"/>
      <c r="O49" s="764"/>
      <c r="P49" s="745"/>
      <c r="Q49" s="1087">
        <f>52.013-51.6</f>
        <v>0.4129999999999967</v>
      </c>
      <c r="R49" s="1084"/>
      <c r="S49" s="40"/>
      <c r="T49" s="246"/>
      <c r="U49" s="40"/>
      <c r="V49" s="40"/>
      <c r="W49" s="166"/>
      <c r="X49" s="166"/>
      <c r="Y49" s="40"/>
      <c r="Z49" s="94"/>
      <c r="AA49" s="3" t="s">
        <v>1760</v>
      </c>
      <c r="AE49" s="2461"/>
      <c r="AF49" s="68"/>
      <c r="AK49" s="2815" t="s">
        <v>11232</v>
      </c>
      <c r="AL49" s="2579">
        <f>SUMIFS(O30:O949,F30:F949,"6а",G30:G949,4)+SUMIFS(O30:O949,F30:F949,"6б",G30:G949,4)+SUMIFS(O30:O949,F30:F949,"б/к",G30:G949,4)</f>
        <v>0</v>
      </c>
      <c r="AM49" s="2817"/>
    </row>
    <row r="50" spans="1:39" x14ac:dyDescent="0.35">
      <c r="A50" s="359"/>
      <c r="B50" s="358">
        <v>10827</v>
      </c>
      <c r="C50" s="358"/>
      <c r="D50" s="360"/>
      <c r="E50" s="442" t="s">
        <v>84</v>
      </c>
      <c r="F50" s="40">
        <v>4</v>
      </c>
      <c r="G50" s="40">
        <v>4</v>
      </c>
      <c r="H50" s="50">
        <v>6</v>
      </c>
      <c r="I50" s="745"/>
      <c r="J50" s="745"/>
      <c r="K50" s="745"/>
      <c r="L50" s="745"/>
      <c r="M50" s="745"/>
      <c r="N50" s="747">
        <f>52.173-52.013</f>
        <v>0.16000000000000369</v>
      </c>
      <c r="O50" s="764"/>
      <c r="P50" s="745"/>
      <c r="Q50" s="1089"/>
      <c r="R50" s="1084"/>
      <c r="S50" s="40"/>
      <c r="T50" s="246"/>
      <c r="U50" s="40"/>
      <c r="V50" s="40"/>
      <c r="W50" s="166"/>
      <c r="X50" s="166"/>
      <c r="Y50" s="40"/>
      <c r="Z50" s="94"/>
      <c r="AA50" s="3" t="s">
        <v>1760</v>
      </c>
      <c r="AE50" s="2461"/>
      <c r="AF50" s="68"/>
      <c r="AK50" s="2815" t="s">
        <v>11233</v>
      </c>
      <c r="AL50" s="2579">
        <f>SUMIFS(P30:P949,F30:F949,"6а",G30:G949,4)+SUMIFS(Q30:Q949,F30:F949,"6а",G30:G949,4)+SUMIFS(P30:P949,F30:F949,"6б",G30:G949,4)+SUMIFS(Q30:Q949,F30:F949,"6б",G30:G949,4)+SUMIFS(O30:O949,F30:F949,"б/к",G30:G949,4)+SUMIFS(P30:P949,F30:F949,"б/к",G30:G949,4)+SUMIFS(Q30:Q949,F30:F949,"б/к",G30:G949,4)</f>
        <v>0</v>
      </c>
      <c r="AM50" s="2817"/>
    </row>
    <row r="51" spans="1:39" x14ac:dyDescent="0.35">
      <c r="A51" s="359"/>
      <c r="B51" s="358">
        <v>10827</v>
      </c>
      <c r="C51" s="358"/>
      <c r="D51" s="360"/>
      <c r="E51" s="884" t="s">
        <v>85</v>
      </c>
      <c r="F51" s="40">
        <v>4</v>
      </c>
      <c r="G51" s="40">
        <v>4</v>
      </c>
      <c r="H51" s="50">
        <v>6</v>
      </c>
      <c r="I51" s="745"/>
      <c r="J51" s="745"/>
      <c r="K51" s="745"/>
      <c r="L51" s="745"/>
      <c r="M51" s="745"/>
      <c r="N51" s="745"/>
      <c r="O51" s="764"/>
      <c r="P51" s="745"/>
      <c r="Q51" s="1087">
        <f>52.982-52.173</f>
        <v>0.8089999999999975</v>
      </c>
      <c r="R51" s="1084"/>
      <c r="S51" s="40"/>
      <c r="T51" s="246"/>
      <c r="U51" s="40"/>
      <c r="V51" s="40"/>
      <c r="W51" s="166"/>
      <c r="X51" s="166"/>
      <c r="Y51" s="40"/>
      <c r="Z51" s="94"/>
      <c r="AA51" s="3" t="s">
        <v>1760</v>
      </c>
      <c r="AE51" s="2461"/>
      <c r="AF51" s="68"/>
      <c r="AK51" s="2815" t="s">
        <v>910</v>
      </c>
      <c r="AL51" s="2579">
        <f>SUMIFS(R30:R949,F30:F949,"6а",G30:G949,4)+SUMIFS(R30:R949,F30:F949,"6б",G30:G949,4)+SUMIFS(R30:R949,F30:F949,"б/к",G30:G949,4)</f>
        <v>0.92999999999999994</v>
      </c>
      <c r="AM51" s="2817"/>
    </row>
    <row r="52" spans="1:39" x14ac:dyDescent="0.35">
      <c r="A52" s="359"/>
      <c r="B52" s="358">
        <v>10827</v>
      </c>
      <c r="C52" s="358"/>
      <c r="D52" s="360"/>
      <c r="E52" s="442" t="s">
        <v>956</v>
      </c>
      <c r="F52" s="40">
        <v>4</v>
      </c>
      <c r="G52" s="40">
        <v>4</v>
      </c>
      <c r="H52" s="50">
        <v>6</v>
      </c>
      <c r="I52" s="745"/>
      <c r="J52" s="745"/>
      <c r="K52" s="745"/>
      <c r="L52" s="745"/>
      <c r="M52" s="745"/>
      <c r="N52" s="747">
        <f>53.743-52.982</f>
        <v>0.76100000000000279</v>
      </c>
      <c r="O52" s="764"/>
      <c r="P52" s="745"/>
      <c r="Q52" s="1089"/>
      <c r="R52" s="1084"/>
      <c r="S52" s="40"/>
      <c r="T52" s="246"/>
      <c r="U52" s="40"/>
      <c r="V52" s="40"/>
      <c r="W52" s="166"/>
      <c r="X52" s="166"/>
      <c r="Y52" s="40"/>
      <c r="Z52" s="94"/>
      <c r="AA52" s="3" t="s">
        <v>1760</v>
      </c>
      <c r="AE52" s="2461"/>
      <c r="AF52" s="68"/>
      <c r="AK52" s="2815"/>
      <c r="AL52" s="2579"/>
      <c r="AM52" s="2817"/>
    </row>
    <row r="53" spans="1:39" x14ac:dyDescent="0.35">
      <c r="A53" s="359"/>
      <c r="B53" s="358">
        <v>10827</v>
      </c>
      <c r="C53" s="358"/>
      <c r="D53" s="360"/>
      <c r="E53" s="884" t="s">
        <v>957</v>
      </c>
      <c r="F53" s="40">
        <v>4</v>
      </c>
      <c r="G53" s="40">
        <v>4</v>
      </c>
      <c r="H53" s="50">
        <v>6</v>
      </c>
      <c r="I53" s="745"/>
      <c r="J53" s="745"/>
      <c r="K53" s="745"/>
      <c r="L53" s="745"/>
      <c r="M53" s="745"/>
      <c r="N53" s="745"/>
      <c r="O53" s="764"/>
      <c r="P53" s="745"/>
      <c r="Q53" s="1087">
        <f>58.417-53.743</f>
        <v>4.6739999999999995</v>
      </c>
      <c r="R53" s="1084"/>
      <c r="S53" s="40"/>
      <c r="T53" s="246"/>
      <c r="U53" s="40"/>
      <c r="V53" s="40"/>
      <c r="W53" s="166"/>
      <c r="X53" s="166"/>
      <c r="Y53" s="40"/>
      <c r="Z53" s="94"/>
      <c r="AA53" s="3" t="s">
        <v>1760</v>
      </c>
      <c r="AE53" s="2461"/>
      <c r="AF53" s="68"/>
      <c r="AK53" s="2818" t="s">
        <v>11236</v>
      </c>
      <c r="AL53" s="2821">
        <f>AL55+AL61+AL67</f>
        <v>322.72499999999991</v>
      </c>
      <c r="AM53" s="2820">
        <f>AL53-J20</f>
        <v>0</v>
      </c>
    </row>
    <row r="54" spans="1:39" x14ac:dyDescent="0.35">
      <c r="A54" s="359"/>
      <c r="B54" s="358"/>
      <c r="C54" s="358"/>
      <c r="D54" s="360"/>
      <c r="E54" s="442" t="s">
        <v>958</v>
      </c>
      <c r="F54" s="40">
        <v>4</v>
      </c>
      <c r="G54" s="40">
        <v>4</v>
      </c>
      <c r="H54" s="50">
        <v>6</v>
      </c>
      <c r="I54" s="745"/>
      <c r="J54" s="745"/>
      <c r="K54" s="745"/>
      <c r="L54" s="745"/>
      <c r="M54" s="745"/>
      <c r="N54" s="745">
        <f>62.919-58.417</f>
        <v>4.5019999999999953</v>
      </c>
      <c r="O54" s="764"/>
      <c r="P54" s="745"/>
      <c r="Q54" s="1087"/>
      <c r="R54" s="1084"/>
      <c r="S54" s="40"/>
      <c r="T54" s="246"/>
      <c r="U54" s="40"/>
      <c r="V54" s="40"/>
      <c r="W54" s="166"/>
      <c r="X54" s="166"/>
      <c r="Y54" s="40"/>
      <c r="Z54" s="94"/>
      <c r="AE54" s="2461"/>
      <c r="AF54" s="68"/>
      <c r="AK54" s="2815" t="s">
        <v>11229</v>
      </c>
      <c r="AL54" s="2579"/>
      <c r="AM54" s="2817"/>
    </row>
    <row r="55" spans="1:39" x14ac:dyDescent="0.35">
      <c r="A55" s="359"/>
      <c r="B55" s="358"/>
      <c r="C55" s="358"/>
      <c r="D55" s="360"/>
      <c r="E55" s="442" t="s">
        <v>959</v>
      </c>
      <c r="F55" s="40" t="s">
        <v>827</v>
      </c>
      <c r="G55" s="40">
        <v>5</v>
      </c>
      <c r="H55" s="50">
        <v>6</v>
      </c>
      <c r="I55" s="745"/>
      <c r="J55" s="745"/>
      <c r="K55" s="745"/>
      <c r="L55" s="745"/>
      <c r="M55" s="745"/>
      <c r="N55" s="745">
        <f>64.04-62.919</f>
        <v>1.1210000000000093</v>
      </c>
      <c r="O55" s="764"/>
      <c r="P55" s="745"/>
      <c r="Q55" s="1087"/>
      <c r="R55" s="1084"/>
      <c r="S55" s="40"/>
      <c r="T55" s="246"/>
      <c r="U55" s="40"/>
      <c r="V55" s="40"/>
      <c r="W55" s="166"/>
      <c r="X55" s="166"/>
      <c r="Y55" s="40"/>
      <c r="Z55" s="94"/>
      <c r="AE55" s="2461"/>
      <c r="AF55" s="68"/>
      <c r="AK55" s="2818" t="s">
        <v>7184</v>
      </c>
      <c r="AL55" s="2821">
        <f>AL56+AL57+AL58+AL59+AL60</f>
        <v>42.210000000000008</v>
      </c>
      <c r="AM55" s="2820">
        <f>AL55-AF31</f>
        <v>0</v>
      </c>
    </row>
    <row r="56" spans="1:39" x14ac:dyDescent="0.35">
      <c r="A56" s="359"/>
      <c r="B56" s="358">
        <v>10827</v>
      </c>
      <c r="C56" s="358"/>
      <c r="D56" s="360"/>
      <c r="E56" s="884" t="s">
        <v>960</v>
      </c>
      <c r="F56" s="40" t="s">
        <v>827</v>
      </c>
      <c r="G56" s="40">
        <v>5</v>
      </c>
      <c r="H56" s="50">
        <v>6</v>
      </c>
      <c r="I56" s="745"/>
      <c r="J56" s="745"/>
      <c r="K56" s="745"/>
      <c r="L56" s="745"/>
      <c r="M56" s="745"/>
      <c r="N56" s="747"/>
      <c r="O56" s="764"/>
      <c r="P56" s="745"/>
      <c r="Q56" s="1089">
        <f>64.127-64.04</f>
        <v>8.6999999999989086E-2</v>
      </c>
      <c r="R56" s="1084"/>
      <c r="S56" s="40"/>
      <c r="T56" s="246"/>
      <c r="U56" s="40"/>
      <c r="V56" s="40"/>
      <c r="W56" s="166"/>
      <c r="X56" s="166"/>
      <c r="Y56" s="40"/>
      <c r="Z56" s="94"/>
      <c r="AE56" s="2461"/>
      <c r="AF56" s="68"/>
      <c r="AK56" s="2815" t="s">
        <v>11230</v>
      </c>
      <c r="AL56" s="2579">
        <f>SUMIFS(M30:M949,F30:F949,4,G30:G949,5)</f>
        <v>0</v>
      </c>
      <c r="AM56" s="2817"/>
    </row>
    <row r="57" spans="1:39" ht="30.5" x14ac:dyDescent="0.35">
      <c r="A57" s="441">
        <v>7</v>
      </c>
      <c r="B57" s="358">
        <v>10827</v>
      </c>
      <c r="C57" s="358"/>
      <c r="D57" s="2464" t="s">
        <v>5727</v>
      </c>
      <c r="E57" s="417" t="s">
        <v>7889</v>
      </c>
      <c r="F57" s="41">
        <v>5</v>
      </c>
      <c r="G57" s="50">
        <v>5</v>
      </c>
      <c r="H57" s="50">
        <v>6</v>
      </c>
      <c r="I57" s="762">
        <f>J57+K57+L57</f>
        <v>1.5</v>
      </c>
      <c r="J57" s="762">
        <f>SUM(M57:R57)</f>
        <v>1.5</v>
      </c>
      <c r="K57" s="762"/>
      <c r="L57" s="762"/>
      <c r="M57" s="762"/>
      <c r="N57" s="762">
        <v>1.5</v>
      </c>
      <c r="O57" s="763"/>
      <c r="P57" s="762"/>
      <c r="Q57" s="1445"/>
      <c r="R57" s="1440"/>
      <c r="S57" s="49"/>
      <c r="T57" s="255"/>
      <c r="U57" s="49"/>
      <c r="V57" s="49"/>
      <c r="W57" s="168">
        <v>3</v>
      </c>
      <c r="X57" s="168">
        <v>39.200000000000003</v>
      </c>
      <c r="Y57" s="42"/>
      <c r="Z57" s="107"/>
      <c r="AB57" s="3">
        <v>1</v>
      </c>
      <c r="AE57" s="2461"/>
      <c r="AF57" s="68"/>
      <c r="AK57" s="2815" t="s">
        <v>11231</v>
      </c>
      <c r="AL57" s="2579">
        <f>SUMIFS(N30:N949,F30:F949,4,G30:G949,5)</f>
        <v>12.75</v>
      </c>
      <c r="AM57" s="2817"/>
    </row>
    <row r="58" spans="1:39" ht="60" x14ac:dyDescent="0.35">
      <c r="A58" s="441">
        <v>8</v>
      </c>
      <c r="B58" s="693">
        <v>10827</v>
      </c>
      <c r="C58" s="358" t="s">
        <v>1656</v>
      </c>
      <c r="D58" s="2464" t="s">
        <v>5728</v>
      </c>
      <c r="E58" s="2187" t="s">
        <v>8773</v>
      </c>
      <c r="F58" s="93" t="s">
        <v>664</v>
      </c>
      <c r="G58" s="50">
        <v>5</v>
      </c>
      <c r="H58" s="50">
        <v>6</v>
      </c>
      <c r="I58" s="297">
        <f>J58+K58+L58</f>
        <v>0.6</v>
      </c>
      <c r="J58" s="297">
        <f>SUM(M58:R58)</f>
        <v>0.6</v>
      </c>
      <c r="K58" s="622"/>
      <c r="L58" s="622"/>
      <c r="M58" s="622"/>
      <c r="N58" s="622"/>
      <c r="O58" s="622"/>
      <c r="P58" s="622"/>
      <c r="Q58" s="2085"/>
      <c r="R58" s="906">
        <v>0.6</v>
      </c>
      <c r="S58" s="106"/>
      <c r="T58" s="106"/>
      <c r="U58" s="106"/>
      <c r="V58" s="106"/>
      <c r="W58" s="105"/>
      <c r="X58" s="105"/>
      <c r="Y58" s="105"/>
      <c r="Z58" s="323"/>
      <c r="AB58" s="3">
        <v>1</v>
      </c>
      <c r="AE58" s="2461"/>
      <c r="AF58" s="68"/>
      <c r="AK58" s="2815" t="s">
        <v>11232</v>
      </c>
      <c r="AL58" s="2579">
        <f>SUMIFS(O30:O949,F30:F949,4,G30:G949,5)</f>
        <v>0</v>
      </c>
      <c r="AM58" s="2817"/>
    </row>
    <row r="59" spans="1:39" ht="30.5" x14ac:dyDescent="0.35">
      <c r="A59" s="441">
        <v>9</v>
      </c>
      <c r="B59" s="358">
        <v>10827</v>
      </c>
      <c r="C59" s="358"/>
      <c r="D59" s="2464" t="s">
        <v>5729</v>
      </c>
      <c r="E59" s="417" t="s">
        <v>7890</v>
      </c>
      <c r="F59" s="41">
        <v>5</v>
      </c>
      <c r="G59" s="50">
        <v>4</v>
      </c>
      <c r="H59" s="50">
        <v>6</v>
      </c>
      <c r="I59" s="762">
        <f>J59+K59+L59</f>
        <v>2.2999999999999998</v>
      </c>
      <c r="J59" s="762">
        <f>SUM(M59:R59)</f>
        <v>2.2999999999999998</v>
      </c>
      <c r="K59" s="762"/>
      <c r="L59" s="762"/>
      <c r="M59" s="762"/>
      <c r="N59" s="762"/>
      <c r="O59" s="763"/>
      <c r="P59" s="762"/>
      <c r="Q59" s="1445">
        <v>2.2999999999999998</v>
      </c>
      <c r="R59" s="1440"/>
      <c r="S59" s="49"/>
      <c r="T59" s="255"/>
      <c r="U59" s="49"/>
      <c r="V59" s="49"/>
      <c r="W59" s="168">
        <f>7-1</f>
        <v>6</v>
      </c>
      <c r="X59" s="168">
        <v>71.8</v>
      </c>
      <c r="Y59" s="42">
        <v>3</v>
      </c>
      <c r="Z59" s="311">
        <v>36.03</v>
      </c>
      <c r="AB59" s="3">
        <v>1</v>
      </c>
      <c r="AE59" s="2461"/>
      <c r="AF59" s="68"/>
      <c r="AK59" s="2815" t="s">
        <v>11233</v>
      </c>
      <c r="AL59" s="2579">
        <f>SUMIFS(P30:P949,F30:F949,4,G30:G949,5)+SUMIFS(Q30:Q949,F30:F949,4,G30:G949,5)</f>
        <v>29.460000000000004</v>
      </c>
      <c r="AM59" s="2817"/>
    </row>
    <row r="60" spans="1:39" ht="45.5" x14ac:dyDescent="0.35">
      <c r="A60" s="441">
        <v>10</v>
      </c>
      <c r="B60" s="358">
        <v>10827</v>
      </c>
      <c r="C60" s="358" t="s">
        <v>1656</v>
      </c>
      <c r="D60" s="2464" t="s">
        <v>5730</v>
      </c>
      <c r="E60" s="443" t="s">
        <v>8774</v>
      </c>
      <c r="F60" s="166" t="s">
        <v>664</v>
      </c>
      <c r="G60" s="50">
        <v>5</v>
      </c>
      <c r="H60" s="50">
        <v>6</v>
      </c>
      <c r="I60" s="297">
        <f>J60+K60+L60</f>
        <v>1.5</v>
      </c>
      <c r="J60" s="297">
        <f t="shared" ref="J60:J65" si="6">SUM(M60:R60)</f>
        <v>1.5</v>
      </c>
      <c r="K60" s="745"/>
      <c r="L60" s="745"/>
      <c r="M60" s="749"/>
      <c r="N60" s="749"/>
      <c r="O60" s="769"/>
      <c r="P60" s="749"/>
      <c r="Q60" s="1850"/>
      <c r="R60" s="2394">
        <v>1.5</v>
      </c>
      <c r="S60" s="40"/>
      <c r="T60" s="246"/>
      <c r="U60" s="40"/>
      <c r="V60" s="40"/>
      <c r="W60" s="166"/>
      <c r="X60" s="166"/>
      <c r="Y60" s="40"/>
      <c r="Z60" s="94"/>
      <c r="AB60" s="3">
        <v>1</v>
      </c>
      <c r="AE60" s="2461"/>
      <c r="AF60" s="68"/>
      <c r="AK60" s="2815" t="s">
        <v>910</v>
      </c>
      <c r="AL60" s="2579">
        <f>SUMIFS(R30:R949,F30:F949,4,G30:G949,5)</f>
        <v>0</v>
      </c>
      <c r="AM60" s="2817"/>
    </row>
    <row r="61" spans="1:39" ht="60.5" x14ac:dyDescent="0.35">
      <c r="A61" s="441">
        <v>11</v>
      </c>
      <c r="B61" s="358">
        <v>10827</v>
      </c>
      <c r="C61" s="358" t="s">
        <v>1656</v>
      </c>
      <c r="D61" s="2464" t="s">
        <v>5731</v>
      </c>
      <c r="E61" s="443" t="s">
        <v>8775</v>
      </c>
      <c r="F61" s="166" t="s">
        <v>664</v>
      </c>
      <c r="G61" s="50">
        <v>5</v>
      </c>
      <c r="H61" s="50">
        <v>6</v>
      </c>
      <c r="I61" s="297">
        <f>J61+K61+L61</f>
        <v>0.35</v>
      </c>
      <c r="J61" s="297">
        <f t="shared" si="6"/>
        <v>0.35</v>
      </c>
      <c r="K61" s="745"/>
      <c r="L61" s="745"/>
      <c r="M61" s="749"/>
      <c r="N61" s="744"/>
      <c r="O61" s="769"/>
      <c r="P61" s="749"/>
      <c r="Q61" s="2393"/>
      <c r="R61" s="2394">
        <v>0.35</v>
      </c>
      <c r="S61" s="40"/>
      <c r="T61" s="246"/>
      <c r="U61" s="40"/>
      <c r="V61" s="40"/>
      <c r="W61" s="166"/>
      <c r="X61" s="166"/>
      <c r="Y61" s="40"/>
      <c r="Z61" s="94"/>
      <c r="AB61" s="3">
        <v>1</v>
      </c>
      <c r="AE61" s="2461"/>
      <c r="AF61" s="68"/>
      <c r="AK61" s="2818" t="s">
        <v>7185</v>
      </c>
      <c r="AL61" s="2821">
        <f>AL62+AL63+AL64+AL65+AL66</f>
        <v>96.023999999999987</v>
      </c>
      <c r="AM61" s="2820">
        <f>AL61-AG31</f>
        <v>0</v>
      </c>
    </row>
    <row r="62" spans="1:39" ht="45" x14ac:dyDescent="0.35">
      <c r="A62" s="441">
        <v>12</v>
      </c>
      <c r="B62" s="693">
        <v>10827</v>
      </c>
      <c r="C62" s="693" t="s">
        <v>1656</v>
      </c>
      <c r="D62" s="2464" t="s">
        <v>5732</v>
      </c>
      <c r="E62" s="2187" t="s">
        <v>8776</v>
      </c>
      <c r="F62" s="93" t="s">
        <v>664</v>
      </c>
      <c r="G62" s="93">
        <v>5</v>
      </c>
      <c r="H62" s="50">
        <v>6</v>
      </c>
      <c r="I62" s="2143">
        <f>L62+K62+J62</f>
        <v>0.5</v>
      </c>
      <c r="J62" s="2143">
        <f t="shared" si="6"/>
        <v>0.5</v>
      </c>
      <c r="K62" s="622"/>
      <c r="L62" s="622"/>
      <c r="M62" s="622"/>
      <c r="N62" s="622"/>
      <c r="O62" s="622"/>
      <c r="P62" s="622"/>
      <c r="Q62" s="2085"/>
      <c r="R62" s="906">
        <v>0.5</v>
      </c>
      <c r="S62" s="106"/>
      <c r="T62" s="106"/>
      <c r="U62" s="106"/>
      <c r="V62" s="106"/>
      <c r="W62" s="105"/>
      <c r="X62" s="105"/>
      <c r="Y62" s="105"/>
      <c r="Z62" s="323"/>
      <c r="AB62" s="3">
        <v>1</v>
      </c>
      <c r="AE62" s="2461"/>
      <c r="AF62" s="68"/>
      <c r="AK62" s="2815" t="s">
        <v>11230</v>
      </c>
      <c r="AL62" s="2579">
        <f>SUMIFS(M30:M949,F30:F949,5,G30:G949,5)</f>
        <v>0</v>
      </c>
      <c r="AM62" s="2817"/>
    </row>
    <row r="63" spans="1:39" ht="45" x14ac:dyDescent="0.35">
      <c r="A63" s="441">
        <v>13</v>
      </c>
      <c r="B63" s="693">
        <v>10827</v>
      </c>
      <c r="C63" s="693"/>
      <c r="D63" s="2464" t="s">
        <v>5733</v>
      </c>
      <c r="E63" s="2187" t="s">
        <v>7891</v>
      </c>
      <c r="F63" s="93" t="s">
        <v>664</v>
      </c>
      <c r="G63" s="93">
        <v>5</v>
      </c>
      <c r="H63" s="50">
        <v>6</v>
      </c>
      <c r="I63" s="2143">
        <f>L63+K63+J63</f>
        <v>0.75</v>
      </c>
      <c r="J63" s="2143">
        <f t="shared" si="6"/>
        <v>0.75</v>
      </c>
      <c r="K63" s="622"/>
      <c r="L63" s="622"/>
      <c r="M63" s="622"/>
      <c r="N63" s="622"/>
      <c r="O63" s="622"/>
      <c r="P63" s="622"/>
      <c r="Q63" s="2085"/>
      <c r="R63" s="906">
        <v>0.75</v>
      </c>
      <c r="S63" s="106"/>
      <c r="T63" s="106"/>
      <c r="U63" s="106"/>
      <c r="V63" s="106"/>
      <c r="W63" s="105"/>
      <c r="X63" s="105"/>
      <c r="Y63" s="105"/>
      <c r="Z63" s="323"/>
      <c r="AB63" s="3">
        <v>1</v>
      </c>
      <c r="AE63" s="2461"/>
      <c r="AF63" s="68"/>
      <c r="AK63" s="2815" t="s">
        <v>11231</v>
      </c>
      <c r="AL63" s="2579">
        <f>SUMIFS(N30:N949,F30:F949,5,G30:G949,5)</f>
        <v>25.872</v>
      </c>
      <c r="AM63" s="2817"/>
    </row>
    <row r="64" spans="1:39" ht="45" x14ac:dyDescent="0.35">
      <c r="A64" s="441">
        <v>14</v>
      </c>
      <c r="B64" s="693">
        <v>10827</v>
      </c>
      <c r="C64" s="693" t="s">
        <v>1656</v>
      </c>
      <c r="D64" s="2464" t="s">
        <v>5734</v>
      </c>
      <c r="E64" s="2187" t="s">
        <v>8777</v>
      </c>
      <c r="F64" s="93" t="s">
        <v>664</v>
      </c>
      <c r="G64" s="93">
        <v>5</v>
      </c>
      <c r="H64" s="50">
        <v>6</v>
      </c>
      <c r="I64" s="2143">
        <f>L64+K64+J64</f>
        <v>0.6</v>
      </c>
      <c r="J64" s="2143">
        <f t="shared" si="6"/>
        <v>0.6</v>
      </c>
      <c r="K64" s="622"/>
      <c r="L64" s="622"/>
      <c r="M64" s="622"/>
      <c r="N64" s="622"/>
      <c r="O64" s="622"/>
      <c r="P64" s="622"/>
      <c r="Q64" s="2085"/>
      <c r="R64" s="906">
        <v>0.6</v>
      </c>
      <c r="S64" s="106"/>
      <c r="T64" s="106"/>
      <c r="U64" s="106"/>
      <c r="V64" s="106"/>
      <c r="W64" s="105"/>
      <c r="X64" s="105"/>
      <c r="Y64" s="105"/>
      <c r="Z64" s="323"/>
      <c r="AB64" s="3">
        <v>1</v>
      </c>
      <c r="AE64" s="2461"/>
      <c r="AF64" s="68"/>
      <c r="AK64" s="2815" t="s">
        <v>11232</v>
      </c>
      <c r="AL64" s="2579">
        <f>SUMIFS(O30:O949,F30:F949,5,G30:G949,5)</f>
        <v>0</v>
      </c>
      <c r="AM64" s="2817"/>
    </row>
    <row r="65" spans="1:39" ht="45.5" x14ac:dyDescent="0.35">
      <c r="A65" s="441">
        <v>15</v>
      </c>
      <c r="B65" s="358">
        <v>10827</v>
      </c>
      <c r="C65" s="358" t="s">
        <v>1656</v>
      </c>
      <c r="D65" s="2464" t="s">
        <v>5735</v>
      </c>
      <c r="E65" s="443" t="s">
        <v>8778</v>
      </c>
      <c r="F65" s="166" t="s">
        <v>664</v>
      </c>
      <c r="G65" s="50">
        <v>5</v>
      </c>
      <c r="H65" s="50">
        <v>6</v>
      </c>
      <c r="I65" s="297">
        <f>J65+K65+L65</f>
        <v>1.2</v>
      </c>
      <c r="J65" s="297">
        <f t="shared" si="6"/>
        <v>1.2</v>
      </c>
      <c r="K65" s="745"/>
      <c r="L65" s="745"/>
      <c r="M65" s="749"/>
      <c r="N65" s="749"/>
      <c r="O65" s="769"/>
      <c r="P65" s="749"/>
      <c r="Q65" s="1850"/>
      <c r="R65" s="2394">
        <v>1.2</v>
      </c>
      <c r="S65" s="40"/>
      <c r="T65" s="246"/>
      <c r="U65" s="40"/>
      <c r="V65" s="40"/>
      <c r="W65" s="166"/>
      <c r="X65" s="166"/>
      <c r="Y65" s="40"/>
      <c r="Z65" s="94"/>
      <c r="AB65" s="3">
        <v>1</v>
      </c>
      <c r="AE65" s="2461"/>
      <c r="AF65" s="68"/>
      <c r="AK65" s="2815" t="s">
        <v>11233</v>
      </c>
      <c r="AL65" s="2579">
        <f>SUMIFS(P30:P949,F30:F949,5,G30:G949,5)+SUMIFS(Q30:Q949,F30:F949,5,G30:G949,5)</f>
        <v>58.631999999999998</v>
      </c>
      <c r="AM65" s="2817"/>
    </row>
    <row r="66" spans="1:39" ht="45.5" x14ac:dyDescent="0.35">
      <c r="A66" s="441">
        <v>16</v>
      </c>
      <c r="B66" s="358">
        <v>10827</v>
      </c>
      <c r="C66" s="358" t="s">
        <v>1656</v>
      </c>
      <c r="D66" s="2464" t="s">
        <v>5736</v>
      </c>
      <c r="E66" s="443" t="s">
        <v>8779</v>
      </c>
      <c r="F66" s="2289" t="s">
        <v>664</v>
      </c>
      <c r="G66" s="50">
        <v>5</v>
      </c>
      <c r="H66" s="50">
        <v>6</v>
      </c>
      <c r="I66" s="297">
        <f t="shared" ref="I66:I71" si="7">J66+K66+L66</f>
        <v>0.2</v>
      </c>
      <c r="J66" s="297">
        <f t="shared" ref="J66:J71" si="8">SUM(M66:R66)</f>
        <v>0.2</v>
      </c>
      <c r="K66" s="762"/>
      <c r="L66" s="762"/>
      <c r="M66" s="762"/>
      <c r="N66" s="762">
        <v>0.2</v>
      </c>
      <c r="O66" s="763"/>
      <c r="P66" s="762"/>
      <c r="Q66" s="2395"/>
      <c r="R66" s="2396"/>
      <c r="S66" s="49"/>
      <c r="T66" s="255"/>
      <c r="U66" s="49"/>
      <c r="V66" s="49"/>
      <c r="W66" s="168"/>
      <c r="X66" s="168"/>
      <c r="Y66" s="42"/>
      <c r="Z66" s="107"/>
      <c r="AB66" s="3">
        <v>1</v>
      </c>
      <c r="AE66" s="2461"/>
      <c r="AF66" s="68"/>
      <c r="AK66" s="2815" t="s">
        <v>910</v>
      </c>
      <c r="AL66" s="2579">
        <f>SUMIFS(R30:R949,F30:F949,5,G30:G949,5)</f>
        <v>11.519999999999998</v>
      </c>
      <c r="AM66" s="2817"/>
    </row>
    <row r="67" spans="1:39" ht="45" x14ac:dyDescent="0.35">
      <c r="A67" s="441">
        <v>17</v>
      </c>
      <c r="B67" s="693">
        <v>10827</v>
      </c>
      <c r="C67" s="358" t="s">
        <v>1656</v>
      </c>
      <c r="D67" s="2464" t="s">
        <v>5737</v>
      </c>
      <c r="E67" s="2187" t="s">
        <v>9279</v>
      </c>
      <c r="F67" s="93" t="s">
        <v>664</v>
      </c>
      <c r="G67" s="50">
        <v>5</v>
      </c>
      <c r="H67" s="50">
        <v>6</v>
      </c>
      <c r="I67" s="297">
        <f t="shared" si="7"/>
        <v>0.35</v>
      </c>
      <c r="J67" s="297">
        <f t="shared" si="8"/>
        <v>0.35</v>
      </c>
      <c r="K67" s="622"/>
      <c r="L67" s="622"/>
      <c r="M67" s="622"/>
      <c r="N67" s="622"/>
      <c r="O67" s="622"/>
      <c r="P67" s="622"/>
      <c r="Q67" s="2085"/>
      <c r="R67" s="906">
        <v>0.35</v>
      </c>
      <c r="S67" s="106"/>
      <c r="T67" s="106"/>
      <c r="U67" s="106"/>
      <c r="V67" s="106"/>
      <c r="W67" s="105"/>
      <c r="X67" s="105"/>
      <c r="Y67" s="105"/>
      <c r="Z67" s="323"/>
      <c r="AB67" s="3">
        <v>1</v>
      </c>
      <c r="AE67" s="2461"/>
      <c r="AF67" s="68"/>
      <c r="AK67" s="2818" t="s">
        <v>11234</v>
      </c>
      <c r="AL67" s="2821">
        <f>AL68+AL69+AL70+AL71+AL72</f>
        <v>184.49099999999993</v>
      </c>
      <c r="AM67" s="2820">
        <f>AL67-AH31-AI31-AJ31</f>
        <v>0</v>
      </c>
    </row>
    <row r="68" spans="1:39" ht="45.5" x14ac:dyDescent="0.35">
      <c r="A68" s="441">
        <v>18</v>
      </c>
      <c r="B68" s="358">
        <v>10827</v>
      </c>
      <c r="C68" s="358" t="s">
        <v>1656</v>
      </c>
      <c r="D68" s="2464" t="s">
        <v>5739</v>
      </c>
      <c r="E68" s="443" t="s">
        <v>9280</v>
      </c>
      <c r="F68" s="2289" t="s">
        <v>664</v>
      </c>
      <c r="G68" s="50">
        <v>5</v>
      </c>
      <c r="H68" s="50">
        <v>6</v>
      </c>
      <c r="I68" s="297">
        <f t="shared" si="7"/>
        <v>1</v>
      </c>
      <c r="J68" s="297">
        <f t="shared" si="8"/>
        <v>1</v>
      </c>
      <c r="K68" s="762"/>
      <c r="L68" s="762"/>
      <c r="M68" s="762"/>
      <c r="N68" s="762"/>
      <c r="O68" s="763"/>
      <c r="P68" s="762"/>
      <c r="Q68" s="2395"/>
      <c r="R68" s="2396">
        <v>1</v>
      </c>
      <c r="S68" s="49"/>
      <c r="T68" s="255"/>
      <c r="U68" s="49"/>
      <c r="V68" s="49"/>
      <c r="W68" s="168"/>
      <c r="X68" s="168"/>
      <c r="Y68" s="42"/>
      <c r="Z68" s="107"/>
      <c r="AB68" s="3">
        <v>1</v>
      </c>
      <c r="AE68" s="2461"/>
      <c r="AF68" s="68"/>
      <c r="AK68" s="2815" t="s">
        <v>11230</v>
      </c>
      <c r="AL68" s="2579">
        <f>SUMIFS(M30:M949,F30:F949,"6а",G30:G949,5)+SUMIFS(M30:M949,F30:F949,"6б",G30:G949,5)+SUMIFS(M30:M949,F30:F949,"б/к",G30:G949,5)</f>
        <v>0</v>
      </c>
      <c r="AM68" s="2817"/>
    </row>
    <row r="69" spans="1:39" ht="45.5" x14ac:dyDescent="0.35">
      <c r="A69" s="441">
        <v>19</v>
      </c>
      <c r="B69" s="358">
        <v>10827</v>
      </c>
      <c r="C69" s="358" t="s">
        <v>1656</v>
      </c>
      <c r="D69" s="2464" t="s">
        <v>5740</v>
      </c>
      <c r="E69" s="443" t="s">
        <v>8780</v>
      </c>
      <c r="F69" s="2289" t="s">
        <v>664</v>
      </c>
      <c r="G69" s="50">
        <v>5</v>
      </c>
      <c r="H69" s="50">
        <v>6</v>
      </c>
      <c r="I69" s="297">
        <f t="shared" si="7"/>
        <v>0.8</v>
      </c>
      <c r="J69" s="297">
        <f t="shared" si="8"/>
        <v>0.8</v>
      </c>
      <c r="K69" s="762"/>
      <c r="L69" s="762"/>
      <c r="M69" s="762"/>
      <c r="N69" s="762"/>
      <c r="O69" s="763"/>
      <c r="P69" s="762"/>
      <c r="Q69" s="2395"/>
      <c r="R69" s="2396">
        <v>0.8</v>
      </c>
      <c r="S69" s="49"/>
      <c r="T69" s="255"/>
      <c r="U69" s="139"/>
      <c r="V69" s="255"/>
      <c r="W69" s="168"/>
      <c r="X69" s="168"/>
      <c r="Y69" s="42"/>
      <c r="Z69" s="107"/>
      <c r="AB69" s="3">
        <v>1</v>
      </c>
      <c r="AE69" s="2461"/>
      <c r="AF69" s="68"/>
      <c r="AK69" s="2815" t="s">
        <v>11231</v>
      </c>
      <c r="AL69" s="2579">
        <f>SUMIFS(N30:N949,F30:F949,"6а",G30:G949,5)+SUMIFS(N30:N949,F30:F949,"6б",G30:G949,5)+SUMIFS(N30:N949,F30:F949,"б/к",G30:G949,5)</f>
        <v>3.3210000000000091</v>
      </c>
      <c r="AM69" s="2817"/>
    </row>
    <row r="70" spans="1:39" ht="45.5" x14ac:dyDescent="0.35">
      <c r="A70" s="441">
        <v>20</v>
      </c>
      <c r="B70" s="358">
        <v>10827</v>
      </c>
      <c r="C70" s="358" t="s">
        <v>1656</v>
      </c>
      <c r="D70" s="2464" t="s">
        <v>5741</v>
      </c>
      <c r="E70" s="443" t="s">
        <v>8781</v>
      </c>
      <c r="F70" s="166" t="s">
        <v>664</v>
      </c>
      <c r="G70" s="50">
        <v>5</v>
      </c>
      <c r="H70" s="50">
        <v>6</v>
      </c>
      <c r="I70" s="297">
        <f t="shared" si="7"/>
        <v>0.3</v>
      </c>
      <c r="J70" s="297">
        <f t="shared" si="8"/>
        <v>0.3</v>
      </c>
      <c r="K70" s="745"/>
      <c r="L70" s="745"/>
      <c r="M70" s="749"/>
      <c r="N70" s="744"/>
      <c r="O70" s="769"/>
      <c r="P70" s="749"/>
      <c r="Q70" s="2393"/>
      <c r="R70" s="2394">
        <v>0.3</v>
      </c>
      <c r="S70" s="40"/>
      <c r="T70" s="246"/>
      <c r="U70" s="40"/>
      <c r="V70" s="40"/>
      <c r="W70" s="166"/>
      <c r="X70" s="166"/>
      <c r="Y70" s="40"/>
      <c r="Z70" s="94"/>
      <c r="AB70" s="3">
        <v>1</v>
      </c>
      <c r="AE70" s="2461"/>
      <c r="AF70" s="68"/>
      <c r="AK70" s="2815" t="s">
        <v>11232</v>
      </c>
      <c r="AL70" s="2579">
        <f>SUMIFS(O30:O949,F30:F949,"6а",G30:G949,5)+SUMIFS(O30:O949,F30:F949,"6б",G30:G949,5)+SUMIFS(O30:O949,F30:F949,"б/к",G30:G949,5)</f>
        <v>0</v>
      </c>
      <c r="AM70" s="2817"/>
    </row>
    <row r="71" spans="1:39" ht="45.5" x14ac:dyDescent="0.35">
      <c r="A71" s="441">
        <v>21</v>
      </c>
      <c r="B71" s="405">
        <v>10827</v>
      </c>
      <c r="C71" s="358" t="s">
        <v>1656</v>
      </c>
      <c r="D71" s="2464" t="s">
        <v>5743</v>
      </c>
      <c r="E71" s="443" t="s">
        <v>8782</v>
      </c>
      <c r="F71" s="166" t="s">
        <v>664</v>
      </c>
      <c r="G71" s="50">
        <v>5</v>
      </c>
      <c r="H71" s="50">
        <v>6</v>
      </c>
      <c r="I71" s="297">
        <f t="shared" si="7"/>
        <v>0.5</v>
      </c>
      <c r="J71" s="297">
        <f t="shared" si="8"/>
        <v>0.5</v>
      </c>
      <c r="K71" s="749"/>
      <c r="L71" s="749"/>
      <c r="M71" s="749"/>
      <c r="N71" s="749"/>
      <c r="O71" s="769"/>
      <c r="P71" s="749"/>
      <c r="Q71" s="2393"/>
      <c r="R71" s="1846">
        <v>0.5</v>
      </c>
      <c r="S71" s="42"/>
      <c r="T71" s="247"/>
      <c r="U71" s="42"/>
      <c r="V71" s="42"/>
      <c r="W71" s="110"/>
      <c r="X71" s="110"/>
      <c r="Y71" s="42"/>
      <c r="Z71" s="107"/>
      <c r="AB71" s="3">
        <v>1</v>
      </c>
      <c r="AE71" s="2461"/>
      <c r="AF71" s="68"/>
      <c r="AK71" s="2815" t="s">
        <v>11233</v>
      </c>
      <c r="AL71" s="2579">
        <f>SUMIFS(P30:P949,F30:F949,"6а",G30:G949,5)+SUMIFS(Q30:Q949,F30:F949,"6а",G30:G949,5)+SUMIFS(P30:P949,F30:F949,"6б",G30:G949,5)+SUMIFS(Q30:Q949,F30:F949,"6б",G30:G949,5)+SUMIFS(P30:P949,F30:F949,"б/к",G30:G949,5)+SUMIFS(Q30:Q949,F30:F949,"б/к",G30:G949,5)</f>
        <v>8.0769999999999893</v>
      </c>
      <c r="AM71" s="2817"/>
    </row>
    <row r="72" spans="1:39" ht="30.5" x14ac:dyDescent="0.35">
      <c r="A72" s="441">
        <v>22</v>
      </c>
      <c r="B72" s="358">
        <v>11126</v>
      </c>
      <c r="C72" s="358"/>
      <c r="D72" s="358" t="s">
        <v>1459</v>
      </c>
      <c r="E72" s="443" t="s">
        <v>11015</v>
      </c>
      <c r="F72" s="41">
        <v>4</v>
      </c>
      <c r="G72" s="50">
        <v>3</v>
      </c>
      <c r="H72" s="50">
        <v>6</v>
      </c>
      <c r="I72" s="762">
        <f>J72+K72+L72</f>
        <v>1</v>
      </c>
      <c r="J72" s="762">
        <f>SUM(M72:R72)</f>
        <v>1</v>
      </c>
      <c r="K72" s="762"/>
      <c r="L72" s="762"/>
      <c r="M72" s="762"/>
      <c r="N72" s="762">
        <v>1</v>
      </c>
      <c r="O72" s="763"/>
      <c r="P72" s="762"/>
      <c r="Q72" s="1445"/>
      <c r="R72" s="1440"/>
      <c r="S72" s="2532"/>
      <c r="T72" s="255"/>
      <c r="U72" s="49"/>
      <c r="V72" s="49"/>
      <c r="W72" s="168">
        <v>3</v>
      </c>
      <c r="X72" s="168">
        <v>51</v>
      </c>
      <c r="Y72" s="110">
        <f>5-4</f>
        <v>1</v>
      </c>
      <c r="Z72" s="107">
        <f>55-40</f>
        <v>15</v>
      </c>
      <c r="AB72" s="3">
        <v>1</v>
      </c>
      <c r="AE72" s="2461"/>
      <c r="AF72" s="68"/>
      <c r="AK72" s="2815" t="s">
        <v>910</v>
      </c>
      <c r="AL72" s="2579">
        <f>SUMIFS(R30:R949,F30:F949,"6а",G30:G949,5)+SUMIFS(R30:R949,F30:F949,"6б",G30:G949,5)+SUMIFS(R30:R949,F30:F949,"б/к",G30:G949,5)</f>
        <v>173.09299999999993</v>
      </c>
      <c r="AM72" s="2817"/>
    </row>
    <row r="73" spans="1:39" ht="45.5" x14ac:dyDescent="0.35">
      <c r="A73" s="441">
        <v>23</v>
      </c>
      <c r="B73" s="358">
        <v>11129</v>
      </c>
      <c r="C73" s="358"/>
      <c r="D73" s="358" t="s">
        <v>1461</v>
      </c>
      <c r="E73" s="417" t="s">
        <v>10140</v>
      </c>
      <c r="F73" s="41"/>
      <c r="G73" s="50" t="s">
        <v>191</v>
      </c>
      <c r="H73" s="50" t="s">
        <v>191</v>
      </c>
      <c r="I73" s="762">
        <f>J73+K73+L73</f>
        <v>14.922000000000001</v>
      </c>
      <c r="J73" s="762">
        <f>SUM(M73:R73)</f>
        <v>14.922000000000001</v>
      </c>
      <c r="K73" s="762"/>
      <c r="L73" s="762"/>
      <c r="M73" s="762"/>
      <c r="N73" s="762">
        <f>SUM(N74:N76)</f>
        <v>5.1850000000000014</v>
      </c>
      <c r="O73" s="763"/>
      <c r="P73" s="762"/>
      <c r="Q73" s="1445">
        <f>SUM(Q74:Q76)</f>
        <v>9.7369999999999983</v>
      </c>
      <c r="R73" s="1440"/>
      <c r="S73" s="49"/>
      <c r="T73" s="255"/>
      <c r="U73" s="49"/>
      <c r="V73" s="49"/>
      <c r="W73" s="168">
        <v>34</v>
      </c>
      <c r="X73" s="168">
        <v>505.6</v>
      </c>
      <c r="Y73" s="42">
        <v>11</v>
      </c>
      <c r="Z73" s="107">
        <v>105</v>
      </c>
      <c r="AB73" s="3">
        <v>1</v>
      </c>
      <c r="AE73" s="2461"/>
      <c r="AF73" s="68"/>
      <c r="AK73" s="2815"/>
      <c r="AL73" s="2579"/>
      <c r="AM73" s="2817"/>
    </row>
    <row r="74" spans="1:39" x14ac:dyDescent="0.35">
      <c r="A74" s="359"/>
      <c r="B74" s="358">
        <v>11129</v>
      </c>
      <c r="C74" s="358"/>
      <c r="D74" s="360"/>
      <c r="E74" s="442" t="s">
        <v>817</v>
      </c>
      <c r="F74" s="41">
        <v>4</v>
      </c>
      <c r="G74" s="50">
        <v>4</v>
      </c>
      <c r="H74" s="50">
        <v>6</v>
      </c>
      <c r="I74" s="745"/>
      <c r="J74" s="745"/>
      <c r="K74" s="745"/>
      <c r="L74" s="745"/>
      <c r="M74" s="745"/>
      <c r="N74" s="747">
        <v>4.1260000000000003</v>
      </c>
      <c r="O74" s="764"/>
      <c r="P74" s="745"/>
      <c r="Q74" s="1089"/>
      <c r="R74" s="1084"/>
      <c r="S74" s="40"/>
      <c r="T74" s="246"/>
      <c r="U74" s="40"/>
      <c r="V74" s="40"/>
      <c r="W74" s="166"/>
      <c r="X74" s="166"/>
      <c r="Y74" s="40"/>
      <c r="Z74" s="94"/>
      <c r="AE74" s="2461"/>
      <c r="AF74" s="68"/>
      <c r="AK74" s="2822" t="s">
        <v>11237</v>
      </c>
      <c r="AL74" s="2823">
        <f>AL11+AL32+AL53</f>
        <v>579.06699999999989</v>
      </c>
      <c r="AM74" s="2824">
        <f>AL74-J10</f>
        <v>0</v>
      </c>
    </row>
    <row r="75" spans="1:39" x14ac:dyDescent="0.35">
      <c r="A75" s="359"/>
      <c r="B75" s="358">
        <v>11129</v>
      </c>
      <c r="C75" s="358"/>
      <c r="D75" s="360"/>
      <c r="E75" s="884" t="s">
        <v>818</v>
      </c>
      <c r="F75" s="41">
        <v>4</v>
      </c>
      <c r="G75" s="50">
        <v>4</v>
      </c>
      <c r="H75" s="50">
        <v>6</v>
      </c>
      <c r="I75" s="745"/>
      <c r="J75" s="745"/>
      <c r="K75" s="745"/>
      <c r="L75" s="745"/>
      <c r="M75" s="745"/>
      <c r="N75" s="745"/>
      <c r="O75" s="764"/>
      <c r="P75" s="745"/>
      <c r="Q75" s="1087">
        <f>13.863-4.126</f>
        <v>9.7369999999999983</v>
      </c>
      <c r="R75" s="1084"/>
      <c r="S75" s="40"/>
      <c r="T75" s="246"/>
      <c r="U75" s="40"/>
      <c r="V75" s="40"/>
      <c r="W75" s="166"/>
      <c r="X75" s="166"/>
      <c r="Y75" s="40"/>
      <c r="Z75" s="94"/>
      <c r="AE75" s="2461"/>
      <c r="AF75" s="68"/>
      <c r="AK75" s="2825" t="s">
        <v>11238</v>
      </c>
      <c r="AL75" s="2826">
        <f>AL34+AL55+AL13</f>
        <v>264.61099999999999</v>
      </c>
      <c r="AM75" s="2827">
        <f>AL75-J12</f>
        <v>0</v>
      </c>
    </row>
    <row r="76" spans="1:39" x14ac:dyDescent="0.35">
      <c r="A76" s="359"/>
      <c r="B76" s="358">
        <v>11129</v>
      </c>
      <c r="C76" s="358"/>
      <c r="D76" s="360"/>
      <c r="E76" s="442" t="s">
        <v>1840</v>
      </c>
      <c r="F76" s="41">
        <v>4</v>
      </c>
      <c r="G76" s="50">
        <v>4</v>
      </c>
      <c r="H76" s="50">
        <v>6</v>
      </c>
      <c r="I76" s="745"/>
      <c r="J76" s="745"/>
      <c r="K76" s="745"/>
      <c r="L76" s="745"/>
      <c r="M76" s="745"/>
      <c r="N76" s="747">
        <f>14.922-13.863</f>
        <v>1.0590000000000011</v>
      </c>
      <c r="O76" s="764"/>
      <c r="P76" s="745"/>
      <c r="Q76" s="1089"/>
      <c r="R76" s="1084"/>
      <c r="S76" s="40"/>
      <c r="T76" s="246"/>
      <c r="U76" s="40"/>
      <c r="V76" s="40"/>
      <c r="W76" s="166"/>
      <c r="X76" s="166"/>
      <c r="Y76" s="40"/>
      <c r="Z76" s="94"/>
      <c r="AE76" s="2461"/>
      <c r="AF76" s="68"/>
      <c r="AK76" s="2828" t="s">
        <v>11239</v>
      </c>
      <c r="AL76" s="2826">
        <f>AL19+AL40+AL61</f>
        <v>127.99499999999999</v>
      </c>
      <c r="AM76" s="2827">
        <f>AL76-J13</f>
        <v>0</v>
      </c>
    </row>
    <row r="77" spans="1:39" ht="60.5" x14ac:dyDescent="0.35">
      <c r="A77" s="441">
        <v>24</v>
      </c>
      <c r="B77" s="358">
        <v>11129</v>
      </c>
      <c r="C77" s="358"/>
      <c r="D77" s="2464" t="s">
        <v>5744</v>
      </c>
      <c r="E77" s="417" t="s">
        <v>10141</v>
      </c>
      <c r="F77" s="41">
        <v>5</v>
      </c>
      <c r="G77" s="50">
        <v>5</v>
      </c>
      <c r="H77" s="50">
        <v>6</v>
      </c>
      <c r="I77" s="762">
        <f>J77+K77+L77</f>
        <v>0.9</v>
      </c>
      <c r="J77" s="762">
        <f>SUM(M77:R77)</f>
        <v>0.9</v>
      </c>
      <c r="K77" s="762"/>
      <c r="L77" s="762"/>
      <c r="M77" s="762"/>
      <c r="N77" s="762"/>
      <c r="O77" s="763"/>
      <c r="P77" s="762"/>
      <c r="Q77" s="1445"/>
      <c r="R77" s="1440">
        <v>0.9</v>
      </c>
      <c r="S77" s="49"/>
      <c r="T77" s="255"/>
      <c r="U77" s="49"/>
      <c r="V77" s="49"/>
      <c r="W77" s="168">
        <v>1</v>
      </c>
      <c r="X77" s="168">
        <v>15.6</v>
      </c>
      <c r="Y77" s="42"/>
      <c r="Z77" s="107"/>
      <c r="AB77" s="3">
        <v>1</v>
      </c>
      <c r="AE77" s="2461"/>
      <c r="AF77" s="68"/>
      <c r="AK77" s="2828" t="s">
        <v>11240</v>
      </c>
      <c r="AL77" s="2826">
        <f>AL25+AL46+AL67</f>
        <v>186.46099999999993</v>
      </c>
      <c r="AM77" s="2827">
        <f>AL77-J14</f>
        <v>0</v>
      </c>
    </row>
    <row r="78" spans="1:39" ht="75" x14ac:dyDescent="0.35">
      <c r="A78" s="525">
        <v>25</v>
      </c>
      <c r="B78" s="693">
        <v>11129</v>
      </c>
      <c r="C78" s="693" t="s">
        <v>1656</v>
      </c>
      <c r="D78" s="2464" t="s">
        <v>5745</v>
      </c>
      <c r="E78" s="2187" t="s">
        <v>10142</v>
      </c>
      <c r="F78" s="93" t="s">
        <v>664</v>
      </c>
      <c r="G78" s="93">
        <v>5</v>
      </c>
      <c r="H78" s="50">
        <v>6</v>
      </c>
      <c r="I78" s="2143">
        <f>L78+K78+J78</f>
        <v>1</v>
      </c>
      <c r="J78" s="2143">
        <f>SUM(M78:R78)</f>
        <v>1</v>
      </c>
      <c r="K78" s="622"/>
      <c r="L78" s="622"/>
      <c r="M78" s="622"/>
      <c r="N78" s="622"/>
      <c r="O78" s="622"/>
      <c r="P78" s="622"/>
      <c r="Q78" s="2085"/>
      <c r="R78" s="906">
        <v>1</v>
      </c>
      <c r="S78" s="106"/>
      <c r="T78" s="106"/>
      <c r="U78" s="106"/>
      <c r="V78" s="106"/>
      <c r="W78" s="105"/>
      <c r="X78" s="105"/>
      <c r="Y78" s="105"/>
      <c r="Z78" s="323"/>
      <c r="AB78" s="3">
        <v>1</v>
      </c>
      <c r="AE78" s="2461"/>
      <c r="AF78" s="68"/>
    </row>
    <row r="79" spans="1:39" ht="60" x14ac:dyDescent="0.35">
      <c r="A79" s="441">
        <v>26</v>
      </c>
      <c r="B79" s="693">
        <v>11129</v>
      </c>
      <c r="C79" s="693"/>
      <c r="D79" s="2464" t="s">
        <v>5746</v>
      </c>
      <c r="E79" s="2187" t="s">
        <v>10143</v>
      </c>
      <c r="F79" s="93" t="s">
        <v>664</v>
      </c>
      <c r="G79" s="93">
        <v>5</v>
      </c>
      <c r="H79" s="50">
        <v>6</v>
      </c>
      <c r="I79" s="2143">
        <f>L79+K79+J79</f>
        <v>0.6</v>
      </c>
      <c r="J79" s="2143">
        <f>SUM(M79:R79)</f>
        <v>0.6</v>
      </c>
      <c r="K79" s="622"/>
      <c r="L79" s="622"/>
      <c r="M79" s="622"/>
      <c r="N79" s="622"/>
      <c r="O79" s="622"/>
      <c r="P79" s="622"/>
      <c r="Q79" s="2085"/>
      <c r="R79" s="906">
        <v>0.6</v>
      </c>
      <c r="S79" s="106"/>
      <c r="T79" s="106"/>
      <c r="U79" s="106"/>
      <c r="V79" s="106"/>
      <c r="W79" s="105"/>
      <c r="X79" s="105"/>
      <c r="Y79" s="105"/>
      <c r="Z79" s="323"/>
      <c r="AB79" s="3">
        <v>1</v>
      </c>
      <c r="AE79" s="2461"/>
      <c r="AF79" s="68"/>
    </row>
    <row r="80" spans="1:39" ht="60" x14ac:dyDescent="0.35">
      <c r="A80" s="525">
        <v>27</v>
      </c>
      <c r="B80" s="693">
        <v>11129</v>
      </c>
      <c r="C80" s="693" t="s">
        <v>1656</v>
      </c>
      <c r="D80" s="2464" t="s">
        <v>5747</v>
      </c>
      <c r="E80" s="2187" t="s">
        <v>10144</v>
      </c>
      <c r="F80" s="93" t="s">
        <v>664</v>
      </c>
      <c r="G80" s="93">
        <v>5</v>
      </c>
      <c r="H80" s="50">
        <v>6</v>
      </c>
      <c r="I80" s="2143">
        <f>L80+K80+J80</f>
        <v>0.5</v>
      </c>
      <c r="J80" s="2143">
        <f>SUM(M80:R80)</f>
        <v>0.5</v>
      </c>
      <c r="K80" s="622"/>
      <c r="L80" s="622"/>
      <c r="M80" s="622"/>
      <c r="N80" s="622"/>
      <c r="O80" s="622"/>
      <c r="P80" s="622"/>
      <c r="Q80" s="2085"/>
      <c r="R80" s="906">
        <v>0.5</v>
      </c>
      <c r="S80" s="106"/>
      <c r="T80" s="106"/>
      <c r="U80" s="106"/>
      <c r="V80" s="106"/>
      <c r="W80" s="105"/>
      <c r="X80" s="105"/>
      <c r="Y80" s="105"/>
      <c r="Z80" s="323"/>
      <c r="AB80" s="3">
        <v>1</v>
      </c>
      <c r="AE80" s="2461"/>
      <c r="AF80" s="68"/>
    </row>
    <row r="81" spans="1:32" ht="30" x14ac:dyDescent="0.35">
      <c r="A81" s="441">
        <v>28</v>
      </c>
      <c r="B81" s="358">
        <v>11130</v>
      </c>
      <c r="C81" s="358"/>
      <c r="D81" s="358" t="s">
        <v>3020</v>
      </c>
      <c r="E81" s="417" t="s">
        <v>1058</v>
      </c>
      <c r="F81" s="41"/>
      <c r="G81" s="50" t="s">
        <v>191</v>
      </c>
      <c r="H81" s="50" t="s">
        <v>191</v>
      </c>
      <c r="I81" s="762">
        <f>J81+K81+L81</f>
        <v>14.561999999999999</v>
      </c>
      <c r="J81" s="762">
        <f>SUM(M81:R81)</f>
        <v>13.709</v>
      </c>
      <c r="K81" s="762"/>
      <c r="L81" s="762">
        <f>SUM(L82:L86)</f>
        <v>0.85299999999999976</v>
      </c>
      <c r="M81" s="762"/>
      <c r="N81" s="762">
        <f>SUM(N82:N86)</f>
        <v>6.3090000000000002</v>
      </c>
      <c r="O81" s="763"/>
      <c r="P81" s="762"/>
      <c r="Q81" s="1445">
        <f>SUM(Q82:Q86)</f>
        <v>6.0000000000000009</v>
      </c>
      <c r="R81" s="1440">
        <f>SUM(R82:R86)</f>
        <v>1.3999999999999986</v>
      </c>
      <c r="S81" s="49"/>
      <c r="T81" s="255"/>
      <c r="U81" s="49"/>
      <c r="V81" s="49"/>
      <c r="W81" s="168">
        <v>29</v>
      </c>
      <c r="X81" s="168">
        <v>417.62</v>
      </c>
      <c r="Y81" s="42">
        <v>7</v>
      </c>
      <c r="Z81" s="107">
        <v>75</v>
      </c>
      <c r="AB81" s="3">
        <v>1</v>
      </c>
      <c r="AE81" s="2461"/>
      <c r="AF81" s="68"/>
    </row>
    <row r="82" spans="1:32" x14ac:dyDescent="0.35">
      <c r="A82" s="359"/>
      <c r="B82" s="358">
        <v>11130</v>
      </c>
      <c r="C82" s="358"/>
      <c r="D82" s="360"/>
      <c r="E82" s="442" t="s">
        <v>220</v>
      </c>
      <c r="F82" s="40">
        <v>4</v>
      </c>
      <c r="G82" s="40">
        <v>4</v>
      </c>
      <c r="H82" s="50">
        <v>6</v>
      </c>
      <c r="I82" s="745"/>
      <c r="J82" s="745"/>
      <c r="K82" s="745"/>
      <c r="L82" s="745"/>
      <c r="M82" s="745"/>
      <c r="N82" s="747">
        <v>4.4640000000000004</v>
      </c>
      <c r="O82" s="764"/>
      <c r="P82" s="745"/>
      <c r="Q82" s="1089"/>
      <c r="R82" s="1084"/>
      <c r="S82" s="40"/>
      <c r="T82" s="246"/>
      <c r="U82" s="40"/>
      <c r="V82" s="40"/>
      <c r="W82" s="166"/>
      <c r="X82" s="166"/>
      <c r="Y82" s="40"/>
      <c r="Z82" s="94"/>
      <c r="AE82" s="2461"/>
      <c r="AF82" s="68"/>
    </row>
    <row r="83" spans="1:32" ht="31" x14ac:dyDescent="0.35">
      <c r="A83" s="359"/>
      <c r="B83" s="358">
        <v>11130</v>
      </c>
      <c r="C83" s="358"/>
      <c r="D83" s="360"/>
      <c r="E83" s="442" t="s">
        <v>1054</v>
      </c>
      <c r="F83" s="40">
        <v>4</v>
      </c>
      <c r="G83" s="40">
        <v>4</v>
      </c>
      <c r="H83" s="40" t="s">
        <v>191</v>
      </c>
      <c r="I83" s="745"/>
      <c r="J83" s="745"/>
      <c r="K83" s="745"/>
      <c r="L83" s="747">
        <f>5.317-4.464</f>
        <v>0.85299999999999976</v>
      </c>
      <c r="M83" s="745"/>
      <c r="N83" s="745"/>
      <c r="O83" s="764"/>
      <c r="P83" s="745"/>
      <c r="Q83" s="1089"/>
      <c r="R83" s="1084"/>
      <c r="S83" s="40"/>
      <c r="T83" s="246"/>
      <c r="U83" s="40"/>
      <c r="V83" s="40"/>
      <c r="W83" s="166"/>
      <c r="X83" s="166"/>
      <c r="Y83" s="40"/>
      <c r="Z83" s="94"/>
      <c r="AE83" s="2461"/>
      <c r="AF83" s="68"/>
    </row>
    <row r="84" spans="1:32" x14ac:dyDescent="0.35">
      <c r="A84" s="359"/>
      <c r="B84" s="358">
        <v>11130</v>
      </c>
      <c r="C84" s="358"/>
      <c r="D84" s="360"/>
      <c r="E84" s="442" t="s">
        <v>1055</v>
      </c>
      <c r="F84" s="40">
        <v>4</v>
      </c>
      <c r="G84" s="40">
        <v>4</v>
      </c>
      <c r="H84" s="50">
        <v>6</v>
      </c>
      <c r="I84" s="745"/>
      <c r="J84" s="745"/>
      <c r="K84" s="745"/>
      <c r="L84" s="745"/>
      <c r="M84" s="745"/>
      <c r="N84" s="747">
        <f>7.162-5.317</f>
        <v>1.8449999999999998</v>
      </c>
      <c r="O84" s="764"/>
      <c r="P84" s="745"/>
      <c r="Q84" s="1089"/>
      <c r="R84" s="1084"/>
      <c r="S84" s="40"/>
      <c r="T84" s="246"/>
      <c r="U84" s="40"/>
      <c r="V84" s="40"/>
      <c r="W84" s="166"/>
      <c r="X84" s="166"/>
      <c r="Y84" s="40"/>
      <c r="Z84" s="94"/>
      <c r="AE84" s="2461"/>
      <c r="AF84" s="68"/>
    </row>
    <row r="85" spans="1:32" x14ac:dyDescent="0.35">
      <c r="A85" s="359"/>
      <c r="B85" s="358">
        <v>11130</v>
      </c>
      <c r="C85" s="358"/>
      <c r="D85" s="360"/>
      <c r="E85" s="884" t="s">
        <v>1056</v>
      </c>
      <c r="F85" s="40">
        <v>5</v>
      </c>
      <c r="G85" s="40">
        <v>5</v>
      </c>
      <c r="H85" s="50">
        <v>6</v>
      </c>
      <c r="I85" s="745"/>
      <c r="J85" s="745"/>
      <c r="K85" s="745"/>
      <c r="L85" s="745"/>
      <c r="M85" s="745"/>
      <c r="N85" s="745"/>
      <c r="O85" s="764"/>
      <c r="P85" s="745"/>
      <c r="Q85" s="1087">
        <f>13.162-7.162</f>
        <v>6.0000000000000009</v>
      </c>
      <c r="R85" s="1084"/>
      <c r="S85" s="40"/>
      <c r="T85" s="246"/>
      <c r="U85" s="40"/>
      <c r="V85" s="40"/>
      <c r="W85" s="166"/>
      <c r="X85" s="166"/>
      <c r="Y85" s="40"/>
      <c r="Z85" s="94"/>
      <c r="AA85" s="3" t="s">
        <v>3280</v>
      </c>
      <c r="AE85" s="2461"/>
      <c r="AF85" s="68"/>
    </row>
    <row r="86" spans="1:32" x14ac:dyDescent="0.35">
      <c r="A86" s="359"/>
      <c r="B86" s="358"/>
      <c r="C86" s="358"/>
      <c r="D86" s="360"/>
      <c r="E86" s="885" t="s">
        <v>1057</v>
      </c>
      <c r="F86" s="40">
        <v>5</v>
      </c>
      <c r="G86" s="40">
        <v>5</v>
      </c>
      <c r="H86" s="50">
        <v>6</v>
      </c>
      <c r="I86" s="745"/>
      <c r="J86" s="745"/>
      <c r="K86" s="745"/>
      <c r="L86" s="745"/>
      <c r="M86" s="745"/>
      <c r="N86" s="745"/>
      <c r="O86" s="764"/>
      <c r="P86" s="745"/>
      <c r="Q86" s="1087"/>
      <c r="R86" s="1084">
        <f>14.562-13.162</f>
        <v>1.3999999999999986</v>
      </c>
      <c r="S86" s="40"/>
      <c r="T86" s="246"/>
      <c r="U86" s="40"/>
      <c r="V86" s="40"/>
      <c r="W86" s="166"/>
      <c r="X86" s="166"/>
      <c r="Y86" s="40"/>
      <c r="Z86" s="94"/>
      <c r="AA86" s="3" t="s">
        <v>2570</v>
      </c>
      <c r="AE86" s="2461"/>
      <c r="AF86" s="68"/>
    </row>
    <row r="87" spans="1:32" ht="30.5" x14ac:dyDescent="0.35">
      <c r="A87" s="441">
        <v>29</v>
      </c>
      <c r="B87" s="358">
        <v>11130</v>
      </c>
      <c r="C87" s="358"/>
      <c r="D87" s="2464" t="s">
        <v>5748</v>
      </c>
      <c r="E87" s="417" t="s">
        <v>10145</v>
      </c>
      <c r="F87" s="41" t="s">
        <v>664</v>
      </c>
      <c r="G87" s="50">
        <v>5</v>
      </c>
      <c r="H87" s="50">
        <v>6</v>
      </c>
      <c r="I87" s="762">
        <f>J87+K87+L87</f>
        <v>2.8</v>
      </c>
      <c r="J87" s="762">
        <f t="shared" ref="J87:J92" si="9">SUM(M87:R87)</f>
        <v>2.8</v>
      </c>
      <c r="K87" s="762"/>
      <c r="L87" s="762"/>
      <c r="M87" s="762"/>
      <c r="N87" s="762"/>
      <c r="O87" s="763"/>
      <c r="P87" s="762"/>
      <c r="Q87" s="1445"/>
      <c r="R87" s="1440">
        <v>2.8</v>
      </c>
      <c r="S87" s="49"/>
      <c r="T87" s="255"/>
      <c r="U87" s="49"/>
      <c r="V87" s="49"/>
      <c r="W87" s="168">
        <v>2</v>
      </c>
      <c r="X87" s="168">
        <v>20.399999999999999</v>
      </c>
      <c r="Y87" s="42"/>
      <c r="Z87" s="107"/>
      <c r="AB87" s="3">
        <v>1</v>
      </c>
      <c r="AE87" s="2461"/>
      <c r="AF87" s="68"/>
    </row>
    <row r="88" spans="1:32" ht="45.5" x14ac:dyDescent="0.35">
      <c r="A88" s="441">
        <v>30</v>
      </c>
      <c r="B88" s="358">
        <v>11130</v>
      </c>
      <c r="C88" s="358" t="s">
        <v>1656</v>
      </c>
      <c r="D88" s="2464" t="s">
        <v>5749</v>
      </c>
      <c r="E88" s="443" t="s">
        <v>10146</v>
      </c>
      <c r="F88" s="166" t="s">
        <v>664</v>
      </c>
      <c r="G88" s="50">
        <v>5</v>
      </c>
      <c r="H88" s="50">
        <v>6</v>
      </c>
      <c r="I88" s="297">
        <f>J88+K88+L88</f>
        <v>0.2</v>
      </c>
      <c r="J88" s="297">
        <f t="shared" si="9"/>
        <v>0.2</v>
      </c>
      <c r="K88" s="745"/>
      <c r="L88" s="745"/>
      <c r="M88" s="749"/>
      <c r="N88" s="749"/>
      <c r="O88" s="769"/>
      <c r="P88" s="749"/>
      <c r="Q88" s="2393"/>
      <c r="R88" s="1846">
        <v>0.2</v>
      </c>
      <c r="S88" s="40"/>
      <c r="T88" s="246"/>
      <c r="U88" s="40"/>
      <c r="V88" s="40"/>
      <c r="W88" s="166"/>
      <c r="X88" s="166"/>
      <c r="Y88" s="40"/>
      <c r="Z88" s="94"/>
      <c r="AB88" s="3">
        <v>1</v>
      </c>
      <c r="AE88" s="2461"/>
      <c r="AF88" s="68"/>
    </row>
    <row r="89" spans="1:32" ht="30.5" x14ac:dyDescent="0.35">
      <c r="A89" s="441">
        <v>31</v>
      </c>
      <c r="B89" s="358">
        <v>11130</v>
      </c>
      <c r="C89" s="358" t="s">
        <v>1656</v>
      </c>
      <c r="D89" s="2464" t="s">
        <v>5750</v>
      </c>
      <c r="E89" s="443" t="s">
        <v>8783</v>
      </c>
      <c r="F89" s="166" t="s">
        <v>664</v>
      </c>
      <c r="G89" s="50">
        <v>5</v>
      </c>
      <c r="H89" s="50">
        <v>6</v>
      </c>
      <c r="I89" s="297">
        <f>J89+K89+L89</f>
        <v>0.1</v>
      </c>
      <c r="J89" s="297">
        <f t="shared" si="9"/>
        <v>0.1</v>
      </c>
      <c r="K89" s="745"/>
      <c r="L89" s="745"/>
      <c r="M89" s="749"/>
      <c r="N89" s="744"/>
      <c r="O89" s="769"/>
      <c r="P89" s="749"/>
      <c r="Q89" s="2393"/>
      <c r="R89" s="2394">
        <v>0.1</v>
      </c>
      <c r="S89" s="40"/>
      <c r="T89" s="246"/>
      <c r="U89" s="40"/>
      <c r="V89" s="40"/>
      <c r="W89" s="166"/>
      <c r="X89" s="166"/>
      <c r="Y89" s="40"/>
      <c r="Z89" s="94"/>
      <c r="AB89" s="3">
        <v>1</v>
      </c>
      <c r="AE89" s="2461"/>
      <c r="AF89" s="68"/>
    </row>
    <row r="90" spans="1:32" ht="30" x14ac:dyDescent="0.35">
      <c r="A90" s="441">
        <v>32</v>
      </c>
      <c r="B90" s="693">
        <v>11130</v>
      </c>
      <c r="C90" s="693" t="s">
        <v>1656</v>
      </c>
      <c r="D90" s="2464" t="s">
        <v>5751</v>
      </c>
      <c r="E90" s="2187" t="s">
        <v>8784</v>
      </c>
      <c r="F90" s="93" t="s">
        <v>664</v>
      </c>
      <c r="G90" s="93">
        <v>5</v>
      </c>
      <c r="H90" s="50">
        <v>6</v>
      </c>
      <c r="I90" s="2143">
        <f>L90+K90+J90</f>
        <v>1.24</v>
      </c>
      <c r="J90" s="2143">
        <f t="shared" si="9"/>
        <v>1.24</v>
      </c>
      <c r="K90" s="622"/>
      <c r="L90" s="622"/>
      <c r="M90" s="622"/>
      <c r="N90" s="622"/>
      <c r="O90" s="622"/>
      <c r="P90" s="622"/>
      <c r="Q90" s="2085"/>
      <c r="R90" s="906">
        <v>1.24</v>
      </c>
      <c r="S90" s="106"/>
      <c r="T90" s="106"/>
      <c r="U90" s="106"/>
      <c r="V90" s="106"/>
      <c r="W90" s="105"/>
      <c r="X90" s="105"/>
      <c r="Y90" s="105"/>
      <c r="Z90" s="323"/>
      <c r="AB90" s="3">
        <v>1</v>
      </c>
      <c r="AE90" s="2461"/>
      <c r="AF90" s="68"/>
    </row>
    <row r="91" spans="1:32" ht="45.5" x14ac:dyDescent="0.35">
      <c r="A91" s="441">
        <v>33</v>
      </c>
      <c r="B91" s="405" t="s">
        <v>2210</v>
      </c>
      <c r="C91" s="358" t="s">
        <v>1656</v>
      </c>
      <c r="D91" s="2464" t="s">
        <v>5875</v>
      </c>
      <c r="E91" s="443" t="s">
        <v>8785</v>
      </c>
      <c r="F91" s="166" t="s">
        <v>664</v>
      </c>
      <c r="G91" s="50">
        <v>5</v>
      </c>
      <c r="H91" s="50">
        <v>6</v>
      </c>
      <c r="I91" s="297">
        <f>J91+K91+L91</f>
        <v>1</v>
      </c>
      <c r="J91" s="297">
        <f>SUM(M91:R91)</f>
        <v>1</v>
      </c>
      <c r="K91" s="749"/>
      <c r="L91" s="749"/>
      <c r="M91" s="749"/>
      <c r="N91" s="749"/>
      <c r="O91" s="769"/>
      <c r="P91" s="749"/>
      <c r="Q91" s="2393"/>
      <c r="R91" s="1846">
        <v>1</v>
      </c>
      <c r="S91" s="42"/>
      <c r="T91" s="138"/>
      <c r="U91" s="170"/>
      <c r="V91" s="247"/>
      <c r="W91" s="110"/>
      <c r="X91" s="110"/>
      <c r="Y91" s="42"/>
      <c r="Z91" s="107"/>
      <c r="AB91" s="3">
        <v>1</v>
      </c>
      <c r="AE91" s="2461"/>
      <c r="AF91" s="68"/>
    </row>
    <row r="92" spans="1:32" ht="30.5" x14ac:dyDescent="0.35">
      <c r="A92" s="441">
        <v>34</v>
      </c>
      <c r="B92" s="358">
        <v>11131</v>
      </c>
      <c r="C92" s="358"/>
      <c r="D92" s="358" t="s">
        <v>2784</v>
      </c>
      <c r="E92" s="417" t="s">
        <v>1031</v>
      </c>
      <c r="F92" s="41"/>
      <c r="G92" s="50" t="s">
        <v>191</v>
      </c>
      <c r="H92" s="50" t="s">
        <v>191</v>
      </c>
      <c r="I92" s="762">
        <f>J92+K92+L92</f>
        <v>10.199999999999999</v>
      </c>
      <c r="J92" s="762">
        <f t="shared" si="9"/>
        <v>10.199999999999999</v>
      </c>
      <c r="K92" s="762"/>
      <c r="L92" s="762"/>
      <c r="M92" s="762"/>
      <c r="N92" s="762">
        <f>SUM(N93:N98)</f>
        <v>3.0699999999999994</v>
      </c>
      <c r="O92" s="763"/>
      <c r="P92" s="762"/>
      <c r="Q92" s="1445">
        <f>SUM(Q93:Q98)</f>
        <v>5.33</v>
      </c>
      <c r="R92" s="1440">
        <f>SUM(R93:R98)</f>
        <v>1.8</v>
      </c>
      <c r="S92" s="49">
        <v>1</v>
      </c>
      <c r="T92" s="255">
        <v>6.6</v>
      </c>
      <c r="U92" s="49"/>
      <c r="V92" s="49"/>
      <c r="W92" s="168">
        <v>13</v>
      </c>
      <c r="X92" s="168">
        <f>162.5+10</f>
        <v>172.5</v>
      </c>
      <c r="Y92" s="42">
        <v>1</v>
      </c>
      <c r="Z92" s="107">
        <v>10</v>
      </c>
      <c r="AB92" s="3">
        <v>1</v>
      </c>
      <c r="AE92" s="2461"/>
      <c r="AF92" s="68"/>
    </row>
    <row r="93" spans="1:32" x14ac:dyDescent="0.35">
      <c r="A93" s="359"/>
      <c r="B93" s="358">
        <v>11131</v>
      </c>
      <c r="C93" s="358"/>
      <c r="D93" s="360"/>
      <c r="E93" s="885" t="s">
        <v>3437</v>
      </c>
      <c r="F93" s="40" t="s">
        <v>827</v>
      </c>
      <c r="G93" s="40">
        <v>5</v>
      </c>
      <c r="H93" s="50">
        <v>6</v>
      </c>
      <c r="I93" s="745"/>
      <c r="J93" s="745"/>
      <c r="K93" s="745"/>
      <c r="L93" s="745"/>
      <c r="M93" s="745"/>
      <c r="N93" s="745"/>
      <c r="O93" s="764"/>
      <c r="P93" s="745"/>
      <c r="Q93" s="1089"/>
      <c r="R93" s="1082">
        <v>1.8</v>
      </c>
      <c r="S93" s="40"/>
      <c r="T93" s="246"/>
      <c r="U93" s="40"/>
      <c r="V93" s="40"/>
      <c r="W93" s="166"/>
      <c r="X93" s="166"/>
      <c r="Y93" s="40"/>
      <c r="Z93" s="94"/>
      <c r="AE93" s="2461"/>
      <c r="AF93" s="68"/>
    </row>
    <row r="94" spans="1:32" x14ac:dyDescent="0.35">
      <c r="A94" s="359"/>
      <c r="B94" s="358">
        <v>11131</v>
      </c>
      <c r="C94" s="358"/>
      <c r="D94" s="360"/>
      <c r="E94" s="442" t="s">
        <v>1935</v>
      </c>
      <c r="F94" s="40">
        <v>5</v>
      </c>
      <c r="G94" s="40">
        <v>5</v>
      </c>
      <c r="H94" s="50">
        <v>6</v>
      </c>
      <c r="I94" s="745"/>
      <c r="J94" s="745"/>
      <c r="K94" s="745"/>
      <c r="L94" s="745"/>
      <c r="M94" s="745"/>
      <c r="N94" s="747">
        <v>0.8</v>
      </c>
      <c r="O94" s="764"/>
      <c r="P94" s="745"/>
      <c r="Q94" s="1089"/>
      <c r="R94" s="1084"/>
      <c r="S94" s="40"/>
      <c r="T94" s="246"/>
      <c r="U94" s="40"/>
      <c r="V94" s="40"/>
      <c r="W94" s="166"/>
      <c r="X94" s="166"/>
      <c r="Y94" s="40"/>
      <c r="Z94" s="94"/>
      <c r="AE94" s="2461"/>
      <c r="AF94" s="68"/>
    </row>
    <row r="95" spans="1:32" x14ac:dyDescent="0.35">
      <c r="A95" s="359"/>
      <c r="B95" s="358">
        <v>11131</v>
      </c>
      <c r="C95" s="358"/>
      <c r="D95" s="360"/>
      <c r="E95" s="884" t="s">
        <v>1307</v>
      </c>
      <c r="F95" s="40">
        <v>5</v>
      </c>
      <c r="G95" s="40">
        <v>5</v>
      </c>
      <c r="H95" s="50">
        <v>6</v>
      </c>
      <c r="I95" s="745"/>
      <c r="J95" s="745"/>
      <c r="K95" s="745"/>
      <c r="L95" s="745"/>
      <c r="M95" s="745"/>
      <c r="N95" s="745"/>
      <c r="O95" s="764"/>
      <c r="P95" s="745"/>
      <c r="Q95" s="1087">
        <v>2.5</v>
      </c>
      <c r="R95" s="1084"/>
      <c r="S95" s="40"/>
      <c r="T95" s="246"/>
      <c r="U95" s="40"/>
      <c r="V95" s="40"/>
      <c r="W95" s="166"/>
      <c r="X95" s="166"/>
      <c r="Y95" s="40"/>
      <c r="Z95" s="94"/>
      <c r="AE95" s="2461"/>
      <c r="AF95" s="68"/>
    </row>
    <row r="96" spans="1:32" x14ac:dyDescent="0.35">
      <c r="A96" s="359"/>
      <c r="B96" s="358">
        <v>11131</v>
      </c>
      <c r="C96" s="358"/>
      <c r="D96" s="360"/>
      <c r="E96" s="442" t="s">
        <v>1129</v>
      </c>
      <c r="F96" s="40">
        <v>5</v>
      </c>
      <c r="G96" s="40">
        <v>5</v>
      </c>
      <c r="H96" s="50">
        <v>6</v>
      </c>
      <c r="I96" s="745"/>
      <c r="J96" s="745"/>
      <c r="K96" s="745"/>
      <c r="L96" s="745"/>
      <c r="M96" s="745"/>
      <c r="N96" s="747">
        <f>6.17-5.1</f>
        <v>1.0700000000000003</v>
      </c>
      <c r="O96" s="764"/>
      <c r="P96" s="745"/>
      <c r="Q96" s="1087"/>
      <c r="R96" s="1084"/>
      <c r="S96" s="40"/>
      <c r="T96" s="246"/>
      <c r="U96" s="40"/>
      <c r="V96" s="40"/>
      <c r="W96" s="166"/>
      <c r="X96" s="166"/>
      <c r="Y96" s="40"/>
      <c r="Z96" s="94"/>
      <c r="AE96" s="2461"/>
      <c r="AF96" s="68"/>
    </row>
    <row r="97" spans="1:32" x14ac:dyDescent="0.35">
      <c r="A97" s="359"/>
      <c r="B97" s="358">
        <v>11131</v>
      </c>
      <c r="C97" s="358"/>
      <c r="D97" s="360"/>
      <c r="E97" s="884" t="s">
        <v>1130</v>
      </c>
      <c r="F97" s="40">
        <v>5</v>
      </c>
      <c r="G97" s="40">
        <v>5</v>
      </c>
      <c r="H97" s="50">
        <v>6</v>
      </c>
      <c r="I97" s="745"/>
      <c r="J97" s="745"/>
      <c r="K97" s="745"/>
      <c r="L97" s="745"/>
      <c r="M97" s="745"/>
      <c r="N97" s="747"/>
      <c r="O97" s="764"/>
      <c r="P97" s="745"/>
      <c r="Q97" s="1087">
        <f>9-6.17</f>
        <v>2.83</v>
      </c>
      <c r="R97" s="1084"/>
      <c r="S97" s="40"/>
      <c r="T97" s="246"/>
      <c r="U97" s="40"/>
      <c r="V97" s="40"/>
      <c r="W97" s="166"/>
      <c r="X97" s="166"/>
      <c r="Y97" s="40"/>
      <c r="Z97" s="94"/>
      <c r="AE97" s="2461"/>
      <c r="AF97" s="68"/>
    </row>
    <row r="98" spans="1:32" x14ac:dyDescent="0.35">
      <c r="A98" s="359"/>
      <c r="B98" s="358">
        <v>11131</v>
      </c>
      <c r="C98" s="358"/>
      <c r="D98" s="360"/>
      <c r="E98" s="442" t="s">
        <v>1131</v>
      </c>
      <c r="F98" s="40">
        <v>5</v>
      </c>
      <c r="G98" s="40">
        <v>5</v>
      </c>
      <c r="H98" s="50">
        <v>6</v>
      </c>
      <c r="I98" s="745"/>
      <c r="J98" s="745"/>
      <c r="K98" s="745"/>
      <c r="L98" s="745"/>
      <c r="M98" s="745"/>
      <c r="N98" s="747">
        <f>10.2-9</f>
        <v>1.1999999999999993</v>
      </c>
      <c r="O98" s="764"/>
      <c r="P98" s="745"/>
      <c r="Q98" s="1089"/>
      <c r="R98" s="1084"/>
      <c r="S98" s="40"/>
      <c r="T98" s="246"/>
      <c r="U98" s="40"/>
      <c r="V98" s="40"/>
      <c r="W98" s="166"/>
      <c r="X98" s="166"/>
      <c r="Y98" s="40"/>
      <c r="Z98" s="94"/>
      <c r="AE98" s="2461"/>
      <c r="AF98" s="68"/>
    </row>
    <row r="99" spans="1:32" ht="45.5" x14ac:dyDescent="0.35">
      <c r="A99" s="441">
        <v>35</v>
      </c>
      <c r="B99" s="358">
        <v>11131</v>
      </c>
      <c r="C99" s="358" t="s">
        <v>1656</v>
      </c>
      <c r="D99" s="2464" t="s">
        <v>5752</v>
      </c>
      <c r="E99" s="443" t="s">
        <v>8786</v>
      </c>
      <c r="F99" s="166" t="s">
        <v>664</v>
      </c>
      <c r="G99" s="50">
        <v>5</v>
      </c>
      <c r="H99" s="50">
        <v>6</v>
      </c>
      <c r="I99" s="297">
        <f>J99+K99+L99</f>
        <v>0.7</v>
      </c>
      <c r="J99" s="297">
        <f>SUM(M99:R99)</f>
        <v>0.7</v>
      </c>
      <c r="K99" s="745"/>
      <c r="L99" s="745"/>
      <c r="M99" s="749"/>
      <c r="N99" s="744">
        <v>0.7</v>
      </c>
      <c r="O99" s="769"/>
      <c r="P99" s="749"/>
      <c r="Q99" s="2393"/>
      <c r="R99" s="2394"/>
      <c r="S99" s="40"/>
      <c r="T99" s="246"/>
      <c r="U99" s="40"/>
      <c r="V99" s="40"/>
      <c r="W99" s="166"/>
      <c r="X99" s="166"/>
      <c r="Y99" s="40"/>
      <c r="Z99" s="94"/>
      <c r="AB99" s="3">
        <v>1</v>
      </c>
      <c r="AE99" s="2461"/>
      <c r="AF99" s="68"/>
    </row>
    <row r="100" spans="1:32" ht="45.5" x14ac:dyDescent="0.35">
      <c r="A100" s="441">
        <v>36</v>
      </c>
      <c r="B100" s="358">
        <v>11131</v>
      </c>
      <c r="C100" s="358" t="s">
        <v>1656</v>
      </c>
      <c r="D100" s="2464" t="s">
        <v>5753</v>
      </c>
      <c r="E100" s="443" t="s">
        <v>8787</v>
      </c>
      <c r="F100" s="166" t="s">
        <v>664</v>
      </c>
      <c r="G100" s="50">
        <v>5</v>
      </c>
      <c r="H100" s="50">
        <v>6</v>
      </c>
      <c r="I100" s="297">
        <f>J100+K100+L100</f>
        <v>0.15</v>
      </c>
      <c r="J100" s="297">
        <f>SUM(M100:R100)</f>
        <v>0.15</v>
      </c>
      <c r="K100" s="745"/>
      <c r="L100" s="747"/>
      <c r="M100" s="749"/>
      <c r="N100" s="749"/>
      <c r="O100" s="769"/>
      <c r="P100" s="749"/>
      <c r="Q100" s="2393"/>
      <c r="R100" s="2394">
        <v>0.15</v>
      </c>
      <c r="S100" s="40"/>
      <c r="T100" s="246"/>
      <c r="U100" s="40"/>
      <c r="V100" s="40"/>
      <c r="W100" s="166"/>
      <c r="X100" s="166"/>
      <c r="Y100" s="40"/>
      <c r="Z100" s="94"/>
      <c r="AB100" s="3">
        <v>1</v>
      </c>
      <c r="AE100" s="2461"/>
      <c r="AF100" s="68"/>
    </row>
    <row r="101" spans="1:32" ht="30.5" x14ac:dyDescent="0.35">
      <c r="A101" s="441">
        <v>37</v>
      </c>
      <c r="B101" s="358">
        <v>11132</v>
      </c>
      <c r="C101" s="358"/>
      <c r="D101" s="358" t="s">
        <v>1462</v>
      </c>
      <c r="E101" s="417" t="s">
        <v>1061</v>
      </c>
      <c r="F101" s="41"/>
      <c r="G101" s="50" t="s">
        <v>191</v>
      </c>
      <c r="H101" s="50" t="s">
        <v>191</v>
      </c>
      <c r="I101" s="762">
        <f>J101+K101+L101</f>
        <v>23.742000000000001</v>
      </c>
      <c r="J101" s="762">
        <f>SUM(M101:R101)</f>
        <v>23.737000000000002</v>
      </c>
      <c r="K101" s="762"/>
      <c r="L101" s="762">
        <f>SUM(L102:L105)</f>
        <v>4.9999999999990052E-3</v>
      </c>
      <c r="M101" s="762"/>
      <c r="N101" s="762">
        <f>SUM(N102:N105)</f>
        <v>23.737000000000002</v>
      </c>
      <c r="O101" s="763"/>
      <c r="P101" s="762"/>
      <c r="Q101" s="1445"/>
      <c r="R101" s="1440"/>
      <c r="S101" s="49">
        <v>2</v>
      </c>
      <c r="T101" s="255">
        <v>67.3</v>
      </c>
      <c r="U101" s="49"/>
      <c r="V101" s="49"/>
      <c r="W101" s="168">
        <f>51+1+1</f>
        <v>53</v>
      </c>
      <c r="X101" s="168">
        <f>749.84+15+10</f>
        <v>774.84</v>
      </c>
      <c r="Y101" s="110">
        <f>16+1+1</f>
        <v>18</v>
      </c>
      <c r="Z101" s="107">
        <f>174.2+15+10</f>
        <v>199.2</v>
      </c>
      <c r="AB101" s="3">
        <v>1</v>
      </c>
      <c r="AE101" s="2461"/>
      <c r="AF101" s="68"/>
    </row>
    <row r="102" spans="1:32" x14ac:dyDescent="0.35">
      <c r="A102" s="441"/>
      <c r="B102" s="358"/>
      <c r="C102" s="358"/>
      <c r="D102" s="358"/>
      <c r="E102" s="442" t="s">
        <v>6814</v>
      </c>
      <c r="F102" s="41">
        <v>4</v>
      </c>
      <c r="G102" s="50">
        <v>4</v>
      </c>
      <c r="H102" s="50">
        <v>6</v>
      </c>
      <c r="I102" s="765"/>
      <c r="J102" s="765"/>
      <c r="K102" s="765"/>
      <c r="L102" s="765"/>
      <c r="M102" s="765"/>
      <c r="N102" s="765">
        <v>19.283000000000001</v>
      </c>
      <c r="O102" s="766"/>
      <c r="P102" s="765"/>
      <c r="Q102" s="2397"/>
      <c r="R102" s="1440"/>
      <c r="S102" s="49"/>
      <c r="T102" s="255"/>
      <c r="U102" s="49"/>
      <c r="V102" s="49"/>
      <c r="W102" s="168"/>
      <c r="X102" s="168"/>
      <c r="Y102" s="42"/>
      <c r="Z102" s="107"/>
      <c r="AE102" s="2461"/>
      <c r="AF102" s="68"/>
    </row>
    <row r="103" spans="1:32" x14ac:dyDescent="0.35">
      <c r="A103" s="441"/>
      <c r="B103" s="358"/>
      <c r="C103" s="358"/>
      <c r="D103" s="358"/>
      <c r="E103" s="442" t="s">
        <v>6813</v>
      </c>
      <c r="F103" s="41">
        <v>4</v>
      </c>
      <c r="G103" s="50">
        <v>4</v>
      </c>
      <c r="H103" s="50">
        <v>10</v>
      </c>
      <c r="I103" s="765"/>
      <c r="J103" s="765"/>
      <c r="K103" s="765"/>
      <c r="L103" s="765"/>
      <c r="M103" s="765"/>
      <c r="N103" s="765">
        <f>21.603-19.283</f>
        <v>2.3200000000000003</v>
      </c>
      <c r="O103" s="766"/>
      <c r="P103" s="765"/>
      <c r="Q103" s="2397"/>
      <c r="R103" s="1440"/>
      <c r="S103" s="49"/>
      <c r="T103" s="255"/>
      <c r="U103" s="49"/>
      <c r="V103" s="49"/>
      <c r="W103" s="168"/>
      <c r="X103" s="168"/>
      <c r="Y103" s="42"/>
      <c r="Z103" s="107"/>
      <c r="AE103" s="2461"/>
      <c r="AF103" s="68"/>
    </row>
    <row r="104" spans="1:32" ht="31" x14ac:dyDescent="0.35">
      <c r="A104" s="441"/>
      <c r="B104" s="358"/>
      <c r="C104" s="358"/>
      <c r="D104" s="358"/>
      <c r="E104" s="442" t="s">
        <v>1059</v>
      </c>
      <c r="F104" s="41">
        <v>4</v>
      </c>
      <c r="G104" s="50">
        <v>4</v>
      </c>
      <c r="H104" s="50" t="s">
        <v>191</v>
      </c>
      <c r="I104" s="762"/>
      <c r="J104" s="762"/>
      <c r="K104" s="762"/>
      <c r="L104" s="765">
        <f>21.608-21.603</f>
        <v>4.9999999999990052E-3</v>
      </c>
      <c r="M104" s="762"/>
      <c r="N104" s="762"/>
      <c r="O104" s="763"/>
      <c r="P104" s="762"/>
      <c r="Q104" s="1445"/>
      <c r="R104" s="1440"/>
      <c r="S104" s="49"/>
      <c r="T104" s="255"/>
      <c r="U104" s="49"/>
      <c r="V104" s="49"/>
      <c r="W104" s="168"/>
      <c r="X104" s="168"/>
      <c r="Y104" s="42"/>
      <c r="Z104" s="107"/>
      <c r="AE104" s="2461"/>
      <c r="AF104" s="68"/>
    </row>
    <row r="105" spans="1:32" x14ac:dyDescent="0.35">
      <c r="A105" s="441"/>
      <c r="B105" s="358"/>
      <c r="C105" s="358"/>
      <c r="D105" s="358"/>
      <c r="E105" s="442" t="s">
        <v>1060</v>
      </c>
      <c r="F105" s="41">
        <v>4</v>
      </c>
      <c r="G105" s="50">
        <v>4</v>
      </c>
      <c r="H105" s="50">
        <v>6</v>
      </c>
      <c r="I105" s="762"/>
      <c r="J105" s="762"/>
      <c r="K105" s="762"/>
      <c r="L105" s="762"/>
      <c r="M105" s="762"/>
      <c r="N105" s="765">
        <f>23.742-21.608</f>
        <v>2.1340000000000003</v>
      </c>
      <c r="O105" s="763"/>
      <c r="P105" s="762"/>
      <c r="Q105" s="1445"/>
      <c r="R105" s="1440"/>
      <c r="S105" s="49"/>
      <c r="T105" s="255"/>
      <c r="U105" s="49"/>
      <c r="V105" s="49"/>
      <c r="W105" s="168"/>
      <c r="X105" s="168"/>
      <c r="Y105" s="42"/>
      <c r="Z105" s="107"/>
      <c r="AE105" s="2461"/>
      <c r="AF105" s="68"/>
    </row>
    <row r="106" spans="1:32" ht="45.5" x14ac:dyDescent="0.35">
      <c r="A106" s="441">
        <v>38</v>
      </c>
      <c r="B106" s="358">
        <v>11132</v>
      </c>
      <c r="C106" s="358"/>
      <c r="D106" s="2464" t="s">
        <v>5754</v>
      </c>
      <c r="E106" s="417" t="s">
        <v>7892</v>
      </c>
      <c r="F106" s="41"/>
      <c r="G106" s="50" t="s">
        <v>191</v>
      </c>
      <c r="H106" s="50" t="s">
        <v>191</v>
      </c>
      <c r="I106" s="762">
        <f>J106+K106+L106</f>
        <v>3.9000000000000004</v>
      </c>
      <c r="J106" s="762">
        <f>SUM(M106:R106)</f>
        <v>3.9000000000000004</v>
      </c>
      <c r="K106" s="762"/>
      <c r="L106" s="762"/>
      <c r="M106" s="762"/>
      <c r="N106" s="762">
        <f>SUM(N107:N108)</f>
        <v>2.2000000000000002</v>
      </c>
      <c r="O106" s="763"/>
      <c r="P106" s="762"/>
      <c r="Q106" s="1445">
        <f>SUM(Q107:Q108)</f>
        <v>1.7</v>
      </c>
      <c r="R106" s="1440"/>
      <c r="S106" s="49">
        <v>1</v>
      </c>
      <c r="T106" s="255">
        <v>46.15</v>
      </c>
      <c r="U106" s="139"/>
      <c r="V106" s="255"/>
      <c r="W106" s="168">
        <v>10</v>
      </c>
      <c r="X106" s="168">
        <v>115.7</v>
      </c>
      <c r="Y106" s="42">
        <v>5</v>
      </c>
      <c r="Z106" s="107">
        <v>55</v>
      </c>
      <c r="AB106" s="3">
        <v>1</v>
      </c>
      <c r="AE106" s="2461"/>
      <c r="AF106" s="68"/>
    </row>
    <row r="107" spans="1:32" x14ac:dyDescent="0.35">
      <c r="A107" s="359"/>
      <c r="B107" s="358">
        <v>11132</v>
      </c>
      <c r="C107" s="358"/>
      <c r="D107" s="360"/>
      <c r="E107" s="442" t="s">
        <v>3084</v>
      </c>
      <c r="F107" s="41">
        <v>5</v>
      </c>
      <c r="G107" s="50">
        <v>4</v>
      </c>
      <c r="H107" s="50">
        <v>6</v>
      </c>
      <c r="I107" s="745"/>
      <c r="J107" s="745"/>
      <c r="K107" s="745"/>
      <c r="L107" s="745"/>
      <c r="M107" s="745"/>
      <c r="N107" s="747">
        <v>2.2000000000000002</v>
      </c>
      <c r="O107" s="764"/>
      <c r="P107" s="745"/>
      <c r="Q107" s="1089"/>
      <c r="R107" s="1084"/>
      <c r="S107" s="40"/>
      <c r="T107" s="246"/>
      <c r="U107" s="40"/>
      <c r="V107" s="40"/>
      <c r="W107" s="166"/>
      <c r="X107" s="166"/>
      <c r="Y107" s="40"/>
      <c r="Z107" s="94"/>
      <c r="AE107" s="2461"/>
      <c r="AF107" s="68"/>
    </row>
    <row r="108" spans="1:32" x14ac:dyDescent="0.35">
      <c r="A108" s="359"/>
      <c r="B108" s="358">
        <v>11132</v>
      </c>
      <c r="C108" s="358"/>
      <c r="D108" s="360"/>
      <c r="E108" s="884" t="s">
        <v>3199</v>
      </c>
      <c r="F108" s="41">
        <v>5</v>
      </c>
      <c r="G108" s="50">
        <v>4</v>
      </c>
      <c r="H108" s="50">
        <v>6</v>
      </c>
      <c r="I108" s="745"/>
      <c r="J108" s="745"/>
      <c r="K108" s="745"/>
      <c r="L108" s="745"/>
      <c r="M108" s="745"/>
      <c r="N108" s="745"/>
      <c r="O108" s="764"/>
      <c r="P108" s="745"/>
      <c r="Q108" s="1089">
        <v>1.7</v>
      </c>
      <c r="R108" s="1082"/>
      <c r="S108" s="40"/>
      <c r="T108" s="246"/>
      <c r="U108" s="40"/>
      <c r="V108" s="40"/>
      <c r="W108" s="166"/>
      <c r="X108" s="166"/>
      <c r="Y108" s="40"/>
      <c r="Z108" s="94"/>
      <c r="AE108" s="2461"/>
      <c r="AF108" s="68"/>
    </row>
    <row r="109" spans="1:32" ht="60" x14ac:dyDescent="0.35">
      <c r="A109" s="525">
        <v>39</v>
      </c>
      <c r="B109" s="693">
        <v>11132</v>
      </c>
      <c r="C109" s="693" t="s">
        <v>1656</v>
      </c>
      <c r="D109" s="2464" t="s">
        <v>5755</v>
      </c>
      <c r="E109" s="2187" t="s">
        <v>8788</v>
      </c>
      <c r="F109" s="93" t="s">
        <v>664</v>
      </c>
      <c r="G109" s="93">
        <v>5</v>
      </c>
      <c r="H109" s="50">
        <v>6</v>
      </c>
      <c r="I109" s="2143">
        <f>L109+K109+J109</f>
        <v>0.34</v>
      </c>
      <c r="J109" s="2143">
        <f>SUM(M109:R109)</f>
        <v>0.34</v>
      </c>
      <c r="K109" s="622"/>
      <c r="L109" s="622"/>
      <c r="M109" s="622"/>
      <c r="N109" s="622"/>
      <c r="O109" s="622"/>
      <c r="P109" s="622"/>
      <c r="Q109" s="2085"/>
      <c r="R109" s="1981">
        <v>0.34</v>
      </c>
      <c r="S109" s="1779"/>
      <c r="T109" s="1779"/>
      <c r="U109" s="1779"/>
      <c r="V109" s="1779"/>
      <c r="W109" s="1779"/>
      <c r="X109" s="1779"/>
      <c r="Y109" s="1779"/>
      <c r="Z109" s="1780"/>
      <c r="AB109" s="3">
        <v>1</v>
      </c>
      <c r="AE109" s="2461"/>
      <c r="AF109" s="68"/>
    </row>
    <row r="110" spans="1:32" ht="60.5" x14ac:dyDescent="0.35">
      <c r="A110" s="441">
        <v>40</v>
      </c>
      <c r="B110" s="358">
        <v>11132</v>
      </c>
      <c r="C110" s="358"/>
      <c r="D110" s="2464" t="s">
        <v>5756</v>
      </c>
      <c r="E110" s="417" t="s">
        <v>7893</v>
      </c>
      <c r="F110" s="41" t="s">
        <v>827</v>
      </c>
      <c r="G110" s="50">
        <v>5</v>
      </c>
      <c r="H110" s="50">
        <v>6</v>
      </c>
      <c r="I110" s="762">
        <f>J110+K110+L110</f>
        <v>0.4</v>
      </c>
      <c r="J110" s="762">
        <f>SUM(M110:R110)</f>
        <v>0.4</v>
      </c>
      <c r="K110" s="762"/>
      <c r="L110" s="762"/>
      <c r="M110" s="762"/>
      <c r="N110" s="762"/>
      <c r="O110" s="763"/>
      <c r="P110" s="762"/>
      <c r="Q110" s="1445">
        <v>0.4</v>
      </c>
      <c r="R110" s="1440"/>
      <c r="S110" s="49"/>
      <c r="T110" s="255"/>
      <c r="U110" s="49"/>
      <c r="V110" s="49"/>
      <c r="W110" s="168">
        <v>2</v>
      </c>
      <c r="X110" s="168">
        <v>25.1</v>
      </c>
      <c r="Y110" s="42">
        <v>1</v>
      </c>
      <c r="Z110" s="107">
        <v>10</v>
      </c>
      <c r="AB110" s="3">
        <v>1</v>
      </c>
      <c r="AE110" s="2461"/>
      <c r="AF110" s="68"/>
    </row>
    <row r="111" spans="1:32" ht="60.5" x14ac:dyDescent="0.35">
      <c r="A111" s="525">
        <v>41</v>
      </c>
      <c r="B111" s="358">
        <v>11132</v>
      </c>
      <c r="C111" s="358" t="s">
        <v>1656</v>
      </c>
      <c r="D111" s="2464" t="s">
        <v>5757</v>
      </c>
      <c r="E111" s="443" t="s">
        <v>8789</v>
      </c>
      <c r="F111" s="2289" t="s">
        <v>664</v>
      </c>
      <c r="G111" s="50">
        <v>5</v>
      </c>
      <c r="H111" s="50">
        <v>6</v>
      </c>
      <c r="I111" s="297">
        <f>J111+K111+L111</f>
        <v>1.99</v>
      </c>
      <c r="J111" s="297">
        <f>SUM(M111:R111)</f>
        <v>1.99</v>
      </c>
      <c r="K111" s="762"/>
      <c r="L111" s="762"/>
      <c r="M111" s="762"/>
      <c r="N111" s="762"/>
      <c r="O111" s="763"/>
      <c r="P111" s="762"/>
      <c r="Q111" s="2395"/>
      <c r="R111" s="2396">
        <v>1.99</v>
      </c>
      <c r="S111" s="49"/>
      <c r="T111" s="255"/>
      <c r="U111" s="49"/>
      <c r="V111" s="49"/>
      <c r="W111" s="168"/>
      <c r="X111" s="168"/>
      <c r="Y111" s="42"/>
      <c r="Z111" s="107"/>
      <c r="AB111" s="3">
        <v>1</v>
      </c>
      <c r="AE111" s="2461"/>
      <c r="AF111" s="68"/>
    </row>
    <row r="112" spans="1:32" ht="45.5" x14ac:dyDescent="0.35">
      <c r="A112" s="441">
        <v>42</v>
      </c>
      <c r="B112" s="405">
        <v>11132</v>
      </c>
      <c r="C112" s="405" t="s">
        <v>2436</v>
      </c>
      <c r="D112" s="2464" t="s">
        <v>5758</v>
      </c>
      <c r="E112" s="417" t="s">
        <v>7393</v>
      </c>
      <c r="F112" s="40"/>
      <c r="G112" s="40" t="s">
        <v>191</v>
      </c>
      <c r="H112" s="50" t="s">
        <v>191</v>
      </c>
      <c r="I112" s="762">
        <f>J112+K112+L112</f>
        <v>1.4</v>
      </c>
      <c r="J112" s="762">
        <f>SUM(M112:R112)</f>
        <v>1.4</v>
      </c>
      <c r="K112" s="749"/>
      <c r="L112" s="749"/>
      <c r="M112" s="749"/>
      <c r="N112" s="749">
        <f>SUM(N113:N114)</f>
        <v>0.4</v>
      </c>
      <c r="O112" s="769"/>
      <c r="P112" s="749"/>
      <c r="Q112" s="1449">
        <f>SUM(Q113:Q114)</f>
        <v>1</v>
      </c>
      <c r="R112" s="869"/>
      <c r="S112" s="42">
        <v>1</v>
      </c>
      <c r="T112" s="138">
        <v>42</v>
      </c>
      <c r="U112" s="170">
        <v>1</v>
      </c>
      <c r="V112" s="247">
        <v>42</v>
      </c>
      <c r="W112" s="110"/>
      <c r="X112" s="110"/>
      <c r="Y112" s="42"/>
      <c r="Z112" s="107"/>
      <c r="AB112" s="3">
        <v>1</v>
      </c>
      <c r="AE112" s="2461"/>
      <c r="AF112" s="68"/>
    </row>
    <row r="113" spans="1:32" x14ac:dyDescent="0.35">
      <c r="A113" s="349"/>
      <c r="B113" s="405">
        <v>11132</v>
      </c>
      <c r="C113" s="405"/>
      <c r="D113" s="405"/>
      <c r="E113" s="442" t="s">
        <v>1074</v>
      </c>
      <c r="F113" s="40" t="s">
        <v>827</v>
      </c>
      <c r="G113" s="40">
        <v>5</v>
      </c>
      <c r="H113" s="50">
        <v>6</v>
      </c>
      <c r="I113" s="749"/>
      <c r="J113" s="749"/>
      <c r="K113" s="749"/>
      <c r="L113" s="749"/>
      <c r="M113" s="749"/>
      <c r="N113" s="745">
        <v>0.4</v>
      </c>
      <c r="O113" s="764"/>
      <c r="P113" s="745"/>
      <c r="Q113" s="1089"/>
      <c r="R113" s="869"/>
      <c r="S113" s="42"/>
      <c r="T113" s="247"/>
      <c r="U113" s="42"/>
      <c r="V113" s="42"/>
      <c r="W113" s="110"/>
      <c r="X113" s="110"/>
      <c r="Y113" s="42"/>
      <c r="Z113" s="107"/>
      <c r="AE113" s="2461"/>
      <c r="AF113" s="68"/>
    </row>
    <row r="114" spans="1:32" x14ac:dyDescent="0.35">
      <c r="A114" s="349"/>
      <c r="B114" s="405">
        <v>11132</v>
      </c>
      <c r="C114" s="405"/>
      <c r="D114" s="405"/>
      <c r="E114" s="884" t="s">
        <v>3200</v>
      </c>
      <c r="F114" s="40" t="s">
        <v>827</v>
      </c>
      <c r="G114" s="40">
        <v>5</v>
      </c>
      <c r="H114" s="50">
        <v>6</v>
      </c>
      <c r="I114" s="749"/>
      <c r="J114" s="749"/>
      <c r="K114" s="749"/>
      <c r="L114" s="749"/>
      <c r="M114" s="749"/>
      <c r="N114" s="745"/>
      <c r="O114" s="764"/>
      <c r="P114" s="745"/>
      <c r="Q114" s="1089">
        <v>1</v>
      </c>
      <c r="R114" s="869"/>
      <c r="S114" s="42"/>
      <c r="T114" s="247"/>
      <c r="U114" s="42"/>
      <c r="V114" s="42"/>
      <c r="W114" s="110"/>
      <c r="X114" s="110"/>
      <c r="Y114" s="42"/>
      <c r="Z114" s="107"/>
      <c r="AE114" s="2461"/>
      <c r="AF114" s="68"/>
    </row>
    <row r="115" spans="1:32" ht="45" x14ac:dyDescent="0.35">
      <c r="A115" s="525">
        <v>43</v>
      </c>
      <c r="B115" s="693">
        <v>11132</v>
      </c>
      <c r="C115" s="693" t="s">
        <v>1656</v>
      </c>
      <c r="D115" s="2464" t="s">
        <v>5759</v>
      </c>
      <c r="E115" s="2187" t="s">
        <v>8790</v>
      </c>
      <c r="F115" s="93" t="s">
        <v>664</v>
      </c>
      <c r="G115" s="93">
        <v>5</v>
      </c>
      <c r="H115" s="50">
        <v>6</v>
      </c>
      <c r="I115" s="2143">
        <f>L115+K115+J115</f>
        <v>0.25</v>
      </c>
      <c r="J115" s="2143">
        <f>SUM(M115:R115)</f>
        <v>0.25</v>
      </c>
      <c r="K115" s="622"/>
      <c r="L115" s="622"/>
      <c r="M115" s="622"/>
      <c r="N115" s="622"/>
      <c r="O115" s="622"/>
      <c r="P115" s="622"/>
      <c r="Q115" s="2085"/>
      <c r="R115" s="906">
        <v>0.25</v>
      </c>
      <c r="S115" s="106"/>
      <c r="T115" s="106"/>
      <c r="U115" s="106"/>
      <c r="V115" s="106"/>
      <c r="W115" s="105"/>
      <c r="X115" s="105"/>
      <c r="Y115" s="105"/>
      <c r="Z115" s="323"/>
      <c r="AB115" s="3">
        <v>1</v>
      </c>
      <c r="AE115" s="2461"/>
      <c r="AF115" s="68"/>
    </row>
    <row r="116" spans="1:32" ht="45" x14ac:dyDescent="0.35">
      <c r="A116" s="349">
        <v>44</v>
      </c>
      <c r="B116" s="693">
        <v>11132</v>
      </c>
      <c r="C116" s="693" t="s">
        <v>1656</v>
      </c>
      <c r="D116" s="2464" t="s">
        <v>5760</v>
      </c>
      <c r="E116" s="2187" t="s">
        <v>8791</v>
      </c>
      <c r="F116" s="93" t="s">
        <v>664</v>
      </c>
      <c r="G116" s="93">
        <v>5</v>
      </c>
      <c r="H116" s="50">
        <v>6</v>
      </c>
      <c r="I116" s="2143">
        <f>L116+K116+J116</f>
        <v>0.05</v>
      </c>
      <c r="J116" s="2143">
        <f>SUM(M116:R116)</f>
        <v>0.05</v>
      </c>
      <c r="K116" s="622"/>
      <c r="L116" s="622"/>
      <c r="M116" s="622"/>
      <c r="N116" s="622"/>
      <c r="O116" s="622"/>
      <c r="P116" s="622"/>
      <c r="Q116" s="2085"/>
      <c r="R116" s="1981">
        <v>0.05</v>
      </c>
      <c r="S116" s="1779"/>
      <c r="T116" s="1779"/>
      <c r="U116" s="1779"/>
      <c r="V116" s="1779"/>
      <c r="W116" s="1779"/>
      <c r="X116" s="1779"/>
      <c r="Y116" s="1779"/>
      <c r="Z116" s="1780"/>
      <c r="AB116" s="3">
        <v>1</v>
      </c>
      <c r="AE116" s="2461"/>
      <c r="AF116" s="68"/>
    </row>
    <row r="117" spans="1:32" ht="60.5" x14ac:dyDescent="0.35">
      <c r="A117" s="525">
        <v>45</v>
      </c>
      <c r="B117" s="358">
        <v>11132</v>
      </c>
      <c r="C117" s="358" t="s">
        <v>1656</v>
      </c>
      <c r="D117" s="2464" t="s">
        <v>5761</v>
      </c>
      <c r="E117" s="443" t="s">
        <v>8792</v>
      </c>
      <c r="F117" s="166"/>
      <c r="G117" s="50" t="s">
        <v>191</v>
      </c>
      <c r="H117" s="50" t="s">
        <v>191</v>
      </c>
      <c r="I117" s="297">
        <f>J117+K117+L117</f>
        <v>1</v>
      </c>
      <c r="J117" s="297">
        <f>SUM(M117:R117)</f>
        <v>1</v>
      </c>
      <c r="K117" s="745"/>
      <c r="L117" s="745"/>
      <c r="M117" s="745"/>
      <c r="N117" s="749">
        <f>SUM(N118:N119)</f>
        <v>0.5</v>
      </c>
      <c r="O117" s="769"/>
      <c r="P117" s="749"/>
      <c r="Q117" s="2395"/>
      <c r="R117" s="2394">
        <f>SUM(R118:R119)</f>
        <v>0.5</v>
      </c>
      <c r="S117" s="40"/>
      <c r="T117" s="246"/>
      <c r="U117" s="40"/>
      <c r="V117" s="40"/>
      <c r="W117" s="166"/>
      <c r="X117" s="166"/>
      <c r="Y117" s="40"/>
      <c r="Z117" s="94"/>
      <c r="AB117" s="3">
        <v>1</v>
      </c>
      <c r="AE117" s="2461"/>
      <c r="AF117" s="68"/>
    </row>
    <row r="118" spans="1:32" x14ac:dyDescent="0.35">
      <c r="A118" s="359"/>
      <c r="B118" s="358">
        <v>11132</v>
      </c>
      <c r="C118" s="358"/>
      <c r="D118" s="828"/>
      <c r="E118" s="444" t="s">
        <v>2490</v>
      </c>
      <c r="F118" s="166" t="s">
        <v>664</v>
      </c>
      <c r="G118" s="50">
        <v>5</v>
      </c>
      <c r="H118" s="50">
        <v>6</v>
      </c>
      <c r="I118" s="297"/>
      <c r="J118" s="297"/>
      <c r="K118" s="745"/>
      <c r="L118" s="745"/>
      <c r="M118" s="745"/>
      <c r="N118" s="745">
        <v>0.5</v>
      </c>
      <c r="O118" s="764"/>
      <c r="P118" s="745"/>
      <c r="Q118" s="2397"/>
      <c r="R118" s="1981"/>
      <c r="S118" s="1779"/>
      <c r="T118" s="1779"/>
      <c r="U118" s="1779"/>
      <c r="V118" s="1779"/>
      <c r="W118" s="1779"/>
      <c r="X118" s="1779"/>
      <c r="Y118" s="1779"/>
      <c r="Z118" s="1780"/>
      <c r="AE118" s="2461"/>
      <c r="AF118" s="68"/>
    </row>
    <row r="119" spans="1:32" x14ac:dyDescent="0.35">
      <c r="A119" s="359"/>
      <c r="B119" s="358">
        <v>11132</v>
      </c>
      <c r="C119" s="358"/>
      <c r="D119" s="828"/>
      <c r="E119" s="885" t="s">
        <v>1555</v>
      </c>
      <c r="F119" s="166" t="s">
        <v>664</v>
      </c>
      <c r="G119" s="50">
        <v>5</v>
      </c>
      <c r="H119" s="50">
        <v>6</v>
      </c>
      <c r="I119" s="2143"/>
      <c r="J119" s="2143"/>
      <c r="K119" s="622"/>
      <c r="L119" s="622"/>
      <c r="M119" s="622"/>
      <c r="N119" s="622"/>
      <c r="O119" s="622"/>
      <c r="P119" s="622"/>
      <c r="Q119" s="2085"/>
      <c r="R119" s="1084">
        <v>0.5</v>
      </c>
      <c r="S119" s="1779"/>
      <c r="T119" s="1779"/>
      <c r="U119" s="1779"/>
      <c r="V119" s="1779"/>
      <c r="W119" s="1779"/>
      <c r="X119" s="1779"/>
      <c r="Y119" s="1779"/>
      <c r="Z119" s="1780"/>
      <c r="AE119" s="2461"/>
      <c r="AF119" s="68"/>
    </row>
    <row r="120" spans="1:32" ht="60.5" x14ac:dyDescent="0.35">
      <c r="A120" s="441">
        <v>46</v>
      </c>
      <c r="B120" s="358">
        <v>11132</v>
      </c>
      <c r="C120" s="358" t="s">
        <v>1656</v>
      </c>
      <c r="D120" s="2464" t="s">
        <v>5762</v>
      </c>
      <c r="E120" s="443" t="s">
        <v>8793</v>
      </c>
      <c r="F120" s="166" t="s">
        <v>664</v>
      </c>
      <c r="G120" s="50">
        <v>5</v>
      </c>
      <c r="H120" s="50">
        <v>6</v>
      </c>
      <c r="I120" s="297">
        <f>J120+K120+L120</f>
        <v>0.5</v>
      </c>
      <c r="J120" s="297">
        <f>SUM(M120:R120)</f>
        <v>0.5</v>
      </c>
      <c r="K120" s="745"/>
      <c r="L120" s="745"/>
      <c r="M120" s="749"/>
      <c r="N120" s="749"/>
      <c r="O120" s="769"/>
      <c r="P120" s="749"/>
      <c r="Q120" s="2395"/>
      <c r="R120" s="2394">
        <v>0.5</v>
      </c>
      <c r="S120" s="40"/>
      <c r="T120" s="246"/>
      <c r="U120" s="40"/>
      <c r="V120" s="40"/>
      <c r="W120" s="166"/>
      <c r="X120" s="166"/>
      <c r="Y120" s="40"/>
      <c r="Z120" s="94"/>
      <c r="AB120" s="3">
        <v>1</v>
      </c>
      <c r="AE120" s="2461"/>
      <c r="AF120" s="68"/>
    </row>
    <row r="121" spans="1:32" ht="45.5" x14ac:dyDescent="0.35">
      <c r="A121" s="441">
        <v>47</v>
      </c>
      <c r="B121" s="358">
        <v>11132</v>
      </c>
      <c r="C121" s="358" t="s">
        <v>1656</v>
      </c>
      <c r="D121" s="2464" t="s">
        <v>5763</v>
      </c>
      <c r="E121" s="443" t="s">
        <v>8794</v>
      </c>
      <c r="F121" s="2289" t="s">
        <v>664</v>
      </c>
      <c r="G121" s="50">
        <v>5</v>
      </c>
      <c r="H121" s="50">
        <v>6</v>
      </c>
      <c r="I121" s="297">
        <f>J121+K121+L121</f>
        <v>1.05</v>
      </c>
      <c r="J121" s="297">
        <f>SUM(M121:R121)</f>
        <v>1.05</v>
      </c>
      <c r="K121" s="762"/>
      <c r="L121" s="762"/>
      <c r="M121" s="762"/>
      <c r="N121" s="762"/>
      <c r="O121" s="763"/>
      <c r="P121" s="762"/>
      <c r="Q121" s="2395"/>
      <c r="R121" s="2396">
        <v>1.05</v>
      </c>
      <c r="S121" s="49"/>
      <c r="T121" s="255"/>
      <c r="U121" s="49"/>
      <c r="V121" s="49"/>
      <c r="W121" s="168"/>
      <c r="X121" s="168"/>
      <c r="Y121" s="42"/>
      <c r="Z121" s="107"/>
      <c r="AB121" s="3">
        <v>1</v>
      </c>
      <c r="AE121" s="2461"/>
      <c r="AF121" s="68"/>
    </row>
    <row r="122" spans="1:32" ht="60.5" x14ac:dyDescent="0.35">
      <c r="A122" s="441">
        <v>48</v>
      </c>
      <c r="B122" s="358">
        <v>11132</v>
      </c>
      <c r="C122" s="358" t="s">
        <v>1656</v>
      </c>
      <c r="D122" s="2464" t="s">
        <v>5764</v>
      </c>
      <c r="E122" s="443" t="s">
        <v>8795</v>
      </c>
      <c r="F122" s="2289" t="s">
        <v>664</v>
      </c>
      <c r="G122" s="50">
        <v>5</v>
      </c>
      <c r="H122" s="50">
        <v>6</v>
      </c>
      <c r="I122" s="297">
        <f>J122+K122+L122</f>
        <v>1.8</v>
      </c>
      <c r="J122" s="297">
        <f>SUM(M122:R122)</f>
        <v>1.8</v>
      </c>
      <c r="K122" s="765"/>
      <c r="L122" s="765"/>
      <c r="M122" s="762"/>
      <c r="N122" s="762"/>
      <c r="O122" s="763"/>
      <c r="P122" s="762"/>
      <c r="Q122" s="2395"/>
      <c r="R122" s="2396">
        <v>1.8</v>
      </c>
      <c r="S122" s="50"/>
      <c r="T122" s="256"/>
      <c r="U122" s="50"/>
      <c r="V122" s="50"/>
      <c r="W122" s="165"/>
      <c r="X122" s="165"/>
      <c r="Y122" s="40"/>
      <c r="Z122" s="94"/>
      <c r="AB122" s="3">
        <v>1</v>
      </c>
      <c r="AE122" s="2461"/>
      <c r="AF122" s="68"/>
    </row>
    <row r="123" spans="1:32" ht="30.5" x14ac:dyDescent="0.35">
      <c r="A123" s="441">
        <v>49</v>
      </c>
      <c r="B123" s="358">
        <v>11133</v>
      </c>
      <c r="C123" s="358"/>
      <c r="D123" s="358" t="s">
        <v>1463</v>
      </c>
      <c r="E123" s="417" t="s">
        <v>608</v>
      </c>
      <c r="F123" s="40"/>
      <c r="G123" s="50" t="s">
        <v>191</v>
      </c>
      <c r="H123" s="50" t="s">
        <v>191</v>
      </c>
      <c r="I123" s="762">
        <f>J123+K123+L123</f>
        <v>20.535</v>
      </c>
      <c r="J123" s="762">
        <f>SUM(M123:R123)</f>
        <v>18.144000000000002</v>
      </c>
      <c r="K123" s="762"/>
      <c r="L123" s="762">
        <f>SUM(L124:L128)</f>
        <v>2.3909999999999991</v>
      </c>
      <c r="M123" s="762"/>
      <c r="N123" s="762">
        <f>SUM(N124:N128)</f>
        <v>14.350000000000001</v>
      </c>
      <c r="O123" s="763"/>
      <c r="P123" s="762"/>
      <c r="Q123" s="1445">
        <f>SUM(Q124:Q128)</f>
        <v>3.4940000000000002</v>
      </c>
      <c r="R123" s="1440">
        <v>0.3</v>
      </c>
      <c r="S123" s="49">
        <v>1</v>
      </c>
      <c r="T123" s="255">
        <v>31</v>
      </c>
      <c r="U123" s="49"/>
      <c r="V123" s="49"/>
      <c r="W123" s="168">
        <v>24</v>
      </c>
      <c r="X123" s="168">
        <v>306.3</v>
      </c>
      <c r="Y123" s="42">
        <v>6</v>
      </c>
      <c r="Z123" s="107">
        <v>60</v>
      </c>
      <c r="AB123" s="3">
        <v>1</v>
      </c>
      <c r="AE123" s="2461"/>
      <c r="AF123" s="68"/>
    </row>
    <row r="124" spans="1:32" x14ac:dyDescent="0.35">
      <c r="A124" s="359"/>
      <c r="B124" s="358">
        <v>11133</v>
      </c>
      <c r="C124" s="358"/>
      <c r="D124" s="360"/>
      <c r="E124" s="885" t="s">
        <v>880</v>
      </c>
      <c r="F124" s="41" t="s">
        <v>664</v>
      </c>
      <c r="G124" s="41">
        <v>5</v>
      </c>
      <c r="H124" s="50">
        <v>6</v>
      </c>
      <c r="I124" s="747"/>
      <c r="J124" s="747"/>
      <c r="K124" s="745"/>
      <c r="L124" s="745"/>
      <c r="M124" s="745"/>
      <c r="N124" s="745"/>
      <c r="O124" s="764"/>
      <c r="P124" s="745"/>
      <c r="Q124" s="1089"/>
      <c r="R124" s="1084">
        <v>0.3</v>
      </c>
      <c r="S124" s="40"/>
      <c r="T124" s="246"/>
      <c r="U124" s="40"/>
      <c r="V124" s="40"/>
      <c r="W124" s="166"/>
      <c r="X124" s="166"/>
      <c r="Y124" s="40"/>
      <c r="Z124" s="94"/>
      <c r="AE124" s="2461"/>
      <c r="AF124" s="68"/>
    </row>
    <row r="125" spans="1:32" x14ac:dyDescent="0.35">
      <c r="A125" s="359"/>
      <c r="B125" s="358">
        <v>11133</v>
      </c>
      <c r="C125" s="358"/>
      <c r="D125" s="360"/>
      <c r="E125" s="884" t="s">
        <v>604</v>
      </c>
      <c r="F125" s="41">
        <v>5</v>
      </c>
      <c r="G125" s="41">
        <v>4</v>
      </c>
      <c r="H125" s="50">
        <v>6</v>
      </c>
      <c r="I125" s="747"/>
      <c r="J125" s="747"/>
      <c r="K125" s="745"/>
      <c r="L125" s="745"/>
      <c r="M125" s="745"/>
      <c r="N125" s="745"/>
      <c r="O125" s="764"/>
      <c r="P125" s="745"/>
      <c r="Q125" s="1089">
        <f>3.794-0.3</f>
        <v>3.4940000000000002</v>
      </c>
      <c r="R125" s="1084"/>
      <c r="S125" s="40"/>
      <c r="T125" s="246"/>
      <c r="U125" s="40"/>
      <c r="V125" s="40"/>
      <c r="W125" s="166"/>
      <c r="X125" s="166"/>
      <c r="Y125" s="40"/>
      <c r="Z125" s="94"/>
      <c r="AE125" s="2461"/>
      <c r="AF125" s="68"/>
    </row>
    <row r="126" spans="1:32" x14ac:dyDescent="0.35">
      <c r="A126" s="359"/>
      <c r="B126" s="358">
        <v>11133</v>
      </c>
      <c r="C126" s="358"/>
      <c r="D126" s="360"/>
      <c r="E126" s="442" t="s">
        <v>605</v>
      </c>
      <c r="F126" s="40">
        <v>4</v>
      </c>
      <c r="G126" s="40">
        <v>4</v>
      </c>
      <c r="H126" s="50">
        <v>6</v>
      </c>
      <c r="I126" s="745"/>
      <c r="J126" s="745"/>
      <c r="K126" s="745"/>
      <c r="L126" s="745"/>
      <c r="M126" s="745"/>
      <c r="N126" s="747">
        <f>6.181-3.794</f>
        <v>2.387</v>
      </c>
      <c r="O126" s="764"/>
      <c r="P126" s="745"/>
      <c r="Q126" s="1089"/>
      <c r="R126" s="1084"/>
      <c r="S126" s="40"/>
      <c r="T126" s="246"/>
      <c r="U126" s="40"/>
      <c r="V126" s="40"/>
      <c r="W126" s="166"/>
      <c r="X126" s="166"/>
      <c r="Y126" s="40"/>
      <c r="Z126" s="94"/>
      <c r="AE126" s="2461"/>
      <c r="AF126" s="68"/>
    </row>
    <row r="127" spans="1:32" ht="31" x14ac:dyDescent="0.35">
      <c r="A127" s="359"/>
      <c r="B127" s="358">
        <v>11133</v>
      </c>
      <c r="C127" s="358"/>
      <c r="D127" s="360"/>
      <c r="E127" s="442" t="s">
        <v>606</v>
      </c>
      <c r="F127" s="40">
        <v>4</v>
      </c>
      <c r="G127" s="40">
        <v>4</v>
      </c>
      <c r="H127" s="40" t="s">
        <v>191</v>
      </c>
      <c r="I127" s="745"/>
      <c r="J127" s="745"/>
      <c r="K127" s="745"/>
      <c r="L127" s="747">
        <f>8.572-6.181</f>
        <v>2.3909999999999991</v>
      </c>
      <c r="M127" s="745"/>
      <c r="N127" s="745"/>
      <c r="O127" s="764"/>
      <c r="P127" s="745"/>
      <c r="Q127" s="1089"/>
      <c r="R127" s="1084"/>
      <c r="S127" s="40"/>
      <c r="T127" s="246"/>
      <c r="U127" s="40"/>
      <c r="V127" s="40"/>
      <c r="W127" s="166"/>
      <c r="X127" s="166"/>
      <c r="Y127" s="40"/>
      <c r="Z127" s="94"/>
      <c r="AE127" s="2461"/>
      <c r="AF127" s="68"/>
    </row>
    <row r="128" spans="1:32" x14ac:dyDescent="0.35">
      <c r="A128" s="359"/>
      <c r="B128" s="358">
        <v>11133</v>
      </c>
      <c r="C128" s="358"/>
      <c r="D128" s="360"/>
      <c r="E128" s="442" t="s">
        <v>607</v>
      </c>
      <c r="F128" s="40">
        <v>4</v>
      </c>
      <c r="G128" s="40">
        <v>4</v>
      </c>
      <c r="H128" s="50">
        <v>6</v>
      </c>
      <c r="I128" s="745"/>
      <c r="J128" s="745"/>
      <c r="K128" s="745"/>
      <c r="L128" s="745"/>
      <c r="M128" s="745"/>
      <c r="N128" s="747">
        <f>20.535-8.572</f>
        <v>11.963000000000001</v>
      </c>
      <c r="O128" s="764"/>
      <c r="P128" s="745"/>
      <c r="Q128" s="1089"/>
      <c r="R128" s="1084"/>
      <c r="S128" s="40"/>
      <c r="T128" s="246"/>
      <c r="U128" s="40"/>
      <c r="V128" s="40"/>
      <c r="W128" s="166"/>
      <c r="X128" s="166"/>
      <c r="Y128" s="40"/>
      <c r="Z128" s="94"/>
      <c r="AE128" s="2461"/>
      <c r="AF128" s="68"/>
    </row>
    <row r="129" spans="1:32" ht="45.5" x14ac:dyDescent="0.35">
      <c r="A129" s="441">
        <v>50</v>
      </c>
      <c r="B129" s="358">
        <v>11133</v>
      </c>
      <c r="C129" s="358"/>
      <c r="D129" s="2464" t="s">
        <v>5765</v>
      </c>
      <c r="E129" s="417" t="s">
        <v>7894</v>
      </c>
      <c r="F129" s="41">
        <v>5</v>
      </c>
      <c r="G129" s="50">
        <v>4</v>
      </c>
      <c r="H129" s="50">
        <v>6</v>
      </c>
      <c r="I129" s="762">
        <f>J129+K129+L129</f>
        <v>1.1000000000000001</v>
      </c>
      <c r="J129" s="762">
        <f t="shared" ref="J129:J134" si="10">SUM(M129:R129)</f>
        <v>1.1000000000000001</v>
      </c>
      <c r="K129" s="762"/>
      <c r="L129" s="762"/>
      <c r="M129" s="762"/>
      <c r="N129" s="762">
        <v>0.1</v>
      </c>
      <c r="O129" s="763"/>
      <c r="P129" s="762"/>
      <c r="Q129" s="1445">
        <v>1</v>
      </c>
      <c r="R129" s="1440"/>
      <c r="S129" s="49"/>
      <c r="T129" s="255"/>
      <c r="U129" s="49"/>
      <c r="V129" s="49"/>
      <c r="W129" s="168">
        <v>4</v>
      </c>
      <c r="X129" s="168">
        <v>50.5</v>
      </c>
      <c r="Y129" s="42">
        <v>2</v>
      </c>
      <c r="Z129" s="107">
        <v>20</v>
      </c>
      <c r="AB129" s="3">
        <v>1</v>
      </c>
      <c r="AE129" s="2461"/>
      <c r="AF129" s="68"/>
    </row>
    <row r="130" spans="1:32" ht="75" x14ac:dyDescent="0.35">
      <c r="A130" s="525">
        <v>51</v>
      </c>
      <c r="B130" s="693">
        <v>11133</v>
      </c>
      <c r="C130" s="693" t="s">
        <v>1656</v>
      </c>
      <c r="D130" s="2464" t="s">
        <v>5766</v>
      </c>
      <c r="E130" s="2187" t="s">
        <v>8796</v>
      </c>
      <c r="F130" s="93" t="s">
        <v>664</v>
      </c>
      <c r="G130" s="93">
        <v>5</v>
      </c>
      <c r="H130" s="50">
        <v>6</v>
      </c>
      <c r="I130" s="2143">
        <f>L130+K130+J130</f>
        <v>0.35</v>
      </c>
      <c r="J130" s="2143">
        <f t="shared" si="10"/>
        <v>0.35</v>
      </c>
      <c r="K130" s="622"/>
      <c r="L130" s="622"/>
      <c r="M130" s="622"/>
      <c r="N130" s="622"/>
      <c r="O130" s="622"/>
      <c r="P130" s="622"/>
      <c r="Q130" s="2085"/>
      <c r="R130" s="906">
        <v>0.35</v>
      </c>
      <c r="S130" s="106"/>
      <c r="T130" s="106"/>
      <c r="U130" s="106"/>
      <c r="V130" s="106"/>
      <c r="W130" s="105"/>
      <c r="X130" s="105"/>
      <c r="Y130" s="105"/>
      <c r="Z130" s="323"/>
      <c r="AB130" s="3">
        <v>1</v>
      </c>
      <c r="AE130" s="2461"/>
      <c r="AF130" s="68"/>
    </row>
    <row r="131" spans="1:32" ht="45.5" x14ac:dyDescent="0.35">
      <c r="A131" s="441">
        <v>52</v>
      </c>
      <c r="B131" s="358">
        <v>11133</v>
      </c>
      <c r="C131" s="358"/>
      <c r="D131" s="2464" t="s">
        <v>5767</v>
      </c>
      <c r="E131" s="417" t="s">
        <v>7895</v>
      </c>
      <c r="F131" s="41" t="s">
        <v>1490</v>
      </c>
      <c r="G131" s="50">
        <v>5</v>
      </c>
      <c r="H131" s="50">
        <v>6</v>
      </c>
      <c r="I131" s="762">
        <f>J131+K131+L131</f>
        <v>1.43</v>
      </c>
      <c r="J131" s="762">
        <f t="shared" si="10"/>
        <v>1.43</v>
      </c>
      <c r="K131" s="762"/>
      <c r="L131" s="762"/>
      <c r="M131" s="762"/>
      <c r="N131" s="762"/>
      <c r="O131" s="763"/>
      <c r="P131" s="762"/>
      <c r="Q131" s="1445">
        <v>1.43</v>
      </c>
      <c r="R131" s="1440"/>
      <c r="S131" s="49"/>
      <c r="T131" s="255"/>
      <c r="U131" s="49"/>
      <c r="V131" s="49"/>
      <c r="W131" s="168">
        <v>7</v>
      </c>
      <c r="X131" s="168">
        <v>69.099999999999994</v>
      </c>
      <c r="Y131" s="42">
        <v>2</v>
      </c>
      <c r="Z131" s="107">
        <v>20</v>
      </c>
      <c r="AB131" s="3">
        <v>1</v>
      </c>
      <c r="AE131" s="2461"/>
      <c r="AF131" s="68"/>
    </row>
    <row r="132" spans="1:32" ht="45.5" x14ac:dyDescent="0.35">
      <c r="A132" s="525">
        <v>53</v>
      </c>
      <c r="B132" s="358">
        <v>11133</v>
      </c>
      <c r="C132" s="358"/>
      <c r="D132" s="2464" t="s">
        <v>5768</v>
      </c>
      <c r="E132" s="417" t="s">
        <v>7896</v>
      </c>
      <c r="F132" s="41" t="s">
        <v>827</v>
      </c>
      <c r="G132" s="50">
        <v>5</v>
      </c>
      <c r="H132" s="50">
        <v>6</v>
      </c>
      <c r="I132" s="762">
        <f>J132+K132+L132</f>
        <v>1.3</v>
      </c>
      <c r="J132" s="762">
        <f t="shared" si="10"/>
        <v>1.3</v>
      </c>
      <c r="K132" s="762"/>
      <c r="L132" s="762"/>
      <c r="M132" s="762"/>
      <c r="N132" s="762"/>
      <c r="O132" s="763"/>
      <c r="P132" s="762"/>
      <c r="Q132" s="1445"/>
      <c r="R132" s="1440">
        <v>1.3</v>
      </c>
      <c r="S132" s="49"/>
      <c r="T132" s="255"/>
      <c r="U132" s="49"/>
      <c r="V132" s="49"/>
      <c r="W132" s="168">
        <v>1</v>
      </c>
      <c r="X132" s="168">
        <v>10</v>
      </c>
      <c r="Y132" s="42"/>
      <c r="Z132" s="107"/>
      <c r="AB132" s="3">
        <v>1</v>
      </c>
      <c r="AE132" s="2461"/>
      <c r="AF132" s="68"/>
    </row>
    <row r="133" spans="1:32" ht="75.5" x14ac:dyDescent="0.35">
      <c r="A133" s="441">
        <v>54</v>
      </c>
      <c r="B133" s="358">
        <v>11133</v>
      </c>
      <c r="C133" s="358" t="s">
        <v>1656</v>
      </c>
      <c r="D133" s="2464" t="s">
        <v>5769</v>
      </c>
      <c r="E133" s="443" t="s">
        <v>8797</v>
      </c>
      <c r="F133" s="166" t="s">
        <v>664</v>
      </c>
      <c r="G133" s="50">
        <v>5</v>
      </c>
      <c r="H133" s="50">
        <v>6</v>
      </c>
      <c r="I133" s="297">
        <f>J133+K133+L133</f>
        <v>0.2</v>
      </c>
      <c r="J133" s="297">
        <f t="shared" si="10"/>
        <v>0.2</v>
      </c>
      <c r="K133" s="745"/>
      <c r="L133" s="745"/>
      <c r="M133" s="749"/>
      <c r="N133" s="744"/>
      <c r="O133" s="769"/>
      <c r="P133" s="749"/>
      <c r="Q133" s="2393"/>
      <c r="R133" s="2394">
        <v>0.2</v>
      </c>
      <c r="S133" s="40"/>
      <c r="T133" s="246"/>
      <c r="U133" s="40"/>
      <c r="V133" s="40"/>
      <c r="W133" s="166"/>
      <c r="X133" s="166"/>
      <c r="Y133" s="40"/>
      <c r="Z133" s="94"/>
      <c r="AB133" s="3">
        <v>1</v>
      </c>
      <c r="AE133" s="2461"/>
      <c r="AF133" s="68"/>
    </row>
    <row r="134" spans="1:32" ht="45.5" x14ac:dyDescent="0.35">
      <c r="A134" s="525">
        <v>55</v>
      </c>
      <c r="B134" s="358">
        <v>11133</v>
      </c>
      <c r="C134" s="358"/>
      <c r="D134" s="2464" t="s">
        <v>5770</v>
      </c>
      <c r="E134" s="417" t="s">
        <v>7897</v>
      </c>
      <c r="F134" s="41"/>
      <c r="G134" s="50" t="s">
        <v>191</v>
      </c>
      <c r="H134" s="50" t="s">
        <v>191</v>
      </c>
      <c r="I134" s="762">
        <f>J134+K134+L134</f>
        <v>1.54</v>
      </c>
      <c r="J134" s="762">
        <f t="shared" si="10"/>
        <v>1.54</v>
      </c>
      <c r="K134" s="762"/>
      <c r="L134" s="762"/>
      <c r="M134" s="762"/>
      <c r="N134" s="762">
        <v>1.24</v>
      </c>
      <c r="O134" s="763"/>
      <c r="P134" s="762"/>
      <c r="Q134" s="1445">
        <v>0.3</v>
      </c>
      <c r="R134" s="1440"/>
      <c r="S134" s="49">
        <v>1</v>
      </c>
      <c r="T134" s="255">
        <v>27.8</v>
      </c>
      <c r="U134" s="49"/>
      <c r="V134" s="49"/>
      <c r="W134" s="168">
        <v>3</v>
      </c>
      <c r="X134" s="168">
        <v>36.6</v>
      </c>
      <c r="Y134" s="42">
        <v>2</v>
      </c>
      <c r="Z134" s="107">
        <v>20</v>
      </c>
      <c r="AB134" s="3">
        <v>1</v>
      </c>
      <c r="AE134" s="2461"/>
      <c r="AF134" s="68"/>
    </row>
    <row r="135" spans="1:32" x14ac:dyDescent="0.35">
      <c r="A135" s="361"/>
      <c r="B135" s="358">
        <v>11133</v>
      </c>
      <c r="C135" s="358"/>
      <c r="D135" s="364"/>
      <c r="E135" s="444" t="s">
        <v>3144</v>
      </c>
      <c r="F135" s="41">
        <v>5</v>
      </c>
      <c r="G135" s="50">
        <v>5</v>
      </c>
      <c r="H135" s="50">
        <v>6</v>
      </c>
      <c r="I135" s="765"/>
      <c r="J135" s="765"/>
      <c r="K135" s="765"/>
      <c r="L135" s="765"/>
      <c r="M135" s="765"/>
      <c r="N135" s="765">
        <v>1.24</v>
      </c>
      <c r="O135" s="766"/>
      <c r="P135" s="765"/>
      <c r="Q135" s="1448"/>
      <c r="R135" s="1443"/>
      <c r="S135" s="50"/>
      <c r="T135" s="256"/>
      <c r="U135" s="50"/>
      <c r="V135" s="50"/>
      <c r="W135" s="165"/>
      <c r="X135" s="165"/>
      <c r="Y135" s="40"/>
      <c r="Z135" s="94"/>
      <c r="AE135" s="2461"/>
      <c r="AF135" s="68"/>
    </row>
    <row r="136" spans="1:32" x14ac:dyDescent="0.35">
      <c r="A136" s="361"/>
      <c r="B136" s="358">
        <v>11133</v>
      </c>
      <c r="C136" s="358"/>
      <c r="D136" s="364"/>
      <c r="E136" s="884" t="s">
        <v>3145</v>
      </c>
      <c r="F136" s="41">
        <v>5</v>
      </c>
      <c r="G136" s="50">
        <v>5</v>
      </c>
      <c r="H136" s="50">
        <v>6</v>
      </c>
      <c r="I136" s="765"/>
      <c r="J136" s="765"/>
      <c r="K136" s="765"/>
      <c r="L136" s="765"/>
      <c r="M136" s="765"/>
      <c r="N136" s="765"/>
      <c r="O136" s="766"/>
      <c r="P136" s="765"/>
      <c r="Q136" s="1448">
        <v>0.3</v>
      </c>
      <c r="R136" s="1443"/>
      <c r="S136" s="50"/>
      <c r="T136" s="256"/>
      <c r="U136" s="50"/>
      <c r="V136" s="50"/>
      <c r="W136" s="165"/>
      <c r="X136" s="165"/>
      <c r="Y136" s="40"/>
      <c r="Z136" s="94"/>
      <c r="AE136" s="2461"/>
      <c r="AF136" s="68"/>
    </row>
    <row r="137" spans="1:32" ht="60" x14ac:dyDescent="0.35">
      <c r="A137" s="525">
        <v>56</v>
      </c>
      <c r="B137" s="693">
        <v>11133</v>
      </c>
      <c r="C137" s="693" t="s">
        <v>1656</v>
      </c>
      <c r="D137" s="2464" t="s">
        <v>5771</v>
      </c>
      <c r="E137" s="2187" t="s">
        <v>8798</v>
      </c>
      <c r="F137" s="93" t="s">
        <v>664</v>
      </c>
      <c r="G137" s="93">
        <v>5</v>
      </c>
      <c r="H137" s="50">
        <v>6</v>
      </c>
      <c r="I137" s="2143">
        <f>L137+K137+J137</f>
        <v>0.35</v>
      </c>
      <c r="J137" s="2143">
        <f t="shared" ref="J137:J145" si="11">SUM(M137:R137)</f>
        <v>0.35</v>
      </c>
      <c r="K137" s="622"/>
      <c r="L137" s="622"/>
      <c r="M137" s="622"/>
      <c r="N137" s="622"/>
      <c r="O137" s="622"/>
      <c r="P137" s="622"/>
      <c r="Q137" s="2085"/>
      <c r="R137" s="906">
        <v>0.35</v>
      </c>
      <c r="S137" s="106"/>
      <c r="T137" s="106"/>
      <c r="U137" s="106"/>
      <c r="V137" s="106"/>
      <c r="W137" s="105"/>
      <c r="X137" s="105"/>
      <c r="Y137" s="105"/>
      <c r="Z137" s="323"/>
      <c r="AB137" s="3">
        <v>1</v>
      </c>
      <c r="AE137" s="2461"/>
      <c r="AF137" s="68"/>
    </row>
    <row r="138" spans="1:32" ht="45" x14ac:dyDescent="0.35">
      <c r="A138" s="525">
        <v>57</v>
      </c>
      <c r="B138" s="693">
        <v>11133</v>
      </c>
      <c r="C138" s="693" t="s">
        <v>1656</v>
      </c>
      <c r="D138" s="2464" t="s">
        <v>5772</v>
      </c>
      <c r="E138" s="2187" t="s">
        <v>8799</v>
      </c>
      <c r="F138" s="93" t="s">
        <v>664</v>
      </c>
      <c r="G138" s="93">
        <v>5</v>
      </c>
      <c r="H138" s="50">
        <v>6</v>
      </c>
      <c r="I138" s="2143">
        <f>L138+K138+J138</f>
        <v>0.08</v>
      </c>
      <c r="J138" s="2143">
        <f t="shared" si="11"/>
        <v>0.08</v>
      </c>
      <c r="K138" s="622"/>
      <c r="L138" s="622"/>
      <c r="M138" s="622"/>
      <c r="N138" s="622"/>
      <c r="O138" s="622"/>
      <c r="P138" s="622"/>
      <c r="Q138" s="2085"/>
      <c r="R138" s="906">
        <v>0.08</v>
      </c>
      <c r="S138" s="106"/>
      <c r="T138" s="106"/>
      <c r="U138" s="106"/>
      <c r="V138" s="106"/>
      <c r="W138" s="105"/>
      <c r="X138" s="105"/>
      <c r="Y138" s="105"/>
      <c r="Z138" s="323"/>
      <c r="AB138" s="3">
        <v>1</v>
      </c>
      <c r="AE138" s="2461"/>
      <c r="AF138" s="68"/>
    </row>
    <row r="139" spans="1:32" ht="45" x14ac:dyDescent="0.35">
      <c r="A139" s="525">
        <v>58</v>
      </c>
      <c r="B139" s="693">
        <v>11133</v>
      </c>
      <c r="C139" s="693" t="s">
        <v>1656</v>
      </c>
      <c r="D139" s="2464" t="s">
        <v>5773</v>
      </c>
      <c r="E139" s="2187" t="s">
        <v>8800</v>
      </c>
      <c r="F139" s="93"/>
      <c r="G139" s="93" t="s">
        <v>191</v>
      </c>
      <c r="H139" s="50" t="s">
        <v>191</v>
      </c>
      <c r="I139" s="2143">
        <f>L139+K139+J139</f>
        <v>0.83</v>
      </c>
      <c r="J139" s="2143">
        <f t="shared" si="11"/>
        <v>9.9999999999999978E-2</v>
      </c>
      <c r="K139" s="622"/>
      <c r="L139" s="622">
        <f>SUM(L140:L141)</f>
        <v>0.73</v>
      </c>
      <c r="M139" s="622"/>
      <c r="N139" s="622"/>
      <c r="O139" s="622"/>
      <c r="P139" s="622"/>
      <c r="Q139" s="2085"/>
      <c r="R139" s="906">
        <f>SUM(R140:R141)</f>
        <v>9.9999999999999978E-2</v>
      </c>
      <c r="S139" s="106"/>
      <c r="T139" s="106"/>
      <c r="U139" s="106"/>
      <c r="V139" s="106"/>
      <c r="W139" s="105"/>
      <c r="X139" s="105"/>
      <c r="Y139" s="105"/>
      <c r="Z139" s="323"/>
      <c r="AB139" s="3">
        <v>1</v>
      </c>
      <c r="AE139" s="2461"/>
      <c r="AF139" s="68"/>
    </row>
    <row r="140" spans="1:32" x14ac:dyDescent="0.35">
      <c r="A140" s="525"/>
      <c r="B140" s="693"/>
      <c r="C140" s="693"/>
      <c r="D140" s="2464"/>
      <c r="E140" s="442" t="s">
        <v>7086</v>
      </c>
      <c r="F140" s="93" t="s">
        <v>664</v>
      </c>
      <c r="G140" s="93">
        <v>5</v>
      </c>
      <c r="H140" s="50" t="s">
        <v>191</v>
      </c>
      <c r="I140" s="2142"/>
      <c r="J140" s="2142"/>
      <c r="K140" s="395"/>
      <c r="L140" s="395">
        <v>0.73</v>
      </c>
      <c r="M140" s="395"/>
      <c r="N140" s="395"/>
      <c r="O140" s="395"/>
      <c r="P140" s="395"/>
      <c r="Q140" s="2086"/>
      <c r="R140" s="907"/>
      <c r="S140" s="106"/>
      <c r="T140" s="106"/>
      <c r="U140" s="106"/>
      <c r="V140" s="106"/>
      <c r="W140" s="105"/>
      <c r="X140" s="105"/>
      <c r="Y140" s="105"/>
      <c r="Z140" s="323"/>
      <c r="AE140" s="2461"/>
      <c r="AF140" s="68"/>
    </row>
    <row r="141" spans="1:32" x14ac:dyDescent="0.35">
      <c r="A141" s="525"/>
      <c r="B141" s="693"/>
      <c r="C141" s="693"/>
      <c r="D141" s="2464"/>
      <c r="E141" s="885" t="s">
        <v>7087</v>
      </c>
      <c r="F141" s="93" t="s">
        <v>664</v>
      </c>
      <c r="G141" s="93">
        <v>5</v>
      </c>
      <c r="H141" s="50">
        <v>6</v>
      </c>
      <c r="I141" s="2142"/>
      <c r="J141" s="2142"/>
      <c r="K141" s="395"/>
      <c r="L141" s="395"/>
      <c r="M141" s="395"/>
      <c r="N141" s="395"/>
      <c r="O141" s="395"/>
      <c r="P141" s="395"/>
      <c r="Q141" s="2086"/>
      <c r="R141" s="907">
        <f>0.83-0.73</f>
        <v>9.9999999999999978E-2</v>
      </c>
      <c r="S141" s="106"/>
      <c r="T141" s="106"/>
      <c r="U141" s="106"/>
      <c r="V141" s="106"/>
      <c r="W141" s="105"/>
      <c r="X141" s="105"/>
      <c r="Y141" s="105"/>
      <c r="Z141" s="323"/>
      <c r="AE141" s="2461"/>
      <c r="AF141" s="68"/>
    </row>
    <row r="142" spans="1:32" ht="45" x14ac:dyDescent="0.35">
      <c r="A142" s="525">
        <v>59</v>
      </c>
      <c r="B142" s="693">
        <v>11133</v>
      </c>
      <c r="C142" s="693" t="s">
        <v>1656</v>
      </c>
      <c r="D142" s="2464" t="s">
        <v>5774</v>
      </c>
      <c r="E142" s="2187" t="s">
        <v>8801</v>
      </c>
      <c r="F142" s="93" t="s">
        <v>664</v>
      </c>
      <c r="G142" s="93">
        <v>5</v>
      </c>
      <c r="H142" s="50">
        <v>6</v>
      </c>
      <c r="I142" s="2143">
        <f>L142+K142+J142</f>
        <v>0.5</v>
      </c>
      <c r="J142" s="2143">
        <f t="shared" si="11"/>
        <v>0.5</v>
      </c>
      <c r="K142" s="622"/>
      <c r="L142" s="622"/>
      <c r="M142" s="622"/>
      <c r="N142" s="622"/>
      <c r="O142" s="622"/>
      <c r="P142" s="622"/>
      <c r="Q142" s="2085"/>
      <c r="R142" s="906">
        <v>0.5</v>
      </c>
      <c r="S142" s="106"/>
      <c r="T142" s="106"/>
      <c r="U142" s="106"/>
      <c r="V142" s="106"/>
      <c r="W142" s="105"/>
      <c r="X142" s="105"/>
      <c r="Y142" s="105"/>
      <c r="Z142" s="323"/>
      <c r="AB142" s="3">
        <v>1</v>
      </c>
      <c r="AE142" s="2461"/>
      <c r="AF142" s="68"/>
    </row>
    <row r="143" spans="1:32" ht="45" x14ac:dyDescent="0.35">
      <c r="A143" s="525">
        <v>60</v>
      </c>
      <c r="B143" s="693">
        <v>11133</v>
      </c>
      <c r="C143" s="693"/>
      <c r="D143" s="2464" t="s">
        <v>5775</v>
      </c>
      <c r="E143" s="2187" t="s">
        <v>7898</v>
      </c>
      <c r="F143" s="93" t="s">
        <v>1490</v>
      </c>
      <c r="G143" s="93">
        <v>5</v>
      </c>
      <c r="H143" s="50">
        <v>6</v>
      </c>
      <c r="I143" s="2143">
        <f>L143+K143+J143</f>
        <v>0.95</v>
      </c>
      <c r="J143" s="2143">
        <f t="shared" si="11"/>
        <v>0.95</v>
      </c>
      <c r="K143" s="622"/>
      <c r="L143" s="622"/>
      <c r="M143" s="622"/>
      <c r="N143" s="622"/>
      <c r="O143" s="622"/>
      <c r="P143" s="622"/>
      <c r="Q143" s="2085"/>
      <c r="R143" s="906">
        <v>0.95</v>
      </c>
      <c r="S143" s="106"/>
      <c r="T143" s="106"/>
      <c r="U143" s="106"/>
      <c r="V143" s="106"/>
      <c r="W143" s="105"/>
      <c r="X143" s="105"/>
      <c r="Y143" s="105"/>
      <c r="Z143" s="323"/>
      <c r="AB143" s="3">
        <v>1</v>
      </c>
      <c r="AE143" s="2461"/>
      <c r="AF143" s="68"/>
    </row>
    <row r="144" spans="1:32" ht="45.5" x14ac:dyDescent="0.35">
      <c r="A144" s="525">
        <v>61</v>
      </c>
      <c r="B144" s="358">
        <v>11133</v>
      </c>
      <c r="C144" s="358" t="s">
        <v>1656</v>
      </c>
      <c r="D144" s="2464" t="s">
        <v>5776</v>
      </c>
      <c r="E144" s="443" t="s">
        <v>8802</v>
      </c>
      <c r="F144" s="166" t="s">
        <v>664</v>
      </c>
      <c r="G144" s="50">
        <v>5</v>
      </c>
      <c r="H144" s="50">
        <v>6</v>
      </c>
      <c r="I144" s="297">
        <f>J144+K144+L144</f>
        <v>0.7</v>
      </c>
      <c r="J144" s="297">
        <f>SUM(M144:R144)</f>
        <v>0.7</v>
      </c>
      <c r="K144" s="745"/>
      <c r="L144" s="745"/>
      <c r="M144" s="749"/>
      <c r="N144" s="749"/>
      <c r="O144" s="769"/>
      <c r="P144" s="749"/>
      <c r="Q144" s="1850"/>
      <c r="R144" s="2394">
        <v>0.7</v>
      </c>
      <c r="S144" s="40"/>
      <c r="T144" s="246"/>
      <c r="U144" s="40"/>
      <c r="V144" s="40"/>
      <c r="W144" s="166"/>
      <c r="X144" s="166"/>
      <c r="Y144" s="40"/>
      <c r="Z144" s="94"/>
      <c r="AB144" s="3">
        <v>1</v>
      </c>
      <c r="AE144" s="2461"/>
      <c r="AF144" s="68"/>
    </row>
    <row r="145" spans="1:32" ht="30" x14ac:dyDescent="0.35">
      <c r="A145" s="525">
        <v>62</v>
      </c>
      <c r="B145" s="358">
        <v>11134</v>
      </c>
      <c r="C145" s="358"/>
      <c r="D145" s="358" t="s">
        <v>1464</v>
      </c>
      <c r="E145" s="417" t="s">
        <v>7088</v>
      </c>
      <c r="F145" s="41"/>
      <c r="G145" s="50" t="s">
        <v>191</v>
      </c>
      <c r="H145" s="50" t="s">
        <v>191</v>
      </c>
      <c r="I145" s="762">
        <f>J145+K145+L145</f>
        <v>12.317</v>
      </c>
      <c r="J145" s="762">
        <f t="shared" si="11"/>
        <v>10.717000000000001</v>
      </c>
      <c r="K145" s="762">
        <f>SUM(K146:K148)</f>
        <v>1.6</v>
      </c>
      <c r="L145" s="762"/>
      <c r="M145" s="762"/>
      <c r="N145" s="762">
        <f>SUM(N146:N149)</f>
        <v>8.5500000000000007</v>
      </c>
      <c r="O145" s="763"/>
      <c r="P145" s="762"/>
      <c r="Q145" s="1445">
        <f>SUM(Q146:Q149)</f>
        <v>2.0440000000000005</v>
      </c>
      <c r="R145" s="1440">
        <f>SUM(R146:R149)</f>
        <v>0.12299999999999933</v>
      </c>
      <c r="S145" s="49">
        <v>1</v>
      </c>
      <c r="T145" s="255">
        <v>6</v>
      </c>
      <c r="U145" s="49"/>
      <c r="V145" s="49"/>
      <c r="W145" s="168">
        <v>19</v>
      </c>
      <c r="X145" s="168">
        <v>250.1</v>
      </c>
      <c r="Y145" s="110">
        <v>10</v>
      </c>
      <c r="Z145" s="107">
        <v>125</v>
      </c>
      <c r="AB145" s="3">
        <v>1</v>
      </c>
      <c r="AE145" s="2461"/>
      <c r="AF145" s="68"/>
    </row>
    <row r="146" spans="1:32" ht="46.5" x14ac:dyDescent="0.35">
      <c r="A146" s="359"/>
      <c r="B146" s="358">
        <v>11134</v>
      </c>
      <c r="C146" s="358"/>
      <c r="D146" s="360"/>
      <c r="E146" s="442" t="s">
        <v>10006</v>
      </c>
      <c r="F146" s="40">
        <v>4</v>
      </c>
      <c r="G146" s="40">
        <v>4</v>
      </c>
      <c r="H146" s="40" t="s">
        <v>191</v>
      </c>
      <c r="I146" s="745"/>
      <c r="J146" s="745"/>
      <c r="K146" s="747">
        <v>1.6</v>
      </c>
      <c r="L146" s="745"/>
      <c r="M146" s="745"/>
      <c r="N146" s="745"/>
      <c r="O146" s="764"/>
      <c r="P146" s="745"/>
      <c r="Q146" s="1089"/>
      <c r="R146" s="1084"/>
      <c r="S146" s="40"/>
      <c r="T146" s="246"/>
      <c r="U146" s="40"/>
      <c r="V146" s="40"/>
      <c r="W146" s="166"/>
      <c r="X146" s="166"/>
      <c r="Y146" s="40"/>
      <c r="Z146" s="94"/>
      <c r="AE146" s="2461"/>
      <c r="AF146" s="68"/>
    </row>
    <row r="147" spans="1:32" x14ac:dyDescent="0.35">
      <c r="A147" s="359"/>
      <c r="B147" s="358">
        <v>11134</v>
      </c>
      <c r="C147" s="358"/>
      <c r="D147" s="360"/>
      <c r="E147" s="442" t="s">
        <v>1062</v>
      </c>
      <c r="F147" s="40">
        <v>4</v>
      </c>
      <c r="G147" s="40">
        <v>4</v>
      </c>
      <c r="H147" s="50">
        <v>6</v>
      </c>
      <c r="I147" s="745"/>
      <c r="J147" s="745"/>
      <c r="K147" s="745"/>
      <c r="L147" s="745"/>
      <c r="M147" s="745"/>
      <c r="N147" s="747">
        <f>10.15-1.6</f>
        <v>8.5500000000000007</v>
      </c>
      <c r="O147" s="764"/>
      <c r="P147" s="745"/>
      <c r="Q147" s="1089"/>
      <c r="R147" s="1084"/>
      <c r="S147" s="40"/>
      <c r="T147" s="246"/>
      <c r="U147" s="40"/>
      <c r="V147" s="40"/>
      <c r="W147" s="166"/>
      <c r="X147" s="166"/>
      <c r="Y147" s="40"/>
      <c r="Z147" s="94"/>
      <c r="AE147" s="2461"/>
      <c r="AF147" s="68"/>
    </row>
    <row r="148" spans="1:32" x14ac:dyDescent="0.35">
      <c r="A148" s="359"/>
      <c r="B148" s="358">
        <v>11134</v>
      </c>
      <c r="C148" s="358"/>
      <c r="D148" s="360"/>
      <c r="E148" s="884" t="s">
        <v>1063</v>
      </c>
      <c r="F148" s="40">
        <v>5</v>
      </c>
      <c r="G148" s="40">
        <v>4</v>
      </c>
      <c r="H148" s="50">
        <v>6</v>
      </c>
      <c r="I148" s="745"/>
      <c r="J148" s="745"/>
      <c r="K148" s="745"/>
      <c r="L148" s="745"/>
      <c r="M148" s="745"/>
      <c r="N148" s="745"/>
      <c r="O148" s="764"/>
      <c r="P148" s="745"/>
      <c r="Q148" s="1087">
        <f>12.194-10.15</f>
        <v>2.0440000000000005</v>
      </c>
      <c r="R148" s="1084"/>
      <c r="S148" s="40"/>
      <c r="T148" s="246"/>
      <c r="U148" s="40"/>
      <c r="V148" s="40"/>
      <c r="W148" s="166"/>
      <c r="X148" s="166"/>
      <c r="Y148" s="40"/>
      <c r="Z148" s="94"/>
      <c r="AE148" s="2461"/>
      <c r="AF148" s="68"/>
    </row>
    <row r="149" spans="1:32" x14ac:dyDescent="0.35">
      <c r="A149" s="359"/>
      <c r="B149" s="358"/>
      <c r="C149" s="358"/>
      <c r="D149" s="360"/>
      <c r="E149" s="885" t="s">
        <v>1064</v>
      </c>
      <c r="F149" s="40">
        <v>5</v>
      </c>
      <c r="G149" s="40">
        <v>4</v>
      </c>
      <c r="H149" s="50">
        <v>6</v>
      </c>
      <c r="I149" s="745"/>
      <c r="J149" s="745"/>
      <c r="K149" s="745"/>
      <c r="L149" s="745"/>
      <c r="M149" s="745"/>
      <c r="N149" s="745"/>
      <c r="O149" s="764"/>
      <c r="P149" s="745"/>
      <c r="Q149" s="1087"/>
      <c r="R149" s="1084">
        <f>12.317-12.194</f>
        <v>0.12299999999999933</v>
      </c>
      <c r="S149" s="40"/>
      <c r="T149" s="246"/>
      <c r="U149" s="40"/>
      <c r="V149" s="40"/>
      <c r="W149" s="166"/>
      <c r="X149" s="166"/>
      <c r="Y149" s="40"/>
      <c r="Z149" s="94"/>
      <c r="AE149" s="2461"/>
      <c r="AF149" s="68"/>
    </row>
    <row r="150" spans="1:32" ht="30.5" x14ac:dyDescent="0.35">
      <c r="A150" s="441">
        <v>63</v>
      </c>
      <c r="B150" s="358">
        <v>11134</v>
      </c>
      <c r="C150" s="358"/>
      <c r="D150" s="2464" t="s">
        <v>5777</v>
      </c>
      <c r="E150" s="417" t="s">
        <v>7899</v>
      </c>
      <c r="F150" s="41"/>
      <c r="G150" s="50" t="s">
        <v>191</v>
      </c>
      <c r="H150" s="50" t="s">
        <v>191</v>
      </c>
      <c r="I150" s="762">
        <f>J150+K150+L150</f>
        <v>3.5</v>
      </c>
      <c r="J150" s="762">
        <f>SUM(M150:R150)</f>
        <v>3.5</v>
      </c>
      <c r="K150" s="762"/>
      <c r="L150" s="762"/>
      <c r="M150" s="762"/>
      <c r="N150" s="762"/>
      <c r="O150" s="763"/>
      <c r="P150" s="762"/>
      <c r="Q150" s="1445">
        <f>SUM(Q151:Q152)</f>
        <v>1.36</v>
      </c>
      <c r="R150" s="1440">
        <f>SUM(R151:R152)</f>
        <v>2.14</v>
      </c>
      <c r="S150" s="49">
        <v>1</v>
      </c>
      <c r="T150" s="255">
        <v>42.1</v>
      </c>
      <c r="U150" s="139">
        <v>1</v>
      </c>
      <c r="V150" s="255">
        <v>42.1</v>
      </c>
      <c r="W150" s="168"/>
      <c r="X150" s="168"/>
      <c r="Y150" s="42"/>
      <c r="Z150" s="107"/>
      <c r="AB150" s="3">
        <v>1</v>
      </c>
      <c r="AE150" s="2461"/>
      <c r="AF150" s="68"/>
    </row>
    <row r="151" spans="1:32" x14ac:dyDescent="0.35">
      <c r="A151" s="359"/>
      <c r="B151" s="358">
        <v>11134</v>
      </c>
      <c r="C151" s="358"/>
      <c r="D151" s="360"/>
      <c r="E151" s="884" t="s">
        <v>2397</v>
      </c>
      <c r="F151" s="40" t="s">
        <v>827</v>
      </c>
      <c r="G151" s="40">
        <v>5</v>
      </c>
      <c r="H151" s="50">
        <v>6</v>
      </c>
      <c r="I151" s="745"/>
      <c r="J151" s="745"/>
      <c r="K151" s="745"/>
      <c r="L151" s="745"/>
      <c r="M151" s="745"/>
      <c r="N151" s="747"/>
      <c r="O151" s="764"/>
      <c r="P151" s="745"/>
      <c r="Q151" s="1089">
        <v>1.36</v>
      </c>
      <c r="R151" s="1084"/>
      <c r="S151" s="40"/>
      <c r="T151" s="246"/>
      <c r="U151" s="40"/>
      <c r="V151" s="40"/>
      <c r="W151" s="166"/>
      <c r="X151" s="166"/>
      <c r="Y151" s="40"/>
      <c r="Z151" s="94"/>
      <c r="AE151" s="2461"/>
      <c r="AF151" s="68"/>
    </row>
    <row r="152" spans="1:32" x14ac:dyDescent="0.35">
      <c r="A152" s="359"/>
      <c r="B152" s="358">
        <v>11134</v>
      </c>
      <c r="C152" s="358"/>
      <c r="D152" s="360"/>
      <c r="E152" s="885" t="s">
        <v>2398</v>
      </c>
      <c r="F152" s="40" t="s">
        <v>664</v>
      </c>
      <c r="G152" s="40">
        <v>5</v>
      </c>
      <c r="H152" s="50">
        <v>6</v>
      </c>
      <c r="I152" s="745"/>
      <c r="J152" s="745"/>
      <c r="K152" s="745"/>
      <c r="L152" s="745"/>
      <c r="M152" s="745"/>
      <c r="N152" s="745"/>
      <c r="O152" s="764"/>
      <c r="P152" s="745"/>
      <c r="Q152" s="1089"/>
      <c r="R152" s="1082">
        <v>2.14</v>
      </c>
      <c r="S152" s="40"/>
      <c r="T152" s="246"/>
      <c r="U152" s="40"/>
      <c r="V152" s="40"/>
      <c r="W152" s="166"/>
      <c r="X152" s="166"/>
      <c r="Y152" s="40"/>
      <c r="Z152" s="94"/>
      <c r="AE152" s="2461"/>
      <c r="AF152" s="68"/>
    </row>
    <row r="153" spans="1:32" ht="30.5" x14ac:dyDescent="0.35">
      <c r="A153" s="441">
        <v>64</v>
      </c>
      <c r="B153" s="358">
        <v>11134</v>
      </c>
      <c r="C153" s="358"/>
      <c r="D153" s="2464" t="s">
        <v>5778</v>
      </c>
      <c r="E153" s="417" t="s">
        <v>7900</v>
      </c>
      <c r="F153" s="41"/>
      <c r="G153" s="50" t="s">
        <v>191</v>
      </c>
      <c r="H153" s="50" t="s">
        <v>191</v>
      </c>
      <c r="I153" s="762">
        <f>J153+K153+L153</f>
        <v>1</v>
      </c>
      <c r="J153" s="762">
        <f>SUM(M153:R153)</f>
        <v>1</v>
      </c>
      <c r="K153" s="762"/>
      <c r="L153" s="762"/>
      <c r="M153" s="762"/>
      <c r="N153" s="762"/>
      <c r="O153" s="763"/>
      <c r="P153" s="762"/>
      <c r="Q153" s="1445">
        <f>SUM(Q154:Q155)</f>
        <v>0.7</v>
      </c>
      <c r="R153" s="1440">
        <f>SUM(R154:R155)</f>
        <v>0.3</v>
      </c>
      <c r="S153" s="49"/>
      <c r="T153" s="255"/>
      <c r="U153" s="49"/>
      <c r="V153" s="49"/>
      <c r="W153" s="168"/>
      <c r="X153" s="168"/>
      <c r="Y153" s="42"/>
      <c r="Z153" s="107"/>
      <c r="AB153" s="3">
        <v>1</v>
      </c>
      <c r="AE153" s="2461"/>
      <c r="AF153" s="68"/>
    </row>
    <row r="154" spans="1:32" x14ac:dyDescent="0.35">
      <c r="A154" s="359"/>
      <c r="B154" s="358">
        <v>11134</v>
      </c>
      <c r="C154" s="358"/>
      <c r="D154" s="360"/>
      <c r="E154" s="884" t="s">
        <v>2585</v>
      </c>
      <c r="F154" s="40" t="s">
        <v>827</v>
      </c>
      <c r="G154" s="40">
        <v>5</v>
      </c>
      <c r="H154" s="50">
        <v>6</v>
      </c>
      <c r="I154" s="745"/>
      <c r="J154" s="745"/>
      <c r="K154" s="745"/>
      <c r="L154" s="745"/>
      <c r="M154" s="745"/>
      <c r="N154" s="745"/>
      <c r="O154" s="764"/>
      <c r="P154" s="745"/>
      <c r="Q154" s="1087">
        <v>0.7</v>
      </c>
      <c r="R154" s="1084"/>
      <c r="S154" s="40"/>
      <c r="T154" s="246"/>
      <c r="U154" s="40"/>
      <c r="V154" s="40"/>
      <c r="W154" s="166"/>
      <c r="X154" s="166"/>
      <c r="Y154" s="40"/>
      <c r="Z154" s="94"/>
      <c r="AE154" s="2461"/>
      <c r="AF154" s="68"/>
    </row>
    <row r="155" spans="1:32" x14ac:dyDescent="0.35">
      <c r="A155" s="359"/>
      <c r="B155" s="358">
        <v>11134</v>
      </c>
      <c r="C155" s="358"/>
      <c r="D155" s="360"/>
      <c r="E155" s="885" t="s">
        <v>3042</v>
      </c>
      <c r="F155" s="40" t="s">
        <v>664</v>
      </c>
      <c r="G155" s="40">
        <v>5</v>
      </c>
      <c r="H155" s="50">
        <v>6</v>
      </c>
      <c r="I155" s="745"/>
      <c r="J155" s="745"/>
      <c r="K155" s="745"/>
      <c r="L155" s="745"/>
      <c r="M155" s="745"/>
      <c r="N155" s="745"/>
      <c r="O155" s="764"/>
      <c r="P155" s="745"/>
      <c r="Q155" s="1089"/>
      <c r="R155" s="1082">
        <v>0.3</v>
      </c>
      <c r="S155" s="40"/>
      <c r="T155" s="246"/>
      <c r="U155" s="40"/>
      <c r="V155" s="40"/>
      <c r="W155" s="166"/>
      <c r="X155" s="166"/>
      <c r="Y155" s="40"/>
      <c r="Z155" s="94"/>
      <c r="AE155" s="2461"/>
      <c r="AF155" s="68"/>
    </row>
    <row r="156" spans="1:32" ht="30.5" x14ac:dyDescent="0.35">
      <c r="A156" s="349">
        <v>65</v>
      </c>
      <c r="B156" s="405">
        <v>11134</v>
      </c>
      <c r="C156" s="405"/>
      <c r="D156" s="2464" t="s">
        <v>5779</v>
      </c>
      <c r="E156" s="417" t="s">
        <v>10723</v>
      </c>
      <c r="F156" s="40">
        <v>4</v>
      </c>
      <c r="G156" s="40">
        <v>5</v>
      </c>
      <c r="H156" s="50">
        <v>6</v>
      </c>
      <c r="I156" s="762">
        <f>J156+K156+L156</f>
        <v>1.1000000000000001</v>
      </c>
      <c r="J156" s="762">
        <f>SUM(M156:R156)</f>
        <v>1.1000000000000001</v>
      </c>
      <c r="K156" s="749"/>
      <c r="L156" s="749"/>
      <c r="M156" s="749"/>
      <c r="N156" s="749"/>
      <c r="O156" s="769"/>
      <c r="P156" s="749"/>
      <c r="Q156" s="1449">
        <v>1.1000000000000001</v>
      </c>
      <c r="R156" s="869"/>
      <c r="S156" s="42"/>
      <c r="T156" s="247"/>
      <c r="U156" s="42"/>
      <c r="V156" s="42"/>
      <c r="W156" s="169">
        <v>2</v>
      </c>
      <c r="X156" s="110">
        <v>35.4</v>
      </c>
      <c r="Y156" s="42"/>
      <c r="Z156" s="107"/>
      <c r="AB156" s="3">
        <v>1</v>
      </c>
      <c r="AE156" s="2461"/>
      <c r="AF156" s="68"/>
    </row>
    <row r="157" spans="1:32" ht="30.5" x14ac:dyDescent="0.35">
      <c r="A157" s="441">
        <v>66</v>
      </c>
      <c r="B157" s="358">
        <v>11135</v>
      </c>
      <c r="C157" s="358"/>
      <c r="D157" s="358" t="s">
        <v>1088</v>
      </c>
      <c r="E157" s="417" t="s">
        <v>1676</v>
      </c>
      <c r="F157" s="41"/>
      <c r="G157" s="50" t="s">
        <v>191</v>
      </c>
      <c r="H157" s="50" t="s">
        <v>191</v>
      </c>
      <c r="I157" s="762">
        <f>J157+K157+L157</f>
        <v>21.83</v>
      </c>
      <c r="J157" s="762">
        <f>SUM(M157:R157)</f>
        <v>20.329999999999998</v>
      </c>
      <c r="K157" s="762">
        <f>SUM(K158:K167)</f>
        <v>1.5</v>
      </c>
      <c r="L157" s="762"/>
      <c r="M157" s="762"/>
      <c r="N157" s="762">
        <f>SUM(N158:N167)</f>
        <v>12.850000000000001</v>
      </c>
      <c r="O157" s="763"/>
      <c r="P157" s="762"/>
      <c r="Q157" s="1445">
        <f>SUM(Q158:Q167)</f>
        <v>7.4799999999999986</v>
      </c>
      <c r="R157" s="1440"/>
      <c r="S157" s="49">
        <v>2</v>
      </c>
      <c r="T157" s="255">
        <f>37.5+0.3</f>
        <v>37.799999999999997</v>
      </c>
      <c r="U157" s="49"/>
      <c r="V157" s="49"/>
      <c r="W157" s="168">
        <v>48</v>
      </c>
      <c r="X157" s="168">
        <v>789.74</v>
      </c>
      <c r="Y157" s="42">
        <v>16</v>
      </c>
      <c r="Z157" s="107">
        <v>196</v>
      </c>
      <c r="AB157" s="3">
        <v>1</v>
      </c>
      <c r="AE157" s="2461"/>
      <c r="AF157" s="68"/>
    </row>
    <row r="158" spans="1:32" ht="46.5" x14ac:dyDescent="0.35">
      <c r="A158" s="359"/>
      <c r="B158" s="358">
        <v>11135</v>
      </c>
      <c r="C158" s="358"/>
      <c r="D158" s="360"/>
      <c r="E158" s="442" t="s">
        <v>10007</v>
      </c>
      <c r="F158" s="41">
        <v>4</v>
      </c>
      <c r="G158" s="50">
        <v>4</v>
      </c>
      <c r="H158" s="50">
        <v>6</v>
      </c>
      <c r="I158" s="745"/>
      <c r="J158" s="745"/>
      <c r="K158" s="747">
        <v>1.5</v>
      </c>
      <c r="L158" s="745"/>
      <c r="M158" s="745"/>
      <c r="N158" s="745"/>
      <c r="O158" s="764"/>
      <c r="P158" s="745"/>
      <c r="Q158" s="1089"/>
      <c r="R158" s="1084"/>
      <c r="S158" s="40"/>
      <c r="T158" s="246"/>
      <c r="U158" s="40"/>
      <c r="V158" s="40"/>
      <c r="W158" s="166"/>
      <c r="X158" s="166"/>
      <c r="Y158" s="40"/>
      <c r="Z158" s="94"/>
      <c r="AE158" s="2461"/>
      <c r="AF158" s="68"/>
    </row>
    <row r="159" spans="1:32" x14ac:dyDescent="0.35">
      <c r="A159" s="359"/>
      <c r="B159" s="358">
        <v>11135</v>
      </c>
      <c r="C159" s="358"/>
      <c r="D159" s="360"/>
      <c r="E159" s="442" t="s">
        <v>1677</v>
      </c>
      <c r="F159" s="41">
        <v>4</v>
      </c>
      <c r="G159" s="50">
        <v>4</v>
      </c>
      <c r="H159" s="50">
        <v>6</v>
      </c>
      <c r="I159" s="745"/>
      <c r="J159" s="745"/>
      <c r="K159" s="745"/>
      <c r="L159" s="745"/>
      <c r="M159" s="745"/>
      <c r="N159" s="747">
        <f>13.55-1.5</f>
        <v>12.05</v>
      </c>
      <c r="O159" s="764"/>
      <c r="P159" s="745"/>
      <c r="Q159" s="1089"/>
      <c r="R159" s="1084"/>
      <c r="S159" s="40"/>
      <c r="T159" s="246"/>
      <c r="U159" s="40"/>
      <c r="V159" s="40"/>
      <c r="W159" s="166"/>
      <c r="X159" s="166"/>
      <c r="Y159" s="40"/>
      <c r="Z159" s="94"/>
      <c r="AE159" s="2461"/>
      <c r="AF159" s="68"/>
    </row>
    <row r="160" spans="1:32" x14ac:dyDescent="0.35">
      <c r="A160" s="359"/>
      <c r="B160" s="358">
        <v>11135</v>
      </c>
      <c r="C160" s="358"/>
      <c r="D160" s="360"/>
      <c r="E160" s="884" t="s">
        <v>1678</v>
      </c>
      <c r="F160" s="41">
        <v>4</v>
      </c>
      <c r="G160" s="50">
        <v>4</v>
      </c>
      <c r="H160" s="50">
        <v>6</v>
      </c>
      <c r="I160" s="745"/>
      <c r="J160" s="745"/>
      <c r="K160" s="745"/>
      <c r="L160" s="745"/>
      <c r="M160" s="745"/>
      <c r="N160" s="745"/>
      <c r="O160" s="764"/>
      <c r="P160" s="745"/>
      <c r="Q160" s="1087">
        <f>15.93-13.55</f>
        <v>2.379999999999999</v>
      </c>
      <c r="R160" s="1084"/>
      <c r="S160" s="40"/>
      <c r="T160" s="246"/>
      <c r="U160" s="40"/>
      <c r="V160" s="40"/>
      <c r="W160" s="166"/>
      <c r="X160" s="166"/>
      <c r="Y160" s="40"/>
      <c r="Z160" s="94"/>
      <c r="AE160" s="2461"/>
      <c r="AF160" s="68"/>
    </row>
    <row r="161" spans="1:32" x14ac:dyDescent="0.35">
      <c r="A161" s="359"/>
      <c r="B161" s="358">
        <v>11135</v>
      </c>
      <c r="C161" s="358"/>
      <c r="D161" s="360"/>
      <c r="E161" s="442" t="s">
        <v>1679</v>
      </c>
      <c r="F161" s="41">
        <v>4</v>
      </c>
      <c r="G161" s="50">
        <v>4</v>
      </c>
      <c r="H161" s="50">
        <v>6</v>
      </c>
      <c r="I161" s="745"/>
      <c r="J161" s="745"/>
      <c r="K161" s="745"/>
      <c r="L161" s="745"/>
      <c r="M161" s="745"/>
      <c r="N161" s="747">
        <v>0.23</v>
      </c>
      <c r="O161" s="764"/>
      <c r="P161" s="745"/>
      <c r="Q161" s="1089"/>
      <c r="R161" s="1084"/>
      <c r="S161" s="40"/>
      <c r="T161" s="246"/>
      <c r="U161" s="40"/>
      <c r="V161" s="40"/>
      <c r="W161" s="166"/>
      <c r="X161" s="166"/>
      <c r="Y161" s="40"/>
      <c r="Z161" s="94"/>
      <c r="AE161" s="2461"/>
      <c r="AF161" s="68"/>
    </row>
    <row r="162" spans="1:32" x14ac:dyDescent="0.35">
      <c r="A162" s="359"/>
      <c r="B162" s="358">
        <v>11135</v>
      </c>
      <c r="C162" s="358"/>
      <c r="D162" s="360"/>
      <c r="E162" s="884" t="s">
        <v>1680</v>
      </c>
      <c r="F162" s="41">
        <v>4</v>
      </c>
      <c r="G162" s="50">
        <v>4</v>
      </c>
      <c r="H162" s="50">
        <v>6</v>
      </c>
      <c r="I162" s="745"/>
      <c r="J162" s="745"/>
      <c r="K162" s="745"/>
      <c r="L162" s="745"/>
      <c r="M162" s="745"/>
      <c r="N162" s="745"/>
      <c r="O162" s="764"/>
      <c r="P162" s="745"/>
      <c r="Q162" s="1087">
        <v>3.52</v>
      </c>
      <c r="R162" s="1084"/>
      <c r="S162" s="40"/>
      <c r="T162" s="246"/>
      <c r="U162" s="40"/>
      <c r="V162" s="40"/>
      <c r="W162" s="166"/>
      <c r="X162" s="166"/>
      <c r="Y162" s="40"/>
      <c r="Z162" s="94"/>
      <c r="AE162" s="2461"/>
      <c r="AF162" s="68"/>
    </row>
    <row r="163" spans="1:32" x14ac:dyDescent="0.35">
      <c r="A163" s="359"/>
      <c r="B163" s="358">
        <v>11135</v>
      </c>
      <c r="C163" s="358"/>
      <c r="D163" s="360"/>
      <c r="E163" s="442" t="s">
        <v>1681</v>
      </c>
      <c r="F163" s="41">
        <v>4</v>
      </c>
      <c r="G163" s="50">
        <v>4</v>
      </c>
      <c r="H163" s="50">
        <v>6</v>
      </c>
      <c r="I163" s="745"/>
      <c r="J163" s="745"/>
      <c r="K163" s="745"/>
      <c r="L163" s="745"/>
      <c r="M163" s="745"/>
      <c r="N163" s="747">
        <v>0.21</v>
      </c>
      <c r="O163" s="764"/>
      <c r="P163" s="745"/>
      <c r="Q163" s="1089"/>
      <c r="R163" s="1084"/>
      <c r="S163" s="40"/>
      <c r="T163" s="246"/>
      <c r="U163" s="40"/>
      <c r="V163" s="40"/>
      <c r="W163" s="166"/>
      <c r="X163" s="166"/>
      <c r="Y163" s="40"/>
      <c r="Z163" s="94"/>
      <c r="AE163" s="2461"/>
      <c r="AF163" s="68"/>
    </row>
    <row r="164" spans="1:32" x14ac:dyDescent="0.35">
      <c r="A164" s="359"/>
      <c r="B164" s="358">
        <v>11135</v>
      </c>
      <c r="C164" s="358"/>
      <c r="D164" s="360"/>
      <c r="E164" s="884" t="s">
        <v>1682</v>
      </c>
      <c r="F164" s="41">
        <v>4</v>
      </c>
      <c r="G164" s="50">
        <v>4</v>
      </c>
      <c r="H164" s="50">
        <v>6</v>
      </c>
      <c r="I164" s="745"/>
      <c r="J164" s="745"/>
      <c r="K164" s="745"/>
      <c r="L164" s="745"/>
      <c r="M164" s="745"/>
      <c r="N164" s="745"/>
      <c r="O164" s="764"/>
      <c r="P164" s="745"/>
      <c r="Q164" s="1087">
        <v>0.96</v>
      </c>
      <c r="R164" s="1084"/>
      <c r="S164" s="40"/>
      <c r="T164" s="246"/>
      <c r="U164" s="40"/>
      <c r="V164" s="40"/>
      <c r="W164" s="166"/>
      <c r="X164" s="166"/>
      <c r="Y164" s="40"/>
      <c r="Z164" s="94"/>
      <c r="AE164" s="2461"/>
      <c r="AF164" s="68"/>
    </row>
    <row r="165" spans="1:32" x14ac:dyDescent="0.35">
      <c r="A165" s="359"/>
      <c r="B165" s="358">
        <v>11135</v>
      </c>
      <c r="C165" s="358"/>
      <c r="D165" s="360"/>
      <c r="E165" s="442" t="s">
        <v>2062</v>
      </c>
      <c r="F165" s="41">
        <v>4</v>
      </c>
      <c r="G165" s="50">
        <v>4</v>
      </c>
      <c r="H165" s="50">
        <v>6</v>
      </c>
      <c r="I165" s="745"/>
      <c r="J165" s="745"/>
      <c r="K165" s="745"/>
      <c r="L165" s="745"/>
      <c r="M165" s="745"/>
      <c r="N165" s="747">
        <v>0.26</v>
      </c>
      <c r="O165" s="764"/>
      <c r="P165" s="745"/>
      <c r="Q165" s="1089"/>
      <c r="R165" s="1084"/>
      <c r="S165" s="40"/>
      <c r="T165" s="246"/>
      <c r="U165" s="40"/>
      <c r="V165" s="40"/>
      <c r="W165" s="166"/>
      <c r="X165" s="166"/>
      <c r="Y165" s="40"/>
      <c r="Z165" s="94"/>
      <c r="AE165" s="2461"/>
      <c r="AF165" s="68"/>
    </row>
    <row r="166" spans="1:32" x14ac:dyDescent="0.35">
      <c r="A166" s="359"/>
      <c r="B166" s="358">
        <v>11135</v>
      </c>
      <c r="C166" s="358"/>
      <c r="D166" s="360"/>
      <c r="E166" s="884" t="s">
        <v>2063</v>
      </c>
      <c r="F166" s="41">
        <v>4</v>
      </c>
      <c r="G166" s="50">
        <v>4</v>
      </c>
      <c r="H166" s="50">
        <v>6</v>
      </c>
      <c r="I166" s="745"/>
      <c r="J166" s="745"/>
      <c r="K166" s="745"/>
      <c r="L166" s="745"/>
      <c r="M166" s="745"/>
      <c r="N166" s="745"/>
      <c r="O166" s="764"/>
      <c r="P166" s="745"/>
      <c r="Q166" s="1087">
        <v>0.62</v>
      </c>
      <c r="R166" s="1084"/>
      <c r="S166" s="40"/>
      <c r="T166" s="246"/>
      <c r="U166" s="40"/>
      <c r="V166" s="40"/>
      <c r="W166" s="166"/>
      <c r="X166" s="166"/>
      <c r="Y166" s="40"/>
      <c r="Z166" s="94"/>
      <c r="AE166" s="2461"/>
      <c r="AF166" s="68"/>
    </row>
    <row r="167" spans="1:32" x14ac:dyDescent="0.35">
      <c r="A167" s="359"/>
      <c r="B167" s="358">
        <v>11135</v>
      </c>
      <c r="C167" s="358"/>
      <c r="D167" s="360"/>
      <c r="E167" s="442" t="s">
        <v>2064</v>
      </c>
      <c r="F167" s="41">
        <v>4</v>
      </c>
      <c r="G167" s="50">
        <v>4</v>
      </c>
      <c r="H167" s="50">
        <v>6</v>
      </c>
      <c r="I167" s="745"/>
      <c r="J167" s="745"/>
      <c r="K167" s="745"/>
      <c r="L167" s="745"/>
      <c r="M167" s="745"/>
      <c r="N167" s="747">
        <v>0.1</v>
      </c>
      <c r="O167" s="764"/>
      <c r="P167" s="745"/>
      <c r="Q167" s="1089"/>
      <c r="R167" s="1084"/>
      <c r="S167" s="40"/>
      <c r="T167" s="246"/>
      <c r="U167" s="40"/>
      <c r="V167" s="40"/>
      <c r="W167" s="166"/>
      <c r="X167" s="166"/>
      <c r="Y167" s="40"/>
      <c r="Z167" s="94"/>
      <c r="AE167" s="2461"/>
      <c r="AF167" s="68"/>
    </row>
    <row r="168" spans="1:32" ht="30.5" x14ac:dyDescent="0.35">
      <c r="A168" s="441">
        <v>67</v>
      </c>
      <c r="B168" s="358">
        <v>11135</v>
      </c>
      <c r="C168" s="358"/>
      <c r="D168" s="2464" t="s">
        <v>5780</v>
      </c>
      <c r="E168" s="443" t="s">
        <v>11169</v>
      </c>
      <c r="F168" s="2289">
        <v>5</v>
      </c>
      <c r="G168" s="165">
        <v>5</v>
      </c>
      <c r="H168" s="165">
        <v>6</v>
      </c>
      <c r="I168" s="2752">
        <f>J168+K168+L168</f>
        <v>1.2</v>
      </c>
      <c r="J168" s="2752">
        <f t="shared" ref="J168:J181" si="12">SUM(M168:R168)</f>
        <v>1.2</v>
      </c>
      <c r="K168" s="762"/>
      <c r="L168" s="762"/>
      <c r="M168" s="762"/>
      <c r="N168" s="762"/>
      <c r="O168" s="763"/>
      <c r="P168" s="762"/>
      <c r="Q168" s="1445">
        <v>1.2</v>
      </c>
      <c r="R168" s="1440"/>
      <c r="S168" s="49"/>
      <c r="T168" s="255"/>
      <c r="U168" s="49"/>
      <c r="V168" s="49"/>
      <c r="W168" s="168">
        <v>5</v>
      </c>
      <c r="X168" s="168">
        <v>55.3</v>
      </c>
      <c r="Y168" s="42"/>
      <c r="Z168" s="107"/>
      <c r="AB168" s="3">
        <v>1</v>
      </c>
      <c r="AE168" s="2461"/>
      <c r="AF168" s="68"/>
    </row>
    <row r="169" spans="1:32" ht="60.5" x14ac:dyDescent="0.35">
      <c r="A169" s="441">
        <v>68</v>
      </c>
      <c r="B169" s="358">
        <v>11135</v>
      </c>
      <c r="C169" s="358" t="s">
        <v>1656</v>
      </c>
      <c r="D169" s="2464" t="s">
        <v>5781</v>
      </c>
      <c r="E169" s="443" t="s">
        <v>8803</v>
      </c>
      <c r="F169" s="41"/>
      <c r="G169" s="50" t="s">
        <v>191</v>
      </c>
      <c r="H169" s="50" t="s">
        <v>191</v>
      </c>
      <c r="I169" s="297">
        <f>J169+K169+L169</f>
        <v>1.4</v>
      </c>
      <c r="J169" s="297">
        <f t="shared" si="12"/>
        <v>1.4</v>
      </c>
      <c r="K169" s="762"/>
      <c r="L169" s="762"/>
      <c r="M169" s="762"/>
      <c r="N169" s="762"/>
      <c r="O169" s="763"/>
      <c r="P169" s="762"/>
      <c r="Q169" s="2395">
        <f>SUM(Q170:Q171)</f>
        <v>0.2</v>
      </c>
      <c r="R169" s="2396">
        <f>SUM(R170:R171)</f>
        <v>1.2</v>
      </c>
      <c r="S169" s="49"/>
      <c r="T169" s="255"/>
      <c r="U169" s="49"/>
      <c r="V169" s="49"/>
      <c r="W169" s="168"/>
      <c r="X169" s="168"/>
      <c r="Y169" s="42"/>
      <c r="Z169" s="107"/>
      <c r="AB169" s="3">
        <v>1</v>
      </c>
      <c r="AE169" s="2461"/>
      <c r="AF169" s="68"/>
    </row>
    <row r="170" spans="1:32" x14ac:dyDescent="0.35">
      <c r="A170" s="441"/>
      <c r="B170" s="358"/>
      <c r="C170" s="358"/>
      <c r="D170" s="2464"/>
      <c r="E170" s="884" t="s">
        <v>1795</v>
      </c>
      <c r="F170" s="2289">
        <v>5</v>
      </c>
      <c r="G170" s="165">
        <v>5</v>
      </c>
      <c r="H170" s="165">
        <v>6</v>
      </c>
      <c r="I170" s="298"/>
      <c r="J170" s="298"/>
      <c r="K170" s="765"/>
      <c r="L170" s="765"/>
      <c r="M170" s="765"/>
      <c r="N170" s="765"/>
      <c r="O170" s="766"/>
      <c r="P170" s="765"/>
      <c r="Q170" s="2397">
        <v>0.2</v>
      </c>
      <c r="R170" s="2771"/>
      <c r="S170" s="49"/>
      <c r="T170" s="255"/>
      <c r="U170" s="49"/>
      <c r="V170" s="49"/>
      <c r="W170" s="168"/>
      <c r="X170" s="168"/>
      <c r="Y170" s="42"/>
      <c r="Z170" s="107"/>
      <c r="AE170" s="2461"/>
      <c r="AF170" s="68"/>
    </row>
    <row r="171" spans="1:32" x14ac:dyDescent="0.35">
      <c r="A171" s="441"/>
      <c r="B171" s="358"/>
      <c r="C171" s="358"/>
      <c r="D171" s="2464"/>
      <c r="E171" s="885" t="s">
        <v>1424</v>
      </c>
      <c r="F171" s="2289" t="s">
        <v>664</v>
      </c>
      <c r="G171" s="50">
        <v>5</v>
      </c>
      <c r="H171" s="50">
        <v>6</v>
      </c>
      <c r="I171" s="298"/>
      <c r="J171" s="298"/>
      <c r="K171" s="765"/>
      <c r="L171" s="765"/>
      <c r="M171" s="765"/>
      <c r="N171" s="765"/>
      <c r="O171" s="766"/>
      <c r="P171" s="765"/>
      <c r="Q171" s="2397"/>
      <c r="R171" s="2771">
        <f>1.4-0.2</f>
        <v>1.2</v>
      </c>
      <c r="S171" s="49"/>
      <c r="T171" s="255"/>
      <c r="U171" s="49"/>
      <c r="V171" s="49"/>
      <c r="W171" s="168"/>
      <c r="X171" s="168"/>
      <c r="Y171" s="42"/>
      <c r="Z171" s="107"/>
      <c r="AE171" s="2461"/>
      <c r="AF171" s="68"/>
    </row>
    <row r="172" spans="1:32" ht="30.5" x14ac:dyDescent="0.35">
      <c r="A172" s="441">
        <v>69</v>
      </c>
      <c r="B172" s="358">
        <v>11135</v>
      </c>
      <c r="C172" s="358"/>
      <c r="D172" s="2464" t="s">
        <v>5782</v>
      </c>
      <c r="E172" s="417" t="s">
        <v>7901</v>
      </c>
      <c r="F172" s="41" t="s">
        <v>827</v>
      </c>
      <c r="G172" s="50">
        <v>5</v>
      </c>
      <c r="H172" s="50">
        <v>6</v>
      </c>
      <c r="I172" s="762">
        <f>J172+K172+L172</f>
        <v>0.8</v>
      </c>
      <c r="J172" s="762">
        <f t="shared" si="12"/>
        <v>0.8</v>
      </c>
      <c r="K172" s="762"/>
      <c r="L172" s="762"/>
      <c r="M172" s="762"/>
      <c r="N172" s="762"/>
      <c r="O172" s="763"/>
      <c r="P172" s="762"/>
      <c r="Q172" s="1445"/>
      <c r="R172" s="1440">
        <v>0.8</v>
      </c>
      <c r="S172" s="49"/>
      <c r="T172" s="255"/>
      <c r="U172" s="49"/>
      <c r="V172" s="49"/>
      <c r="W172" s="168"/>
      <c r="X172" s="168"/>
      <c r="Y172" s="42"/>
      <c r="Z172" s="107"/>
      <c r="AB172" s="3">
        <v>1</v>
      </c>
      <c r="AE172" s="2461"/>
      <c r="AF172" s="68"/>
    </row>
    <row r="173" spans="1:32" ht="60" x14ac:dyDescent="0.35">
      <c r="A173" s="441">
        <v>70</v>
      </c>
      <c r="B173" s="693">
        <v>11135</v>
      </c>
      <c r="C173" s="693" t="s">
        <v>1656</v>
      </c>
      <c r="D173" s="2464" t="s">
        <v>5783</v>
      </c>
      <c r="E173" s="2187" t="s">
        <v>8804</v>
      </c>
      <c r="F173" s="93" t="s">
        <v>664</v>
      </c>
      <c r="G173" s="93">
        <v>5</v>
      </c>
      <c r="H173" s="50">
        <v>6</v>
      </c>
      <c r="I173" s="2143">
        <f>L173+K173+J173</f>
        <v>0.3</v>
      </c>
      <c r="J173" s="2143">
        <f t="shared" si="12"/>
        <v>0.3</v>
      </c>
      <c r="K173" s="622"/>
      <c r="L173" s="622"/>
      <c r="M173" s="622"/>
      <c r="N173" s="622"/>
      <c r="O173" s="622"/>
      <c r="P173" s="622"/>
      <c r="Q173" s="2085"/>
      <c r="R173" s="1981">
        <v>0.3</v>
      </c>
      <c r="S173" s="1779"/>
      <c r="T173" s="1779"/>
      <c r="U173" s="1779"/>
      <c r="V173" s="1779"/>
      <c r="W173" s="1779"/>
      <c r="X173" s="1779"/>
      <c r="Y173" s="1779"/>
      <c r="Z173" s="1780"/>
      <c r="AB173" s="3">
        <v>1</v>
      </c>
      <c r="AE173" s="2461"/>
      <c r="AF173" s="68"/>
    </row>
    <row r="174" spans="1:32" ht="45" x14ac:dyDescent="0.35">
      <c r="A174" s="441">
        <v>71</v>
      </c>
      <c r="B174" s="693">
        <v>11154</v>
      </c>
      <c r="C174" s="693" t="s">
        <v>1656</v>
      </c>
      <c r="D174" s="2464" t="s">
        <v>5852</v>
      </c>
      <c r="E174" s="2187" t="s">
        <v>11016</v>
      </c>
      <c r="F174" s="93" t="s">
        <v>664</v>
      </c>
      <c r="G174" s="93">
        <v>5</v>
      </c>
      <c r="H174" s="50">
        <v>6</v>
      </c>
      <c r="I174" s="2143">
        <f>L174+K174+J174</f>
        <v>0.23</v>
      </c>
      <c r="J174" s="2143">
        <f t="shared" ref="J174" si="13">SUM(M174:R174)</f>
        <v>0.23</v>
      </c>
      <c r="K174" s="622"/>
      <c r="L174" s="622"/>
      <c r="M174" s="622"/>
      <c r="N174" s="622"/>
      <c r="O174" s="622"/>
      <c r="P174" s="622"/>
      <c r="Q174" s="2085"/>
      <c r="R174" s="906">
        <v>0.23</v>
      </c>
      <c r="S174" s="106"/>
      <c r="T174" s="106"/>
      <c r="U174" s="106"/>
      <c r="V174" s="106"/>
      <c r="W174" s="105"/>
      <c r="X174" s="105"/>
      <c r="Y174" s="105"/>
      <c r="Z174" s="323"/>
      <c r="AB174" s="3">
        <v>1</v>
      </c>
      <c r="AE174" s="2461"/>
      <c r="AF174" s="68"/>
    </row>
    <row r="175" spans="1:32" ht="45" x14ac:dyDescent="0.35">
      <c r="A175" s="441">
        <v>72</v>
      </c>
      <c r="B175" s="693">
        <v>11135</v>
      </c>
      <c r="C175" s="358" t="s">
        <v>1656</v>
      </c>
      <c r="D175" s="2464" t="s">
        <v>5784</v>
      </c>
      <c r="E175" s="2187" t="s">
        <v>8805</v>
      </c>
      <c r="F175" s="93" t="s">
        <v>664</v>
      </c>
      <c r="G175" s="50">
        <v>5</v>
      </c>
      <c r="H175" s="50">
        <v>6</v>
      </c>
      <c r="I175" s="297">
        <f t="shared" ref="I175:I181" si="14">J175+K175+L175</f>
        <v>1</v>
      </c>
      <c r="J175" s="297">
        <f t="shared" si="12"/>
        <v>1</v>
      </c>
      <c r="K175" s="622"/>
      <c r="L175" s="622"/>
      <c r="M175" s="622"/>
      <c r="N175" s="622"/>
      <c r="O175" s="622"/>
      <c r="P175" s="622"/>
      <c r="Q175" s="2085"/>
      <c r="R175" s="906">
        <v>1</v>
      </c>
      <c r="S175" s="106"/>
      <c r="T175" s="106"/>
      <c r="U175" s="106"/>
      <c r="V175" s="106"/>
      <c r="W175" s="105"/>
      <c r="X175" s="105"/>
      <c r="Y175" s="105"/>
      <c r="Z175" s="323"/>
      <c r="AB175" s="3">
        <v>1</v>
      </c>
      <c r="AE175" s="2461"/>
      <c r="AF175" s="68"/>
    </row>
    <row r="176" spans="1:32" ht="45" x14ac:dyDescent="0.35">
      <c r="A176" s="441">
        <v>73</v>
      </c>
      <c r="B176" s="693">
        <v>11135</v>
      </c>
      <c r="C176" s="358" t="s">
        <v>1656</v>
      </c>
      <c r="D176" s="2464" t="s">
        <v>5785</v>
      </c>
      <c r="E176" s="2187" t="s">
        <v>8806</v>
      </c>
      <c r="F176" s="93" t="s">
        <v>664</v>
      </c>
      <c r="G176" s="50">
        <v>5</v>
      </c>
      <c r="H176" s="50">
        <v>6</v>
      </c>
      <c r="I176" s="297">
        <f t="shared" si="14"/>
        <v>2</v>
      </c>
      <c r="J176" s="297">
        <f t="shared" si="12"/>
        <v>2</v>
      </c>
      <c r="K176" s="622"/>
      <c r="L176" s="622"/>
      <c r="M176" s="622"/>
      <c r="N176" s="622"/>
      <c r="O176" s="622"/>
      <c r="P176" s="622"/>
      <c r="Q176" s="2085"/>
      <c r="R176" s="906">
        <v>2</v>
      </c>
      <c r="S176" s="106"/>
      <c r="T176" s="106"/>
      <c r="U176" s="106"/>
      <c r="V176" s="106"/>
      <c r="W176" s="105"/>
      <c r="X176" s="105"/>
      <c r="Y176" s="105"/>
      <c r="Z176" s="323"/>
      <c r="AB176" s="3">
        <v>1</v>
      </c>
      <c r="AE176" s="2461"/>
      <c r="AF176" s="68"/>
    </row>
    <row r="177" spans="1:32" ht="45" x14ac:dyDescent="0.35">
      <c r="A177" s="441">
        <v>74</v>
      </c>
      <c r="B177" s="693">
        <v>11135</v>
      </c>
      <c r="C177" s="358" t="s">
        <v>1656</v>
      </c>
      <c r="D177" s="2464" t="s">
        <v>5786</v>
      </c>
      <c r="E177" s="2187" t="s">
        <v>8807</v>
      </c>
      <c r="F177" s="93" t="s">
        <v>664</v>
      </c>
      <c r="G177" s="50">
        <v>5</v>
      </c>
      <c r="H177" s="50">
        <v>6</v>
      </c>
      <c r="I177" s="297">
        <f t="shared" si="14"/>
        <v>0.5</v>
      </c>
      <c r="J177" s="297">
        <f t="shared" si="12"/>
        <v>0.5</v>
      </c>
      <c r="K177" s="622"/>
      <c r="L177" s="622"/>
      <c r="M177" s="622"/>
      <c r="N177" s="622"/>
      <c r="O177" s="622"/>
      <c r="P177" s="622"/>
      <c r="Q177" s="2085"/>
      <c r="R177" s="906">
        <v>0.5</v>
      </c>
      <c r="S177" s="106"/>
      <c r="T177" s="106"/>
      <c r="U177" s="106"/>
      <c r="V177" s="106"/>
      <c r="W177" s="105"/>
      <c r="X177" s="105"/>
      <c r="Y177" s="105"/>
      <c r="Z177" s="323"/>
      <c r="AB177" s="3">
        <v>1</v>
      </c>
      <c r="AE177" s="2461"/>
      <c r="AF177" s="68"/>
    </row>
    <row r="178" spans="1:32" ht="45.5" x14ac:dyDescent="0.35">
      <c r="A178" s="441">
        <v>75</v>
      </c>
      <c r="B178" s="358">
        <v>11135</v>
      </c>
      <c r="C178" s="358" t="s">
        <v>1656</v>
      </c>
      <c r="D178" s="2464" t="s">
        <v>5787</v>
      </c>
      <c r="E178" s="443" t="s">
        <v>8808</v>
      </c>
      <c r="F178" s="2289" t="s">
        <v>664</v>
      </c>
      <c r="G178" s="50">
        <v>5</v>
      </c>
      <c r="H178" s="50">
        <v>6</v>
      </c>
      <c r="I178" s="297">
        <f t="shared" si="14"/>
        <v>2.5</v>
      </c>
      <c r="J178" s="297">
        <f t="shared" si="12"/>
        <v>2.5</v>
      </c>
      <c r="K178" s="762"/>
      <c r="L178" s="762"/>
      <c r="M178" s="762"/>
      <c r="N178" s="762"/>
      <c r="O178" s="763"/>
      <c r="P178" s="762"/>
      <c r="Q178" s="2395"/>
      <c r="R178" s="2396">
        <v>2.5</v>
      </c>
      <c r="S178" s="49"/>
      <c r="T178" s="255"/>
      <c r="U178" s="49"/>
      <c r="V178" s="49"/>
      <c r="W178" s="168"/>
      <c r="X178" s="168"/>
      <c r="Y178" s="42"/>
      <c r="Z178" s="107"/>
      <c r="AB178" s="3">
        <v>1</v>
      </c>
      <c r="AE178" s="2461"/>
      <c r="AF178" s="68"/>
    </row>
    <row r="179" spans="1:32" ht="45" x14ac:dyDescent="0.35">
      <c r="A179" s="441">
        <v>76</v>
      </c>
      <c r="B179" s="693">
        <v>11135</v>
      </c>
      <c r="C179" s="358" t="s">
        <v>1656</v>
      </c>
      <c r="D179" s="2464" t="s">
        <v>5788</v>
      </c>
      <c r="E179" s="2187" t="s">
        <v>8809</v>
      </c>
      <c r="F179" s="93" t="s">
        <v>664</v>
      </c>
      <c r="G179" s="50">
        <v>5</v>
      </c>
      <c r="H179" s="50">
        <v>6</v>
      </c>
      <c r="I179" s="297">
        <f t="shared" si="14"/>
        <v>2</v>
      </c>
      <c r="J179" s="297">
        <f t="shared" si="12"/>
        <v>2</v>
      </c>
      <c r="K179" s="622"/>
      <c r="L179" s="622"/>
      <c r="M179" s="622"/>
      <c r="N179" s="622"/>
      <c r="O179" s="622"/>
      <c r="P179" s="622"/>
      <c r="Q179" s="2085"/>
      <c r="R179" s="1981">
        <v>2</v>
      </c>
      <c r="S179" s="1779"/>
      <c r="T179" s="1779"/>
      <c r="U179" s="1779"/>
      <c r="V179" s="1779"/>
      <c r="W179" s="1779"/>
      <c r="X179" s="1779"/>
      <c r="Y179" s="1779"/>
      <c r="Z179" s="1780"/>
      <c r="AB179" s="3">
        <v>1</v>
      </c>
      <c r="AE179" s="2461"/>
      <c r="AF179" s="68"/>
    </row>
    <row r="180" spans="1:32" ht="30" x14ac:dyDescent="0.35">
      <c r="A180" s="441">
        <v>77</v>
      </c>
      <c r="B180" s="358">
        <v>11136</v>
      </c>
      <c r="C180" s="358"/>
      <c r="D180" s="358" t="s">
        <v>1089</v>
      </c>
      <c r="E180" s="443" t="s">
        <v>2065</v>
      </c>
      <c r="F180" s="41">
        <v>4</v>
      </c>
      <c r="G180" s="50">
        <v>4</v>
      </c>
      <c r="H180" s="50">
        <v>6</v>
      </c>
      <c r="I180" s="762">
        <f t="shared" si="14"/>
        <v>10.14</v>
      </c>
      <c r="J180" s="762">
        <f t="shared" si="12"/>
        <v>10.14</v>
      </c>
      <c r="K180" s="762"/>
      <c r="L180" s="762"/>
      <c r="M180" s="762"/>
      <c r="N180" s="762">
        <v>10.14</v>
      </c>
      <c r="O180" s="763"/>
      <c r="P180" s="762"/>
      <c r="Q180" s="1445"/>
      <c r="R180" s="1440"/>
      <c r="S180" s="49">
        <v>1</v>
      </c>
      <c r="T180" s="255">
        <v>18.5</v>
      </c>
      <c r="U180" s="49"/>
      <c r="V180" s="49"/>
      <c r="W180" s="168">
        <v>21</v>
      </c>
      <c r="X180" s="168">
        <v>353.1</v>
      </c>
      <c r="Y180" s="42">
        <v>6</v>
      </c>
      <c r="Z180" s="107">
        <v>60</v>
      </c>
      <c r="AB180" s="3">
        <v>1</v>
      </c>
      <c r="AE180" s="2461"/>
      <c r="AF180" s="68"/>
    </row>
    <row r="181" spans="1:32" ht="30.5" x14ac:dyDescent="0.35">
      <c r="A181" s="441">
        <v>78</v>
      </c>
      <c r="B181" s="358">
        <v>11136</v>
      </c>
      <c r="C181" s="358"/>
      <c r="D181" s="2464" t="s">
        <v>5789</v>
      </c>
      <c r="E181" s="417" t="s">
        <v>7902</v>
      </c>
      <c r="F181" s="41"/>
      <c r="G181" s="50" t="s">
        <v>191</v>
      </c>
      <c r="H181" s="50" t="s">
        <v>191</v>
      </c>
      <c r="I181" s="762">
        <f t="shared" si="14"/>
        <v>2.4</v>
      </c>
      <c r="J181" s="762">
        <f t="shared" si="12"/>
        <v>2.4</v>
      </c>
      <c r="K181" s="762"/>
      <c r="L181" s="762"/>
      <c r="M181" s="762"/>
      <c r="N181" s="762"/>
      <c r="O181" s="763"/>
      <c r="P181" s="762"/>
      <c r="Q181" s="1445">
        <f>SUM(Q182:Q183)</f>
        <v>2</v>
      </c>
      <c r="R181" s="1440">
        <f>SUM(R182:R183)</f>
        <v>0.4</v>
      </c>
      <c r="S181" s="49"/>
      <c r="T181" s="255"/>
      <c r="U181" s="49"/>
      <c r="V181" s="49"/>
      <c r="W181" s="168">
        <v>4</v>
      </c>
      <c r="X181" s="168">
        <v>55.2</v>
      </c>
      <c r="Y181" s="42">
        <v>2</v>
      </c>
      <c r="Z181" s="107">
        <v>20</v>
      </c>
      <c r="AB181" s="3">
        <v>1</v>
      </c>
      <c r="AE181" s="2461"/>
      <c r="AF181" s="68"/>
    </row>
    <row r="182" spans="1:32" x14ac:dyDescent="0.35">
      <c r="A182" s="359"/>
      <c r="B182" s="358">
        <v>11136</v>
      </c>
      <c r="C182" s="358"/>
      <c r="D182" s="360"/>
      <c r="E182" s="884" t="s">
        <v>1191</v>
      </c>
      <c r="F182" s="41">
        <v>5</v>
      </c>
      <c r="G182" s="50">
        <v>5</v>
      </c>
      <c r="H182" s="50">
        <v>6</v>
      </c>
      <c r="I182" s="745"/>
      <c r="J182" s="745"/>
      <c r="K182" s="745"/>
      <c r="L182" s="745"/>
      <c r="M182" s="745"/>
      <c r="N182" s="745"/>
      <c r="O182" s="764"/>
      <c r="P182" s="745"/>
      <c r="Q182" s="1448">
        <v>2</v>
      </c>
      <c r="R182" s="1084"/>
      <c r="S182" s="40"/>
      <c r="T182" s="246"/>
      <c r="U182" s="40"/>
      <c r="V182" s="40"/>
      <c r="W182" s="166"/>
      <c r="X182" s="166"/>
      <c r="Y182" s="40"/>
      <c r="Z182" s="94"/>
      <c r="AE182" s="2461"/>
      <c r="AF182" s="68"/>
    </row>
    <row r="183" spans="1:32" x14ac:dyDescent="0.35">
      <c r="A183" s="359"/>
      <c r="B183" s="358">
        <v>11136</v>
      </c>
      <c r="C183" s="358"/>
      <c r="D183" s="360"/>
      <c r="E183" s="885" t="s">
        <v>2066</v>
      </c>
      <c r="F183" s="41">
        <v>5</v>
      </c>
      <c r="G183" s="50">
        <v>5</v>
      </c>
      <c r="H183" s="50">
        <v>6</v>
      </c>
      <c r="I183" s="745"/>
      <c r="J183" s="745"/>
      <c r="K183" s="745"/>
      <c r="L183" s="745"/>
      <c r="M183" s="745"/>
      <c r="N183" s="745"/>
      <c r="O183" s="764"/>
      <c r="P183" s="745"/>
      <c r="Q183" s="1089"/>
      <c r="R183" s="1082">
        <v>0.4</v>
      </c>
      <c r="S183" s="40"/>
      <c r="T183" s="246"/>
      <c r="U183" s="40"/>
      <c r="V183" s="40"/>
      <c r="W183" s="166"/>
      <c r="X183" s="166"/>
      <c r="Y183" s="40"/>
      <c r="Z183" s="94"/>
      <c r="AE183" s="2461"/>
      <c r="AF183" s="68"/>
    </row>
    <row r="184" spans="1:32" ht="45" x14ac:dyDescent="0.35">
      <c r="A184" s="525">
        <v>79</v>
      </c>
      <c r="B184" s="693">
        <v>11136</v>
      </c>
      <c r="C184" s="693" t="s">
        <v>1656</v>
      </c>
      <c r="D184" s="2464" t="s">
        <v>5790</v>
      </c>
      <c r="E184" s="2187" t="s">
        <v>8810</v>
      </c>
      <c r="F184" s="93" t="s">
        <v>664</v>
      </c>
      <c r="G184" s="93">
        <v>5</v>
      </c>
      <c r="H184" s="50">
        <v>6</v>
      </c>
      <c r="I184" s="2143">
        <f>L184+K184+J184</f>
        <v>1.3</v>
      </c>
      <c r="J184" s="2143">
        <f>SUM(M184:R184)</f>
        <v>1.3</v>
      </c>
      <c r="K184" s="622"/>
      <c r="L184" s="622"/>
      <c r="M184" s="622"/>
      <c r="N184" s="622"/>
      <c r="O184" s="622"/>
      <c r="P184" s="622"/>
      <c r="Q184" s="2085"/>
      <c r="R184" s="906">
        <v>1.3</v>
      </c>
      <c r="S184" s="106"/>
      <c r="T184" s="106"/>
      <c r="U184" s="106"/>
      <c r="V184" s="106"/>
      <c r="W184" s="105"/>
      <c r="X184" s="105"/>
      <c r="Y184" s="105"/>
      <c r="Z184" s="323"/>
      <c r="AB184" s="3">
        <v>1</v>
      </c>
      <c r="AE184" s="2461"/>
      <c r="AF184" s="68"/>
    </row>
    <row r="185" spans="1:32" ht="30.5" x14ac:dyDescent="0.35">
      <c r="A185" s="441">
        <v>80</v>
      </c>
      <c r="B185" s="358">
        <v>11136</v>
      </c>
      <c r="C185" s="358"/>
      <c r="D185" s="2464" t="s">
        <v>5791</v>
      </c>
      <c r="E185" s="443" t="s">
        <v>7903</v>
      </c>
      <c r="F185" s="41" t="s">
        <v>664</v>
      </c>
      <c r="G185" s="50">
        <v>5</v>
      </c>
      <c r="H185" s="50">
        <v>6</v>
      </c>
      <c r="I185" s="762">
        <f>J185+K185+L185</f>
        <v>0.5</v>
      </c>
      <c r="J185" s="762">
        <f>SUM(M185:R185)</f>
        <v>0.5</v>
      </c>
      <c r="K185" s="762"/>
      <c r="L185" s="762"/>
      <c r="M185" s="762"/>
      <c r="N185" s="762"/>
      <c r="O185" s="763"/>
      <c r="P185" s="762"/>
      <c r="Q185" s="1445"/>
      <c r="R185" s="1440">
        <v>0.5</v>
      </c>
      <c r="S185" s="49"/>
      <c r="T185" s="255"/>
      <c r="U185" s="49"/>
      <c r="V185" s="49"/>
      <c r="W185" s="168"/>
      <c r="X185" s="168"/>
      <c r="Y185" s="42"/>
      <c r="Z185" s="107"/>
      <c r="AB185" s="3">
        <v>1</v>
      </c>
      <c r="AE185" s="2461"/>
      <c r="AF185" s="68"/>
    </row>
    <row r="186" spans="1:32" ht="45" x14ac:dyDescent="0.35">
      <c r="A186" s="525">
        <v>81</v>
      </c>
      <c r="B186" s="693">
        <v>11136</v>
      </c>
      <c r="C186" s="693" t="s">
        <v>1656</v>
      </c>
      <c r="D186" s="2464" t="s">
        <v>5792</v>
      </c>
      <c r="E186" s="2187" t="s">
        <v>8811</v>
      </c>
      <c r="F186" s="93" t="s">
        <v>664</v>
      </c>
      <c r="G186" s="93">
        <v>5</v>
      </c>
      <c r="H186" s="50">
        <v>6</v>
      </c>
      <c r="I186" s="2143">
        <f>L186+K186+J186</f>
        <v>0.42</v>
      </c>
      <c r="J186" s="2143">
        <f>SUM(M186:R186)</f>
        <v>0.42</v>
      </c>
      <c r="K186" s="622"/>
      <c r="L186" s="622"/>
      <c r="M186" s="622"/>
      <c r="N186" s="622"/>
      <c r="O186" s="622"/>
      <c r="P186" s="622"/>
      <c r="Q186" s="2085"/>
      <c r="R186" s="906">
        <v>0.42</v>
      </c>
      <c r="S186" s="106"/>
      <c r="T186" s="106"/>
      <c r="U186" s="106"/>
      <c r="V186" s="106"/>
      <c r="W186" s="105"/>
      <c r="X186" s="105"/>
      <c r="Y186" s="105"/>
      <c r="Z186" s="323"/>
      <c r="AB186" s="3">
        <v>1</v>
      </c>
      <c r="AE186" s="2461"/>
      <c r="AF186" s="68"/>
    </row>
    <row r="187" spans="1:32" ht="45.5" x14ac:dyDescent="0.35">
      <c r="A187" s="441">
        <v>82</v>
      </c>
      <c r="B187" s="405">
        <v>11136</v>
      </c>
      <c r="C187" s="405"/>
      <c r="D187" s="2464" t="s">
        <v>5793</v>
      </c>
      <c r="E187" s="443" t="s">
        <v>9326</v>
      </c>
      <c r="F187" s="40">
        <v>5</v>
      </c>
      <c r="G187" s="40">
        <v>5</v>
      </c>
      <c r="H187" s="50">
        <v>6</v>
      </c>
      <c r="I187" s="762">
        <v>1.7</v>
      </c>
      <c r="J187" s="762">
        <v>1.7</v>
      </c>
      <c r="K187" s="749"/>
      <c r="L187" s="749"/>
      <c r="M187" s="749"/>
      <c r="N187" s="749">
        <v>1.7</v>
      </c>
      <c r="O187" s="769"/>
      <c r="P187" s="749"/>
      <c r="Q187" s="1449"/>
      <c r="R187" s="869"/>
      <c r="S187" s="42">
        <v>1</v>
      </c>
      <c r="T187" s="247">
        <v>24.5</v>
      </c>
      <c r="U187" s="42"/>
      <c r="V187" s="42"/>
      <c r="W187" s="110">
        <v>1</v>
      </c>
      <c r="X187" s="537">
        <v>15</v>
      </c>
      <c r="Y187" s="42"/>
      <c r="Z187" s="107"/>
      <c r="AB187" s="3">
        <v>1</v>
      </c>
      <c r="AE187" s="2461"/>
      <c r="AF187" s="68"/>
    </row>
    <row r="188" spans="1:32" ht="30" x14ac:dyDescent="0.35">
      <c r="A188" s="525">
        <v>83</v>
      </c>
      <c r="B188" s="358">
        <v>11137</v>
      </c>
      <c r="C188" s="358"/>
      <c r="D188" s="358" t="s">
        <v>3439</v>
      </c>
      <c r="E188" s="417" t="s">
        <v>3068</v>
      </c>
      <c r="F188" s="41"/>
      <c r="G188" s="50" t="s">
        <v>191</v>
      </c>
      <c r="H188" s="50" t="s">
        <v>191</v>
      </c>
      <c r="I188" s="762">
        <f>J188+K188+L188</f>
        <v>9.7299999999999986</v>
      </c>
      <c r="J188" s="762">
        <f>SUM(M188:R188)</f>
        <v>8.3699999999999992</v>
      </c>
      <c r="K188" s="762"/>
      <c r="L188" s="762">
        <f>SUM(L189:L194)</f>
        <v>1.36</v>
      </c>
      <c r="M188" s="762"/>
      <c r="N188" s="762">
        <f>SUM(N189:N194)</f>
        <v>2.5</v>
      </c>
      <c r="O188" s="763"/>
      <c r="P188" s="762"/>
      <c r="Q188" s="1445">
        <f>SUM(Q189:Q194)</f>
        <v>5.8699999999999992</v>
      </c>
      <c r="R188" s="1440"/>
      <c r="S188" s="49"/>
      <c r="T188" s="255"/>
      <c r="U188" s="49"/>
      <c r="V188" s="49"/>
      <c r="W188" s="168">
        <v>36</v>
      </c>
      <c r="X188" s="168">
        <v>460.7</v>
      </c>
      <c r="Y188" s="42">
        <v>24</v>
      </c>
      <c r="Z188" s="107">
        <v>240</v>
      </c>
      <c r="AB188" s="3">
        <v>1</v>
      </c>
      <c r="AE188" s="2461"/>
      <c r="AF188" s="68"/>
    </row>
    <row r="189" spans="1:32" x14ac:dyDescent="0.35">
      <c r="A189" s="359"/>
      <c r="B189" s="358">
        <v>11137</v>
      </c>
      <c r="C189" s="358"/>
      <c r="D189" s="360"/>
      <c r="E189" s="884" t="s">
        <v>3069</v>
      </c>
      <c r="F189" s="41">
        <v>4</v>
      </c>
      <c r="G189" s="50">
        <v>4</v>
      </c>
      <c r="H189" s="50">
        <v>6</v>
      </c>
      <c r="I189" s="745"/>
      <c r="J189" s="745"/>
      <c r="K189" s="745"/>
      <c r="L189" s="745"/>
      <c r="M189" s="745"/>
      <c r="N189" s="745"/>
      <c r="O189" s="764"/>
      <c r="P189" s="745"/>
      <c r="Q189" s="1087">
        <v>4.5199999999999996</v>
      </c>
      <c r="R189" s="1084"/>
      <c r="S189" s="40"/>
      <c r="T189" s="246"/>
      <c r="U189" s="40"/>
      <c r="V189" s="40"/>
      <c r="W189" s="166"/>
      <c r="X189" s="166"/>
      <c r="Y189" s="40"/>
      <c r="Z189" s="94"/>
      <c r="AE189" s="2461"/>
      <c r="AF189" s="68"/>
    </row>
    <row r="190" spans="1:32" x14ac:dyDescent="0.35">
      <c r="A190" s="359"/>
      <c r="B190" s="358">
        <v>11137</v>
      </c>
      <c r="C190" s="358"/>
      <c r="D190" s="360"/>
      <c r="E190" s="442" t="s">
        <v>138</v>
      </c>
      <c r="F190" s="41">
        <v>4</v>
      </c>
      <c r="G190" s="50">
        <v>4</v>
      </c>
      <c r="H190" s="50">
        <v>6</v>
      </c>
      <c r="I190" s="745"/>
      <c r="J190" s="745"/>
      <c r="K190" s="745"/>
      <c r="L190" s="745"/>
      <c r="M190" s="745"/>
      <c r="N190" s="747">
        <f>5.3-4.52</f>
        <v>0.78000000000000025</v>
      </c>
      <c r="O190" s="764"/>
      <c r="P190" s="745"/>
      <c r="Q190" s="1089"/>
      <c r="R190" s="1084"/>
      <c r="S190" s="40"/>
      <c r="T190" s="246"/>
      <c r="U190" s="40"/>
      <c r="V190" s="40"/>
      <c r="W190" s="166"/>
      <c r="X190" s="166"/>
      <c r="Y190" s="40"/>
      <c r="Z190" s="94"/>
      <c r="AE190" s="2461"/>
      <c r="AF190" s="68"/>
    </row>
    <row r="191" spans="1:32" x14ac:dyDescent="0.35">
      <c r="A191" s="359"/>
      <c r="B191" s="358"/>
      <c r="C191" s="358"/>
      <c r="D191" s="360"/>
      <c r="E191" s="442" t="s">
        <v>136</v>
      </c>
      <c r="F191" s="41">
        <v>4</v>
      </c>
      <c r="G191" s="50">
        <v>4</v>
      </c>
      <c r="H191" s="50">
        <v>10</v>
      </c>
      <c r="I191" s="745"/>
      <c r="J191" s="745"/>
      <c r="K191" s="745"/>
      <c r="L191" s="745"/>
      <c r="M191" s="745"/>
      <c r="N191" s="747">
        <f>6.5-5.3</f>
        <v>1.2000000000000002</v>
      </c>
      <c r="O191" s="764"/>
      <c r="P191" s="745"/>
      <c r="Q191" s="1089"/>
      <c r="R191" s="1084"/>
      <c r="S191" s="40"/>
      <c r="T191" s="246"/>
      <c r="U191" s="40"/>
      <c r="V191" s="40"/>
      <c r="W191" s="166"/>
      <c r="X191" s="166"/>
      <c r="Y191" s="40"/>
      <c r="Z191" s="94"/>
      <c r="AE191" s="2461"/>
      <c r="AF191" s="68"/>
    </row>
    <row r="192" spans="1:32" x14ac:dyDescent="0.35">
      <c r="A192" s="359"/>
      <c r="B192" s="358"/>
      <c r="C192" s="358"/>
      <c r="D192" s="360"/>
      <c r="E192" s="442" t="s">
        <v>137</v>
      </c>
      <c r="F192" s="41">
        <v>4</v>
      </c>
      <c r="G192" s="50">
        <v>4</v>
      </c>
      <c r="H192" s="50">
        <v>6</v>
      </c>
      <c r="I192" s="745"/>
      <c r="J192" s="745"/>
      <c r="K192" s="745"/>
      <c r="L192" s="745"/>
      <c r="M192" s="745"/>
      <c r="N192" s="747">
        <f>7.02-6.5</f>
        <v>0.51999999999999957</v>
      </c>
      <c r="O192" s="764"/>
      <c r="P192" s="745"/>
      <c r="Q192" s="1089"/>
      <c r="R192" s="1084"/>
      <c r="S192" s="40"/>
      <c r="T192" s="246"/>
      <c r="U192" s="40"/>
      <c r="V192" s="40"/>
      <c r="W192" s="166"/>
      <c r="X192" s="166"/>
      <c r="Y192" s="40"/>
      <c r="Z192" s="94"/>
      <c r="AE192" s="2461"/>
      <c r="AF192" s="68"/>
    </row>
    <row r="193" spans="1:32" ht="46.5" x14ac:dyDescent="0.35">
      <c r="A193" s="359"/>
      <c r="B193" s="358">
        <v>11137</v>
      </c>
      <c r="C193" s="358"/>
      <c r="D193" s="360"/>
      <c r="E193" s="442" t="s">
        <v>6766</v>
      </c>
      <c r="F193" s="41">
        <v>4</v>
      </c>
      <c r="G193" s="50">
        <v>4</v>
      </c>
      <c r="H193" s="40" t="s">
        <v>191</v>
      </c>
      <c r="I193" s="745"/>
      <c r="J193" s="745"/>
      <c r="K193" s="745"/>
      <c r="L193" s="747">
        <v>1.36</v>
      </c>
      <c r="M193" s="745"/>
      <c r="N193" s="745"/>
      <c r="O193" s="764"/>
      <c r="P193" s="745"/>
      <c r="Q193" s="1089"/>
      <c r="R193" s="1084"/>
      <c r="S193" s="40"/>
      <c r="T193" s="246"/>
      <c r="U193" s="40"/>
      <c r="V193" s="40"/>
      <c r="W193" s="166"/>
      <c r="X193" s="166"/>
      <c r="Y193" s="40"/>
      <c r="Z193" s="94"/>
      <c r="AE193" s="2461"/>
      <c r="AF193" s="68"/>
    </row>
    <row r="194" spans="1:32" x14ac:dyDescent="0.35">
      <c r="A194" s="359"/>
      <c r="B194" s="358">
        <v>11137</v>
      </c>
      <c r="C194" s="358"/>
      <c r="D194" s="360"/>
      <c r="E194" s="884" t="s">
        <v>3070</v>
      </c>
      <c r="F194" s="41">
        <v>4</v>
      </c>
      <c r="G194" s="50">
        <v>4</v>
      </c>
      <c r="H194" s="50">
        <v>6</v>
      </c>
      <c r="I194" s="745"/>
      <c r="J194" s="745"/>
      <c r="K194" s="745"/>
      <c r="L194" s="745"/>
      <c r="M194" s="745"/>
      <c r="N194" s="745"/>
      <c r="O194" s="764"/>
      <c r="P194" s="745"/>
      <c r="Q194" s="1087">
        <v>1.35</v>
      </c>
      <c r="R194" s="1084"/>
      <c r="S194" s="40"/>
      <c r="T194" s="246"/>
      <c r="U194" s="40"/>
      <c r="V194" s="40"/>
      <c r="W194" s="166"/>
      <c r="X194" s="166"/>
      <c r="Y194" s="40"/>
      <c r="Z194" s="94"/>
      <c r="AE194" s="2461"/>
      <c r="AF194" s="68"/>
    </row>
    <row r="195" spans="1:32" ht="30.5" x14ac:dyDescent="0.35">
      <c r="A195" s="441">
        <v>84</v>
      </c>
      <c r="B195" s="358">
        <v>11137</v>
      </c>
      <c r="C195" s="358"/>
      <c r="D195" s="2464" t="s">
        <v>5794</v>
      </c>
      <c r="E195" s="417" t="s">
        <v>7904</v>
      </c>
      <c r="F195" s="41" t="s">
        <v>1490</v>
      </c>
      <c r="G195" s="50">
        <v>5</v>
      </c>
      <c r="H195" s="50">
        <v>6</v>
      </c>
      <c r="I195" s="762">
        <f t="shared" ref="I195:I201" si="15">J195+K195+L195</f>
        <v>2</v>
      </c>
      <c r="J195" s="762">
        <f t="shared" ref="J195:J201" si="16">SUM(M195:R195)</f>
        <v>2</v>
      </c>
      <c r="K195" s="762"/>
      <c r="L195" s="762"/>
      <c r="M195" s="762"/>
      <c r="N195" s="762"/>
      <c r="O195" s="763"/>
      <c r="P195" s="762"/>
      <c r="Q195" s="1445"/>
      <c r="R195" s="1440">
        <v>2</v>
      </c>
      <c r="S195" s="49"/>
      <c r="T195" s="255"/>
      <c r="U195" s="49"/>
      <c r="V195" s="49"/>
      <c r="W195" s="168">
        <v>8</v>
      </c>
      <c r="X195" s="168">
        <v>80</v>
      </c>
      <c r="Y195" s="42"/>
      <c r="Z195" s="107"/>
      <c r="AB195" s="3">
        <v>1</v>
      </c>
      <c r="AC195" s="3" t="s">
        <v>2570</v>
      </c>
      <c r="AE195" s="2461"/>
      <c r="AF195" s="68"/>
    </row>
    <row r="196" spans="1:32" ht="60" x14ac:dyDescent="0.35">
      <c r="A196" s="441">
        <v>85</v>
      </c>
      <c r="B196" s="693">
        <v>11137</v>
      </c>
      <c r="C196" s="358" t="s">
        <v>1656</v>
      </c>
      <c r="D196" s="2464" t="s">
        <v>5795</v>
      </c>
      <c r="E196" s="2187" t="s">
        <v>8812</v>
      </c>
      <c r="F196" s="93" t="s">
        <v>664</v>
      </c>
      <c r="G196" s="50">
        <v>5</v>
      </c>
      <c r="H196" s="50">
        <v>6</v>
      </c>
      <c r="I196" s="297">
        <f t="shared" si="15"/>
        <v>0.5</v>
      </c>
      <c r="J196" s="297">
        <f t="shared" si="16"/>
        <v>0.5</v>
      </c>
      <c r="K196" s="622"/>
      <c r="L196" s="622"/>
      <c r="M196" s="622"/>
      <c r="N196" s="622"/>
      <c r="O196" s="622"/>
      <c r="P196" s="622"/>
      <c r="Q196" s="2085"/>
      <c r="R196" s="906">
        <v>0.5</v>
      </c>
      <c r="S196" s="106"/>
      <c r="T196" s="106"/>
      <c r="U196" s="106"/>
      <c r="V196" s="106"/>
      <c r="W196" s="105"/>
      <c r="X196" s="105"/>
      <c r="Y196" s="105"/>
      <c r="Z196" s="323"/>
      <c r="AB196" s="3">
        <v>1</v>
      </c>
      <c r="AE196" s="2461"/>
      <c r="AF196" s="68"/>
    </row>
    <row r="197" spans="1:32" ht="30.5" x14ac:dyDescent="0.35">
      <c r="A197" s="441">
        <v>86</v>
      </c>
      <c r="B197" s="358">
        <v>11137</v>
      </c>
      <c r="C197" s="358" t="s">
        <v>1656</v>
      </c>
      <c r="D197" s="2464" t="s">
        <v>5796</v>
      </c>
      <c r="E197" s="443" t="s">
        <v>8813</v>
      </c>
      <c r="F197" s="166" t="s">
        <v>664</v>
      </c>
      <c r="G197" s="50">
        <v>5</v>
      </c>
      <c r="H197" s="50">
        <v>6</v>
      </c>
      <c r="I197" s="297">
        <f t="shared" si="15"/>
        <v>0.5</v>
      </c>
      <c r="J197" s="297">
        <f t="shared" si="16"/>
        <v>0.5</v>
      </c>
      <c r="K197" s="745"/>
      <c r="L197" s="745"/>
      <c r="M197" s="749"/>
      <c r="N197" s="749"/>
      <c r="O197" s="769"/>
      <c r="P197" s="749"/>
      <c r="Q197" s="1850"/>
      <c r="R197" s="2394">
        <v>0.5</v>
      </c>
      <c r="S197" s="40"/>
      <c r="T197" s="246"/>
      <c r="U197" s="40"/>
      <c r="V197" s="40"/>
      <c r="W197" s="166"/>
      <c r="X197" s="166"/>
      <c r="Y197" s="40"/>
      <c r="Z197" s="94"/>
      <c r="AB197" s="3">
        <v>1</v>
      </c>
      <c r="AE197" s="2461"/>
      <c r="AF197" s="68"/>
    </row>
    <row r="198" spans="1:32" ht="30.5" x14ac:dyDescent="0.35">
      <c r="A198" s="441">
        <v>87</v>
      </c>
      <c r="B198" s="358">
        <v>11137</v>
      </c>
      <c r="C198" s="358" t="s">
        <v>1656</v>
      </c>
      <c r="D198" s="2464" t="s">
        <v>5797</v>
      </c>
      <c r="E198" s="443" t="s">
        <v>8814</v>
      </c>
      <c r="F198" s="166" t="s">
        <v>664</v>
      </c>
      <c r="G198" s="50">
        <v>5</v>
      </c>
      <c r="H198" s="50">
        <v>6</v>
      </c>
      <c r="I198" s="297">
        <f t="shared" si="15"/>
        <v>1</v>
      </c>
      <c r="J198" s="297">
        <f t="shared" si="16"/>
        <v>1</v>
      </c>
      <c r="K198" s="745"/>
      <c r="L198" s="745"/>
      <c r="M198" s="749"/>
      <c r="N198" s="744"/>
      <c r="O198" s="769"/>
      <c r="P198" s="749"/>
      <c r="Q198" s="2393"/>
      <c r="R198" s="2394">
        <v>1</v>
      </c>
      <c r="S198" s="40"/>
      <c r="T198" s="246"/>
      <c r="U198" s="40"/>
      <c r="V198" s="40"/>
      <c r="W198" s="166"/>
      <c r="X198" s="166"/>
      <c r="Y198" s="40"/>
      <c r="Z198" s="94"/>
      <c r="AB198" s="3">
        <v>1</v>
      </c>
      <c r="AE198" s="2461"/>
      <c r="AF198" s="68"/>
    </row>
    <row r="199" spans="1:32" ht="30.5" x14ac:dyDescent="0.35">
      <c r="A199" s="441">
        <v>88</v>
      </c>
      <c r="B199" s="358">
        <v>11137</v>
      </c>
      <c r="C199" s="358" t="s">
        <v>1656</v>
      </c>
      <c r="D199" s="2464" t="s">
        <v>5798</v>
      </c>
      <c r="E199" s="443" t="s">
        <v>8815</v>
      </c>
      <c r="F199" s="2289" t="s">
        <v>664</v>
      </c>
      <c r="G199" s="50">
        <v>5</v>
      </c>
      <c r="H199" s="50">
        <v>6</v>
      </c>
      <c r="I199" s="297">
        <f t="shared" si="15"/>
        <v>0.1</v>
      </c>
      <c r="J199" s="297">
        <f t="shared" si="16"/>
        <v>0.1</v>
      </c>
      <c r="K199" s="762"/>
      <c r="L199" s="762"/>
      <c r="M199" s="762"/>
      <c r="N199" s="762"/>
      <c r="O199" s="763"/>
      <c r="P199" s="762"/>
      <c r="Q199" s="2395"/>
      <c r="R199" s="2396">
        <v>0.1</v>
      </c>
      <c r="S199" s="49"/>
      <c r="T199" s="255"/>
      <c r="U199" s="49"/>
      <c r="V199" s="49"/>
      <c r="W199" s="168"/>
      <c r="X199" s="168"/>
      <c r="Y199" s="42"/>
      <c r="Z199" s="107"/>
      <c r="AB199" s="3">
        <v>1</v>
      </c>
      <c r="AE199" s="2461"/>
      <c r="AF199" s="68"/>
    </row>
    <row r="200" spans="1:32" ht="30.5" x14ac:dyDescent="0.35">
      <c r="A200" s="441">
        <v>89</v>
      </c>
      <c r="B200" s="405">
        <v>11137</v>
      </c>
      <c r="C200" s="358" t="s">
        <v>1656</v>
      </c>
      <c r="D200" s="2464" t="s">
        <v>5799</v>
      </c>
      <c r="E200" s="443" t="s">
        <v>8816</v>
      </c>
      <c r="F200" s="166" t="s">
        <v>664</v>
      </c>
      <c r="G200" s="50">
        <v>5</v>
      </c>
      <c r="H200" s="50">
        <v>6</v>
      </c>
      <c r="I200" s="297">
        <f t="shared" si="15"/>
        <v>1</v>
      </c>
      <c r="J200" s="297">
        <f t="shared" si="16"/>
        <v>1</v>
      </c>
      <c r="K200" s="749"/>
      <c r="L200" s="749"/>
      <c r="M200" s="749"/>
      <c r="N200" s="749"/>
      <c r="O200" s="769"/>
      <c r="P200" s="749"/>
      <c r="Q200" s="2393"/>
      <c r="R200" s="1846">
        <v>1</v>
      </c>
      <c r="S200" s="42"/>
      <c r="T200" s="247"/>
      <c r="U200" s="42"/>
      <c r="V200" s="42"/>
      <c r="W200" s="110"/>
      <c r="X200" s="110"/>
      <c r="Y200" s="42"/>
      <c r="Z200" s="107"/>
      <c r="AB200" s="3">
        <v>1</v>
      </c>
      <c r="AE200" s="2461"/>
      <c r="AF200" s="68"/>
    </row>
    <row r="201" spans="1:32" ht="30" x14ac:dyDescent="0.35">
      <c r="A201" s="441">
        <v>90</v>
      </c>
      <c r="B201" s="358">
        <v>11138</v>
      </c>
      <c r="C201" s="358"/>
      <c r="D201" s="358" t="s">
        <v>3440</v>
      </c>
      <c r="E201" s="417" t="s">
        <v>1219</v>
      </c>
      <c r="F201" s="41"/>
      <c r="G201" s="50" t="s">
        <v>191</v>
      </c>
      <c r="H201" s="50" t="s">
        <v>191</v>
      </c>
      <c r="I201" s="762">
        <f t="shared" si="15"/>
        <v>8</v>
      </c>
      <c r="J201" s="762">
        <f t="shared" si="16"/>
        <v>7.51</v>
      </c>
      <c r="K201" s="762"/>
      <c r="L201" s="762">
        <f>SUM(L202:L206)</f>
        <v>0.49</v>
      </c>
      <c r="M201" s="762"/>
      <c r="N201" s="762">
        <f>SUM(N202:N206)</f>
        <v>2.5099999999999998</v>
      </c>
      <c r="O201" s="763"/>
      <c r="P201" s="762"/>
      <c r="Q201" s="1445">
        <f>SUM(Q202:Q206)</f>
        <v>3.0199999999999996</v>
      </c>
      <c r="R201" s="1440">
        <f>SUM(R202:R206)</f>
        <v>1.98</v>
      </c>
      <c r="S201" s="49">
        <v>1</v>
      </c>
      <c r="T201" s="255">
        <v>9.6</v>
      </c>
      <c r="U201" s="49"/>
      <c r="V201" s="49"/>
      <c r="W201" s="168">
        <v>9</v>
      </c>
      <c r="X201" s="168">
        <v>109.5</v>
      </c>
      <c r="Y201" s="42">
        <v>4</v>
      </c>
      <c r="Z201" s="107">
        <v>35</v>
      </c>
      <c r="AB201" s="3">
        <v>1</v>
      </c>
      <c r="AE201" s="2461"/>
      <c r="AF201" s="68"/>
    </row>
    <row r="202" spans="1:32" x14ac:dyDescent="0.35">
      <c r="A202" s="359"/>
      <c r="B202" s="358">
        <v>11138</v>
      </c>
      <c r="C202" s="358"/>
      <c r="D202" s="360"/>
      <c r="E202" s="442" t="s">
        <v>424</v>
      </c>
      <c r="F202" s="40">
        <v>4</v>
      </c>
      <c r="G202" s="40">
        <v>5</v>
      </c>
      <c r="H202" s="50">
        <v>6</v>
      </c>
      <c r="I202" s="745"/>
      <c r="J202" s="745"/>
      <c r="K202" s="745"/>
      <c r="L202" s="745"/>
      <c r="M202" s="745"/>
      <c r="N202" s="747">
        <v>2.25</v>
      </c>
      <c r="O202" s="764"/>
      <c r="P202" s="745"/>
      <c r="Q202" s="1089"/>
      <c r="R202" s="1084"/>
      <c r="S202" s="40"/>
      <c r="T202" s="246"/>
      <c r="U202" s="40"/>
      <c r="V202" s="40"/>
      <c r="W202" s="166"/>
      <c r="X202" s="166"/>
      <c r="Y202" s="40"/>
      <c r="Z202" s="94"/>
      <c r="AE202" s="2461"/>
      <c r="AF202" s="68"/>
    </row>
    <row r="203" spans="1:32" ht="46.5" x14ac:dyDescent="0.35">
      <c r="A203" s="359"/>
      <c r="B203" s="358">
        <v>11138</v>
      </c>
      <c r="C203" s="358"/>
      <c r="D203" s="360"/>
      <c r="E203" s="442" t="s">
        <v>6767</v>
      </c>
      <c r="F203" s="40">
        <v>4</v>
      </c>
      <c r="G203" s="40">
        <v>5</v>
      </c>
      <c r="H203" s="40" t="s">
        <v>191</v>
      </c>
      <c r="I203" s="745"/>
      <c r="J203" s="745"/>
      <c r="K203" s="745"/>
      <c r="L203" s="747">
        <v>0.49</v>
      </c>
      <c r="M203" s="745"/>
      <c r="N203" s="745"/>
      <c r="O203" s="764"/>
      <c r="P203" s="745"/>
      <c r="Q203" s="1089"/>
      <c r="R203" s="1084"/>
      <c r="S203" s="40"/>
      <c r="T203" s="246"/>
      <c r="U203" s="40"/>
      <c r="V203" s="40"/>
      <c r="W203" s="166"/>
      <c r="X203" s="166"/>
      <c r="Y203" s="40"/>
      <c r="Z203" s="94"/>
      <c r="AE203" s="2461"/>
      <c r="AF203" s="68"/>
    </row>
    <row r="204" spans="1:32" x14ac:dyDescent="0.35">
      <c r="A204" s="359"/>
      <c r="B204" s="358">
        <v>11138</v>
      </c>
      <c r="C204" s="358"/>
      <c r="D204" s="360"/>
      <c r="E204" s="442" t="s">
        <v>10438</v>
      </c>
      <c r="F204" s="40">
        <v>4</v>
      </c>
      <c r="G204" s="40">
        <v>5</v>
      </c>
      <c r="H204" s="50">
        <v>6</v>
      </c>
      <c r="I204" s="745"/>
      <c r="J204" s="745"/>
      <c r="K204" s="745"/>
      <c r="L204" s="745"/>
      <c r="M204" s="745"/>
      <c r="N204" s="2639">
        <f>3-2.74</f>
        <v>0.25999999999999979</v>
      </c>
      <c r="O204" s="764"/>
      <c r="P204" s="745"/>
      <c r="Q204" s="1089"/>
      <c r="R204" s="1084"/>
      <c r="S204" s="40"/>
      <c r="T204" s="246"/>
      <c r="U204" s="40"/>
      <c r="V204" s="40"/>
      <c r="W204" s="166"/>
      <c r="X204" s="166"/>
      <c r="Y204" s="40"/>
      <c r="Z204" s="94"/>
      <c r="AE204" s="2461"/>
      <c r="AF204" s="68"/>
    </row>
    <row r="205" spans="1:32" x14ac:dyDescent="0.35">
      <c r="A205" s="359"/>
      <c r="B205" s="358"/>
      <c r="C205" s="358"/>
      <c r="D205" s="360"/>
      <c r="E205" s="884" t="s">
        <v>10437</v>
      </c>
      <c r="F205" s="40">
        <v>4</v>
      </c>
      <c r="G205" s="40">
        <v>5</v>
      </c>
      <c r="H205" s="50">
        <v>6</v>
      </c>
      <c r="I205" s="745"/>
      <c r="J205" s="745"/>
      <c r="K205" s="745"/>
      <c r="L205" s="745"/>
      <c r="M205" s="745"/>
      <c r="N205" s="747"/>
      <c r="O205" s="764"/>
      <c r="P205" s="745"/>
      <c r="Q205" s="1089">
        <f>6.02-3</f>
        <v>3.0199999999999996</v>
      </c>
      <c r="R205" s="1084"/>
      <c r="S205" s="40"/>
      <c r="T205" s="246"/>
      <c r="U205" s="40"/>
      <c r="V205" s="40"/>
      <c r="W205" s="166"/>
      <c r="X205" s="166"/>
      <c r="Y205" s="40"/>
      <c r="Z205" s="94"/>
      <c r="AE205" s="2461"/>
      <c r="AF205" s="68"/>
    </row>
    <row r="206" spans="1:32" x14ac:dyDescent="0.35">
      <c r="A206" s="359"/>
      <c r="B206" s="358">
        <v>11138</v>
      </c>
      <c r="C206" s="358"/>
      <c r="D206" s="360"/>
      <c r="E206" s="885" t="s">
        <v>1251</v>
      </c>
      <c r="F206" s="40" t="s">
        <v>664</v>
      </c>
      <c r="G206" s="40">
        <v>5</v>
      </c>
      <c r="H206" s="50">
        <v>6</v>
      </c>
      <c r="I206" s="745"/>
      <c r="J206" s="745"/>
      <c r="K206" s="745"/>
      <c r="L206" s="745"/>
      <c r="M206" s="745"/>
      <c r="N206" s="745"/>
      <c r="O206" s="764"/>
      <c r="P206" s="745"/>
      <c r="Q206" s="1089"/>
      <c r="R206" s="1082">
        <v>1.98</v>
      </c>
      <c r="S206" s="40"/>
      <c r="T206" s="246"/>
      <c r="U206" s="40"/>
      <c r="V206" s="40"/>
      <c r="W206" s="166"/>
      <c r="X206" s="166"/>
      <c r="Y206" s="40"/>
      <c r="Z206" s="94"/>
      <c r="AE206" s="2461"/>
      <c r="AF206" s="68"/>
    </row>
    <row r="207" spans="1:32" ht="45" x14ac:dyDescent="0.35">
      <c r="A207" s="525">
        <v>91</v>
      </c>
      <c r="B207" s="693">
        <v>11138</v>
      </c>
      <c r="C207" s="693" t="s">
        <v>1656</v>
      </c>
      <c r="D207" s="2464" t="s">
        <v>5800</v>
      </c>
      <c r="E207" s="2187" t="s">
        <v>8817</v>
      </c>
      <c r="F207" s="93" t="s">
        <v>664</v>
      </c>
      <c r="G207" s="93">
        <v>5</v>
      </c>
      <c r="H207" s="50">
        <v>6</v>
      </c>
      <c r="I207" s="2143">
        <f>L207+K207+J207</f>
        <v>1.82</v>
      </c>
      <c r="J207" s="2143">
        <f t="shared" ref="J207:J216" si="17">SUM(M207:R207)</f>
        <v>1.82</v>
      </c>
      <c r="K207" s="622"/>
      <c r="L207" s="622"/>
      <c r="M207" s="622"/>
      <c r="N207" s="622"/>
      <c r="O207" s="622"/>
      <c r="P207" s="622"/>
      <c r="Q207" s="2085"/>
      <c r="R207" s="906">
        <v>1.82</v>
      </c>
      <c r="S207" s="106"/>
      <c r="T207" s="106"/>
      <c r="U207" s="106"/>
      <c r="V207" s="106"/>
      <c r="W207" s="105"/>
      <c r="X207" s="105"/>
      <c r="Y207" s="105"/>
      <c r="Z207" s="323"/>
      <c r="AB207" s="3">
        <v>1</v>
      </c>
      <c r="AE207" s="2461"/>
      <c r="AF207" s="68"/>
    </row>
    <row r="208" spans="1:32" ht="45.5" x14ac:dyDescent="0.35">
      <c r="A208" s="441">
        <v>92</v>
      </c>
      <c r="B208" s="358">
        <v>11138</v>
      </c>
      <c r="C208" s="358" t="s">
        <v>1656</v>
      </c>
      <c r="D208" s="2464" t="s">
        <v>5801</v>
      </c>
      <c r="E208" s="443" t="s">
        <v>8818</v>
      </c>
      <c r="F208" s="2289" t="s">
        <v>664</v>
      </c>
      <c r="G208" s="50">
        <v>5</v>
      </c>
      <c r="H208" s="50">
        <v>6</v>
      </c>
      <c r="I208" s="297">
        <f>J208+K208+L208</f>
        <v>1</v>
      </c>
      <c r="J208" s="297">
        <f>SUM(M208:R208)</f>
        <v>1</v>
      </c>
      <c r="K208" s="762"/>
      <c r="L208" s="762"/>
      <c r="M208" s="762"/>
      <c r="N208" s="762"/>
      <c r="O208" s="763"/>
      <c r="P208" s="762"/>
      <c r="Q208" s="2395"/>
      <c r="R208" s="2396">
        <v>1</v>
      </c>
      <c r="S208" s="49"/>
      <c r="T208" s="255"/>
      <c r="U208" s="49"/>
      <c r="V208" s="49"/>
      <c r="W208" s="168"/>
      <c r="X208" s="168"/>
      <c r="Y208" s="42"/>
      <c r="Z208" s="107"/>
      <c r="AB208" s="3">
        <v>1</v>
      </c>
      <c r="AE208" s="2461"/>
      <c r="AF208" s="68"/>
    </row>
    <row r="209" spans="1:32" ht="45.5" x14ac:dyDescent="0.35">
      <c r="A209" s="525">
        <v>93</v>
      </c>
      <c r="B209" s="358">
        <v>11138</v>
      </c>
      <c r="C209" s="358" t="s">
        <v>1656</v>
      </c>
      <c r="D209" s="2464" t="s">
        <v>5802</v>
      </c>
      <c r="E209" s="443" t="s">
        <v>8819</v>
      </c>
      <c r="F209" s="166" t="s">
        <v>664</v>
      </c>
      <c r="G209" s="50">
        <v>5</v>
      </c>
      <c r="H209" s="50">
        <v>6</v>
      </c>
      <c r="I209" s="297">
        <f>J209+K209+L209</f>
        <v>0.1</v>
      </c>
      <c r="J209" s="297">
        <f>SUM(M209:R209)</f>
        <v>0.1</v>
      </c>
      <c r="K209" s="745"/>
      <c r="L209" s="745"/>
      <c r="M209" s="749"/>
      <c r="N209" s="744"/>
      <c r="O209" s="769"/>
      <c r="P209" s="749"/>
      <c r="Q209" s="2393"/>
      <c r="R209" s="2394">
        <v>0.1</v>
      </c>
      <c r="S209" s="40"/>
      <c r="T209" s="246"/>
      <c r="U209" s="40"/>
      <c r="V209" s="40"/>
      <c r="W209" s="166"/>
      <c r="X209" s="166"/>
      <c r="Y209" s="40"/>
      <c r="Z209" s="94"/>
      <c r="AB209" s="3">
        <v>1</v>
      </c>
      <c r="AE209" s="2461"/>
      <c r="AF209" s="68"/>
    </row>
    <row r="210" spans="1:32" ht="45.5" x14ac:dyDescent="0.35">
      <c r="A210" s="441">
        <v>94</v>
      </c>
      <c r="B210" s="358">
        <v>11138</v>
      </c>
      <c r="C210" s="358" t="s">
        <v>1656</v>
      </c>
      <c r="D210" s="2464" t="s">
        <v>5803</v>
      </c>
      <c r="E210" s="443" t="s">
        <v>8820</v>
      </c>
      <c r="F210" s="2289" t="s">
        <v>664</v>
      </c>
      <c r="G210" s="50">
        <v>5</v>
      </c>
      <c r="H210" s="50">
        <v>6</v>
      </c>
      <c r="I210" s="297">
        <f>J210+K210+L210</f>
        <v>1.7</v>
      </c>
      <c r="J210" s="297">
        <f>SUM(M210:R210)</f>
        <v>1.7</v>
      </c>
      <c r="K210" s="762"/>
      <c r="L210" s="762"/>
      <c r="M210" s="762"/>
      <c r="N210" s="762"/>
      <c r="O210" s="763"/>
      <c r="P210" s="762"/>
      <c r="Q210" s="2395"/>
      <c r="R210" s="2396">
        <v>1.7</v>
      </c>
      <c r="S210" s="49"/>
      <c r="T210" s="255"/>
      <c r="U210" s="49"/>
      <c r="V210" s="49"/>
      <c r="W210" s="168"/>
      <c r="X210" s="168"/>
      <c r="Y210" s="42"/>
      <c r="Z210" s="107"/>
      <c r="AB210" s="3">
        <v>1</v>
      </c>
      <c r="AE210" s="2461"/>
      <c r="AF210" s="68"/>
    </row>
    <row r="211" spans="1:32" ht="30" x14ac:dyDescent="0.35">
      <c r="A211" s="525">
        <v>95</v>
      </c>
      <c r="B211" s="358">
        <v>11139</v>
      </c>
      <c r="C211" s="358"/>
      <c r="D211" s="358" t="s">
        <v>3441</v>
      </c>
      <c r="E211" s="443" t="s">
        <v>1252</v>
      </c>
      <c r="F211" s="41">
        <v>4</v>
      </c>
      <c r="G211" s="50">
        <v>5</v>
      </c>
      <c r="H211" s="50">
        <v>6</v>
      </c>
      <c r="I211" s="762">
        <f>J211+K211+L211</f>
        <v>3.61</v>
      </c>
      <c r="J211" s="762">
        <f t="shared" si="17"/>
        <v>3.61</v>
      </c>
      <c r="K211" s="762"/>
      <c r="L211" s="762"/>
      <c r="M211" s="762"/>
      <c r="N211" s="762">
        <v>3.61</v>
      </c>
      <c r="O211" s="763"/>
      <c r="P211" s="762"/>
      <c r="Q211" s="1445"/>
      <c r="R211" s="1440"/>
      <c r="S211" s="49">
        <v>1</v>
      </c>
      <c r="T211" s="255">
        <v>24.5</v>
      </c>
      <c r="U211" s="49"/>
      <c r="V211" s="49"/>
      <c r="W211" s="168">
        <v>7</v>
      </c>
      <c r="X211" s="168">
        <v>103.8</v>
      </c>
      <c r="Y211" s="42">
        <v>2</v>
      </c>
      <c r="Z211" s="107">
        <v>30</v>
      </c>
      <c r="AB211" s="3">
        <v>1</v>
      </c>
      <c r="AE211" s="2461"/>
      <c r="AF211" s="68"/>
    </row>
    <row r="212" spans="1:32" ht="45" x14ac:dyDescent="0.35">
      <c r="A212" s="441">
        <v>96</v>
      </c>
      <c r="B212" s="693">
        <v>11139</v>
      </c>
      <c r="C212" s="693" t="s">
        <v>1656</v>
      </c>
      <c r="D212" s="2464" t="s">
        <v>5804</v>
      </c>
      <c r="E212" s="2187" t="s">
        <v>8821</v>
      </c>
      <c r="F212" s="93" t="s">
        <v>664</v>
      </c>
      <c r="G212" s="93">
        <v>5</v>
      </c>
      <c r="H212" s="50">
        <v>6</v>
      </c>
      <c r="I212" s="2143">
        <f>L212+K212+J212</f>
        <v>0.6</v>
      </c>
      <c r="J212" s="2143">
        <f t="shared" si="17"/>
        <v>0.6</v>
      </c>
      <c r="K212" s="622"/>
      <c r="L212" s="622"/>
      <c r="M212" s="622"/>
      <c r="N212" s="622"/>
      <c r="O212" s="622"/>
      <c r="P212" s="622"/>
      <c r="Q212" s="2085"/>
      <c r="R212" s="1981">
        <v>0.6</v>
      </c>
      <c r="S212" s="1779"/>
      <c r="T212" s="1779"/>
      <c r="U212" s="1779"/>
      <c r="V212" s="1779"/>
      <c r="W212" s="1779"/>
      <c r="X212" s="1779"/>
      <c r="Y212" s="1779"/>
      <c r="Z212" s="1780"/>
      <c r="AB212" s="3">
        <v>1</v>
      </c>
      <c r="AE212" s="2461"/>
      <c r="AF212" s="68"/>
    </row>
    <row r="213" spans="1:32" ht="45" x14ac:dyDescent="0.35">
      <c r="A213" s="525">
        <v>97</v>
      </c>
      <c r="B213" s="693">
        <v>11139</v>
      </c>
      <c r="C213" s="693" t="s">
        <v>1656</v>
      </c>
      <c r="D213" s="2464" t="s">
        <v>5805</v>
      </c>
      <c r="E213" s="2187" t="s">
        <v>8822</v>
      </c>
      <c r="F213" s="93" t="s">
        <v>664</v>
      </c>
      <c r="G213" s="93">
        <v>5</v>
      </c>
      <c r="H213" s="50">
        <v>6</v>
      </c>
      <c r="I213" s="2143">
        <f>L213+K213+J213</f>
        <v>0.6</v>
      </c>
      <c r="J213" s="2143">
        <f t="shared" si="17"/>
        <v>0.6</v>
      </c>
      <c r="K213" s="622"/>
      <c r="L213" s="622"/>
      <c r="M213" s="622"/>
      <c r="N213" s="622"/>
      <c r="O213" s="622"/>
      <c r="P213" s="622"/>
      <c r="Q213" s="2085"/>
      <c r="R213" s="1981">
        <v>0.6</v>
      </c>
      <c r="S213" s="1779"/>
      <c r="T213" s="1779"/>
      <c r="U213" s="1779"/>
      <c r="V213" s="1779"/>
      <c r="W213" s="1779"/>
      <c r="X213" s="1779"/>
      <c r="Y213" s="1779"/>
      <c r="Z213" s="1780"/>
      <c r="AB213" s="3">
        <v>1</v>
      </c>
      <c r="AE213" s="2461"/>
      <c r="AF213" s="68"/>
    </row>
    <row r="214" spans="1:32" ht="30" x14ac:dyDescent="0.35">
      <c r="A214" s="441">
        <v>98</v>
      </c>
      <c r="B214" s="358">
        <v>11140</v>
      </c>
      <c r="C214" s="358"/>
      <c r="D214" s="358" t="s">
        <v>3360</v>
      </c>
      <c r="E214" s="443" t="s">
        <v>154</v>
      </c>
      <c r="F214" s="41">
        <v>4</v>
      </c>
      <c r="G214" s="50">
        <v>4</v>
      </c>
      <c r="H214" s="50">
        <v>6</v>
      </c>
      <c r="I214" s="762">
        <f>J214+K214+L214</f>
        <v>0.95</v>
      </c>
      <c r="J214" s="762">
        <f t="shared" si="17"/>
        <v>0.95</v>
      </c>
      <c r="K214" s="762"/>
      <c r="L214" s="762"/>
      <c r="M214" s="762"/>
      <c r="N214" s="762"/>
      <c r="O214" s="763"/>
      <c r="P214" s="762"/>
      <c r="Q214" s="1445">
        <v>0.95</v>
      </c>
      <c r="R214" s="1440"/>
      <c r="S214" s="49"/>
      <c r="T214" s="255"/>
      <c r="U214" s="49"/>
      <c r="V214" s="49"/>
      <c r="W214" s="168">
        <v>2</v>
      </c>
      <c r="X214" s="168">
        <v>41.1</v>
      </c>
      <c r="Y214" s="42"/>
      <c r="Z214" s="107"/>
      <c r="AB214" s="3">
        <v>1</v>
      </c>
      <c r="AE214" s="2461"/>
      <c r="AF214" s="68"/>
    </row>
    <row r="215" spans="1:32" ht="30" x14ac:dyDescent="0.35">
      <c r="A215" s="525">
        <v>99</v>
      </c>
      <c r="B215" s="693">
        <v>11140</v>
      </c>
      <c r="C215" s="693" t="s">
        <v>1656</v>
      </c>
      <c r="D215" s="2464" t="s">
        <v>5806</v>
      </c>
      <c r="E215" s="2187" t="s">
        <v>8823</v>
      </c>
      <c r="F215" s="93" t="s">
        <v>664</v>
      </c>
      <c r="G215" s="93">
        <v>5</v>
      </c>
      <c r="H215" s="50">
        <v>6</v>
      </c>
      <c r="I215" s="2143">
        <f>L215+K215+J215</f>
        <v>0.12</v>
      </c>
      <c r="J215" s="2143">
        <f t="shared" si="17"/>
        <v>0.12</v>
      </c>
      <c r="K215" s="622"/>
      <c r="L215" s="622"/>
      <c r="M215" s="622"/>
      <c r="N215" s="622"/>
      <c r="O215" s="622"/>
      <c r="P215" s="622"/>
      <c r="Q215" s="2085"/>
      <c r="R215" s="906">
        <v>0.12</v>
      </c>
      <c r="S215" s="106"/>
      <c r="T215" s="106"/>
      <c r="U215" s="106"/>
      <c r="V215" s="106"/>
      <c r="W215" s="105"/>
      <c r="X215" s="105"/>
      <c r="Y215" s="105"/>
      <c r="Z215" s="323"/>
      <c r="AB215" s="3">
        <v>1</v>
      </c>
      <c r="AE215" s="2461"/>
      <c r="AF215" s="68"/>
    </row>
    <row r="216" spans="1:32" ht="30.5" x14ac:dyDescent="0.35">
      <c r="A216" s="441">
        <v>100</v>
      </c>
      <c r="B216" s="358">
        <v>11141</v>
      </c>
      <c r="C216" s="358"/>
      <c r="D216" s="358" t="s">
        <v>3361</v>
      </c>
      <c r="E216" s="417" t="s">
        <v>3179</v>
      </c>
      <c r="F216" s="41"/>
      <c r="G216" s="50" t="s">
        <v>191</v>
      </c>
      <c r="H216" s="50" t="s">
        <v>191</v>
      </c>
      <c r="I216" s="762">
        <f>J216+K216+L216</f>
        <v>10.577999999999999</v>
      </c>
      <c r="J216" s="762">
        <f t="shared" si="17"/>
        <v>9.6579999999999995</v>
      </c>
      <c r="K216" s="762">
        <f>SUM(K217:K218)</f>
        <v>0.92</v>
      </c>
      <c r="L216" s="762"/>
      <c r="M216" s="762"/>
      <c r="N216" s="762">
        <f>SUM(N217:N218)</f>
        <v>9.6579999999999995</v>
      </c>
      <c r="O216" s="763"/>
      <c r="P216" s="762"/>
      <c r="Q216" s="1445"/>
      <c r="R216" s="1440"/>
      <c r="S216" s="49">
        <v>2</v>
      </c>
      <c r="T216" s="255">
        <v>70.7</v>
      </c>
      <c r="U216" s="49"/>
      <c r="V216" s="49"/>
      <c r="W216" s="168">
        <v>14</v>
      </c>
      <c r="X216" s="168">
        <v>201</v>
      </c>
      <c r="Y216" s="42">
        <v>4</v>
      </c>
      <c r="Z216" s="107">
        <v>40</v>
      </c>
      <c r="AB216" s="3">
        <v>1</v>
      </c>
      <c r="AE216" s="2461"/>
      <c r="AF216" s="68"/>
    </row>
    <row r="217" spans="1:32" ht="46.5" x14ac:dyDescent="0.35">
      <c r="A217" s="359"/>
      <c r="B217" s="358">
        <v>11141</v>
      </c>
      <c r="C217" s="358"/>
      <c r="D217" s="360"/>
      <c r="E217" s="442" t="s">
        <v>10008</v>
      </c>
      <c r="F217" s="41">
        <v>4</v>
      </c>
      <c r="G217" s="50">
        <v>4</v>
      </c>
      <c r="H217" s="40" t="s">
        <v>191</v>
      </c>
      <c r="I217" s="745"/>
      <c r="J217" s="745"/>
      <c r="K217" s="747">
        <v>0.92</v>
      </c>
      <c r="L217" s="745"/>
      <c r="M217" s="745"/>
      <c r="N217" s="747"/>
      <c r="O217" s="764"/>
      <c r="P217" s="745"/>
      <c r="Q217" s="1089"/>
      <c r="R217" s="1084"/>
      <c r="S217" s="40"/>
      <c r="T217" s="246"/>
      <c r="U217" s="40"/>
      <c r="V217" s="40"/>
      <c r="W217" s="166"/>
      <c r="X217" s="166"/>
      <c r="Y217" s="40"/>
      <c r="Z217" s="94"/>
      <c r="AE217" s="2461"/>
      <c r="AF217" s="68"/>
    </row>
    <row r="218" spans="1:32" x14ac:dyDescent="0.35">
      <c r="A218" s="359"/>
      <c r="B218" s="358">
        <v>11141</v>
      </c>
      <c r="C218" s="358"/>
      <c r="D218" s="360"/>
      <c r="E218" s="442" t="s">
        <v>3180</v>
      </c>
      <c r="F218" s="41">
        <v>4</v>
      </c>
      <c r="G218" s="50">
        <v>4</v>
      </c>
      <c r="H218" s="50">
        <v>6</v>
      </c>
      <c r="I218" s="765"/>
      <c r="J218" s="765"/>
      <c r="K218" s="765"/>
      <c r="L218" s="765"/>
      <c r="M218" s="765"/>
      <c r="N218" s="765">
        <f>10.578-0.92</f>
        <v>9.6579999999999995</v>
      </c>
      <c r="O218" s="766"/>
      <c r="P218" s="765"/>
      <c r="Q218" s="1448"/>
      <c r="R218" s="1443"/>
      <c r="S218" s="50"/>
      <c r="T218" s="256"/>
      <c r="U218" s="50"/>
      <c r="V218" s="50"/>
      <c r="W218" s="165"/>
      <c r="X218" s="165"/>
      <c r="Y218" s="40"/>
      <c r="Z218" s="94"/>
      <c r="AE218" s="2461"/>
      <c r="AF218" s="68"/>
    </row>
    <row r="219" spans="1:32" ht="60.5" x14ac:dyDescent="0.35">
      <c r="A219" s="349">
        <v>101</v>
      </c>
      <c r="B219" s="405">
        <v>11141</v>
      </c>
      <c r="C219" s="405" t="s">
        <v>2436</v>
      </c>
      <c r="D219" s="2464" t="s">
        <v>5807</v>
      </c>
      <c r="E219" s="417" t="s">
        <v>7394</v>
      </c>
      <c r="F219" s="40"/>
      <c r="G219" s="40" t="s">
        <v>191</v>
      </c>
      <c r="H219" s="50" t="s">
        <v>191</v>
      </c>
      <c r="I219" s="762">
        <f>J219+K219+L219</f>
        <v>0.60000000000000009</v>
      </c>
      <c r="J219" s="762">
        <f>SUM(M219:R219)</f>
        <v>0.60000000000000009</v>
      </c>
      <c r="K219" s="749"/>
      <c r="L219" s="749"/>
      <c r="M219" s="749"/>
      <c r="N219" s="749">
        <f>SUM(N220:N221)</f>
        <v>0.2</v>
      </c>
      <c r="O219" s="769"/>
      <c r="P219" s="749"/>
      <c r="Q219" s="1449">
        <f>SUM(Q220:Q221)</f>
        <v>0.4</v>
      </c>
      <c r="R219" s="869"/>
      <c r="S219" s="42"/>
      <c r="T219" s="247"/>
      <c r="U219" s="42"/>
      <c r="V219" s="42"/>
      <c r="W219" s="110"/>
      <c r="X219" s="110"/>
      <c r="Y219" s="42"/>
      <c r="Z219" s="107"/>
      <c r="AB219" s="3">
        <v>1</v>
      </c>
      <c r="AE219" s="2461"/>
      <c r="AF219" s="68"/>
    </row>
    <row r="220" spans="1:32" x14ac:dyDescent="0.35">
      <c r="A220" s="349"/>
      <c r="B220" s="405">
        <v>11141</v>
      </c>
      <c r="C220" s="405"/>
      <c r="D220" s="405"/>
      <c r="E220" s="442" t="s">
        <v>1795</v>
      </c>
      <c r="F220" s="40" t="s">
        <v>827</v>
      </c>
      <c r="G220" s="40">
        <v>5</v>
      </c>
      <c r="H220" s="50">
        <v>6</v>
      </c>
      <c r="I220" s="749"/>
      <c r="J220" s="749"/>
      <c r="K220" s="749"/>
      <c r="L220" s="749"/>
      <c r="M220" s="749"/>
      <c r="N220" s="745">
        <v>0.2</v>
      </c>
      <c r="O220" s="764"/>
      <c r="P220" s="745"/>
      <c r="Q220" s="1089"/>
      <c r="R220" s="869"/>
      <c r="S220" s="42"/>
      <c r="T220" s="247"/>
      <c r="U220" s="42"/>
      <c r="V220" s="42"/>
      <c r="W220" s="110"/>
      <c r="X220" s="110"/>
      <c r="Y220" s="42"/>
      <c r="Z220" s="107"/>
      <c r="AE220" s="2461"/>
      <c r="AF220" s="68"/>
    </row>
    <row r="221" spans="1:32" x14ac:dyDescent="0.35">
      <c r="A221" s="349"/>
      <c r="B221" s="405">
        <v>11141</v>
      </c>
      <c r="C221" s="405"/>
      <c r="D221" s="405"/>
      <c r="E221" s="884" t="s">
        <v>1900</v>
      </c>
      <c r="F221" s="40" t="s">
        <v>827</v>
      </c>
      <c r="G221" s="40">
        <v>5</v>
      </c>
      <c r="H221" s="50">
        <v>6</v>
      </c>
      <c r="I221" s="749"/>
      <c r="J221" s="749"/>
      <c r="K221" s="749"/>
      <c r="L221" s="749"/>
      <c r="M221" s="749"/>
      <c r="N221" s="745"/>
      <c r="O221" s="764"/>
      <c r="P221" s="745"/>
      <c r="Q221" s="1089">
        <v>0.4</v>
      </c>
      <c r="R221" s="869"/>
      <c r="S221" s="42"/>
      <c r="T221" s="247"/>
      <c r="U221" s="42"/>
      <c r="V221" s="42"/>
      <c r="W221" s="110"/>
      <c r="X221" s="110"/>
      <c r="Y221" s="42"/>
      <c r="Z221" s="107"/>
      <c r="AE221" s="2461"/>
      <c r="AF221" s="68"/>
    </row>
    <row r="222" spans="1:32" ht="30" x14ac:dyDescent="0.35">
      <c r="A222" s="441">
        <v>102</v>
      </c>
      <c r="B222" s="358">
        <v>11142</v>
      </c>
      <c r="C222" s="358"/>
      <c r="D222" s="358" t="s">
        <v>2634</v>
      </c>
      <c r="E222" s="417" t="s">
        <v>2346</v>
      </c>
      <c r="F222" s="41"/>
      <c r="G222" s="50" t="s">
        <v>191</v>
      </c>
      <c r="H222" s="50" t="s">
        <v>191</v>
      </c>
      <c r="I222" s="762">
        <f>J222+K222+L222</f>
        <v>21.1</v>
      </c>
      <c r="J222" s="762">
        <f>SUM(M222:R222)</f>
        <v>21.1</v>
      </c>
      <c r="K222" s="762"/>
      <c r="L222" s="762"/>
      <c r="M222" s="762"/>
      <c r="N222" s="762">
        <f>SUM(N223:N232)</f>
        <v>8.4</v>
      </c>
      <c r="O222" s="763"/>
      <c r="P222" s="762"/>
      <c r="Q222" s="1445">
        <f>SUM(Q223:Q232)</f>
        <v>12.270000000000001</v>
      </c>
      <c r="R222" s="1440">
        <f>SUM(R223:R232)</f>
        <v>0.43</v>
      </c>
      <c r="S222" s="49"/>
      <c r="T222" s="255"/>
      <c r="U222" s="49"/>
      <c r="V222" s="49"/>
      <c r="W222" s="168">
        <v>51</v>
      </c>
      <c r="X222" s="168">
        <v>823.3</v>
      </c>
      <c r="Y222" s="42">
        <v>12</v>
      </c>
      <c r="Z222" s="107">
        <v>120</v>
      </c>
      <c r="AB222" s="3">
        <v>1</v>
      </c>
      <c r="AE222" s="2461"/>
      <c r="AF222" s="68"/>
    </row>
    <row r="223" spans="1:32" x14ac:dyDescent="0.35">
      <c r="A223" s="359"/>
      <c r="B223" s="358">
        <v>11142</v>
      </c>
      <c r="C223" s="358"/>
      <c r="D223" s="360"/>
      <c r="E223" s="442" t="s">
        <v>2020</v>
      </c>
      <c r="F223" s="40">
        <v>4</v>
      </c>
      <c r="G223" s="40">
        <v>4</v>
      </c>
      <c r="H223" s="50">
        <v>6</v>
      </c>
      <c r="I223" s="745"/>
      <c r="J223" s="745"/>
      <c r="K223" s="745"/>
      <c r="L223" s="745"/>
      <c r="M223" s="745"/>
      <c r="N223" s="747">
        <v>1.5</v>
      </c>
      <c r="O223" s="764"/>
      <c r="P223" s="745"/>
      <c r="Q223" s="1089"/>
      <c r="R223" s="1084"/>
      <c r="S223" s="40"/>
      <c r="T223" s="246"/>
      <c r="U223" s="40"/>
      <c r="V223" s="40"/>
      <c r="W223" s="166"/>
      <c r="X223" s="166"/>
      <c r="Y223" s="40"/>
      <c r="Z223" s="94"/>
      <c r="AE223" s="2461"/>
      <c r="AF223" s="68"/>
    </row>
    <row r="224" spans="1:32" x14ac:dyDescent="0.35">
      <c r="A224" s="359"/>
      <c r="B224" s="358">
        <v>11142</v>
      </c>
      <c r="C224" s="358"/>
      <c r="D224" s="360"/>
      <c r="E224" s="442" t="s">
        <v>1439</v>
      </c>
      <c r="F224" s="40" t="s">
        <v>827</v>
      </c>
      <c r="G224" s="40">
        <v>4</v>
      </c>
      <c r="H224" s="50">
        <v>6</v>
      </c>
      <c r="I224" s="745"/>
      <c r="J224" s="745"/>
      <c r="K224" s="745"/>
      <c r="L224" s="745"/>
      <c r="M224" s="745"/>
      <c r="N224" s="747">
        <f>2.54-1.5</f>
        <v>1.04</v>
      </c>
      <c r="O224" s="764"/>
      <c r="P224" s="745"/>
      <c r="Q224" s="1089"/>
      <c r="R224" s="1084"/>
      <c r="S224" s="40"/>
      <c r="T224" s="246"/>
      <c r="U224" s="40"/>
      <c r="V224" s="40"/>
      <c r="W224" s="166"/>
      <c r="X224" s="166"/>
      <c r="Y224" s="40"/>
      <c r="Z224" s="94"/>
      <c r="AE224" s="2461"/>
      <c r="AF224" s="68"/>
    </row>
    <row r="225" spans="1:32" x14ac:dyDescent="0.35">
      <c r="A225" s="359"/>
      <c r="B225" s="358">
        <v>11142</v>
      </c>
      <c r="C225" s="358"/>
      <c r="D225" s="360"/>
      <c r="E225" s="884" t="s">
        <v>681</v>
      </c>
      <c r="F225" s="40">
        <v>4</v>
      </c>
      <c r="G225" s="40">
        <v>4</v>
      </c>
      <c r="H225" s="50">
        <v>6</v>
      </c>
      <c r="I225" s="745"/>
      <c r="J225" s="745"/>
      <c r="K225" s="745"/>
      <c r="L225" s="745"/>
      <c r="M225" s="745"/>
      <c r="N225" s="745"/>
      <c r="O225" s="764"/>
      <c r="P225" s="745"/>
      <c r="Q225" s="1087">
        <v>1.22</v>
      </c>
      <c r="R225" s="1084"/>
      <c r="S225" s="40"/>
      <c r="T225" s="246"/>
      <c r="U225" s="40"/>
      <c r="V225" s="40"/>
      <c r="W225" s="166"/>
      <c r="X225" s="166"/>
      <c r="Y225" s="40"/>
      <c r="Z225" s="94"/>
      <c r="AE225" s="2461"/>
      <c r="AF225" s="68"/>
    </row>
    <row r="226" spans="1:32" x14ac:dyDescent="0.35">
      <c r="A226" s="359"/>
      <c r="B226" s="358">
        <v>11142</v>
      </c>
      <c r="C226" s="358"/>
      <c r="D226" s="360"/>
      <c r="E226" s="442" t="s">
        <v>755</v>
      </c>
      <c r="F226" s="40">
        <v>4</v>
      </c>
      <c r="G226" s="40">
        <v>4</v>
      </c>
      <c r="H226" s="50">
        <v>6</v>
      </c>
      <c r="I226" s="745"/>
      <c r="J226" s="745"/>
      <c r="K226" s="745"/>
      <c r="L226" s="745"/>
      <c r="M226" s="745"/>
      <c r="N226" s="747">
        <v>3.97</v>
      </c>
      <c r="O226" s="764"/>
      <c r="P226" s="745"/>
      <c r="Q226" s="1089"/>
      <c r="R226" s="1084"/>
      <c r="S226" s="40"/>
      <c r="T226" s="246"/>
      <c r="U226" s="40"/>
      <c r="V226" s="40"/>
      <c r="W226" s="166"/>
      <c r="X226" s="166"/>
      <c r="Y226" s="40"/>
      <c r="Z226" s="94"/>
      <c r="AE226" s="2461"/>
      <c r="AF226" s="68"/>
    </row>
    <row r="227" spans="1:32" x14ac:dyDescent="0.35">
      <c r="A227" s="359"/>
      <c r="B227" s="358">
        <v>11142</v>
      </c>
      <c r="C227" s="358"/>
      <c r="D227" s="360"/>
      <c r="E227" s="884" t="s">
        <v>756</v>
      </c>
      <c r="F227" s="40">
        <v>4</v>
      </c>
      <c r="G227" s="40">
        <v>4</v>
      </c>
      <c r="H227" s="50">
        <v>6</v>
      </c>
      <c r="I227" s="745"/>
      <c r="J227" s="745"/>
      <c r="K227" s="745"/>
      <c r="L227" s="745"/>
      <c r="M227" s="745"/>
      <c r="N227" s="745"/>
      <c r="O227" s="764"/>
      <c r="P227" s="745"/>
      <c r="Q227" s="1087">
        <v>1.6</v>
      </c>
      <c r="R227" s="1084"/>
      <c r="S227" s="40"/>
      <c r="T227" s="246"/>
      <c r="U227" s="40"/>
      <c r="V227" s="40"/>
      <c r="W227" s="166"/>
      <c r="X227" s="166"/>
      <c r="Y227" s="40"/>
      <c r="Z227" s="94"/>
      <c r="AE227" s="2461"/>
      <c r="AF227" s="68"/>
    </row>
    <row r="228" spans="1:32" x14ac:dyDescent="0.35">
      <c r="A228" s="359"/>
      <c r="B228" s="358">
        <v>11142</v>
      </c>
      <c r="C228" s="358"/>
      <c r="D228" s="360"/>
      <c r="E228" s="442" t="s">
        <v>340</v>
      </c>
      <c r="F228" s="40">
        <v>4</v>
      </c>
      <c r="G228" s="40">
        <v>4</v>
      </c>
      <c r="H228" s="50">
        <v>6</v>
      </c>
      <c r="I228" s="745"/>
      <c r="J228" s="745"/>
      <c r="K228" s="745"/>
      <c r="L228" s="745"/>
      <c r="M228" s="745"/>
      <c r="N228" s="747">
        <v>1.1599999999999999</v>
      </c>
      <c r="O228" s="764"/>
      <c r="P228" s="745"/>
      <c r="Q228" s="1089"/>
      <c r="R228" s="1084"/>
      <c r="S228" s="40"/>
      <c r="T228" s="246"/>
      <c r="U228" s="40"/>
      <c r="V228" s="40"/>
      <c r="W228" s="166"/>
      <c r="X228" s="166"/>
      <c r="Y228" s="40"/>
      <c r="Z228" s="94"/>
      <c r="AE228" s="2461"/>
      <c r="AF228" s="68"/>
    </row>
    <row r="229" spans="1:32" x14ac:dyDescent="0.35">
      <c r="A229" s="359"/>
      <c r="B229" s="358">
        <v>11142</v>
      </c>
      <c r="C229" s="358"/>
      <c r="D229" s="360"/>
      <c r="E229" s="884" t="s">
        <v>344</v>
      </c>
      <c r="F229" s="40">
        <v>4</v>
      </c>
      <c r="G229" s="40">
        <v>4</v>
      </c>
      <c r="H229" s="50">
        <v>6</v>
      </c>
      <c r="I229" s="745"/>
      <c r="J229" s="745"/>
      <c r="K229" s="745"/>
      <c r="L229" s="745"/>
      <c r="M229" s="745"/>
      <c r="N229" s="745"/>
      <c r="O229" s="764"/>
      <c r="P229" s="745"/>
      <c r="Q229" s="1087">
        <v>7.69</v>
      </c>
      <c r="R229" s="1084"/>
      <c r="S229" s="40"/>
      <c r="T229" s="246"/>
      <c r="U229" s="40"/>
      <c r="V229" s="40"/>
      <c r="W229" s="166"/>
      <c r="X229" s="166"/>
      <c r="Y229" s="40"/>
      <c r="Z229" s="94"/>
      <c r="AE229" s="2461"/>
      <c r="AF229" s="68"/>
    </row>
    <row r="230" spans="1:32" x14ac:dyDescent="0.35">
      <c r="A230" s="359"/>
      <c r="B230" s="358">
        <v>11142</v>
      </c>
      <c r="C230" s="358"/>
      <c r="D230" s="360"/>
      <c r="E230" s="442" t="s">
        <v>343</v>
      </c>
      <c r="F230" s="40">
        <v>4</v>
      </c>
      <c r="G230" s="40">
        <v>4</v>
      </c>
      <c r="H230" s="50">
        <v>6</v>
      </c>
      <c r="I230" s="745"/>
      <c r="J230" s="745"/>
      <c r="K230" s="745"/>
      <c r="L230" s="745"/>
      <c r="M230" s="745"/>
      <c r="N230" s="747">
        <v>0.73</v>
      </c>
      <c r="O230" s="764"/>
      <c r="P230" s="745"/>
      <c r="Q230" s="1089"/>
      <c r="R230" s="1084"/>
      <c r="S230" s="40"/>
      <c r="T230" s="246"/>
      <c r="U230" s="40"/>
      <c r="V230" s="40"/>
      <c r="W230" s="166"/>
      <c r="X230" s="166"/>
      <c r="Y230" s="40"/>
      <c r="Z230" s="94"/>
      <c r="AE230" s="2461"/>
      <c r="AF230" s="68"/>
    </row>
    <row r="231" spans="1:32" x14ac:dyDescent="0.35">
      <c r="A231" s="359"/>
      <c r="B231" s="358">
        <v>11142</v>
      </c>
      <c r="C231" s="358"/>
      <c r="D231" s="360"/>
      <c r="E231" s="884" t="s">
        <v>342</v>
      </c>
      <c r="F231" s="40">
        <v>4</v>
      </c>
      <c r="G231" s="40">
        <v>4</v>
      </c>
      <c r="H231" s="50">
        <v>6</v>
      </c>
      <c r="I231" s="745"/>
      <c r="J231" s="745"/>
      <c r="K231" s="745"/>
      <c r="L231" s="745"/>
      <c r="M231" s="745"/>
      <c r="N231" s="745"/>
      <c r="O231" s="764"/>
      <c r="P231" s="745"/>
      <c r="Q231" s="1087">
        <v>1.76</v>
      </c>
      <c r="R231" s="1084"/>
      <c r="S231" s="40"/>
      <c r="T231" s="246"/>
      <c r="U231" s="40"/>
      <c r="V231" s="40"/>
      <c r="W231" s="166"/>
      <c r="X231" s="166"/>
      <c r="Y231" s="40"/>
      <c r="Z231" s="94"/>
      <c r="AE231" s="2461"/>
      <c r="AF231" s="68"/>
    </row>
    <row r="232" spans="1:32" x14ac:dyDescent="0.35">
      <c r="A232" s="359"/>
      <c r="B232" s="358">
        <v>11142</v>
      </c>
      <c r="C232" s="358"/>
      <c r="D232" s="360"/>
      <c r="E232" s="885" t="s">
        <v>341</v>
      </c>
      <c r="F232" s="40" t="s">
        <v>664</v>
      </c>
      <c r="G232" s="40">
        <v>4</v>
      </c>
      <c r="H232" s="50">
        <v>6</v>
      </c>
      <c r="I232" s="745"/>
      <c r="J232" s="745"/>
      <c r="K232" s="745"/>
      <c r="L232" s="745"/>
      <c r="M232" s="745"/>
      <c r="N232" s="745"/>
      <c r="O232" s="764"/>
      <c r="P232" s="745"/>
      <c r="Q232" s="1087"/>
      <c r="R232" s="1084">
        <v>0.43</v>
      </c>
      <c r="S232" s="40"/>
      <c r="T232" s="246"/>
      <c r="U232" s="40"/>
      <c r="V232" s="40"/>
      <c r="W232" s="166"/>
      <c r="X232" s="166"/>
      <c r="Y232" s="40"/>
      <c r="Z232" s="94"/>
      <c r="AE232" s="2461"/>
      <c r="AF232" s="68"/>
    </row>
    <row r="233" spans="1:32" ht="30.5" x14ac:dyDescent="0.35">
      <c r="A233" s="441">
        <v>103</v>
      </c>
      <c r="B233" s="358">
        <v>11142</v>
      </c>
      <c r="C233" s="358" t="s">
        <v>1656</v>
      </c>
      <c r="D233" s="2464" t="s">
        <v>5808</v>
      </c>
      <c r="E233" s="443" t="s">
        <v>8824</v>
      </c>
      <c r="F233" s="166" t="s">
        <v>664</v>
      </c>
      <c r="G233" s="50">
        <v>5</v>
      </c>
      <c r="H233" s="50">
        <v>6</v>
      </c>
      <c r="I233" s="297">
        <f>J233+K233+L233</f>
        <v>0.4</v>
      </c>
      <c r="J233" s="297">
        <f>SUM(M233:R233)</f>
        <v>0.4</v>
      </c>
      <c r="K233" s="745"/>
      <c r="L233" s="745"/>
      <c r="M233" s="749"/>
      <c r="N233" s="744"/>
      <c r="O233" s="769"/>
      <c r="P233" s="749"/>
      <c r="Q233" s="2393"/>
      <c r="R233" s="2394">
        <v>0.4</v>
      </c>
      <c r="S233" s="40"/>
      <c r="T233" s="246"/>
      <c r="U233" s="40"/>
      <c r="V233" s="40"/>
      <c r="W233" s="166"/>
      <c r="X233" s="166"/>
      <c r="Y233" s="40"/>
      <c r="Z233" s="94"/>
      <c r="AB233" s="3">
        <v>1</v>
      </c>
      <c r="AE233" s="2461"/>
      <c r="AF233" s="68"/>
    </row>
    <row r="234" spans="1:32" ht="30.5" x14ac:dyDescent="0.35">
      <c r="A234" s="441">
        <v>104</v>
      </c>
      <c r="B234" s="358">
        <v>11142</v>
      </c>
      <c r="C234" s="358"/>
      <c r="D234" s="2464" t="s">
        <v>5809</v>
      </c>
      <c r="E234" s="417" t="s">
        <v>10147</v>
      </c>
      <c r="F234" s="41" t="s">
        <v>827</v>
      </c>
      <c r="G234" s="50">
        <v>5</v>
      </c>
      <c r="H234" s="50">
        <v>6</v>
      </c>
      <c r="I234" s="762">
        <f>J234+K234+L234</f>
        <v>0.3</v>
      </c>
      <c r="J234" s="762">
        <f t="shared" ref="J234:J246" si="18">SUM(M234:R234)</f>
        <v>0.3</v>
      </c>
      <c r="K234" s="762"/>
      <c r="L234" s="762"/>
      <c r="M234" s="762"/>
      <c r="N234" s="762"/>
      <c r="O234" s="763"/>
      <c r="P234" s="762"/>
      <c r="Q234" s="1445">
        <v>0.3</v>
      </c>
      <c r="R234" s="1440"/>
      <c r="S234" s="49"/>
      <c r="T234" s="255"/>
      <c r="U234" s="49"/>
      <c r="V234" s="49"/>
      <c r="W234" s="168">
        <v>2</v>
      </c>
      <c r="X234" s="168">
        <v>20.100000000000001</v>
      </c>
      <c r="Y234" s="42">
        <v>1</v>
      </c>
      <c r="Z234" s="107">
        <v>10</v>
      </c>
      <c r="AB234" s="3">
        <v>1</v>
      </c>
      <c r="AE234" s="2461"/>
      <c r="AF234" s="68"/>
    </row>
    <row r="235" spans="1:32" ht="45" x14ac:dyDescent="0.35">
      <c r="A235" s="441">
        <v>105</v>
      </c>
      <c r="B235" s="693">
        <v>11142</v>
      </c>
      <c r="C235" s="693" t="s">
        <v>1656</v>
      </c>
      <c r="D235" s="2464" t="s">
        <v>5810</v>
      </c>
      <c r="E235" s="2187" t="s">
        <v>10148</v>
      </c>
      <c r="F235" s="93" t="s">
        <v>664</v>
      </c>
      <c r="G235" s="93">
        <v>5</v>
      </c>
      <c r="H235" s="50">
        <v>6</v>
      </c>
      <c r="I235" s="2143">
        <f>L235+K235+J235</f>
        <v>0.45</v>
      </c>
      <c r="J235" s="2143">
        <f t="shared" si="18"/>
        <v>0.45</v>
      </c>
      <c r="K235" s="622"/>
      <c r="L235" s="622"/>
      <c r="M235" s="622"/>
      <c r="N235" s="622"/>
      <c r="O235" s="622"/>
      <c r="P235" s="622"/>
      <c r="Q235" s="2085"/>
      <c r="R235" s="906">
        <v>0.45</v>
      </c>
      <c r="S235" s="106"/>
      <c r="T235" s="106"/>
      <c r="U235" s="106"/>
      <c r="V235" s="106"/>
      <c r="W235" s="105"/>
      <c r="X235" s="105"/>
      <c r="Y235" s="105"/>
      <c r="Z235" s="323"/>
      <c r="AB235" s="3">
        <v>1</v>
      </c>
      <c r="AE235" s="2461"/>
      <c r="AF235" s="68"/>
    </row>
    <row r="236" spans="1:32" ht="45.5" x14ac:dyDescent="0.35">
      <c r="A236" s="441">
        <v>106</v>
      </c>
      <c r="B236" s="358">
        <v>11142</v>
      </c>
      <c r="C236" s="358"/>
      <c r="D236" s="2464" t="s">
        <v>5811</v>
      </c>
      <c r="E236" s="443" t="s">
        <v>9281</v>
      </c>
      <c r="F236" s="41">
        <v>4</v>
      </c>
      <c r="G236" s="50">
        <v>4</v>
      </c>
      <c r="H236" s="50">
        <v>6</v>
      </c>
      <c r="I236" s="762">
        <f>J236+K236+L236</f>
        <v>1.28</v>
      </c>
      <c r="J236" s="762">
        <f t="shared" si="18"/>
        <v>1.28</v>
      </c>
      <c r="K236" s="762"/>
      <c r="L236" s="762"/>
      <c r="M236" s="762"/>
      <c r="N236" s="762">
        <v>1.28</v>
      </c>
      <c r="O236" s="763"/>
      <c r="P236" s="762"/>
      <c r="Q236" s="1445"/>
      <c r="R236" s="1440"/>
      <c r="S236" s="49">
        <v>1</v>
      </c>
      <c r="T236" s="255">
        <v>36.6</v>
      </c>
      <c r="U236" s="49"/>
      <c r="V236" s="49"/>
      <c r="W236" s="168">
        <v>1</v>
      </c>
      <c r="X236" s="168">
        <v>14.2</v>
      </c>
      <c r="Y236" s="42"/>
      <c r="Z236" s="107"/>
      <c r="AA236" s="3" t="s">
        <v>2211</v>
      </c>
      <c r="AB236" s="3">
        <v>1</v>
      </c>
      <c r="AE236" s="2461"/>
      <c r="AF236" s="68"/>
    </row>
    <row r="237" spans="1:32" ht="30.5" x14ac:dyDescent="0.35">
      <c r="A237" s="441">
        <v>107</v>
      </c>
      <c r="B237" s="358">
        <v>11142</v>
      </c>
      <c r="C237" s="358"/>
      <c r="D237" s="2464" t="s">
        <v>5812</v>
      </c>
      <c r="E237" s="443" t="s">
        <v>7905</v>
      </c>
      <c r="F237" s="41">
        <v>5</v>
      </c>
      <c r="G237" s="50">
        <v>5</v>
      </c>
      <c r="H237" s="50">
        <v>6</v>
      </c>
      <c r="I237" s="762">
        <f>J237+K237+L237</f>
        <v>0.7</v>
      </c>
      <c r="J237" s="762">
        <f t="shared" si="18"/>
        <v>0.7</v>
      </c>
      <c r="K237" s="762"/>
      <c r="L237" s="762"/>
      <c r="M237" s="762"/>
      <c r="N237" s="762">
        <v>0.7</v>
      </c>
      <c r="O237" s="763"/>
      <c r="P237" s="762"/>
      <c r="Q237" s="1445"/>
      <c r="R237" s="1440"/>
      <c r="S237" s="49"/>
      <c r="T237" s="255"/>
      <c r="U237" s="49"/>
      <c r="V237" s="49"/>
      <c r="W237" s="168">
        <v>2</v>
      </c>
      <c r="X237" s="168">
        <v>30.9</v>
      </c>
      <c r="Y237" s="42"/>
      <c r="Z237" s="107"/>
      <c r="AA237" s="3" t="s">
        <v>2211</v>
      </c>
      <c r="AB237" s="3">
        <v>1</v>
      </c>
      <c r="AE237" s="2461"/>
      <c r="AF237" s="68"/>
    </row>
    <row r="238" spans="1:32" ht="45" x14ac:dyDescent="0.35">
      <c r="A238" s="441">
        <v>108</v>
      </c>
      <c r="B238" s="693">
        <v>11142</v>
      </c>
      <c r="C238" s="693" t="s">
        <v>1656</v>
      </c>
      <c r="D238" s="2464" t="s">
        <v>5813</v>
      </c>
      <c r="E238" s="2187" t="s">
        <v>8825</v>
      </c>
      <c r="F238" s="93" t="s">
        <v>664</v>
      </c>
      <c r="G238" s="93">
        <v>5</v>
      </c>
      <c r="H238" s="50">
        <v>6</v>
      </c>
      <c r="I238" s="2143">
        <f>L238+K238+J238</f>
        <v>0.4</v>
      </c>
      <c r="J238" s="2143">
        <f t="shared" si="18"/>
        <v>0.4</v>
      </c>
      <c r="K238" s="622"/>
      <c r="L238" s="622"/>
      <c r="M238" s="622"/>
      <c r="N238" s="622"/>
      <c r="O238" s="622"/>
      <c r="P238" s="622"/>
      <c r="Q238" s="2085"/>
      <c r="R238" s="906">
        <v>0.4</v>
      </c>
      <c r="S238" s="106"/>
      <c r="T238" s="106"/>
      <c r="U238" s="106"/>
      <c r="V238" s="106"/>
      <c r="W238" s="105"/>
      <c r="X238" s="105"/>
      <c r="Y238" s="105"/>
      <c r="Z238" s="323"/>
      <c r="AB238" s="3">
        <v>1</v>
      </c>
      <c r="AE238" s="2461"/>
      <c r="AF238" s="68"/>
    </row>
    <row r="239" spans="1:32" ht="30.5" x14ac:dyDescent="0.35">
      <c r="A239" s="441">
        <v>109</v>
      </c>
      <c r="B239" s="358">
        <v>11142</v>
      </c>
      <c r="C239" s="358"/>
      <c r="D239" s="2464" t="s">
        <v>5814</v>
      </c>
      <c r="E239" s="443" t="s">
        <v>7906</v>
      </c>
      <c r="F239" s="41" t="s">
        <v>827</v>
      </c>
      <c r="G239" s="50">
        <v>5</v>
      </c>
      <c r="H239" s="50">
        <v>6</v>
      </c>
      <c r="I239" s="762">
        <f>J239+K239+L239</f>
        <v>0.8</v>
      </c>
      <c r="J239" s="762">
        <f t="shared" si="18"/>
        <v>0.8</v>
      </c>
      <c r="K239" s="762"/>
      <c r="L239" s="762"/>
      <c r="M239" s="762"/>
      <c r="N239" s="762"/>
      <c r="O239" s="763"/>
      <c r="P239" s="762"/>
      <c r="Q239" s="1445">
        <v>0.8</v>
      </c>
      <c r="R239" s="1440"/>
      <c r="S239" s="49"/>
      <c r="T239" s="255"/>
      <c r="U239" s="49"/>
      <c r="V239" s="49"/>
      <c r="W239" s="168">
        <v>3</v>
      </c>
      <c r="X239" s="168">
        <v>35.9</v>
      </c>
      <c r="Y239" s="42"/>
      <c r="Z239" s="107"/>
      <c r="AB239" s="3">
        <v>1</v>
      </c>
      <c r="AE239" s="2461"/>
      <c r="AF239" s="68"/>
    </row>
    <row r="240" spans="1:32" ht="45" x14ac:dyDescent="0.35">
      <c r="A240" s="441">
        <v>110</v>
      </c>
      <c r="B240" s="693">
        <v>11142</v>
      </c>
      <c r="C240" s="693" t="s">
        <v>1656</v>
      </c>
      <c r="D240" s="2464" t="s">
        <v>5815</v>
      </c>
      <c r="E240" s="2187" t="s">
        <v>8826</v>
      </c>
      <c r="F240" s="93" t="s">
        <v>664</v>
      </c>
      <c r="G240" s="93">
        <v>5</v>
      </c>
      <c r="H240" s="50">
        <v>6</v>
      </c>
      <c r="I240" s="2143">
        <f>L240+K240+J240</f>
        <v>0.5</v>
      </c>
      <c r="J240" s="2143">
        <f t="shared" si="18"/>
        <v>0.5</v>
      </c>
      <c r="K240" s="622"/>
      <c r="L240" s="622"/>
      <c r="M240" s="622"/>
      <c r="N240" s="622"/>
      <c r="O240" s="622"/>
      <c r="P240" s="622"/>
      <c r="Q240" s="2085"/>
      <c r="R240" s="906">
        <v>0.5</v>
      </c>
      <c r="S240" s="106"/>
      <c r="T240" s="106"/>
      <c r="U240" s="106"/>
      <c r="V240" s="106"/>
      <c r="W240" s="105"/>
      <c r="X240" s="105"/>
      <c r="Y240" s="105"/>
      <c r="Z240" s="323"/>
      <c r="AB240" s="3">
        <v>1</v>
      </c>
      <c r="AE240" s="2461"/>
      <c r="AF240" s="68"/>
    </row>
    <row r="241" spans="1:32" ht="30" x14ac:dyDescent="0.35">
      <c r="A241" s="441">
        <v>111</v>
      </c>
      <c r="B241" s="693">
        <v>11142</v>
      </c>
      <c r="C241" s="693" t="s">
        <v>1656</v>
      </c>
      <c r="D241" s="2464" t="s">
        <v>5816</v>
      </c>
      <c r="E241" s="2187" t="s">
        <v>10689</v>
      </c>
      <c r="F241" s="93"/>
      <c r="G241" s="93" t="s">
        <v>191</v>
      </c>
      <c r="H241" s="50" t="s">
        <v>191</v>
      </c>
      <c r="I241" s="2143">
        <f>L241+K241+J241</f>
        <v>0.68</v>
      </c>
      <c r="J241" s="2143">
        <f t="shared" si="18"/>
        <v>0.16000000000000003</v>
      </c>
      <c r="K241" s="622"/>
      <c r="L241" s="622">
        <f>SUM(L242:L243)</f>
        <v>0.52</v>
      </c>
      <c r="M241" s="622"/>
      <c r="N241" s="622"/>
      <c r="O241" s="622"/>
      <c r="P241" s="622"/>
      <c r="Q241" s="2085"/>
      <c r="R241" s="906">
        <f>SUM(R242:R243)</f>
        <v>0.16000000000000003</v>
      </c>
      <c r="S241" s="106"/>
      <c r="T241" s="106"/>
      <c r="U241" s="106"/>
      <c r="V241" s="106"/>
      <c r="W241" s="105"/>
      <c r="X241" s="105"/>
      <c r="Y241" s="105"/>
      <c r="Z241" s="323"/>
      <c r="AB241" s="3">
        <v>1</v>
      </c>
      <c r="AE241" s="2461"/>
      <c r="AF241" s="68"/>
    </row>
    <row r="242" spans="1:32" x14ac:dyDescent="0.35">
      <c r="A242" s="441"/>
      <c r="B242" s="693"/>
      <c r="C242" s="693"/>
      <c r="D242" s="2464"/>
      <c r="E242" s="2092" t="s">
        <v>7089</v>
      </c>
      <c r="F242" s="93" t="s">
        <v>664</v>
      </c>
      <c r="G242" s="93">
        <v>5</v>
      </c>
      <c r="H242" s="50" t="s">
        <v>191</v>
      </c>
      <c r="I242" s="2142"/>
      <c r="J242" s="2142"/>
      <c r="K242" s="395"/>
      <c r="L242" s="395">
        <v>0.52</v>
      </c>
      <c r="M242" s="395"/>
      <c r="N242" s="395"/>
      <c r="O242" s="395"/>
      <c r="P242" s="395"/>
      <c r="Q242" s="2086"/>
      <c r="R242" s="907"/>
      <c r="S242" s="106"/>
      <c r="T242" s="106"/>
      <c r="U242" s="106"/>
      <c r="V242" s="106"/>
      <c r="W242" s="105"/>
      <c r="X242" s="105"/>
      <c r="Y242" s="105"/>
      <c r="Z242" s="323"/>
      <c r="AE242" s="2461"/>
      <c r="AF242" s="68"/>
    </row>
    <row r="243" spans="1:32" x14ac:dyDescent="0.35">
      <c r="A243" s="441"/>
      <c r="B243" s="693"/>
      <c r="C243" s="693"/>
      <c r="D243" s="2464"/>
      <c r="E243" s="885" t="s">
        <v>7090</v>
      </c>
      <c r="F243" s="93" t="s">
        <v>664</v>
      </c>
      <c r="G243" s="93">
        <v>5</v>
      </c>
      <c r="H243" s="50">
        <v>6</v>
      </c>
      <c r="I243" s="2142"/>
      <c r="J243" s="2142"/>
      <c r="K243" s="395"/>
      <c r="L243" s="395"/>
      <c r="M243" s="395"/>
      <c r="N243" s="395"/>
      <c r="O243" s="395"/>
      <c r="P243" s="395"/>
      <c r="Q243" s="2086"/>
      <c r="R243" s="907">
        <f>0.68-0.52</f>
        <v>0.16000000000000003</v>
      </c>
      <c r="S243" s="106"/>
      <c r="T243" s="106"/>
      <c r="U243" s="106"/>
      <c r="V243" s="106"/>
      <c r="W243" s="105"/>
      <c r="X243" s="105"/>
      <c r="Y243" s="105"/>
      <c r="Z243" s="323"/>
      <c r="AE243" s="2461"/>
      <c r="AF243" s="68"/>
    </row>
    <row r="244" spans="1:32" ht="30" x14ac:dyDescent="0.35">
      <c r="A244" s="441">
        <v>112</v>
      </c>
      <c r="B244" s="693">
        <v>11142</v>
      </c>
      <c r="C244" s="693" t="s">
        <v>1656</v>
      </c>
      <c r="D244" s="2464" t="s">
        <v>5817</v>
      </c>
      <c r="E244" s="2187" t="s">
        <v>8827</v>
      </c>
      <c r="F244" s="93" t="s">
        <v>664</v>
      </c>
      <c r="G244" s="93">
        <v>5</v>
      </c>
      <c r="H244" s="50">
        <v>6</v>
      </c>
      <c r="I244" s="2143">
        <f>L244+K244+J244</f>
        <v>0.4</v>
      </c>
      <c r="J244" s="2143">
        <f t="shared" si="18"/>
        <v>0.4</v>
      </c>
      <c r="K244" s="622"/>
      <c r="L244" s="622"/>
      <c r="M244" s="622"/>
      <c r="N244" s="622"/>
      <c r="O244" s="622"/>
      <c r="P244" s="622"/>
      <c r="Q244" s="2085"/>
      <c r="R244" s="906">
        <v>0.4</v>
      </c>
      <c r="S244" s="106"/>
      <c r="T244" s="106"/>
      <c r="U244" s="106"/>
      <c r="V244" s="106"/>
      <c r="W244" s="105"/>
      <c r="X244" s="105"/>
      <c r="Y244" s="105"/>
      <c r="Z244" s="323"/>
      <c r="AB244" s="3">
        <v>1</v>
      </c>
      <c r="AE244" s="2461"/>
      <c r="AF244" s="68"/>
    </row>
    <row r="245" spans="1:32" ht="30" x14ac:dyDescent="0.35">
      <c r="A245" s="441">
        <v>113</v>
      </c>
      <c r="B245" s="693">
        <v>11142</v>
      </c>
      <c r="C245" s="693" t="s">
        <v>1656</v>
      </c>
      <c r="D245" s="2464" t="s">
        <v>5818</v>
      </c>
      <c r="E245" s="2187" t="s">
        <v>8828</v>
      </c>
      <c r="F245" s="93" t="s">
        <v>664</v>
      </c>
      <c r="G245" s="93">
        <v>5</v>
      </c>
      <c r="H245" s="50">
        <v>6</v>
      </c>
      <c r="I245" s="2143">
        <f>L245+K245+J245</f>
        <v>0.2</v>
      </c>
      <c r="J245" s="2143">
        <f t="shared" si="18"/>
        <v>0.2</v>
      </c>
      <c r="K245" s="622"/>
      <c r="L245" s="622"/>
      <c r="M245" s="622"/>
      <c r="N245" s="622"/>
      <c r="O245" s="622"/>
      <c r="P245" s="622"/>
      <c r="Q245" s="2085"/>
      <c r="R245" s="906">
        <v>0.2</v>
      </c>
      <c r="S245" s="106"/>
      <c r="T245" s="106"/>
      <c r="U245" s="106"/>
      <c r="V245" s="106"/>
      <c r="W245" s="105"/>
      <c r="X245" s="105"/>
      <c r="Y245" s="105"/>
      <c r="Z245" s="323"/>
      <c r="AB245" s="3">
        <v>1</v>
      </c>
      <c r="AE245" s="2461"/>
      <c r="AF245" s="68"/>
    </row>
    <row r="246" spans="1:32" ht="30.5" x14ac:dyDescent="0.35">
      <c r="A246" s="441">
        <v>114</v>
      </c>
      <c r="B246" s="358">
        <v>11143</v>
      </c>
      <c r="C246" s="358"/>
      <c r="D246" s="358" t="s">
        <v>1336</v>
      </c>
      <c r="E246" s="417" t="s">
        <v>1722</v>
      </c>
      <c r="F246" s="41"/>
      <c r="G246" s="50" t="s">
        <v>191</v>
      </c>
      <c r="H246" s="50" t="s">
        <v>191</v>
      </c>
      <c r="I246" s="762">
        <f>J246+K246+L246</f>
        <v>9.129999999999999</v>
      </c>
      <c r="J246" s="762">
        <f t="shared" si="18"/>
        <v>9.129999999999999</v>
      </c>
      <c r="K246" s="762"/>
      <c r="L246" s="762"/>
      <c r="M246" s="762"/>
      <c r="N246" s="762">
        <f>SUM(N247:N248)</f>
        <v>1.1200000000000001</v>
      </c>
      <c r="O246" s="763"/>
      <c r="P246" s="762"/>
      <c r="Q246" s="1445">
        <f>SUM(Q247:Q248)</f>
        <v>8.01</v>
      </c>
      <c r="R246" s="1440"/>
      <c r="S246" s="49"/>
      <c r="T246" s="255"/>
      <c r="U246" s="49"/>
      <c r="V246" s="49"/>
      <c r="W246" s="168">
        <v>16</v>
      </c>
      <c r="X246" s="168">
        <v>193.4</v>
      </c>
      <c r="Y246" s="42">
        <v>4</v>
      </c>
      <c r="Z246" s="107">
        <v>40</v>
      </c>
      <c r="AB246" s="3">
        <v>1</v>
      </c>
      <c r="AE246" s="2461"/>
      <c r="AF246" s="68"/>
    </row>
    <row r="247" spans="1:32" x14ac:dyDescent="0.35">
      <c r="A247" s="359"/>
      <c r="B247" s="358">
        <v>11143</v>
      </c>
      <c r="C247" s="358"/>
      <c r="D247" s="360"/>
      <c r="E247" s="884" t="s">
        <v>345</v>
      </c>
      <c r="F247" s="41">
        <v>4</v>
      </c>
      <c r="G247" s="50">
        <v>5</v>
      </c>
      <c r="H247" s="50">
        <v>6</v>
      </c>
      <c r="I247" s="745"/>
      <c r="J247" s="745"/>
      <c r="K247" s="745"/>
      <c r="L247" s="745"/>
      <c r="M247" s="745"/>
      <c r="N247" s="745"/>
      <c r="O247" s="764"/>
      <c r="P247" s="745"/>
      <c r="Q247" s="1448">
        <v>8.01</v>
      </c>
      <c r="R247" s="1084"/>
      <c r="S247" s="40"/>
      <c r="T247" s="246"/>
      <c r="U247" s="40"/>
      <c r="V247" s="40"/>
      <c r="W247" s="166"/>
      <c r="X247" s="166"/>
      <c r="Y247" s="40"/>
      <c r="Z247" s="94"/>
      <c r="AE247" s="2461"/>
      <c r="AF247" s="68"/>
    </row>
    <row r="248" spans="1:32" x14ac:dyDescent="0.35">
      <c r="A248" s="359"/>
      <c r="B248" s="358">
        <v>11143</v>
      </c>
      <c r="C248" s="358"/>
      <c r="D248" s="360"/>
      <c r="E248" s="442" t="s">
        <v>346</v>
      </c>
      <c r="F248" s="41">
        <v>4</v>
      </c>
      <c r="G248" s="50">
        <v>5</v>
      </c>
      <c r="H248" s="50">
        <v>6</v>
      </c>
      <c r="I248" s="745"/>
      <c r="J248" s="745"/>
      <c r="K248" s="745"/>
      <c r="L248" s="745"/>
      <c r="M248" s="745"/>
      <c r="N248" s="747">
        <v>1.1200000000000001</v>
      </c>
      <c r="O248" s="764"/>
      <c r="P248" s="745"/>
      <c r="Q248" s="1089"/>
      <c r="R248" s="1084"/>
      <c r="S248" s="40"/>
      <c r="T248" s="246"/>
      <c r="U248" s="40"/>
      <c r="V248" s="40"/>
      <c r="W248" s="166"/>
      <c r="X248" s="166"/>
      <c r="Y248" s="40"/>
      <c r="Z248" s="94"/>
      <c r="AE248" s="2461"/>
      <c r="AF248" s="68"/>
    </row>
    <row r="249" spans="1:32" ht="45" x14ac:dyDescent="0.35">
      <c r="A249" s="525">
        <v>115</v>
      </c>
      <c r="B249" s="693">
        <v>11143</v>
      </c>
      <c r="C249" s="693" t="s">
        <v>1656</v>
      </c>
      <c r="D249" s="2464" t="s">
        <v>5819</v>
      </c>
      <c r="E249" s="2187" t="s">
        <v>8829</v>
      </c>
      <c r="F249" s="93" t="s">
        <v>664</v>
      </c>
      <c r="G249" s="93">
        <v>5</v>
      </c>
      <c r="H249" s="50">
        <v>6</v>
      </c>
      <c r="I249" s="2143">
        <f>L249+K249+J249</f>
        <v>0.1</v>
      </c>
      <c r="J249" s="2143">
        <f>SUM(M249:R249)</f>
        <v>0.1</v>
      </c>
      <c r="K249" s="622"/>
      <c r="L249" s="622"/>
      <c r="M249" s="622"/>
      <c r="N249" s="622"/>
      <c r="O249" s="622"/>
      <c r="P249" s="622"/>
      <c r="Q249" s="2085"/>
      <c r="R249" s="1981">
        <v>0.1</v>
      </c>
      <c r="S249" s="1779"/>
      <c r="T249" s="1779"/>
      <c r="U249" s="1779"/>
      <c r="V249" s="1779"/>
      <c r="W249" s="1779"/>
      <c r="X249" s="1779"/>
      <c r="Y249" s="1779"/>
      <c r="Z249" s="1780"/>
      <c r="AB249" s="3">
        <v>1</v>
      </c>
      <c r="AE249" s="2461"/>
      <c r="AF249" s="68"/>
    </row>
    <row r="250" spans="1:32" ht="45" x14ac:dyDescent="0.35">
      <c r="A250" s="525">
        <v>116</v>
      </c>
      <c r="B250" s="693">
        <v>11143</v>
      </c>
      <c r="C250" s="693"/>
      <c r="D250" s="2464" t="s">
        <v>5820</v>
      </c>
      <c r="E250" s="2187" t="s">
        <v>7907</v>
      </c>
      <c r="F250" s="93" t="s">
        <v>664</v>
      </c>
      <c r="G250" s="93">
        <v>5</v>
      </c>
      <c r="H250" s="50">
        <v>6</v>
      </c>
      <c r="I250" s="2143">
        <f>L250+K250+J250</f>
        <v>0.4</v>
      </c>
      <c r="J250" s="2143">
        <f>SUM(M250:R250)</f>
        <v>0.4</v>
      </c>
      <c r="K250" s="622"/>
      <c r="L250" s="622"/>
      <c r="M250" s="622"/>
      <c r="N250" s="622"/>
      <c r="O250" s="622"/>
      <c r="P250" s="622"/>
      <c r="Q250" s="2085"/>
      <c r="R250" s="1981">
        <v>0.4</v>
      </c>
      <c r="S250" s="1779"/>
      <c r="T250" s="1779"/>
      <c r="U250" s="1779"/>
      <c r="V250" s="1779"/>
      <c r="W250" s="1779"/>
      <c r="X250" s="1779"/>
      <c r="Y250" s="1779"/>
      <c r="Z250" s="1780"/>
      <c r="AB250" s="3">
        <v>1</v>
      </c>
      <c r="AE250" s="2461"/>
      <c r="AF250" s="68"/>
    </row>
    <row r="251" spans="1:32" ht="75" x14ac:dyDescent="0.35">
      <c r="A251" s="525">
        <v>117</v>
      </c>
      <c r="B251" s="693">
        <v>11143</v>
      </c>
      <c r="C251" s="693" t="s">
        <v>1656</v>
      </c>
      <c r="D251" s="2464" t="s">
        <v>5821</v>
      </c>
      <c r="E251" s="2187" t="s">
        <v>8830</v>
      </c>
      <c r="F251" s="93" t="s">
        <v>664</v>
      </c>
      <c r="G251" s="93">
        <v>5</v>
      </c>
      <c r="H251" s="50">
        <v>6</v>
      </c>
      <c r="I251" s="2143">
        <f>L251+K251+J251</f>
        <v>0.23</v>
      </c>
      <c r="J251" s="2143">
        <f>SUM(M251:R251)</f>
        <v>0.23</v>
      </c>
      <c r="K251" s="622"/>
      <c r="L251" s="622"/>
      <c r="M251" s="622"/>
      <c r="N251" s="622"/>
      <c r="O251" s="622"/>
      <c r="P251" s="622"/>
      <c r="Q251" s="2085"/>
      <c r="R251" s="1981">
        <v>0.23</v>
      </c>
      <c r="S251" s="1779"/>
      <c r="T251" s="1779"/>
      <c r="U251" s="1779"/>
      <c r="V251" s="1779"/>
      <c r="W251" s="1779"/>
      <c r="X251" s="1779"/>
      <c r="Y251" s="1779"/>
      <c r="Z251" s="1780"/>
      <c r="AB251" s="3">
        <v>1</v>
      </c>
      <c r="AE251" s="2461"/>
      <c r="AF251" s="68"/>
    </row>
    <row r="252" spans="1:32" ht="30" x14ac:dyDescent="0.35">
      <c r="A252" s="525">
        <v>118</v>
      </c>
      <c r="B252" s="358">
        <v>11144</v>
      </c>
      <c r="C252" s="358"/>
      <c r="D252" s="358" t="s">
        <v>1312</v>
      </c>
      <c r="E252" s="417" t="s">
        <v>1796</v>
      </c>
      <c r="F252" s="41"/>
      <c r="G252" s="50" t="s">
        <v>191</v>
      </c>
      <c r="H252" s="50" t="s">
        <v>191</v>
      </c>
      <c r="I252" s="762">
        <f>J252+K252+L252</f>
        <v>5.7</v>
      </c>
      <c r="J252" s="762">
        <f>SUM(M252:R252)</f>
        <v>5.7</v>
      </c>
      <c r="K252" s="762"/>
      <c r="L252" s="762"/>
      <c r="M252" s="762"/>
      <c r="N252" s="762">
        <f>SUM(N253:N254)</f>
        <v>1.3</v>
      </c>
      <c r="O252" s="763"/>
      <c r="P252" s="762"/>
      <c r="Q252" s="1445">
        <f>SUM(Q253:Q254)</f>
        <v>4.4000000000000004</v>
      </c>
      <c r="R252" s="1440"/>
      <c r="S252" s="49"/>
      <c r="T252" s="255"/>
      <c r="U252" s="49"/>
      <c r="V252" s="49"/>
      <c r="W252" s="168">
        <v>23</v>
      </c>
      <c r="X252" s="168">
        <v>265.8</v>
      </c>
      <c r="Y252" s="42">
        <v>10</v>
      </c>
      <c r="Z252" s="107">
        <v>100</v>
      </c>
      <c r="AB252" s="3">
        <v>1</v>
      </c>
      <c r="AE252" s="2461"/>
      <c r="AF252" s="68"/>
    </row>
    <row r="253" spans="1:32" x14ac:dyDescent="0.35">
      <c r="A253" s="359"/>
      <c r="B253" s="358">
        <v>11144</v>
      </c>
      <c r="C253" s="358"/>
      <c r="D253" s="360"/>
      <c r="E253" s="884" t="s">
        <v>347</v>
      </c>
      <c r="F253" s="41">
        <v>4</v>
      </c>
      <c r="G253" s="50">
        <v>4</v>
      </c>
      <c r="H253" s="50">
        <v>6</v>
      </c>
      <c r="I253" s="745"/>
      <c r="J253" s="745"/>
      <c r="K253" s="745"/>
      <c r="L253" s="745"/>
      <c r="M253" s="745"/>
      <c r="N253" s="745"/>
      <c r="O253" s="764"/>
      <c r="P253" s="745"/>
      <c r="Q253" s="1087">
        <v>4.4000000000000004</v>
      </c>
      <c r="R253" s="1084"/>
      <c r="S253" s="40"/>
      <c r="T253" s="246"/>
      <c r="U253" s="40"/>
      <c r="V253" s="40"/>
      <c r="W253" s="166"/>
      <c r="X253" s="166"/>
      <c r="Y253" s="40"/>
      <c r="Z253" s="94"/>
      <c r="AE253" s="2461"/>
      <c r="AF253" s="68"/>
    </row>
    <row r="254" spans="1:32" x14ac:dyDescent="0.35">
      <c r="A254" s="359"/>
      <c r="B254" s="358">
        <v>11144</v>
      </c>
      <c r="C254" s="358"/>
      <c r="D254" s="360"/>
      <c r="E254" s="442" t="s">
        <v>348</v>
      </c>
      <c r="F254" s="41">
        <v>4</v>
      </c>
      <c r="G254" s="50">
        <v>4</v>
      </c>
      <c r="H254" s="50">
        <v>6</v>
      </c>
      <c r="I254" s="745"/>
      <c r="J254" s="745"/>
      <c r="K254" s="745"/>
      <c r="L254" s="745"/>
      <c r="M254" s="745"/>
      <c r="N254" s="747">
        <v>1.3</v>
      </c>
      <c r="O254" s="764"/>
      <c r="P254" s="745"/>
      <c r="Q254" s="1089"/>
      <c r="R254" s="1084"/>
      <c r="S254" s="40"/>
      <c r="T254" s="246"/>
      <c r="U254" s="40"/>
      <c r="V254" s="40"/>
      <c r="W254" s="166"/>
      <c r="X254" s="166"/>
      <c r="Y254" s="40"/>
      <c r="Z254" s="94"/>
      <c r="AE254" s="2461"/>
      <c r="AF254" s="68"/>
    </row>
    <row r="255" spans="1:32" ht="45.5" x14ac:dyDescent="0.35">
      <c r="A255" s="441">
        <v>119</v>
      </c>
      <c r="B255" s="358">
        <v>11144</v>
      </c>
      <c r="C255" s="358" t="s">
        <v>1656</v>
      </c>
      <c r="D255" s="2464" t="s">
        <v>5822</v>
      </c>
      <c r="E255" s="443" t="s">
        <v>8831</v>
      </c>
      <c r="F255" s="166" t="s">
        <v>664</v>
      </c>
      <c r="G255" s="50">
        <v>5</v>
      </c>
      <c r="H255" s="50">
        <v>6</v>
      </c>
      <c r="I255" s="297">
        <f>J255+K255+L255</f>
        <v>0.1</v>
      </c>
      <c r="J255" s="297">
        <f>SUM(M255:R255)</f>
        <v>0.1</v>
      </c>
      <c r="K255" s="745"/>
      <c r="L255" s="745"/>
      <c r="M255" s="749"/>
      <c r="N255" s="744"/>
      <c r="O255" s="769"/>
      <c r="P255" s="749"/>
      <c r="Q255" s="2393"/>
      <c r="R255" s="2394">
        <v>0.1</v>
      </c>
      <c r="S255" s="40"/>
      <c r="T255" s="246"/>
      <c r="U255" s="40"/>
      <c r="V255" s="40"/>
      <c r="W255" s="166"/>
      <c r="X255" s="166"/>
      <c r="Y255" s="40"/>
      <c r="Z255" s="94"/>
      <c r="AB255" s="3">
        <v>1</v>
      </c>
      <c r="AE255" s="2461"/>
      <c r="AF255" s="68"/>
    </row>
    <row r="256" spans="1:32" ht="45.5" x14ac:dyDescent="0.35">
      <c r="A256" s="441">
        <v>120</v>
      </c>
      <c r="B256" s="358">
        <v>11144</v>
      </c>
      <c r="C256" s="358" t="s">
        <v>1656</v>
      </c>
      <c r="D256" s="2464" t="s">
        <v>5823</v>
      </c>
      <c r="E256" s="443" t="s">
        <v>8832</v>
      </c>
      <c r="F256" s="166" t="s">
        <v>664</v>
      </c>
      <c r="G256" s="50">
        <v>5</v>
      </c>
      <c r="H256" s="50">
        <v>6</v>
      </c>
      <c r="I256" s="297">
        <f>J256+K256+L256</f>
        <v>0.4</v>
      </c>
      <c r="J256" s="297">
        <f>SUM(M256:R256)</f>
        <v>0.4</v>
      </c>
      <c r="K256" s="745"/>
      <c r="L256" s="745"/>
      <c r="M256" s="749"/>
      <c r="N256" s="749"/>
      <c r="O256" s="769"/>
      <c r="P256" s="749"/>
      <c r="Q256" s="1850"/>
      <c r="R256" s="2394">
        <v>0.4</v>
      </c>
      <c r="S256" s="40"/>
      <c r="T256" s="246"/>
      <c r="U256" s="40"/>
      <c r="V256" s="40"/>
      <c r="W256" s="166"/>
      <c r="X256" s="166"/>
      <c r="Y256" s="40"/>
      <c r="Z256" s="94"/>
      <c r="AB256" s="3">
        <v>1</v>
      </c>
      <c r="AE256" s="2461"/>
      <c r="AF256" s="68"/>
    </row>
    <row r="257" spans="1:32" ht="30" x14ac:dyDescent="0.35">
      <c r="A257" s="441">
        <v>121</v>
      </c>
      <c r="B257" s="358">
        <v>11145</v>
      </c>
      <c r="C257" s="358"/>
      <c r="D257" s="358" t="s">
        <v>1313</v>
      </c>
      <c r="E257" s="417" t="s">
        <v>266</v>
      </c>
      <c r="F257" s="41"/>
      <c r="G257" s="50" t="s">
        <v>191</v>
      </c>
      <c r="H257" s="50" t="s">
        <v>191</v>
      </c>
      <c r="I257" s="762">
        <f>J257+K257+L257</f>
        <v>4.5999999999999996</v>
      </c>
      <c r="J257" s="762">
        <f>SUM(M257:R257)</f>
        <v>4.5999999999999996</v>
      </c>
      <c r="K257" s="762"/>
      <c r="L257" s="762"/>
      <c r="M257" s="762"/>
      <c r="N257" s="762">
        <f>SUM(N258:N260)</f>
        <v>1.1739999999999995</v>
      </c>
      <c r="O257" s="763"/>
      <c r="P257" s="762"/>
      <c r="Q257" s="1445">
        <f>SUM(Q258:Q260)</f>
        <v>2.9260000000000002</v>
      </c>
      <c r="R257" s="1440">
        <f>SUM(R258:R260)</f>
        <v>0.5</v>
      </c>
      <c r="S257" s="49"/>
      <c r="T257" s="255"/>
      <c r="U257" s="49"/>
      <c r="V257" s="49"/>
      <c r="W257" s="168">
        <v>13</v>
      </c>
      <c r="X257" s="168">
        <v>170.22</v>
      </c>
      <c r="Y257" s="42">
        <v>7</v>
      </c>
      <c r="Z257" s="107">
        <v>70</v>
      </c>
      <c r="AB257" s="3">
        <v>1</v>
      </c>
      <c r="AE257" s="2461"/>
      <c r="AF257" s="68"/>
    </row>
    <row r="258" spans="1:32" x14ac:dyDescent="0.35">
      <c r="A258" s="359"/>
      <c r="B258" s="358">
        <v>11145</v>
      </c>
      <c r="C258" s="358"/>
      <c r="D258" s="360"/>
      <c r="E258" s="885" t="s">
        <v>2490</v>
      </c>
      <c r="F258" s="40" t="s">
        <v>664</v>
      </c>
      <c r="G258" s="40">
        <v>4</v>
      </c>
      <c r="H258" s="50">
        <v>6</v>
      </c>
      <c r="I258" s="745"/>
      <c r="J258" s="745"/>
      <c r="K258" s="745"/>
      <c r="L258" s="745"/>
      <c r="M258" s="745"/>
      <c r="N258" s="745"/>
      <c r="O258" s="764"/>
      <c r="P258" s="745"/>
      <c r="Q258" s="1089"/>
      <c r="R258" s="1443">
        <v>0.5</v>
      </c>
      <c r="S258" s="40"/>
      <c r="T258" s="246"/>
      <c r="U258" s="40"/>
      <c r="V258" s="40"/>
      <c r="W258" s="166"/>
      <c r="X258" s="166"/>
      <c r="Y258" s="40"/>
      <c r="Z258" s="94"/>
      <c r="AE258" s="2461"/>
      <c r="AF258" s="68"/>
    </row>
    <row r="259" spans="1:32" x14ac:dyDescent="0.35">
      <c r="A259" s="359"/>
      <c r="B259" s="358">
        <v>11145</v>
      </c>
      <c r="C259" s="358"/>
      <c r="D259" s="360"/>
      <c r="E259" s="884" t="s">
        <v>268</v>
      </c>
      <c r="F259" s="40">
        <v>4</v>
      </c>
      <c r="G259" s="40">
        <v>4</v>
      </c>
      <c r="H259" s="50">
        <v>6</v>
      </c>
      <c r="I259" s="745"/>
      <c r="J259" s="745"/>
      <c r="K259" s="745"/>
      <c r="L259" s="745"/>
      <c r="M259" s="745"/>
      <c r="N259" s="745"/>
      <c r="O259" s="764"/>
      <c r="P259" s="745"/>
      <c r="Q259" s="1087">
        <f>3.426-0.5</f>
        <v>2.9260000000000002</v>
      </c>
      <c r="R259" s="1084"/>
      <c r="S259" s="40"/>
      <c r="T259" s="246"/>
      <c r="U259" s="40"/>
      <c r="V259" s="40"/>
      <c r="W259" s="166"/>
      <c r="X259" s="166"/>
      <c r="Y259" s="40"/>
      <c r="Z259" s="94"/>
      <c r="AE259" s="2461"/>
      <c r="AF259" s="68"/>
    </row>
    <row r="260" spans="1:32" x14ac:dyDescent="0.35">
      <c r="A260" s="359"/>
      <c r="B260" s="358">
        <v>11145</v>
      </c>
      <c r="C260" s="358"/>
      <c r="D260" s="360"/>
      <c r="E260" s="442" t="s">
        <v>267</v>
      </c>
      <c r="F260" s="40">
        <v>4</v>
      </c>
      <c r="G260" s="40">
        <v>4</v>
      </c>
      <c r="H260" s="50">
        <v>6</v>
      </c>
      <c r="I260" s="745"/>
      <c r="J260" s="745"/>
      <c r="K260" s="745"/>
      <c r="L260" s="745"/>
      <c r="M260" s="745"/>
      <c r="N260" s="747">
        <f>4.6-3.426</f>
        <v>1.1739999999999995</v>
      </c>
      <c r="O260" s="764"/>
      <c r="P260" s="745"/>
      <c r="Q260" s="1089"/>
      <c r="R260" s="1084"/>
      <c r="S260" s="40"/>
      <c r="T260" s="246"/>
      <c r="U260" s="40"/>
      <c r="V260" s="40"/>
      <c r="W260" s="166"/>
      <c r="X260" s="166"/>
      <c r="Y260" s="40"/>
      <c r="Z260" s="94"/>
      <c r="AE260" s="2461"/>
      <c r="AF260" s="68"/>
    </row>
    <row r="261" spans="1:32" ht="30.5" x14ac:dyDescent="0.35">
      <c r="A261" s="441">
        <v>122</v>
      </c>
      <c r="B261" s="358">
        <v>11145</v>
      </c>
      <c r="C261" s="358" t="s">
        <v>1656</v>
      </c>
      <c r="D261" s="2464" t="s">
        <v>5824</v>
      </c>
      <c r="E261" s="443" t="s">
        <v>8833</v>
      </c>
      <c r="F261" s="166" t="s">
        <v>664</v>
      </c>
      <c r="G261" s="50">
        <v>5</v>
      </c>
      <c r="H261" s="50">
        <v>6</v>
      </c>
      <c r="I261" s="297">
        <f>J261+K261+L261</f>
        <v>0.1</v>
      </c>
      <c r="J261" s="297">
        <f>SUM(M261:R261)</f>
        <v>0.1</v>
      </c>
      <c r="K261" s="745"/>
      <c r="L261" s="747"/>
      <c r="M261" s="749"/>
      <c r="N261" s="749"/>
      <c r="O261" s="769"/>
      <c r="P261" s="749"/>
      <c r="Q261" s="2393"/>
      <c r="R261" s="2394">
        <v>0.1</v>
      </c>
      <c r="S261" s="40"/>
      <c r="T261" s="246"/>
      <c r="U261" s="40"/>
      <c r="V261" s="40"/>
      <c r="W261" s="166"/>
      <c r="X261" s="166"/>
      <c r="Y261" s="40"/>
      <c r="Z261" s="94"/>
      <c r="AB261" s="3">
        <v>1</v>
      </c>
      <c r="AE261" s="2461"/>
      <c r="AF261" s="68"/>
    </row>
    <row r="262" spans="1:32" ht="30" x14ac:dyDescent="0.35">
      <c r="A262" s="441">
        <v>123</v>
      </c>
      <c r="B262" s="358">
        <v>11146</v>
      </c>
      <c r="C262" s="358"/>
      <c r="D262" s="358" t="s">
        <v>1460</v>
      </c>
      <c r="E262" s="417" t="s">
        <v>349</v>
      </c>
      <c r="F262" s="41"/>
      <c r="G262" s="50" t="s">
        <v>191</v>
      </c>
      <c r="H262" s="50" t="s">
        <v>191</v>
      </c>
      <c r="I262" s="762">
        <f>J262+K262+L262</f>
        <v>7.65</v>
      </c>
      <c r="J262" s="762">
        <f>SUM(M262:R262)</f>
        <v>7.65</v>
      </c>
      <c r="K262" s="762"/>
      <c r="L262" s="762"/>
      <c r="M262" s="762"/>
      <c r="N262" s="762">
        <f>SUM(N263:N266)</f>
        <v>0.51</v>
      </c>
      <c r="O262" s="763"/>
      <c r="P262" s="762"/>
      <c r="Q262" s="1445">
        <f>SUM(Q263:Q266)</f>
        <v>7.1400000000000006</v>
      </c>
      <c r="R262" s="1440"/>
      <c r="S262" s="49"/>
      <c r="T262" s="255"/>
      <c r="U262" s="49"/>
      <c r="V262" s="49"/>
      <c r="W262" s="168">
        <v>12</v>
      </c>
      <c r="X262" s="168">
        <v>209.6</v>
      </c>
      <c r="Y262" s="42">
        <v>1</v>
      </c>
      <c r="Z262" s="107">
        <v>10</v>
      </c>
      <c r="AB262" s="3">
        <v>1</v>
      </c>
      <c r="AE262" s="2461"/>
      <c r="AF262" s="68"/>
    </row>
    <row r="263" spans="1:32" x14ac:dyDescent="0.35">
      <c r="A263" s="359"/>
      <c r="B263" s="358">
        <v>11146</v>
      </c>
      <c r="C263" s="358"/>
      <c r="D263" s="360"/>
      <c r="E263" s="442" t="s">
        <v>350</v>
      </c>
      <c r="F263" s="41">
        <v>4</v>
      </c>
      <c r="G263" s="50">
        <v>4</v>
      </c>
      <c r="H263" s="50">
        <v>6</v>
      </c>
      <c r="I263" s="745"/>
      <c r="J263" s="745"/>
      <c r="K263" s="745"/>
      <c r="L263" s="745"/>
      <c r="M263" s="745"/>
      <c r="N263" s="747">
        <v>0.32</v>
      </c>
      <c r="O263" s="764"/>
      <c r="P263" s="745"/>
      <c r="Q263" s="1089"/>
      <c r="R263" s="1084"/>
      <c r="S263" s="40"/>
      <c r="T263" s="246"/>
      <c r="U263" s="40"/>
      <c r="V263" s="40"/>
      <c r="W263" s="166"/>
      <c r="X263" s="166"/>
      <c r="Y263" s="40"/>
      <c r="Z263" s="94"/>
      <c r="AE263" s="2461"/>
      <c r="AF263" s="68"/>
    </row>
    <row r="264" spans="1:32" x14ac:dyDescent="0.35">
      <c r="A264" s="359"/>
      <c r="B264" s="358">
        <v>11146</v>
      </c>
      <c r="C264" s="358"/>
      <c r="D264" s="360"/>
      <c r="E264" s="884" t="s">
        <v>1958</v>
      </c>
      <c r="F264" s="41">
        <v>4</v>
      </c>
      <c r="G264" s="50">
        <v>4</v>
      </c>
      <c r="H264" s="50">
        <v>6</v>
      </c>
      <c r="I264" s="745"/>
      <c r="J264" s="745"/>
      <c r="K264" s="745"/>
      <c r="L264" s="745"/>
      <c r="M264" s="745"/>
      <c r="N264" s="745"/>
      <c r="O264" s="764"/>
      <c r="P264" s="745"/>
      <c r="Q264" s="1087">
        <v>2.64</v>
      </c>
      <c r="R264" s="1084"/>
      <c r="S264" s="40"/>
      <c r="T264" s="246"/>
      <c r="U264" s="40"/>
      <c r="V264" s="40"/>
      <c r="W264" s="166"/>
      <c r="X264" s="166"/>
      <c r="Y264" s="40"/>
      <c r="Z264" s="94"/>
      <c r="AE264" s="2461"/>
      <c r="AF264" s="68"/>
    </row>
    <row r="265" spans="1:32" x14ac:dyDescent="0.35">
      <c r="A265" s="359"/>
      <c r="B265" s="358">
        <v>11146</v>
      </c>
      <c r="C265" s="358"/>
      <c r="D265" s="360"/>
      <c r="E265" s="442" t="s">
        <v>1959</v>
      </c>
      <c r="F265" s="41">
        <v>4</v>
      </c>
      <c r="G265" s="50">
        <v>4</v>
      </c>
      <c r="H265" s="50">
        <v>6</v>
      </c>
      <c r="I265" s="745"/>
      <c r="J265" s="745"/>
      <c r="K265" s="745"/>
      <c r="L265" s="745"/>
      <c r="M265" s="745"/>
      <c r="N265" s="747">
        <v>0.19</v>
      </c>
      <c r="O265" s="764"/>
      <c r="P265" s="745"/>
      <c r="Q265" s="1089"/>
      <c r="R265" s="1084"/>
      <c r="S265" s="40"/>
      <c r="T265" s="246"/>
      <c r="U265" s="40"/>
      <c r="V265" s="40"/>
      <c r="W265" s="166"/>
      <c r="X265" s="166"/>
      <c r="Y265" s="40"/>
      <c r="Z265" s="94"/>
      <c r="AE265" s="2461"/>
      <c r="AF265" s="68"/>
    </row>
    <row r="266" spans="1:32" x14ac:dyDescent="0.35">
      <c r="A266" s="359"/>
      <c r="B266" s="358">
        <v>11146</v>
      </c>
      <c r="C266" s="358"/>
      <c r="D266" s="360"/>
      <c r="E266" s="884" t="s">
        <v>1960</v>
      </c>
      <c r="F266" s="41">
        <v>4</v>
      </c>
      <c r="G266" s="50">
        <v>4</v>
      </c>
      <c r="H266" s="50">
        <v>6</v>
      </c>
      <c r="I266" s="745"/>
      <c r="J266" s="745"/>
      <c r="K266" s="745"/>
      <c r="L266" s="745"/>
      <c r="M266" s="745"/>
      <c r="N266" s="745"/>
      <c r="O266" s="764"/>
      <c r="P266" s="745"/>
      <c r="Q266" s="1087">
        <v>4.5</v>
      </c>
      <c r="R266" s="1084"/>
      <c r="S266" s="40"/>
      <c r="T266" s="246"/>
      <c r="U266" s="40"/>
      <c r="V266" s="40"/>
      <c r="W266" s="166"/>
      <c r="X266" s="166"/>
      <c r="Y266" s="40"/>
      <c r="Z266" s="94"/>
      <c r="AE266" s="2461"/>
      <c r="AF266" s="68"/>
    </row>
    <row r="267" spans="1:32" ht="30.5" x14ac:dyDescent="0.35">
      <c r="A267" s="441">
        <v>124</v>
      </c>
      <c r="B267" s="358">
        <v>11146</v>
      </c>
      <c r="C267" s="358"/>
      <c r="D267" s="2464" t="s">
        <v>5825</v>
      </c>
      <c r="E267" s="417" t="s">
        <v>7908</v>
      </c>
      <c r="F267" s="41" t="s">
        <v>827</v>
      </c>
      <c r="G267" s="50">
        <v>5</v>
      </c>
      <c r="H267" s="50">
        <v>6</v>
      </c>
      <c r="I267" s="762">
        <f>J267+K267+L267</f>
        <v>0.65</v>
      </c>
      <c r="J267" s="762">
        <f>SUM(M267:R267)</f>
        <v>0.65</v>
      </c>
      <c r="K267" s="762"/>
      <c r="L267" s="762"/>
      <c r="M267" s="762"/>
      <c r="N267" s="762"/>
      <c r="O267" s="763"/>
      <c r="P267" s="762"/>
      <c r="Q267" s="1445">
        <v>0.65</v>
      </c>
      <c r="R267" s="1440"/>
      <c r="S267" s="49"/>
      <c r="T267" s="255"/>
      <c r="U267" s="49"/>
      <c r="V267" s="49"/>
      <c r="W267" s="168">
        <v>2</v>
      </c>
      <c r="X267" s="168">
        <v>16.8</v>
      </c>
      <c r="Y267" s="42"/>
      <c r="Z267" s="107"/>
      <c r="AB267" s="3">
        <v>1</v>
      </c>
      <c r="AE267" s="2461"/>
      <c r="AF267" s="68"/>
    </row>
    <row r="268" spans="1:32" ht="30" x14ac:dyDescent="0.35">
      <c r="A268" s="525">
        <v>125</v>
      </c>
      <c r="B268" s="693">
        <v>11146</v>
      </c>
      <c r="C268" s="693" t="s">
        <v>1656</v>
      </c>
      <c r="D268" s="2464" t="s">
        <v>5826</v>
      </c>
      <c r="E268" s="2187" t="s">
        <v>8834</v>
      </c>
      <c r="F268" s="93" t="s">
        <v>664</v>
      </c>
      <c r="G268" s="93">
        <v>5</v>
      </c>
      <c r="H268" s="50">
        <v>6</v>
      </c>
      <c r="I268" s="2143">
        <f>L268+K268+J268</f>
        <v>0.25</v>
      </c>
      <c r="J268" s="2143">
        <f>SUM(M268:R268)</f>
        <v>0.25</v>
      </c>
      <c r="K268" s="622"/>
      <c r="L268" s="622"/>
      <c r="M268" s="622"/>
      <c r="N268" s="622"/>
      <c r="O268" s="622"/>
      <c r="P268" s="622"/>
      <c r="Q268" s="2085"/>
      <c r="R268" s="906">
        <v>0.25</v>
      </c>
      <c r="S268" s="106"/>
      <c r="T268" s="106"/>
      <c r="U268" s="106"/>
      <c r="V268" s="106"/>
      <c r="W268" s="105"/>
      <c r="X268" s="105"/>
      <c r="Y268" s="105"/>
      <c r="Z268" s="323"/>
      <c r="AB268" s="3">
        <v>1</v>
      </c>
      <c r="AE268" s="2461"/>
      <c r="AF268" s="68"/>
    </row>
    <row r="269" spans="1:32" ht="30" x14ac:dyDescent="0.35">
      <c r="A269" s="441">
        <v>126</v>
      </c>
      <c r="B269" s="358">
        <v>11147</v>
      </c>
      <c r="C269" s="358"/>
      <c r="D269" s="358" t="s">
        <v>1087</v>
      </c>
      <c r="E269" s="417" t="s">
        <v>2047</v>
      </c>
      <c r="F269" s="41"/>
      <c r="G269" s="50" t="s">
        <v>191</v>
      </c>
      <c r="H269" s="50" t="s">
        <v>191</v>
      </c>
      <c r="I269" s="762">
        <f>J269+K269+L269</f>
        <v>2.4</v>
      </c>
      <c r="J269" s="762">
        <f>SUM(M269:R269)</f>
        <v>2.4</v>
      </c>
      <c r="K269" s="762"/>
      <c r="L269" s="762"/>
      <c r="M269" s="762"/>
      <c r="N269" s="762">
        <f>SUM(N270:N272)</f>
        <v>0.6</v>
      </c>
      <c r="O269" s="763"/>
      <c r="P269" s="762"/>
      <c r="Q269" s="1445">
        <f>SUM(Q270:Q272)</f>
        <v>1.7999999999999998</v>
      </c>
      <c r="R269" s="1440"/>
      <c r="S269" s="49"/>
      <c r="T269" s="255"/>
      <c r="U269" s="49"/>
      <c r="V269" s="49"/>
      <c r="W269" s="168">
        <v>2</v>
      </c>
      <c r="X269" s="168">
        <v>30.7</v>
      </c>
      <c r="Y269" s="42"/>
      <c r="Z269" s="107"/>
      <c r="AB269" s="3">
        <v>1</v>
      </c>
      <c r="AE269" s="2461"/>
      <c r="AF269" s="68"/>
    </row>
    <row r="270" spans="1:32" x14ac:dyDescent="0.35">
      <c r="A270" s="359"/>
      <c r="B270" s="358">
        <v>11147</v>
      </c>
      <c r="C270" s="358"/>
      <c r="D270" s="360"/>
      <c r="E270" s="884" t="s">
        <v>1074</v>
      </c>
      <c r="F270" s="41">
        <v>5</v>
      </c>
      <c r="G270" s="50">
        <v>5</v>
      </c>
      <c r="H270" s="50">
        <v>6</v>
      </c>
      <c r="I270" s="745"/>
      <c r="J270" s="745"/>
      <c r="K270" s="745"/>
      <c r="L270" s="745"/>
      <c r="M270" s="745"/>
      <c r="N270" s="745"/>
      <c r="O270" s="764"/>
      <c r="P270" s="745"/>
      <c r="Q270" s="1087">
        <v>0.4</v>
      </c>
      <c r="R270" s="1084"/>
      <c r="S270" s="40"/>
      <c r="T270" s="246"/>
      <c r="U270" s="40"/>
      <c r="V270" s="40"/>
      <c r="W270" s="166"/>
      <c r="X270" s="166"/>
      <c r="Y270" s="40"/>
      <c r="Z270" s="94"/>
      <c r="AE270" s="2461"/>
      <c r="AF270" s="68"/>
    </row>
    <row r="271" spans="1:32" x14ac:dyDescent="0.35">
      <c r="A271" s="359"/>
      <c r="B271" s="358"/>
      <c r="C271" s="358"/>
      <c r="D271" s="360"/>
      <c r="E271" s="442" t="s">
        <v>10435</v>
      </c>
      <c r="F271" s="41">
        <v>5</v>
      </c>
      <c r="G271" s="50">
        <v>5</v>
      </c>
      <c r="H271" s="50">
        <v>6</v>
      </c>
      <c r="I271" s="745"/>
      <c r="J271" s="745"/>
      <c r="K271" s="745"/>
      <c r="L271" s="745"/>
      <c r="M271" s="745"/>
      <c r="N271" s="2750">
        <f>1-0.4</f>
        <v>0.6</v>
      </c>
      <c r="O271" s="764"/>
      <c r="P271" s="745"/>
      <c r="Q271" s="1087"/>
      <c r="R271" s="1084"/>
      <c r="S271" s="40"/>
      <c r="T271" s="246"/>
      <c r="U271" s="40"/>
      <c r="V271" s="40"/>
      <c r="W271" s="166"/>
      <c r="X271" s="166"/>
      <c r="Y271" s="40"/>
      <c r="Z271" s="94"/>
      <c r="AE271" s="2461"/>
      <c r="AF271" s="68"/>
    </row>
    <row r="272" spans="1:32" x14ac:dyDescent="0.35">
      <c r="A272" s="359"/>
      <c r="B272" s="358">
        <v>11147</v>
      </c>
      <c r="C272" s="358"/>
      <c r="D272" s="360"/>
      <c r="E272" s="884" t="s">
        <v>10436</v>
      </c>
      <c r="F272" s="41">
        <v>5</v>
      </c>
      <c r="G272" s="50">
        <v>5</v>
      </c>
      <c r="H272" s="50">
        <v>6</v>
      </c>
      <c r="I272" s="745"/>
      <c r="J272" s="745"/>
      <c r="K272" s="745"/>
      <c r="L272" s="745"/>
      <c r="M272" s="745"/>
      <c r="N272" s="2751"/>
      <c r="O272" s="764"/>
      <c r="P272" s="745"/>
      <c r="Q272" s="1089">
        <f>2.4-1</f>
        <v>1.4</v>
      </c>
      <c r="R272" s="1084"/>
      <c r="S272" s="40"/>
      <c r="T272" s="246"/>
      <c r="U272" s="40"/>
      <c r="V272" s="40"/>
      <c r="W272" s="166"/>
      <c r="X272" s="166"/>
      <c r="Y272" s="40"/>
      <c r="Z272" s="94"/>
      <c r="AE272" s="2461"/>
      <c r="AF272" s="68"/>
    </row>
    <row r="273" spans="1:32" ht="30" x14ac:dyDescent="0.35">
      <c r="A273" s="441">
        <v>127</v>
      </c>
      <c r="B273" s="358">
        <v>11148</v>
      </c>
      <c r="C273" s="358"/>
      <c r="D273" s="358" t="s">
        <v>2633</v>
      </c>
      <c r="E273" s="417" t="s">
        <v>7104</v>
      </c>
      <c r="F273" s="41"/>
      <c r="G273" s="50" t="s">
        <v>191</v>
      </c>
      <c r="H273" s="50" t="s">
        <v>191</v>
      </c>
      <c r="I273" s="762">
        <f>J273+K273+L273</f>
        <v>5.3999999999999995</v>
      </c>
      <c r="J273" s="762">
        <f>SUM(M273:R273)</f>
        <v>5.3999999999999995</v>
      </c>
      <c r="K273" s="762"/>
      <c r="L273" s="762"/>
      <c r="M273" s="762"/>
      <c r="N273" s="2752">
        <f>SUM(N274:N277)</f>
        <v>1.5200000000000002</v>
      </c>
      <c r="O273" s="763"/>
      <c r="P273" s="762"/>
      <c r="Q273" s="1445">
        <f>SUM(Q274:Q277)</f>
        <v>3.8799999999999994</v>
      </c>
      <c r="R273" s="1440"/>
      <c r="S273" s="49"/>
      <c r="T273" s="255"/>
      <c r="U273" s="49"/>
      <c r="V273" s="49"/>
      <c r="W273" s="168">
        <v>9</v>
      </c>
      <c r="X273" s="168">
        <v>124.8</v>
      </c>
      <c r="Y273" s="42">
        <v>1</v>
      </c>
      <c r="Z273" s="107">
        <v>10</v>
      </c>
      <c r="AB273" s="3">
        <v>1</v>
      </c>
      <c r="AE273" s="2461"/>
      <c r="AF273" s="68"/>
    </row>
    <row r="274" spans="1:32" x14ac:dyDescent="0.35">
      <c r="A274" s="359"/>
      <c r="B274" s="358">
        <v>11148</v>
      </c>
      <c r="C274" s="358"/>
      <c r="D274" s="360"/>
      <c r="E274" s="444" t="s">
        <v>1966</v>
      </c>
      <c r="F274" s="41">
        <v>5</v>
      </c>
      <c r="G274" s="50">
        <v>5</v>
      </c>
      <c r="H274" s="50">
        <v>6</v>
      </c>
      <c r="I274" s="745"/>
      <c r="J274" s="745"/>
      <c r="K274" s="745"/>
      <c r="L274" s="745"/>
      <c r="M274" s="745"/>
      <c r="N274" s="2751">
        <v>0.8</v>
      </c>
      <c r="O274" s="764"/>
      <c r="P274" s="745"/>
      <c r="Q274" s="1089"/>
      <c r="R274" s="1084"/>
      <c r="S274" s="40"/>
      <c r="T274" s="246"/>
      <c r="U274" s="40"/>
      <c r="V274" s="40"/>
      <c r="W274" s="166"/>
      <c r="X274" s="166"/>
      <c r="Y274" s="40"/>
      <c r="Z274" s="94"/>
      <c r="AE274" s="2461"/>
      <c r="AF274" s="68"/>
    </row>
    <row r="275" spans="1:32" x14ac:dyDescent="0.35">
      <c r="A275" s="359"/>
      <c r="B275" s="358"/>
      <c r="C275" s="358"/>
      <c r="D275" s="360"/>
      <c r="E275" s="884" t="s">
        <v>10758</v>
      </c>
      <c r="F275" s="41">
        <v>5</v>
      </c>
      <c r="G275" s="50">
        <v>5</v>
      </c>
      <c r="H275" s="50">
        <v>6</v>
      </c>
      <c r="I275" s="745"/>
      <c r="J275" s="745"/>
      <c r="K275" s="745"/>
      <c r="L275" s="745"/>
      <c r="M275" s="745"/>
      <c r="N275" s="2751"/>
      <c r="O275" s="764"/>
      <c r="P275" s="745"/>
      <c r="Q275" s="1089">
        <f>3.28-0.8</f>
        <v>2.4799999999999995</v>
      </c>
      <c r="R275" s="1084"/>
      <c r="S275" s="40"/>
      <c r="T275" s="246"/>
      <c r="U275" s="40"/>
      <c r="V275" s="40"/>
      <c r="W275" s="166"/>
      <c r="X275" s="166"/>
      <c r="Y275" s="40"/>
      <c r="Z275" s="94"/>
      <c r="AE275" s="2461"/>
      <c r="AF275" s="68"/>
    </row>
    <row r="276" spans="1:32" x14ac:dyDescent="0.35">
      <c r="A276" s="359"/>
      <c r="B276" s="358"/>
      <c r="C276" s="358"/>
      <c r="D276" s="360"/>
      <c r="E276" s="444" t="s">
        <v>11017</v>
      </c>
      <c r="F276" s="41">
        <v>5</v>
      </c>
      <c r="G276" s="50">
        <v>5</v>
      </c>
      <c r="H276" s="50">
        <v>6</v>
      </c>
      <c r="I276" s="745"/>
      <c r="J276" s="745"/>
      <c r="K276" s="745"/>
      <c r="L276" s="745"/>
      <c r="M276" s="745"/>
      <c r="N276" s="2751">
        <f>4-3.28</f>
        <v>0.7200000000000002</v>
      </c>
      <c r="O276" s="764"/>
      <c r="P276" s="745"/>
      <c r="Q276" s="1089"/>
      <c r="R276" s="1084"/>
      <c r="S276" s="40"/>
      <c r="T276" s="246"/>
      <c r="U276" s="40"/>
      <c r="V276" s="40"/>
      <c r="W276" s="166"/>
      <c r="X276" s="166"/>
      <c r="Y276" s="40"/>
      <c r="Z276" s="94"/>
      <c r="AE276" s="2461"/>
      <c r="AF276" s="68"/>
    </row>
    <row r="277" spans="1:32" x14ac:dyDescent="0.35">
      <c r="A277" s="359"/>
      <c r="B277" s="358">
        <v>11148</v>
      </c>
      <c r="C277" s="358"/>
      <c r="D277" s="360"/>
      <c r="E277" s="884" t="s">
        <v>379</v>
      </c>
      <c r="F277" s="41">
        <v>5</v>
      </c>
      <c r="G277" s="50">
        <v>5</v>
      </c>
      <c r="H277" s="50">
        <v>6</v>
      </c>
      <c r="I277" s="745"/>
      <c r="J277" s="745"/>
      <c r="K277" s="745"/>
      <c r="L277" s="745"/>
      <c r="M277" s="745"/>
      <c r="N277" s="745"/>
      <c r="O277" s="764"/>
      <c r="P277" s="745"/>
      <c r="Q277" s="1087">
        <v>1.4</v>
      </c>
      <c r="R277" s="1084"/>
      <c r="S277" s="40"/>
      <c r="T277" s="246"/>
      <c r="U277" s="40"/>
      <c r="V277" s="40"/>
      <c r="W277" s="166"/>
      <c r="X277" s="166"/>
      <c r="Y277" s="40"/>
      <c r="Z277" s="94"/>
      <c r="AE277" s="2461"/>
      <c r="AF277" s="68"/>
    </row>
    <row r="278" spans="1:32" ht="30" x14ac:dyDescent="0.35">
      <c r="A278" s="525">
        <v>128</v>
      </c>
      <c r="B278" s="693">
        <v>11148</v>
      </c>
      <c r="C278" s="693" t="s">
        <v>1656</v>
      </c>
      <c r="D278" s="2464" t="s">
        <v>5827</v>
      </c>
      <c r="E278" s="2187" t="s">
        <v>9282</v>
      </c>
      <c r="F278" s="93" t="s">
        <v>1490</v>
      </c>
      <c r="G278" s="93">
        <v>5</v>
      </c>
      <c r="H278" s="50">
        <v>6</v>
      </c>
      <c r="I278" s="2143">
        <f>L278+K278+J278</f>
        <v>0.5</v>
      </c>
      <c r="J278" s="2143">
        <f>SUM(M278:R278)</f>
        <v>0.5</v>
      </c>
      <c r="K278" s="622"/>
      <c r="L278" s="622"/>
      <c r="M278" s="622"/>
      <c r="N278" s="622"/>
      <c r="O278" s="622"/>
      <c r="P278" s="622"/>
      <c r="Q278" s="2085">
        <v>0.5</v>
      </c>
      <c r="R278" s="906"/>
      <c r="S278" s="106"/>
      <c r="T278" s="106"/>
      <c r="U278" s="106"/>
      <c r="V278" s="106"/>
      <c r="W278" s="105"/>
      <c r="X278" s="105"/>
      <c r="Y278" s="105"/>
      <c r="Z278" s="323"/>
      <c r="AB278" s="3">
        <v>1</v>
      </c>
      <c r="AE278" s="2461"/>
      <c r="AF278" s="68"/>
    </row>
    <row r="279" spans="1:32" ht="30" x14ac:dyDescent="0.35">
      <c r="A279" s="525">
        <v>129</v>
      </c>
      <c r="B279" s="693">
        <v>11148</v>
      </c>
      <c r="C279" s="693" t="s">
        <v>1656</v>
      </c>
      <c r="D279" s="2464" t="s">
        <v>5828</v>
      </c>
      <c r="E279" s="2187" t="s">
        <v>8835</v>
      </c>
      <c r="F279" s="93" t="s">
        <v>664</v>
      </c>
      <c r="G279" s="93">
        <v>5</v>
      </c>
      <c r="H279" s="50">
        <v>6</v>
      </c>
      <c r="I279" s="2143">
        <f>L279+K279+J279</f>
        <v>1.8</v>
      </c>
      <c r="J279" s="2143">
        <f>SUM(M279:R279)</f>
        <v>1.8</v>
      </c>
      <c r="K279" s="622"/>
      <c r="L279" s="622"/>
      <c r="M279" s="622"/>
      <c r="N279" s="622"/>
      <c r="O279" s="622"/>
      <c r="P279" s="622"/>
      <c r="Q279" s="2085"/>
      <c r="R279" s="1981">
        <v>1.8</v>
      </c>
      <c r="S279" s="1779"/>
      <c r="T279" s="1779"/>
      <c r="U279" s="1779"/>
      <c r="V279" s="1779"/>
      <c r="W279" s="1779"/>
      <c r="X279" s="1779"/>
      <c r="Y279" s="1779"/>
      <c r="Z279" s="1780"/>
      <c r="AB279" s="3">
        <v>1</v>
      </c>
      <c r="AE279" s="2461"/>
      <c r="AF279" s="68"/>
    </row>
    <row r="280" spans="1:32" ht="30" x14ac:dyDescent="0.35">
      <c r="A280" s="525">
        <v>130</v>
      </c>
      <c r="B280" s="693">
        <v>11148</v>
      </c>
      <c r="C280" s="693" t="s">
        <v>1656</v>
      </c>
      <c r="D280" s="2464" t="s">
        <v>5829</v>
      </c>
      <c r="E280" s="2187" t="s">
        <v>10149</v>
      </c>
      <c r="F280" s="93" t="s">
        <v>664</v>
      </c>
      <c r="G280" s="93">
        <v>5</v>
      </c>
      <c r="H280" s="50">
        <v>6</v>
      </c>
      <c r="I280" s="2143">
        <f>L280+K280+J280</f>
        <v>0.82</v>
      </c>
      <c r="J280" s="2143">
        <f>SUM(M280:R280)</f>
        <v>0.82</v>
      </c>
      <c r="K280" s="622"/>
      <c r="L280" s="622"/>
      <c r="M280" s="622"/>
      <c r="N280" s="622"/>
      <c r="O280" s="622"/>
      <c r="P280" s="622"/>
      <c r="Q280" s="2085"/>
      <c r="R280" s="1981">
        <v>0.82</v>
      </c>
      <c r="S280" s="1779"/>
      <c r="T280" s="1779"/>
      <c r="U280" s="1779"/>
      <c r="V280" s="1779"/>
      <c r="W280" s="1779"/>
      <c r="X280" s="1779"/>
      <c r="Y280" s="1779"/>
      <c r="Z280" s="1780"/>
      <c r="AB280" s="3">
        <v>1</v>
      </c>
      <c r="AE280" s="2461"/>
      <c r="AF280" s="68"/>
    </row>
    <row r="281" spans="1:32" ht="30.5" x14ac:dyDescent="0.35">
      <c r="A281" s="525">
        <v>131</v>
      </c>
      <c r="B281" s="358">
        <v>11149</v>
      </c>
      <c r="C281" s="358"/>
      <c r="D281" s="358" t="s">
        <v>221</v>
      </c>
      <c r="E281" s="417" t="s">
        <v>10150</v>
      </c>
      <c r="F281" s="41"/>
      <c r="G281" s="50" t="s">
        <v>191</v>
      </c>
      <c r="H281" s="50" t="s">
        <v>191</v>
      </c>
      <c r="I281" s="762">
        <f>J281+K281+L281</f>
        <v>16.250000000000004</v>
      </c>
      <c r="J281" s="762">
        <f>SUM(M281:R281)</f>
        <v>16.250000000000004</v>
      </c>
      <c r="K281" s="762"/>
      <c r="L281" s="762"/>
      <c r="M281" s="762"/>
      <c r="N281" s="762">
        <f>SUM(N282:N286)</f>
        <v>0.15</v>
      </c>
      <c r="O281" s="763"/>
      <c r="P281" s="762"/>
      <c r="Q281" s="1445">
        <f>SUM(Q282:Q286)</f>
        <v>12.360000000000003</v>
      </c>
      <c r="R281" s="1440">
        <f>SUM(R282:R286)</f>
        <v>3.7399999999999993</v>
      </c>
      <c r="S281" s="49"/>
      <c r="T281" s="255"/>
      <c r="U281" s="49"/>
      <c r="V281" s="49"/>
      <c r="W281" s="168">
        <v>16</v>
      </c>
      <c r="X281" s="168">
        <v>232.8</v>
      </c>
      <c r="Y281" s="42">
        <v>3</v>
      </c>
      <c r="Z281" s="107">
        <v>28</v>
      </c>
      <c r="AB281" s="3">
        <v>1</v>
      </c>
      <c r="AE281" s="2461"/>
      <c r="AF281" s="68"/>
    </row>
    <row r="282" spans="1:32" x14ac:dyDescent="0.35">
      <c r="A282" s="359"/>
      <c r="B282" s="358">
        <v>11149</v>
      </c>
      <c r="C282" s="358"/>
      <c r="D282" s="360"/>
      <c r="E282" s="884" t="s">
        <v>3152</v>
      </c>
      <c r="F282" s="40">
        <v>4</v>
      </c>
      <c r="G282" s="40">
        <v>5</v>
      </c>
      <c r="H282" s="50">
        <v>6</v>
      </c>
      <c r="I282" s="745"/>
      <c r="J282" s="745"/>
      <c r="K282" s="745"/>
      <c r="L282" s="745"/>
      <c r="M282" s="745"/>
      <c r="N282" s="745"/>
      <c r="O282" s="764"/>
      <c r="P282" s="745"/>
      <c r="Q282" s="1087">
        <v>7.36</v>
      </c>
      <c r="R282" s="1084"/>
      <c r="S282" s="40"/>
      <c r="T282" s="246"/>
      <c r="U282" s="40"/>
      <c r="V282" s="40"/>
      <c r="W282" s="166"/>
      <c r="X282" s="166"/>
      <c r="Y282" s="40"/>
      <c r="Z282" s="94"/>
      <c r="AE282" s="2461"/>
      <c r="AF282" s="68"/>
    </row>
    <row r="283" spans="1:32" x14ac:dyDescent="0.35">
      <c r="A283" s="359"/>
      <c r="B283" s="358">
        <v>11149</v>
      </c>
      <c r="C283" s="358"/>
      <c r="D283" s="360"/>
      <c r="E283" s="885" t="s">
        <v>3290</v>
      </c>
      <c r="F283" s="40" t="s">
        <v>664</v>
      </c>
      <c r="G283" s="40">
        <v>5</v>
      </c>
      <c r="H283" s="50">
        <v>6</v>
      </c>
      <c r="I283" s="745"/>
      <c r="J283" s="745"/>
      <c r="K283" s="745"/>
      <c r="L283" s="745"/>
      <c r="M283" s="745"/>
      <c r="N283" s="745"/>
      <c r="O283" s="764"/>
      <c r="P283" s="745"/>
      <c r="Q283" s="1089"/>
      <c r="R283" s="1082">
        <f>9.15-7.36</f>
        <v>1.79</v>
      </c>
      <c r="S283" s="40"/>
      <c r="T283" s="246"/>
      <c r="U283" s="40"/>
      <c r="V283" s="40"/>
      <c r="W283" s="166"/>
      <c r="X283" s="166"/>
      <c r="Y283" s="40"/>
      <c r="Z283" s="94"/>
      <c r="AE283" s="2461"/>
      <c r="AF283" s="68"/>
    </row>
    <row r="284" spans="1:32" x14ac:dyDescent="0.35">
      <c r="A284" s="359"/>
      <c r="B284" s="358">
        <v>11149</v>
      </c>
      <c r="C284" s="358"/>
      <c r="D284" s="360"/>
      <c r="E284" s="885" t="s">
        <v>3289</v>
      </c>
      <c r="F284" s="40" t="s">
        <v>827</v>
      </c>
      <c r="G284" s="40">
        <v>5</v>
      </c>
      <c r="H284" s="50">
        <v>6</v>
      </c>
      <c r="I284" s="745"/>
      <c r="J284" s="745"/>
      <c r="K284" s="745"/>
      <c r="L284" s="745"/>
      <c r="M284" s="745"/>
      <c r="N284" s="745"/>
      <c r="O284" s="764"/>
      <c r="P284" s="745"/>
      <c r="Q284" s="1089"/>
      <c r="R284" s="1082">
        <f>11.1-9.15</f>
        <v>1.9499999999999993</v>
      </c>
      <c r="S284" s="40"/>
      <c r="T284" s="246"/>
      <c r="U284" s="40"/>
      <c r="V284" s="40"/>
      <c r="W284" s="166"/>
      <c r="X284" s="166"/>
      <c r="Y284" s="40"/>
      <c r="Z284" s="94"/>
      <c r="AE284" s="2461"/>
      <c r="AF284" s="68"/>
    </row>
    <row r="285" spans="1:32" x14ac:dyDescent="0.35">
      <c r="A285" s="359"/>
      <c r="B285" s="358">
        <v>11149</v>
      </c>
      <c r="C285" s="358"/>
      <c r="D285" s="360"/>
      <c r="E285" s="884" t="s">
        <v>2636</v>
      </c>
      <c r="F285" s="40">
        <v>4</v>
      </c>
      <c r="G285" s="40">
        <v>5</v>
      </c>
      <c r="H285" s="50">
        <v>6</v>
      </c>
      <c r="I285" s="745"/>
      <c r="J285" s="745"/>
      <c r="K285" s="745"/>
      <c r="L285" s="745"/>
      <c r="M285" s="745"/>
      <c r="N285" s="745"/>
      <c r="O285" s="764"/>
      <c r="P285" s="745"/>
      <c r="Q285" s="1087">
        <f>16.1-11.1</f>
        <v>5.0000000000000018</v>
      </c>
      <c r="R285" s="1084"/>
      <c r="S285" s="40"/>
      <c r="T285" s="246"/>
      <c r="U285" s="40"/>
      <c r="V285" s="40"/>
      <c r="W285" s="166"/>
      <c r="X285" s="166"/>
      <c r="Y285" s="40"/>
      <c r="Z285" s="94"/>
      <c r="AE285" s="2461"/>
      <c r="AF285" s="68"/>
    </row>
    <row r="286" spans="1:32" x14ac:dyDescent="0.35">
      <c r="A286" s="359"/>
      <c r="B286" s="358">
        <v>11149</v>
      </c>
      <c r="C286" s="358"/>
      <c r="D286" s="360"/>
      <c r="E286" s="442" t="s">
        <v>2637</v>
      </c>
      <c r="F286" s="40">
        <v>4</v>
      </c>
      <c r="G286" s="40">
        <v>5</v>
      </c>
      <c r="H286" s="50">
        <v>6</v>
      </c>
      <c r="I286" s="745"/>
      <c r="J286" s="745"/>
      <c r="K286" s="745"/>
      <c r="L286" s="745"/>
      <c r="M286" s="745"/>
      <c r="N286" s="747">
        <v>0.15</v>
      </c>
      <c r="O286" s="764"/>
      <c r="P286" s="745"/>
      <c r="Q286" s="1089"/>
      <c r="R286" s="1084"/>
      <c r="S286" s="40"/>
      <c r="T286" s="246"/>
      <c r="U286" s="40"/>
      <c r="V286" s="40"/>
      <c r="W286" s="166"/>
      <c r="X286" s="166"/>
      <c r="Y286" s="40"/>
      <c r="Z286" s="94"/>
      <c r="AE286" s="2461"/>
      <c r="AF286" s="68"/>
    </row>
    <row r="287" spans="1:32" ht="45.5" x14ac:dyDescent="0.35">
      <c r="A287" s="441">
        <v>132</v>
      </c>
      <c r="B287" s="358">
        <v>11149</v>
      </c>
      <c r="C287" s="358"/>
      <c r="D287" s="2464" t="s">
        <v>5830</v>
      </c>
      <c r="E287" s="417" t="s">
        <v>10151</v>
      </c>
      <c r="F287" s="41" t="s">
        <v>664</v>
      </c>
      <c r="G287" s="50">
        <v>5</v>
      </c>
      <c r="H287" s="50">
        <v>6</v>
      </c>
      <c r="I287" s="762">
        <f>J287+K287+L287</f>
        <v>1</v>
      </c>
      <c r="J287" s="762">
        <f t="shared" ref="J287:J295" si="19">SUM(M287:R287)</f>
        <v>1</v>
      </c>
      <c r="K287" s="762"/>
      <c r="L287" s="762"/>
      <c r="M287" s="762"/>
      <c r="N287" s="762"/>
      <c r="O287" s="763"/>
      <c r="P287" s="762"/>
      <c r="Q287" s="1445"/>
      <c r="R287" s="1440">
        <v>1</v>
      </c>
      <c r="S287" s="49"/>
      <c r="T287" s="255"/>
      <c r="U287" s="49"/>
      <c r="V287" s="49"/>
      <c r="W287" s="168">
        <v>1</v>
      </c>
      <c r="X287" s="168">
        <v>7.5</v>
      </c>
      <c r="Y287" s="42"/>
      <c r="Z287" s="107"/>
      <c r="AB287" s="3">
        <v>1</v>
      </c>
      <c r="AE287" s="2461"/>
      <c r="AF287" s="68"/>
    </row>
    <row r="288" spans="1:32" ht="60" x14ac:dyDescent="0.35">
      <c r="A288" s="525">
        <v>133</v>
      </c>
      <c r="B288" s="693">
        <v>11149</v>
      </c>
      <c r="C288" s="693" t="s">
        <v>1656</v>
      </c>
      <c r="D288" s="2464" t="s">
        <v>5831</v>
      </c>
      <c r="E288" s="2187" t="s">
        <v>10152</v>
      </c>
      <c r="F288" s="93" t="s">
        <v>664</v>
      </c>
      <c r="G288" s="93">
        <v>5</v>
      </c>
      <c r="H288" s="50">
        <v>6</v>
      </c>
      <c r="I288" s="2143">
        <f>L288+K288+J288</f>
        <v>0.5</v>
      </c>
      <c r="J288" s="2143">
        <f t="shared" si="19"/>
        <v>0.5</v>
      </c>
      <c r="K288" s="622"/>
      <c r="L288" s="622"/>
      <c r="M288" s="622"/>
      <c r="N288" s="622"/>
      <c r="O288" s="622"/>
      <c r="P288" s="622"/>
      <c r="Q288" s="2085"/>
      <c r="R288" s="906">
        <v>0.5</v>
      </c>
      <c r="S288" s="106"/>
      <c r="T288" s="106"/>
      <c r="U288" s="106"/>
      <c r="V288" s="106"/>
      <c r="W288" s="105"/>
      <c r="X288" s="105"/>
      <c r="Y288" s="105"/>
      <c r="Z288" s="323"/>
      <c r="AB288" s="3">
        <v>1</v>
      </c>
      <c r="AE288" s="2461"/>
      <c r="AF288" s="68"/>
    </row>
    <row r="289" spans="1:32" ht="45.5" x14ac:dyDescent="0.35">
      <c r="A289" s="441">
        <v>134</v>
      </c>
      <c r="B289" s="358">
        <v>11149</v>
      </c>
      <c r="C289" s="358"/>
      <c r="D289" s="2464" t="s">
        <v>5832</v>
      </c>
      <c r="E289" s="417" t="s">
        <v>10153</v>
      </c>
      <c r="F289" s="41" t="s">
        <v>664</v>
      </c>
      <c r="G289" s="50">
        <v>5</v>
      </c>
      <c r="H289" s="50">
        <v>6</v>
      </c>
      <c r="I289" s="762">
        <f>J289+K289+L289</f>
        <v>0.8</v>
      </c>
      <c r="J289" s="762">
        <f t="shared" si="19"/>
        <v>0.8</v>
      </c>
      <c r="K289" s="762"/>
      <c r="L289" s="762"/>
      <c r="M289" s="762"/>
      <c r="N289" s="762"/>
      <c r="O289" s="763"/>
      <c r="P289" s="762"/>
      <c r="Q289" s="1445"/>
      <c r="R289" s="1440">
        <v>0.8</v>
      </c>
      <c r="S289" s="49"/>
      <c r="T289" s="255"/>
      <c r="U289" s="49"/>
      <c r="V289" s="49"/>
      <c r="W289" s="168"/>
      <c r="X289" s="168"/>
      <c r="Y289" s="42"/>
      <c r="Z289" s="107"/>
      <c r="AB289" s="3">
        <v>1</v>
      </c>
      <c r="AE289" s="2461"/>
      <c r="AF289" s="68"/>
    </row>
    <row r="290" spans="1:32" ht="45.5" x14ac:dyDescent="0.35">
      <c r="A290" s="525">
        <v>135</v>
      </c>
      <c r="B290" s="405">
        <v>11149</v>
      </c>
      <c r="C290" s="405"/>
      <c r="D290" s="2464" t="s">
        <v>5833</v>
      </c>
      <c r="E290" s="417" t="s">
        <v>10154</v>
      </c>
      <c r="F290" s="40" t="s">
        <v>664</v>
      </c>
      <c r="G290" s="40">
        <v>5</v>
      </c>
      <c r="H290" s="50">
        <v>6</v>
      </c>
      <c r="I290" s="762">
        <f>J290+K290+L290</f>
        <v>1</v>
      </c>
      <c r="J290" s="762">
        <f t="shared" si="19"/>
        <v>1</v>
      </c>
      <c r="K290" s="749"/>
      <c r="L290" s="749"/>
      <c r="M290" s="749"/>
      <c r="N290" s="749"/>
      <c r="O290" s="769"/>
      <c r="P290" s="749"/>
      <c r="Q290" s="1449"/>
      <c r="R290" s="869">
        <v>1</v>
      </c>
      <c r="S290" s="42"/>
      <c r="T290" s="247"/>
      <c r="U290" s="42"/>
      <c r="V290" s="42"/>
      <c r="W290" s="110"/>
      <c r="X290" s="110"/>
      <c r="Y290" s="42"/>
      <c r="Z290" s="107"/>
      <c r="AB290" s="3">
        <v>1</v>
      </c>
      <c r="AE290" s="2461"/>
      <c r="AF290" s="68"/>
    </row>
    <row r="291" spans="1:32" ht="60" x14ac:dyDescent="0.35">
      <c r="A291" s="441">
        <v>136</v>
      </c>
      <c r="B291" s="693">
        <v>11149</v>
      </c>
      <c r="C291" s="693" t="s">
        <v>1656</v>
      </c>
      <c r="D291" s="2464" t="s">
        <v>5834</v>
      </c>
      <c r="E291" s="2187" t="s">
        <v>10155</v>
      </c>
      <c r="F291" s="93" t="s">
        <v>664</v>
      </c>
      <c r="G291" s="93">
        <v>5</v>
      </c>
      <c r="H291" s="50">
        <v>6</v>
      </c>
      <c r="I291" s="2143">
        <f>L291+K291+J291</f>
        <v>2.5</v>
      </c>
      <c r="J291" s="2143">
        <f t="shared" si="19"/>
        <v>2.5</v>
      </c>
      <c r="K291" s="622"/>
      <c r="L291" s="622"/>
      <c r="M291" s="622"/>
      <c r="N291" s="622"/>
      <c r="O291" s="622"/>
      <c r="P291" s="622"/>
      <c r="Q291" s="2085"/>
      <c r="R291" s="906">
        <v>2.5</v>
      </c>
      <c r="S291" s="106"/>
      <c r="T291" s="106"/>
      <c r="U291" s="106"/>
      <c r="V291" s="106"/>
      <c r="W291" s="105"/>
      <c r="X291" s="105"/>
      <c r="Y291" s="105"/>
      <c r="Z291" s="323"/>
      <c r="AB291" s="3">
        <v>1</v>
      </c>
      <c r="AE291" s="2461"/>
      <c r="AF291" s="68"/>
    </row>
    <row r="292" spans="1:32" ht="60.5" x14ac:dyDescent="0.35">
      <c r="A292" s="441">
        <v>137</v>
      </c>
      <c r="B292" s="358">
        <v>11149</v>
      </c>
      <c r="C292" s="358" t="s">
        <v>1656</v>
      </c>
      <c r="D292" s="2464" t="s">
        <v>5835</v>
      </c>
      <c r="E292" s="443" t="s">
        <v>10156</v>
      </c>
      <c r="F292" s="2289" t="s">
        <v>664</v>
      </c>
      <c r="G292" s="50">
        <v>5</v>
      </c>
      <c r="H292" s="50">
        <v>6</v>
      </c>
      <c r="I292" s="297">
        <f>J292+K292+L292</f>
        <v>0.77</v>
      </c>
      <c r="J292" s="297">
        <f>SUM(M292:R292)</f>
        <v>0.77</v>
      </c>
      <c r="K292" s="762"/>
      <c r="L292" s="762"/>
      <c r="M292" s="762"/>
      <c r="N292" s="762"/>
      <c r="O292" s="763"/>
      <c r="P292" s="762"/>
      <c r="Q292" s="2395"/>
      <c r="R292" s="2396">
        <v>0.77</v>
      </c>
      <c r="S292" s="49"/>
      <c r="T292" s="255"/>
      <c r="U292" s="49"/>
      <c r="V292" s="49"/>
      <c r="W292" s="168"/>
      <c r="X292" s="168"/>
      <c r="Y292" s="42"/>
      <c r="Z292" s="107"/>
      <c r="AB292" s="3">
        <v>1</v>
      </c>
      <c r="AE292" s="2461"/>
      <c r="AF292" s="68"/>
    </row>
    <row r="293" spans="1:32" ht="60" x14ac:dyDescent="0.35">
      <c r="A293" s="525">
        <v>138</v>
      </c>
      <c r="B293" s="693">
        <v>11149</v>
      </c>
      <c r="C293" s="693" t="s">
        <v>1656</v>
      </c>
      <c r="D293" s="2464" t="s">
        <v>5836</v>
      </c>
      <c r="E293" s="2187" t="s">
        <v>10157</v>
      </c>
      <c r="F293" s="93" t="s">
        <v>664</v>
      </c>
      <c r="G293" s="93">
        <v>5</v>
      </c>
      <c r="H293" s="50">
        <v>6</v>
      </c>
      <c r="I293" s="2143">
        <f>L293+K293+J293</f>
        <v>0.7</v>
      </c>
      <c r="J293" s="2143">
        <f t="shared" si="19"/>
        <v>0.7</v>
      </c>
      <c r="K293" s="622"/>
      <c r="L293" s="622"/>
      <c r="M293" s="622"/>
      <c r="N293" s="622"/>
      <c r="O293" s="622"/>
      <c r="P293" s="622"/>
      <c r="Q293" s="2085"/>
      <c r="R293" s="906">
        <v>0.7</v>
      </c>
      <c r="S293" s="106"/>
      <c r="T293" s="106"/>
      <c r="U293" s="106"/>
      <c r="V293" s="106"/>
      <c r="W293" s="105"/>
      <c r="X293" s="105"/>
      <c r="Y293" s="105"/>
      <c r="Z293" s="323"/>
      <c r="AB293" s="3">
        <v>1</v>
      </c>
      <c r="AE293" s="2461"/>
      <c r="AF293" s="68"/>
    </row>
    <row r="294" spans="1:32" ht="60" x14ac:dyDescent="0.35">
      <c r="A294" s="441">
        <v>139</v>
      </c>
      <c r="B294" s="693">
        <v>11149</v>
      </c>
      <c r="C294" s="693" t="s">
        <v>1656</v>
      </c>
      <c r="D294" s="2464" t="s">
        <v>5837</v>
      </c>
      <c r="E294" s="2187" t="s">
        <v>10158</v>
      </c>
      <c r="F294" s="93" t="s">
        <v>664</v>
      </c>
      <c r="G294" s="93">
        <v>5</v>
      </c>
      <c r="H294" s="50">
        <v>6</v>
      </c>
      <c r="I294" s="2143">
        <f>L294+K294+J294</f>
        <v>0.1</v>
      </c>
      <c r="J294" s="2143">
        <f t="shared" si="19"/>
        <v>0.1</v>
      </c>
      <c r="K294" s="622"/>
      <c r="L294" s="622"/>
      <c r="M294" s="622"/>
      <c r="N294" s="622"/>
      <c r="O294" s="622"/>
      <c r="P294" s="622"/>
      <c r="Q294" s="2085"/>
      <c r="R294" s="906">
        <v>0.1</v>
      </c>
      <c r="S294" s="106"/>
      <c r="T294" s="106"/>
      <c r="U294" s="106"/>
      <c r="V294" s="106"/>
      <c r="W294" s="105"/>
      <c r="X294" s="105"/>
      <c r="Y294" s="105"/>
      <c r="Z294" s="323"/>
      <c r="AB294" s="3">
        <v>1</v>
      </c>
      <c r="AE294" s="2461"/>
      <c r="AF294" s="68"/>
    </row>
    <row r="295" spans="1:32" ht="30" x14ac:dyDescent="0.35">
      <c r="A295" s="525">
        <v>140</v>
      </c>
      <c r="B295" s="358">
        <v>11150</v>
      </c>
      <c r="C295" s="358"/>
      <c r="D295" s="358" t="s">
        <v>222</v>
      </c>
      <c r="E295" s="417" t="s">
        <v>125</v>
      </c>
      <c r="F295" s="41"/>
      <c r="G295" s="50" t="s">
        <v>191</v>
      </c>
      <c r="H295" s="50" t="s">
        <v>191</v>
      </c>
      <c r="I295" s="762">
        <f>J295+K295+L295</f>
        <v>4.3</v>
      </c>
      <c r="J295" s="762">
        <f t="shared" si="19"/>
        <v>4.3</v>
      </c>
      <c r="K295" s="762"/>
      <c r="L295" s="762"/>
      <c r="M295" s="762"/>
      <c r="N295" s="762">
        <f>SUM(N296:N297)</f>
        <v>1.9</v>
      </c>
      <c r="O295" s="763"/>
      <c r="P295" s="762"/>
      <c r="Q295" s="1445"/>
      <c r="R295" s="1440">
        <f>SUM(R296:R297)</f>
        <v>2.4</v>
      </c>
      <c r="S295" s="49"/>
      <c r="T295" s="255"/>
      <c r="U295" s="49"/>
      <c r="V295" s="49"/>
      <c r="W295" s="168">
        <v>3</v>
      </c>
      <c r="X295" s="168">
        <v>48.2</v>
      </c>
      <c r="Y295" s="42"/>
      <c r="Z295" s="107"/>
      <c r="AB295" s="3">
        <v>1</v>
      </c>
      <c r="AE295" s="2461"/>
      <c r="AF295" s="68"/>
    </row>
    <row r="296" spans="1:32" x14ac:dyDescent="0.35">
      <c r="A296" s="359"/>
      <c r="B296" s="358">
        <v>11150</v>
      </c>
      <c r="C296" s="358"/>
      <c r="D296" s="360"/>
      <c r="E296" s="442" t="s">
        <v>430</v>
      </c>
      <c r="F296" s="40">
        <v>5</v>
      </c>
      <c r="G296" s="40">
        <v>5</v>
      </c>
      <c r="H296" s="50">
        <v>6</v>
      </c>
      <c r="I296" s="745"/>
      <c r="J296" s="745"/>
      <c r="K296" s="745"/>
      <c r="L296" s="745"/>
      <c r="M296" s="745"/>
      <c r="N296" s="747">
        <v>1.9</v>
      </c>
      <c r="O296" s="764"/>
      <c r="P296" s="745"/>
      <c r="Q296" s="1089"/>
      <c r="R296" s="1084"/>
      <c r="S296" s="40"/>
      <c r="T296" s="246"/>
      <c r="U296" s="40"/>
      <c r="V296" s="40"/>
      <c r="W296" s="166"/>
      <c r="X296" s="166"/>
      <c r="Y296" s="40"/>
      <c r="Z296" s="94"/>
      <c r="AE296" s="2461"/>
      <c r="AF296" s="68"/>
    </row>
    <row r="297" spans="1:32" x14ac:dyDescent="0.35">
      <c r="A297" s="359"/>
      <c r="B297" s="358">
        <v>11150</v>
      </c>
      <c r="C297" s="358"/>
      <c r="D297" s="360"/>
      <c r="E297" s="885" t="s">
        <v>835</v>
      </c>
      <c r="F297" s="40" t="s">
        <v>827</v>
      </c>
      <c r="G297" s="40">
        <v>5</v>
      </c>
      <c r="H297" s="50">
        <v>6</v>
      </c>
      <c r="I297" s="745"/>
      <c r="J297" s="745"/>
      <c r="K297" s="745"/>
      <c r="L297" s="745"/>
      <c r="M297" s="745"/>
      <c r="N297" s="745"/>
      <c r="O297" s="764"/>
      <c r="P297" s="745"/>
      <c r="Q297" s="1089"/>
      <c r="R297" s="1082">
        <v>2.4</v>
      </c>
      <c r="S297" s="40"/>
      <c r="T297" s="246"/>
      <c r="U297" s="40"/>
      <c r="V297" s="40"/>
      <c r="W297" s="166"/>
      <c r="X297" s="166"/>
      <c r="Y297" s="40"/>
      <c r="Z297" s="94"/>
      <c r="AE297" s="2461"/>
      <c r="AF297" s="68"/>
    </row>
    <row r="298" spans="1:32" ht="30.5" x14ac:dyDescent="0.35">
      <c r="A298" s="441">
        <v>141</v>
      </c>
      <c r="B298" s="358">
        <v>11150</v>
      </c>
      <c r="C298" s="358"/>
      <c r="D298" s="2464" t="s">
        <v>5838</v>
      </c>
      <c r="E298" s="417" t="s">
        <v>7909</v>
      </c>
      <c r="F298" s="41" t="s">
        <v>664</v>
      </c>
      <c r="G298" s="50">
        <v>5</v>
      </c>
      <c r="H298" s="50">
        <v>6</v>
      </c>
      <c r="I298" s="762">
        <f>J298+K298+L298</f>
        <v>0.4</v>
      </c>
      <c r="J298" s="762">
        <f>SUM(M298:R298)</f>
        <v>0.4</v>
      </c>
      <c r="K298" s="762"/>
      <c r="L298" s="762"/>
      <c r="M298" s="762"/>
      <c r="N298" s="762"/>
      <c r="O298" s="763"/>
      <c r="P298" s="762"/>
      <c r="Q298" s="1445"/>
      <c r="R298" s="1440">
        <v>0.4</v>
      </c>
      <c r="S298" s="255"/>
      <c r="T298" s="255"/>
      <c r="U298" s="49"/>
      <c r="V298" s="49"/>
      <c r="W298" s="168"/>
      <c r="X298" s="168"/>
      <c r="Y298" s="42"/>
      <c r="Z298" s="107"/>
      <c r="AB298" s="3">
        <v>1</v>
      </c>
      <c r="AE298" s="2461"/>
      <c r="AF298" s="68"/>
    </row>
    <row r="299" spans="1:32" ht="45.5" x14ac:dyDescent="0.35">
      <c r="A299" s="441">
        <v>142</v>
      </c>
      <c r="B299" s="358">
        <v>11150</v>
      </c>
      <c r="C299" s="358" t="s">
        <v>1656</v>
      </c>
      <c r="D299" s="2464" t="s">
        <v>5839</v>
      </c>
      <c r="E299" s="443" t="s">
        <v>8836</v>
      </c>
      <c r="F299" s="166" t="s">
        <v>664</v>
      </c>
      <c r="G299" s="50">
        <v>5</v>
      </c>
      <c r="H299" s="50">
        <v>6</v>
      </c>
      <c r="I299" s="297">
        <f>J299+K299+L299</f>
        <v>0.8</v>
      </c>
      <c r="J299" s="297">
        <f>SUM(M299:R299)</f>
        <v>0.8</v>
      </c>
      <c r="K299" s="745"/>
      <c r="L299" s="745"/>
      <c r="M299" s="749"/>
      <c r="N299" s="762"/>
      <c r="O299" s="769"/>
      <c r="P299" s="749"/>
      <c r="Q299" s="2393"/>
      <c r="R299" s="2394">
        <v>0.8</v>
      </c>
      <c r="S299" s="40"/>
      <c r="T299" s="246"/>
      <c r="U299" s="40"/>
      <c r="V299" s="40"/>
      <c r="W299" s="166"/>
      <c r="X299" s="166"/>
      <c r="Y299" s="40"/>
      <c r="Z299" s="94"/>
      <c r="AB299" s="3">
        <v>1</v>
      </c>
      <c r="AE299" s="2461"/>
      <c r="AF299" s="68"/>
    </row>
    <row r="300" spans="1:32" ht="30" x14ac:dyDescent="0.35">
      <c r="A300" s="441">
        <v>143</v>
      </c>
      <c r="B300" s="693">
        <v>11150</v>
      </c>
      <c r="C300" s="693" t="s">
        <v>1656</v>
      </c>
      <c r="D300" s="2464" t="s">
        <v>5840</v>
      </c>
      <c r="E300" s="2187" t="s">
        <v>11170</v>
      </c>
      <c r="F300" s="93" t="s">
        <v>664</v>
      </c>
      <c r="G300" s="93">
        <v>5</v>
      </c>
      <c r="H300" s="50">
        <v>6</v>
      </c>
      <c r="I300" s="2143">
        <f>L300+K300+J300</f>
        <v>0.6</v>
      </c>
      <c r="J300" s="2143">
        <f>SUM(M300:R300)</f>
        <v>0.6</v>
      </c>
      <c r="K300" s="622"/>
      <c r="L300" s="622"/>
      <c r="M300" s="622"/>
      <c r="N300" s="622"/>
      <c r="O300" s="622"/>
      <c r="P300" s="622"/>
      <c r="Q300" s="2085"/>
      <c r="R300" s="906">
        <v>0.6</v>
      </c>
      <c r="S300" s="106"/>
      <c r="T300" s="106"/>
      <c r="U300" s="106"/>
      <c r="V300" s="106"/>
      <c r="W300" s="105"/>
      <c r="X300" s="105"/>
      <c r="Y300" s="105"/>
      <c r="Z300" s="323"/>
      <c r="AB300" s="3">
        <v>1</v>
      </c>
      <c r="AE300" s="2461"/>
      <c r="AF300" s="68"/>
    </row>
    <row r="301" spans="1:32" ht="30.5" x14ac:dyDescent="0.35">
      <c r="A301" s="441">
        <v>144</v>
      </c>
      <c r="B301" s="358">
        <v>11151</v>
      </c>
      <c r="C301" s="358"/>
      <c r="D301" s="358" t="s">
        <v>223</v>
      </c>
      <c r="E301" s="417" t="s">
        <v>2477</v>
      </c>
      <c r="F301" s="41"/>
      <c r="G301" s="50" t="s">
        <v>191</v>
      </c>
      <c r="H301" s="50" t="s">
        <v>191</v>
      </c>
      <c r="I301" s="762">
        <f>J301+K301+L301</f>
        <v>9</v>
      </c>
      <c r="J301" s="762">
        <f>SUM(M301:R301)</f>
        <v>9</v>
      </c>
      <c r="K301" s="762"/>
      <c r="L301" s="762"/>
      <c r="M301" s="762"/>
      <c r="N301" s="762"/>
      <c r="O301" s="763"/>
      <c r="P301" s="762"/>
      <c r="Q301" s="1445">
        <f>SUM(Q302:Q305)</f>
        <v>3.63</v>
      </c>
      <c r="R301" s="1440">
        <f>SUM(R302:R305)</f>
        <v>5.37</v>
      </c>
      <c r="S301" s="49"/>
      <c r="T301" s="255"/>
      <c r="U301" s="49"/>
      <c r="V301" s="49"/>
      <c r="W301" s="168">
        <v>5</v>
      </c>
      <c r="X301" s="168">
        <v>84.7</v>
      </c>
      <c r="Y301" s="42"/>
      <c r="Z301" s="107"/>
      <c r="AB301" s="3">
        <v>1</v>
      </c>
      <c r="AE301" s="2461"/>
      <c r="AF301" s="68"/>
    </row>
    <row r="302" spans="1:32" x14ac:dyDescent="0.35">
      <c r="A302" s="359"/>
      <c r="B302" s="358">
        <v>11151</v>
      </c>
      <c r="C302" s="358"/>
      <c r="D302" s="360"/>
      <c r="E302" s="884" t="s">
        <v>3381</v>
      </c>
      <c r="F302" s="40">
        <v>5</v>
      </c>
      <c r="G302" s="40">
        <v>5</v>
      </c>
      <c r="H302" s="50">
        <v>6</v>
      </c>
      <c r="I302" s="745"/>
      <c r="J302" s="745"/>
      <c r="K302" s="745"/>
      <c r="L302" s="745"/>
      <c r="M302" s="745"/>
      <c r="N302" s="747"/>
      <c r="O302" s="764"/>
      <c r="P302" s="745"/>
      <c r="Q302" s="1089">
        <v>2.76</v>
      </c>
      <c r="R302" s="1084"/>
      <c r="S302" s="40"/>
      <c r="T302" s="246"/>
      <c r="U302" s="40"/>
      <c r="V302" s="40"/>
      <c r="W302" s="166"/>
      <c r="X302" s="166"/>
      <c r="Y302" s="40"/>
      <c r="Z302" s="94"/>
      <c r="AE302" s="2461"/>
      <c r="AF302" s="68"/>
    </row>
    <row r="303" spans="1:32" x14ac:dyDescent="0.35">
      <c r="A303" s="359"/>
      <c r="B303" s="358">
        <v>11151</v>
      </c>
      <c r="C303" s="358"/>
      <c r="D303" s="360"/>
      <c r="E303" s="885" t="s">
        <v>836</v>
      </c>
      <c r="F303" s="40" t="s">
        <v>827</v>
      </c>
      <c r="G303" s="40">
        <v>5</v>
      </c>
      <c r="H303" s="50">
        <v>6</v>
      </c>
      <c r="I303" s="745"/>
      <c r="J303" s="745"/>
      <c r="K303" s="745"/>
      <c r="L303" s="745"/>
      <c r="M303" s="745"/>
      <c r="N303" s="745"/>
      <c r="O303" s="764"/>
      <c r="P303" s="745"/>
      <c r="Q303" s="1089"/>
      <c r="R303" s="1082">
        <v>0.84</v>
      </c>
      <c r="S303" s="40"/>
      <c r="T303" s="246"/>
      <c r="U303" s="40"/>
      <c r="V303" s="40"/>
      <c r="W303" s="166"/>
      <c r="X303" s="166"/>
      <c r="Y303" s="40"/>
      <c r="Z303" s="94"/>
      <c r="AE303" s="2461"/>
      <c r="AF303" s="68"/>
    </row>
    <row r="304" spans="1:32" x14ac:dyDescent="0.35">
      <c r="A304" s="359"/>
      <c r="B304" s="358">
        <v>11151</v>
      </c>
      <c r="C304" s="358"/>
      <c r="D304" s="360"/>
      <c r="E304" s="884" t="s">
        <v>837</v>
      </c>
      <c r="F304" s="40">
        <v>5</v>
      </c>
      <c r="G304" s="40">
        <v>5</v>
      </c>
      <c r="H304" s="50">
        <v>6</v>
      </c>
      <c r="I304" s="745"/>
      <c r="J304" s="745"/>
      <c r="K304" s="745"/>
      <c r="L304" s="745"/>
      <c r="M304" s="745"/>
      <c r="N304" s="747"/>
      <c r="O304" s="764"/>
      <c r="P304" s="745"/>
      <c r="Q304" s="1089">
        <v>0.87</v>
      </c>
      <c r="R304" s="1084"/>
      <c r="S304" s="40"/>
      <c r="T304" s="246"/>
      <c r="U304" s="40"/>
      <c r="V304" s="40"/>
      <c r="W304" s="166"/>
      <c r="X304" s="166"/>
      <c r="Y304" s="40"/>
      <c r="Z304" s="94"/>
      <c r="AE304" s="2461"/>
      <c r="AF304" s="68"/>
    </row>
    <row r="305" spans="1:32" x14ac:dyDescent="0.35">
      <c r="A305" s="359"/>
      <c r="B305" s="358">
        <v>11151</v>
      </c>
      <c r="C305" s="358"/>
      <c r="D305" s="360"/>
      <c r="E305" s="885" t="s">
        <v>838</v>
      </c>
      <c r="F305" s="40" t="s">
        <v>827</v>
      </c>
      <c r="G305" s="40">
        <v>5</v>
      </c>
      <c r="H305" s="50">
        <v>6</v>
      </c>
      <c r="I305" s="745"/>
      <c r="J305" s="745"/>
      <c r="K305" s="745"/>
      <c r="L305" s="745"/>
      <c r="M305" s="745"/>
      <c r="N305" s="745"/>
      <c r="O305" s="764"/>
      <c r="P305" s="745"/>
      <c r="Q305" s="1089"/>
      <c r="R305" s="1082">
        <v>4.53</v>
      </c>
      <c r="S305" s="40"/>
      <c r="T305" s="246"/>
      <c r="U305" s="40"/>
      <c r="V305" s="40"/>
      <c r="W305" s="166"/>
      <c r="X305" s="166"/>
      <c r="Y305" s="40"/>
      <c r="Z305" s="94"/>
      <c r="AE305" s="2461"/>
      <c r="AF305" s="68"/>
    </row>
    <row r="306" spans="1:32" ht="45.5" x14ac:dyDescent="0.35">
      <c r="A306" s="349">
        <v>145</v>
      </c>
      <c r="B306" s="405">
        <v>11151</v>
      </c>
      <c r="C306" s="693" t="s">
        <v>1656</v>
      </c>
      <c r="D306" s="2464" t="s">
        <v>5841</v>
      </c>
      <c r="E306" s="443" t="s">
        <v>9283</v>
      </c>
      <c r="F306" s="40"/>
      <c r="G306" s="40" t="s">
        <v>191</v>
      </c>
      <c r="H306" s="50" t="s">
        <v>191</v>
      </c>
      <c r="I306" s="762">
        <f>J306+K306+L306</f>
        <v>0.5</v>
      </c>
      <c r="J306" s="762">
        <f>SUM(M306:R306)</f>
        <v>0.5</v>
      </c>
      <c r="K306" s="749"/>
      <c r="L306" s="749"/>
      <c r="M306" s="749"/>
      <c r="N306" s="749">
        <f>SUM(N307:N308)</f>
        <v>0.2</v>
      </c>
      <c r="O306" s="769"/>
      <c r="P306" s="749"/>
      <c r="Q306" s="1449">
        <f>SUM(Q307:Q308)</f>
        <v>0.3</v>
      </c>
      <c r="R306" s="869"/>
      <c r="S306" s="42"/>
      <c r="T306" s="247"/>
      <c r="U306" s="42"/>
      <c r="V306" s="42"/>
      <c r="W306" s="110"/>
      <c r="X306" s="110"/>
      <c r="Y306" s="42"/>
      <c r="Z306" s="107"/>
      <c r="AB306" s="3">
        <v>1</v>
      </c>
      <c r="AE306" s="2461"/>
      <c r="AF306" s="68"/>
    </row>
    <row r="307" spans="1:32" x14ac:dyDescent="0.35">
      <c r="A307" s="349"/>
      <c r="B307" s="405">
        <v>11151</v>
      </c>
      <c r="C307" s="405"/>
      <c r="D307" s="405"/>
      <c r="E307" s="442" t="s">
        <v>1795</v>
      </c>
      <c r="F307" s="40" t="s">
        <v>827</v>
      </c>
      <c r="G307" s="40">
        <v>5</v>
      </c>
      <c r="H307" s="50">
        <v>6</v>
      </c>
      <c r="I307" s="749"/>
      <c r="J307" s="749"/>
      <c r="K307" s="749"/>
      <c r="L307" s="749"/>
      <c r="M307" s="749"/>
      <c r="N307" s="745">
        <v>0.2</v>
      </c>
      <c r="O307" s="764"/>
      <c r="P307" s="745"/>
      <c r="Q307" s="1089"/>
      <c r="R307" s="869"/>
      <c r="S307" s="42"/>
      <c r="T307" s="247"/>
      <c r="U307" s="42"/>
      <c r="V307" s="42"/>
      <c r="W307" s="110"/>
      <c r="X307" s="110"/>
      <c r="Y307" s="42"/>
      <c r="Z307" s="107"/>
      <c r="AE307" s="2461"/>
      <c r="AF307" s="68"/>
    </row>
    <row r="308" spans="1:32" x14ac:dyDescent="0.35">
      <c r="A308" s="349"/>
      <c r="B308" s="405">
        <v>11151</v>
      </c>
      <c r="C308" s="405"/>
      <c r="D308" s="405"/>
      <c r="E308" s="884" t="s">
        <v>2167</v>
      </c>
      <c r="F308" s="40" t="s">
        <v>827</v>
      </c>
      <c r="G308" s="40">
        <v>5</v>
      </c>
      <c r="H308" s="50">
        <v>6</v>
      </c>
      <c r="I308" s="749"/>
      <c r="J308" s="749"/>
      <c r="K308" s="749"/>
      <c r="L308" s="749"/>
      <c r="M308" s="749"/>
      <c r="N308" s="745"/>
      <c r="O308" s="764"/>
      <c r="P308" s="745"/>
      <c r="Q308" s="1089">
        <v>0.3</v>
      </c>
      <c r="R308" s="869"/>
      <c r="S308" s="42"/>
      <c r="T308" s="247"/>
      <c r="U308" s="42"/>
      <c r="V308" s="42"/>
      <c r="W308" s="110"/>
      <c r="X308" s="110"/>
      <c r="Y308" s="42"/>
      <c r="Z308" s="107"/>
      <c r="AE308" s="2461"/>
      <c r="AF308" s="68"/>
    </row>
    <row r="309" spans="1:32" ht="45.5" x14ac:dyDescent="0.35">
      <c r="A309" s="441">
        <v>146</v>
      </c>
      <c r="B309" s="358">
        <v>11151</v>
      </c>
      <c r="C309" s="358" t="s">
        <v>1656</v>
      </c>
      <c r="D309" s="2464" t="s">
        <v>5842</v>
      </c>
      <c r="E309" s="443" t="s">
        <v>8837</v>
      </c>
      <c r="F309" s="166" t="s">
        <v>664</v>
      </c>
      <c r="G309" s="50">
        <v>5</v>
      </c>
      <c r="H309" s="50">
        <v>6</v>
      </c>
      <c r="I309" s="297">
        <f>J309+K309+L309</f>
        <v>0.2</v>
      </c>
      <c r="J309" s="297">
        <f>SUM(M309:R309)</f>
        <v>0.2</v>
      </c>
      <c r="K309" s="745"/>
      <c r="L309" s="745"/>
      <c r="M309" s="749"/>
      <c r="N309" s="744"/>
      <c r="O309" s="769"/>
      <c r="P309" s="749"/>
      <c r="Q309" s="2393"/>
      <c r="R309" s="2394">
        <v>0.2</v>
      </c>
      <c r="S309" s="40"/>
      <c r="T309" s="246"/>
      <c r="U309" s="40"/>
      <c r="V309" s="40"/>
      <c r="W309" s="166"/>
      <c r="X309" s="166"/>
      <c r="Y309" s="40"/>
      <c r="Z309" s="94"/>
      <c r="AB309" s="3">
        <v>1</v>
      </c>
      <c r="AE309" s="2461"/>
      <c r="AF309" s="68"/>
    </row>
    <row r="310" spans="1:32" ht="45.5" x14ac:dyDescent="0.35">
      <c r="A310" s="441">
        <v>147</v>
      </c>
      <c r="B310" s="358">
        <v>11151</v>
      </c>
      <c r="C310" s="358" t="s">
        <v>1656</v>
      </c>
      <c r="D310" s="2464" t="s">
        <v>5843</v>
      </c>
      <c r="E310" s="443" t="s">
        <v>8838</v>
      </c>
      <c r="F310" s="166" t="s">
        <v>664</v>
      </c>
      <c r="G310" s="50">
        <v>5</v>
      </c>
      <c r="H310" s="50">
        <v>6</v>
      </c>
      <c r="I310" s="297">
        <f>J310+K310+L310</f>
        <v>0.3</v>
      </c>
      <c r="J310" s="297">
        <f>SUM(M310:R310)</f>
        <v>0.3</v>
      </c>
      <c r="K310" s="745"/>
      <c r="L310" s="745"/>
      <c r="M310" s="749"/>
      <c r="N310" s="749"/>
      <c r="O310" s="769"/>
      <c r="P310" s="749"/>
      <c r="Q310" s="1850"/>
      <c r="R310" s="2394">
        <v>0.3</v>
      </c>
      <c r="S310" s="40"/>
      <c r="T310" s="246"/>
      <c r="U310" s="40"/>
      <c r="V310" s="40"/>
      <c r="W310" s="166"/>
      <c r="X310" s="166"/>
      <c r="Y310" s="40"/>
      <c r="Z310" s="94"/>
      <c r="AB310" s="3">
        <v>1</v>
      </c>
      <c r="AE310" s="2461"/>
      <c r="AF310" s="68"/>
    </row>
    <row r="311" spans="1:32" ht="45.5" x14ac:dyDescent="0.35">
      <c r="A311" s="441">
        <v>148</v>
      </c>
      <c r="B311" s="358">
        <v>11151</v>
      </c>
      <c r="C311" s="358" t="s">
        <v>1656</v>
      </c>
      <c r="D311" s="2464" t="s">
        <v>5844</v>
      </c>
      <c r="E311" s="443" t="s">
        <v>8839</v>
      </c>
      <c r="F311" s="166" t="s">
        <v>664</v>
      </c>
      <c r="G311" s="50">
        <v>5</v>
      </c>
      <c r="H311" s="50">
        <v>6</v>
      </c>
      <c r="I311" s="297">
        <f>J311+K311+L311</f>
        <v>1</v>
      </c>
      <c r="J311" s="297">
        <f>SUM(M311:R311)</f>
        <v>1</v>
      </c>
      <c r="K311" s="745"/>
      <c r="L311" s="745"/>
      <c r="M311" s="749"/>
      <c r="N311" s="744"/>
      <c r="O311" s="769"/>
      <c r="P311" s="749"/>
      <c r="Q311" s="2393"/>
      <c r="R311" s="2394">
        <v>1</v>
      </c>
      <c r="S311" s="40"/>
      <c r="T311" s="246"/>
      <c r="U311" s="40"/>
      <c r="V311" s="40"/>
      <c r="W311" s="166"/>
      <c r="X311" s="166"/>
      <c r="Y311" s="40"/>
      <c r="Z311" s="94"/>
      <c r="AB311" s="3">
        <v>1</v>
      </c>
      <c r="AE311" s="2461"/>
      <c r="AF311" s="68"/>
    </row>
    <row r="312" spans="1:32" ht="30.5" x14ac:dyDescent="0.35">
      <c r="A312" s="441">
        <v>149</v>
      </c>
      <c r="B312" s="358">
        <v>11152</v>
      </c>
      <c r="C312" s="358"/>
      <c r="D312" s="358" t="s">
        <v>3233</v>
      </c>
      <c r="E312" s="417" t="s">
        <v>271</v>
      </c>
      <c r="F312" s="41"/>
      <c r="G312" s="50" t="s">
        <v>191</v>
      </c>
      <c r="H312" s="50" t="s">
        <v>191</v>
      </c>
      <c r="I312" s="762">
        <f>J312+K312+L312</f>
        <v>10.565</v>
      </c>
      <c r="J312" s="762">
        <f>SUM(M312:R312)</f>
        <v>10.565</v>
      </c>
      <c r="K312" s="762"/>
      <c r="L312" s="762"/>
      <c r="M312" s="762"/>
      <c r="N312" s="762">
        <f>SUM(N313:N314)</f>
        <v>2.4220000000000002</v>
      </c>
      <c r="O312" s="763"/>
      <c r="P312" s="762"/>
      <c r="Q312" s="1445">
        <f>SUM(Q313:Q314)</f>
        <v>8.1429999999999989</v>
      </c>
      <c r="R312" s="1440"/>
      <c r="S312" s="49">
        <v>1</v>
      </c>
      <c r="T312" s="255">
        <v>11.4</v>
      </c>
      <c r="U312" s="49"/>
      <c r="V312" s="49"/>
      <c r="W312" s="168">
        <v>17</v>
      </c>
      <c r="X312" s="168">
        <v>227.7</v>
      </c>
      <c r="Y312" s="42">
        <v>3</v>
      </c>
      <c r="Z312" s="107">
        <v>30</v>
      </c>
      <c r="AB312" s="3">
        <v>1</v>
      </c>
      <c r="AE312" s="2461"/>
      <c r="AF312" s="68"/>
    </row>
    <row r="313" spans="1:32" x14ac:dyDescent="0.35">
      <c r="A313" s="359"/>
      <c r="B313" s="358">
        <v>11152</v>
      </c>
      <c r="C313" s="358"/>
      <c r="D313" s="360"/>
      <c r="E313" s="442" t="s">
        <v>269</v>
      </c>
      <c r="F313" s="41">
        <v>5</v>
      </c>
      <c r="G313" s="50">
        <v>5</v>
      </c>
      <c r="H313" s="50">
        <v>6</v>
      </c>
      <c r="I313" s="745"/>
      <c r="J313" s="745"/>
      <c r="K313" s="745"/>
      <c r="L313" s="745"/>
      <c r="M313" s="745"/>
      <c r="N313" s="747">
        <v>2.4220000000000002</v>
      </c>
      <c r="O313" s="764"/>
      <c r="P313" s="745"/>
      <c r="Q313" s="1089"/>
      <c r="R313" s="1084"/>
      <c r="S313" s="40"/>
      <c r="T313" s="246"/>
      <c r="U313" s="40"/>
      <c r="V313" s="40"/>
      <c r="W313" s="166"/>
      <c r="X313" s="166"/>
      <c r="Y313" s="40"/>
      <c r="Z313" s="94"/>
      <c r="AE313" s="2461"/>
      <c r="AF313" s="68"/>
    </row>
    <row r="314" spans="1:32" x14ac:dyDescent="0.35">
      <c r="A314" s="359"/>
      <c r="B314" s="358">
        <v>11152</v>
      </c>
      <c r="C314" s="358"/>
      <c r="D314" s="360"/>
      <c r="E314" s="884" t="s">
        <v>270</v>
      </c>
      <c r="F314" s="41">
        <v>5</v>
      </c>
      <c r="G314" s="50">
        <v>5</v>
      </c>
      <c r="H314" s="50">
        <v>6</v>
      </c>
      <c r="I314" s="745"/>
      <c r="J314" s="745"/>
      <c r="K314" s="745"/>
      <c r="L314" s="745"/>
      <c r="M314" s="745"/>
      <c r="N314" s="745"/>
      <c r="O314" s="764"/>
      <c r="P314" s="745"/>
      <c r="Q314" s="1087">
        <f>10.565-2.422</f>
        <v>8.1429999999999989</v>
      </c>
      <c r="R314" s="1084"/>
      <c r="S314" s="40"/>
      <c r="T314" s="246"/>
      <c r="U314" s="40"/>
      <c r="V314" s="40"/>
      <c r="W314" s="166"/>
      <c r="X314" s="166"/>
      <c r="Y314" s="40"/>
      <c r="Z314" s="94"/>
      <c r="AE314" s="2461"/>
      <c r="AF314" s="68"/>
    </row>
    <row r="315" spans="1:32" ht="45.5" x14ac:dyDescent="0.35">
      <c r="A315" s="441">
        <v>150</v>
      </c>
      <c r="B315" s="358">
        <v>11152</v>
      </c>
      <c r="C315" s="358"/>
      <c r="D315" s="2464" t="s">
        <v>5845</v>
      </c>
      <c r="E315" s="417" t="s">
        <v>7910</v>
      </c>
      <c r="F315" s="41" t="s">
        <v>664</v>
      </c>
      <c r="G315" s="50">
        <v>5</v>
      </c>
      <c r="H315" s="50">
        <v>6</v>
      </c>
      <c r="I315" s="762">
        <f t="shared" ref="I315:I321" si="20">J315+K315+L315</f>
        <v>0.4</v>
      </c>
      <c r="J315" s="762">
        <f t="shared" ref="J315:J321" si="21">SUM(M315:R315)</f>
        <v>0.4</v>
      </c>
      <c r="K315" s="762"/>
      <c r="L315" s="762"/>
      <c r="M315" s="762"/>
      <c r="N315" s="762"/>
      <c r="O315" s="763"/>
      <c r="P315" s="762"/>
      <c r="Q315" s="1445"/>
      <c r="R315" s="1440">
        <v>0.4</v>
      </c>
      <c r="S315" s="49"/>
      <c r="T315" s="255"/>
      <c r="U315" s="49"/>
      <c r="V315" s="49"/>
      <c r="W315" s="168"/>
      <c r="X315" s="168"/>
      <c r="Y315" s="42"/>
      <c r="Z315" s="107"/>
      <c r="AB315" s="3">
        <v>1</v>
      </c>
      <c r="AE315" s="2461"/>
      <c r="AF315" s="68"/>
    </row>
    <row r="316" spans="1:32" ht="45.5" x14ac:dyDescent="0.35">
      <c r="A316" s="441">
        <v>151</v>
      </c>
      <c r="B316" s="358">
        <v>11152</v>
      </c>
      <c r="C316" s="358" t="s">
        <v>1656</v>
      </c>
      <c r="D316" s="2464" t="s">
        <v>5846</v>
      </c>
      <c r="E316" s="443" t="s">
        <v>8840</v>
      </c>
      <c r="F316" s="166" t="s">
        <v>664</v>
      </c>
      <c r="G316" s="50">
        <v>5</v>
      </c>
      <c r="H316" s="50">
        <v>6</v>
      </c>
      <c r="I316" s="297">
        <f t="shared" si="20"/>
        <v>0.1</v>
      </c>
      <c r="J316" s="297">
        <f t="shared" si="21"/>
        <v>0.1</v>
      </c>
      <c r="K316" s="745"/>
      <c r="L316" s="745"/>
      <c r="M316" s="749"/>
      <c r="N316" s="749"/>
      <c r="O316" s="769"/>
      <c r="P316" s="749"/>
      <c r="Q316" s="1850"/>
      <c r="R316" s="2394">
        <v>0.1</v>
      </c>
      <c r="S316" s="40"/>
      <c r="T316" s="246"/>
      <c r="U316" s="40"/>
      <c r="V316" s="40"/>
      <c r="W316" s="166"/>
      <c r="X316" s="166"/>
      <c r="Y316" s="40"/>
      <c r="Z316" s="94"/>
      <c r="AB316" s="3">
        <v>1</v>
      </c>
      <c r="AE316" s="2461"/>
      <c r="AF316" s="68"/>
    </row>
    <row r="317" spans="1:32" ht="45.5" x14ac:dyDescent="0.35">
      <c r="A317" s="441">
        <v>152</v>
      </c>
      <c r="B317" s="358">
        <v>11152</v>
      </c>
      <c r="C317" s="358" t="s">
        <v>1656</v>
      </c>
      <c r="D317" s="2464" t="s">
        <v>5847</v>
      </c>
      <c r="E317" s="443" t="s">
        <v>8841</v>
      </c>
      <c r="F317" s="166" t="s">
        <v>664</v>
      </c>
      <c r="G317" s="50">
        <v>5</v>
      </c>
      <c r="H317" s="50">
        <v>6</v>
      </c>
      <c r="I317" s="297">
        <f t="shared" si="20"/>
        <v>0.8</v>
      </c>
      <c r="J317" s="297">
        <f t="shared" si="21"/>
        <v>0.8</v>
      </c>
      <c r="K317" s="745"/>
      <c r="L317" s="745"/>
      <c r="M317" s="749"/>
      <c r="N317" s="749"/>
      <c r="O317" s="769"/>
      <c r="P317" s="749"/>
      <c r="Q317" s="1850"/>
      <c r="R317" s="2394">
        <v>0.8</v>
      </c>
      <c r="S317" s="40"/>
      <c r="T317" s="246"/>
      <c r="U317" s="40"/>
      <c r="V317" s="40"/>
      <c r="W317" s="166"/>
      <c r="X317" s="166"/>
      <c r="Y317" s="40"/>
      <c r="Z317" s="94"/>
      <c r="AB317" s="3">
        <v>1</v>
      </c>
      <c r="AE317" s="2461"/>
      <c r="AF317" s="68"/>
    </row>
    <row r="318" spans="1:32" ht="45.5" x14ac:dyDescent="0.35">
      <c r="A318" s="441">
        <v>153</v>
      </c>
      <c r="B318" s="358">
        <v>11152</v>
      </c>
      <c r="C318" s="358" t="s">
        <v>1656</v>
      </c>
      <c r="D318" s="2464" t="s">
        <v>5848</v>
      </c>
      <c r="E318" s="443" t="s">
        <v>8842</v>
      </c>
      <c r="F318" s="166" t="s">
        <v>664</v>
      </c>
      <c r="G318" s="50">
        <v>5</v>
      </c>
      <c r="H318" s="50">
        <v>6</v>
      </c>
      <c r="I318" s="297">
        <f t="shared" si="20"/>
        <v>0.2</v>
      </c>
      <c r="J318" s="297">
        <f t="shared" si="21"/>
        <v>0.2</v>
      </c>
      <c r="K318" s="745"/>
      <c r="L318" s="745"/>
      <c r="M318" s="749"/>
      <c r="N318" s="749"/>
      <c r="O318" s="769"/>
      <c r="P318" s="749"/>
      <c r="Q318" s="1850"/>
      <c r="R318" s="2394">
        <v>0.2</v>
      </c>
      <c r="S318" s="40"/>
      <c r="T318" s="246"/>
      <c r="U318" s="40"/>
      <c r="V318" s="40"/>
      <c r="W318" s="166"/>
      <c r="X318" s="166"/>
      <c r="Y318" s="40"/>
      <c r="Z318" s="94"/>
      <c r="AB318" s="3">
        <v>1</v>
      </c>
      <c r="AE318" s="2461"/>
      <c r="AF318" s="68"/>
    </row>
    <row r="319" spans="1:32" ht="30" x14ac:dyDescent="0.35">
      <c r="A319" s="441">
        <v>154</v>
      </c>
      <c r="B319" s="358">
        <v>11153</v>
      </c>
      <c r="C319" s="358"/>
      <c r="D319" s="358" t="s">
        <v>3234</v>
      </c>
      <c r="E319" s="417" t="s">
        <v>272</v>
      </c>
      <c r="F319" s="41">
        <v>5</v>
      </c>
      <c r="G319" s="50">
        <v>5</v>
      </c>
      <c r="H319" s="50">
        <v>6</v>
      </c>
      <c r="I319" s="762">
        <f t="shared" si="20"/>
        <v>3.411</v>
      </c>
      <c r="J319" s="762">
        <f t="shared" si="21"/>
        <v>3.411</v>
      </c>
      <c r="K319" s="762"/>
      <c r="L319" s="762"/>
      <c r="M319" s="762"/>
      <c r="N319" s="762"/>
      <c r="O319" s="763"/>
      <c r="P319" s="762"/>
      <c r="Q319" s="1445">
        <v>3.411</v>
      </c>
      <c r="R319" s="1440"/>
      <c r="S319" s="49"/>
      <c r="T319" s="255"/>
      <c r="U319" s="49"/>
      <c r="V319" s="49"/>
      <c r="W319" s="168">
        <v>6</v>
      </c>
      <c r="X319" s="168">
        <v>75.11</v>
      </c>
      <c r="Y319" s="42">
        <v>1</v>
      </c>
      <c r="Z319" s="311">
        <v>10.01</v>
      </c>
      <c r="AB319" s="3">
        <v>1</v>
      </c>
      <c r="AC319" s="3" t="s">
        <v>273</v>
      </c>
      <c r="AE319" s="2461"/>
      <c r="AF319" s="68"/>
    </row>
    <row r="320" spans="1:32" ht="45" x14ac:dyDescent="0.35">
      <c r="A320" s="441">
        <v>155</v>
      </c>
      <c r="B320" s="693">
        <v>11153</v>
      </c>
      <c r="C320" s="358" t="s">
        <v>1656</v>
      </c>
      <c r="D320" s="2464" t="s">
        <v>5849</v>
      </c>
      <c r="E320" s="2187" t="s">
        <v>8843</v>
      </c>
      <c r="F320" s="93" t="s">
        <v>664</v>
      </c>
      <c r="G320" s="50">
        <v>5</v>
      </c>
      <c r="H320" s="50">
        <v>6</v>
      </c>
      <c r="I320" s="297">
        <f t="shared" si="20"/>
        <v>0.1</v>
      </c>
      <c r="J320" s="297">
        <f t="shared" si="21"/>
        <v>0.1</v>
      </c>
      <c r="K320" s="622"/>
      <c r="L320" s="622"/>
      <c r="M320" s="622"/>
      <c r="N320" s="622"/>
      <c r="O320" s="622"/>
      <c r="P320" s="622"/>
      <c r="Q320" s="2085"/>
      <c r="R320" s="1981">
        <v>0.1</v>
      </c>
      <c r="S320" s="1779"/>
      <c r="T320" s="1779"/>
      <c r="U320" s="1779"/>
      <c r="V320" s="1779"/>
      <c r="W320" s="1779"/>
      <c r="X320" s="1779"/>
      <c r="Y320" s="1779"/>
      <c r="Z320" s="1780"/>
      <c r="AB320" s="3">
        <v>1</v>
      </c>
      <c r="AE320" s="2461"/>
      <c r="AF320" s="68"/>
    </row>
    <row r="321" spans="1:32" ht="30.5" x14ac:dyDescent="0.35">
      <c r="A321" s="441">
        <v>156</v>
      </c>
      <c r="B321" s="358">
        <v>11154</v>
      </c>
      <c r="C321" s="358"/>
      <c r="D321" s="358" t="s">
        <v>373</v>
      </c>
      <c r="E321" s="417" t="s">
        <v>1141</v>
      </c>
      <c r="F321" s="41"/>
      <c r="G321" s="50" t="s">
        <v>191</v>
      </c>
      <c r="H321" s="50" t="s">
        <v>191</v>
      </c>
      <c r="I321" s="762">
        <f t="shared" si="20"/>
        <v>10.299999999999999</v>
      </c>
      <c r="J321" s="762">
        <f t="shared" si="21"/>
        <v>10.01</v>
      </c>
      <c r="K321" s="762"/>
      <c r="L321" s="762">
        <f>SUM(L322:L326)</f>
        <v>0.28999999999999915</v>
      </c>
      <c r="M321" s="762"/>
      <c r="N321" s="762">
        <f>SUM(N322:N326)</f>
        <v>2.0099999999999998</v>
      </c>
      <c r="O321" s="763"/>
      <c r="P321" s="762"/>
      <c r="Q321" s="1445">
        <f>SUM(Q322:Q326)</f>
        <v>7.080000000000001</v>
      </c>
      <c r="R321" s="1440">
        <f>SUM(R322:R326)</f>
        <v>0.92</v>
      </c>
      <c r="S321" s="49">
        <v>1</v>
      </c>
      <c r="T321" s="255">
        <v>18.399999999999999</v>
      </c>
      <c r="U321" s="49"/>
      <c r="V321" s="49"/>
      <c r="W321" s="168">
        <v>30</v>
      </c>
      <c r="X321" s="416">
        <v>354.7</v>
      </c>
      <c r="Y321" s="42">
        <v>10</v>
      </c>
      <c r="Z321" s="107">
        <v>100</v>
      </c>
      <c r="AB321" s="3">
        <v>1</v>
      </c>
      <c r="AE321" s="2461"/>
      <c r="AF321" s="68"/>
    </row>
    <row r="322" spans="1:32" x14ac:dyDescent="0.35">
      <c r="A322" s="359"/>
      <c r="B322" s="358">
        <v>11154</v>
      </c>
      <c r="C322" s="358"/>
      <c r="D322" s="360"/>
      <c r="E322" s="442" t="s">
        <v>839</v>
      </c>
      <c r="F322" s="41">
        <v>5</v>
      </c>
      <c r="G322" s="50">
        <v>4</v>
      </c>
      <c r="H322" s="50">
        <v>6</v>
      </c>
      <c r="I322" s="745"/>
      <c r="J322" s="745"/>
      <c r="K322" s="745"/>
      <c r="L322" s="745"/>
      <c r="M322" s="745"/>
      <c r="N322" s="747">
        <v>2.0099999999999998</v>
      </c>
      <c r="O322" s="764"/>
      <c r="P322" s="745"/>
      <c r="Q322" s="1089"/>
      <c r="R322" s="1084"/>
      <c r="S322" s="40"/>
      <c r="T322" s="246"/>
      <c r="U322" s="40"/>
      <c r="V322" s="40"/>
      <c r="W322" s="166"/>
      <c r="X322" s="166"/>
      <c r="Y322" s="40"/>
      <c r="Z322" s="94"/>
      <c r="AE322" s="2461"/>
      <c r="AF322" s="68"/>
    </row>
    <row r="323" spans="1:32" x14ac:dyDescent="0.35">
      <c r="A323" s="359"/>
      <c r="B323" s="358">
        <v>11154</v>
      </c>
      <c r="C323" s="358"/>
      <c r="D323" s="360"/>
      <c r="E323" s="884" t="s">
        <v>840</v>
      </c>
      <c r="F323" s="41">
        <v>5</v>
      </c>
      <c r="G323" s="50">
        <v>4</v>
      </c>
      <c r="H323" s="50">
        <v>6</v>
      </c>
      <c r="I323" s="745"/>
      <c r="J323" s="745"/>
      <c r="K323" s="745"/>
      <c r="L323" s="745"/>
      <c r="M323" s="745"/>
      <c r="N323" s="745"/>
      <c r="O323" s="764"/>
      <c r="P323" s="745"/>
      <c r="Q323" s="1087">
        <f>8.05-2.01</f>
        <v>6.0400000000000009</v>
      </c>
      <c r="R323" s="1084"/>
      <c r="S323" s="40"/>
      <c r="T323" s="246"/>
      <c r="U323" s="40"/>
      <c r="V323" s="40"/>
      <c r="W323" s="166"/>
      <c r="X323" s="166"/>
      <c r="Y323" s="40"/>
      <c r="Z323" s="94"/>
      <c r="AE323" s="2461"/>
      <c r="AF323" s="68"/>
    </row>
    <row r="324" spans="1:32" ht="31" x14ac:dyDescent="0.35">
      <c r="A324" s="359"/>
      <c r="B324" s="358">
        <v>11154</v>
      </c>
      <c r="C324" s="358"/>
      <c r="D324" s="360"/>
      <c r="E324" s="442" t="s">
        <v>841</v>
      </c>
      <c r="F324" s="41">
        <v>5</v>
      </c>
      <c r="G324" s="50">
        <v>4</v>
      </c>
      <c r="H324" s="40" t="s">
        <v>191</v>
      </c>
      <c r="I324" s="745"/>
      <c r="J324" s="745"/>
      <c r="K324" s="745"/>
      <c r="L324" s="747">
        <f>8.34-8.05</f>
        <v>0.28999999999999915</v>
      </c>
      <c r="M324" s="745"/>
      <c r="N324" s="745"/>
      <c r="O324" s="764"/>
      <c r="P324" s="745"/>
      <c r="Q324" s="1089"/>
      <c r="R324" s="1084"/>
      <c r="S324" s="40"/>
      <c r="T324" s="246"/>
      <c r="U324" s="40"/>
      <c r="V324" s="40"/>
      <c r="W324" s="166"/>
      <c r="X324" s="166"/>
      <c r="Y324" s="40"/>
      <c r="Z324" s="94"/>
      <c r="AE324" s="2461"/>
      <c r="AF324" s="68"/>
    </row>
    <row r="325" spans="1:32" x14ac:dyDescent="0.35">
      <c r="A325" s="359"/>
      <c r="B325" s="358">
        <v>11154</v>
      </c>
      <c r="C325" s="358"/>
      <c r="D325" s="360"/>
      <c r="E325" s="884" t="s">
        <v>842</v>
      </c>
      <c r="F325" s="41">
        <v>5</v>
      </c>
      <c r="G325" s="50">
        <v>4</v>
      </c>
      <c r="H325" s="50">
        <v>6</v>
      </c>
      <c r="I325" s="745"/>
      <c r="J325" s="745"/>
      <c r="K325" s="745"/>
      <c r="L325" s="745"/>
      <c r="M325" s="745"/>
      <c r="N325" s="745"/>
      <c r="O325" s="764"/>
      <c r="P325" s="745"/>
      <c r="Q325" s="1087">
        <v>1.04</v>
      </c>
      <c r="R325" s="1084"/>
      <c r="S325" s="40"/>
      <c r="T325" s="246"/>
      <c r="U325" s="40"/>
      <c r="V325" s="40"/>
      <c r="W325" s="166"/>
      <c r="X325" s="166"/>
      <c r="Y325" s="40"/>
      <c r="Z325" s="94"/>
      <c r="AE325" s="2461"/>
      <c r="AF325" s="68"/>
    </row>
    <row r="326" spans="1:32" x14ac:dyDescent="0.35">
      <c r="A326" s="359"/>
      <c r="B326" s="358">
        <v>11154</v>
      </c>
      <c r="C326" s="358"/>
      <c r="D326" s="360"/>
      <c r="E326" s="885" t="s">
        <v>843</v>
      </c>
      <c r="F326" s="41">
        <v>5</v>
      </c>
      <c r="G326" s="50">
        <v>4</v>
      </c>
      <c r="H326" s="50">
        <v>6</v>
      </c>
      <c r="I326" s="745"/>
      <c r="J326" s="745"/>
      <c r="K326" s="745"/>
      <c r="L326" s="745"/>
      <c r="M326" s="745"/>
      <c r="N326" s="745"/>
      <c r="O326" s="764"/>
      <c r="P326" s="745"/>
      <c r="Q326" s="1089"/>
      <c r="R326" s="1082">
        <v>0.92</v>
      </c>
      <c r="S326" s="40"/>
      <c r="T326" s="246"/>
      <c r="U326" s="40"/>
      <c r="V326" s="40"/>
      <c r="W326" s="166"/>
      <c r="X326" s="166"/>
      <c r="Y326" s="40"/>
      <c r="Z326" s="94"/>
      <c r="AE326" s="2461"/>
      <c r="AF326" s="68"/>
    </row>
    <row r="327" spans="1:32" ht="45" x14ac:dyDescent="0.35">
      <c r="A327" s="525">
        <v>157</v>
      </c>
      <c r="B327" s="693">
        <v>11154</v>
      </c>
      <c r="C327" s="693"/>
      <c r="D327" s="2464" t="s">
        <v>5850</v>
      </c>
      <c r="E327" s="2187" t="s">
        <v>7911</v>
      </c>
      <c r="F327" s="93" t="s">
        <v>664</v>
      </c>
      <c r="G327" s="93">
        <v>5</v>
      </c>
      <c r="H327" s="50">
        <v>6</v>
      </c>
      <c r="I327" s="2143">
        <f>L327+K327+J327</f>
        <v>0.75</v>
      </c>
      <c r="J327" s="2143">
        <f t="shared" ref="J327:J331" si="22">SUM(M327:R327)</f>
        <v>0.75</v>
      </c>
      <c r="K327" s="622"/>
      <c r="L327" s="622"/>
      <c r="M327" s="622"/>
      <c r="N327" s="622"/>
      <c r="O327" s="622"/>
      <c r="P327" s="622"/>
      <c r="Q327" s="2085"/>
      <c r="R327" s="906">
        <v>0.75</v>
      </c>
      <c r="S327" s="106"/>
      <c r="T327" s="106"/>
      <c r="U327" s="106"/>
      <c r="V327" s="106"/>
      <c r="W327" s="105"/>
      <c r="X327" s="105"/>
      <c r="Y327" s="105"/>
      <c r="Z327" s="323"/>
      <c r="AB327" s="3">
        <v>1</v>
      </c>
      <c r="AE327" s="2461"/>
      <c r="AF327" s="68"/>
    </row>
    <row r="328" spans="1:32" ht="45" x14ac:dyDescent="0.35">
      <c r="A328" s="441">
        <v>158</v>
      </c>
      <c r="B328" s="693">
        <v>11154</v>
      </c>
      <c r="C328" s="693" t="s">
        <v>1656</v>
      </c>
      <c r="D328" s="2464" t="s">
        <v>5851</v>
      </c>
      <c r="E328" s="2187" t="s">
        <v>8844</v>
      </c>
      <c r="F328" s="93" t="s">
        <v>664</v>
      </c>
      <c r="G328" s="93">
        <v>5</v>
      </c>
      <c r="H328" s="50">
        <v>6</v>
      </c>
      <c r="I328" s="2143">
        <f>L328+K328+J328</f>
        <v>0.3</v>
      </c>
      <c r="J328" s="2143">
        <f t="shared" si="22"/>
        <v>0.3</v>
      </c>
      <c r="K328" s="622"/>
      <c r="L328" s="622"/>
      <c r="M328" s="622"/>
      <c r="N328" s="622"/>
      <c r="O328" s="622"/>
      <c r="P328" s="622"/>
      <c r="Q328" s="2085"/>
      <c r="R328" s="906">
        <v>0.3</v>
      </c>
      <c r="S328" s="106"/>
      <c r="T328" s="106"/>
      <c r="U328" s="106"/>
      <c r="V328" s="106"/>
      <c r="W328" s="105"/>
      <c r="X328" s="105"/>
      <c r="Y328" s="105"/>
      <c r="Z328" s="323"/>
      <c r="AB328" s="3">
        <v>1</v>
      </c>
      <c r="AE328" s="2461"/>
      <c r="AF328" s="68"/>
    </row>
    <row r="329" spans="1:32" ht="45.5" x14ac:dyDescent="0.35">
      <c r="A329" s="441">
        <v>159</v>
      </c>
      <c r="B329" s="358">
        <v>11154</v>
      </c>
      <c r="C329" s="358" t="s">
        <v>1656</v>
      </c>
      <c r="D329" s="2464" t="s">
        <v>5853</v>
      </c>
      <c r="E329" s="443" t="s">
        <v>8845</v>
      </c>
      <c r="F329" s="166" t="s">
        <v>664</v>
      </c>
      <c r="G329" s="50">
        <v>5</v>
      </c>
      <c r="H329" s="50">
        <v>6</v>
      </c>
      <c r="I329" s="297">
        <f>J329+K329+L329</f>
        <v>1.58</v>
      </c>
      <c r="J329" s="297">
        <f t="shared" si="22"/>
        <v>1.58</v>
      </c>
      <c r="K329" s="745"/>
      <c r="L329" s="745"/>
      <c r="M329" s="749"/>
      <c r="N329" s="749"/>
      <c r="O329" s="769"/>
      <c r="P329" s="749"/>
      <c r="Q329" s="2393"/>
      <c r="R329" s="1846">
        <v>1.58</v>
      </c>
      <c r="S329" s="40"/>
      <c r="T329" s="246"/>
      <c r="U329" s="40"/>
      <c r="V329" s="40"/>
      <c r="W329" s="166"/>
      <c r="X329" s="166"/>
      <c r="Y329" s="40"/>
      <c r="Z329" s="94"/>
      <c r="AB329" s="3">
        <v>1</v>
      </c>
      <c r="AE329" s="2461"/>
      <c r="AF329" s="68"/>
    </row>
    <row r="330" spans="1:32" ht="45" x14ac:dyDescent="0.35">
      <c r="A330" s="525">
        <v>160</v>
      </c>
      <c r="B330" s="693">
        <v>11154</v>
      </c>
      <c r="C330" s="358" t="s">
        <v>1656</v>
      </c>
      <c r="D330" s="2464" t="s">
        <v>5854</v>
      </c>
      <c r="E330" s="2187" t="s">
        <v>8846</v>
      </c>
      <c r="F330" s="93" t="s">
        <v>664</v>
      </c>
      <c r="G330" s="50">
        <v>5</v>
      </c>
      <c r="H330" s="50">
        <v>6</v>
      </c>
      <c r="I330" s="297">
        <f>J330+K330+L330</f>
        <v>0.34</v>
      </c>
      <c r="J330" s="297">
        <f t="shared" si="22"/>
        <v>0.34</v>
      </c>
      <c r="K330" s="622"/>
      <c r="L330" s="622"/>
      <c r="M330" s="622"/>
      <c r="N330" s="622"/>
      <c r="O330" s="622"/>
      <c r="P330" s="622"/>
      <c r="Q330" s="2085"/>
      <c r="R330" s="1981">
        <v>0.34</v>
      </c>
      <c r="S330" s="1779"/>
      <c r="T330" s="1779"/>
      <c r="U330" s="1779"/>
      <c r="V330" s="1779"/>
      <c r="W330" s="1779"/>
      <c r="X330" s="1779"/>
      <c r="Y330" s="1779"/>
      <c r="Z330" s="1780"/>
      <c r="AB330" s="3">
        <v>1</v>
      </c>
      <c r="AE330" s="2461"/>
      <c r="AF330" s="68"/>
    </row>
    <row r="331" spans="1:32" ht="30" x14ac:dyDescent="0.35">
      <c r="A331" s="525">
        <v>161</v>
      </c>
      <c r="B331" s="358">
        <v>11155</v>
      </c>
      <c r="C331" s="358"/>
      <c r="D331" s="358" t="s">
        <v>374</v>
      </c>
      <c r="E331" s="443" t="s">
        <v>11171</v>
      </c>
      <c r="F331" s="2289"/>
      <c r="G331" s="165" t="s">
        <v>191</v>
      </c>
      <c r="H331" s="165" t="s">
        <v>191</v>
      </c>
      <c r="I331" s="2752">
        <f>J331+K331+L331</f>
        <v>4.55</v>
      </c>
      <c r="J331" s="2752">
        <f t="shared" si="22"/>
        <v>4.55</v>
      </c>
      <c r="K331" s="762"/>
      <c r="L331" s="762"/>
      <c r="M331" s="762"/>
      <c r="N331" s="762"/>
      <c r="O331" s="763"/>
      <c r="P331" s="762"/>
      <c r="Q331" s="1445">
        <f>SUM(Q332:Q335)</f>
        <v>1.7999999999999998</v>
      </c>
      <c r="R331" s="1440">
        <f>SUM(R332:R335)</f>
        <v>2.75</v>
      </c>
      <c r="S331" s="49"/>
      <c r="T331" s="255"/>
      <c r="U331" s="49"/>
      <c r="V331" s="49"/>
      <c r="W331" s="168">
        <v>7</v>
      </c>
      <c r="X331" s="168">
        <v>66.599999999999994</v>
      </c>
      <c r="Y331" s="42"/>
      <c r="Z331" s="2131"/>
      <c r="AB331" s="3">
        <v>1</v>
      </c>
      <c r="AE331" s="2461"/>
      <c r="AF331" s="68"/>
    </row>
    <row r="332" spans="1:32" x14ac:dyDescent="0.35">
      <c r="A332" s="360"/>
      <c r="B332" s="358">
        <v>11155</v>
      </c>
      <c r="C332" s="358"/>
      <c r="D332" s="360"/>
      <c r="E332" s="885" t="s">
        <v>1966</v>
      </c>
      <c r="F332" s="41">
        <v>5</v>
      </c>
      <c r="G332" s="50">
        <v>5</v>
      </c>
      <c r="H332" s="50">
        <v>6</v>
      </c>
      <c r="I332" s="745"/>
      <c r="J332" s="745"/>
      <c r="K332" s="745"/>
      <c r="L332" s="745"/>
      <c r="M332" s="745"/>
      <c r="N332" s="745"/>
      <c r="O332" s="764"/>
      <c r="P332" s="745"/>
      <c r="Q332" s="1089"/>
      <c r="R332" s="1082">
        <v>0.8</v>
      </c>
      <c r="S332" s="49"/>
      <c r="T332" s="255"/>
      <c r="U332" s="49"/>
      <c r="V332" s="49"/>
      <c r="W332" s="168"/>
      <c r="X332" s="168"/>
      <c r="Y332" s="42"/>
      <c r="Z332" s="2357"/>
      <c r="AE332" s="2461"/>
      <c r="AF332" s="68"/>
    </row>
    <row r="333" spans="1:32" x14ac:dyDescent="0.35">
      <c r="A333" s="360"/>
      <c r="B333" s="358">
        <v>11155</v>
      </c>
      <c r="C333" s="358"/>
      <c r="D333" s="360"/>
      <c r="E333" s="884" t="s">
        <v>2587</v>
      </c>
      <c r="F333" s="41">
        <v>5</v>
      </c>
      <c r="G333" s="50">
        <v>5</v>
      </c>
      <c r="H333" s="50">
        <v>6</v>
      </c>
      <c r="I333" s="745"/>
      <c r="J333" s="745"/>
      <c r="K333" s="745"/>
      <c r="L333" s="745"/>
      <c r="M333" s="745"/>
      <c r="N333" s="745"/>
      <c r="O333" s="764"/>
      <c r="P333" s="745"/>
      <c r="Q333" s="1087">
        <v>1</v>
      </c>
      <c r="R333" s="1084"/>
      <c r="S333" s="49"/>
      <c r="T333" s="255"/>
      <c r="U333" s="49"/>
      <c r="V333" s="49"/>
      <c r="W333" s="168"/>
      <c r="X333" s="168"/>
      <c r="Y333" s="42"/>
      <c r="Z333" s="2357"/>
      <c r="AE333" s="2461"/>
      <c r="AF333" s="68"/>
    </row>
    <row r="334" spans="1:32" x14ac:dyDescent="0.35">
      <c r="A334" s="359"/>
      <c r="B334" s="358">
        <v>11155</v>
      </c>
      <c r="C334" s="358"/>
      <c r="D334" s="360"/>
      <c r="E334" s="885" t="s">
        <v>844</v>
      </c>
      <c r="F334" s="41">
        <v>5</v>
      </c>
      <c r="G334" s="50">
        <v>5</v>
      </c>
      <c r="H334" s="50">
        <v>6</v>
      </c>
      <c r="I334" s="745"/>
      <c r="J334" s="745"/>
      <c r="K334" s="745"/>
      <c r="L334" s="745"/>
      <c r="M334" s="745"/>
      <c r="N334" s="745"/>
      <c r="O334" s="764"/>
      <c r="P334" s="745"/>
      <c r="Q334" s="1089"/>
      <c r="R334" s="1082">
        <v>1.95</v>
      </c>
      <c r="S334" s="49"/>
      <c r="T334" s="255"/>
      <c r="U334" s="49"/>
      <c r="V334" s="49"/>
      <c r="W334" s="168"/>
      <c r="X334" s="168"/>
      <c r="Y334" s="42"/>
      <c r="Z334" s="2357"/>
      <c r="AE334" s="2461"/>
      <c r="AF334" s="68"/>
    </row>
    <row r="335" spans="1:32" x14ac:dyDescent="0.35">
      <c r="A335" s="359"/>
      <c r="B335" s="358">
        <v>11155</v>
      </c>
      <c r="C335" s="358"/>
      <c r="D335" s="360"/>
      <c r="E335" s="884" t="s">
        <v>11083</v>
      </c>
      <c r="F335" s="41">
        <v>5</v>
      </c>
      <c r="G335" s="50">
        <v>5</v>
      </c>
      <c r="H335" s="50">
        <v>6</v>
      </c>
      <c r="I335" s="745"/>
      <c r="J335" s="745"/>
      <c r="K335" s="745"/>
      <c r="L335" s="745"/>
      <c r="M335" s="745"/>
      <c r="N335" s="745"/>
      <c r="O335" s="764"/>
      <c r="P335" s="745"/>
      <c r="Q335" s="1087">
        <f>4.55-3.75</f>
        <v>0.79999999999999982</v>
      </c>
      <c r="R335" s="1084"/>
      <c r="S335" s="49"/>
      <c r="T335" s="255"/>
      <c r="U335" s="49"/>
      <c r="V335" s="49"/>
      <c r="W335" s="168"/>
      <c r="X335" s="168"/>
      <c r="Y335" s="42"/>
      <c r="Z335" s="2357"/>
      <c r="AE335" s="2461"/>
      <c r="AF335" s="68"/>
    </row>
    <row r="336" spans="1:32" ht="30.5" x14ac:dyDescent="0.35">
      <c r="A336" s="441">
        <v>162</v>
      </c>
      <c r="B336" s="358">
        <v>11155</v>
      </c>
      <c r="C336" s="358"/>
      <c r="D336" s="2464" t="s">
        <v>5855</v>
      </c>
      <c r="E336" s="417" t="s">
        <v>7912</v>
      </c>
      <c r="F336" s="41" t="s">
        <v>664</v>
      </c>
      <c r="G336" s="50">
        <v>5</v>
      </c>
      <c r="H336" s="50">
        <v>6</v>
      </c>
      <c r="I336" s="762">
        <f>J336+K336+L336</f>
        <v>0.5</v>
      </c>
      <c r="J336" s="762">
        <f>SUM(M336:R336)</f>
        <v>0.5</v>
      </c>
      <c r="K336" s="762"/>
      <c r="L336" s="762"/>
      <c r="M336" s="762"/>
      <c r="N336" s="762"/>
      <c r="O336" s="763"/>
      <c r="P336" s="762"/>
      <c r="Q336" s="1445"/>
      <c r="R336" s="1440">
        <v>0.5</v>
      </c>
      <c r="S336" s="49"/>
      <c r="T336" s="255"/>
      <c r="U336" s="49"/>
      <c r="V336" s="49"/>
      <c r="W336" s="168">
        <v>1</v>
      </c>
      <c r="X336" s="168">
        <v>10.1</v>
      </c>
      <c r="Y336" s="42"/>
      <c r="Z336" s="107"/>
      <c r="AB336" s="3">
        <v>1</v>
      </c>
      <c r="AE336" s="2461"/>
      <c r="AF336" s="68"/>
    </row>
    <row r="337" spans="1:32" ht="30.5" x14ac:dyDescent="0.35">
      <c r="A337" s="441">
        <v>163</v>
      </c>
      <c r="B337" s="405">
        <v>11155</v>
      </c>
      <c r="C337" s="358" t="s">
        <v>1656</v>
      </c>
      <c r="D337" s="2464" t="s">
        <v>5856</v>
      </c>
      <c r="E337" s="443" t="s">
        <v>8847</v>
      </c>
      <c r="F337" s="166" t="s">
        <v>664</v>
      </c>
      <c r="G337" s="50">
        <v>5</v>
      </c>
      <c r="H337" s="50">
        <v>6</v>
      </c>
      <c r="I337" s="297">
        <f>J337+K337+L337</f>
        <v>0.6</v>
      </c>
      <c r="J337" s="297">
        <f>SUM(M337:R337)</f>
        <v>0.6</v>
      </c>
      <c r="K337" s="749"/>
      <c r="L337" s="749"/>
      <c r="M337" s="749"/>
      <c r="N337" s="749"/>
      <c r="O337" s="769"/>
      <c r="P337" s="749"/>
      <c r="Q337" s="2393"/>
      <c r="R337" s="1846">
        <v>0.6</v>
      </c>
      <c r="S337" s="42"/>
      <c r="T337" s="247"/>
      <c r="U337" s="42"/>
      <c r="V337" s="42"/>
      <c r="W337" s="110"/>
      <c r="X337" s="110"/>
      <c r="Y337" s="42"/>
      <c r="Z337" s="107"/>
      <c r="AB337" s="3">
        <v>1</v>
      </c>
      <c r="AE337" s="2461"/>
      <c r="AF337" s="68"/>
    </row>
    <row r="338" spans="1:32" ht="30" x14ac:dyDescent="0.35">
      <c r="A338" s="441">
        <v>164</v>
      </c>
      <c r="B338" s="358">
        <v>11156</v>
      </c>
      <c r="C338" s="358"/>
      <c r="D338" s="358" t="s">
        <v>3021</v>
      </c>
      <c r="E338" s="417" t="s">
        <v>845</v>
      </c>
      <c r="F338" s="41"/>
      <c r="G338" s="50" t="s">
        <v>191</v>
      </c>
      <c r="H338" s="50" t="s">
        <v>191</v>
      </c>
      <c r="I338" s="762">
        <f>J338+K338+L338</f>
        <v>3.4699999999999998</v>
      </c>
      <c r="J338" s="762">
        <f>SUM(M338:R338)</f>
        <v>3.4699999999999998</v>
      </c>
      <c r="K338" s="762"/>
      <c r="L338" s="762"/>
      <c r="M338" s="762"/>
      <c r="N338" s="762">
        <f>SUM(N339:N341)</f>
        <v>1.28</v>
      </c>
      <c r="O338" s="763"/>
      <c r="P338" s="762"/>
      <c r="Q338" s="1445">
        <f>SUM(Q339:Q341)</f>
        <v>2.19</v>
      </c>
      <c r="R338" s="1440"/>
      <c r="S338" s="49"/>
      <c r="T338" s="255"/>
      <c r="U338" s="49"/>
      <c r="V338" s="49"/>
      <c r="W338" s="168">
        <v>11</v>
      </c>
      <c r="X338" s="168">
        <v>142.30000000000001</v>
      </c>
      <c r="Y338" s="42">
        <v>3</v>
      </c>
      <c r="Z338" s="107">
        <v>30</v>
      </c>
      <c r="AB338" s="3">
        <v>1</v>
      </c>
      <c r="AE338" s="2461"/>
      <c r="AF338" s="68"/>
    </row>
    <row r="339" spans="1:32" x14ac:dyDescent="0.35">
      <c r="A339" s="359"/>
      <c r="B339" s="358">
        <v>11156</v>
      </c>
      <c r="C339" s="358"/>
      <c r="D339" s="360"/>
      <c r="E339" s="442" t="s">
        <v>324</v>
      </c>
      <c r="F339" s="40">
        <v>5</v>
      </c>
      <c r="G339" s="40">
        <v>5</v>
      </c>
      <c r="H339" s="50">
        <v>6</v>
      </c>
      <c r="I339" s="745"/>
      <c r="J339" s="745"/>
      <c r="K339" s="745"/>
      <c r="L339" s="745"/>
      <c r="M339" s="745"/>
      <c r="N339" s="747">
        <v>0.77</v>
      </c>
      <c r="O339" s="764"/>
      <c r="P339" s="745"/>
      <c r="Q339" s="1089"/>
      <c r="R339" s="1084"/>
      <c r="S339" s="40"/>
      <c r="T339" s="246"/>
      <c r="U339" s="40"/>
      <c r="V339" s="40"/>
      <c r="W339" s="166"/>
      <c r="X339" s="166"/>
      <c r="Y339" s="40"/>
      <c r="Z339" s="94"/>
      <c r="AE339" s="2461"/>
      <c r="AF339" s="68"/>
    </row>
    <row r="340" spans="1:32" x14ac:dyDescent="0.35">
      <c r="A340" s="359"/>
      <c r="B340" s="358">
        <v>11156</v>
      </c>
      <c r="C340" s="358"/>
      <c r="D340" s="360"/>
      <c r="E340" s="884" t="s">
        <v>325</v>
      </c>
      <c r="F340" s="40">
        <v>4</v>
      </c>
      <c r="G340" s="40">
        <v>5</v>
      </c>
      <c r="H340" s="50">
        <v>6</v>
      </c>
      <c r="I340" s="745"/>
      <c r="J340" s="745"/>
      <c r="K340" s="745"/>
      <c r="L340" s="745"/>
      <c r="M340" s="745"/>
      <c r="N340" s="745"/>
      <c r="O340" s="764"/>
      <c r="P340" s="745"/>
      <c r="Q340" s="1087">
        <v>2.19</v>
      </c>
      <c r="R340" s="1084"/>
      <c r="S340" s="40"/>
      <c r="T340" s="246"/>
      <c r="U340" s="40"/>
      <c r="V340" s="40"/>
      <c r="W340" s="166"/>
      <c r="X340" s="166"/>
      <c r="Y340" s="40"/>
      <c r="Z340" s="94"/>
      <c r="AE340" s="2461"/>
      <c r="AF340" s="68"/>
    </row>
    <row r="341" spans="1:32" x14ac:dyDescent="0.35">
      <c r="A341" s="359"/>
      <c r="B341" s="358">
        <v>11156</v>
      </c>
      <c r="C341" s="358"/>
      <c r="D341" s="360"/>
      <c r="E341" s="442" t="s">
        <v>326</v>
      </c>
      <c r="F341" s="40">
        <v>5</v>
      </c>
      <c r="G341" s="40">
        <v>5</v>
      </c>
      <c r="H341" s="50">
        <v>6</v>
      </c>
      <c r="I341" s="745"/>
      <c r="J341" s="745"/>
      <c r="K341" s="745"/>
      <c r="L341" s="745"/>
      <c r="M341" s="745"/>
      <c r="N341" s="747">
        <v>0.51</v>
      </c>
      <c r="O341" s="764"/>
      <c r="P341" s="745"/>
      <c r="Q341" s="1089"/>
      <c r="R341" s="1084"/>
      <c r="S341" s="40"/>
      <c r="T341" s="246"/>
      <c r="U341" s="40"/>
      <c r="V341" s="40"/>
      <c r="W341" s="166"/>
      <c r="X341" s="166"/>
      <c r="Y341" s="40"/>
      <c r="Z341" s="94"/>
      <c r="AE341" s="2461"/>
      <c r="AF341" s="68"/>
    </row>
    <row r="342" spans="1:32" ht="30.5" x14ac:dyDescent="0.35">
      <c r="A342" s="441">
        <v>165</v>
      </c>
      <c r="B342" s="358">
        <v>11156</v>
      </c>
      <c r="C342" s="358" t="s">
        <v>1656</v>
      </c>
      <c r="D342" s="2464" t="s">
        <v>5857</v>
      </c>
      <c r="E342" s="443" t="s">
        <v>8848</v>
      </c>
      <c r="F342" s="166" t="s">
        <v>664</v>
      </c>
      <c r="G342" s="50">
        <v>5</v>
      </c>
      <c r="H342" s="50">
        <v>6</v>
      </c>
      <c r="I342" s="297">
        <f>J342+K342+L342</f>
        <v>0.82</v>
      </c>
      <c r="J342" s="297">
        <f>SUM(M342:R342)</f>
        <v>0.82</v>
      </c>
      <c r="K342" s="745"/>
      <c r="L342" s="745"/>
      <c r="M342" s="745"/>
      <c r="N342" s="749"/>
      <c r="O342" s="769"/>
      <c r="P342" s="749"/>
      <c r="Q342" s="2395"/>
      <c r="R342" s="2394">
        <v>0.82</v>
      </c>
      <c r="S342" s="40"/>
      <c r="T342" s="246"/>
      <c r="U342" s="40"/>
      <c r="V342" s="40"/>
      <c r="W342" s="166"/>
      <c r="X342" s="166"/>
      <c r="Y342" s="40"/>
      <c r="Z342" s="94"/>
      <c r="AB342" s="3">
        <v>1</v>
      </c>
      <c r="AE342" s="2461"/>
      <c r="AF342" s="68"/>
    </row>
    <row r="343" spans="1:32" ht="30.5" x14ac:dyDescent="0.35">
      <c r="A343" s="441">
        <v>166</v>
      </c>
      <c r="B343" s="358">
        <v>11156</v>
      </c>
      <c r="C343" s="358" t="s">
        <v>1656</v>
      </c>
      <c r="D343" s="2464" t="s">
        <v>5858</v>
      </c>
      <c r="E343" s="443" t="s">
        <v>8849</v>
      </c>
      <c r="F343" s="166" t="s">
        <v>664</v>
      </c>
      <c r="G343" s="50">
        <v>5</v>
      </c>
      <c r="H343" s="50">
        <v>6</v>
      </c>
      <c r="I343" s="297">
        <f>J343+K343+L343</f>
        <v>0.5</v>
      </c>
      <c r="J343" s="297">
        <f>SUM(M343:R343)</f>
        <v>0.5</v>
      </c>
      <c r="K343" s="745"/>
      <c r="L343" s="745"/>
      <c r="M343" s="745"/>
      <c r="N343" s="762"/>
      <c r="O343" s="769"/>
      <c r="P343" s="749"/>
      <c r="Q343" s="2393"/>
      <c r="R343" s="2394">
        <v>0.5</v>
      </c>
      <c r="S343" s="40"/>
      <c r="T343" s="246"/>
      <c r="U343" s="40"/>
      <c r="V343" s="40"/>
      <c r="W343" s="166"/>
      <c r="X343" s="166"/>
      <c r="Y343" s="40"/>
      <c r="Z343" s="94"/>
      <c r="AB343" s="3">
        <v>1</v>
      </c>
      <c r="AE343" s="2461"/>
      <c r="AF343" s="68"/>
    </row>
    <row r="344" spans="1:32" ht="30" x14ac:dyDescent="0.35">
      <c r="A344" s="441">
        <v>167</v>
      </c>
      <c r="B344" s="358">
        <v>11157</v>
      </c>
      <c r="C344" s="358"/>
      <c r="D344" s="358" t="s">
        <v>227</v>
      </c>
      <c r="E344" s="417" t="s">
        <v>331</v>
      </c>
      <c r="F344" s="41"/>
      <c r="G344" s="50" t="s">
        <v>191</v>
      </c>
      <c r="H344" s="50" t="s">
        <v>191</v>
      </c>
      <c r="I344" s="762">
        <f>J344+K344+L344</f>
        <v>2.87</v>
      </c>
      <c r="J344" s="762">
        <f>SUM(M344:R344)</f>
        <v>2.87</v>
      </c>
      <c r="K344" s="762"/>
      <c r="L344" s="762"/>
      <c r="M344" s="762"/>
      <c r="N344" s="762"/>
      <c r="O344" s="763"/>
      <c r="P344" s="762"/>
      <c r="Q344" s="1445">
        <f>SUM(Q345:Q346)</f>
        <v>2.17</v>
      </c>
      <c r="R344" s="1440">
        <f>SUM(R345:R346)</f>
        <v>0.7</v>
      </c>
      <c r="S344" s="49"/>
      <c r="T344" s="255"/>
      <c r="U344" s="49"/>
      <c r="V344" s="49"/>
      <c r="W344" s="168">
        <v>7</v>
      </c>
      <c r="X344" s="168">
        <v>109.4</v>
      </c>
      <c r="Y344" s="42"/>
      <c r="Z344" s="107"/>
      <c r="AB344" s="3">
        <v>1</v>
      </c>
      <c r="AE344" s="2461"/>
      <c r="AF344" s="68"/>
    </row>
    <row r="345" spans="1:32" x14ac:dyDescent="0.35">
      <c r="A345" s="359"/>
      <c r="B345" s="358">
        <v>11157</v>
      </c>
      <c r="C345" s="358"/>
      <c r="D345" s="360"/>
      <c r="E345" s="885" t="s">
        <v>2585</v>
      </c>
      <c r="F345" s="40" t="s">
        <v>664</v>
      </c>
      <c r="G345" s="40">
        <v>5</v>
      </c>
      <c r="H345" s="50">
        <v>6</v>
      </c>
      <c r="I345" s="745"/>
      <c r="J345" s="745"/>
      <c r="K345" s="745"/>
      <c r="L345" s="745"/>
      <c r="M345" s="745"/>
      <c r="N345" s="745"/>
      <c r="O345" s="764"/>
      <c r="P345" s="745"/>
      <c r="Q345" s="1089"/>
      <c r="R345" s="1082">
        <v>0.7</v>
      </c>
      <c r="S345" s="40"/>
      <c r="T345" s="246"/>
      <c r="U345" s="40"/>
      <c r="V345" s="40"/>
      <c r="W345" s="166"/>
      <c r="X345" s="166"/>
      <c r="Y345" s="40"/>
      <c r="Z345" s="94"/>
      <c r="AE345" s="2461"/>
      <c r="AF345" s="68"/>
    </row>
    <row r="346" spans="1:32" x14ac:dyDescent="0.35">
      <c r="A346" s="359"/>
      <c r="B346" s="358">
        <v>11157</v>
      </c>
      <c r="C346" s="358"/>
      <c r="D346" s="360"/>
      <c r="E346" s="884" t="s">
        <v>332</v>
      </c>
      <c r="F346" s="40">
        <v>5</v>
      </c>
      <c r="G346" s="40">
        <v>5</v>
      </c>
      <c r="H346" s="50">
        <v>6</v>
      </c>
      <c r="I346" s="745"/>
      <c r="J346" s="745"/>
      <c r="K346" s="745"/>
      <c r="L346" s="745"/>
      <c r="M346" s="745"/>
      <c r="N346" s="745"/>
      <c r="O346" s="764"/>
      <c r="P346" s="745"/>
      <c r="Q346" s="1087">
        <v>2.17</v>
      </c>
      <c r="R346" s="1084"/>
      <c r="S346" s="40"/>
      <c r="T346" s="246"/>
      <c r="U346" s="40"/>
      <c r="V346" s="40"/>
      <c r="W346" s="166"/>
      <c r="X346" s="166"/>
      <c r="Y346" s="40"/>
      <c r="Z346" s="94"/>
      <c r="AE346" s="2461"/>
      <c r="AF346" s="68"/>
    </row>
    <row r="347" spans="1:32" ht="45" x14ac:dyDescent="0.35">
      <c r="A347" s="525">
        <v>168</v>
      </c>
      <c r="B347" s="693">
        <v>11143</v>
      </c>
      <c r="C347" s="693" t="s">
        <v>1656</v>
      </c>
      <c r="D347" s="2464" t="s">
        <v>5859</v>
      </c>
      <c r="E347" s="2187" t="s">
        <v>8850</v>
      </c>
      <c r="F347" s="93" t="s">
        <v>664</v>
      </c>
      <c r="G347" s="93">
        <v>5</v>
      </c>
      <c r="H347" s="50">
        <v>6</v>
      </c>
      <c r="I347" s="2143">
        <f>L347+K347+J347</f>
        <v>0.1</v>
      </c>
      <c r="J347" s="2143">
        <f>SUM(M347:R347)</f>
        <v>0.1</v>
      </c>
      <c r="K347" s="622"/>
      <c r="L347" s="622"/>
      <c r="M347" s="622"/>
      <c r="N347" s="622"/>
      <c r="O347" s="622"/>
      <c r="P347" s="622"/>
      <c r="Q347" s="2085"/>
      <c r="R347" s="1981">
        <v>0.1</v>
      </c>
      <c r="S347" s="1779"/>
      <c r="T347" s="1779"/>
      <c r="U347" s="1779"/>
      <c r="V347" s="1779"/>
      <c r="W347" s="1779"/>
      <c r="X347" s="1779"/>
      <c r="Y347" s="1779"/>
      <c r="Z347" s="1780"/>
      <c r="AB347" s="3">
        <v>1</v>
      </c>
      <c r="AE347" s="2461"/>
      <c r="AF347" s="68"/>
    </row>
    <row r="348" spans="1:32" ht="30" x14ac:dyDescent="0.35">
      <c r="A348" s="441">
        <v>169</v>
      </c>
      <c r="B348" s="693">
        <v>11143</v>
      </c>
      <c r="C348" s="358"/>
      <c r="D348" s="358" t="s">
        <v>769</v>
      </c>
      <c r="E348" s="417" t="s">
        <v>2140</v>
      </c>
      <c r="F348" s="41" t="s">
        <v>664</v>
      </c>
      <c r="G348" s="50">
        <v>5</v>
      </c>
      <c r="H348" s="50">
        <v>6</v>
      </c>
      <c r="I348" s="762">
        <f>J348+K348+L348</f>
        <v>2.8</v>
      </c>
      <c r="J348" s="762">
        <f>SUM(M348:R348)</f>
        <v>2.8</v>
      </c>
      <c r="K348" s="762"/>
      <c r="L348" s="762"/>
      <c r="M348" s="762"/>
      <c r="N348" s="762"/>
      <c r="O348" s="763"/>
      <c r="P348" s="762"/>
      <c r="Q348" s="1445"/>
      <c r="R348" s="1440">
        <v>2.8</v>
      </c>
      <c r="S348" s="49"/>
      <c r="T348" s="255"/>
      <c r="U348" s="49"/>
      <c r="V348" s="49"/>
      <c r="W348" s="168"/>
      <c r="X348" s="168"/>
      <c r="Y348" s="42"/>
      <c r="Z348" s="107"/>
      <c r="AB348" s="3">
        <v>1</v>
      </c>
      <c r="AE348" s="2461"/>
      <c r="AF348" s="68"/>
    </row>
    <row r="349" spans="1:32" ht="30.5" x14ac:dyDescent="0.35">
      <c r="A349" s="525">
        <v>170</v>
      </c>
      <c r="B349" s="358">
        <v>11158</v>
      </c>
      <c r="C349" s="358" t="s">
        <v>1656</v>
      </c>
      <c r="D349" s="2464" t="s">
        <v>5860</v>
      </c>
      <c r="E349" s="443" t="s">
        <v>8851</v>
      </c>
      <c r="F349" s="166" t="s">
        <v>664</v>
      </c>
      <c r="G349" s="50">
        <v>5</v>
      </c>
      <c r="H349" s="50">
        <v>6</v>
      </c>
      <c r="I349" s="297">
        <f>J349+K349+L349</f>
        <v>1</v>
      </c>
      <c r="J349" s="297">
        <f>SUM(M349:R349)</f>
        <v>1</v>
      </c>
      <c r="K349" s="745"/>
      <c r="L349" s="745"/>
      <c r="M349" s="749"/>
      <c r="N349" s="749"/>
      <c r="O349" s="769"/>
      <c r="P349" s="749"/>
      <c r="Q349" s="1850"/>
      <c r="R349" s="2394">
        <v>1</v>
      </c>
      <c r="S349" s="40"/>
      <c r="T349" s="246"/>
      <c r="U349" s="40"/>
      <c r="V349" s="40"/>
      <c r="W349" s="166"/>
      <c r="X349" s="166"/>
      <c r="Y349" s="40"/>
      <c r="Z349" s="94"/>
      <c r="AB349" s="3">
        <v>1</v>
      </c>
      <c r="AE349" s="2461"/>
      <c r="AF349" s="68"/>
    </row>
    <row r="350" spans="1:32" ht="30" x14ac:dyDescent="0.35">
      <c r="A350" s="441">
        <v>171</v>
      </c>
      <c r="B350" s="358">
        <v>11159</v>
      </c>
      <c r="C350" s="358"/>
      <c r="D350" s="358" t="s">
        <v>2719</v>
      </c>
      <c r="E350" s="417" t="s">
        <v>2141</v>
      </c>
      <c r="F350" s="41"/>
      <c r="G350" s="50" t="s">
        <v>191</v>
      </c>
      <c r="H350" s="50" t="s">
        <v>191</v>
      </c>
      <c r="I350" s="762">
        <f>J350+K350+L350</f>
        <v>1.4</v>
      </c>
      <c r="J350" s="762">
        <f>SUM(M350:R350)</f>
        <v>1.4</v>
      </c>
      <c r="K350" s="762"/>
      <c r="L350" s="762"/>
      <c r="M350" s="762"/>
      <c r="N350" s="762">
        <f>SUM(N351:N352)</f>
        <v>0.7</v>
      </c>
      <c r="O350" s="763"/>
      <c r="P350" s="762"/>
      <c r="Q350" s="1445"/>
      <c r="R350" s="1440">
        <f>SUM(R351:R352)</f>
        <v>0.7</v>
      </c>
      <c r="S350" s="49"/>
      <c r="T350" s="255"/>
      <c r="U350" s="49"/>
      <c r="V350" s="49"/>
      <c r="W350" s="168">
        <v>4</v>
      </c>
      <c r="X350" s="168">
        <v>56.1</v>
      </c>
      <c r="Y350" s="42"/>
      <c r="Z350" s="107"/>
      <c r="AB350" s="3">
        <v>1</v>
      </c>
      <c r="AE350" s="2461"/>
      <c r="AF350" s="68"/>
    </row>
    <row r="351" spans="1:32" x14ac:dyDescent="0.35">
      <c r="A351" s="359"/>
      <c r="B351" s="358">
        <v>11159</v>
      </c>
      <c r="C351" s="358"/>
      <c r="D351" s="360"/>
      <c r="E351" s="442" t="s">
        <v>2585</v>
      </c>
      <c r="F351" s="41">
        <v>5</v>
      </c>
      <c r="G351" s="50">
        <v>5</v>
      </c>
      <c r="H351" s="50">
        <v>6</v>
      </c>
      <c r="I351" s="745"/>
      <c r="J351" s="745"/>
      <c r="K351" s="745"/>
      <c r="L351" s="745"/>
      <c r="M351" s="745"/>
      <c r="N351" s="747">
        <v>0.7</v>
      </c>
      <c r="O351" s="764"/>
      <c r="P351" s="745"/>
      <c r="Q351" s="1089"/>
      <c r="R351" s="1084"/>
      <c r="S351" s="40"/>
      <c r="T351" s="246"/>
      <c r="U351" s="40"/>
      <c r="V351" s="40"/>
      <c r="W351" s="166"/>
      <c r="X351" s="166"/>
      <c r="Y351" s="40"/>
      <c r="Z351" s="94"/>
      <c r="AE351" s="2461"/>
      <c r="AF351" s="68"/>
    </row>
    <row r="352" spans="1:32" x14ac:dyDescent="0.35">
      <c r="A352" s="359"/>
      <c r="B352" s="358">
        <v>11159</v>
      </c>
      <c r="C352" s="358"/>
      <c r="D352" s="360"/>
      <c r="E352" s="885" t="s">
        <v>2142</v>
      </c>
      <c r="F352" s="41">
        <v>5</v>
      </c>
      <c r="G352" s="50">
        <v>5</v>
      </c>
      <c r="H352" s="50">
        <v>6</v>
      </c>
      <c r="I352" s="745"/>
      <c r="J352" s="745"/>
      <c r="K352" s="745"/>
      <c r="L352" s="745"/>
      <c r="M352" s="745"/>
      <c r="N352" s="745"/>
      <c r="O352" s="764"/>
      <c r="P352" s="745"/>
      <c r="Q352" s="1089"/>
      <c r="R352" s="1082">
        <v>0.7</v>
      </c>
      <c r="S352" s="40"/>
      <c r="T352" s="246"/>
      <c r="U352" s="40"/>
      <c r="V352" s="40"/>
      <c r="W352" s="166"/>
      <c r="X352" s="166"/>
      <c r="Y352" s="40"/>
      <c r="Z352" s="94"/>
      <c r="AE352" s="2461"/>
      <c r="AF352" s="68"/>
    </row>
    <row r="353" spans="1:32" ht="30.5" x14ac:dyDescent="0.35">
      <c r="A353" s="441">
        <v>172</v>
      </c>
      <c r="B353" s="358">
        <v>11160</v>
      </c>
      <c r="C353" s="358"/>
      <c r="D353" s="358" t="s">
        <v>2720</v>
      </c>
      <c r="E353" s="417" t="s">
        <v>9582</v>
      </c>
      <c r="F353" s="41">
        <v>4</v>
      </c>
      <c r="G353" s="50">
        <v>5</v>
      </c>
      <c r="H353" s="50">
        <v>6</v>
      </c>
      <c r="I353" s="762">
        <f>J353+K353+L353</f>
        <v>2.6</v>
      </c>
      <c r="J353" s="762">
        <f t="shared" ref="J353:J366" si="23">SUM(M353:R353)</f>
        <v>2.6</v>
      </c>
      <c r="K353" s="762"/>
      <c r="L353" s="762"/>
      <c r="M353" s="762"/>
      <c r="N353" s="762"/>
      <c r="O353" s="763"/>
      <c r="P353" s="762"/>
      <c r="Q353" s="1445">
        <v>2.6</v>
      </c>
      <c r="R353" s="1440"/>
      <c r="S353" s="49"/>
      <c r="T353" s="255"/>
      <c r="U353" s="49"/>
      <c r="V353" s="49"/>
      <c r="W353" s="168">
        <v>2</v>
      </c>
      <c r="X353" s="168">
        <v>20.3</v>
      </c>
      <c r="Y353" s="42"/>
      <c r="Z353" s="107"/>
      <c r="AB353" s="3">
        <v>1</v>
      </c>
      <c r="AC353" s="3" t="s">
        <v>1761</v>
      </c>
      <c r="AD353" s="2100">
        <v>33255</v>
      </c>
      <c r="AE353" s="2461"/>
      <c r="AF353" s="68"/>
    </row>
    <row r="354" spans="1:32" ht="30" x14ac:dyDescent="0.35">
      <c r="A354" s="441">
        <v>173</v>
      </c>
      <c r="B354" s="358">
        <v>11161</v>
      </c>
      <c r="C354" s="358"/>
      <c r="D354" s="358" t="s">
        <v>2721</v>
      </c>
      <c r="E354" s="417" t="s">
        <v>2143</v>
      </c>
      <c r="F354" s="41" t="s">
        <v>664</v>
      </c>
      <c r="G354" s="50">
        <v>5</v>
      </c>
      <c r="H354" s="50">
        <v>6</v>
      </c>
      <c r="I354" s="762">
        <f>J354+K354+L354</f>
        <v>3</v>
      </c>
      <c r="J354" s="762">
        <f t="shared" si="23"/>
        <v>3</v>
      </c>
      <c r="K354" s="762"/>
      <c r="L354" s="762"/>
      <c r="M354" s="762"/>
      <c r="N354" s="762"/>
      <c r="O354" s="763"/>
      <c r="P354" s="762"/>
      <c r="Q354" s="1445"/>
      <c r="R354" s="1440">
        <v>3</v>
      </c>
      <c r="S354" s="49"/>
      <c r="T354" s="255"/>
      <c r="U354" s="49"/>
      <c r="V354" s="49"/>
      <c r="W354" s="168"/>
      <c r="X354" s="168"/>
      <c r="Y354" s="42"/>
      <c r="Z354" s="107"/>
      <c r="AB354" s="3">
        <v>1</v>
      </c>
      <c r="AE354" s="2461"/>
      <c r="AF354" s="68"/>
    </row>
    <row r="355" spans="1:32" ht="30" x14ac:dyDescent="0.35">
      <c r="A355" s="441">
        <v>174</v>
      </c>
      <c r="B355" s="693">
        <v>11161</v>
      </c>
      <c r="C355" s="693" t="s">
        <v>1656</v>
      </c>
      <c r="D355" s="2464" t="s">
        <v>5861</v>
      </c>
      <c r="E355" s="2187" t="s">
        <v>8852</v>
      </c>
      <c r="F355" s="93" t="s">
        <v>664</v>
      </c>
      <c r="G355" s="93">
        <v>5</v>
      </c>
      <c r="H355" s="50">
        <v>6</v>
      </c>
      <c r="I355" s="2143">
        <f>L355+K355+J355</f>
        <v>0.2</v>
      </c>
      <c r="J355" s="2143">
        <f t="shared" si="23"/>
        <v>0.2</v>
      </c>
      <c r="K355" s="622"/>
      <c r="L355" s="622"/>
      <c r="M355" s="622"/>
      <c r="N355" s="622"/>
      <c r="O355" s="622"/>
      <c r="P355" s="622"/>
      <c r="Q355" s="2085"/>
      <c r="R355" s="906">
        <v>0.2</v>
      </c>
      <c r="S355" s="106"/>
      <c r="T355" s="106"/>
      <c r="U355" s="106"/>
      <c r="V355" s="106"/>
      <c r="W355" s="105"/>
      <c r="X355" s="105"/>
      <c r="Y355" s="105"/>
      <c r="Z355" s="323"/>
      <c r="AB355" s="3">
        <v>1</v>
      </c>
      <c r="AE355" s="2461"/>
      <c r="AF355" s="68"/>
    </row>
    <row r="356" spans="1:32" ht="30" x14ac:dyDescent="0.35">
      <c r="A356" s="441">
        <v>175</v>
      </c>
      <c r="B356" s="358">
        <v>11162</v>
      </c>
      <c r="C356" s="358"/>
      <c r="D356" s="358" t="s">
        <v>2722</v>
      </c>
      <c r="E356" s="443" t="s">
        <v>7091</v>
      </c>
      <c r="F356" s="41" t="s">
        <v>664</v>
      </c>
      <c r="G356" s="50">
        <v>5</v>
      </c>
      <c r="H356" s="50">
        <v>6</v>
      </c>
      <c r="I356" s="762">
        <f t="shared" ref="I356:I361" si="24">J356+K356+L356</f>
        <v>4.2</v>
      </c>
      <c r="J356" s="762">
        <f t="shared" si="23"/>
        <v>4.2</v>
      </c>
      <c r="K356" s="762"/>
      <c r="L356" s="762"/>
      <c r="M356" s="762"/>
      <c r="N356" s="762"/>
      <c r="O356" s="763"/>
      <c r="P356" s="762"/>
      <c r="Q356" s="1445"/>
      <c r="R356" s="1440">
        <v>4.2</v>
      </c>
      <c r="S356" s="49">
        <v>1</v>
      </c>
      <c r="T356" s="255">
        <v>9.1999999999999993</v>
      </c>
      <c r="U356" s="49"/>
      <c r="V356" s="49"/>
      <c r="W356" s="168">
        <v>1</v>
      </c>
      <c r="X356" s="168">
        <v>10.199999999999999</v>
      </c>
      <c r="Y356" s="42"/>
      <c r="Z356" s="107"/>
      <c r="AB356" s="3">
        <v>1</v>
      </c>
      <c r="AE356" s="2461"/>
      <c r="AF356" s="68"/>
    </row>
    <row r="357" spans="1:32" ht="30.5" x14ac:dyDescent="0.35">
      <c r="A357" s="441">
        <v>176</v>
      </c>
      <c r="B357" s="358">
        <v>11162</v>
      </c>
      <c r="C357" s="358" t="s">
        <v>1656</v>
      </c>
      <c r="D357" s="2464" t="s">
        <v>5862</v>
      </c>
      <c r="E357" s="443" t="s">
        <v>8853</v>
      </c>
      <c r="F357" s="166" t="s">
        <v>664</v>
      </c>
      <c r="G357" s="50">
        <v>5</v>
      </c>
      <c r="H357" s="50">
        <v>6</v>
      </c>
      <c r="I357" s="297">
        <f t="shared" si="24"/>
        <v>0.7</v>
      </c>
      <c r="J357" s="297">
        <f>SUM(M357:R357)</f>
        <v>0.7</v>
      </c>
      <c r="K357" s="745"/>
      <c r="L357" s="745"/>
      <c r="M357" s="749"/>
      <c r="N357" s="744"/>
      <c r="O357" s="769"/>
      <c r="P357" s="749"/>
      <c r="Q357" s="2393"/>
      <c r="R357" s="2394">
        <v>0.7</v>
      </c>
      <c r="S357" s="40"/>
      <c r="T357" s="246"/>
      <c r="U357" s="40"/>
      <c r="V357" s="40"/>
      <c r="W357" s="166"/>
      <c r="X357" s="166"/>
      <c r="Y357" s="40"/>
      <c r="Z357" s="94"/>
      <c r="AB357" s="3">
        <v>1</v>
      </c>
      <c r="AE357" s="2461"/>
      <c r="AF357" s="68"/>
    </row>
    <row r="358" spans="1:32" ht="30" x14ac:dyDescent="0.35">
      <c r="A358" s="441">
        <v>177</v>
      </c>
      <c r="B358" s="358">
        <v>11163</v>
      </c>
      <c r="C358" s="358"/>
      <c r="D358" s="358" t="s">
        <v>2723</v>
      </c>
      <c r="E358" s="443" t="s">
        <v>334</v>
      </c>
      <c r="F358" s="41" t="s">
        <v>664</v>
      </c>
      <c r="G358" s="50">
        <v>5</v>
      </c>
      <c r="H358" s="50">
        <v>6</v>
      </c>
      <c r="I358" s="762">
        <f t="shared" si="24"/>
        <v>4.4000000000000004</v>
      </c>
      <c r="J358" s="762">
        <f t="shared" si="23"/>
        <v>4.4000000000000004</v>
      </c>
      <c r="K358" s="762"/>
      <c r="L358" s="762"/>
      <c r="M358" s="762"/>
      <c r="N358" s="762"/>
      <c r="O358" s="763"/>
      <c r="P358" s="762"/>
      <c r="Q358" s="1445"/>
      <c r="R358" s="1440">
        <v>4.4000000000000004</v>
      </c>
      <c r="S358" s="49"/>
      <c r="T358" s="255"/>
      <c r="U358" s="49"/>
      <c r="V358" s="49"/>
      <c r="W358" s="168">
        <v>5</v>
      </c>
      <c r="X358" s="168">
        <v>105.3</v>
      </c>
      <c r="Y358" s="42"/>
      <c r="Z358" s="107"/>
      <c r="AB358" s="3">
        <v>1</v>
      </c>
      <c r="AE358" s="2461"/>
      <c r="AF358" s="68"/>
    </row>
    <row r="359" spans="1:32" ht="45.5" x14ac:dyDescent="0.35">
      <c r="A359" s="441">
        <v>178</v>
      </c>
      <c r="B359" s="358">
        <v>11163</v>
      </c>
      <c r="C359" s="358" t="s">
        <v>1656</v>
      </c>
      <c r="D359" s="2464" t="s">
        <v>5863</v>
      </c>
      <c r="E359" s="443" t="s">
        <v>8854</v>
      </c>
      <c r="F359" s="2289" t="s">
        <v>664</v>
      </c>
      <c r="G359" s="50">
        <v>5</v>
      </c>
      <c r="H359" s="50">
        <v>6</v>
      </c>
      <c r="I359" s="297">
        <f t="shared" si="24"/>
        <v>0.5</v>
      </c>
      <c r="J359" s="297">
        <f>SUM(M359:R359)</f>
        <v>0.5</v>
      </c>
      <c r="K359" s="762"/>
      <c r="L359" s="762"/>
      <c r="M359" s="762"/>
      <c r="N359" s="762"/>
      <c r="O359" s="763"/>
      <c r="P359" s="762"/>
      <c r="Q359" s="2395"/>
      <c r="R359" s="2396">
        <v>0.5</v>
      </c>
      <c r="S359" s="49"/>
      <c r="T359" s="255"/>
      <c r="U359" s="49"/>
      <c r="V359" s="49"/>
      <c r="W359" s="168"/>
      <c r="X359" s="168"/>
      <c r="Y359" s="42"/>
      <c r="Z359" s="107"/>
      <c r="AB359" s="3">
        <v>1</v>
      </c>
      <c r="AE359" s="2461"/>
      <c r="AF359" s="68"/>
    </row>
    <row r="360" spans="1:32" ht="45.5" x14ac:dyDescent="0.35">
      <c r="A360" s="441">
        <v>179</v>
      </c>
      <c r="B360" s="358">
        <v>11163</v>
      </c>
      <c r="C360" s="358" t="s">
        <v>1656</v>
      </c>
      <c r="D360" s="2464" t="s">
        <v>5864</v>
      </c>
      <c r="E360" s="443" t="s">
        <v>8855</v>
      </c>
      <c r="F360" s="166" t="s">
        <v>664</v>
      </c>
      <c r="G360" s="50">
        <v>5</v>
      </c>
      <c r="H360" s="50">
        <v>6</v>
      </c>
      <c r="I360" s="297">
        <f t="shared" si="24"/>
        <v>0.3</v>
      </c>
      <c r="J360" s="297">
        <f>SUM(M360:R360)</f>
        <v>0.3</v>
      </c>
      <c r="K360" s="745"/>
      <c r="L360" s="745"/>
      <c r="M360" s="749"/>
      <c r="N360" s="749"/>
      <c r="O360" s="769"/>
      <c r="P360" s="749"/>
      <c r="Q360" s="2393"/>
      <c r="R360" s="1846">
        <v>0.3</v>
      </c>
      <c r="S360" s="40"/>
      <c r="T360" s="246"/>
      <c r="U360" s="40"/>
      <c r="V360" s="40"/>
      <c r="W360" s="166"/>
      <c r="X360" s="166"/>
      <c r="Y360" s="40"/>
      <c r="Z360" s="94"/>
      <c r="AB360" s="3">
        <v>1</v>
      </c>
      <c r="AE360" s="2461"/>
      <c r="AF360" s="68"/>
    </row>
    <row r="361" spans="1:32" ht="30" x14ac:dyDescent="0.35">
      <c r="A361" s="441">
        <v>180</v>
      </c>
      <c r="B361" s="358">
        <v>11164</v>
      </c>
      <c r="C361" s="358"/>
      <c r="D361" s="358" t="s">
        <v>2724</v>
      </c>
      <c r="E361" s="443" t="s">
        <v>775</v>
      </c>
      <c r="F361" s="41" t="s">
        <v>664</v>
      </c>
      <c r="G361" s="50">
        <v>5</v>
      </c>
      <c r="H361" s="50">
        <v>6</v>
      </c>
      <c r="I361" s="762">
        <f t="shared" si="24"/>
        <v>1</v>
      </c>
      <c r="J361" s="762">
        <f t="shared" si="23"/>
        <v>1</v>
      </c>
      <c r="K361" s="762"/>
      <c r="L361" s="762"/>
      <c r="M361" s="762"/>
      <c r="N361" s="762"/>
      <c r="O361" s="763"/>
      <c r="P361" s="762"/>
      <c r="Q361" s="1445"/>
      <c r="R361" s="1440">
        <v>1</v>
      </c>
      <c r="S361" s="49">
        <v>1</v>
      </c>
      <c r="T361" s="255">
        <v>9</v>
      </c>
      <c r="U361" s="49"/>
      <c r="V361" s="49"/>
      <c r="W361" s="168"/>
      <c r="X361" s="168"/>
      <c r="Y361" s="42"/>
      <c r="Z361" s="107"/>
      <c r="AB361" s="3">
        <v>1</v>
      </c>
      <c r="AE361" s="2461"/>
      <c r="AF361" s="68"/>
    </row>
    <row r="362" spans="1:32" ht="30" x14ac:dyDescent="0.35">
      <c r="A362" s="441">
        <v>181</v>
      </c>
      <c r="B362" s="693">
        <v>11164</v>
      </c>
      <c r="C362" s="693" t="s">
        <v>1656</v>
      </c>
      <c r="D362" s="2464" t="s">
        <v>5865</v>
      </c>
      <c r="E362" s="2187" t="s">
        <v>8856</v>
      </c>
      <c r="F362" s="93" t="s">
        <v>664</v>
      </c>
      <c r="G362" s="93">
        <v>5</v>
      </c>
      <c r="H362" s="50">
        <v>6</v>
      </c>
      <c r="I362" s="2143">
        <f>L362+K362+J362</f>
        <v>0.2</v>
      </c>
      <c r="J362" s="2143">
        <f t="shared" si="23"/>
        <v>0.2</v>
      </c>
      <c r="K362" s="622"/>
      <c r="L362" s="622"/>
      <c r="M362" s="622"/>
      <c r="N362" s="622"/>
      <c r="O362" s="622"/>
      <c r="P362" s="622"/>
      <c r="Q362" s="2085"/>
      <c r="R362" s="1981">
        <v>0.2</v>
      </c>
      <c r="S362" s="1779"/>
      <c r="T362" s="1779"/>
      <c r="U362" s="1779"/>
      <c r="V362" s="1779"/>
      <c r="W362" s="1779"/>
      <c r="X362" s="1779"/>
      <c r="Y362" s="1779"/>
      <c r="Z362" s="1780"/>
      <c r="AB362" s="3">
        <v>1</v>
      </c>
      <c r="AE362" s="2461"/>
      <c r="AF362" s="68"/>
    </row>
    <row r="363" spans="1:32" ht="30" x14ac:dyDescent="0.35">
      <c r="A363" s="441">
        <v>182</v>
      </c>
      <c r="B363" s="358">
        <v>11165</v>
      </c>
      <c r="C363" s="358"/>
      <c r="D363" s="358" t="s">
        <v>2725</v>
      </c>
      <c r="E363" s="417" t="s">
        <v>1570</v>
      </c>
      <c r="F363" s="41" t="s">
        <v>664</v>
      </c>
      <c r="G363" s="50">
        <v>5</v>
      </c>
      <c r="H363" s="50">
        <v>6</v>
      </c>
      <c r="I363" s="762">
        <f>J363+K363+L363</f>
        <v>3</v>
      </c>
      <c r="J363" s="762">
        <f t="shared" si="23"/>
        <v>3</v>
      </c>
      <c r="K363" s="762"/>
      <c r="L363" s="762"/>
      <c r="M363" s="762"/>
      <c r="N363" s="762"/>
      <c r="O363" s="763"/>
      <c r="P363" s="762"/>
      <c r="Q363" s="1445"/>
      <c r="R363" s="1440">
        <v>3</v>
      </c>
      <c r="S363" s="49"/>
      <c r="T363" s="255"/>
      <c r="U363" s="49"/>
      <c r="V363" s="49"/>
      <c r="W363" s="168"/>
      <c r="X363" s="168"/>
      <c r="Y363" s="42"/>
      <c r="Z363" s="107"/>
      <c r="AB363" s="3">
        <v>1</v>
      </c>
      <c r="AE363" s="2461"/>
      <c r="AF363" s="68"/>
    </row>
    <row r="364" spans="1:32" ht="30" x14ac:dyDescent="0.35">
      <c r="A364" s="441">
        <v>183</v>
      </c>
      <c r="B364" s="358">
        <v>11166</v>
      </c>
      <c r="C364" s="358"/>
      <c r="D364" s="358" t="s">
        <v>2726</v>
      </c>
      <c r="E364" s="417" t="s">
        <v>1180</v>
      </c>
      <c r="F364" s="41" t="s">
        <v>664</v>
      </c>
      <c r="G364" s="50">
        <v>5</v>
      </c>
      <c r="H364" s="50">
        <v>6</v>
      </c>
      <c r="I364" s="762">
        <f>J364+K364+L364</f>
        <v>1.6</v>
      </c>
      <c r="J364" s="762">
        <f t="shared" si="23"/>
        <v>1.6</v>
      </c>
      <c r="K364" s="762"/>
      <c r="L364" s="762"/>
      <c r="M364" s="762"/>
      <c r="N364" s="762"/>
      <c r="O364" s="763"/>
      <c r="P364" s="762"/>
      <c r="Q364" s="1445"/>
      <c r="R364" s="1440">
        <v>1.6</v>
      </c>
      <c r="S364" s="49"/>
      <c r="T364" s="255"/>
      <c r="U364" s="49"/>
      <c r="V364" s="49"/>
      <c r="W364" s="168">
        <v>1</v>
      </c>
      <c r="X364" s="168">
        <v>11.4</v>
      </c>
      <c r="Y364" s="42"/>
      <c r="Z364" s="107"/>
      <c r="AB364" s="3">
        <v>1</v>
      </c>
      <c r="AE364" s="2461"/>
      <c r="AF364" s="68"/>
    </row>
    <row r="365" spans="1:32" ht="30" x14ac:dyDescent="0.35">
      <c r="A365" s="441">
        <v>184</v>
      </c>
      <c r="B365" s="693">
        <v>11166</v>
      </c>
      <c r="C365" s="693" t="s">
        <v>1656</v>
      </c>
      <c r="D365" s="2464" t="s">
        <v>5866</v>
      </c>
      <c r="E365" s="2187" t="s">
        <v>8857</v>
      </c>
      <c r="F365" s="93" t="s">
        <v>664</v>
      </c>
      <c r="G365" s="93">
        <v>5</v>
      </c>
      <c r="H365" s="50">
        <v>6</v>
      </c>
      <c r="I365" s="2143">
        <f>L365+K365+J365</f>
        <v>0.35</v>
      </c>
      <c r="J365" s="2143">
        <f t="shared" si="23"/>
        <v>0.35</v>
      </c>
      <c r="K365" s="622"/>
      <c r="L365" s="622"/>
      <c r="M365" s="622"/>
      <c r="N365" s="622"/>
      <c r="O365" s="622"/>
      <c r="P365" s="622"/>
      <c r="Q365" s="2085"/>
      <c r="R365" s="906">
        <v>0.35</v>
      </c>
      <c r="S365" s="106"/>
      <c r="T365" s="106"/>
      <c r="U365" s="106"/>
      <c r="V365" s="106"/>
      <c r="W365" s="105"/>
      <c r="X365" s="105"/>
      <c r="Y365" s="105"/>
      <c r="Z365" s="323"/>
      <c r="AB365" s="3">
        <v>1</v>
      </c>
      <c r="AE365" s="2461"/>
      <c r="AF365" s="68"/>
    </row>
    <row r="366" spans="1:32" ht="30" x14ac:dyDescent="0.35">
      <c r="A366" s="441">
        <v>185</v>
      </c>
      <c r="B366" s="358">
        <v>11167</v>
      </c>
      <c r="C366" s="358"/>
      <c r="D366" s="358" t="s">
        <v>2067</v>
      </c>
      <c r="E366" s="417" t="s">
        <v>582</v>
      </c>
      <c r="F366" s="41"/>
      <c r="G366" s="50" t="s">
        <v>191</v>
      </c>
      <c r="H366" s="50" t="s">
        <v>191</v>
      </c>
      <c r="I366" s="762">
        <f>J366+K366+L366</f>
        <v>3</v>
      </c>
      <c r="J366" s="762">
        <f t="shared" si="23"/>
        <v>3</v>
      </c>
      <c r="K366" s="762"/>
      <c r="L366" s="762"/>
      <c r="M366" s="762"/>
      <c r="N366" s="762">
        <f>SUM(N367:N369)</f>
        <v>0.8</v>
      </c>
      <c r="O366" s="763"/>
      <c r="P366" s="762"/>
      <c r="Q366" s="1445">
        <f>SUM(Q367:Q369)</f>
        <v>0.95</v>
      </c>
      <c r="R366" s="1440">
        <f>SUM(R367:R369)</f>
        <v>1.25</v>
      </c>
      <c r="S366" s="49"/>
      <c r="T366" s="255"/>
      <c r="U366" s="49"/>
      <c r="V366" s="49"/>
      <c r="W366" s="168">
        <v>6</v>
      </c>
      <c r="X366" s="168">
        <f>40.8+20.12</f>
        <v>60.92</v>
      </c>
      <c r="Y366" s="42">
        <v>3</v>
      </c>
      <c r="Z366" s="311">
        <v>30.12</v>
      </c>
      <c r="AB366" s="3">
        <v>1</v>
      </c>
      <c r="AE366" s="2461"/>
      <c r="AF366" s="68"/>
    </row>
    <row r="367" spans="1:32" x14ac:dyDescent="0.35">
      <c r="A367" s="359"/>
      <c r="B367" s="358">
        <v>11167</v>
      </c>
      <c r="C367" s="358"/>
      <c r="D367" s="360"/>
      <c r="E367" s="442" t="s">
        <v>1966</v>
      </c>
      <c r="F367" s="40">
        <v>4</v>
      </c>
      <c r="G367" s="40">
        <v>5</v>
      </c>
      <c r="H367" s="50">
        <v>6</v>
      </c>
      <c r="I367" s="745"/>
      <c r="J367" s="745"/>
      <c r="K367" s="745"/>
      <c r="L367" s="745"/>
      <c r="M367" s="745"/>
      <c r="N367" s="747">
        <v>0.8</v>
      </c>
      <c r="O367" s="764"/>
      <c r="P367" s="745"/>
      <c r="Q367" s="1089"/>
      <c r="R367" s="1084"/>
      <c r="S367" s="40"/>
      <c r="T367" s="246"/>
      <c r="U367" s="40"/>
      <c r="V367" s="40"/>
      <c r="W367" s="166"/>
      <c r="X367" s="166"/>
      <c r="Y367" s="40"/>
      <c r="Z367" s="94"/>
      <c r="AE367" s="2461"/>
      <c r="AF367" s="68"/>
    </row>
    <row r="368" spans="1:32" x14ac:dyDescent="0.35">
      <c r="A368" s="359"/>
      <c r="B368" s="358">
        <v>11167</v>
      </c>
      <c r="C368" s="358"/>
      <c r="D368" s="360"/>
      <c r="E368" s="884" t="s">
        <v>2144</v>
      </c>
      <c r="F368" s="40">
        <v>5</v>
      </c>
      <c r="G368" s="40">
        <v>5</v>
      </c>
      <c r="H368" s="50">
        <v>6</v>
      </c>
      <c r="I368" s="745"/>
      <c r="J368" s="745"/>
      <c r="K368" s="745"/>
      <c r="L368" s="745"/>
      <c r="M368" s="745"/>
      <c r="N368" s="745"/>
      <c r="O368" s="764"/>
      <c r="P368" s="745"/>
      <c r="Q368" s="1087">
        <v>0.95</v>
      </c>
      <c r="R368" s="1084"/>
      <c r="S368" s="40"/>
      <c r="T368" s="246"/>
      <c r="U368" s="40"/>
      <c r="V368" s="40"/>
      <c r="W368" s="166"/>
      <c r="X368" s="166"/>
      <c r="Y368" s="40"/>
      <c r="Z368" s="94"/>
      <c r="AE368" s="2461"/>
      <c r="AF368" s="68"/>
    </row>
    <row r="369" spans="1:32" x14ac:dyDescent="0.35">
      <c r="A369" s="359"/>
      <c r="B369" s="358">
        <v>11167</v>
      </c>
      <c r="C369" s="358"/>
      <c r="D369" s="360"/>
      <c r="E369" s="885" t="s">
        <v>2348</v>
      </c>
      <c r="F369" s="40" t="s">
        <v>664</v>
      </c>
      <c r="G369" s="40">
        <v>5</v>
      </c>
      <c r="H369" s="50">
        <v>6</v>
      </c>
      <c r="I369" s="745"/>
      <c r="J369" s="745"/>
      <c r="K369" s="745"/>
      <c r="L369" s="745"/>
      <c r="M369" s="745"/>
      <c r="N369" s="745"/>
      <c r="O369" s="764"/>
      <c r="P369" s="745"/>
      <c r="Q369" s="1089"/>
      <c r="R369" s="1082">
        <v>1.25</v>
      </c>
      <c r="S369" s="40"/>
      <c r="T369" s="246"/>
      <c r="U369" s="40"/>
      <c r="V369" s="40"/>
      <c r="W369" s="166"/>
      <c r="X369" s="166"/>
      <c r="Y369" s="40"/>
      <c r="Z369" s="94"/>
      <c r="AE369" s="2461"/>
      <c r="AF369" s="68"/>
    </row>
    <row r="370" spans="1:32" ht="30" x14ac:dyDescent="0.35">
      <c r="A370" s="525">
        <v>186</v>
      </c>
      <c r="B370" s="693">
        <v>11167</v>
      </c>
      <c r="C370" s="693" t="s">
        <v>1656</v>
      </c>
      <c r="D370" s="2464" t="s">
        <v>5867</v>
      </c>
      <c r="E370" s="2187" t="s">
        <v>8858</v>
      </c>
      <c r="F370" s="93" t="s">
        <v>664</v>
      </c>
      <c r="G370" s="93">
        <v>5</v>
      </c>
      <c r="H370" s="50">
        <v>6</v>
      </c>
      <c r="I370" s="2143">
        <f>L370+K370+J370</f>
        <v>0.87</v>
      </c>
      <c r="J370" s="2143">
        <f>SUM(M370:R370)</f>
        <v>0.87</v>
      </c>
      <c r="K370" s="622"/>
      <c r="L370" s="622"/>
      <c r="M370" s="622"/>
      <c r="N370" s="622"/>
      <c r="O370" s="622"/>
      <c r="P370" s="622"/>
      <c r="Q370" s="2085"/>
      <c r="R370" s="906">
        <v>0.87</v>
      </c>
      <c r="S370" s="106"/>
      <c r="T370" s="106"/>
      <c r="U370" s="106"/>
      <c r="V370" s="106"/>
      <c r="W370" s="105"/>
      <c r="X370" s="105"/>
      <c r="Y370" s="105"/>
      <c r="Z370" s="323"/>
      <c r="AB370" s="3">
        <v>1</v>
      </c>
      <c r="AE370" s="2461"/>
      <c r="AF370" s="68"/>
    </row>
    <row r="371" spans="1:32" ht="45.5" x14ac:dyDescent="0.35">
      <c r="A371" s="441">
        <v>187</v>
      </c>
      <c r="B371" s="358">
        <v>11167</v>
      </c>
      <c r="C371" s="358" t="s">
        <v>1656</v>
      </c>
      <c r="D371" s="2464" t="s">
        <v>5868</v>
      </c>
      <c r="E371" s="443" t="s">
        <v>10159</v>
      </c>
      <c r="F371" s="2289" t="s">
        <v>664</v>
      </c>
      <c r="G371" s="50">
        <v>5</v>
      </c>
      <c r="H371" s="50">
        <v>6</v>
      </c>
      <c r="I371" s="297">
        <f>J371+K371+L371</f>
        <v>1</v>
      </c>
      <c r="J371" s="297">
        <f>SUM(M371:R371)</f>
        <v>1</v>
      </c>
      <c r="K371" s="762"/>
      <c r="L371" s="762"/>
      <c r="M371" s="762"/>
      <c r="N371" s="762"/>
      <c r="O371" s="763"/>
      <c r="P371" s="762"/>
      <c r="Q371" s="2395"/>
      <c r="R371" s="2396">
        <v>1</v>
      </c>
      <c r="S371" s="49"/>
      <c r="T371" s="255"/>
      <c r="U371" s="49"/>
      <c r="V371" s="49"/>
      <c r="W371" s="168"/>
      <c r="X371" s="168"/>
      <c r="Y371" s="42"/>
      <c r="Z371" s="107"/>
      <c r="AB371" s="3">
        <v>1</v>
      </c>
      <c r="AE371" s="2461"/>
      <c r="AF371" s="68"/>
    </row>
    <row r="372" spans="1:32" ht="30" x14ac:dyDescent="0.35">
      <c r="A372" s="525">
        <v>188</v>
      </c>
      <c r="B372" s="358">
        <v>11168</v>
      </c>
      <c r="C372" s="358"/>
      <c r="D372" s="358" t="s">
        <v>3151</v>
      </c>
      <c r="E372" s="443" t="s">
        <v>274</v>
      </c>
      <c r="F372" s="41" t="s">
        <v>827</v>
      </c>
      <c r="G372" s="50">
        <v>5</v>
      </c>
      <c r="H372" s="50">
        <v>6</v>
      </c>
      <c r="I372" s="762">
        <f>J372+K372+L372</f>
        <v>1.863</v>
      </c>
      <c r="J372" s="762">
        <f>SUM(M372:R372)</f>
        <v>1.863</v>
      </c>
      <c r="K372" s="762"/>
      <c r="L372" s="762"/>
      <c r="M372" s="762"/>
      <c r="N372" s="762"/>
      <c r="O372" s="763"/>
      <c r="P372" s="762"/>
      <c r="Q372" s="1445"/>
      <c r="R372" s="1440">
        <v>1.863</v>
      </c>
      <c r="S372" s="49"/>
      <c r="T372" s="255"/>
      <c r="U372" s="49"/>
      <c r="V372" s="49"/>
      <c r="W372" s="168">
        <v>5</v>
      </c>
      <c r="X372" s="168">
        <v>45</v>
      </c>
      <c r="Y372" s="42">
        <v>2</v>
      </c>
      <c r="Z372" s="107">
        <v>15</v>
      </c>
      <c r="AB372" s="3">
        <v>1</v>
      </c>
      <c r="AE372" s="2461"/>
      <c r="AF372" s="68"/>
    </row>
    <row r="373" spans="1:32" ht="30" x14ac:dyDescent="0.35">
      <c r="A373" s="441">
        <v>189</v>
      </c>
      <c r="B373" s="693">
        <v>11168</v>
      </c>
      <c r="C373" s="693" t="s">
        <v>1656</v>
      </c>
      <c r="D373" s="2464" t="s">
        <v>5869</v>
      </c>
      <c r="E373" s="2187" t="s">
        <v>8859</v>
      </c>
      <c r="F373" s="93" t="s">
        <v>664</v>
      </c>
      <c r="G373" s="93">
        <v>5</v>
      </c>
      <c r="H373" s="50">
        <v>6</v>
      </c>
      <c r="I373" s="2143">
        <f>L373+K373+J373</f>
        <v>0.35</v>
      </c>
      <c r="J373" s="2143">
        <f>SUM(M373:R373)</f>
        <v>0.35</v>
      </c>
      <c r="K373" s="622"/>
      <c r="L373" s="622"/>
      <c r="M373" s="622"/>
      <c r="N373" s="622"/>
      <c r="O373" s="622"/>
      <c r="P373" s="622"/>
      <c r="Q373" s="2085"/>
      <c r="R373" s="906">
        <v>0.35</v>
      </c>
      <c r="S373" s="106"/>
      <c r="T373" s="106"/>
      <c r="U373" s="106"/>
      <c r="V373" s="106"/>
      <c r="W373" s="105">
        <v>1</v>
      </c>
      <c r="X373" s="105">
        <v>10.199999999999999</v>
      </c>
      <c r="Y373" s="105"/>
      <c r="Z373" s="323"/>
      <c r="AB373" s="3">
        <v>1</v>
      </c>
      <c r="AE373" s="2461"/>
      <c r="AF373" s="68"/>
    </row>
    <row r="374" spans="1:32" ht="30" x14ac:dyDescent="0.35">
      <c r="A374" s="525">
        <v>190</v>
      </c>
      <c r="B374" s="358">
        <v>11169</v>
      </c>
      <c r="C374" s="358"/>
      <c r="D374" s="358" t="s">
        <v>1132</v>
      </c>
      <c r="E374" s="417" t="s">
        <v>7092</v>
      </c>
      <c r="F374" s="41"/>
      <c r="G374" s="50" t="s">
        <v>191</v>
      </c>
      <c r="H374" s="50" t="s">
        <v>191</v>
      </c>
      <c r="I374" s="762">
        <f>J374+K374+L374</f>
        <v>2.2799999999999998</v>
      </c>
      <c r="J374" s="762">
        <f>SUM(M374:R374)</f>
        <v>2.2799999999999998</v>
      </c>
      <c r="K374" s="762"/>
      <c r="L374" s="762"/>
      <c r="M374" s="762"/>
      <c r="N374" s="762">
        <f>SUM(N375:N376)</f>
        <v>0.36</v>
      </c>
      <c r="O374" s="763"/>
      <c r="P374" s="762"/>
      <c r="Q374" s="1445">
        <f>SUM(Q375:Q376)</f>
        <v>1.92</v>
      </c>
      <c r="R374" s="1440"/>
      <c r="S374" s="49"/>
      <c r="T374" s="255"/>
      <c r="U374" s="49"/>
      <c r="V374" s="49"/>
      <c r="W374" s="168">
        <v>1</v>
      </c>
      <c r="X374" s="168">
        <v>10.4</v>
      </c>
      <c r="Y374" s="42"/>
      <c r="Z374" s="107"/>
      <c r="AB374" s="3">
        <v>1</v>
      </c>
      <c r="AE374" s="2461"/>
      <c r="AF374" s="68"/>
    </row>
    <row r="375" spans="1:32" x14ac:dyDescent="0.35">
      <c r="A375" s="359"/>
      <c r="B375" s="358">
        <v>11169</v>
      </c>
      <c r="C375" s="358"/>
      <c r="D375" s="360"/>
      <c r="E375" s="884" t="s">
        <v>717</v>
      </c>
      <c r="F375" s="41">
        <v>5</v>
      </c>
      <c r="G375" s="50">
        <v>5</v>
      </c>
      <c r="H375" s="50">
        <v>6</v>
      </c>
      <c r="I375" s="745"/>
      <c r="J375" s="745"/>
      <c r="K375" s="745"/>
      <c r="L375" s="745"/>
      <c r="M375" s="745"/>
      <c r="N375" s="745"/>
      <c r="O375" s="764"/>
      <c r="P375" s="745"/>
      <c r="Q375" s="1087">
        <v>1.92</v>
      </c>
      <c r="R375" s="1084"/>
      <c r="S375" s="40"/>
      <c r="T375" s="246"/>
      <c r="U375" s="40"/>
      <c r="V375" s="40"/>
      <c r="W375" s="166"/>
      <c r="X375" s="166"/>
      <c r="Y375" s="40"/>
      <c r="Z375" s="94"/>
      <c r="AE375" s="2461"/>
      <c r="AF375" s="68"/>
    </row>
    <row r="376" spans="1:32" x14ac:dyDescent="0.35">
      <c r="A376" s="359"/>
      <c r="B376" s="358">
        <v>11169</v>
      </c>
      <c r="C376" s="358"/>
      <c r="D376" s="360"/>
      <c r="E376" s="442" t="s">
        <v>3083</v>
      </c>
      <c r="F376" s="41">
        <v>5</v>
      </c>
      <c r="G376" s="50">
        <v>5</v>
      </c>
      <c r="H376" s="50">
        <v>6</v>
      </c>
      <c r="I376" s="745"/>
      <c r="J376" s="745"/>
      <c r="K376" s="745"/>
      <c r="L376" s="745"/>
      <c r="M376" s="745"/>
      <c r="N376" s="747">
        <v>0.36</v>
      </c>
      <c r="O376" s="764"/>
      <c r="P376" s="745"/>
      <c r="Q376" s="1089"/>
      <c r="R376" s="1084"/>
      <c r="S376" s="40"/>
      <c r="T376" s="246"/>
      <c r="U376" s="40"/>
      <c r="V376" s="40"/>
      <c r="W376" s="166"/>
      <c r="X376" s="166"/>
      <c r="Y376" s="40"/>
      <c r="Z376" s="94"/>
      <c r="AE376" s="2461"/>
      <c r="AF376" s="68"/>
    </row>
    <row r="377" spans="1:32" ht="30.5" x14ac:dyDescent="0.35">
      <c r="A377" s="441">
        <v>191</v>
      </c>
      <c r="B377" s="405">
        <v>11169</v>
      </c>
      <c r="C377" s="358" t="s">
        <v>1656</v>
      </c>
      <c r="D377" s="2464" t="s">
        <v>5870</v>
      </c>
      <c r="E377" s="443" t="s">
        <v>8860</v>
      </c>
      <c r="F377" s="166" t="s">
        <v>664</v>
      </c>
      <c r="G377" s="50">
        <v>5</v>
      </c>
      <c r="H377" s="50">
        <v>6</v>
      </c>
      <c r="I377" s="297">
        <f>J377+K377+L377</f>
        <v>0.5</v>
      </c>
      <c r="J377" s="297">
        <f>SUM(M377:R377)</f>
        <v>0.5</v>
      </c>
      <c r="K377" s="749"/>
      <c r="L377" s="749"/>
      <c r="M377" s="749"/>
      <c r="N377" s="749"/>
      <c r="O377" s="769"/>
      <c r="P377" s="749"/>
      <c r="Q377" s="2393"/>
      <c r="R377" s="1846">
        <v>0.5</v>
      </c>
      <c r="S377" s="42"/>
      <c r="T377" s="247"/>
      <c r="U377" s="42"/>
      <c r="V377" s="42"/>
      <c r="W377" s="110"/>
      <c r="X377" s="110"/>
      <c r="Y377" s="42"/>
      <c r="Z377" s="107"/>
      <c r="AB377" s="3">
        <v>1</v>
      </c>
      <c r="AE377" s="2461"/>
      <c r="AF377" s="68"/>
    </row>
    <row r="378" spans="1:32" ht="30" x14ac:dyDescent="0.35">
      <c r="A378" s="441">
        <v>192</v>
      </c>
      <c r="B378" s="358">
        <v>11170</v>
      </c>
      <c r="C378" s="358"/>
      <c r="D378" s="358" t="s">
        <v>1133</v>
      </c>
      <c r="E378" s="417" t="s">
        <v>1002</v>
      </c>
      <c r="F378" s="41"/>
      <c r="G378" s="50" t="s">
        <v>191</v>
      </c>
      <c r="H378" s="50" t="s">
        <v>191</v>
      </c>
      <c r="I378" s="762">
        <f>J378+K378+L378</f>
        <v>2.1</v>
      </c>
      <c r="J378" s="762">
        <f>SUM(M378:R378)</f>
        <v>2.1</v>
      </c>
      <c r="K378" s="762"/>
      <c r="L378" s="762"/>
      <c r="M378" s="762"/>
      <c r="N378" s="762"/>
      <c r="O378" s="763"/>
      <c r="P378" s="762"/>
      <c r="Q378" s="1445">
        <f>SUM(Q379:Q380)</f>
        <v>0.63</v>
      </c>
      <c r="R378" s="1440">
        <f>SUM(R379:R380)</f>
        <v>1.47</v>
      </c>
      <c r="S378" s="49"/>
      <c r="T378" s="255"/>
      <c r="U378" s="49"/>
      <c r="V378" s="49"/>
      <c r="W378" s="168">
        <v>3</v>
      </c>
      <c r="X378" s="168">
        <v>30.5</v>
      </c>
      <c r="Y378" s="42"/>
      <c r="Z378" s="107"/>
      <c r="AB378" s="3">
        <v>1</v>
      </c>
      <c r="AE378" s="2461"/>
      <c r="AF378" s="68"/>
    </row>
    <row r="379" spans="1:32" x14ac:dyDescent="0.35">
      <c r="A379" s="359"/>
      <c r="B379" s="358">
        <v>11170</v>
      </c>
      <c r="C379" s="358"/>
      <c r="D379" s="360"/>
      <c r="E379" s="884" t="s">
        <v>2145</v>
      </c>
      <c r="F379" s="41">
        <v>5</v>
      </c>
      <c r="G379" s="50">
        <v>5</v>
      </c>
      <c r="H379" s="50">
        <v>6</v>
      </c>
      <c r="I379" s="745"/>
      <c r="J379" s="745"/>
      <c r="K379" s="745"/>
      <c r="L379" s="745"/>
      <c r="M379" s="745"/>
      <c r="N379" s="745"/>
      <c r="O379" s="764"/>
      <c r="P379" s="745"/>
      <c r="Q379" s="1087">
        <v>0.63</v>
      </c>
      <c r="R379" s="1084"/>
      <c r="S379" s="40"/>
      <c r="T379" s="246"/>
      <c r="U379" s="40"/>
      <c r="V379" s="40"/>
      <c r="W379" s="166"/>
      <c r="X379" s="166"/>
      <c r="Y379" s="40"/>
      <c r="Z379" s="94"/>
      <c r="AE379" s="2461"/>
      <c r="AF379" s="68"/>
    </row>
    <row r="380" spans="1:32" x14ac:dyDescent="0.35">
      <c r="A380" s="359"/>
      <c r="B380" s="358">
        <v>11170</v>
      </c>
      <c r="C380" s="358"/>
      <c r="D380" s="360"/>
      <c r="E380" s="885" t="s">
        <v>2146</v>
      </c>
      <c r="F380" s="41">
        <v>5</v>
      </c>
      <c r="G380" s="50">
        <v>5</v>
      </c>
      <c r="H380" s="50">
        <v>6</v>
      </c>
      <c r="I380" s="745"/>
      <c r="J380" s="745"/>
      <c r="K380" s="745"/>
      <c r="L380" s="745"/>
      <c r="M380" s="745"/>
      <c r="N380" s="745"/>
      <c r="O380" s="764"/>
      <c r="P380" s="745"/>
      <c r="Q380" s="1089"/>
      <c r="R380" s="1082">
        <v>1.47</v>
      </c>
      <c r="S380" s="40"/>
      <c r="T380" s="246"/>
      <c r="U380" s="40"/>
      <c r="V380" s="40"/>
      <c r="W380" s="166"/>
      <c r="X380" s="166"/>
      <c r="Y380" s="40"/>
      <c r="Z380" s="94"/>
      <c r="AE380" s="2461"/>
      <c r="AF380" s="68"/>
    </row>
    <row r="381" spans="1:32" ht="30" x14ac:dyDescent="0.35">
      <c r="A381" s="693">
        <v>193</v>
      </c>
      <c r="B381" s="693">
        <v>11170</v>
      </c>
      <c r="C381" s="693" t="s">
        <v>1656</v>
      </c>
      <c r="D381" s="2464" t="s">
        <v>5871</v>
      </c>
      <c r="E381" s="2187" t="s">
        <v>8861</v>
      </c>
      <c r="F381" s="93" t="s">
        <v>664</v>
      </c>
      <c r="G381" s="93">
        <v>5</v>
      </c>
      <c r="H381" s="50">
        <v>6</v>
      </c>
      <c r="I381" s="2143">
        <f>L381+K381+J381</f>
        <v>0.75</v>
      </c>
      <c r="J381" s="2143">
        <f t="shared" ref="J381:J386" si="25">SUM(M381:R381)</f>
        <v>0.75</v>
      </c>
      <c r="K381" s="622"/>
      <c r="L381" s="622"/>
      <c r="M381" s="622"/>
      <c r="N381" s="622"/>
      <c r="O381" s="622"/>
      <c r="P381" s="622"/>
      <c r="Q381" s="2085"/>
      <c r="R381" s="906">
        <v>0.75</v>
      </c>
      <c r="S381" s="106"/>
      <c r="T381" s="106"/>
      <c r="U381" s="106"/>
      <c r="V381" s="106"/>
      <c r="W381" s="105"/>
      <c r="X381" s="105"/>
      <c r="Y381" s="105"/>
      <c r="Z381" s="105"/>
      <c r="AB381" s="3">
        <v>1</v>
      </c>
      <c r="AE381" s="2461"/>
      <c r="AF381" s="68"/>
    </row>
    <row r="382" spans="1:32" ht="30" x14ac:dyDescent="0.35">
      <c r="A382" s="693">
        <v>194</v>
      </c>
      <c r="B382" s="693">
        <v>11170</v>
      </c>
      <c r="C382" s="693" t="s">
        <v>1656</v>
      </c>
      <c r="D382" s="2464" t="s">
        <v>5872</v>
      </c>
      <c r="E382" s="2187" t="s">
        <v>8862</v>
      </c>
      <c r="F382" s="93" t="s">
        <v>664</v>
      </c>
      <c r="G382" s="93">
        <v>5</v>
      </c>
      <c r="H382" s="50">
        <v>6</v>
      </c>
      <c r="I382" s="2143">
        <f>L382+K382+J382</f>
        <v>0.06</v>
      </c>
      <c r="J382" s="2143">
        <f t="shared" si="25"/>
        <v>0.06</v>
      </c>
      <c r="K382" s="622"/>
      <c r="L382" s="622"/>
      <c r="M382" s="622"/>
      <c r="N382" s="622"/>
      <c r="O382" s="622"/>
      <c r="P382" s="622"/>
      <c r="Q382" s="2085"/>
      <c r="R382" s="906">
        <v>0.06</v>
      </c>
      <c r="S382" s="106"/>
      <c r="T382" s="106"/>
      <c r="U382" s="106"/>
      <c r="V382" s="106"/>
      <c r="W382" s="105"/>
      <c r="X382" s="105"/>
      <c r="Y382" s="105"/>
      <c r="Z382" s="105"/>
      <c r="AB382" s="3">
        <v>1</v>
      </c>
      <c r="AE382" s="2461"/>
      <c r="AF382" s="68"/>
    </row>
    <row r="383" spans="1:32" ht="30" x14ac:dyDescent="0.35">
      <c r="A383" s="693">
        <v>195</v>
      </c>
      <c r="B383" s="358">
        <v>11171</v>
      </c>
      <c r="C383" s="358"/>
      <c r="D383" s="358" t="s">
        <v>653</v>
      </c>
      <c r="E383" s="417" t="s">
        <v>7093</v>
      </c>
      <c r="F383" s="41">
        <v>4</v>
      </c>
      <c r="G383" s="50">
        <v>4</v>
      </c>
      <c r="H383" s="50">
        <v>6</v>
      </c>
      <c r="I383" s="762">
        <f>J383+K383+L383</f>
        <v>2.8</v>
      </c>
      <c r="J383" s="762">
        <f t="shared" si="25"/>
        <v>2.8</v>
      </c>
      <c r="K383" s="762"/>
      <c r="L383" s="762"/>
      <c r="M383" s="762"/>
      <c r="N383" s="762"/>
      <c r="O383" s="763"/>
      <c r="P383" s="762"/>
      <c r="Q383" s="1445">
        <v>2.8</v>
      </c>
      <c r="R383" s="1440"/>
      <c r="S383" s="49">
        <v>1</v>
      </c>
      <c r="T383" s="255">
        <v>12</v>
      </c>
      <c r="U383" s="49"/>
      <c r="V383" s="49"/>
      <c r="W383" s="168">
        <v>11</v>
      </c>
      <c r="X383" s="168">
        <v>140.1</v>
      </c>
      <c r="Y383" s="42">
        <v>4</v>
      </c>
      <c r="Z383" s="2131">
        <v>40</v>
      </c>
      <c r="AB383" s="3">
        <v>1</v>
      </c>
      <c r="AE383" s="2461"/>
      <c r="AF383" s="68"/>
    </row>
    <row r="384" spans="1:32" ht="30" x14ac:dyDescent="0.35">
      <c r="A384" s="693">
        <v>196</v>
      </c>
      <c r="B384" s="358">
        <v>11172</v>
      </c>
      <c r="C384" s="358"/>
      <c r="D384" s="358" t="s">
        <v>654</v>
      </c>
      <c r="E384" s="417" t="s">
        <v>1327</v>
      </c>
      <c r="F384" s="41" t="s">
        <v>664</v>
      </c>
      <c r="G384" s="50">
        <v>5</v>
      </c>
      <c r="H384" s="50">
        <v>6</v>
      </c>
      <c r="I384" s="762">
        <f>J384+K384+L384</f>
        <v>1.9</v>
      </c>
      <c r="J384" s="762">
        <f t="shared" si="25"/>
        <v>1.9</v>
      </c>
      <c r="K384" s="762"/>
      <c r="L384" s="762"/>
      <c r="M384" s="762"/>
      <c r="N384" s="762"/>
      <c r="O384" s="763"/>
      <c r="P384" s="762"/>
      <c r="Q384" s="1445"/>
      <c r="R384" s="1440">
        <v>1.9</v>
      </c>
      <c r="S384" s="49"/>
      <c r="T384" s="255"/>
      <c r="U384" s="49"/>
      <c r="V384" s="49"/>
      <c r="W384" s="168">
        <v>2</v>
      </c>
      <c r="X384" s="168">
        <v>10.199999999999999</v>
      </c>
      <c r="Y384" s="42"/>
      <c r="Z384" s="2131"/>
      <c r="AB384" s="3">
        <v>1</v>
      </c>
      <c r="AE384" s="2461"/>
      <c r="AF384" s="68"/>
    </row>
    <row r="385" spans="1:32" ht="45" x14ac:dyDescent="0.35">
      <c r="A385" s="693">
        <v>197</v>
      </c>
      <c r="B385" s="693">
        <v>11172</v>
      </c>
      <c r="C385" s="693" t="s">
        <v>1656</v>
      </c>
      <c r="D385" s="2464" t="s">
        <v>5873</v>
      </c>
      <c r="E385" s="2187" t="s">
        <v>10160</v>
      </c>
      <c r="F385" s="93" t="s">
        <v>664</v>
      </c>
      <c r="G385" s="93">
        <v>5</v>
      </c>
      <c r="H385" s="50">
        <v>6</v>
      </c>
      <c r="I385" s="2143">
        <f>L385+K385+J385</f>
        <v>0.3</v>
      </c>
      <c r="J385" s="2143">
        <f t="shared" si="25"/>
        <v>0.3</v>
      </c>
      <c r="K385" s="622"/>
      <c r="L385" s="622"/>
      <c r="M385" s="622"/>
      <c r="N385" s="622"/>
      <c r="O385" s="622"/>
      <c r="P385" s="622"/>
      <c r="Q385" s="2085"/>
      <c r="R385" s="906">
        <v>0.3</v>
      </c>
      <c r="S385" s="106"/>
      <c r="T385" s="106"/>
      <c r="U385" s="106"/>
      <c r="V385" s="106"/>
      <c r="W385" s="105"/>
      <c r="X385" s="105"/>
      <c r="Y385" s="105"/>
      <c r="Z385" s="105"/>
      <c r="AB385" s="3">
        <v>1</v>
      </c>
      <c r="AE385" s="2461"/>
      <c r="AF385" s="68"/>
    </row>
    <row r="386" spans="1:32" ht="30" x14ac:dyDescent="0.35">
      <c r="A386" s="693">
        <v>198</v>
      </c>
      <c r="B386" s="358">
        <v>11173</v>
      </c>
      <c r="C386" s="358"/>
      <c r="D386" s="358" t="s">
        <v>2785</v>
      </c>
      <c r="E386" s="417" t="s">
        <v>885</v>
      </c>
      <c r="F386" s="41"/>
      <c r="G386" s="50" t="s">
        <v>191</v>
      </c>
      <c r="H386" s="50" t="s">
        <v>191</v>
      </c>
      <c r="I386" s="762">
        <f>J386+K386+L386</f>
        <v>1.8</v>
      </c>
      <c r="J386" s="762">
        <f t="shared" si="25"/>
        <v>1.8</v>
      </c>
      <c r="K386" s="762"/>
      <c r="L386" s="762"/>
      <c r="M386" s="762"/>
      <c r="N386" s="762"/>
      <c r="O386" s="763"/>
      <c r="P386" s="762"/>
      <c r="Q386" s="1445">
        <f>SUM(Q387:Q388)</f>
        <v>1.3</v>
      </c>
      <c r="R386" s="1440">
        <f>SUM(R387:R388)</f>
        <v>0.5</v>
      </c>
      <c r="S386" s="49"/>
      <c r="T386" s="255"/>
      <c r="U386" s="49"/>
      <c r="V386" s="49"/>
      <c r="W386" s="168"/>
      <c r="X386" s="168"/>
      <c r="Y386" s="42"/>
      <c r="Z386" s="2131"/>
      <c r="AB386" s="3">
        <v>1</v>
      </c>
      <c r="AE386" s="2461"/>
      <c r="AF386" s="68"/>
    </row>
    <row r="387" spans="1:32" x14ac:dyDescent="0.35">
      <c r="A387" s="362"/>
      <c r="B387" s="358">
        <v>11173</v>
      </c>
      <c r="C387" s="358"/>
      <c r="D387" s="364"/>
      <c r="E387" s="884" t="s">
        <v>2032</v>
      </c>
      <c r="F387" s="41">
        <v>5</v>
      </c>
      <c r="G387" s="50">
        <v>5</v>
      </c>
      <c r="H387" s="50">
        <v>6</v>
      </c>
      <c r="I387" s="765"/>
      <c r="J387" s="765"/>
      <c r="K387" s="765"/>
      <c r="L387" s="765"/>
      <c r="M387" s="765"/>
      <c r="N387" s="765"/>
      <c r="O387" s="766"/>
      <c r="P387" s="765"/>
      <c r="Q387" s="1448">
        <v>1.3</v>
      </c>
      <c r="R387" s="1443"/>
      <c r="S387" s="50"/>
      <c r="T387" s="256"/>
      <c r="U387" s="50"/>
      <c r="V387" s="50"/>
      <c r="W387" s="165"/>
      <c r="X387" s="165"/>
      <c r="Y387" s="40"/>
      <c r="Z387" s="2147"/>
      <c r="AE387" s="2461"/>
      <c r="AF387" s="68"/>
    </row>
    <row r="388" spans="1:32" x14ac:dyDescent="0.35">
      <c r="A388" s="362"/>
      <c r="B388" s="358">
        <v>11173</v>
      </c>
      <c r="C388" s="358"/>
      <c r="D388" s="364"/>
      <c r="E388" s="885" t="s">
        <v>382</v>
      </c>
      <c r="F388" s="41">
        <v>5</v>
      </c>
      <c r="G388" s="50">
        <v>5</v>
      </c>
      <c r="H388" s="50">
        <v>6</v>
      </c>
      <c r="I388" s="765"/>
      <c r="J388" s="765"/>
      <c r="K388" s="765"/>
      <c r="L388" s="765"/>
      <c r="M388" s="765"/>
      <c r="N388" s="765"/>
      <c r="O388" s="766"/>
      <c r="P388" s="765"/>
      <c r="Q388" s="1448"/>
      <c r="R388" s="1443">
        <v>0.5</v>
      </c>
      <c r="S388" s="50"/>
      <c r="T388" s="256"/>
      <c r="U388" s="50"/>
      <c r="V388" s="50"/>
      <c r="W388" s="165"/>
      <c r="X388" s="165"/>
      <c r="Y388" s="40"/>
      <c r="Z388" s="2147"/>
      <c r="AE388" s="2461"/>
      <c r="AF388" s="68"/>
    </row>
    <row r="389" spans="1:32" ht="30" x14ac:dyDescent="0.35">
      <c r="A389" s="2146">
        <v>199</v>
      </c>
      <c r="B389" s="358">
        <v>11174</v>
      </c>
      <c r="C389" s="358"/>
      <c r="D389" s="358" t="s">
        <v>1328</v>
      </c>
      <c r="E389" s="417" t="s">
        <v>3022</v>
      </c>
      <c r="F389" s="41">
        <v>5</v>
      </c>
      <c r="G389" s="50">
        <v>5</v>
      </c>
      <c r="H389" s="50">
        <v>6</v>
      </c>
      <c r="I389" s="762">
        <f>J389+K389+L389</f>
        <v>2.5</v>
      </c>
      <c r="J389" s="762">
        <f>SUM(M389:R389)</f>
        <v>2.5</v>
      </c>
      <c r="K389" s="762"/>
      <c r="L389" s="762"/>
      <c r="M389" s="762"/>
      <c r="N389" s="762">
        <v>2.5</v>
      </c>
      <c r="O389" s="763"/>
      <c r="P389" s="762"/>
      <c r="Q389" s="1445"/>
      <c r="R389" s="1440"/>
      <c r="S389" s="49"/>
      <c r="T389" s="255"/>
      <c r="U389" s="49"/>
      <c r="V389" s="49"/>
      <c r="W389" s="168">
        <v>10</v>
      </c>
      <c r="X389" s="416">
        <v>140</v>
      </c>
      <c r="Y389" s="42">
        <v>3</v>
      </c>
      <c r="Z389" s="2131">
        <v>30</v>
      </c>
      <c r="AB389" s="3">
        <v>1</v>
      </c>
      <c r="AE389" s="2461"/>
      <c r="AF389" s="68"/>
    </row>
    <row r="390" spans="1:32" ht="30.5" x14ac:dyDescent="0.35">
      <c r="A390" s="693">
        <v>200</v>
      </c>
      <c r="B390" s="358">
        <v>11175</v>
      </c>
      <c r="C390" s="358"/>
      <c r="D390" s="358" t="s">
        <v>1654</v>
      </c>
      <c r="E390" s="443" t="s">
        <v>1653</v>
      </c>
      <c r="F390" s="41">
        <v>5</v>
      </c>
      <c r="G390" s="50">
        <v>5</v>
      </c>
      <c r="H390" s="50">
        <v>6</v>
      </c>
      <c r="I390" s="762">
        <f>J390+K390+L390</f>
        <v>1.5</v>
      </c>
      <c r="J390" s="762">
        <f>SUM(M390:R390)</f>
        <v>1.5</v>
      </c>
      <c r="K390" s="762"/>
      <c r="L390" s="762"/>
      <c r="M390" s="762"/>
      <c r="N390" s="762"/>
      <c r="O390" s="763"/>
      <c r="P390" s="762"/>
      <c r="Q390" s="2753">
        <v>1.5</v>
      </c>
      <c r="R390" s="1440"/>
      <c r="S390" s="49"/>
      <c r="T390" s="255"/>
      <c r="U390" s="49"/>
      <c r="V390" s="49"/>
      <c r="W390" s="168">
        <v>1</v>
      </c>
      <c r="X390" s="168">
        <v>15</v>
      </c>
      <c r="Y390" s="110"/>
      <c r="Z390" s="107"/>
      <c r="AB390" s="3">
        <v>1</v>
      </c>
      <c r="AE390" s="2461"/>
      <c r="AF390" s="68"/>
    </row>
    <row r="391" spans="1:32" ht="60.5" x14ac:dyDescent="0.35">
      <c r="A391" s="441">
        <v>201</v>
      </c>
      <c r="B391" s="358">
        <v>10827</v>
      </c>
      <c r="C391" s="358" t="s">
        <v>1656</v>
      </c>
      <c r="D391" s="2464" t="s">
        <v>5742</v>
      </c>
      <c r="E391" s="443" t="s">
        <v>8863</v>
      </c>
      <c r="F391" s="2289" t="s">
        <v>664</v>
      </c>
      <c r="G391" s="50">
        <v>5</v>
      </c>
      <c r="H391" s="50">
        <v>6</v>
      </c>
      <c r="I391" s="297">
        <f>J391+K391+L391</f>
        <v>0.1</v>
      </c>
      <c r="J391" s="297">
        <f>SUM(M391:R391)</f>
        <v>0.1</v>
      </c>
      <c r="K391" s="762"/>
      <c r="L391" s="762"/>
      <c r="M391" s="762"/>
      <c r="N391" s="762"/>
      <c r="O391" s="763"/>
      <c r="P391" s="762"/>
      <c r="Q391" s="2395"/>
      <c r="R391" s="2396">
        <v>0.1</v>
      </c>
      <c r="S391" s="49"/>
      <c r="T391" s="255"/>
      <c r="U391" s="49"/>
      <c r="V391" s="49"/>
      <c r="W391" s="168"/>
      <c r="X391" s="168"/>
      <c r="Y391" s="42"/>
      <c r="Z391" s="107"/>
      <c r="AB391" s="3">
        <v>1</v>
      </c>
      <c r="AE391" s="2461"/>
      <c r="AF391" s="68"/>
    </row>
    <row r="392" spans="1:32" ht="30.5" x14ac:dyDescent="0.35">
      <c r="A392" s="2146"/>
      <c r="B392" s="358" t="s">
        <v>2894</v>
      </c>
      <c r="C392" s="358"/>
      <c r="D392" s="358"/>
      <c r="E392" s="1596" t="s">
        <v>2070</v>
      </c>
      <c r="F392" s="41"/>
      <c r="G392" s="50"/>
      <c r="H392" s="50"/>
      <c r="I392" s="762"/>
      <c r="J392" s="762"/>
      <c r="K392" s="762"/>
      <c r="L392" s="762"/>
      <c r="M392" s="762"/>
      <c r="N392" s="762"/>
      <c r="O392" s="763"/>
      <c r="P392" s="762"/>
      <c r="Q392" s="1445"/>
      <c r="R392" s="1440"/>
      <c r="S392" s="49"/>
      <c r="T392" s="255"/>
      <c r="U392" s="49"/>
      <c r="V392" s="49"/>
      <c r="W392" s="168"/>
      <c r="X392" s="416"/>
      <c r="Y392" s="110"/>
      <c r="Z392" s="2131"/>
      <c r="AE392" s="2461"/>
      <c r="AF392" s="68"/>
    </row>
    <row r="393" spans="1:32" ht="30.5" x14ac:dyDescent="0.35">
      <c r="A393" s="2146">
        <v>202</v>
      </c>
      <c r="B393" s="358" t="s">
        <v>2894</v>
      </c>
      <c r="C393" s="358"/>
      <c r="D393" s="2464" t="s">
        <v>5874</v>
      </c>
      <c r="E393" s="417" t="s">
        <v>7913</v>
      </c>
      <c r="F393" s="41"/>
      <c r="G393" s="50" t="s">
        <v>191</v>
      </c>
      <c r="H393" s="50" t="s">
        <v>191</v>
      </c>
      <c r="I393" s="762">
        <f>J393+K393+L393</f>
        <v>5.4</v>
      </c>
      <c r="J393" s="762">
        <f>SUM(M393:R393)</f>
        <v>5.4</v>
      </c>
      <c r="K393" s="762"/>
      <c r="L393" s="762"/>
      <c r="M393" s="762"/>
      <c r="N393" s="762">
        <f>SUM(N394:N395)</f>
        <v>2</v>
      </c>
      <c r="O393" s="763"/>
      <c r="P393" s="762"/>
      <c r="Q393" s="1445"/>
      <c r="R393" s="1440">
        <f>SUM(R394:R395)</f>
        <v>3.4</v>
      </c>
      <c r="S393" s="49"/>
      <c r="T393" s="255"/>
      <c r="U393" s="49"/>
      <c r="V393" s="49"/>
      <c r="W393" s="168">
        <v>10</v>
      </c>
      <c r="X393" s="168">
        <v>133.22999999999999</v>
      </c>
      <c r="Y393" s="110">
        <v>1</v>
      </c>
      <c r="Z393" s="253">
        <v>10.130000000000001</v>
      </c>
      <c r="AB393" s="3">
        <v>1</v>
      </c>
      <c r="AE393" s="2461"/>
      <c r="AF393" s="68"/>
    </row>
    <row r="394" spans="1:32" x14ac:dyDescent="0.35">
      <c r="A394" s="2146"/>
      <c r="B394" s="358"/>
      <c r="C394" s="358"/>
      <c r="D394" s="358"/>
      <c r="E394" s="442" t="s">
        <v>3138</v>
      </c>
      <c r="F394" s="41">
        <v>5</v>
      </c>
      <c r="G394" s="50">
        <v>5</v>
      </c>
      <c r="H394" s="50">
        <v>6</v>
      </c>
      <c r="I394" s="765"/>
      <c r="J394" s="765"/>
      <c r="K394" s="765"/>
      <c r="L394" s="765"/>
      <c r="M394" s="765"/>
      <c r="N394" s="765">
        <v>2</v>
      </c>
      <c r="O394" s="766"/>
      <c r="P394" s="765"/>
      <c r="Q394" s="2397"/>
      <c r="R394" s="1440"/>
      <c r="S394" s="49"/>
      <c r="T394" s="255"/>
      <c r="U394" s="49"/>
      <c r="V394" s="49"/>
      <c r="W394" s="168"/>
      <c r="X394" s="416"/>
      <c r="Y394" s="42"/>
      <c r="Z394" s="2131"/>
      <c r="AE394" s="2461"/>
      <c r="AF394" s="68"/>
    </row>
    <row r="395" spans="1:32" x14ac:dyDescent="0.35">
      <c r="A395" s="2146"/>
      <c r="B395" s="358"/>
      <c r="C395" s="358"/>
      <c r="D395" s="358"/>
      <c r="E395" s="885" t="s">
        <v>609</v>
      </c>
      <c r="F395" s="41">
        <v>5</v>
      </c>
      <c r="G395" s="50">
        <v>5</v>
      </c>
      <c r="H395" s="50">
        <v>6</v>
      </c>
      <c r="I395" s="762"/>
      <c r="J395" s="762"/>
      <c r="K395" s="762"/>
      <c r="L395" s="762"/>
      <c r="M395" s="762"/>
      <c r="N395" s="762"/>
      <c r="O395" s="763"/>
      <c r="P395" s="762"/>
      <c r="Q395" s="1445"/>
      <c r="R395" s="1443">
        <v>3.4</v>
      </c>
      <c r="S395" s="49"/>
      <c r="T395" s="255"/>
      <c r="U395" s="49"/>
      <c r="V395" s="49"/>
      <c r="W395" s="168"/>
      <c r="X395" s="416"/>
      <c r="Y395" s="42"/>
      <c r="Z395" s="2131"/>
      <c r="AC395" s="3" t="s">
        <v>2570</v>
      </c>
      <c r="AE395" s="2461"/>
      <c r="AF395" s="68"/>
    </row>
    <row r="396" spans="1:32" ht="45.5" x14ac:dyDescent="0.35">
      <c r="A396" s="2146">
        <v>203</v>
      </c>
      <c r="B396" s="358" t="s">
        <v>2894</v>
      </c>
      <c r="C396" s="358" t="s">
        <v>1656</v>
      </c>
      <c r="D396" s="2464" t="s">
        <v>5876</v>
      </c>
      <c r="E396" s="443" t="s">
        <v>8864</v>
      </c>
      <c r="F396" s="2289" t="s">
        <v>664</v>
      </c>
      <c r="G396" s="50">
        <v>5</v>
      </c>
      <c r="H396" s="50">
        <v>6</v>
      </c>
      <c r="I396" s="297">
        <f>J396+K396+L396</f>
        <v>0.4</v>
      </c>
      <c r="J396" s="297">
        <f>SUM(M396:R396)</f>
        <v>0.4</v>
      </c>
      <c r="K396" s="762"/>
      <c r="L396" s="762"/>
      <c r="M396" s="762"/>
      <c r="N396" s="762"/>
      <c r="O396" s="763"/>
      <c r="P396" s="762"/>
      <c r="Q396" s="2395"/>
      <c r="R396" s="2396">
        <v>0.4</v>
      </c>
      <c r="S396" s="49"/>
      <c r="T396" s="255"/>
      <c r="U396" s="49"/>
      <c r="V396" s="49"/>
      <c r="W396" s="168"/>
      <c r="X396" s="168"/>
      <c r="Y396" s="42"/>
      <c r="Z396" s="107"/>
      <c r="AB396" s="3">
        <v>1</v>
      </c>
      <c r="AE396" s="2461"/>
      <c r="AF396" s="68"/>
    </row>
    <row r="397" spans="1:32" ht="30.5" x14ac:dyDescent="0.35">
      <c r="A397" s="441">
        <v>204</v>
      </c>
      <c r="B397" s="358" t="s">
        <v>2894</v>
      </c>
      <c r="C397" s="358"/>
      <c r="D397" s="2464" t="s">
        <v>5877</v>
      </c>
      <c r="E397" s="417" t="s">
        <v>7914</v>
      </c>
      <c r="F397" s="41" t="s">
        <v>827</v>
      </c>
      <c r="G397" s="50">
        <v>5</v>
      </c>
      <c r="H397" s="50">
        <v>6</v>
      </c>
      <c r="I397" s="762">
        <f>J397+K397+L397</f>
        <v>2.1</v>
      </c>
      <c r="J397" s="762">
        <f>SUM(M397:R397)</f>
        <v>2.1</v>
      </c>
      <c r="K397" s="762"/>
      <c r="L397" s="762"/>
      <c r="M397" s="762"/>
      <c r="N397" s="762"/>
      <c r="O397" s="763"/>
      <c r="P397" s="762"/>
      <c r="Q397" s="1445"/>
      <c r="R397" s="1440">
        <v>2.1</v>
      </c>
      <c r="S397" s="49"/>
      <c r="T397" s="255"/>
      <c r="U397" s="49"/>
      <c r="V397" s="49"/>
      <c r="W397" s="168">
        <v>2</v>
      </c>
      <c r="X397" s="168">
        <v>17.899999999999999</v>
      </c>
      <c r="Y397" s="42"/>
      <c r="Z397" s="2131"/>
      <c r="AB397" s="3">
        <v>1</v>
      </c>
      <c r="AE397" s="2461"/>
      <c r="AF397" s="68"/>
    </row>
    <row r="398" spans="1:32" ht="30.5" x14ac:dyDescent="0.35">
      <c r="A398" s="2146">
        <v>205</v>
      </c>
      <c r="B398" s="358" t="s">
        <v>2894</v>
      </c>
      <c r="C398" s="358"/>
      <c r="D398" s="2464" t="s">
        <v>5878</v>
      </c>
      <c r="E398" s="417" t="s">
        <v>7915</v>
      </c>
      <c r="F398" s="41" t="s">
        <v>664</v>
      </c>
      <c r="G398" s="50">
        <v>5</v>
      </c>
      <c r="H398" s="50">
        <v>6</v>
      </c>
      <c r="I398" s="762">
        <f>J398+K398+L398</f>
        <v>1.5</v>
      </c>
      <c r="J398" s="762">
        <f>SUM(M398:R398)</f>
        <v>1.5</v>
      </c>
      <c r="K398" s="762"/>
      <c r="L398" s="762"/>
      <c r="M398" s="762"/>
      <c r="N398" s="762"/>
      <c r="O398" s="763"/>
      <c r="P398" s="762"/>
      <c r="Q398" s="1445"/>
      <c r="R398" s="1440">
        <v>1.5</v>
      </c>
      <c r="S398" s="49"/>
      <c r="T398" s="255"/>
      <c r="U398" s="49"/>
      <c r="V398" s="49"/>
      <c r="W398" s="168"/>
      <c r="X398" s="168"/>
      <c r="Y398" s="42"/>
      <c r="Z398" s="2131"/>
      <c r="AB398" s="3">
        <v>1</v>
      </c>
      <c r="AE398" s="2461"/>
      <c r="AF398" s="68"/>
    </row>
    <row r="399" spans="1:32" ht="30.5" x14ac:dyDescent="0.35">
      <c r="A399" s="441">
        <v>206</v>
      </c>
      <c r="B399" s="358" t="s">
        <v>2894</v>
      </c>
      <c r="C399" s="358"/>
      <c r="D399" s="2464" t="s">
        <v>5879</v>
      </c>
      <c r="E399" s="417" t="s">
        <v>7916</v>
      </c>
      <c r="F399" s="41">
        <v>4</v>
      </c>
      <c r="G399" s="50">
        <v>5</v>
      </c>
      <c r="H399" s="50">
        <v>6</v>
      </c>
      <c r="I399" s="762">
        <f>J399+K399+L399</f>
        <v>2.14</v>
      </c>
      <c r="J399" s="762">
        <f>SUM(M399:R399)</f>
        <v>2.14</v>
      </c>
      <c r="K399" s="762"/>
      <c r="L399" s="762"/>
      <c r="M399" s="762"/>
      <c r="N399" s="762">
        <v>2.14</v>
      </c>
      <c r="O399" s="763"/>
      <c r="P399" s="762"/>
      <c r="Q399" s="1445"/>
      <c r="R399" s="1440"/>
      <c r="S399" s="49"/>
      <c r="T399" s="255"/>
      <c r="U399" s="49"/>
      <c r="V399" s="49"/>
      <c r="W399" s="168">
        <v>3</v>
      </c>
      <c r="X399" s="168">
        <v>40.200000000000003</v>
      </c>
      <c r="Y399" s="42"/>
      <c r="Z399" s="2131"/>
      <c r="AB399" s="3">
        <v>1</v>
      </c>
      <c r="AE399" s="2461"/>
      <c r="AF399" s="68"/>
    </row>
    <row r="400" spans="1:32" ht="30" x14ac:dyDescent="0.35">
      <c r="A400" s="2146">
        <v>207</v>
      </c>
      <c r="B400" s="693" t="s">
        <v>2894</v>
      </c>
      <c r="C400" s="693" t="s">
        <v>1656</v>
      </c>
      <c r="D400" s="2464" t="s">
        <v>5880</v>
      </c>
      <c r="E400" s="2187" t="s">
        <v>8865</v>
      </c>
      <c r="F400" s="93"/>
      <c r="G400" s="93" t="s">
        <v>191</v>
      </c>
      <c r="H400" s="50" t="s">
        <v>191</v>
      </c>
      <c r="I400" s="2143">
        <f>L400+K400+J400</f>
        <v>1.2</v>
      </c>
      <c r="J400" s="2143">
        <f>SUM(M400:R400)</f>
        <v>0.39999999999999991</v>
      </c>
      <c r="K400" s="622"/>
      <c r="L400" s="622">
        <f>SUM(L401:L402)</f>
        <v>0.8</v>
      </c>
      <c r="M400" s="622"/>
      <c r="N400" s="622"/>
      <c r="O400" s="622"/>
      <c r="P400" s="622"/>
      <c r="Q400" s="2085"/>
      <c r="R400" s="2106">
        <f>SUM(R401:R402)</f>
        <v>0.39999999999999991</v>
      </c>
      <c r="S400" s="106"/>
      <c r="T400" s="106"/>
      <c r="U400" s="106"/>
      <c r="V400" s="106"/>
      <c r="W400" s="105"/>
      <c r="X400" s="105"/>
      <c r="Y400" s="105"/>
      <c r="Z400" s="105"/>
      <c r="AB400" s="3">
        <v>1</v>
      </c>
      <c r="AE400" s="2461"/>
      <c r="AF400" s="68"/>
    </row>
    <row r="401" spans="1:32" x14ac:dyDescent="0.35">
      <c r="A401" s="693"/>
      <c r="B401" s="693" t="s">
        <v>2894</v>
      </c>
      <c r="C401" s="693"/>
      <c r="D401" s="693"/>
      <c r="E401" s="2092" t="s">
        <v>7094</v>
      </c>
      <c r="F401" s="93" t="s">
        <v>1490</v>
      </c>
      <c r="G401" s="93">
        <v>5</v>
      </c>
      <c r="H401" s="50">
        <v>6</v>
      </c>
      <c r="I401" s="2142"/>
      <c r="J401" s="2142"/>
      <c r="K401" s="395"/>
      <c r="L401" s="395">
        <v>0.8</v>
      </c>
      <c r="M401" s="395"/>
      <c r="N401" s="395"/>
      <c r="O401" s="395"/>
      <c r="P401" s="395"/>
      <c r="Q401" s="2086"/>
      <c r="R401" s="907"/>
      <c r="S401" s="106"/>
      <c r="T401" s="106"/>
      <c r="U401" s="106"/>
      <c r="V401" s="106"/>
      <c r="W401" s="105"/>
      <c r="X401" s="105"/>
      <c r="Y401" s="105"/>
      <c r="Z401" s="105"/>
      <c r="AE401" s="2461"/>
      <c r="AF401" s="68"/>
    </row>
    <row r="402" spans="1:32" x14ac:dyDescent="0.35">
      <c r="A402" s="693"/>
      <c r="B402" s="693" t="s">
        <v>2894</v>
      </c>
      <c r="C402" s="693"/>
      <c r="D402" s="693"/>
      <c r="E402" s="2091" t="s">
        <v>7095</v>
      </c>
      <c r="F402" s="93" t="s">
        <v>664</v>
      </c>
      <c r="G402" s="93">
        <v>5</v>
      </c>
      <c r="H402" s="50">
        <v>6</v>
      </c>
      <c r="I402" s="2142"/>
      <c r="J402" s="2142"/>
      <c r="K402" s="395"/>
      <c r="L402" s="395"/>
      <c r="M402" s="395"/>
      <c r="N402" s="395"/>
      <c r="O402" s="395"/>
      <c r="P402" s="395"/>
      <c r="Q402" s="2086"/>
      <c r="R402" s="907">
        <f>1.2-0.8</f>
        <v>0.39999999999999991</v>
      </c>
      <c r="S402" s="106"/>
      <c r="T402" s="106"/>
      <c r="U402" s="106"/>
      <c r="V402" s="106"/>
      <c r="W402" s="105"/>
      <c r="X402" s="105"/>
      <c r="Y402" s="105"/>
      <c r="Z402" s="105"/>
      <c r="AE402" s="2461"/>
      <c r="AF402" s="68"/>
    </row>
    <row r="403" spans="1:32" ht="30" x14ac:dyDescent="0.35">
      <c r="A403" s="693">
        <v>208</v>
      </c>
      <c r="B403" s="693" t="s">
        <v>2894</v>
      </c>
      <c r="C403" s="693" t="s">
        <v>1656</v>
      </c>
      <c r="D403" s="2464" t="s">
        <v>5881</v>
      </c>
      <c r="E403" s="1845" t="s">
        <v>8866</v>
      </c>
      <c r="F403" s="93" t="s">
        <v>664</v>
      </c>
      <c r="G403" s="93">
        <v>5</v>
      </c>
      <c r="H403" s="50">
        <v>6</v>
      </c>
      <c r="I403" s="2143">
        <f>L403+K403+J403</f>
        <v>0.72</v>
      </c>
      <c r="J403" s="2143">
        <f t="shared" ref="J403:J414" si="26">SUM(M403:R403)</f>
        <v>0.72</v>
      </c>
      <c r="K403" s="622"/>
      <c r="L403" s="622"/>
      <c r="M403" s="622"/>
      <c r="N403" s="622"/>
      <c r="O403" s="622"/>
      <c r="P403" s="622"/>
      <c r="Q403" s="2085"/>
      <c r="R403" s="906">
        <v>0.72</v>
      </c>
      <c r="S403" s="106"/>
      <c r="T403" s="106"/>
      <c r="U403" s="106"/>
      <c r="V403" s="106"/>
      <c r="W403" s="105"/>
      <c r="X403" s="105"/>
      <c r="Y403" s="105"/>
      <c r="Z403" s="105"/>
      <c r="AB403" s="3">
        <v>1</v>
      </c>
      <c r="AE403" s="2461"/>
      <c r="AF403" s="68"/>
    </row>
    <row r="404" spans="1:32" ht="30.5" x14ac:dyDescent="0.35">
      <c r="A404" s="441">
        <v>209</v>
      </c>
      <c r="B404" s="358" t="s">
        <v>2894</v>
      </c>
      <c r="C404" s="358" t="s">
        <v>1656</v>
      </c>
      <c r="D404" s="2464" t="s">
        <v>5882</v>
      </c>
      <c r="E404" s="443" t="s">
        <v>8867</v>
      </c>
      <c r="F404" s="2289" t="s">
        <v>664</v>
      </c>
      <c r="G404" s="50">
        <v>5</v>
      </c>
      <c r="H404" s="50">
        <v>6</v>
      </c>
      <c r="I404" s="297">
        <f>J404+K404+L404</f>
        <v>0.74</v>
      </c>
      <c r="J404" s="297">
        <f t="shared" si="26"/>
        <v>0.74</v>
      </c>
      <c r="K404" s="745"/>
      <c r="L404" s="745"/>
      <c r="M404" s="749"/>
      <c r="N404" s="749"/>
      <c r="O404" s="769"/>
      <c r="P404" s="749"/>
      <c r="Q404" s="2393"/>
      <c r="R404" s="2394">
        <v>0.74</v>
      </c>
      <c r="S404" s="40"/>
      <c r="T404" s="246"/>
      <c r="U404" s="40"/>
      <c r="V404" s="40"/>
      <c r="W404" s="166"/>
      <c r="X404" s="166"/>
      <c r="Y404" s="40"/>
      <c r="Z404" s="94"/>
      <c r="AB404" s="3">
        <v>1</v>
      </c>
      <c r="AE404" s="2461"/>
      <c r="AF404" s="68"/>
    </row>
    <row r="405" spans="1:32" ht="30.5" x14ac:dyDescent="0.35">
      <c r="A405" s="693">
        <v>210</v>
      </c>
      <c r="B405" s="358" t="s">
        <v>2894</v>
      </c>
      <c r="C405" s="358" t="s">
        <v>1656</v>
      </c>
      <c r="D405" s="2464" t="s">
        <v>5883</v>
      </c>
      <c r="E405" s="443" t="s">
        <v>8868</v>
      </c>
      <c r="F405" s="2289"/>
      <c r="G405" s="50" t="s">
        <v>191</v>
      </c>
      <c r="H405" s="50" t="s">
        <v>191</v>
      </c>
      <c r="I405" s="297">
        <f>J405+K405+L405</f>
        <v>2.2000000000000002</v>
      </c>
      <c r="J405" s="297">
        <f t="shared" si="26"/>
        <v>1.3800000000000003</v>
      </c>
      <c r="K405" s="745"/>
      <c r="L405" s="749">
        <f>SUM(L406:L407)</f>
        <v>0.82</v>
      </c>
      <c r="M405" s="749"/>
      <c r="N405" s="749"/>
      <c r="O405" s="769"/>
      <c r="P405" s="749"/>
      <c r="Q405" s="2393"/>
      <c r="R405" s="2394">
        <f>SUM(R406:R407)</f>
        <v>1.3800000000000003</v>
      </c>
      <c r="S405" s="40"/>
      <c r="T405" s="246"/>
      <c r="U405" s="40"/>
      <c r="V405" s="40"/>
      <c r="W405" s="166"/>
      <c r="X405" s="166"/>
      <c r="Y405" s="40"/>
      <c r="Z405" s="94"/>
      <c r="AB405" s="3">
        <v>1</v>
      </c>
      <c r="AE405" s="2461"/>
      <c r="AF405" s="68"/>
    </row>
    <row r="406" spans="1:32" x14ac:dyDescent="0.35">
      <c r="A406" s="1040"/>
      <c r="B406" s="358"/>
      <c r="C406" s="358"/>
      <c r="D406" s="2464"/>
      <c r="E406" s="2092" t="s">
        <v>7096</v>
      </c>
      <c r="F406" s="2289" t="s">
        <v>664</v>
      </c>
      <c r="G406" s="50">
        <v>5</v>
      </c>
      <c r="H406" s="50" t="s">
        <v>191</v>
      </c>
      <c r="I406" s="297"/>
      <c r="J406" s="297"/>
      <c r="K406" s="745"/>
      <c r="L406" s="745">
        <v>0.82</v>
      </c>
      <c r="M406" s="749"/>
      <c r="N406" s="749"/>
      <c r="O406" s="769"/>
      <c r="P406" s="749"/>
      <c r="Q406" s="2393"/>
      <c r="R406" s="2394"/>
      <c r="S406" s="40"/>
      <c r="T406" s="246"/>
      <c r="U406" s="40"/>
      <c r="V406" s="40"/>
      <c r="W406" s="166"/>
      <c r="X406" s="166"/>
      <c r="Y406" s="40"/>
      <c r="Z406" s="94"/>
      <c r="AE406" s="2461"/>
      <c r="AF406" s="68"/>
    </row>
    <row r="407" spans="1:32" x14ac:dyDescent="0.35">
      <c r="A407" s="1040"/>
      <c r="B407" s="358"/>
      <c r="C407" s="358"/>
      <c r="D407" s="2464"/>
      <c r="E407" s="2091" t="s">
        <v>7097</v>
      </c>
      <c r="F407" s="2289" t="s">
        <v>664</v>
      </c>
      <c r="G407" s="50">
        <v>5</v>
      </c>
      <c r="H407" s="50">
        <v>6</v>
      </c>
      <c r="I407" s="297"/>
      <c r="J407" s="297"/>
      <c r="K407" s="745"/>
      <c r="L407" s="745"/>
      <c r="M407" s="749"/>
      <c r="N407" s="749"/>
      <c r="O407" s="769"/>
      <c r="P407" s="749"/>
      <c r="Q407" s="2393"/>
      <c r="R407" s="2394">
        <f>2.2-0.82</f>
        <v>1.3800000000000003</v>
      </c>
      <c r="S407" s="40"/>
      <c r="T407" s="246"/>
      <c r="U407" s="40"/>
      <c r="V407" s="40"/>
      <c r="W407" s="166"/>
      <c r="X407" s="166"/>
      <c r="Y407" s="40"/>
      <c r="Z407" s="94"/>
      <c r="AE407" s="2461"/>
      <c r="AF407" s="68"/>
    </row>
    <row r="408" spans="1:32" ht="30" x14ac:dyDescent="0.35">
      <c r="A408" s="441">
        <v>211</v>
      </c>
      <c r="B408" s="693">
        <v>11139</v>
      </c>
      <c r="C408" s="358" t="s">
        <v>1656</v>
      </c>
      <c r="D408" s="2464" t="s">
        <v>5884</v>
      </c>
      <c r="E408" s="2187" t="s">
        <v>8869</v>
      </c>
      <c r="F408" s="93" t="s">
        <v>664</v>
      </c>
      <c r="G408" s="50">
        <v>5</v>
      </c>
      <c r="H408" s="50">
        <v>6</v>
      </c>
      <c r="I408" s="297">
        <f>J408+K408+L408</f>
        <v>0.2</v>
      </c>
      <c r="J408" s="297">
        <f>SUM(M408:R408)</f>
        <v>0.2</v>
      </c>
      <c r="K408" s="622"/>
      <c r="L408" s="622"/>
      <c r="M408" s="622"/>
      <c r="N408" s="622"/>
      <c r="O408" s="622"/>
      <c r="P408" s="622"/>
      <c r="Q408" s="2085"/>
      <c r="R408" s="906">
        <v>0.2</v>
      </c>
      <c r="S408" s="106"/>
      <c r="T408" s="106"/>
      <c r="U408" s="106"/>
      <c r="V408" s="106"/>
      <c r="W408" s="105"/>
      <c r="X408" s="105"/>
      <c r="Y408" s="105"/>
      <c r="Z408" s="323"/>
      <c r="AB408" s="3">
        <v>1</v>
      </c>
      <c r="AE408" s="2461"/>
      <c r="AF408" s="68"/>
    </row>
    <row r="409" spans="1:32" ht="45" x14ac:dyDescent="0.35">
      <c r="A409" s="693">
        <v>212</v>
      </c>
      <c r="B409" s="693" t="s">
        <v>2894</v>
      </c>
      <c r="C409" s="693"/>
      <c r="D409" s="2464" t="s">
        <v>5885</v>
      </c>
      <c r="E409" s="2187" t="s">
        <v>7917</v>
      </c>
      <c r="F409" s="93" t="s">
        <v>664</v>
      </c>
      <c r="G409" s="93">
        <v>5</v>
      </c>
      <c r="H409" s="50">
        <v>6</v>
      </c>
      <c r="I409" s="2143">
        <f>L409+K409+J409</f>
        <v>0.75</v>
      </c>
      <c r="J409" s="2143">
        <f t="shared" si="26"/>
        <v>0.75</v>
      </c>
      <c r="K409" s="622"/>
      <c r="L409" s="622"/>
      <c r="M409" s="622"/>
      <c r="N409" s="622"/>
      <c r="O409" s="622"/>
      <c r="P409" s="622"/>
      <c r="Q409" s="2085"/>
      <c r="R409" s="906">
        <v>0.75</v>
      </c>
      <c r="S409" s="106"/>
      <c r="T409" s="106"/>
      <c r="U409" s="106"/>
      <c r="V409" s="106"/>
      <c r="W409" s="105"/>
      <c r="X409" s="105"/>
      <c r="Y409" s="105"/>
      <c r="Z409" s="323"/>
      <c r="AB409" s="3">
        <v>1</v>
      </c>
      <c r="AE409" s="2461"/>
      <c r="AF409" s="68"/>
    </row>
    <row r="410" spans="1:32" ht="30" x14ac:dyDescent="0.35">
      <c r="A410" s="441">
        <v>213</v>
      </c>
      <c r="B410" s="693" t="s">
        <v>2894</v>
      </c>
      <c r="C410" s="693"/>
      <c r="D410" s="2464" t="s">
        <v>5886</v>
      </c>
      <c r="E410" s="2187" t="s">
        <v>7918</v>
      </c>
      <c r="F410" s="93" t="s">
        <v>664</v>
      </c>
      <c r="G410" s="93">
        <v>5</v>
      </c>
      <c r="H410" s="50">
        <v>6</v>
      </c>
      <c r="I410" s="2143">
        <f>L410+K410+J410</f>
        <v>0.8</v>
      </c>
      <c r="J410" s="2143">
        <f t="shared" si="26"/>
        <v>0.8</v>
      </c>
      <c r="K410" s="622"/>
      <c r="L410" s="622"/>
      <c r="M410" s="622"/>
      <c r="N410" s="622"/>
      <c r="O410" s="622"/>
      <c r="P410" s="622"/>
      <c r="Q410" s="2085"/>
      <c r="R410" s="1981">
        <v>0.8</v>
      </c>
      <c r="S410" s="1779"/>
      <c r="T410" s="1779"/>
      <c r="U410" s="1779"/>
      <c r="V410" s="1779"/>
      <c r="W410" s="1779"/>
      <c r="X410" s="1779"/>
      <c r="Y410" s="1779"/>
      <c r="Z410" s="1779"/>
      <c r="AB410" s="3">
        <v>1</v>
      </c>
      <c r="AE410" s="2461"/>
      <c r="AF410" s="68"/>
    </row>
    <row r="411" spans="1:32" ht="30.5" x14ac:dyDescent="0.35">
      <c r="A411" s="693">
        <v>214</v>
      </c>
      <c r="B411" s="358" t="s">
        <v>2894</v>
      </c>
      <c r="C411" s="358" t="s">
        <v>1656</v>
      </c>
      <c r="D411" s="2464" t="s">
        <v>5887</v>
      </c>
      <c r="E411" s="443" t="s">
        <v>8870</v>
      </c>
      <c r="F411" s="166" t="s">
        <v>664</v>
      </c>
      <c r="G411" s="50">
        <v>5</v>
      </c>
      <c r="H411" s="50">
        <v>6</v>
      </c>
      <c r="I411" s="297">
        <f>J411+K411+L411</f>
        <v>0.7</v>
      </c>
      <c r="J411" s="297">
        <f t="shared" si="26"/>
        <v>0.7</v>
      </c>
      <c r="K411" s="745"/>
      <c r="L411" s="745"/>
      <c r="M411" s="749"/>
      <c r="N411" s="744"/>
      <c r="O411" s="769"/>
      <c r="P411" s="749"/>
      <c r="Q411" s="2393"/>
      <c r="R411" s="2394">
        <v>0.7</v>
      </c>
      <c r="S411" s="40"/>
      <c r="T411" s="246"/>
      <c r="U411" s="40"/>
      <c r="V411" s="40"/>
      <c r="W411" s="166"/>
      <c r="X411" s="166"/>
      <c r="Y411" s="40"/>
      <c r="Z411" s="94"/>
      <c r="AB411" s="3">
        <v>1</v>
      </c>
      <c r="AE411" s="2461"/>
      <c r="AF411" s="68"/>
    </row>
    <row r="412" spans="1:32" ht="60.5" x14ac:dyDescent="0.35">
      <c r="A412" s="441">
        <v>215</v>
      </c>
      <c r="B412" s="358" t="s">
        <v>2894</v>
      </c>
      <c r="C412" s="358" t="s">
        <v>1656</v>
      </c>
      <c r="D412" s="2464" t="s">
        <v>5888</v>
      </c>
      <c r="E412" s="443" t="s">
        <v>8871</v>
      </c>
      <c r="F412" s="166" t="s">
        <v>664</v>
      </c>
      <c r="G412" s="50">
        <v>5</v>
      </c>
      <c r="H412" s="50">
        <v>6</v>
      </c>
      <c r="I412" s="297">
        <f>J412+K412+L412</f>
        <v>1</v>
      </c>
      <c r="J412" s="297">
        <f t="shared" si="26"/>
        <v>1</v>
      </c>
      <c r="K412" s="745"/>
      <c r="L412" s="747"/>
      <c r="M412" s="749"/>
      <c r="N412" s="749"/>
      <c r="O412" s="769"/>
      <c r="P412" s="749"/>
      <c r="Q412" s="2393"/>
      <c r="R412" s="2394">
        <v>1</v>
      </c>
      <c r="S412" s="40"/>
      <c r="T412" s="246"/>
      <c r="U412" s="40"/>
      <c r="V412" s="40"/>
      <c r="W412" s="166"/>
      <c r="X412" s="166"/>
      <c r="Y412" s="40"/>
      <c r="Z412" s="94"/>
      <c r="AB412" s="3">
        <v>1</v>
      </c>
      <c r="AE412" s="2461"/>
      <c r="AF412" s="68"/>
    </row>
    <row r="413" spans="1:32" ht="30.5" x14ac:dyDescent="0.35">
      <c r="A413" s="693">
        <v>216</v>
      </c>
      <c r="B413" s="358" t="s">
        <v>2894</v>
      </c>
      <c r="C413" s="358"/>
      <c r="D413" s="2464" t="s">
        <v>5889</v>
      </c>
      <c r="E413" s="443" t="s">
        <v>7919</v>
      </c>
      <c r="F413" s="41" t="s">
        <v>664</v>
      </c>
      <c r="G413" s="50">
        <v>5</v>
      </c>
      <c r="H413" s="50">
        <v>6</v>
      </c>
      <c r="I413" s="762">
        <f>J413+K413+L413</f>
        <v>1.1000000000000001</v>
      </c>
      <c r="J413" s="762">
        <f t="shared" si="26"/>
        <v>1.1000000000000001</v>
      </c>
      <c r="K413" s="762"/>
      <c r="L413" s="762"/>
      <c r="M413" s="762"/>
      <c r="N413" s="762"/>
      <c r="O413" s="763"/>
      <c r="P413" s="762"/>
      <c r="Q413" s="1445"/>
      <c r="R413" s="1440">
        <v>1.1000000000000001</v>
      </c>
      <c r="S413" s="49"/>
      <c r="T413" s="255"/>
      <c r="U413" s="49"/>
      <c r="V413" s="49"/>
      <c r="W413" s="168"/>
      <c r="X413" s="168"/>
      <c r="Y413" s="42"/>
      <c r="Z413" s="2131"/>
      <c r="AB413" s="3">
        <v>1</v>
      </c>
      <c r="AE413" s="2461"/>
      <c r="AF413" s="68"/>
    </row>
    <row r="414" spans="1:32" ht="30" x14ac:dyDescent="0.35">
      <c r="A414" s="441">
        <v>217</v>
      </c>
      <c r="B414" s="693" t="s">
        <v>2894</v>
      </c>
      <c r="C414" s="358" t="s">
        <v>1656</v>
      </c>
      <c r="D414" s="2464" t="s">
        <v>5890</v>
      </c>
      <c r="E414" s="2187" t="s">
        <v>8872</v>
      </c>
      <c r="F414" s="93" t="s">
        <v>664</v>
      </c>
      <c r="G414" s="50">
        <v>5</v>
      </c>
      <c r="H414" s="50">
        <v>6</v>
      </c>
      <c r="I414" s="297">
        <f>J414+K414+L414</f>
        <v>0.4</v>
      </c>
      <c r="J414" s="297">
        <f t="shared" si="26"/>
        <v>0.4</v>
      </c>
      <c r="K414" s="622"/>
      <c r="L414" s="622"/>
      <c r="M414" s="622"/>
      <c r="N414" s="622"/>
      <c r="O414" s="622"/>
      <c r="P414" s="622"/>
      <c r="Q414" s="2085"/>
      <c r="R414" s="1981">
        <v>0.4</v>
      </c>
      <c r="S414" s="1779"/>
      <c r="T414" s="1779"/>
      <c r="U414" s="1779"/>
      <c r="V414" s="1779"/>
      <c r="W414" s="1779"/>
      <c r="X414" s="1779"/>
      <c r="Y414" s="1779"/>
      <c r="Z414" s="1780"/>
      <c r="AB414" s="3">
        <v>1</v>
      </c>
      <c r="AE414" s="2461"/>
      <c r="AF414" s="68"/>
    </row>
    <row r="415" spans="1:32" ht="30.5" x14ac:dyDescent="0.35">
      <c r="A415" s="693">
        <v>218</v>
      </c>
      <c r="B415" s="358">
        <v>11128</v>
      </c>
      <c r="C415" s="358" t="s">
        <v>1656</v>
      </c>
      <c r="D415" s="2464" t="s">
        <v>5891</v>
      </c>
      <c r="E415" s="443" t="s">
        <v>8873</v>
      </c>
      <c r="F415" s="166"/>
      <c r="G415" s="50" t="s">
        <v>191</v>
      </c>
      <c r="H415" s="50" t="s">
        <v>191</v>
      </c>
      <c r="I415" s="297">
        <f>J415+K415+L415</f>
        <v>2.37</v>
      </c>
      <c r="J415" s="297">
        <f>SUM(M415:R415)</f>
        <v>1.1000000000000001</v>
      </c>
      <c r="K415" s="762"/>
      <c r="L415" s="762">
        <f>SUM(L416:L417)</f>
        <v>1.27</v>
      </c>
      <c r="M415" s="762"/>
      <c r="N415" s="762"/>
      <c r="O415" s="763"/>
      <c r="P415" s="762"/>
      <c r="Q415" s="2395"/>
      <c r="R415" s="2396">
        <f>SUM(R416:R417)</f>
        <v>1.1000000000000001</v>
      </c>
      <c r="S415" s="49"/>
      <c r="T415" s="255"/>
      <c r="U415" s="49"/>
      <c r="V415" s="49"/>
      <c r="W415" s="168"/>
      <c r="X415" s="168"/>
      <c r="Y415" s="42"/>
      <c r="Z415" s="107"/>
      <c r="AB415" s="3">
        <v>1</v>
      </c>
      <c r="AE415" s="2461"/>
      <c r="AF415" s="68"/>
    </row>
    <row r="416" spans="1:32" x14ac:dyDescent="0.35">
      <c r="A416" s="2435"/>
      <c r="B416" s="358"/>
      <c r="C416" s="358"/>
      <c r="D416" s="2464"/>
      <c r="E416" s="2092" t="s">
        <v>7098</v>
      </c>
      <c r="F416" s="166" t="s">
        <v>664</v>
      </c>
      <c r="G416" s="50">
        <v>5</v>
      </c>
      <c r="H416" s="50" t="s">
        <v>191</v>
      </c>
      <c r="I416" s="297"/>
      <c r="J416" s="297"/>
      <c r="K416" s="762"/>
      <c r="L416" s="762">
        <v>1.27</v>
      </c>
      <c r="M416" s="762"/>
      <c r="N416" s="762"/>
      <c r="O416" s="763"/>
      <c r="P416" s="762"/>
      <c r="Q416" s="2395"/>
      <c r="R416" s="2396"/>
      <c r="S416" s="49"/>
      <c r="T416" s="255"/>
      <c r="U416" s="49"/>
      <c r="V416" s="49"/>
      <c r="W416" s="168"/>
      <c r="X416" s="168"/>
      <c r="Y416" s="42"/>
      <c r="Z416" s="2357"/>
      <c r="AE416" s="2461"/>
      <c r="AF416" s="68"/>
    </row>
    <row r="417" spans="1:32" x14ac:dyDescent="0.35">
      <c r="A417" s="2435"/>
      <c r="B417" s="358"/>
      <c r="C417" s="358"/>
      <c r="D417" s="2464"/>
      <c r="E417" s="2091" t="s">
        <v>7099</v>
      </c>
      <c r="F417" s="166" t="s">
        <v>664</v>
      </c>
      <c r="G417" s="50">
        <v>5</v>
      </c>
      <c r="H417" s="50">
        <v>6</v>
      </c>
      <c r="I417" s="297"/>
      <c r="J417" s="297"/>
      <c r="K417" s="762"/>
      <c r="L417" s="762"/>
      <c r="M417" s="762"/>
      <c r="N417" s="762"/>
      <c r="O417" s="763"/>
      <c r="P417" s="762"/>
      <c r="Q417" s="2395"/>
      <c r="R417" s="2396">
        <f>2.37-1.27</f>
        <v>1.1000000000000001</v>
      </c>
      <c r="S417" s="49"/>
      <c r="T417" s="255"/>
      <c r="U417" s="49"/>
      <c r="V417" s="49"/>
      <c r="W417" s="168"/>
      <c r="X417" s="168"/>
      <c r="Y417" s="42"/>
      <c r="Z417" s="2357"/>
      <c r="AE417" s="2461"/>
      <c r="AF417" s="68"/>
    </row>
    <row r="418" spans="1:32" ht="45.5" x14ac:dyDescent="0.35">
      <c r="A418" s="2146"/>
      <c r="B418" s="358" t="s">
        <v>1206</v>
      </c>
      <c r="C418" s="358"/>
      <c r="D418" s="358"/>
      <c r="E418" s="1596" t="s">
        <v>11430</v>
      </c>
      <c r="F418" s="41"/>
      <c r="G418" s="50"/>
      <c r="H418" s="50"/>
      <c r="I418" s="762"/>
      <c r="J418" s="762"/>
      <c r="K418" s="762"/>
      <c r="L418" s="762"/>
      <c r="M418" s="762"/>
      <c r="N418" s="762"/>
      <c r="O418" s="763"/>
      <c r="P418" s="762"/>
      <c r="Q418" s="1445"/>
      <c r="R418" s="1440"/>
      <c r="S418" s="49"/>
      <c r="T418" s="255"/>
      <c r="U418" s="49"/>
      <c r="V418" s="49"/>
      <c r="W418" s="168"/>
      <c r="X418" s="168"/>
      <c r="Y418" s="42"/>
      <c r="Z418" s="2131"/>
      <c r="AE418" s="2461"/>
      <c r="AF418" s="68"/>
    </row>
    <row r="419" spans="1:32" ht="60.5" x14ac:dyDescent="0.35">
      <c r="A419" s="2146">
        <v>219</v>
      </c>
      <c r="B419" s="358" t="s">
        <v>1206</v>
      </c>
      <c r="C419" s="358"/>
      <c r="D419" s="2464" t="s">
        <v>5892</v>
      </c>
      <c r="E419" s="417" t="s">
        <v>7920</v>
      </c>
      <c r="F419" s="41" t="s">
        <v>664</v>
      </c>
      <c r="G419" s="50">
        <v>5</v>
      </c>
      <c r="H419" s="50">
        <v>6</v>
      </c>
      <c r="I419" s="762">
        <f>J419+K419+L419</f>
        <v>0.8</v>
      </c>
      <c r="J419" s="762">
        <f>SUM(M419:R419)</f>
        <v>0.8</v>
      </c>
      <c r="K419" s="762"/>
      <c r="L419" s="762"/>
      <c r="M419" s="762"/>
      <c r="N419" s="762"/>
      <c r="O419" s="763"/>
      <c r="P419" s="762"/>
      <c r="Q419" s="1445"/>
      <c r="R419" s="1440">
        <v>0.8</v>
      </c>
      <c r="S419" s="49"/>
      <c r="T419" s="255"/>
      <c r="U419" s="49"/>
      <c r="V419" s="49"/>
      <c r="W419" s="168"/>
      <c r="X419" s="168"/>
      <c r="Y419" s="42"/>
      <c r="Z419" s="2131"/>
      <c r="AB419" s="3">
        <v>1</v>
      </c>
      <c r="AE419" s="2461"/>
      <c r="AF419" s="68"/>
    </row>
    <row r="420" spans="1:32" ht="45.5" x14ac:dyDescent="0.35">
      <c r="A420" s="2146">
        <v>220</v>
      </c>
      <c r="B420" s="358" t="s">
        <v>1206</v>
      </c>
      <c r="C420" s="358"/>
      <c r="D420" s="2464" t="s">
        <v>5893</v>
      </c>
      <c r="E420" s="417" t="s">
        <v>7921</v>
      </c>
      <c r="F420" s="41"/>
      <c r="G420" s="50" t="s">
        <v>191</v>
      </c>
      <c r="H420" s="50" t="s">
        <v>191</v>
      </c>
      <c r="I420" s="762">
        <f>J420+K420+L420</f>
        <v>1</v>
      </c>
      <c r="J420" s="762">
        <f>SUM(M420:R420)</f>
        <v>1</v>
      </c>
      <c r="K420" s="762"/>
      <c r="L420" s="762"/>
      <c r="M420" s="762"/>
      <c r="N420" s="762">
        <f>SUM(N421:N422)</f>
        <v>0.56999999999999995</v>
      </c>
      <c r="O420" s="763"/>
      <c r="P420" s="762"/>
      <c r="Q420" s="1445"/>
      <c r="R420" s="1440">
        <f>SUM(R421:R422)</f>
        <v>0.43000000000000005</v>
      </c>
      <c r="S420" s="49">
        <v>1</v>
      </c>
      <c r="T420" s="255">
        <v>12.94</v>
      </c>
      <c r="U420" s="49"/>
      <c r="V420" s="49"/>
      <c r="W420" s="168">
        <v>2</v>
      </c>
      <c r="X420" s="168">
        <f>10.4+10.12</f>
        <v>20.52</v>
      </c>
      <c r="Y420" s="42">
        <v>1</v>
      </c>
      <c r="Z420" s="253">
        <v>10.119999999999999</v>
      </c>
      <c r="AB420" s="3">
        <v>1</v>
      </c>
      <c r="AE420" s="2461"/>
      <c r="AF420" s="68"/>
    </row>
    <row r="421" spans="1:32" x14ac:dyDescent="0.35">
      <c r="A421" s="360"/>
      <c r="B421" s="358" t="s">
        <v>1206</v>
      </c>
      <c r="C421" s="358"/>
      <c r="D421" s="360"/>
      <c r="E421" s="442" t="s">
        <v>1659</v>
      </c>
      <c r="F421" s="40">
        <v>5</v>
      </c>
      <c r="G421" s="40">
        <v>5</v>
      </c>
      <c r="H421" s="50">
        <v>6</v>
      </c>
      <c r="I421" s="745"/>
      <c r="J421" s="745"/>
      <c r="K421" s="745"/>
      <c r="L421" s="745"/>
      <c r="M421" s="745"/>
      <c r="N421" s="747">
        <v>0.56999999999999995</v>
      </c>
      <c r="O421" s="764"/>
      <c r="P421" s="745"/>
      <c r="Q421" s="1089"/>
      <c r="R421" s="1084"/>
      <c r="S421" s="40"/>
      <c r="T421" s="246"/>
      <c r="U421" s="40"/>
      <c r="V421" s="40"/>
      <c r="W421" s="166"/>
      <c r="X421" s="166"/>
      <c r="Y421" s="40"/>
      <c r="Z421" s="2147"/>
      <c r="AE421" s="2461"/>
      <c r="AF421" s="68"/>
    </row>
    <row r="422" spans="1:32" x14ac:dyDescent="0.35">
      <c r="A422" s="360"/>
      <c r="B422" s="358" t="s">
        <v>1206</v>
      </c>
      <c r="C422" s="358"/>
      <c r="D422" s="360"/>
      <c r="E422" s="885" t="s">
        <v>3700</v>
      </c>
      <c r="F422" s="40" t="s">
        <v>664</v>
      </c>
      <c r="G422" s="40">
        <v>5</v>
      </c>
      <c r="H422" s="50">
        <v>6</v>
      </c>
      <c r="I422" s="745"/>
      <c r="J422" s="745"/>
      <c r="K422" s="745"/>
      <c r="L422" s="745"/>
      <c r="M422" s="745"/>
      <c r="N422" s="745"/>
      <c r="O422" s="764"/>
      <c r="P422" s="745"/>
      <c r="Q422" s="1089"/>
      <c r="R422" s="1082">
        <f>1-0.57</f>
        <v>0.43000000000000005</v>
      </c>
      <c r="S422" s="40"/>
      <c r="T422" s="246"/>
      <c r="U422" s="40"/>
      <c r="V422" s="40"/>
      <c r="W422" s="166"/>
      <c r="X422" s="166"/>
      <c r="Y422" s="40"/>
      <c r="Z422" s="2147"/>
      <c r="AE422" s="2461"/>
      <c r="AF422" s="68"/>
    </row>
    <row r="423" spans="1:32" ht="60" x14ac:dyDescent="0.35">
      <c r="A423" s="693">
        <v>221</v>
      </c>
      <c r="B423" s="693" t="s">
        <v>1206</v>
      </c>
      <c r="C423" s="693" t="s">
        <v>1656</v>
      </c>
      <c r="D423" s="2464" t="s">
        <v>5894</v>
      </c>
      <c r="E423" s="2187" t="s">
        <v>8874</v>
      </c>
      <c r="F423" s="93" t="s">
        <v>664</v>
      </c>
      <c r="G423" s="93">
        <v>5</v>
      </c>
      <c r="H423" s="50">
        <v>6</v>
      </c>
      <c r="I423" s="2143">
        <f>L423+K423+J423</f>
        <v>0.32</v>
      </c>
      <c r="J423" s="2143">
        <f>SUM(M423:R423)</f>
        <v>0.32</v>
      </c>
      <c r="K423" s="622"/>
      <c r="L423" s="622"/>
      <c r="M423" s="622"/>
      <c r="N423" s="622"/>
      <c r="O423" s="622"/>
      <c r="P423" s="622"/>
      <c r="Q423" s="2085"/>
      <c r="R423" s="1981">
        <v>0.32</v>
      </c>
      <c r="S423" s="1779"/>
      <c r="T423" s="1779"/>
      <c r="U423" s="1779"/>
      <c r="V423" s="1779"/>
      <c r="W423" s="1779"/>
      <c r="X423" s="1779"/>
      <c r="Y423" s="1779"/>
      <c r="Z423" s="1779"/>
      <c r="AB423" s="3">
        <v>1</v>
      </c>
      <c r="AE423" s="2461"/>
      <c r="AF423" s="68"/>
    </row>
    <row r="424" spans="1:32" ht="75.5" x14ac:dyDescent="0.35">
      <c r="A424" s="2146">
        <v>222</v>
      </c>
      <c r="B424" s="358" t="s">
        <v>1206</v>
      </c>
      <c r="C424" s="358"/>
      <c r="D424" s="2464" t="s">
        <v>5895</v>
      </c>
      <c r="E424" s="417" t="s">
        <v>10161</v>
      </c>
      <c r="F424" s="41">
        <v>4</v>
      </c>
      <c r="G424" s="50">
        <v>4</v>
      </c>
      <c r="H424" s="50">
        <v>6</v>
      </c>
      <c r="I424" s="762">
        <f>J424+K424+L424</f>
        <v>3.1320000000000001</v>
      </c>
      <c r="J424" s="762">
        <f>SUM(M424:R424)</f>
        <v>3.1320000000000001</v>
      </c>
      <c r="K424" s="762"/>
      <c r="L424" s="762"/>
      <c r="M424" s="762"/>
      <c r="N424" s="762">
        <v>3.1320000000000001</v>
      </c>
      <c r="O424" s="763"/>
      <c r="P424" s="762"/>
      <c r="Q424" s="1445"/>
      <c r="R424" s="1440"/>
      <c r="S424" s="49"/>
      <c r="T424" s="255"/>
      <c r="U424" s="49"/>
      <c r="V424" s="49"/>
      <c r="W424" s="168">
        <v>4</v>
      </c>
      <c r="X424" s="168">
        <v>56.4</v>
      </c>
      <c r="Y424" s="42">
        <v>1</v>
      </c>
      <c r="Z424" s="2131">
        <v>10</v>
      </c>
      <c r="AB424" s="3">
        <v>1</v>
      </c>
      <c r="AE424" s="2461"/>
      <c r="AF424" s="68"/>
    </row>
    <row r="425" spans="1:32" ht="135.5" x14ac:dyDescent="0.35">
      <c r="A425" s="693">
        <v>223</v>
      </c>
      <c r="B425" s="358" t="s">
        <v>1206</v>
      </c>
      <c r="C425" s="358"/>
      <c r="D425" s="2464" t="s">
        <v>7100</v>
      </c>
      <c r="E425" s="417" t="s">
        <v>10162</v>
      </c>
      <c r="F425" s="41">
        <v>4</v>
      </c>
      <c r="G425" s="50">
        <v>4</v>
      </c>
      <c r="H425" s="50">
        <v>6</v>
      </c>
      <c r="I425" s="762">
        <f>J425+K425+L425</f>
        <v>0.7</v>
      </c>
      <c r="J425" s="762">
        <f>SUM(M425:R425)</f>
        <v>0.7</v>
      </c>
      <c r="K425" s="762"/>
      <c r="L425" s="762"/>
      <c r="M425" s="762"/>
      <c r="N425" s="762">
        <v>0.7</v>
      </c>
      <c r="O425" s="763"/>
      <c r="P425" s="762"/>
      <c r="Q425" s="1445"/>
      <c r="R425" s="1440"/>
      <c r="S425" s="49"/>
      <c r="T425" s="255"/>
      <c r="U425" s="49"/>
      <c r="V425" s="49"/>
      <c r="W425" s="168"/>
      <c r="X425" s="168"/>
      <c r="Y425" s="42"/>
      <c r="Z425" s="2131"/>
      <c r="AB425" s="3">
        <v>1</v>
      </c>
      <c r="AE425" s="2461"/>
      <c r="AF425" s="68"/>
    </row>
    <row r="426" spans="1:32" ht="90" x14ac:dyDescent="0.35">
      <c r="A426" s="2146">
        <v>224</v>
      </c>
      <c r="B426" s="693">
        <v>10827</v>
      </c>
      <c r="C426" s="358" t="s">
        <v>1656</v>
      </c>
      <c r="D426" s="2464" t="s">
        <v>5738</v>
      </c>
      <c r="E426" s="2187" t="s">
        <v>10163</v>
      </c>
      <c r="F426" s="93" t="s">
        <v>664</v>
      </c>
      <c r="G426" s="50">
        <v>5</v>
      </c>
      <c r="H426" s="50">
        <v>6</v>
      </c>
      <c r="I426" s="297">
        <f>J426+K426+L426</f>
        <v>0.1</v>
      </c>
      <c r="J426" s="297">
        <f>SUM(M426:R426)</f>
        <v>0.1</v>
      </c>
      <c r="K426" s="622"/>
      <c r="L426" s="622"/>
      <c r="M426" s="622"/>
      <c r="N426" s="622"/>
      <c r="O426" s="622"/>
      <c r="P426" s="622"/>
      <c r="Q426" s="2085"/>
      <c r="R426" s="906">
        <v>0.1</v>
      </c>
      <c r="S426" s="106"/>
      <c r="T426" s="106"/>
      <c r="U426" s="106"/>
      <c r="V426" s="106"/>
      <c r="W426" s="105"/>
      <c r="X426" s="105"/>
      <c r="Y426" s="105"/>
      <c r="Z426" s="323"/>
      <c r="AB426" s="3">
        <v>1</v>
      </c>
      <c r="AE426" s="2461"/>
      <c r="AF426" s="68"/>
    </row>
    <row r="427" spans="1:32" ht="45.5" x14ac:dyDescent="0.35">
      <c r="A427" s="693">
        <v>225</v>
      </c>
      <c r="B427" s="358" t="s">
        <v>1206</v>
      </c>
      <c r="C427" s="358"/>
      <c r="D427" s="2464" t="s">
        <v>5896</v>
      </c>
      <c r="E427" s="417" t="s">
        <v>7922</v>
      </c>
      <c r="F427" s="41"/>
      <c r="G427" s="50" t="s">
        <v>191</v>
      </c>
      <c r="H427" s="50" t="s">
        <v>191</v>
      </c>
      <c r="I427" s="762">
        <f>J427+K427+L427</f>
        <v>4.8000000000000007</v>
      </c>
      <c r="J427" s="762">
        <f>SUM(M427:R427)</f>
        <v>4.8000000000000007</v>
      </c>
      <c r="K427" s="762"/>
      <c r="L427" s="762"/>
      <c r="M427" s="762"/>
      <c r="N427" s="2752">
        <f>SUM(N428:N430)</f>
        <v>2.42</v>
      </c>
      <c r="O427" s="763"/>
      <c r="P427" s="762"/>
      <c r="Q427" s="1445">
        <f>SUM(Q428:Q430)</f>
        <v>0.18000000000000016</v>
      </c>
      <c r="R427" s="1440">
        <f>SUM(R428:R430)</f>
        <v>2.2000000000000002</v>
      </c>
      <c r="S427" s="49"/>
      <c r="T427" s="255"/>
      <c r="U427" s="49"/>
      <c r="V427" s="49"/>
      <c r="W427" s="168">
        <v>6</v>
      </c>
      <c r="X427" s="168">
        <v>78.400000000000006</v>
      </c>
      <c r="Y427" s="42">
        <v>1</v>
      </c>
      <c r="Z427" s="2131">
        <v>10</v>
      </c>
      <c r="AB427" s="3">
        <v>1</v>
      </c>
      <c r="AE427" s="2461"/>
      <c r="AF427" s="68"/>
    </row>
    <row r="428" spans="1:32" x14ac:dyDescent="0.35">
      <c r="A428" s="360"/>
      <c r="B428" s="358" t="s">
        <v>1206</v>
      </c>
      <c r="C428" s="358"/>
      <c r="D428" s="360"/>
      <c r="E428" s="444" t="s">
        <v>11431</v>
      </c>
      <c r="F428" s="40">
        <v>4</v>
      </c>
      <c r="G428" s="40">
        <v>5</v>
      </c>
      <c r="H428" s="50">
        <v>6</v>
      </c>
      <c r="I428" s="745"/>
      <c r="J428" s="745"/>
      <c r="K428" s="745"/>
      <c r="L428" s="745"/>
      <c r="M428" s="745"/>
      <c r="N428" s="2639">
        <v>2.42</v>
      </c>
      <c r="O428" s="764"/>
      <c r="P428" s="745"/>
      <c r="Q428" s="1089"/>
      <c r="R428" s="1084"/>
      <c r="S428" s="40"/>
      <c r="T428" s="246"/>
      <c r="U428" s="40"/>
      <c r="V428" s="40"/>
      <c r="W428" s="166"/>
      <c r="X428" s="166"/>
      <c r="Y428" s="40"/>
      <c r="Z428" s="2147"/>
      <c r="AE428" s="2461"/>
      <c r="AF428" s="68"/>
    </row>
    <row r="429" spans="1:32" x14ac:dyDescent="0.35">
      <c r="A429" s="360"/>
      <c r="B429" s="358"/>
      <c r="C429" s="358"/>
      <c r="D429" s="360"/>
      <c r="E429" s="884" t="s">
        <v>11330</v>
      </c>
      <c r="F429" s="40">
        <v>4</v>
      </c>
      <c r="G429" s="40">
        <v>5</v>
      </c>
      <c r="H429" s="50">
        <v>6</v>
      </c>
      <c r="I429" s="745"/>
      <c r="J429" s="745"/>
      <c r="K429" s="745"/>
      <c r="L429" s="745"/>
      <c r="M429" s="745"/>
      <c r="N429" s="2639"/>
      <c r="O429" s="764"/>
      <c r="P429" s="745"/>
      <c r="Q429" s="1089">
        <f>2.6-2.42</f>
        <v>0.18000000000000016</v>
      </c>
      <c r="R429" s="1084"/>
      <c r="S429" s="40"/>
      <c r="T429" s="246"/>
      <c r="U429" s="40"/>
      <c r="V429" s="40"/>
      <c r="W429" s="166"/>
      <c r="X429" s="166"/>
      <c r="Y429" s="40"/>
      <c r="Z429" s="2147"/>
      <c r="AE429" s="2461"/>
      <c r="AF429" s="68"/>
    </row>
    <row r="430" spans="1:32" x14ac:dyDescent="0.35">
      <c r="A430" s="360"/>
      <c r="B430" s="358" t="s">
        <v>1206</v>
      </c>
      <c r="C430" s="358"/>
      <c r="D430" s="360"/>
      <c r="E430" s="885" t="s">
        <v>2147</v>
      </c>
      <c r="F430" s="40" t="s">
        <v>664</v>
      </c>
      <c r="G430" s="40">
        <v>5</v>
      </c>
      <c r="H430" s="50">
        <v>6</v>
      </c>
      <c r="I430" s="745"/>
      <c r="J430" s="745"/>
      <c r="K430" s="745"/>
      <c r="L430" s="745"/>
      <c r="M430" s="745"/>
      <c r="N430" s="2750"/>
      <c r="O430" s="764"/>
      <c r="P430" s="745"/>
      <c r="Q430" s="1089"/>
      <c r="R430" s="1082">
        <v>2.2000000000000002</v>
      </c>
      <c r="S430" s="40"/>
      <c r="T430" s="246"/>
      <c r="U430" s="40"/>
      <c r="V430" s="40"/>
      <c r="W430" s="166"/>
      <c r="X430" s="166"/>
      <c r="Y430" s="40"/>
      <c r="Z430" s="2147"/>
      <c r="AE430" s="2461"/>
      <c r="AF430" s="68"/>
    </row>
    <row r="431" spans="1:32" ht="60" x14ac:dyDescent="0.35">
      <c r="A431" s="693">
        <v>226</v>
      </c>
      <c r="B431" s="693" t="s">
        <v>1206</v>
      </c>
      <c r="C431" s="693" t="s">
        <v>1656</v>
      </c>
      <c r="D431" s="2464" t="s">
        <v>5897</v>
      </c>
      <c r="E431" s="2187" t="s">
        <v>8875</v>
      </c>
      <c r="F431" s="93" t="s">
        <v>664</v>
      </c>
      <c r="G431" s="93">
        <v>5</v>
      </c>
      <c r="H431" s="50">
        <v>6</v>
      </c>
      <c r="I431" s="2143">
        <f>L431+K431+J431</f>
        <v>0.3</v>
      </c>
      <c r="J431" s="2143">
        <f>SUM(M431:R431)</f>
        <v>0.3</v>
      </c>
      <c r="K431" s="622"/>
      <c r="L431" s="622"/>
      <c r="M431" s="622"/>
      <c r="N431" s="622"/>
      <c r="O431" s="622"/>
      <c r="P431" s="622"/>
      <c r="Q431" s="2085"/>
      <c r="R431" s="906">
        <v>0.3</v>
      </c>
      <c r="S431" s="106"/>
      <c r="T431" s="106"/>
      <c r="U431" s="106"/>
      <c r="V431" s="106"/>
      <c r="W431" s="105"/>
      <c r="X431" s="105"/>
      <c r="Y431" s="105"/>
      <c r="Z431" s="105"/>
      <c r="AB431" s="3">
        <v>1</v>
      </c>
      <c r="AE431" s="2461"/>
      <c r="AF431" s="68"/>
    </row>
    <row r="432" spans="1:32" ht="60" x14ac:dyDescent="0.35">
      <c r="A432" s="693">
        <v>227</v>
      </c>
      <c r="B432" s="693" t="s">
        <v>1206</v>
      </c>
      <c r="C432" s="693" t="s">
        <v>1656</v>
      </c>
      <c r="D432" s="2464" t="s">
        <v>5898</v>
      </c>
      <c r="E432" s="2187" t="s">
        <v>8876</v>
      </c>
      <c r="F432" s="93" t="s">
        <v>664</v>
      </c>
      <c r="G432" s="93">
        <v>5</v>
      </c>
      <c r="H432" s="50">
        <v>6</v>
      </c>
      <c r="I432" s="2143">
        <f>L432+K432+J432</f>
        <v>0.5</v>
      </c>
      <c r="J432" s="2143">
        <f>SUM(M432:R432)</f>
        <v>0.5</v>
      </c>
      <c r="K432" s="622"/>
      <c r="L432" s="622"/>
      <c r="M432" s="622"/>
      <c r="N432" s="622"/>
      <c r="O432" s="622"/>
      <c r="P432" s="622"/>
      <c r="Q432" s="2085"/>
      <c r="R432" s="1981">
        <v>0.5</v>
      </c>
      <c r="S432" s="1779"/>
      <c r="T432" s="1779"/>
      <c r="U432" s="1779"/>
      <c r="V432" s="1779"/>
      <c r="W432" s="1779"/>
      <c r="X432" s="1779"/>
      <c r="Y432" s="1779"/>
      <c r="Z432" s="1779"/>
      <c r="AB432" s="3">
        <v>1</v>
      </c>
      <c r="AE432" s="2461"/>
      <c r="AF432" s="68"/>
    </row>
    <row r="433" spans="1:32" ht="60" x14ac:dyDescent="0.35">
      <c r="A433" s="693">
        <v>228</v>
      </c>
      <c r="B433" s="693" t="s">
        <v>1206</v>
      </c>
      <c r="C433" s="693" t="s">
        <v>1656</v>
      </c>
      <c r="D433" s="2464" t="s">
        <v>5899</v>
      </c>
      <c r="E433" s="2187" t="s">
        <v>8877</v>
      </c>
      <c r="F433" s="93" t="s">
        <v>664</v>
      </c>
      <c r="G433" s="93">
        <v>5</v>
      </c>
      <c r="H433" s="50">
        <v>6</v>
      </c>
      <c r="I433" s="2143">
        <f>L433+K433+J433</f>
        <v>0.8</v>
      </c>
      <c r="J433" s="2143">
        <f>SUM(M433:R433)</f>
        <v>0.8</v>
      </c>
      <c r="K433" s="622"/>
      <c r="L433" s="622"/>
      <c r="M433" s="622"/>
      <c r="N433" s="622"/>
      <c r="O433" s="622"/>
      <c r="P433" s="622"/>
      <c r="Q433" s="2085"/>
      <c r="R433" s="1981">
        <v>0.8</v>
      </c>
      <c r="S433" s="1779"/>
      <c r="T433" s="1779"/>
      <c r="U433" s="1779"/>
      <c r="V433" s="1779"/>
      <c r="W433" s="1779"/>
      <c r="X433" s="1779"/>
      <c r="Y433" s="1779"/>
      <c r="Z433" s="1779"/>
      <c r="AB433" s="3">
        <v>1</v>
      </c>
      <c r="AE433" s="2461"/>
      <c r="AF433" s="68"/>
    </row>
    <row r="434" spans="1:32" ht="45.5" x14ac:dyDescent="0.35">
      <c r="A434" s="693">
        <v>229</v>
      </c>
      <c r="B434" s="358" t="s">
        <v>1206</v>
      </c>
      <c r="C434" s="358"/>
      <c r="D434" s="2464" t="s">
        <v>5900</v>
      </c>
      <c r="E434" s="417" t="s">
        <v>9373</v>
      </c>
      <c r="F434" s="41">
        <v>5</v>
      </c>
      <c r="G434" s="50">
        <v>4</v>
      </c>
      <c r="H434" s="50">
        <v>6</v>
      </c>
      <c r="I434" s="762">
        <v>9</v>
      </c>
      <c r="J434" s="762">
        <v>9</v>
      </c>
      <c r="K434" s="762"/>
      <c r="L434" s="762"/>
      <c r="M434" s="762"/>
      <c r="N434" s="762">
        <v>9</v>
      </c>
      <c r="O434" s="763"/>
      <c r="P434" s="762"/>
      <c r="Q434" s="1445"/>
      <c r="R434" s="1440"/>
      <c r="S434" s="49">
        <v>2</v>
      </c>
      <c r="T434" s="255">
        <f>37.1+27.03</f>
        <v>64.13</v>
      </c>
      <c r="U434" s="49"/>
      <c r="V434" s="49"/>
      <c r="W434" s="168">
        <v>13</v>
      </c>
      <c r="X434" s="168">
        <v>138.5</v>
      </c>
      <c r="Y434" s="42">
        <v>7</v>
      </c>
      <c r="Z434" s="2131">
        <v>58</v>
      </c>
      <c r="AB434" s="3">
        <v>1</v>
      </c>
      <c r="AE434" s="2461"/>
      <c r="AF434" s="68"/>
    </row>
    <row r="435" spans="1:32" ht="60.5" x14ac:dyDescent="0.35">
      <c r="A435" s="693">
        <v>230</v>
      </c>
      <c r="B435" s="358" t="s">
        <v>1206</v>
      </c>
      <c r="C435" s="358" t="s">
        <v>1656</v>
      </c>
      <c r="D435" s="2464" t="s">
        <v>5901</v>
      </c>
      <c r="E435" s="443" t="s">
        <v>9374</v>
      </c>
      <c r="F435" s="166" t="s">
        <v>664</v>
      </c>
      <c r="G435" s="50">
        <v>5</v>
      </c>
      <c r="H435" s="50">
        <v>6</v>
      </c>
      <c r="I435" s="297">
        <f>J435+K435+L435</f>
        <v>0.4</v>
      </c>
      <c r="J435" s="297">
        <f>SUM(M435:R435)</f>
        <v>0.4</v>
      </c>
      <c r="K435" s="745"/>
      <c r="L435" s="745"/>
      <c r="M435" s="749"/>
      <c r="N435" s="744"/>
      <c r="O435" s="769"/>
      <c r="P435" s="749"/>
      <c r="Q435" s="2393"/>
      <c r="R435" s="2394">
        <v>0.4</v>
      </c>
      <c r="S435" s="40"/>
      <c r="T435" s="246"/>
      <c r="U435" s="40"/>
      <c r="V435" s="40"/>
      <c r="W435" s="166"/>
      <c r="X435" s="166"/>
      <c r="Y435" s="40"/>
      <c r="Z435" s="94"/>
      <c r="AB435" s="3">
        <v>1</v>
      </c>
      <c r="AE435" s="2461"/>
      <c r="AF435" s="68"/>
    </row>
    <row r="436" spans="1:32" ht="60.5" x14ac:dyDescent="0.35">
      <c r="A436" s="693">
        <v>231</v>
      </c>
      <c r="B436" s="358" t="s">
        <v>1206</v>
      </c>
      <c r="C436" s="358"/>
      <c r="D436" s="2464" t="s">
        <v>5902</v>
      </c>
      <c r="E436" s="417" t="s">
        <v>10164</v>
      </c>
      <c r="F436" s="41" t="s">
        <v>664</v>
      </c>
      <c r="G436" s="50">
        <v>5</v>
      </c>
      <c r="H436" s="50">
        <v>6</v>
      </c>
      <c r="I436" s="762">
        <f>J436+K436+L436</f>
        <v>2</v>
      </c>
      <c r="J436" s="762">
        <f t="shared" ref="J436:J450" si="27">SUM(M436:R436)</f>
        <v>2</v>
      </c>
      <c r="K436" s="762"/>
      <c r="L436" s="762"/>
      <c r="M436" s="762"/>
      <c r="N436" s="762"/>
      <c r="O436" s="763"/>
      <c r="P436" s="762"/>
      <c r="Q436" s="1445"/>
      <c r="R436" s="1440">
        <v>2</v>
      </c>
      <c r="S436" s="49"/>
      <c r="T436" s="255"/>
      <c r="U436" s="49"/>
      <c r="V436" s="49"/>
      <c r="W436" s="168"/>
      <c r="X436" s="168"/>
      <c r="Y436" s="42"/>
      <c r="Z436" s="2131"/>
      <c r="AB436" s="3">
        <v>1</v>
      </c>
      <c r="AE436" s="2461"/>
      <c r="AF436" s="68"/>
    </row>
    <row r="437" spans="1:32" ht="90" x14ac:dyDescent="0.35">
      <c r="A437" s="693">
        <v>232</v>
      </c>
      <c r="B437" s="693" t="s">
        <v>1206</v>
      </c>
      <c r="C437" s="358" t="s">
        <v>1656</v>
      </c>
      <c r="D437" s="2464" t="s">
        <v>5903</v>
      </c>
      <c r="E437" s="2187" t="s">
        <v>10165</v>
      </c>
      <c r="F437" s="93" t="s">
        <v>664</v>
      </c>
      <c r="G437" s="50">
        <v>5</v>
      </c>
      <c r="H437" s="50">
        <v>6</v>
      </c>
      <c r="I437" s="297">
        <f>J437+K437+L437</f>
        <v>0.2</v>
      </c>
      <c r="J437" s="297">
        <f>SUM(M437:R437)</f>
        <v>0.2</v>
      </c>
      <c r="K437" s="622"/>
      <c r="L437" s="622"/>
      <c r="M437" s="622"/>
      <c r="N437" s="622"/>
      <c r="O437" s="622"/>
      <c r="P437" s="622"/>
      <c r="Q437" s="2085"/>
      <c r="R437" s="906">
        <v>0.2</v>
      </c>
      <c r="S437" s="106"/>
      <c r="T437" s="106"/>
      <c r="U437" s="106"/>
      <c r="V437" s="106"/>
      <c r="W437" s="105"/>
      <c r="X437" s="105"/>
      <c r="Y437" s="105"/>
      <c r="Z437" s="323"/>
      <c r="AB437" s="3">
        <v>1</v>
      </c>
      <c r="AE437" s="2461"/>
      <c r="AF437" s="68"/>
    </row>
    <row r="438" spans="1:32" ht="60" x14ac:dyDescent="0.35">
      <c r="A438" s="693">
        <v>233</v>
      </c>
      <c r="B438" s="693" t="s">
        <v>1206</v>
      </c>
      <c r="C438" s="693" t="s">
        <v>1656</v>
      </c>
      <c r="D438" s="2464" t="s">
        <v>5904</v>
      </c>
      <c r="E438" s="2187" t="s">
        <v>9375</v>
      </c>
      <c r="F438" s="93" t="s">
        <v>664</v>
      </c>
      <c r="G438" s="93">
        <v>5</v>
      </c>
      <c r="H438" s="50">
        <v>6</v>
      </c>
      <c r="I438" s="2143">
        <f>L438+K438+J438</f>
        <v>0.06</v>
      </c>
      <c r="J438" s="2143">
        <f t="shared" si="27"/>
        <v>0.06</v>
      </c>
      <c r="K438" s="622"/>
      <c r="L438" s="622"/>
      <c r="M438" s="622"/>
      <c r="N438" s="622"/>
      <c r="O438" s="622"/>
      <c r="P438" s="622"/>
      <c r="Q438" s="2085"/>
      <c r="R438" s="906">
        <v>0.06</v>
      </c>
      <c r="S438" s="106"/>
      <c r="T438" s="106"/>
      <c r="U438" s="106"/>
      <c r="V438" s="106"/>
      <c r="W438" s="105"/>
      <c r="X438" s="105"/>
      <c r="Y438" s="105"/>
      <c r="Z438" s="105"/>
      <c r="AB438" s="3">
        <v>1</v>
      </c>
      <c r="AE438" s="2461"/>
      <c r="AF438" s="68"/>
    </row>
    <row r="439" spans="1:32" ht="45.5" x14ac:dyDescent="0.35">
      <c r="A439" s="693">
        <v>234</v>
      </c>
      <c r="B439" s="358" t="s">
        <v>1206</v>
      </c>
      <c r="C439" s="358" t="s">
        <v>1656</v>
      </c>
      <c r="D439" s="2464" t="s">
        <v>5905</v>
      </c>
      <c r="E439" s="443" t="s">
        <v>8878</v>
      </c>
      <c r="F439" s="166" t="s">
        <v>664</v>
      </c>
      <c r="G439" s="50">
        <v>5</v>
      </c>
      <c r="H439" s="50">
        <v>6</v>
      </c>
      <c r="I439" s="297">
        <f t="shared" ref="I439:I445" si="28">J439+K439+L439</f>
        <v>0.2</v>
      </c>
      <c r="J439" s="297">
        <f>SUM(M439:R439)</f>
        <v>0.2</v>
      </c>
      <c r="K439" s="745"/>
      <c r="L439" s="745"/>
      <c r="M439" s="749"/>
      <c r="N439" s="749"/>
      <c r="O439" s="769"/>
      <c r="P439" s="749"/>
      <c r="Q439" s="1850"/>
      <c r="R439" s="2394">
        <v>0.2</v>
      </c>
      <c r="S439" s="40"/>
      <c r="T439" s="246"/>
      <c r="U439" s="40"/>
      <c r="V439" s="40"/>
      <c r="W439" s="166"/>
      <c r="X439" s="166"/>
      <c r="Y439" s="40"/>
      <c r="Z439" s="94"/>
      <c r="AB439" s="3">
        <v>1</v>
      </c>
      <c r="AE439" s="2461"/>
      <c r="AF439" s="68"/>
    </row>
    <row r="440" spans="1:32" ht="45.5" x14ac:dyDescent="0.35">
      <c r="A440" s="693">
        <v>235</v>
      </c>
      <c r="B440" s="358" t="s">
        <v>1206</v>
      </c>
      <c r="C440" s="358"/>
      <c r="D440" s="2464" t="s">
        <v>5906</v>
      </c>
      <c r="E440" s="443" t="s">
        <v>9376</v>
      </c>
      <c r="F440" s="41">
        <v>4</v>
      </c>
      <c r="G440" s="50">
        <v>4</v>
      </c>
      <c r="H440" s="50">
        <v>6</v>
      </c>
      <c r="I440" s="762">
        <f t="shared" si="28"/>
        <v>1.97</v>
      </c>
      <c r="J440" s="762">
        <f t="shared" si="27"/>
        <v>1.97</v>
      </c>
      <c r="K440" s="762"/>
      <c r="L440" s="762"/>
      <c r="M440" s="762"/>
      <c r="N440" s="762">
        <v>1.97</v>
      </c>
      <c r="O440" s="763"/>
      <c r="P440" s="762"/>
      <c r="Q440" s="1445"/>
      <c r="R440" s="1440"/>
      <c r="S440" s="49"/>
      <c r="T440" s="255"/>
      <c r="U440" s="49"/>
      <c r="V440" s="49"/>
      <c r="W440" s="168">
        <v>3</v>
      </c>
      <c r="X440" s="416">
        <v>41</v>
      </c>
      <c r="Y440" s="42">
        <v>1</v>
      </c>
      <c r="Z440" s="2131">
        <v>10</v>
      </c>
      <c r="AB440" s="3">
        <v>1</v>
      </c>
      <c r="AE440" s="2461"/>
      <c r="AF440" s="68"/>
    </row>
    <row r="441" spans="1:32" ht="60.5" x14ac:dyDescent="0.35">
      <c r="A441" s="693">
        <v>236</v>
      </c>
      <c r="B441" s="358" t="s">
        <v>1206</v>
      </c>
      <c r="C441" s="358"/>
      <c r="D441" s="2464" t="s">
        <v>7101</v>
      </c>
      <c r="E441" s="443" t="s">
        <v>10166</v>
      </c>
      <c r="F441" s="41">
        <v>4</v>
      </c>
      <c r="G441" s="50">
        <v>4</v>
      </c>
      <c r="H441" s="50">
        <v>6</v>
      </c>
      <c r="I441" s="762">
        <f>J441+K441+L441</f>
        <v>0.63</v>
      </c>
      <c r="J441" s="762">
        <f>SUM(M441:R441)</f>
        <v>0.63</v>
      </c>
      <c r="K441" s="762"/>
      <c r="L441" s="762"/>
      <c r="M441" s="762"/>
      <c r="N441" s="762">
        <v>0.63</v>
      </c>
      <c r="O441" s="763"/>
      <c r="P441" s="762"/>
      <c r="Q441" s="1445"/>
      <c r="R441" s="1440"/>
      <c r="S441" s="49"/>
      <c r="T441" s="255"/>
      <c r="U441" s="49"/>
      <c r="V441" s="49"/>
      <c r="W441" s="168"/>
      <c r="X441" s="416"/>
      <c r="Y441" s="42"/>
      <c r="Z441" s="2131"/>
      <c r="AB441" s="3">
        <v>1</v>
      </c>
      <c r="AE441" s="2461"/>
      <c r="AF441" s="68"/>
    </row>
    <row r="442" spans="1:32" ht="75.5" x14ac:dyDescent="0.35">
      <c r="A442" s="693">
        <v>237</v>
      </c>
      <c r="B442" s="358" t="s">
        <v>1206</v>
      </c>
      <c r="C442" s="358" t="s">
        <v>1656</v>
      </c>
      <c r="D442" s="2464" t="s">
        <v>5907</v>
      </c>
      <c r="E442" s="443" t="s">
        <v>10167</v>
      </c>
      <c r="F442" s="166" t="s">
        <v>664</v>
      </c>
      <c r="G442" s="50">
        <v>5</v>
      </c>
      <c r="H442" s="50">
        <v>6</v>
      </c>
      <c r="I442" s="297">
        <f t="shared" si="28"/>
        <v>2</v>
      </c>
      <c r="J442" s="297">
        <f>SUM(M442:R442)</f>
        <v>2</v>
      </c>
      <c r="K442" s="745"/>
      <c r="L442" s="745"/>
      <c r="M442" s="749"/>
      <c r="N442" s="744"/>
      <c r="O442" s="769"/>
      <c r="P442" s="749"/>
      <c r="Q442" s="2393"/>
      <c r="R442" s="2394">
        <v>2</v>
      </c>
      <c r="S442" s="40"/>
      <c r="T442" s="246"/>
      <c r="U442" s="40"/>
      <c r="V442" s="40"/>
      <c r="W442" s="166"/>
      <c r="X442" s="166"/>
      <c r="Y442" s="40"/>
      <c r="Z442" s="94"/>
      <c r="AB442" s="3">
        <v>1</v>
      </c>
      <c r="AE442" s="2461"/>
      <c r="AF442" s="68"/>
    </row>
    <row r="443" spans="1:32" ht="60.5" x14ac:dyDescent="0.35">
      <c r="A443" s="693">
        <v>238</v>
      </c>
      <c r="B443" s="358" t="s">
        <v>1206</v>
      </c>
      <c r="C443" s="358"/>
      <c r="D443" s="2464" t="s">
        <v>5908</v>
      </c>
      <c r="E443" s="443" t="s">
        <v>10168</v>
      </c>
      <c r="F443" s="41">
        <v>5</v>
      </c>
      <c r="G443" s="50">
        <v>5</v>
      </c>
      <c r="H443" s="50">
        <v>6</v>
      </c>
      <c r="I443" s="762">
        <f t="shared" si="28"/>
        <v>0.5</v>
      </c>
      <c r="J443" s="762">
        <f t="shared" si="27"/>
        <v>0.5</v>
      </c>
      <c r="K443" s="762"/>
      <c r="L443" s="762"/>
      <c r="M443" s="762"/>
      <c r="N443" s="762">
        <v>0.5</v>
      </c>
      <c r="O443" s="763"/>
      <c r="P443" s="762"/>
      <c r="Q443" s="1445"/>
      <c r="R443" s="1440"/>
      <c r="S443" s="49"/>
      <c r="T443" s="255"/>
      <c r="U443" s="49"/>
      <c r="V443" s="49"/>
      <c r="W443" s="168">
        <v>1</v>
      </c>
      <c r="X443" s="168">
        <v>12.5</v>
      </c>
      <c r="Y443" s="42"/>
      <c r="Z443" s="2131"/>
      <c r="AB443" s="3">
        <v>1</v>
      </c>
      <c r="AC443" s="3" t="s">
        <v>10169</v>
      </c>
      <c r="AE443" s="2461"/>
      <c r="AF443" s="68"/>
    </row>
    <row r="444" spans="1:32" ht="52.5" x14ac:dyDescent="0.35">
      <c r="A444" s="693">
        <v>239</v>
      </c>
      <c r="B444" s="358" t="s">
        <v>1206</v>
      </c>
      <c r="C444" s="358"/>
      <c r="D444" s="2464" t="s">
        <v>5909</v>
      </c>
      <c r="E444" s="443" t="s">
        <v>7923</v>
      </c>
      <c r="F444" s="41">
        <v>5</v>
      </c>
      <c r="G444" s="50">
        <v>5</v>
      </c>
      <c r="H444" s="50">
        <v>6</v>
      </c>
      <c r="I444" s="762">
        <f t="shared" si="28"/>
        <v>3.2</v>
      </c>
      <c r="J444" s="762">
        <f t="shared" si="27"/>
        <v>3.2</v>
      </c>
      <c r="K444" s="762"/>
      <c r="L444" s="762"/>
      <c r="M444" s="762"/>
      <c r="N444" s="762"/>
      <c r="O444" s="763"/>
      <c r="P444" s="762"/>
      <c r="Q444" s="1445">
        <v>3.2</v>
      </c>
      <c r="R444" s="1440"/>
      <c r="S444" s="49"/>
      <c r="T444" s="255"/>
      <c r="U444" s="49"/>
      <c r="V444" s="49"/>
      <c r="W444" s="168">
        <v>4</v>
      </c>
      <c r="X444" s="168">
        <v>81.7</v>
      </c>
      <c r="Y444" s="42"/>
      <c r="Z444" s="2131"/>
      <c r="AA444" s="2452" t="s">
        <v>3698</v>
      </c>
      <c r="AB444" s="3">
        <v>1</v>
      </c>
      <c r="AC444" s="3" t="s">
        <v>1244</v>
      </c>
      <c r="AE444" s="2461"/>
      <c r="AF444" s="68"/>
    </row>
    <row r="445" spans="1:32" ht="45.5" x14ac:dyDescent="0.35">
      <c r="A445" s="693">
        <v>240</v>
      </c>
      <c r="B445" s="405" t="s">
        <v>1206</v>
      </c>
      <c r="C445" s="405"/>
      <c r="D445" s="2464" t="s">
        <v>5910</v>
      </c>
      <c r="E445" s="443" t="s">
        <v>7924</v>
      </c>
      <c r="F445" s="40" t="s">
        <v>664</v>
      </c>
      <c r="G445" s="40">
        <v>5</v>
      </c>
      <c r="H445" s="50">
        <v>6</v>
      </c>
      <c r="I445" s="762">
        <f t="shared" si="28"/>
        <v>0.9</v>
      </c>
      <c r="J445" s="762">
        <f t="shared" si="27"/>
        <v>0.9</v>
      </c>
      <c r="K445" s="749"/>
      <c r="L445" s="749"/>
      <c r="M445" s="749"/>
      <c r="N445" s="749"/>
      <c r="O445" s="769"/>
      <c r="P445" s="749"/>
      <c r="Q445" s="1449"/>
      <c r="R445" s="869">
        <v>0.9</v>
      </c>
      <c r="S445" s="42"/>
      <c r="T445" s="247"/>
      <c r="U445" s="42"/>
      <c r="V445" s="42"/>
      <c r="W445" s="110"/>
      <c r="X445" s="110"/>
      <c r="Y445" s="42"/>
      <c r="Z445" s="2131"/>
      <c r="AB445" s="3">
        <v>1</v>
      </c>
      <c r="AE445" s="2461"/>
      <c r="AF445" s="68"/>
    </row>
    <row r="446" spans="1:32" ht="60" x14ac:dyDescent="0.35">
      <c r="A446" s="693">
        <v>241</v>
      </c>
      <c r="B446" s="693" t="s">
        <v>1206</v>
      </c>
      <c r="C446" s="693" t="s">
        <v>1656</v>
      </c>
      <c r="D446" s="2464" t="s">
        <v>5911</v>
      </c>
      <c r="E446" s="2187" t="s">
        <v>10170</v>
      </c>
      <c r="F446" s="93" t="s">
        <v>664</v>
      </c>
      <c r="G446" s="93">
        <v>5</v>
      </c>
      <c r="H446" s="50">
        <v>6</v>
      </c>
      <c r="I446" s="2143">
        <f>L446+K446+J446</f>
        <v>2.5</v>
      </c>
      <c r="J446" s="2143">
        <f t="shared" si="27"/>
        <v>2.5</v>
      </c>
      <c r="K446" s="622"/>
      <c r="L446" s="622"/>
      <c r="M446" s="622"/>
      <c r="N446" s="622"/>
      <c r="O446" s="622"/>
      <c r="P446" s="622"/>
      <c r="Q446" s="2085"/>
      <c r="R446" s="1981">
        <v>2.5</v>
      </c>
      <c r="S446" s="1779"/>
      <c r="T446" s="1779"/>
      <c r="U446" s="1779"/>
      <c r="V446" s="1779"/>
      <c r="W446" s="1779"/>
      <c r="X446" s="1779"/>
      <c r="Y446" s="1779"/>
      <c r="Z446" s="1779"/>
      <c r="AB446" s="3">
        <v>1</v>
      </c>
      <c r="AE446" s="2461"/>
      <c r="AF446" s="68"/>
    </row>
    <row r="447" spans="1:32" ht="45.5" x14ac:dyDescent="0.35">
      <c r="A447" s="693">
        <v>242</v>
      </c>
      <c r="B447" s="405" t="s">
        <v>1206</v>
      </c>
      <c r="C447" s="405"/>
      <c r="D447" s="2464" t="s">
        <v>5912</v>
      </c>
      <c r="E447" s="417" t="s">
        <v>7925</v>
      </c>
      <c r="F447" s="40" t="s">
        <v>827</v>
      </c>
      <c r="G447" s="40">
        <v>5</v>
      </c>
      <c r="H447" s="50">
        <v>6</v>
      </c>
      <c r="I447" s="762">
        <f>J447+K447+L447</f>
        <v>1</v>
      </c>
      <c r="J447" s="762">
        <f t="shared" si="27"/>
        <v>1</v>
      </c>
      <c r="K447" s="749"/>
      <c r="L447" s="749"/>
      <c r="M447" s="749"/>
      <c r="N447" s="749"/>
      <c r="O447" s="769"/>
      <c r="P447" s="749"/>
      <c r="Q447" s="1449"/>
      <c r="R447" s="869">
        <v>1</v>
      </c>
      <c r="S447" s="42"/>
      <c r="T447" s="247"/>
      <c r="U447" s="42"/>
      <c r="V447" s="42"/>
      <c r="W447" s="110"/>
      <c r="X447" s="110"/>
      <c r="Y447" s="42"/>
      <c r="Z447" s="2131"/>
      <c r="AB447" s="3">
        <v>1</v>
      </c>
      <c r="AE447" s="2461"/>
      <c r="AF447" s="68"/>
    </row>
    <row r="448" spans="1:32" ht="60" x14ac:dyDescent="0.35">
      <c r="A448" s="693">
        <v>243</v>
      </c>
      <c r="B448" s="693" t="s">
        <v>1206</v>
      </c>
      <c r="C448" s="693" t="s">
        <v>1656</v>
      </c>
      <c r="D448" s="2464" t="s">
        <v>5913</v>
      </c>
      <c r="E448" s="2187" t="s">
        <v>8879</v>
      </c>
      <c r="F448" s="93" t="s">
        <v>664</v>
      </c>
      <c r="G448" s="93">
        <v>5</v>
      </c>
      <c r="H448" s="50">
        <v>6</v>
      </c>
      <c r="I448" s="2143">
        <f>L448+K448+J448</f>
        <v>0.9</v>
      </c>
      <c r="J448" s="2143">
        <f t="shared" si="27"/>
        <v>0.9</v>
      </c>
      <c r="K448" s="622"/>
      <c r="L448" s="622"/>
      <c r="M448" s="622"/>
      <c r="N448" s="622"/>
      <c r="O448" s="622"/>
      <c r="P448" s="622"/>
      <c r="Q448" s="2085"/>
      <c r="R448" s="906">
        <v>0.9</v>
      </c>
      <c r="S448" s="106"/>
      <c r="T448" s="106"/>
      <c r="U448" s="106"/>
      <c r="V448" s="106"/>
      <c r="W448" s="105"/>
      <c r="X448" s="105"/>
      <c r="Y448" s="105"/>
      <c r="Z448" s="105"/>
      <c r="AB448" s="3">
        <v>1</v>
      </c>
      <c r="AE448" s="2461"/>
      <c r="AF448" s="68"/>
    </row>
    <row r="449" spans="1:32" ht="90.5" x14ac:dyDescent="0.35">
      <c r="A449" s="693">
        <v>244</v>
      </c>
      <c r="B449" s="405" t="s">
        <v>1206</v>
      </c>
      <c r="C449" s="405" t="s">
        <v>1657</v>
      </c>
      <c r="D449" s="2464" t="s">
        <v>5914</v>
      </c>
      <c r="E449" s="443" t="s">
        <v>10171</v>
      </c>
      <c r="F449" s="40" t="s">
        <v>664</v>
      </c>
      <c r="G449" s="40">
        <v>5</v>
      </c>
      <c r="H449" s="50">
        <v>6</v>
      </c>
      <c r="I449" s="762">
        <f>J449+K449+L449</f>
        <v>0.45</v>
      </c>
      <c r="J449" s="762">
        <f t="shared" si="27"/>
        <v>0.45</v>
      </c>
      <c r="K449" s="749"/>
      <c r="L449" s="749"/>
      <c r="M449" s="749"/>
      <c r="N449" s="749"/>
      <c r="O449" s="769"/>
      <c r="P449" s="749"/>
      <c r="Q449" s="1449"/>
      <c r="R449" s="869">
        <v>0.45</v>
      </c>
      <c r="S449" s="42"/>
      <c r="T449" s="247"/>
      <c r="U449" s="42"/>
      <c r="V449" s="42"/>
      <c r="W449" s="110"/>
      <c r="X449" s="110"/>
      <c r="Y449" s="42"/>
      <c r="Z449" s="2131"/>
      <c r="AB449" s="3">
        <v>1</v>
      </c>
      <c r="AE449" s="2461"/>
      <c r="AF449" s="68"/>
    </row>
    <row r="450" spans="1:32" ht="60" x14ac:dyDescent="0.35">
      <c r="A450" s="693">
        <v>245</v>
      </c>
      <c r="B450" s="693" t="s">
        <v>1206</v>
      </c>
      <c r="C450" s="693" t="s">
        <v>1656</v>
      </c>
      <c r="D450" s="2464" t="s">
        <v>5915</v>
      </c>
      <c r="E450" s="2187" t="s">
        <v>9284</v>
      </c>
      <c r="F450" s="93"/>
      <c r="G450" s="93" t="s">
        <v>191</v>
      </c>
      <c r="H450" s="50" t="s">
        <v>191</v>
      </c>
      <c r="I450" s="2143">
        <f>L450+K450+J450</f>
        <v>0.9</v>
      </c>
      <c r="J450" s="2143">
        <f t="shared" si="27"/>
        <v>0.30000000000000004</v>
      </c>
      <c r="K450" s="622"/>
      <c r="L450" s="622">
        <f>SUM(L451:L452)</f>
        <v>0.6</v>
      </c>
      <c r="M450" s="622"/>
      <c r="N450" s="622"/>
      <c r="O450" s="622"/>
      <c r="P450" s="622"/>
      <c r="Q450" s="2085"/>
      <c r="R450" s="906">
        <f>SUM(R451:R452)</f>
        <v>0.30000000000000004</v>
      </c>
      <c r="S450" s="106"/>
      <c r="T450" s="106"/>
      <c r="U450" s="106"/>
      <c r="V450" s="106"/>
      <c r="W450" s="105"/>
      <c r="X450" s="105"/>
      <c r="Y450" s="105"/>
      <c r="Z450" s="105"/>
      <c r="AB450" s="3">
        <v>1</v>
      </c>
      <c r="AE450" s="2461"/>
      <c r="AF450" s="68"/>
    </row>
    <row r="451" spans="1:32" x14ac:dyDescent="0.35">
      <c r="A451" s="693"/>
      <c r="B451" s="693"/>
      <c r="C451" s="693"/>
      <c r="D451" s="2464"/>
      <c r="E451" s="2092" t="s">
        <v>7102</v>
      </c>
      <c r="F451" s="93" t="s">
        <v>664</v>
      </c>
      <c r="G451" s="93">
        <v>5</v>
      </c>
      <c r="H451" s="50" t="s">
        <v>191</v>
      </c>
      <c r="I451" s="2142"/>
      <c r="J451" s="2142"/>
      <c r="K451" s="395"/>
      <c r="L451" s="395">
        <v>0.6</v>
      </c>
      <c r="M451" s="395"/>
      <c r="N451" s="395"/>
      <c r="O451" s="395"/>
      <c r="P451" s="395"/>
      <c r="Q451" s="2086"/>
      <c r="R451" s="907"/>
      <c r="S451" s="106"/>
      <c r="T451" s="106"/>
      <c r="U451" s="106"/>
      <c r="V451" s="106"/>
      <c r="W451" s="105"/>
      <c r="X451" s="105"/>
      <c r="Y451" s="105"/>
      <c r="Z451" s="2389"/>
      <c r="AE451" s="2461"/>
      <c r="AF451" s="68"/>
    </row>
    <row r="452" spans="1:32" x14ac:dyDescent="0.35">
      <c r="A452" s="693"/>
      <c r="B452" s="693"/>
      <c r="C452" s="693"/>
      <c r="D452" s="2464"/>
      <c r="E452" s="2091" t="s">
        <v>7103</v>
      </c>
      <c r="F452" s="93" t="s">
        <v>664</v>
      </c>
      <c r="G452" s="93">
        <v>5</v>
      </c>
      <c r="H452" s="50">
        <v>6</v>
      </c>
      <c r="I452" s="2142"/>
      <c r="J452" s="2142"/>
      <c r="K452" s="395"/>
      <c r="L452" s="395"/>
      <c r="M452" s="395"/>
      <c r="N452" s="395"/>
      <c r="O452" s="395"/>
      <c r="P452" s="395"/>
      <c r="Q452" s="2086"/>
      <c r="R452" s="907">
        <f>0.9-0.6</f>
        <v>0.30000000000000004</v>
      </c>
      <c r="S452" s="106"/>
      <c r="T452" s="106"/>
      <c r="U452" s="106"/>
      <c r="V452" s="106"/>
      <c r="W452" s="105"/>
      <c r="X452" s="105"/>
      <c r="Y452" s="105"/>
      <c r="Z452" s="2389"/>
      <c r="AE452" s="2461"/>
      <c r="AF452" s="68"/>
    </row>
    <row r="453" spans="1:32" ht="60" x14ac:dyDescent="0.35">
      <c r="A453" s="693">
        <v>246</v>
      </c>
      <c r="B453" s="693" t="s">
        <v>1206</v>
      </c>
      <c r="C453" s="693"/>
      <c r="D453" s="2464" t="s">
        <v>5916</v>
      </c>
      <c r="E453" s="2187" t="s">
        <v>10172</v>
      </c>
      <c r="F453" s="93">
        <v>5</v>
      </c>
      <c r="G453" s="93">
        <v>5</v>
      </c>
      <c r="H453" s="50">
        <v>6</v>
      </c>
      <c r="I453" s="2143">
        <f>L453+K453+J453</f>
        <v>1.3</v>
      </c>
      <c r="J453" s="2143">
        <f>SUM(M453:R453)</f>
        <v>1.3</v>
      </c>
      <c r="K453" s="622"/>
      <c r="L453" s="622"/>
      <c r="M453" s="622"/>
      <c r="N453" s="622"/>
      <c r="O453" s="622"/>
      <c r="P453" s="622"/>
      <c r="Q453" s="2085">
        <v>1.3</v>
      </c>
      <c r="R453" s="906"/>
      <c r="S453" s="106"/>
      <c r="T453" s="106"/>
      <c r="U453" s="106"/>
      <c r="V453" s="106"/>
      <c r="W453" s="105"/>
      <c r="X453" s="105"/>
      <c r="Y453" s="105"/>
      <c r="Z453" s="323"/>
      <c r="AB453" s="3">
        <v>1</v>
      </c>
      <c r="AE453" s="2461"/>
      <c r="AF453" s="68"/>
    </row>
    <row r="454" spans="1:32" ht="45" x14ac:dyDescent="0.35">
      <c r="A454" s="693">
        <v>247</v>
      </c>
      <c r="B454" s="693" t="s">
        <v>1206</v>
      </c>
      <c r="C454" s="358" t="s">
        <v>1656</v>
      </c>
      <c r="D454" s="2464" t="s">
        <v>5917</v>
      </c>
      <c r="E454" s="2187" t="s">
        <v>10173</v>
      </c>
      <c r="F454" s="93" t="s">
        <v>664</v>
      </c>
      <c r="G454" s="50">
        <v>5</v>
      </c>
      <c r="H454" s="50">
        <v>6</v>
      </c>
      <c r="I454" s="297">
        <f>J454+K454+L454</f>
        <v>0.15</v>
      </c>
      <c r="J454" s="297">
        <f>SUM(M454:R454)</f>
        <v>0.15</v>
      </c>
      <c r="K454" s="622"/>
      <c r="L454" s="622"/>
      <c r="M454" s="622"/>
      <c r="N454" s="622"/>
      <c r="O454" s="622"/>
      <c r="P454" s="622"/>
      <c r="Q454" s="2085">
        <v>0.15</v>
      </c>
      <c r="R454" s="906"/>
      <c r="S454" s="106"/>
      <c r="T454" s="106"/>
      <c r="U454" s="106"/>
      <c r="V454" s="106"/>
      <c r="W454" s="105"/>
      <c r="X454" s="105"/>
      <c r="Y454" s="105"/>
      <c r="Z454" s="323"/>
      <c r="AB454" s="3">
        <v>1</v>
      </c>
      <c r="AE454" s="2461"/>
      <c r="AF454" s="68"/>
    </row>
    <row r="455" spans="1:32" ht="45.5" x14ac:dyDescent="0.35">
      <c r="A455" s="693">
        <v>248</v>
      </c>
      <c r="B455" s="358" t="s">
        <v>1206</v>
      </c>
      <c r="C455" s="358" t="s">
        <v>1656</v>
      </c>
      <c r="D455" s="2464" t="s">
        <v>5918</v>
      </c>
      <c r="E455" s="443" t="s">
        <v>8880</v>
      </c>
      <c r="F455" s="2289" t="s">
        <v>664</v>
      </c>
      <c r="G455" s="50">
        <v>5</v>
      </c>
      <c r="H455" s="50">
        <v>6</v>
      </c>
      <c r="I455" s="297">
        <f>J455+K455+L455</f>
        <v>0.25</v>
      </c>
      <c r="J455" s="297">
        <f>SUM(M455:R455)</f>
        <v>0.25</v>
      </c>
      <c r="K455" s="762"/>
      <c r="L455" s="762"/>
      <c r="M455" s="762"/>
      <c r="N455" s="762"/>
      <c r="O455" s="763"/>
      <c r="P455" s="762"/>
      <c r="Q455" s="2395"/>
      <c r="R455" s="2396">
        <v>0.25</v>
      </c>
      <c r="S455" s="49"/>
      <c r="T455" s="255"/>
      <c r="U455" s="49"/>
      <c r="V455" s="49"/>
      <c r="W455" s="168"/>
      <c r="X455" s="168"/>
      <c r="Y455" s="42"/>
      <c r="Z455" s="107"/>
      <c r="AB455" s="3">
        <v>1</v>
      </c>
      <c r="AE455" s="2461"/>
      <c r="AF455" s="68"/>
    </row>
    <row r="456" spans="1:32" ht="60.5" x14ac:dyDescent="0.35">
      <c r="A456" s="693">
        <v>249</v>
      </c>
      <c r="B456" s="358" t="s">
        <v>1206</v>
      </c>
      <c r="C456" s="358" t="s">
        <v>1656</v>
      </c>
      <c r="D456" s="2464" t="s">
        <v>5919</v>
      </c>
      <c r="E456" s="443" t="s">
        <v>10174</v>
      </c>
      <c r="F456" s="166" t="s">
        <v>664</v>
      </c>
      <c r="G456" s="50">
        <v>5</v>
      </c>
      <c r="H456" s="50">
        <v>6</v>
      </c>
      <c r="I456" s="297">
        <f>J456+K456+L456</f>
        <v>0.9</v>
      </c>
      <c r="J456" s="297">
        <f>SUM(M456:R456)</f>
        <v>0.9</v>
      </c>
      <c r="K456" s="745"/>
      <c r="L456" s="745"/>
      <c r="M456" s="749"/>
      <c r="N456" s="744"/>
      <c r="O456" s="769"/>
      <c r="P456" s="749"/>
      <c r="Q456" s="2393"/>
      <c r="R456" s="2394">
        <v>0.9</v>
      </c>
      <c r="S456" s="40"/>
      <c r="T456" s="246"/>
      <c r="U456" s="40"/>
      <c r="V456" s="40"/>
      <c r="W456" s="166"/>
      <c r="X456" s="166"/>
      <c r="Y456" s="40"/>
      <c r="Z456" s="94"/>
      <c r="AB456" s="3">
        <v>1</v>
      </c>
      <c r="AE456" s="2461"/>
      <c r="AF456" s="68"/>
    </row>
    <row r="457" spans="1:32" ht="61.5" customHeight="1" x14ac:dyDescent="0.35">
      <c r="A457" s="693">
        <v>250</v>
      </c>
      <c r="B457" s="358" t="s">
        <v>1206</v>
      </c>
      <c r="C457" s="358"/>
      <c r="D457" s="2464" t="s">
        <v>5920</v>
      </c>
      <c r="E457" s="443" t="s">
        <v>7926</v>
      </c>
      <c r="F457" s="166">
        <v>5</v>
      </c>
      <c r="G457" s="50">
        <v>5</v>
      </c>
      <c r="H457" s="50">
        <v>6</v>
      </c>
      <c r="I457" s="297">
        <f>J457+K457+L457</f>
        <v>0.79800000000000004</v>
      </c>
      <c r="J457" s="297">
        <f>SUM(M457:R457)</f>
        <v>0.79800000000000004</v>
      </c>
      <c r="K457" s="745"/>
      <c r="L457" s="745"/>
      <c r="M457" s="749"/>
      <c r="N457" s="744"/>
      <c r="O457" s="769"/>
      <c r="P457" s="749"/>
      <c r="Q457" s="2393">
        <v>0.79800000000000004</v>
      </c>
      <c r="R457" s="2394"/>
      <c r="S457" s="40"/>
      <c r="T457" s="246"/>
      <c r="U457" s="40"/>
      <c r="V457" s="40"/>
      <c r="W457" s="168">
        <v>2</v>
      </c>
      <c r="X457" s="2071">
        <v>27.5</v>
      </c>
      <c r="Y457" s="42">
        <v>1</v>
      </c>
      <c r="Z457" s="253">
        <v>12.5</v>
      </c>
      <c r="AB457" s="3">
        <v>1</v>
      </c>
      <c r="AE457" s="2461"/>
      <c r="AF457" s="68"/>
    </row>
    <row r="458" spans="1:32" ht="30.5" x14ac:dyDescent="0.35">
      <c r="A458" s="405"/>
      <c r="B458" s="358"/>
      <c r="C458" s="358"/>
      <c r="D458" s="405"/>
      <c r="E458" s="1596" t="s">
        <v>2961</v>
      </c>
      <c r="F458" s="40"/>
      <c r="G458" s="40"/>
      <c r="H458" s="40"/>
      <c r="I458" s="762"/>
      <c r="J458" s="762"/>
      <c r="K458" s="749"/>
      <c r="L458" s="749"/>
      <c r="M458" s="749"/>
      <c r="N458" s="749"/>
      <c r="O458" s="769"/>
      <c r="P458" s="749"/>
      <c r="Q458" s="1449"/>
      <c r="R458" s="869"/>
      <c r="S458" s="42"/>
      <c r="T458" s="247"/>
      <c r="U458" s="42"/>
      <c r="V458" s="42"/>
      <c r="W458" s="110"/>
      <c r="X458" s="110"/>
      <c r="Y458" s="42"/>
      <c r="Z458" s="2131"/>
      <c r="AE458" s="2461"/>
      <c r="AF458" s="68"/>
    </row>
    <row r="459" spans="1:32" ht="30.5" x14ac:dyDescent="0.35">
      <c r="A459" s="2146">
        <v>251</v>
      </c>
      <c r="B459" s="358" t="s">
        <v>981</v>
      </c>
      <c r="C459" s="358"/>
      <c r="D459" s="2464" t="s">
        <v>5921</v>
      </c>
      <c r="E459" s="417" t="s">
        <v>7927</v>
      </c>
      <c r="F459" s="41" t="s">
        <v>664</v>
      </c>
      <c r="G459" s="50">
        <v>5</v>
      </c>
      <c r="H459" s="50">
        <v>6</v>
      </c>
      <c r="I459" s="762">
        <f>J459+K459+L459</f>
        <v>1.4</v>
      </c>
      <c r="J459" s="762">
        <f>SUM(M459:R459)</f>
        <v>1.4</v>
      </c>
      <c r="K459" s="762"/>
      <c r="L459" s="762"/>
      <c r="M459" s="762"/>
      <c r="N459" s="762"/>
      <c r="O459" s="763"/>
      <c r="P459" s="762"/>
      <c r="Q459" s="1445"/>
      <c r="R459" s="1440">
        <v>1.4</v>
      </c>
      <c r="S459" s="49"/>
      <c r="T459" s="255"/>
      <c r="U459" s="49"/>
      <c r="V459" s="49"/>
      <c r="W459" s="168">
        <v>1</v>
      </c>
      <c r="X459" s="168">
        <v>10.199999999999999</v>
      </c>
      <c r="Y459" s="42"/>
      <c r="Z459" s="2131"/>
      <c r="AB459" s="3">
        <v>1</v>
      </c>
      <c r="AE459" s="2461"/>
      <c r="AF459" s="68"/>
    </row>
    <row r="460" spans="1:32" ht="45" x14ac:dyDescent="0.35">
      <c r="A460" s="693">
        <v>252</v>
      </c>
      <c r="B460" s="693" t="s">
        <v>981</v>
      </c>
      <c r="C460" s="693" t="s">
        <v>1656</v>
      </c>
      <c r="D460" s="2464" t="s">
        <v>5922</v>
      </c>
      <c r="E460" s="2187" t="s">
        <v>8881</v>
      </c>
      <c r="F460" s="93" t="s">
        <v>664</v>
      </c>
      <c r="G460" s="93">
        <v>5</v>
      </c>
      <c r="H460" s="50">
        <v>6</v>
      </c>
      <c r="I460" s="2143">
        <f>L460+K460+J460</f>
        <v>0.65</v>
      </c>
      <c r="J460" s="2143">
        <f>SUM(M460:R460)</f>
        <v>0.65</v>
      </c>
      <c r="K460" s="622"/>
      <c r="L460" s="622"/>
      <c r="M460" s="622"/>
      <c r="N460" s="622"/>
      <c r="O460" s="622"/>
      <c r="P460" s="622"/>
      <c r="Q460" s="2085"/>
      <c r="R460" s="906">
        <v>0.65</v>
      </c>
      <c r="S460" s="106"/>
      <c r="T460" s="106"/>
      <c r="U460" s="106"/>
      <c r="V460" s="106"/>
      <c r="W460" s="105"/>
      <c r="X460" s="105"/>
      <c r="Y460" s="105"/>
      <c r="Z460" s="105"/>
      <c r="AB460" s="3">
        <v>1</v>
      </c>
      <c r="AE460" s="2461"/>
      <c r="AF460" s="68"/>
    </row>
    <row r="461" spans="1:32" ht="30.5" x14ac:dyDescent="0.35">
      <c r="A461" s="693">
        <v>253</v>
      </c>
      <c r="B461" s="358" t="s">
        <v>981</v>
      </c>
      <c r="C461" s="358"/>
      <c r="D461" s="2464" t="s">
        <v>5923</v>
      </c>
      <c r="E461" s="417" t="s">
        <v>7928</v>
      </c>
      <c r="F461" s="41"/>
      <c r="G461" s="50" t="s">
        <v>191</v>
      </c>
      <c r="H461" s="50" t="s">
        <v>191</v>
      </c>
      <c r="I461" s="762">
        <f>J461+K461+L461</f>
        <v>0.84000000000000008</v>
      </c>
      <c r="J461" s="762">
        <f>SUM(M461:R461)</f>
        <v>0.84000000000000008</v>
      </c>
      <c r="K461" s="762"/>
      <c r="L461" s="762"/>
      <c r="M461" s="762"/>
      <c r="N461" s="767">
        <f>SUM(N462:N463)</f>
        <v>0.5</v>
      </c>
      <c r="O461" s="763"/>
      <c r="P461" s="762"/>
      <c r="Q461" s="1445"/>
      <c r="R461" s="1444">
        <f>SUM(R462:R463)</f>
        <v>0.34</v>
      </c>
      <c r="S461" s="49"/>
      <c r="T461" s="255"/>
      <c r="U461" s="49"/>
      <c r="V461" s="49"/>
      <c r="W461" s="168">
        <v>1</v>
      </c>
      <c r="X461" s="168">
        <v>11.7</v>
      </c>
      <c r="Y461" s="42"/>
      <c r="Z461" s="2131"/>
      <c r="AB461" s="3">
        <v>1</v>
      </c>
      <c r="AE461" s="2461"/>
      <c r="AF461" s="68"/>
    </row>
    <row r="462" spans="1:32" x14ac:dyDescent="0.35">
      <c r="A462" s="360"/>
      <c r="B462" s="358" t="s">
        <v>981</v>
      </c>
      <c r="C462" s="358"/>
      <c r="D462" s="360"/>
      <c r="E462" s="442" t="s">
        <v>2490</v>
      </c>
      <c r="F462" s="40">
        <v>5</v>
      </c>
      <c r="G462" s="40">
        <v>5</v>
      </c>
      <c r="H462" s="50">
        <v>6</v>
      </c>
      <c r="I462" s="745"/>
      <c r="J462" s="745"/>
      <c r="K462" s="745"/>
      <c r="L462" s="745"/>
      <c r="M462" s="745"/>
      <c r="N462" s="768">
        <v>0.5</v>
      </c>
      <c r="O462" s="764"/>
      <c r="P462" s="745"/>
      <c r="Q462" s="1089"/>
      <c r="R462" s="1084"/>
      <c r="S462" s="40"/>
      <c r="T462" s="246"/>
      <c r="U462" s="40"/>
      <c r="V462" s="40"/>
      <c r="W462" s="166"/>
      <c r="X462" s="166"/>
      <c r="Y462" s="40"/>
      <c r="Z462" s="2147"/>
      <c r="AE462" s="2461"/>
      <c r="AF462" s="68"/>
    </row>
    <row r="463" spans="1:32" x14ac:dyDescent="0.35">
      <c r="A463" s="360"/>
      <c r="B463" s="358" t="s">
        <v>981</v>
      </c>
      <c r="C463" s="358"/>
      <c r="D463" s="360"/>
      <c r="E463" s="885" t="s">
        <v>2148</v>
      </c>
      <c r="F463" s="40" t="s">
        <v>827</v>
      </c>
      <c r="G463" s="40">
        <v>5</v>
      </c>
      <c r="H463" s="50">
        <v>6</v>
      </c>
      <c r="I463" s="745"/>
      <c r="J463" s="745"/>
      <c r="K463" s="745"/>
      <c r="L463" s="745"/>
      <c r="M463" s="745"/>
      <c r="N463" s="745"/>
      <c r="O463" s="764"/>
      <c r="P463" s="745"/>
      <c r="Q463" s="1089"/>
      <c r="R463" s="1082">
        <v>0.34</v>
      </c>
      <c r="S463" s="40"/>
      <c r="T463" s="246"/>
      <c r="U463" s="40"/>
      <c r="V463" s="40"/>
      <c r="W463" s="166"/>
      <c r="X463" s="166"/>
      <c r="Y463" s="40"/>
      <c r="Z463" s="2147"/>
      <c r="AE463" s="2461"/>
      <c r="AF463" s="68"/>
    </row>
    <row r="464" spans="1:32" ht="30.5" x14ac:dyDescent="0.35">
      <c r="A464" s="2146">
        <v>254</v>
      </c>
      <c r="B464" s="358" t="s">
        <v>981</v>
      </c>
      <c r="C464" s="358"/>
      <c r="D464" s="2464" t="s">
        <v>5924</v>
      </c>
      <c r="E464" s="417" t="s">
        <v>7929</v>
      </c>
      <c r="F464" s="41">
        <v>5</v>
      </c>
      <c r="G464" s="50">
        <v>5</v>
      </c>
      <c r="H464" s="50">
        <v>6</v>
      </c>
      <c r="I464" s="762">
        <f>J464+K464+L464</f>
        <v>1.3</v>
      </c>
      <c r="J464" s="762">
        <f>SUM(M464:R464)</f>
        <v>1.3</v>
      </c>
      <c r="K464" s="762"/>
      <c r="L464" s="762"/>
      <c r="M464" s="762"/>
      <c r="N464" s="762"/>
      <c r="O464" s="763"/>
      <c r="P464" s="762"/>
      <c r="Q464" s="1445">
        <v>1.3</v>
      </c>
      <c r="R464" s="1440"/>
      <c r="S464" s="49"/>
      <c r="T464" s="255"/>
      <c r="U464" s="49"/>
      <c r="V464" s="49"/>
      <c r="W464" s="168">
        <v>4</v>
      </c>
      <c r="X464" s="168">
        <v>50.22</v>
      </c>
      <c r="Y464" s="42">
        <v>1</v>
      </c>
      <c r="Z464" s="253">
        <v>7.5</v>
      </c>
      <c r="AB464" s="3">
        <v>1</v>
      </c>
      <c r="AE464" s="2461"/>
      <c r="AF464" s="68"/>
    </row>
    <row r="465" spans="1:32" ht="45" x14ac:dyDescent="0.35">
      <c r="A465" s="693">
        <v>255</v>
      </c>
      <c r="B465" s="693" t="s">
        <v>981</v>
      </c>
      <c r="C465" s="693" t="s">
        <v>1656</v>
      </c>
      <c r="D465" s="2464" t="s">
        <v>5925</v>
      </c>
      <c r="E465" s="2187" t="s">
        <v>8882</v>
      </c>
      <c r="F465" s="93" t="s">
        <v>664</v>
      </c>
      <c r="G465" s="93">
        <v>5</v>
      </c>
      <c r="H465" s="50">
        <v>6</v>
      </c>
      <c r="I465" s="2143">
        <f>L465+K465+J465</f>
        <v>0.5</v>
      </c>
      <c r="J465" s="2143">
        <f>SUM(M465:R465)</f>
        <v>0.5</v>
      </c>
      <c r="K465" s="622"/>
      <c r="L465" s="622"/>
      <c r="M465" s="622"/>
      <c r="N465" s="622"/>
      <c r="O465" s="622"/>
      <c r="P465" s="622"/>
      <c r="Q465" s="2085"/>
      <c r="R465" s="906">
        <v>0.5</v>
      </c>
      <c r="S465" s="106"/>
      <c r="T465" s="106"/>
      <c r="U465" s="106"/>
      <c r="V465" s="106"/>
      <c r="W465" s="105"/>
      <c r="X465" s="105"/>
      <c r="Y465" s="105"/>
      <c r="Z465" s="105"/>
      <c r="AB465" s="3">
        <v>1</v>
      </c>
      <c r="AE465" s="2461"/>
      <c r="AF465" s="68"/>
    </row>
    <row r="466" spans="1:32" ht="30.5" x14ac:dyDescent="0.35">
      <c r="A466" s="2146">
        <v>256</v>
      </c>
      <c r="B466" s="358" t="s">
        <v>981</v>
      </c>
      <c r="C466" s="358"/>
      <c r="D466" s="2464" t="s">
        <v>5926</v>
      </c>
      <c r="E466" s="417" t="s">
        <v>7930</v>
      </c>
      <c r="F466" s="41">
        <v>5</v>
      </c>
      <c r="G466" s="50">
        <v>5</v>
      </c>
      <c r="H466" s="50">
        <v>6</v>
      </c>
      <c r="I466" s="762">
        <f>J466+K466+L466</f>
        <v>1</v>
      </c>
      <c r="J466" s="762">
        <f>SUM(M466:R466)</f>
        <v>1</v>
      </c>
      <c r="K466" s="762"/>
      <c r="L466" s="762"/>
      <c r="M466" s="762"/>
      <c r="N466" s="762"/>
      <c r="O466" s="763"/>
      <c r="P466" s="762"/>
      <c r="Q466" s="1445">
        <v>1</v>
      </c>
      <c r="R466" s="1440"/>
      <c r="S466" s="49"/>
      <c r="T466" s="255"/>
      <c r="U466" s="49"/>
      <c r="V466" s="49"/>
      <c r="W466" s="168">
        <v>3</v>
      </c>
      <c r="X466" s="168">
        <v>30.4</v>
      </c>
      <c r="Y466" s="42"/>
      <c r="Z466" s="2131"/>
      <c r="AB466" s="3">
        <v>1</v>
      </c>
      <c r="AE466" s="2461"/>
      <c r="AF466" s="68"/>
    </row>
    <row r="467" spans="1:32" ht="30.5" x14ac:dyDescent="0.35">
      <c r="A467" s="693">
        <v>257</v>
      </c>
      <c r="B467" s="358" t="s">
        <v>981</v>
      </c>
      <c r="C467" s="358"/>
      <c r="D467" s="2464" t="s">
        <v>5927</v>
      </c>
      <c r="E467" s="417" t="s">
        <v>7931</v>
      </c>
      <c r="F467" s="41"/>
      <c r="G467" s="50" t="s">
        <v>191</v>
      </c>
      <c r="H467" s="50" t="s">
        <v>191</v>
      </c>
      <c r="I467" s="762">
        <f>J467+K467+L467</f>
        <v>0.5</v>
      </c>
      <c r="J467" s="762">
        <f>SUM(M467:R467)</f>
        <v>0.5</v>
      </c>
      <c r="K467" s="762"/>
      <c r="L467" s="762"/>
      <c r="M467" s="762"/>
      <c r="N467" s="762">
        <f>SUM(N468:N469)</f>
        <v>0.28000000000000003</v>
      </c>
      <c r="O467" s="763"/>
      <c r="P467" s="762"/>
      <c r="Q467" s="1445"/>
      <c r="R467" s="1440">
        <f>SUM(R468:R469)</f>
        <v>0.22</v>
      </c>
      <c r="S467" s="49"/>
      <c r="T467" s="255"/>
      <c r="U467" s="49"/>
      <c r="V467" s="49"/>
      <c r="W467" s="168">
        <v>2</v>
      </c>
      <c r="X467" s="168">
        <v>29.4</v>
      </c>
      <c r="Y467" s="42"/>
      <c r="Z467" s="2131"/>
      <c r="AB467" s="3">
        <v>1</v>
      </c>
      <c r="AE467" s="2461"/>
      <c r="AF467" s="68"/>
    </row>
    <row r="468" spans="1:32" x14ac:dyDescent="0.35">
      <c r="A468" s="360"/>
      <c r="B468" s="358" t="s">
        <v>981</v>
      </c>
      <c r="C468" s="358"/>
      <c r="D468" s="360"/>
      <c r="E468" s="442" t="s">
        <v>2149</v>
      </c>
      <c r="F468" s="40">
        <v>5</v>
      </c>
      <c r="G468" s="40">
        <v>5</v>
      </c>
      <c r="H468" s="50">
        <v>6</v>
      </c>
      <c r="I468" s="745"/>
      <c r="J468" s="745"/>
      <c r="K468" s="745"/>
      <c r="L468" s="745"/>
      <c r="M468" s="745"/>
      <c r="N468" s="747">
        <v>0.28000000000000003</v>
      </c>
      <c r="O468" s="764"/>
      <c r="P468" s="745"/>
      <c r="Q468" s="1089"/>
      <c r="R468" s="1084"/>
      <c r="S468" s="40"/>
      <c r="T468" s="246"/>
      <c r="U468" s="40"/>
      <c r="V468" s="40"/>
      <c r="W468" s="166"/>
      <c r="X468" s="166"/>
      <c r="Y468" s="40"/>
      <c r="Z468" s="2147"/>
      <c r="AE468" s="2461"/>
      <c r="AF468" s="68"/>
    </row>
    <row r="469" spans="1:32" x14ac:dyDescent="0.35">
      <c r="A469" s="360"/>
      <c r="B469" s="358" t="s">
        <v>981</v>
      </c>
      <c r="C469" s="358"/>
      <c r="D469" s="360"/>
      <c r="E469" s="885" t="s">
        <v>2489</v>
      </c>
      <c r="F469" s="40" t="s">
        <v>664</v>
      </c>
      <c r="G469" s="40">
        <v>5</v>
      </c>
      <c r="H469" s="50">
        <v>6</v>
      </c>
      <c r="I469" s="745"/>
      <c r="J469" s="745"/>
      <c r="K469" s="745"/>
      <c r="L469" s="745"/>
      <c r="M469" s="745"/>
      <c r="N469" s="745"/>
      <c r="O469" s="764"/>
      <c r="P469" s="745"/>
      <c r="Q469" s="1089"/>
      <c r="R469" s="1082">
        <v>0.22</v>
      </c>
      <c r="S469" s="40"/>
      <c r="T469" s="246"/>
      <c r="U469" s="40"/>
      <c r="V469" s="40"/>
      <c r="W469" s="166"/>
      <c r="X469" s="166"/>
      <c r="Y469" s="40"/>
      <c r="Z469" s="2147"/>
      <c r="AE469" s="2461"/>
      <c r="AF469" s="68"/>
    </row>
    <row r="470" spans="1:32" ht="45" x14ac:dyDescent="0.35">
      <c r="A470" s="693">
        <v>258</v>
      </c>
      <c r="B470" s="693" t="s">
        <v>981</v>
      </c>
      <c r="C470" s="693" t="s">
        <v>1656</v>
      </c>
      <c r="D470" s="2464" t="s">
        <v>5928</v>
      </c>
      <c r="E470" s="2187" t="s">
        <v>8883</v>
      </c>
      <c r="F470" s="93" t="s">
        <v>664</v>
      </c>
      <c r="G470" s="93">
        <v>5</v>
      </c>
      <c r="H470" s="50">
        <v>6</v>
      </c>
      <c r="I470" s="2143">
        <f>L470+K470+J470</f>
        <v>1</v>
      </c>
      <c r="J470" s="2143">
        <f>SUM(M470:R470)</f>
        <v>1</v>
      </c>
      <c r="K470" s="622"/>
      <c r="L470" s="622"/>
      <c r="M470" s="622"/>
      <c r="N470" s="622"/>
      <c r="O470" s="622"/>
      <c r="P470" s="622"/>
      <c r="Q470" s="2085"/>
      <c r="R470" s="906">
        <v>1</v>
      </c>
      <c r="S470" s="106"/>
      <c r="T470" s="106"/>
      <c r="U470" s="106"/>
      <c r="V470" s="106"/>
      <c r="W470" s="105"/>
      <c r="X470" s="105"/>
      <c r="Y470" s="105"/>
      <c r="Z470" s="105"/>
      <c r="AB470" s="3">
        <v>1</v>
      </c>
      <c r="AE470" s="2461"/>
      <c r="AF470" s="68"/>
    </row>
    <row r="471" spans="1:32" ht="30.5" x14ac:dyDescent="0.35">
      <c r="A471" s="2146">
        <v>259</v>
      </c>
      <c r="B471" s="358" t="s">
        <v>981</v>
      </c>
      <c r="C471" s="358"/>
      <c r="D471" s="2464" t="s">
        <v>5929</v>
      </c>
      <c r="E471" s="443" t="s">
        <v>7932</v>
      </c>
      <c r="F471" s="41" t="s">
        <v>664</v>
      </c>
      <c r="G471" s="50">
        <v>5</v>
      </c>
      <c r="H471" s="50">
        <v>6</v>
      </c>
      <c r="I471" s="762">
        <f>J471+K471+L471</f>
        <v>2.1</v>
      </c>
      <c r="J471" s="762">
        <f>SUM(M471:R471)</f>
        <v>2.1</v>
      </c>
      <c r="K471" s="762"/>
      <c r="L471" s="762"/>
      <c r="M471" s="762"/>
      <c r="N471" s="762"/>
      <c r="O471" s="763"/>
      <c r="P471" s="762"/>
      <c r="Q471" s="1445"/>
      <c r="R471" s="1440">
        <v>2.1</v>
      </c>
      <c r="S471" s="49"/>
      <c r="T471" s="255"/>
      <c r="U471" s="49"/>
      <c r="V471" s="49"/>
      <c r="W471" s="168">
        <v>1</v>
      </c>
      <c r="X471" s="168">
        <v>20.3</v>
      </c>
      <c r="Y471" s="42"/>
      <c r="Z471" s="2131"/>
      <c r="AB471" s="3">
        <v>1</v>
      </c>
      <c r="AE471" s="2461"/>
      <c r="AF471" s="68"/>
    </row>
    <row r="472" spans="1:32" ht="45" x14ac:dyDescent="0.35">
      <c r="A472" s="693">
        <v>260</v>
      </c>
      <c r="B472" s="693" t="s">
        <v>981</v>
      </c>
      <c r="C472" s="693" t="s">
        <v>1656</v>
      </c>
      <c r="D472" s="2464" t="s">
        <v>5930</v>
      </c>
      <c r="E472" s="2187" t="s">
        <v>8884</v>
      </c>
      <c r="F472" s="93" t="s">
        <v>664</v>
      </c>
      <c r="G472" s="93">
        <v>5</v>
      </c>
      <c r="H472" s="50">
        <v>6</v>
      </c>
      <c r="I472" s="2143">
        <f>L472+K472+J472</f>
        <v>1.2</v>
      </c>
      <c r="J472" s="2143">
        <f>SUM(M472:R472)</f>
        <v>1.2</v>
      </c>
      <c r="K472" s="622"/>
      <c r="L472" s="622"/>
      <c r="M472" s="622"/>
      <c r="N472" s="622"/>
      <c r="O472" s="622"/>
      <c r="P472" s="622"/>
      <c r="Q472" s="2085"/>
      <c r="R472" s="906">
        <v>1.2</v>
      </c>
      <c r="S472" s="106"/>
      <c r="T472" s="106"/>
      <c r="U472" s="106"/>
      <c r="V472" s="106"/>
      <c r="W472" s="105"/>
      <c r="X472" s="105"/>
      <c r="Y472" s="105"/>
      <c r="Z472" s="105"/>
      <c r="AB472" s="3">
        <v>1</v>
      </c>
      <c r="AE472" s="2461"/>
      <c r="AF472" s="68"/>
    </row>
    <row r="473" spans="1:32" ht="45.5" x14ac:dyDescent="0.35">
      <c r="A473" s="2146">
        <v>261</v>
      </c>
      <c r="B473" s="358" t="s">
        <v>981</v>
      </c>
      <c r="C473" s="358"/>
      <c r="D473" s="2464" t="s">
        <v>5931</v>
      </c>
      <c r="E473" s="417" t="s">
        <v>10175</v>
      </c>
      <c r="F473" s="41"/>
      <c r="G473" s="50" t="s">
        <v>191</v>
      </c>
      <c r="H473" s="50" t="s">
        <v>191</v>
      </c>
      <c r="I473" s="762">
        <f>J473+K473+L473</f>
        <v>6.7</v>
      </c>
      <c r="J473" s="762">
        <f>SUM(M473:R473)</f>
        <v>6.7</v>
      </c>
      <c r="K473" s="762"/>
      <c r="L473" s="762"/>
      <c r="M473" s="762"/>
      <c r="N473" s="762"/>
      <c r="O473" s="763"/>
      <c r="P473" s="762"/>
      <c r="Q473" s="1445">
        <f>SUM(Q474:Q475)</f>
        <v>4.87</v>
      </c>
      <c r="R473" s="1440">
        <f>SUM(R474:R475)</f>
        <v>1.83</v>
      </c>
      <c r="S473" s="49"/>
      <c r="T473" s="255"/>
      <c r="U473" s="49"/>
      <c r="V473" s="49"/>
      <c r="W473" s="168">
        <v>9</v>
      </c>
      <c r="X473" s="168">
        <v>107.9</v>
      </c>
      <c r="Y473" s="42"/>
      <c r="Z473" s="2131"/>
      <c r="AB473" s="3">
        <v>1</v>
      </c>
      <c r="AE473" s="2461"/>
      <c r="AF473" s="68"/>
    </row>
    <row r="474" spans="1:32" x14ac:dyDescent="0.35">
      <c r="A474" s="360"/>
      <c r="B474" s="358" t="s">
        <v>981</v>
      </c>
      <c r="C474" s="358"/>
      <c r="D474" s="360"/>
      <c r="E474" s="884" t="s">
        <v>38</v>
      </c>
      <c r="F474" s="40">
        <v>5</v>
      </c>
      <c r="G474" s="40">
        <v>5</v>
      </c>
      <c r="H474" s="50">
        <v>6</v>
      </c>
      <c r="I474" s="745"/>
      <c r="J474" s="745"/>
      <c r="K474" s="745"/>
      <c r="L474" s="745"/>
      <c r="M474" s="745"/>
      <c r="N474" s="745"/>
      <c r="O474" s="764"/>
      <c r="P474" s="745"/>
      <c r="Q474" s="1087">
        <v>4.87</v>
      </c>
      <c r="R474" s="1084"/>
      <c r="S474" s="40"/>
      <c r="T474" s="246"/>
      <c r="U474" s="40"/>
      <c r="V474" s="40"/>
      <c r="W474" s="166"/>
      <c r="X474" s="166"/>
      <c r="Y474" s="40"/>
      <c r="Z474" s="2147"/>
      <c r="AE474" s="2461"/>
      <c r="AF474" s="68"/>
    </row>
    <row r="475" spans="1:32" x14ac:dyDescent="0.35">
      <c r="A475" s="360"/>
      <c r="B475" s="358" t="s">
        <v>981</v>
      </c>
      <c r="C475" s="358"/>
      <c r="D475" s="360"/>
      <c r="E475" s="885" t="s">
        <v>596</v>
      </c>
      <c r="F475" s="40" t="s">
        <v>827</v>
      </c>
      <c r="G475" s="40">
        <v>5</v>
      </c>
      <c r="H475" s="50">
        <v>6</v>
      </c>
      <c r="I475" s="745"/>
      <c r="J475" s="745"/>
      <c r="K475" s="745"/>
      <c r="L475" s="745"/>
      <c r="M475" s="745"/>
      <c r="N475" s="745"/>
      <c r="O475" s="764"/>
      <c r="P475" s="745"/>
      <c r="Q475" s="1089"/>
      <c r="R475" s="1082">
        <v>1.83</v>
      </c>
      <c r="S475" s="40"/>
      <c r="T475" s="246"/>
      <c r="U475" s="40"/>
      <c r="V475" s="40"/>
      <c r="W475" s="166"/>
      <c r="X475" s="166"/>
      <c r="Y475" s="40"/>
      <c r="Z475" s="2147"/>
      <c r="AE475" s="2461"/>
      <c r="AF475" s="68"/>
    </row>
    <row r="476" spans="1:32" ht="60" x14ac:dyDescent="0.35">
      <c r="A476" s="693">
        <v>262</v>
      </c>
      <c r="B476" s="693" t="s">
        <v>981</v>
      </c>
      <c r="C476" s="693" t="s">
        <v>1656</v>
      </c>
      <c r="D476" s="2464" t="s">
        <v>5932</v>
      </c>
      <c r="E476" s="2187" t="s">
        <v>10176</v>
      </c>
      <c r="F476" s="93" t="s">
        <v>664</v>
      </c>
      <c r="G476" s="93">
        <v>5</v>
      </c>
      <c r="H476" s="50">
        <v>6</v>
      </c>
      <c r="I476" s="2143">
        <f>L476+K476+J476</f>
        <v>0.2</v>
      </c>
      <c r="J476" s="2143">
        <f>SUM(M476:R476)</f>
        <v>0.2</v>
      </c>
      <c r="K476" s="622"/>
      <c r="L476" s="622"/>
      <c r="M476" s="622"/>
      <c r="N476" s="622"/>
      <c r="O476" s="622"/>
      <c r="P476" s="622"/>
      <c r="Q476" s="2085"/>
      <c r="R476" s="906">
        <v>0.2</v>
      </c>
      <c r="S476" s="106"/>
      <c r="T476" s="106"/>
      <c r="U476" s="106"/>
      <c r="V476" s="106"/>
      <c r="W476" s="105"/>
      <c r="X476" s="105"/>
      <c r="Y476" s="105"/>
      <c r="Z476" s="105"/>
      <c r="AB476" s="3">
        <v>1</v>
      </c>
      <c r="AE476" s="2461"/>
      <c r="AF476" s="68"/>
    </row>
    <row r="477" spans="1:32" ht="30.5" x14ac:dyDescent="0.35">
      <c r="A477" s="2146">
        <v>263</v>
      </c>
      <c r="B477" s="358" t="s">
        <v>981</v>
      </c>
      <c r="C477" s="358"/>
      <c r="D477" s="2464" t="s">
        <v>5933</v>
      </c>
      <c r="E477" s="417" t="s">
        <v>7933</v>
      </c>
      <c r="F477" s="41"/>
      <c r="G477" s="50" t="s">
        <v>191</v>
      </c>
      <c r="H477" s="50" t="s">
        <v>191</v>
      </c>
      <c r="I477" s="762">
        <f>J477+K477+L477</f>
        <v>2.8</v>
      </c>
      <c r="J477" s="762">
        <f>SUM(M477:R477)</f>
        <v>2.8</v>
      </c>
      <c r="K477" s="762"/>
      <c r="L477" s="762"/>
      <c r="M477" s="762"/>
      <c r="N477" s="762">
        <f>SUM(N478:N479)</f>
        <v>1.88</v>
      </c>
      <c r="O477" s="763"/>
      <c r="P477" s="762"/>
      <c r="Q477" s="1445"/>
      <c r="R477" s="1440">
        <f>SUM(R478:R479)</f>
        <v>0.92</v>
      </c>
      <c r="S477" s="49"/>
      <c r="T477" s="255"/>
      <c r="U477" s="49"/>
      <c r="V477" s="49"/>
      <c r="W477" s="168">
        <v>2</v>
      </c>
      <c r="X477" s="168">
        <v>23.1</v>
      </c>
      <c r="Y477" s="42"/>
      <c r="Z477" s="2131"/>
      <c r="AB477" s="3">
        <v>1</v>
      </c>
      <c r="AE477" s="2461"/>
      <c r="AF477" s="68"/>
    </row>
    <row r="478" spans="1:32" x14ac:dyDescent="0.35">
      <c r="A478" s="360"/>
      <c r="B478" s="358" t="s">
        <v>981</v>
      </c>
      <c r="C478" s="358"/>
      <c r="D478" s="360"/>
      <c r="E478" s="442" t="s">
        <v>435</v>
      </c>
      <c r="F478" s="40">
        <v>5</v>
      </c>
      <c r="G478" s="40">
        <v>5</v>
      </c>
      <c r="H478" s="50">
        <v>6</v>
      </c>
      <c r="I478" s="745"/>
      <c r="J478" s="745"/>
      <c r="K478" s="745"/>
      <c r="L478" s="745"/>
      <c r="M478" s="745"/>
      <c r="N478" s="747">
        <v>1.88</v>
      </c>
      <c r="O478" s="764"/>
      <c r="P478" s="745"/>
      <c r="Q478" s="1089"/>
      <c r="R478" s="1084"/>
      <c r="S478" s="40"/>
      <c r="T478" s="246"/>
      <c r="U478" s="40"/>
      <c r="V478" s="40"/>
      <c r="W478" s="166"/>
      <c r="X478" s="166"/>
      <c r="Y478" s="40"/>
      <c r="Z478" s="2147"/>
      <c r="AE478" s="2461"/>
      <c r="AF478" s="68"/>
    </row>
    <row r="479" spans="1:32" x14ac:dyDescent="0.35">
      <c r="A479" s="360"/>
      <c r="B479" s="358" t="s">
        <v>981</v>
      </c>
      <c r="C479" s="358"/>
      <c r="D479" s="360"/>
      <c r="E479" s="885" t="s">
        <v>693</v>
      </c>
      <c r="F479" s="40" t="s">
        <v>827</v>
      </c>
      <c r="G479" s="40">
        <v>5</v>
      </c>
      <c r="H479" s="50">
        <v>6</v>
      </c>
      <c r="I479" s="745"/>
      <c r="J479" s="745"/>
      <c r="K479" s="745"/>
      <c r="L479" s="745"/>
      <c r="M479" s="745"/>
      <c r="N479" s="745"/>
      <c r="O479" s="764"/>
      <c r="P479" s="745"/>
      <c r="Q479" s="1089"/>
      <c r="R479" s="1082">
        <v>0.92</v>
      </c>
      <c r="S479" s="40"/>
      <c r="T479" s="246"/>
      <c r="U479" s="40"/>
      <c r="V479" s="40"/>
      <c r="W479" s="166"/>
      <c r="X479" s="166"/>
      <c r="Y479" s="40"/>
      <c r="Z479" s="2147"/>
      <c r="AE479" s="2461"/>
      <c r="AF479" s="68"/>
    </row>
    <row r="480" spans="1:32" ht="45" x14ac:dyDescent="0.35">
      <c r="A480" s="693">
        <v>264</v>
      </c>
      <c r="B480" s="693" t="s">
        <v>981</v>
      </c>
      <c r="C480" s="693" t="s">
        <v>1656</v>
      </c>
      <c r="D480" s="2464" t="s">
        <v>5934</v>
      </c>
      <c r="E480" s="2187" t="s">
        <v>8885</v>
      </c>
      <c r="F480" s="93" t="s">
        <v>664</v>
      </c>
      <c r="G480" s="93">
        <v>5</v>
      </c>
      <c r="H480" s="50">
        <v>6</v>
      </c>
      <c r="I480" s="2143">
        <f>L480+K480+J480</f>
        <v>0.95</v>
      </c>
      <c r="J480" s="2143">
        <f t="shared" ref="J480:J485" si="29">SUM(M480:R480)</f>
        <v>0.95</v>
      </c>
      <c r="K480" s="622"/>
      <c r="L480" s="622"/>
      <c r="M480" s="622"/>
      <c r="N480" s="622"/>
      <c r="O480" s="622"/>
      <c r="P480" s="622"/>
      <c r="Q480" s="2085"/>
      <c r="R480" s="906">
        <v>0.95</v>
      </c>
      <c r="S480" s="106"/>
      <c r="T480" s="106"/>
      <c r="U480" s="106"/>
      <c r="V480" s="106"/>
      <c r="W480" s="105"/>
      <c r="X480" s="105"/>
      <c r="Y480" s="105"/>
      <c r="Z480" s="105"/>
      <c r="AB480" s="3">
        <v>1</v>
      </c>
      <c r="AE480" s="2461"/>
      <c r="AF480" s="68"/>
    </row>
    <row r="481" spans="1:32" ht="45" x14ac:dyDescent="0.35">
      <c r="A481" s="693">
        <v>265</v>
      </c>
      <c r="B481" s="693" t="s">
        <v>981</v>
      </c>
      <c r="C481" s="693"/>
      <c r="D481" s="2464" t="s">
        <v>5935</v>
      </c>
      <c r="E481" s="2187" t="s">
        <v>7934</v>
      </c>
      <c r="F481" s="93">
        <v>5</v>
      </c>
      <c r="G481" s="93">
        <v>5</v>
      </c>
      <c r="H481" s="50">
        <v>6</v>
      </c>
      <c r="I481" s="2143">
        <f>L481+K481+J481</f>
        <v>0.65</v>
      </c>
      <c r="J481" s="2143">
        <f t="shared" si="29"/>
        <v>0.65</v>
      </c>
      <c r="K481" s="622"/>
      <c r="L481" s="622"/>
      <c r="M481" s="622"/>
      <c r="N481" s="622">
        <v>0.65</v>
      </c>
      <c r="O481" s="622"/>
      <c r="P481" s="622"/>
      <c r="Q481" s="2085"/>
      <c r="R481" s="906"/>
      <c r="S481" s="106"/>
      <c r="T481" s="106"/>
      <c r="U481" s="106"/>
      <c r="V481" s="106"/>
      <c r="W481" s="105"/>
      <c r="X481" s="105"/>
      <c r="Y481" s="105"/>
      <c r="Z481" s="105"/>
      <c r="AB481" s="3">
        <v>1</v>
      </c>
      <c r="AE481" s="2461"/>
      <c r="AF481" s="68"/>
    </row>
    <row r="482" spans="1:32" ht="45.5" x14ac:dyDescent="0.35">
      <c r="A482" s="693">
        <v>266</v>
      </c>
      <c r="B482" s="405" t="s">
        <v>981</v>
      </c>
      <c r="C482" s="405"/>
      <c r="D482" s="2464" t="s">
        <v>5936</v>
      </c>
      <c r="E482" s="443" t="s">
        <v>10177</v>
      </c>
      <c r="F482" s="40" t="s">
        <v>664</v>
      </c>
      <c r="G482" s="40">
        <v>5</v>
      </c>
      <c r="H482" s="50">
        <v>6</v>
      </c>
      <c r="I482" s="762">
        <f>J482+K482+L482</f>
        <v>1.4</v>
      </c>
      <c r="J482" s="762">
        <f t="shared" si="29"/>
        <v>1.4</v>
      </c>
      <c r="K482" s="749"/>
      <c r="L482" s="749"/>
      <c r="M482" s="749"/>
      <c r="N482" s="749"/>
      <c r="O482" s="769"/>
      <c r="P482" s="749"/>
      <c r="Q482" s="1449"/>
      <c r="R482" s="869">
        <v>1.4</v>
      </c>
      <c r="S482" s="42"/>
      <c r="T482" s="247"/>
      <c r="U482" s="42"/>
      <c r="V482" s="42"/>
      <c r="W482" s="110"/>
      <c r="X482" s="110"/>
      <c r="Y482" s="42"/>
      <c r="Z482" s="2131"/>
      <c r="AB482" s="3">
        <v>1</v>
      </c>
      <c r="AE482" s="2461"/>
      <c r="AF482" s="68"/>
    </row>
    <row r="483" spans="1:32" ht="30" x14ac:dyDescent="0.35">
      <c r="A483" s="693">
        <v>267</v>
      </c>
      <c r="B483" s="693" t="s">
        <v>981</v>
      </c>
      <c r="C483" s="693" t="s">
        <v>1656</v>
      </c>
      <c r="D483" s="2464" t="s">
        <v>5937</v>
      </c>
      <c r="E483" s="2187" t="s">
        <v>8886</v>
      </c>
      <c r="F483" s="93" t="s">
        <v>664</v>
      </c>
      <c r="G483" s="93">
        <v>5</v>
      </c>
      <c r="H483" s="50">
        <v>6</v>
      </c>
      <c r="I483" s="2143">
        <f>L483+K483+J483</f>
        <v>0.3</v>
      </c>
      <c r="J483" s="2143">
        <f t="shared" si="29"/>
        <v>0.3</v>
      </c>
      <c r="K483" s="622"/>
      <c r="L483" s="622"/>
      <c r="M483" s="622"/>
      <c r="N483" s="622"/>
      <c r="O483" s="622"/>
      <c r="P483" s="622"/>
      <c r="Q483" s="2085"/>
      <c r="R483" s="906">
        <v>0.3</v>
      </c>
      <c r="S483" s="106"/>
      <c r="T483" s="106"/>
      <c r="U483" s="106"/>
      <c r="V483" s="106"/>
      <c r="W483" s="105"/>
      <c r="X483" s="105"/>
      <c r="Y483" s="105"/>
      <c r="Z483" s="105"/>
      <c r="AB483" s="3">
        <v>1</v>
      </c>
      <c r="AE483" s="2461"/>
      <c r="AF483" s="68"/>
    </row>
    <row r="484" spans="1:32" ht="30" x14ac:dyDescent="0.35">
      <c r="A484" s="693">
        <v>268</v>
      </c>
      <c r="B484" s="693" t="s">
        <v>981</v>
      </c>
      <c r="C484" s="693" t="s">
        <v>1656</v>
      </c>
      <c r="D484" s="2464" t="s">
        <v>5938</v>
      </c>
      <c r="E484" s="2187" t="s">
        <v>8887</v>
      </c>
      <c r="F484" s="93" t="s">
        <v>664</v>
      </c>
      <c r="G484" s="93">
        <v>5</v>
      </c>
      <c r="H484" s="50">
        <v>6</v>
      </c>
      <c r="I484" s="2143">
        <f>L484+K484+J484</f>
        <v>0.2</v>
      </c>
      <c r="J484" s="2143">
        <f t="shared" si="29"/>
        <v>0.2</v>
      </c>
      <c r="K484" s="622"/>
      <c r="L484" s="622"/>
      <c r="M484" s="622"/>
      <c r="N484" s="622"/>
      <c r="O484" s="622"/>
      <c r="P484" s="622"/>
      <c r="Q484" s="2085"/>
      <c r="R484" s="906">
        <v>0.2</v>
      </c>
      <c r="S484" s="106"/>
      <c r="T484" s="106"/>
      <c r="U484" s="106"/>
      <c r="V484" s="106"/>
      <c r="W484" s="105"/>
      <c r="X484" s="105"/>
      <c r="Y484" s="105"/>
      <c r="Z484" s="105"/>
      <c r="AB484" s="3">
        <v>1</v>
      </c>
      <c r="AE484" s="2461"/>
      <c r="AF484" s="68"/>
    </row>
    <row r="485" spans="1:32" ht="30" x14ac:dyDescent="0.35">
      <c r="A485" s="693">
        <v>269</v>
      </c>
      <c r="B485" s="693" t="s">
        <v>981</v>
      </c>
      <c r="C485" s="693" t="s">
        <v>1656</v>
      </c>
      <c r="D485" s="2464" t="s">
        <v>5939</v>
      </c>
      <c r="E485" s="2187" t="s">
        <v>8888</v>
      </c>
      <c r="F485" s="93" t="s">
        <v>664</v>
      </c>
      <c r="G485" s="93">
        <v>5</v>
      </c>
      <c r="H485" s="50">
        <v>6</v>
      </c>
      <c r="I485" s="2143">
        <f>L485+K485+J485</f>
        <v>0.8</v>
      </c>
      <c r="J485" s="2143">
        <f t="shared" si="29"/>
        <v>0.8</v>
      </c>
      <c r="K485" s="622"/>
      <c r="L485" s="622"/>
      <c r="M485" s="622"/>
      <c r="N485" s="622"/>
      <c r="O485" s="622"/>
      <c r="P485" s="622"/>
      <c r="Q485" s="2085"/>
      <c r="R485" s="906">
        <v>0.8</v>
      </c>
      <c r="S485" s="106"/>
      <c r="T485" s="106"/>
      <c r="U485" s="106"/>
      <c r="V485" s="106"/>
      <c r="W485" s="105"/>
      <c r="X485" s="105"/>
      <c r="Y485" s="105"/>
      <c r="Z485" s="105"/>
      <c r="AB485" s="3">
        <v>1</v>
      </c>
      <c r="AE485" s="2461"/>
      <c r="AF485" s="68"/>
    </row>
    <row r="486" spans="1:32" x14ac:dyDescent="0.35">
      <c r="A486" s="2144"/>
      <c r="B486" s="2144"/>
      <c r="C486" s="2144"/>
      <c r="D486" s="2144"/>
      <c r="E486" s="2107"/>
      <c r="F486" s="2145"/>
      <c r="G486" s="2145"/>
      <c r="H486" s="2145"/>
      <c r="I486" s="2145"/>
      <c r="J486" s="2145"/>
      <c r="K486" s="2145"/>
      <c r="L486" s="2145"/>
      <c r="M486" s="2145"/>
      <c r="N486" s="2145"/>
      <c r="O486" s="2145"/>
      <c r="P486" s="2145"/>
      <c r="Q486" s="2145"/>
      <c r="R486" s="2145"/>
      <c r="S486" s="2145"/>
      <c r="T486" s="2145"/>
      <c r="U486" s="2145"/>
      <c r="V486" s="2145"/>
      <c r="W486" s="2145"/>
      <c r="X486" s="2145"/>
      <c r="Y486" s="2145"/>
      <c r="Z486" s="2145"/>
    </row>
    <row r="487" spans="1:32" x14ac:dyDescent="0.35">
      <c r="A487" s="406"/>
      <c r="B487" s="406"/>
      <c r="C487" s="406"/>
      <c r="D487" s="406"/>
    </row>
    <row r="488" spans="1:32" x14ac:dyDescent="0.35">
      <c r="A488" s="406"/>
      <c r="B488" s="406"/>
      <c r="C488" s="406"/>
      <c r="D488" s="406"/>
    </row>
    <row r="489" spans="1:32" x14ac:dyDescent="0.35">
      <c r="A489" s="406"/>
      <c r="B489" s="406"/>
      <c r="C489" s="406"/>
      <c r="D489" s="406"/>
    </row>
    <row r="490" spans="1:32" x14ac:dyDescent="0.35">
      <c r="A490" s="406"/>
      <c r="B490" s="406"/>
      <c r="C490" s="406"/>
      <c r="D490" s="406"/>
    </row>
    <row r="491" spans="1:32" x14ac:dyDescent="0.35">
      <c r="A491" s="406"/>
      <c r="B491" s="406"/>
      <c r="C491" s="406"/>
      <c r="D491" s="406"/>
    </row>
    <row r="492" spans="1:32" x14ac:dyDescent="0.35">
      <c r="A492" s="406"/>
      <c r="B492" s="406"/>
      <c r="C492" s="406"/>
      <c r="D492" s="406"/>
    </row>
    <row r="493" spans="1:32" x14ac:dyDescent="0.35">
      <c r="A493" s="406"/>
      <c r="B493" s="406"/>
      <c r="C493" s="406"/>
      <c r="D493" s="406"/>
    </row>
    <row r="494" spans="1:32" x14ac:dyDescent="0.35">
      <c r="A494" s="406"/>
      <c r="B494" s="406"/>
      <c r="C494" s="406"/>
      <c r="D494" s="406"/>
    </row>
    <row r="495" spans="1:32" x14ac:dyDescent="0.35">
      <c r="A495" s="406"/>
      <c r="B495" s="406"/>
      <c r="C495" s="406"/>
      <c r="D495" s="406"/>
    </row>
    <row r="496" spans="1:32" x14ac:dyDescent="0.35">
      <c r="A496" s="406"/>
      <c r="B496" s="406"/>
      <c r="C496" s="406"/>
      <c r="D496" s="406"/>
    </row>
    <row r="497" spans="1:4" x14ac:dyDescent="0.35">
      <c r="A497" s="406"/>
      <c r="B497" s="406"/>
      <c r="C497" s="406"/>
      <c r="D497" s="406"/>
    </row>
    <row r="498" spans="1:4" x14ac:dyDescent="0.35">
      <c r="A498" s="406"/>
      <c r="B498" s="406"/>
      <c r="C498" s="406"/>
      <c r="D498" s="406"/>
    </row>
    <row r="499" spans="1:4" x14ac:dyDescent="0.35">
      <c r="A499" s="406"/>
      <c r="B499" s="406"/>
      <c r="C499" s="406"/>
      <c r="D499" s="406"/>
    </row>
    <row r="500" spans="1:4" x14ac:dyDescent="0.35">
      <c r="A500" s="406"/>
      <c r="B500" s="406"/>
      <c r="C500" s="406"/>
      <c r="D500" s="406"/>
    </row>
    <row r="501" spans="1:4" x14ac:dyDescent="0.35">
      <c r="A501" s="406"/>
      <c r="B501" s="406"/>
      <c r="C501" s="406"/>
      <c r="D501" s="406"/>
    </row>
    <row r="502" spans="1:4" x14ac:dyDescent="0.35">
      <c r="A502" s="406"/>
      <c r="B502" s="406"/>
      <c r="C502" s="406"/>
      <c r="D502" s="406"/>
    </row>
    <row r="503" spans="1:4" x14ac:dyDescent="0.35">
      <c r="A503" s="406"/>
      <c r="B503" s="406"/>
      <c r="C503" s="406"/>
      <c r="D503" s="406"/>
    </row>
    <row r="504" spans="1:4" x14ac:dyDescent="0.35">
      <c r="A504" s="406"/>
      <c r="B504" s="406"/>
      <c r="C504" s="406"/>
      <c r="D504" s="406"/>
    </row>
    <row r="505" spans="1:4" x14ac:dyDescent="0.35">
      <c r="A505" s="406"/>
      <c r="B505" s="406"/>
      <c r="C505" s="406"/>
      <c r="D505" s="406"/>
    </row>
    <row r="506" spans="1:4" x14ac:dyDescent="0.35">
      <c r="A506" s="406"/>
      <c r="B506" s="406"/>
      <c r="C506" s="406"/>
      <c r="D506" s="406"/>
    </row>
    <row r="507" spans="1:4" x14ac:dyDescent="0.35">
      <c r="A507" s="406"/>
      <c r="B507" s="406"/>
      <c r="C507" s="406"/>
      <c r="D507" s="406"/>
    </row>
    <row r="508" spans="1:4" x14ac:dyDescent="0.35">
      <c r="A508" s="406"/>
      <c r="B508" s="406"/>
      <c r="C508" s="406"/>
      <c r="D508" s="406"/>
    </row>
    <row r="509" spans="1:4" x14ac:dyDescent="0.35">
      <c r="A509" s="406"/>
      <c r="B509" s="406"/>
      <c r="C509" s="406"/>
      <c r="D509" s="406"/>
    </row>
    <row r="510" spans="1:4" x14ac:dyDescent="0.35">
      <c r="A510" s="406"/>
      <c r="B510" s="406"/>
      <c r="C510" s="406"/>
      <c r="D510" s="406"/>
    </row>
    <row r="511" spans="1:4" x14ac:dyDescent="0.35">
      <c r="A511" s="406"/>
      <c r="B511" s="406"/>
      <c r="C511" s="406"/>
      <c r="D511" s="406"/>
    </row>
    <row r="512" spans="1:4" x14ac:dyDescent="0.35">
      <c r="A512" s="406"/>
      <c r="B512" s="406"/>
      <c r="C512" s="406"/>
      <c r="D512" s="406"/>
    </row>
    <row r="513" spans="1:4" x14ac:dyDescent="0.35">
      <c r="A513" s="406"/>
      <c r="B513" s="406"/>
      <c r="C513" s="406"/>
      <c r="D513" s="406"/>
    </row>
    <row r="514" spans="1:4" x14ac:dyDescent="0.35">
      <c r="A514" s="406"/>
      <c r="B514" s="406"/>
      <c r="C514" s="406"/>
      <c r="D514" s="406"/>
    </row>
    <row r="515" spans="1:4" x14ac:dyDescent="0.35">
      <c r="A515" s="406"/>
      <c r="B515" s="406"/>
      <c r="C515" s="406"/>
      <c r="D515" s="406"/>
    </row>
    <row r="516" spans="1:4" x14ac:dyDescent="0.35">
      <c r="A516" s="406"/>
      <c r="B516" s="406"/>
      <c r="C516" s="406"/>
      <c r="D516" s="406"/>
    </row>
    <row r="517" spans="1:4" x14ac:dyDescent="0.35">
      <c r="A517" s="406"/>
      <c r="B517" s="406"/>
      <c r="C517" s="406"/>
      <c r="D517" s="406"/>
    </row>
    <row r="518" spans="1:4" x14ac:dyDescent="0.35">
      <c r="A518" s="406"/>
      <c r="B518" s="406"/>
      <c r="C518" s="406"/>
      <c r="D518" s="406"/>
    </row>
    <row r="519" spans="1:4" x14ac:dyDescent="0.35">
      <c r="A519" s="406"/>
      <c r="B519" s="406"/>
      <c r="C519" s="406"/>
      <c r="D519" s="406"/>
    </row>
    <row r="520" spans="1:4" x14ac:dyDescent="0.35">
      <c r="A520" s="406"/>
      <c r="B520" s="406"/>
      <c r="C520" s="406"/>
      <c r="D520" s="406"/>
    </row>
    <row r="521" spans="1:4" x14ac:dyDescent="0.35">
      <c r="A521" s="406"/>
      <c r="B521" s="406"/>
      <c r="C521" s="406"/>
      <c r="D521" s="406"/>
    </row>
    <row r="522" spans="1:4" x14ac:dyDescent="0.35">
      <c r="A522" s="406"/>
      <c r="B522" s="406"/>
      <c r="C522" s="406"/>
      <c r="D522" s="406"/>
    </row>
    <row r="523" spans="1:4" x14ac:dyDescent="0.35">
      <c r="A523" s="406"/>
      <c r="B523" s="406"/>
      <c r="C523" s="406"/>
      <c r="D523" s="406"/>
    </row>
    <row r="524" spans="1:4" x14ac:dyDescent="0.35">
      <c r="A524" s="406"/>
      <c r="B524" s="406"/>
      <c r="C524" s="406"/>
      <c r="D524" s="406"/>
    </row>
    <row r="525" spans="1:4" x14ac:dyDescent="0.35">
      <c r="A525" s="406"/>
      <c r="B525" s="406"/>
      <c r="C525" s="406"/>
      <c r="D525" s="406"/>
    </row>
    <row r="526" spans="1:4" x14ac:dyDescent="0.35">
      <c r="A526" s="406"/>
      <c r="B526" s="406"/>
      <c r="C526" s="406"/>
      <c r="D526" s="406"/>
    </row>
    <row r="527" spans="1:4" x14ac:dyDescent="0.35">
      <c r="A527" s="406"/>
      <c r="B527" s="406"/>
      <c r="C527" s="406"/>
      <c r="D527" s="406"/>
    </row>
    <row r="528" spans="1:4" x14ac:dyDescent="0.35">
      <c r="A528" s="406"/>
      <c r="B528" s="406"/>
      <c r="C528" s="406"/>
      <c r="D528" s="406"/>
    </row>
    <row r="529" spans="1:4" x14ac:dyDescent="0.35">
      <c r="A529" s="406"/>
      <c r="B529" s="406"/>
      <c r="C529" s="406"/>
      <c r="D529" s="406"/>
    </row>
    <row r="530" spans="1:4" x14ac:dyDescent="0.35">
      <c r="A530" s="406"/>
      <c r="B530" s="406"/>
      <c r="C530" s="406"/>
      <c r="D530" s="406"/>
    </row>
    <row r="531" spans="1:4" x14ac:dyDescent="0.35">
      <c r="A531" s="406"/>
      <c r="B531" s="406"/>
      <c r="C531" s="406"/>
      <c r="D531" s="406"/>
    </row>
    <row r="532" spans="1:4" x14ac:dyDescent="0.35">
      <c r="A532" s="406"/>
      <c r="B532" s="406"/>
      <c r="C532" s="406"/>
      <c r="D532" s="406"/>
    </row>
    <row r="533" spans="1:4" x14ac:dyDescent="0.35">
      <c r="A533" s="406"/>
      <c r="B533" s="406"/>
      <c r="C533" s="406"/>
      <c r="D533" s="406"/>
    </row>
    <row r="534" spans="1:4" x14ac:dyDescent="0.35">
      <c r="A534" s="406"/>
      <c r="B534" s="406"/>
      <c r="C534" s="406"/>
      <c r="D534" s="406"/>
    </row>
    <row r="535" spans="1:4" x14ac:dyDescent="0.35">
      <c r="A535" s="406"/>
      <c r="B535" s="406"/>
      <c r="C535" s="406"/>
      <c r="D535" s="406"/>
    </row>
    <row r="536" spans="1:4" x14ac:dyDescent="0.35">
      <c r="A536" s="406"/>
      <c r="B536" s="406"/>
      <c r="C536" s="406"/>
      <c r="D536" s="406"/>
    </row>
    <row r="537" spans="1:4" x14ac:dyDescent="0.35">
      <c r="A537" s="406"/>
      <c r="B537" s="406"/>
      <c r="C537" s="406"/>
      <c r="D537" s="406"/>
    </row>
    <row r="538" spans="1:4" x14ac:dyDescent="0.35">
      <c r="A538" s="406"/>
      <c r="B538" s="406"/>
      <c r="C538" s="406"/>
      <c r="D538" s="406"/>
    </row>
    <row r="539" spans="1:4" x14ac:dyDescent="0.35">
      <c r="A539" s="406"/>
      <c r="B539" s="406"/>
      <c r="C539" s="406"/>
      <c r="D539" s="406"/>
    </row>
    <row r="540" spans="1:4" x14ac:dyDescent="0.35">
      <c r="A540" s="406"/>
      <c r="B540" s="406"/>
      <c r="C540" s="406"/>
      <c r="D540" s="406"/>
    </row>
    <row r="541" spans="1:4" x14ac:dyDescent="0.35">
      <c r="A541" s="406"/>
      <c r="B541" s="406"/>
      <c r="C541" s="406"/>
      <c r="D541" s="406"/>
    </row>
    <row r="542" spans="1:4" x14ac:dyDescent="0.35">
      <c r="A542" s="406"/>
      <c r="B542" s="406"/>
      <c r="C542" s="406"/>
      <c r="D542" s="406"/>
    </row>
    <row r="543" spans="1:4" x14ac:dyDescent="0.35">
      <c r="A543" s="406"/>
      <c r="B543" s="406"/>
      <c r="C543" s="406"/>
      <c r="D543" s="406"/>
    </row>
    <row r="544" spans="1:4" x14ac:dyDescent="0.35">
      <c r="A544" s="406"/>
      <c r="B544" s="406"/>
      <c r="C544" s="406"/>
      <c r="D544" s="406"/>
    </row>
    <row r="545" spans="1:4" x14ac:dyDescent="0.35">
      <c r="A545" s="406"/>
      <c r="B545" s="406"/>
      <c r="C545" s="406"/>
      <c r="D545" s="406"/>
    </row>
    <row r="546" spans="1:4" x14ac:dyDescent="0.35">
      <c r="A546" s="406"/>
      <c r="B546" s="406"/>
      <c r="C546" s="406"/>
      <c r="D546" s="406"/>
    </row>
    <row r="547" spans="1:4" x14ac:dyDescent="0.35">
      <c r="A547" s="406"/>
      <c r="B547" s="406"/>
      <c r="C547" s="406"/>
      <c r="D547" s="406"/>
    </row>
    <row r="548" spans="1:4" x14ac:dyDescent="0.35">
      <c r="A548" s="406"/>
      <c r="B548" s="406"/>
      <c r="C548" s="406"/>
      <c r="D548" s="406"/>
    </row>
    <row r="549" spans="1:4" x14ac:dyDescent="0.35">
      <c r="A549" s="406"/>
      <c r="B549" s="406"/>
      <c r="C549" s="406"/>
      <c r="D549" s="406"/>
    </row>
    <row r="550" spans="1:4" x14ac:dyDescent="0.35">
      <c r="A550" s="406"/>
      <c r="B550" s="406"/>
      <c r="C550" s="406"/>
      <c r="D550" s="406"/>
    </row>
    <row r="551" spans="1:4" x14ac:dyDescent="0.35">
      <c r="A551" s="406"/>
      <c r="B551" s="406"/>
      <c r="C551" s="406"/>
      <c r="D551" s="406"/>
    </row>
    <row r="552" spans="1:4" x14ac:dyDescent="0.35">
      <c r="A552" s="406"/>
      <c r="B552" s="406"/>
      <c r="C552" s="406"/>
      <c r="D552" s="406"/>
    </row>
    <row r="553" spans="1:4" x14ac:dyDescent="0.35">
      <c r="A553" s="406"/>
      <c r="B553" s="406"/>
      <c r="C553" s="406"/>
      <c r="D553" s="406"/>
    </row>
    <row r="554" spans="1:4" x14ac:dyDescent="0.35">
      <c r="A554" s="406"/>
      <c r="B554" s="406"/>
      <c r="C554" s="406"/>
      <c r="D554" s="406"/>
    </row>
    <row r="555" spans="1:4" x14ac:dyDescent="0.35">
      <c r="A555" s="406"/>
      <c r="B555" s="406"/>
      <c r="C555" s="406"/>
      <c r="D555" s="406"/>
    </row>
    <row r="556" spans="1:4" x14ac:dyDescent="0.35">
      <c r="A556" s="406"/>
      <c r="B556" s="406"/>
      <c r="C556" s="406"/>
      <c r="D556" s="406"/>
    </row>
    <row r="557" spans="1:4" x14ac:dyDescent="0.35">
      <c r="A557" s="406"/>
      <c r="B557" s="406"/>
      <c r="C557" s="406"/>
      <c r="D557" s="406"/>
    </row>
    <row r="558" spans="1:4" x14ac:dyDescent="0.35">
      <c r="A558" s="406"/>
      <c r="B558" s="406"/>
      <c r="C558" s="406"/>
      <c r="D558" s="406"/>
    </row>
    <row r="559" spans="1:4" x14ac:dyDescent="0.35">
      <c r="A559" s="406"/>
      <c r="B559" s="406"/>
      <c r="C559" s="406"/>
      <c r="D559" s="406"/>
    </row>
    <row r="560" spans="1:4" x14ac:dyDescent="0.35">
      <c r="A560" s="406"/>
      <c r="B560" s="406"/>
      <c r="C560" s="406"/>
      <c r="D560" s="406"/>
    </row>
    <row r="561" spans="1:4" x14ac:dyDescent="0.35">
      <c r="A561" s="406"/>
      <c r="B561" s="406"/>
      <c r="C561" s="406"/>
      <c r="D561" s="406"/>
    </row>
    <row r="562" spans="1:4" x14ac:dyDescent="0.35">
      <c r="A562" s="406"/>
      <c r="B562" s="406"/>
      <c r="C562" s="406"/>
      <c r="D562" s="406"/>
    </row>
    <row r="563" spans="1:4" x14ac:dyDescent="0.35">
      <c r="A563" s="406"/>
      <c r="B563" s="406"/>
      <c r="C563" s="406"/>
      <c r="D563" s="406"/>
    </row>
    <row r="564" spans="1:4" x14ac:dyDescent="0.35">
      <c r="A564" s="406"/>
      <c r="B564" s="406"/>
      <c r="C564" s="406"/>
      <c r="D564" s="406"/>
    </row>
    <row r="565" spans="1:4" x14ac:dyDescent="0.35">
      <c r="A565" s="406"/>
      <c r="B565" s="406"/>
      <c r="C565" s="406"/>
      <c r="D565" s="406"/>
    </row>
    <row r="566" spans="1:4" x14ac:dyDescent="0.35">
      <c r="A566" s="406"/>
      <c r="B566" s="406"/>
      <c r="C566" s="406"/>
      <c r="D566" s="406"/>
    </row>
    <row r="567" spans="1:4" x14ac:dyDescent="0.35">
      <c r="A567" s="406"/>
      <c r="B567" s="406"/>
      <c r="C567" s="406"/>
      <c r="D567" s="406"/>
    </row>
    <row r="568" spans="1:4" x14ac:dyDescent="0.35">
      <c r="A568" s="406"/>
      <c r="B568" s="406"/>
      <c r="C568" s="406"/>
      <c r="D568" s="406"/>
    </row>
    <row r="569" spans="1:4" x14ac:dyDescent="0.35">
      <c r="A569" s="406"/>
      <c r="B569" s="406"/>
      <c r="C569" s="406"/>
      <c r="D569" s="406"/>
    </row>
    <row r="570" spans="1:4" x14ac:dyDescent="0.35">
      <c r="A570" s="406"/>
      <c r="B570" s="406"/>
      <c r="C570" s="406"/>
      <c r="D570" s="406"/>
    </row>
    <row r="571" spans="1:4" x14ac:dyDescent="0.35">
      <c r="A571" s="406"/>
      <c r="B571" s="406"/>
      <c r="C571" s="406"/>
      <c r="D571" s="406"/>
    </row>
    <row r="572" spans="1:4" x14ac:dyDescent="0.35">
      <c r="A572" s="406"/>
      <c r="B572" s="406"/>
      <c r="C572" s="406"/>
      <c r="D572" s="406"/>
    </row>
    <row r="573" spans="1:4" x14ac:dyDescent="0.35">
      <c r="A573" s="406"/>
      <c r="B573" s="406"/>
      <c r="C573" s="406"/>
      <c r="D573" s="406"/>
    </row>
    <row r="574" spans="1:4" x14ac:dyDescent="0.35">
      <c r="A574" s="406"/>
      <c r="B574" s="406"/>
      <c r="C574" s="406"/>
      <c r="D574" s="406"/>
    </row>
    <row r="575" spans="1:4" x14ac:dyDescent="0.35">
      <c r="A575" s="406"/>
      <c r="B575" s="406"/>
      <c r="C575" s="406"/>
      <c r="D575" s="406"/>
    </row>
    <row r="576" spans="1:4" x14ac:dyDescent="0.35">
      <c r="A576" s="406"/>
      <c r="B576" s="406"/>
      <c r="C576" s="406"/>
      <c r="D576" s="406"/>
    </row>
    <row r="577" spans="1:4" x14ac:dyDescent="0.35">
      <c r="A577" s="406"/>
      <c r="B577" s="406"/>
      <c r="C577" s="406"/>
      <c r="D577" s="406"/>
    </row>
    <row r="578" spans="1:4" x14ac:dyDescent="0.35">
      <c r="A578" s="406"/>
      <c r="B578" s="406"/>
      <c r="C578" s="406"/>
      <c r="D578" s="406"/>
    </row>
    <row r="579" spans="1:4" x14ac:dyDescent="0.35">
      <c r="A579" s="406"/>
      <c r="B579" s="406"/>
      <c r="C579" s="406"/>
      <c r="D579" s="406"/>
    </row>
    <row r="580" spans="1:4" x14ac:dyDescent="0.35">
      <c r="A580" s="406"/>
      <c r="B580" s="406"/>
      <c r="C580" s="406"/>
      <c r="D580" s="406"/>
    </row>
    <row r="581" spans="1:4" x14ac:dyDescent="0.35">
      <c r="A581" s="406"/>
      <c r="B581" s="406"/>
      <c r="C581" s="406"/>
      <c r="D581" s="406"/>
    </row>
    <row r="582" spans="1:4" x14ac:dyDescent="0.35">
      <c r="A582" s="406"/>
      <c r="B582" s="406"/>
      <c r="C582" s="406"/>
      <c r="D582" s="406"/>
    </row>
    <row r="583" spans="1:4" x14ac:dyDescent="0.35">
      <c r="A583" s="406"/>
      <c r="B583" s="406"/>
      <c r="C583" s="406"/>
      <c r="D583" s="406"/>
    </row>
    <row r="584" spans="1:4" x14ac:dyDescent="0.35">
      <c r="A584" s="406"/>
      <c r="B584" s="406"/>
      <c r="C584" s="406"/>
      <c r="D584" s="406"/>
    </row>
    <row r="585" spans="1:4" x14ac:dyDescent="0.35">
      <c r="A585" s="406"/>
      <c r="B585" s="406"/>
      <c r="C585" s="406"/>
      <c r="D585" s="406"/>
    </row>
    <row r="586" spans="1:4" x14ac:dyDescent="0.35">
      <c r="A586" s="406"/>
      <c r="B586" s="406"/>
      <c r="C586" s="406"/>
      <c r="D586" s="406"/>
    </row>
    <row r="587" spans="1:4" x14ac:dyDescent="0.35">
      <c r="A587" s="406"/>
      <c r="B587" s="406"/>
      <c r="C587" s="406"/>
      <c r="D587" s="406"/>
    </row>
    <row r="588" spans="1:4" x14ac:dyDescent="0.35">
      <c r="A588" s="406"/>
      <c r="B588" s="406"/>
      <c r="C588" s="406"/>
      <c r="D588" s="406"/>
    </row>
    <row r="589" spans="1:4" x14ac:dyDescent="0.35">
      <c r="A589" s="406"/>
      <c r="B589" s="406"/>
      <c r="C589" s="406"/>
      <c r="D589" s="406"/>
    </row>
    <row r="590" spans="1:4" x14ac:dyDescent="0.35">
      <c r="A590" s="406"/>
      <c r="B590" s="406"/>
      <c r="C590" s="406"/>
      <c r="D590" s="406"/>
    </row>
    <row r="591" spans="1:4" x14ac:dyDescent="0.35">
      <c r="A591" s="406"/>
      <c r="B591" s="406"/>
      <c r="C591" s="406"/>
      <c r="D591" s="406"/>
    </row>
    <row r="592" spans="1:4" x14ac:dyDescent="0.35">
      <c r="A592" s="406"/>
      <c r="B592" s="406"/>
      <c r="C592" s="406"/>
      <c r="D592" s="406"/>
    </row>
    <row r="593" spans="1:4" x14ac:dyDescent="0.35">
      <c r="A593" s="406"/>
      <c r="B593" s="406"/>
      <c r="C593" s="406"/>
      <c r="D593" s="406"/>
    </row>
    <row r="594" spans="1:4" x14ac:dyDescent="0.35">
      <c r="A594" s="406"/>
      <c r="B594" s="406"/>
      <c r="C594" s="406"/>
      <c r="D594" s="406"/>
    </row>
  </sheetData>
  <autoFilter ref="A29:AB486"/>
  <mergeCells count="35">
    <mergeCell ref="Y7:Y8"/>
    <mergeCell ref="Z7:Z8"/>
    <mergeCell ref="W7:W8"/>
    <mergeCell ref="X7:X8"/>
    <mergeCell ref="Q6:Q8"/>
    <mergeCell ref="Y6:Z6"/>
    <mergeCell ref="U7:U8"/>
    <mergeCell ref="V7:V8"/>
    <mergeCell ref="T7:T8"/>
    <mergeCell ref="A2:Z2"/>
    <mergeCell ref="A3:Z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W6:X6"/>
    <mergeCell ref="W5:Z5"/>
    <mergeCell ref="I6:I8"/>
    <mergeCell ref="H5:H8"/>
    <mergeCell ref="O6:O8"/>
    <mergeCell ref="P6:P8"/>
    <mergeCell ref="S5:V5"/>
    <mergeCell ref="U6:V6"/>
    <mergeCell ref="J6:J8"/>
    <mergeCell ref="K6:K8"/>
    <mergeCell ref="S7:S8"/>
    <mergeCell ref="L6:L8"/>
    <mergeCell ref="M6:M8"/>
  </mergeCells>
  <phoneticPr fontId="0" type="noConversion"/>
  <printOptions horizontalCentered="1"/>
  <pageMargins left="0.39370078740157483" right="0.39370078740157483" top="0.78740157480314965" bottom="0.39370078740157483" header="0.51181102362204722" footer="0.19685039370078741"/>
  <pageSetup paperSize="9" scale="56" fitToHeight="0" orientation="landscape" r:id="rId1"/>
  <headerFooter alignWithMargins="0">
    <oddFooter>&amp;L&amp;"Times New Roman,обычный"&amp;10Мстиславское ДРСУ-174&amp;R&amp;"Times New Roman,обычный"&amp;10&amp;P</oddFooter>
  </headerFooter>
  <rowBreaks count="12" manualBreakCount="12">
    <brk id="40" max="24" man="1"/>
    <brk id="67" max="24" man="1"/>
    <brk id="129" max="24" man="1"/>
    <brk id="156" max="24" man="1"/>
    <brk id="187" max="24" man="1"/>
    <brk id="215" max="24" man="1"/>
    <brk id="250" max="24" man="1"/>
    <brk id="289" max="24" man="1"/>
    <brk id="347" max="24" man="1"/>
    <brk id="388" max="24" man="1"/>
    <brk id="419" max="24" man="1"/>
    <brk id="460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M340"/>
  <sheetViews>
    <sheetView zoomScale="90" zoomScaleNormal="90" workbookViewId="0">
      <pane xSplit="5" ySplit="10" topLeftCell="F14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9.75" defaultRowHeight="15.5" x14ac:dyDescent="0.35"/>
  <cols>
    <col min="1" max="1" width="4.4140625" style="5" customWidth="1"/>
    <col min="2" max="3" width="7.25" style="5" hidden="1" customWidth="1"/>
    <col min="4" max="4" width="7.25" style="5" customWidth="1"/>
    <col min="5" max="5" width="43.4140625" style="3" customWidth="1"/>
    <col min="6" max="6" width="6.75" style="5" customWidth="1"/>
    <col min="7" max="10" width="7.25" style="5" customWidth="1"/>
    <col min="11" max="13" width="6.58203125" style="5" customWidth="1"/>
    <col min="14" max="14" width="7.33203125" style="5" customWidth="1"/>
    <col min="15" max="16" width="6.6640625" style="5" customWidth="1"/>
    <col min="17" max="17" width="7.08203125" style="5" customWidth="1"/>
    <col min="18" max="18" width="7.25" style="5" customWidth="1"/>
    <col min="19" max="19" width="4.58203125" style="5" customWidth="1"/>
    <col min="20" max="20" width="7.25" style="5" customWidth="1"/>
    <col min="21" max="21" width="4.4140625" style="5" customWidth="1"/>
    <col min="22" max="22" width="5.75" style="5" customWidth="1"/>
    <col min="23" max="23" width="4.58203125" style="5" customWidth="1"/>
    <col min="24" max="24" width="7.6640625" style="5" customWidth="1"/>
    <col min="25" max="25" width="4.58203125" style="5" customWidth="1"/>
    <col min="26" max="26" width="7.75" style="5" customWidth="1"/>
    <col min="27" max="36" width="9.75" style="3"/>
    <col min="37" max="37" width="21.4140625" style="3" customWidth="1"/>
    <col min="38" max="16384" width="9.75" style="3"/>
  </cols>
  <sheetData>
    <row r="1" spans="1:39" x14ac:dyDescent="0.35">
      <c r="N1" s="2312"/>
      <c r="Q1" s="2312"/>
      <c r="T1" s="2061"/>
    </row>
    <row r="2" spans="1:39" ht="20" x14ac:dyDescent="0.4">
      <c r="A2" s="3123" t="s">
        <v>10630</v>
      </c>
      <c r="B2" s="3123"/>
      <c r="C2" s="3123"/>
      <c r="D2" s="3123"/>
      <c r="E2" s="3123"/>
      <c r="F2" s="3123"/>
      <c r="G2" s="3123"/>
      <c r="H2" s="3123"/>
      <c r="I2" s="3123"/>
      <c r="J2" s="3123"/>
      <c r="K2" s="3123"/>
      <c r="L2" s="3123"/>
      <c r="M2" s="3123"/>
      <c r="N2" s="3123"/>
      <c r="O2" s="3123"/>
      <c r="P2" s="3123"/>
      <c r="Q2" s="3123"/>
      <c r="R2" s="3123"/>
      <c r="S2" s="3123"/>
      <c r="T2" s="3123"/>
      <c r="U2" s="3123"/>
      <c r="V2" s="3123"/>
      <c r="W2" s="3123"/>
      <c r="X2" s="3123"/>
      <c r="Y2" s="3123"/>
      <c r="Z2" s="3123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J4" s="2312"/>
      <c r="P4" s="2056"/>
      <c r="Q4" s="2312"/>
      <c r="W4" s="3124"/>
      <c r="X4" s="3124"/>
      <c r="Y4" s="3124"/>
      <c r="Z4" s="3124"/>
    </row>
    <row r="5" spans="1:39" ht="15.7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3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" thickBot="1" x14ac:dyDescent="0.4">
      <c r="A10" s="1459"/>
      <c r="B10" s="472"/>
      <c r="C10" s="472"/>
      <c r="D10" s="472"/>
      <c r="E10" s="1207" t="s">
        <v>2392</v>
      </c>
      <c r="F10" s="472"/>
      <c r="G10" s="472"/>
      <c r="H10" s="472"/>
      <c r="I10" s="845">
        <f>J10+K10+L10</f>
        <v>534.20400000000006</v>
      </c>
      <c r="J10" s="845">
        <f>M10+N10+O10+P10+Q10+R10</f>
        <v>530.74199999999996</v>
      </c>
      <c r="K10" s="845">
        <f t="shared" ref="K10:R10" si="0">K11+K12+K13+K14</f>
        <v>2.0170000000000003</v>
      </c>
      <c r="L10" s="845">
        <f t="shared" si="0"/>
        <v>1.4449999999999994</v>
      </c>
      <c r="M10" s="1382">
        <f t="shared" si="0"/>
        <v>2.7999999999999581E-2</v>
      </c>
      <c r="N10" s="845">
        <f t="shared" si="0"/>
        <v>207.05199999999999</v>
      </c>
      <c r="O10" s="849">
        <f t="shared" si="0"/>
        <v>0</v>
      </c>
      <c r="P10" s="2315">
        <f t="shared" si="0"/>
        <v>0</v>
      </c>
      <c r="Q10" s="858">
        <f t="shared" si="0"/>
        <v>210.81699999999998</v>
      </c>
      <c r="R10" s="868">
        <f t="shared" si="0"/>
        <v>112.84499999999998</v>
      </c>
      <c r="S10" s="472">
        <f>SUM(S30:S952)</f>
        <v>13</v>
      </c>
      <c r="T10" s="1460">
        <f t="shared" ref="T10:Z10" si="1">SUM(T30:T952)</f>
        <v>533.45000000000005</v>
      </c>
      <c r="U10" s="472">
        <f t="shared" si="1"/>
        <v>0</v>
      </c>
      <c r="V10" s="1460">
        <f t="shared" si="1"/>
        <v>0</v>
      </c>
      <c r="W10" s="472">
        <f t="shared" si="1"/>
        <v>577</v>
      </c>
      <c r="X10" s="1460">
        <f t="shared" si="1"/>
        <v>7674.2099999999991</v>
      </c>
      <c r="Y10" s="472">
        <f t="shared" si="1"/>
        <v>161</v>
      </c>
      <c r="Z10" s="1609">
        <f t="shared" si="1"/>
        <v>1810.98</v>
      </c>
      <c r="AB10" s="472">
        <f>SUM(AB30:AB363)</f>
        <v>147</v>
      </c>
      <c r="AK10" s="2150" t="s">
        <v>11226</v>
      </c>
      <c r="AL10" s="43"/>
      <c r="AM10" s="2812" t="s">
        <v>11227</v>
      </c>
    </row>
    <row r="11" spans="1:39" x14ac:dyDescent="0.35">
      <c r="A11" s="187"/>
      <c r="B11" s="1033"/>
      <c r="C11" s="1033"/>
      <c r="D11" s="184"/>
      <c r="E11" s="1264" t="s">
        <v>909</v>
      </c>
      <c r="F11" s="1245">
        <v>3</v>
      </c>
      <c r="G11" s="1245"/>
      <c r="H11" s="1245"/>
      <c r="I11" s="1276"/>
      <c r="J11" s="1276"/>
      <c r="K11" s="1276"/>
      <c r="L11" s="1276"/>
      <c r="M11" s="1276"/>
      <c r="N11" s="1276"/>
      <c r="O11" s="1276"/>
      <c r="P11" s="1476"/>
      <c r="Q11" s="1278"/>
      <c r="R11" s="1279"/>
      <c r="S11" s="184"/>
      <c r="T11" s="261"/>
      <c r="U11" s="184"/>
      <c r="V11" s="184"/>
      <c r="W11" s="184"/>
      <c r="X11" s="271"/>
      <c r="Y11" s="184"/>
      <c r="Z11" s="272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78.382999999999996</v>
      </c>
      <c r="AM11" s="2814">
        <f>AL11-J18</f>
        <v>0</v>
      </c>
    </row>
    <row r="12" spans="1:39" x14ac:dyDescent="0.35">
      <c r="A12" s="273"/>
      <c r="B12" s="1034"/>
      <c r="C12" s="1034"/>
      <c r="D12" s="98"/>
      <c r="E12" s="640"/>
      <c r="F12" s="1249">
        <v>4</v>
      </c>
      <c r="G12" s="1249"/>
      <c r="H12" s="1249"/>
      <c r="I12" s="1281">
        <f t="shared" ref="I12:I20" si="2">J12+K12+L12</f>
        <v>264.82800000000003</v>
      </c>
      <c r="J12" s="1250">
        <f t="shared" ref="J12:J20" si="3">R12+Q12+P12+O12+N12+M12</f>
        <v>261.43200000000002</v>
      </c>
      <c r="K12" s="1281">
        <f>SUMIF(F30:F904,4,K30:K904)</f>
        <v>2.0170000000000003</v>
      </c>
      <c r="L12" s="1281">
        <f>SUMIF(F30:F904,4,L30:L904)</f>
        <v>1.3789999999999993</v>
      </c>
      <c r="M12" s="1281">
        <f>SUMIF(F30:F904,4,M30:M904)</f>
        <v>0</v>
      </c>
      <c r="N12" s="1281">
        <f>SUMIF(F30:F904,4,N30:N904)</f>
        <v>177.42699999999999</v>
      </c>
      <c r="O12" s="1281">
        <f>SUMIF(F30:F904,4,O30:O904)</f>
        <v>0</v>
      </c>
      <c r="P12" s="1477">
        <f>SUMIF(F30:F904,4,P30:P904)</f>
        <v>0</v>
      </c>
      <c r="Q12" s="1283">
        <f>SUMIF(F30:F904,4,Q30:Q904)</f>
        <v>84.004999999999995</v>
      </c>
      <c r="R12" s="1284">
        <f>SUMIF(F30:F904,4,R30:R904)</f>
        <v>0</v>
      </c>
      <c r="S12" s="98"/>
      <c r="T12" s="275"/>
      <c r="U12" s="98"/>
      <c r="V12" s="98"/>
      <c r="W12" s="98"/>
      <c r="X12" s="136"/>
      <c r="Y12" s="98"/>
      <c r="Z12" s="276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273"/>
      <c r="B13" s="1034"/>
      <c r="C13" s="1034"/>
      <c r="D13" s="98"/>
      <c r="E13" s="640"/>
      <c r="F13" s="1249">
        <v>5</v>
      </c>
      <c r="G13" s="1249"/>
      <c r="H13" s="1249"/>
      <c r="I13" s="1281">
        <f t="shared" si="2"/>
        <v>119.78999999999998</v>
      </c>
      <c r="J13" s="1250">
        <f t="shared" si="3"/>
        <v>119.78999999999998</v>
      </c>
      <c r="K13" s="1281">
        <f>SUMIF(F30:F904,5,K30:K904)</f>
        <v>0</v>
      </c>
      <c r="L13" s="1281">
        <f>SUMIF(F30:F904,5,L30:L904)</f>
        <v>0</v>
      </c>
      <c r="M13" s="1281">
        <f>SUMIF(F30:F904,5,M30:M904)</f>
        <v>0</v>
      </c>
      <c r="N13" s="1281">
        <f>SUMIF(F30:F904,5,N30:N904)</f>
        <v>21.764999999999997</v>
      </c>
      <c r="O13" s="1281">
        <f>SUMIF(F30:F904,5,O30:O904)</f>
        <v>0</v>
      </c>
      <c r="P13" s="1477">
        <f>SUMIF(F30:F904,5,P30:P904)</f>
        <v>0</v>
      </c>
      <c r="Q13" s="1283">
        <f>SUMIF(F30:F904,5,Q30:Q904)</f>
        <v>94.60599999999998</v>
      </c>
      <c r="R13" s="1284">
        <f>SUMIF(F30:F904,5,R30:R904)</f>
        <v>3.4189999999999996</v>
      </c>
      <c r="S13" s="98"/>
      <c r="T13" s="275"/>
      <c r="U13" s="98"/>
      <c r="V13" s="98"/>
      <c r="W13" s="98"/>
      <c r="X13" s="136"/>
      <c r="Y13" s="98"/>
      <c r="Z13" s="276"/>
      <c r="AD13" s="2777" t="s">
        <v>11126</v>
      </c>
      <c r="AE13" s="2776"/>
      <c r="AF13" s="2778">
        <v>79</v>
      </c>
      <c r="AG13" s="2783">
        <f>M12+N12+O12</f>
        <v>177.42699999999999</v>
      </c>
      <c r="AH13" s="2783">
        <f>M13+N13+O13</f>
        <v>21.764999999999997</v>
      </c>
      <c r="AI13" s="2784">
        <f>M14+N14+O14</f>
        <v>7.8880000000000008</v>
      </c>
      <c r="AK13" s="2818" t="s">
        <v>7184</v>
      </c>
      <c r="AL13" s="2819">
        <f>AL14+AL15+AL16+AL17+AL18</f>
        <v>78.382999999999996</v>
      </c>
      <c r="AM13" s="2820">
        <f>AL13-AF29</f>
        <v>0</v>
      </c>
    </row>
    <row r="14" spans="1:39" x14ac:dyDescent="0.35">
      <c r="A14" s="273"/>
      <c r="B14" s="1034"/>
      <c r="C14" s="1034"/>
      <c r="D14" s="98"/>
      <c r="E14" s="640"/>
      <c r="F14" s="1249" t="s">
        <v>448</v>
      </c>
      <c r="G14" s="1249"/>
      <c r="H14" s="1249"/>
      <c r="I14" s="1250">
        <f t="shared" si="2"/>
        <v>149.58599999999998</v>
      </c>
      <c r="J14" s="1250">
        <f t="shared" si="3"/>
        <v>149.51999999999998</v>
      </c>
      <c r="K14" s="1250">
        <f>K15+K16+K17</f>
        <v>0</v>
      </c>
      <c r="L14" s="1250">
        <f>L15+L16+L17</f>
        <v>6.6000000000000003E-2</v>
      </c>
      <c r="M14" s="1250">
        <f t="shared" ref="M14:R14" si="4">M15+M16+M17</f>
        <v>2.7999999999999581E-2</v>
      </c>
      <c r="N14" s="1250">
        <f t="shared" si="4"/>
        <v>7.8600000000000012</v>
      </c>
      <c r="O14" s="1251">
        <f t="shared" si="4"/>
        <v>0</v>
      </c>
      <c r="P14" s="1317">
        <f t="shared" si="4"/>
        <v>0</v>
      </c>
      <c r="Q14" s="1252">
        <f t="shared" si="4"/>
        <v>32.205999999999996</v>
      </c>
      <c r="R14" s="1256">
        <f t="shared" si="4"/>
        <v>109.42599999999999</v>
      </c>
      <c r="S14" s="98"/>
      <c r="T14" s="275"/>
      <c r="U14" s="98"/>
      <c r="V14" s="98"/>
      <c r="W14" s="98"/>
      <c r="X14" s="136"/>
      <c r="Y14" s="98"/>
      <c r="Z14" s="276"/>
      <c r="AD14" s="2777" t="s">
        <v>11127</v>
      </c>
      <c r="AE14" s="2776"/>
      <c r="AF14" s="2778">
        <v>80</v>
      </c>
      <c r="AG14" s="2785">
        <f>P12+Q12</f>
        <v>84.004999999999995</v>
      </c>
      <c r="AH14" s="2785">
        <f>P13+Q13</f>
        <v>94.60599999999998</v>
      </c>
      <c r="AI14" s="2786">
        <f>P14+Q14</f>
        <v>32.205999999999996</v>
      </c>
      <c r="AK14" s="2815" t="s">
        <v>11230</v>
      </c>
      <c r="AL14" s="2579">
        <f>SUMIFS(M30:M950,F30:F950,4,G30:G950,3)</f>
        <v>0</v>
      </c>
      <c r="AM14" s="2817"/>
    </row>
    <row r="15" spans="1:39" x14ac:dyDescent="0.35">
      <c r="A15" s="273"/>
      <c r="B15" s="1034"/>
      <c r="C15" s="1034"/>
      <c r="D15" s="98"/>
      <c r="E15" s="640"/>
      <c r="F15" s="1253" t="s">
        <v>827</v>
      </c>
      <c r="G15" s="1249"/>
      <c r="H15" s="1249"/>
      <c r="I15" s="1318">
        <f t="shared" si="2"/>
        <v>72.328000000000003</v>
      </c>
      <c r="J15" s="1318">
        <f t="shared" si="3"/>
        <v>72.262</v>
      </c>
      <c r="K15" s="1318">
        <f>SUMIF(F30:F946,"=6а",K30:K946)</f>
        <v>0</v>
      </c>
      <c r="L15" s="1318">
        <f>SUMIF(F30:F946,"=6а",L30:L946)</f>
        <v>6.6000000000000003E-2</v>
      </c>
      <c r="M15" s="1318">
        <f>SUMIF(F30:F946,"=6а",M30:M946)</f>
        <v>2.7999999999999581E-2</v>
      </c>
      <c r="N15" s="1318">
        <f>SUMIF(F30:F946,"=6а",N30:N946)</f>
        <v>5.0060000000000002</v>
      </c>
      <c r="O15" s="1319">
        <f>SUMIF(F30:F946,"=6а",O30:O946)</f>
        <v>0</v>
      </c>
      <c r="P15" s="1320">
        <f>SUMIF(F30:F946,"=6а",P30:P946)</f>
        <v>0</v>
      </c>
      <c r="Q15" s="1321">
        <f>SUMIF(F30:F946,"=6а",Q30:Q946)</f>
        <v>25.266999999999999</v>
      </c>
      <c r="R15" s="1322">
        <f>SUMIF(F30:F946,"=6а",R30:R946)</f>
        <v>41.960999999999999</v>
      </c>
      <c r="S15" s="98"/>
      <c r="T15" s="275"/>
      <c r="U15" s="98"/>
      <c r="V15" s="98"/>
      <c r="W15" s="98"/>
      <c r="X15" s="136"/>
      <c r="Y15" s="98"/>
      <c r="Z15" s="276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3.4189999999999996</v>
      </c>
      <c r="AI15" s="2788">
        <f>R14</f>
        <v>109.42599999999999</v>
      </c>
      <c r="AK15" s="2815" t="s">
        <v>11231</v>
      </c>
      <c r="AL15" s="2579">
        <f>SUMIFS(N30:N950,F30:F950,4,G30:G950,3)</f>
        <v>78.382999999999996</v>
      </c>
      <c r="AM15" s="2817"/>
    </row>
    <row r="16" spans="1:39" x14ac:dyDescent="0.35">
      <c r="A16" s="273"/>
      <c r="B16" s="1034"/>
      <c r="C16" s="1034"/>
      <c r="D16" s="98"/>
      <c r="E16" s="1265"/>
      <c r="F16" s="1254" t="s">
        <v>1490</v>
      </c>
      <c r="G16" s="1249"/>
      <c r="H16" s="1249"/>
      <c r="I16" s="1318">
        <f t="shared" si="2"/>
        <v>30.137999999999998</v>
      </c>
      <c r="J16" s="1318">
        <f t="shared" si="3"/>
        <v>30.137999999999998</v>
      </c>
      <c r="K16" s="1318">
        <f>SUMIF(F30:F947,"=6б",K30:K947)</f>
        <v>0</v>
      </c>
      <c r="L16" s="1318">
        <f>SUMIF(F30:F947,"=6б",L30:L947)</f>
        <v>0</v>
      </c>
      <c r="M16" s="1318">
        <f>SUMIF(F30:F947,"=6б",M30:M947)</f>
        <v>0</v>
      </c>
      <c r="N16" s="1318">
        <f>SUMIF(F30:F947,"=6б",N30:N947)</f>
        <v>2.8540000000000005</v>
      </c>
      <c r="O16" s="1319">
        <f>SUMIF(F30:F947,"=6б",O30:O947)</f>
        <v>0</v>
      </c>
      <c r="P16" s="1320">
        <f>SUMIF(F30:F947,"=6б",P30:P947)</f>
        <v>0</v>
      </c>
      <c r="Q16" s="1321">
        <f>SUMIF(F30:F947,"=6б",Q30:Q947)</f>
        <v>6.9389999999999992</v>
      </c>
      <c r="R16" s="1322">
        <f>SUMIF(F30:F947,"=6б",R30:R947)</f>
        <v>20.344999999999999</v>
      </c>
      <c r="S16" s="98"/>
      <c r="T16" s="275"/>
      <c r="U16" s="98"/>
      <c r="V16" s="98"/>
      <c r="W16" s="98"/>
      <c r="X16" s="136"/>
      <c r="Y16" s="98"/>
      <c r="Z16" s="276"/>
      <c r="AK16" s="2815" t="s">
        <v>11232</v>
      </c>
      <c r="AL16" s="2579">
        <f>SUMIFS(O30:O950,F30:F950,4,G30:G950,3)</f>
        <v>0</v>
      </c>
      <c r="AM16" s="2817"/>
    </row>
    <row r="17" spans="1:39" x14ac:dyDescent="0.35">
      <c r="A17" s="273"/>
      <c r="B17" s="1034"/>
      <c r="C17" s="1034"/>
      <c r="D17" s="98"/>
      <c r="E17" s="1265"/>
      <c r="F17" s="2271" t="s">
        <v>449</v>
      </c>
      <c r="G17" s="1249"/>
      <c r="H17" s="1249"/>
      <c r="I17" s="2272">
        <f t="shared" si="2"/>
        <v>47.12</v>
      </c>
      <c r="J17" s="2272">
        <f t="shared" si="3"/>
        <v>47.12</v>
      </c>
      <c r="K17" s="2272">
        <f>SUMIF(F30:F948,"=б/к",K30:K948)</f>
        <v>0</v>
      </c>
      <c r="L17" s="2272">
        <f>SUMIF(F30:F948,"=б/к",L30:L948)</f>
        <v>0</v>
      </c>
      <c r="M17" s="2272">
        <f>SUMIF(F30:F948,"=б/к",M30:M948)</f>
        <v>0</v>
      </c>
      <c r="N17" s="2272">
        <f>SUMIF(F30:F948,"=б/к",N30:N948)</f>
        <v>0</v>
      </c>
      <c r="O17" s="2272">
        <f>SUMIF(F30:F948,"=б/к",O30:O948)</f>
        <v>0</v>
      </c>
      <c r="P17" s="2272">
        <f>SUMIF(F30:F948,"=б/к",P30:P948)</f>
        <v>0</v>
      </c>
      <c r="Q17" s="2273">
        <f>SUMIF(F30:F948,"=б/к",Q30:Q948)</f>
        <v>0</v>
      </c>
      <c r="R17" s="2274">
        <f>SUMIF(F30:F948,"=б/к",R30:R948)</f>
        <v>47.12</v>
      </c>
      <c r="S17" s="98"/>
      <c r="T17" s="275"/>
      <c r="U17" s="98"/>
      <c r="V17" s="98"/>
      <c r="W17" s="98"/>
      <c r="X17" s="136"/>
      <c r="Y17" s="98"/>
      <c r="Z17" s="276"/>
      <c r="AK17" s="2815" t="s">
        <v>11233</v>
      </c>
      <c r="AL17" s="2579">
        <f>SUMIFS(P30:P950,F30:F950,4,G30:G950,3)+SUMIFS(Q30:Q950,F30:F950,4,G30:G950,3)</f>
        <v>0</v>
      </c>
      <c r="AM17" s="2817"/>
    </row>
    <row r="18" spans="1:39" x14ac:dyDescent="0.35">
      <c r="A18" s="273"/>
      <c r="B18" s="1034"/>
      <c r="C18" s="1034"/>
      <c r="D18" s="98"/>
      <c r="E18" s="1266"/>
      <c r="F18" s="1266" t="s">
        <v>3303</v>
      </c>
      <c r="G18" s="1241">
        <v>3</v>
      </c>
      <c r="H18" s="1241"/>
      <c r="I18" s="1286">
        <f t="shared" si="2"/>
        <v>80.399999999999991</v>
      </c>
      <c r="J18" s="1286">
        <f t="shared" si="3"/>
        <v>78.382999999999996</v>
      </c>
      <c r="K18" s="1286">
        <f>SUMIF(G30:G904,3,K30:K904)</f>
        <v>2.0170000000000003</v>
      </c>
      <c r="L18" s="1286">
        <f>SUMIF(G30:G904,3,L30:L904)</f>
        <v>0</v>
      </c>
      <c r="M18" s="1286">
        <f>SUMIF(G30:G904,3,M30:M904)</f>
        <v>0</v>
      </c>
      <c r="N18" s="1286">
        <f>SUMIF(G30:G904,3,N30:N904)</f>
        <v>78.382999999999996</v>
      </c>
      <c r="O18" s="1286">
        <f>SUMIF(G30:G904,3,O30:O904)</f>
        <v>0</v>
      </c>
      <c r="P18" s="1478">
        <f>SUMIF(G30:G904,3,P30:P904)</f>
        <v>0</v>
      </c>
      <c r="Q18" s="1288">
        <f>SUMIF(G30:G904,3,Q30:Q904)</f>
        <v>0</v>
      </c>
      <c r="R18" s="1289">
        <f>SUMIF(G30:G904,3,R30:R904)</f>
        <v>0</v>
      </c>
      <c r="S18" s="98"/>
      <c r="T18" s="275"/>
      <c r="U18" s="98"/>
      <c r="V18" s="98"/>
      <c r="W18" s="98"/>
      <c r="X18" s="136"/>
      <c r="Y18" s="98"/>
      <c r="Z18" s="276"/>
      <c r="AK18" s="2815" t="s">
        <v>910</v>
      </c>
      <c r="AL18" s="2579">
        <f>SUMIFS(R30:R950,F30:F950,4,G30:G950,3)</f>
        <v>0</v>
      </c>
      <c r="AM18" s="2817"/>
    </row>
    <row r="19" spans="1:39" x14ac:dyDescent="0.35">
      <c r="A19" s="273"/>
      <c r="B19" s="1034"/>
      <c r="C19" s="1034"/>
      <c r="D19" s="98"/>
      <c r="E19" s="98"/>
      <c r="F19" s="1240"/>
      <c r="G19" s="1241">
        <v>4</v>
      </c>
      <c r="H19" s="1241"/>
      <c r="I19" s="1286">
        <f t="shared" si="2"/>
        <v>249.33500000000004</v>
      </c>
      <c r="J19" s="1286">
        <f t="shared" si="3"/>
        <v>248.18000000000004</v>
      </c>
      <c r="K19" s="1286">
        <f>SUMIF(G30:G904,4,K30:K904)</f>
        <v>0</v>
      </c>
      <c r="L19" s="1286">
        <f>SUMIF(G30:G904,4,L30:L904)</f>
        <v>1.1549999999999994</v>
      </c>
      <c r="M19" s="1286">
        <f>SUMIF(G30:G904,4,M30:M904)</f>
        <v>0</v>
      </c>
      <c r="N19" s="1286">
        <f>SUMIF(G30:G904,4,N30:N904)</f>
        <v>102.35500000000002</v>
      </c>
      <c r="O19" s="1286">
        <f>SUMIF(G30:G904,4,O30:O904)</f>
        <v>0</v>
      </c>
      <c r="P19" s="1478">
        <f>SUMIF(G30:G904,4,P30:P904)</f>
        <v>0</v>
      </c>
      <c r="Q19" s="1288">
        <f>SUMIF(G30:G904,4,Q30:Q904)</f>
        <v>139.82900000000001</v>
      </c>
      <c r="R19" s="1289">
        <f>SUMIF(G30:G904,4,R30:R904)</f>
        <v>5.9960000000000004</v>
      </c>
      <c r="S19" s="98"/>
      <c r="T19" s="275"/>
      <c r="U19" s="98"/>
      <c r="V19" s="98"/>
      <c r="W19" s="98"/>
      <c r="X19" s="136"/>
      <c r="Y19" s="98"/>
      <c r="Z19" s="276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273"/>
      <c r="B20" s="1034"/>
      <c r="C20" s="1034"/>
      <c r="D20" s="98"/>
      <c r="E20" s="98"/>
      <c r="F20" s="1240"/>
      <c r="G20" s="1241">
        <v>5</v>
      </c>
      <c r="H20" s="1241"/>
      <c r="I20" s="1286">
        <f t="shared" si="2"/>
        <v>204.46899999999997</v>
      </c>
      <c r="J20" s="1286">
        <f t="shared" si="3"/>
        <v>204.17899999999997</v>
      </c>
      <c r="K20" s="1286">
        <f>SUMIF(G30:G904,5,K30:K904)</f>
        <v>0</v>
      </c>
      <c r="L20" s="1286">
        <f>SUMIF(G30:G904,5,L30:L904)</f>
        <v>0.28999999999999998</v>
      </c>
      <c r="M20" s="1286">
        <f>SUMIF(G30:G904,5,M30:M904)</f>
        <v>2.7999999999999581E-2</v>
      </c>
      <c r="N20" s="1286">
        <f>SUMIF(G30:G904,5,N30:N904)</f>
        <v>26.313999999999997</v>
      </c>
      <c r="O20" s="1286">
        <f>SUMIF(G30:G904,5,O30:O904)</f>
        <v>0</v>
      </c>
      <c r="P20" s="1478">
        <f>SUMIF(G30:G904,5,P30:P904)</f>
        <v>0</v>
      </c>
      <c r="Q20" s="1288">
        <f>SUMIF(G30:G904,5,Q30:Q904)</f>
        <v>70.987999999999985</v>
      </c>
      <c r="R20" s="1289">
        <f>SUMIF(G30:G904,5,R30:R904)</f>
        <v>106.849</v>
      </c>
      <c r="S20" s="98"/>
      <c r="T20" s="275"/>
      <c r="U20" s="98"/>
      <c r="V20" s="98"/>
      <c r="W20" s="98"/>
      <c r="X20" s="136"/>
      <c r="Y20" s="98"/>
      <c r="Z20" s="276"/>
      <c r="AK20" s="2815" t="s">
        <v>11230</v>
      </c>
      <c r="AL20" s="2579">
        <f>SUMIFS(M30:M950,F30:F950,5,G30:G950,3)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SUMIFS(N30:N950,F30:F950,5,G30:G950,3)</f>
        <v>0</v>
      </c>
      <c r="AM21" s="2817"/>
    </row>
    <row r="22" spans="1:39" customFormat="1" x14ac:dyDescent="0.35">
      <c r="A22" s="285"/>
      <c r="B22" s="993"/>
      <c r="C22" s="993"/>
      <c r="D22" s="538">
        <f>SUMIF(C30:C878,"=сад",AB30:AB878)</f>
        <v>6</v>
      </c>
      <c r="E22" s="2241" t="s">
        <v>2763</v>
      </c>
      <c r="F22" s="98"/>
      <c r="G22" s="226"/>
      <c r="H22" s="226"/>
      <c r="I22" s="2247">
        <f>J22+K22+L22</f>
        <v>6.3199999999999994</v>
      </c>
      <c r="J22" s="2247">
        <f>R22+Q22+P22+O22+N22+M22</f>
        <v>6.2539999999999996</v>
      </c>
      <c r="K22" s="2247">
        <f>SUMIF(C30:C878,"=сад",K30:K878)</f>
        <v>0</v>
      </c>
      <c r="L22" s="2247">
        <f>SUMIF(C30:C878,"=сад",L30:L878)</f>
        <v>6.6000000000000003E-2</v>
      </c>
      <c r="M22" s="2247">
        <f>SUMIF(C30:C878,"=сад",M30:M878)</f>
        <v>0</v>
      </c>
      <c r="N22" s="2247">
        <f>SUMIF(C30:C878,"=сад",N30:N878)</f>
        <v>1.3339999999999999</v>
      </c>
      <c r="O22" s="2248">
        <f>SUMIF(C30:C878,"=сад",O30:O878)</f>
        <v>0</v>
      </c>
      <c r="P22" s="2247">
        <f>SUMIF(C30:C878,"=сад",P30:P878)</f>
        <v>0</v>
      </c>
      <c r="Q22" s="2249">
        <f>SUMIF(C30:C878,"=сад",Q30:Q878)</f>
        <v>1.3739999999999999</v>
      </c>
      <c r="R22" s="2250">
        <f>SUMIF(C30:C878,"=сад",R30:R878)</f>
        <v>3.5460000000000003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SUMIFS(O30:O950,F30:F950,5,G30:G950,3)</f>
        <v>0</v>
      </c>
      <c r="AM22" s="2817"/>
    </row>
    <row r="23" spans="1:39" customFormat="1" x14ac:dyDescent="0.35">
      <c r="A23" s="285"/>
      <c r="B23" s="993"/>
      <c r="C23" s="993"/>
      <c r="D23" s="538">
        <f>SUMIF(C30:C879,"=индив",AB30:AB879)</f>
        <v>1</v>
      </c>
      <c r="E23" s="2241" t="s">
        <v>2762</v>
      </c>
      <c r="F23" s="98"/>
      <c r="G23" s="226"/>
      <c r="H23" s="226"/>
      <c r="I23" s="2247">
        <f>J23+K23+L23</f>
        <v>0.6</v>
      </c>
      <c r="J23" s="2247">
        <f>R23+Q23+P23+O23+N23+M23</f>
        <v>0.6</v>
      </c>
      <c r="K23" s="2247">
        <f>SUMIF(C30:C879,"=индив",K30:K879)</f>
        <v>0</v>
      </c>
      <c r="L23" s="2247">
        <f>SUMIF(C30:C879,"=индив",L30:L879)</f>
        <v>0</v>
      </c>
      <c r="M23" s="2247">
        <f>SUMIF(C30:C879,"=индив",M30:M879)</f>
        <v>0</v>
      </c>
      <c r="N23" s="2247">
        <f>SUMIF(C30:C879,"=индив",N30:N879)</f>
        <v>0</v>
      </c>
      <c r="O23" s="2248">
        <f>SUMIF(C30:C879,"=индив",O30:O879)</f>
        <v>0</v>
      </c>
      <c r="P23" s="2247">
        <f>SUMIF(C30:C879,"=индив",P30:P879)</f>
        <v>0</v>
      </c>
      <c r="Q23" s="2249">
        <f>SUMIF(C30:C879,"=индив",Q30:Q879)</f>
        <v>0.6</v>
      </c>
      <c r="R23" s="2250">
        <f>SUMIF(C30:C879,"=индив",R30:R879)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SUMIFS(P30:P950,F30:F950,5,G30:G950,3)+SUMIFS(Q30:Q950,F30:F950,5,G30:G950,3)</f>
        <v>0</v>
      </c>
      <c r="AM23" s="2817"/>
    </row>
    <row r="24" spans="1:39" customFormat="1" x14ac:dyDescent="0.35">
      <c r="A24" s="285"/>
      <c r="B24" s="993"/>
      <c r="C24" s="993"/>
      <c r="D24" s="538">
        <f>SUMIF(C30:C880,"=кладб",AB30:AB880)</f>
        <v>41</v>
      </c>
      <c r="E24" s="2241" t="s">
        <v>2761</v>
      </c>
      <c r="F24" s="98"/>
      <c r="G24" s="226"/>
      <c r="H24" s="226"/>
      <c r="I24" s="2247">
        <f>J24+K24+L24</f>
        <v>22.509999999999998</v>
      </c>
      <c r="J24" s="2247">
        <f>R24+Q24+P24+O24+N24+M24</f>
        <v>22.509999999999998</v>
      </c>
      <c r="K24" s="2247">
        <f>SUMIF(C30:C880,"=кладб",K30:K880)</f>
        <v>0</v>
      </c>
      <c r="L24" s="2247">
        <f>SUMIF(C30:C880,"=кладб",L30:L880)</f>
        <v>0</v>
      </c>
      <c r="M24" s="2247">
        <f>SUMIF(C30:C880,"=кладб",M30:M880)</f>
        <v>0</v>
      </c>
      <c r="N24" s="2247">
        <f>SUMIF(C30:C880,"=кладб",N30:N880)</f>
        <v>1.8</v>
      </c>
      <c r="O24" s="2248">
        <f>SUMIF(C30:C880,"=кладб",O30:O880)</f>
        <v>0</v>
      </c>
      <c r="P24" s="2247">
        <f>SUMIF(C30:C880,"=кладб",P30:P880)</f>
        <v>0</v>
      </c>
      <c r="Q24" s="2249">
        <f>SUMIF(C30:C880,"=кладб",Q30:Q880)</f>
        <v>1.2</v>
      </c>
      <c r="R24" s="2250">
        <f>SUMIF(C30:C880,"=кладб",R30:R880)</f>
        <v>19.509999999999998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SUMIFS(R30:R950,F30:F950,5,G30:G950,3)</f>
        <v>0</v>
      </c>
      <c r="AM24" s="2817"/>
    </row>
    <row r="25" spans="1:39" customFormat="1" x14ac:dyDescent="0.35">
      <c r="A25" s="387"/>
      <c r="B25" s="994"/>
      <c r="C25" s="994"/>
      <c r="D25" s="538">
        <f>SUMIF(C30:C881,"=прир",AB30:AB881)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SUMIF(C30:C881,"=прир",K30:K881)</f>
        <v>0</v>
      </c>
      <c r="L25" s="2259">
        <f>SUMIF(C30:C881,"=прир",L30:L881)</f>
        <v>0</v>
      </c>
      <c r="M25" s="2259">
        <f>SUMIF(C30:C881,"=прир",M30:M881)</f>
        <v>0</v>
      </c>
      <c r="N25" s="2259">
        <f>SUMIF(C30:C881,"=прир",N30:N881)</f>
        <v>0</v>
      </c>
      <c r="O25" s="2260">
        <f>SUMIF(C30:C881,"=прир",O30:O881)</f>
        <v>0</v>
      </c>
      <c r="P25" s="2259">
        <f>SUMIF(C30:C881,"=прир",P30:P881)</f>
        <v>0</v>
      </c>
      <c r="Q25" s="2261">
        <f>SUMIF(C30:C881,"=прир",Q30:Q881)</f>
        <v>0</v>
      </c>
      <c r="R25" s="2262">
        <f>SUMIF(C30:C881,"=прир",R30:R881)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SUMIF(C30:C882,"=ист",AB30:AB882)</f>
        <v>2</v>
      </c>
      <c r="E26" s="2241" t="s">
        <v>1628</v>
      </c>
      <c r="F26" s="319"/>
      <c r="G26" s="2258"/>
      <c r="H26" s="2258"/>
      <c r="I26" s="2259">
        <f>J26+K26+L26</f>
        <v>1.8</v>
      </c>
      <c r="J26" s="2259">
        <f>R26+Q26+P26+O26+N26+M26</f>
        <v>1.8</v>
      </c>
      <c r="K26" s="2259">
        <f>SUMIF(C30:C882,"=ист",K30:K882)</f>
        <v>0</v>
      </c>
      <c r="L26" s="2259">
        <f>SUMIF(C30:C882,"=ист",L30:L882)</f>
        <v>0</v>
      </c>
      <c r="M26" s="2259">
        <f>SUMIF(C30:C882,"=ист",M30:M882)</f>
        <v>0</v>
      </c>
      <c r="N26" s="2259">
        <f>SUMIF(C30:C882,"=ист",N30:N882)</f>
        <v>0</v>
      </c>
      <c r="O26" s="2260">
        <f>SUMIF(C30:C882,"=ист",O30:O882)</f>
        <v>0</v>
      </c>
      <c r="P26" s="2259">
        <f>SUMIF(C30:C882,"=ист",P30:P882)</f>
        <v>0</v>
      </c>
      <c r="Q26" s="2261">
        <f>SUMIF(C30:C882,"=ист",Q30:Q882)</f>
        <v>0</v>
      </c>
      <c r="R26" s="2262">
        <f>SUMIF(C30:C882,"=ист",R30:R882)</f>
        <v>1.8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SUMIFS(M30:M950,F30:F950,"6а",G30:G950,3)+SUMIFS(M30:M950,F30:F950,"6б",G30:G950,3)+SUMIFS(M30:M950,F30:F950,"б/к",G30:G950,3)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SUMIFS(N30:N950,F30:F950,"6а",G30:G950,3)+SUMIFS(N30:N950,F30:F950,"6б",G30:G950,3)+SUMIFS(N30:N950,F30:F950,"б/к",G30:G950,3)</f>
        <v>0</v>
      </c>
      <c r="AM27" s="2817"/>
    </row>
    <row r="28" spans="1:39" ht="16" thickBot="1" x14ac:dyDescent="0.4">
      <c r="A28" s="784"/>
      <c r="B28" s="451"/>
      <c r="C28" s="451"/>
      <c r="D28" s="451"/>
      <c r="E28" s="451"/>
      <c r="F28" s="451"/>
      <c r="G28" s="451"/>
      <c r="H28" s="451"/>
      <c r="I28" s="2324">
        <f t="shared" ref="I28:R28" si="5">SUBTOTAL(9,I30:I417)</f>
        <v>534.20400000000006</v>
      </c>
      <c r="J28" s="2324">
        <f t="shared" si="5"/>
        <v>530.74200000000008</v>
      </c>
      <c r="K28" s="2324">
        <f t="shared" si="5"/>
        <v>4.0340000000000007</v>
      </c>
      <c r="L28" s="2324">
        <f t="shared" si="5"/>
        <v>2.8899999999999983</v>
      </c>
      <c r="M28" s="2324">
        <f t="shared" si="5"/>
        <v>5.5999999999999162E-2</v>
      </c>
      <c r="N28" s="2324">
        <f t="shared" si="5"/>
        <v>314.92900000000003</v>
      </c>
      <c r="O28" s="2324">
        <f t="shared" si="5"/>
        <v>0</v>
      </c>
      <c r="P28" s="2324">
        <f t="shared" si="5"/>
        <v>0</v>
      </c>
      <c r="Q28" s="2324">
        <f t="shared" si="5"/>
        <v>359.46299999999974</v>
      </c>
      <c r="R28" s="2324">
        <f t="shared" si="5"/>
        <v>167.83700000000005</v>
      </c>
      <c r="S28" s="451"/>
      <c r="T28" s="452"/>
      <c r="U28" s="451"/>
      <c r="V28" s="451"/>
      <c r="W28" s="451"/>
      <c r="X28" s="614"/>
      <c r="Y28" s="451"/>
      <c r="Z28" s="1673"/>
      <c r="AB28" s="2334">
        <f>SUBTOTAL(9,AB30:AB417)</f>
        <v>147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SUMIFS(O30:O950,F30:F950,"6а",G30:G950,3)+SUMIFS(O30:O950,F30:F950,"6б",G30:G950,3)+SUMIFS(O30:O950,F30:F950,"б/к",G30:G950,3)</f>
        <v>0</v>
      </c>
      <c r="AM28" s="2817"/>
    </row>
    <row r="29" spans="1:39" x14ac:dyDescent="0.35">
      <c r="A29" s="48"/>
      <c r="B29" s="1063"/>
      <c r="C29" s="1063"/>
      <c r="D29" s="44"/>
      <c r="E29" s="1458" t="s">
        <v>2871</v>
      </c>
      <c r="F29" s="171"/>
      <c r="G29" s="171"/>
      <c r="H29" s="171"/>
      <c r="I29" s="770"/>
      <c r="J29" s="770"/>
      <c r="K29" s="770"/>
      <c r="L29" s="770"/>
      <c r="M29" s="770"/>
      <c r="N29" s="770"/>
      <c r="O29" s="771"/>
      <c r="P29" s="1469"/>
      <c r="Q29" s="1465"/>
      <c r="R29" s="1461"/>
      <c r="S29" s="354"/>
      <c r="T29" s="1721"/>
      <c r="U29" s="354"/>
      <c r="V29" s="354"/>
      <c r="W29" s="354"/>
      <c r="X29" s="355"/>
      <c r="Y29" s="354"/>
      <c r="Z29" s="1720"/>
      <c r="AD29" s="2578" t="s">
        <v>7180</v>
      </c>
      <c r="AE29" s="2579">
        <f>SUMIFS(M30:M891,F30:F891,3,G30:G891,3)+SUMIFS(N30:N891,F30:F891,3,G30:G891,3)+SUMIFS(O30:O891,F30:F891,3,G30:G891,3)+SUMIFS(P30:P891,F30:F891,3,G30:G891,3)+SUMIFS(Q30:Q891,F30:F891,3,G30:G891,3)+SUMIFS(R30:R891,F30:F891,3,G30:G891,3)</f>
        <v>0</v>
      </c>
      <c r="AF29" s="2579">
        <f>SUMIFS(M30:M891,F30:F891,4,G30:G891,3)+SUMIFS(N30:N891,F30:F891,4,G30:G891,3)+SUMIFS(O30:O891,F30:F891,4,G30:G891,3)+SUMIFS(P30:P891,F30:F891,4,G30:G891,3)+SUMIFS(Q30:Q891,F30:F891,4,G30:G891,3)+SUMIFS(R30:R891,F30:F891,4,G30:G891,3)</f>
        <v>78.382999999999996</v>
      </c>
      <c r="AG29" s="2579">
        <f>SUMIFS(M30:M891,F30:F891,5,G30:G891,3)+SUMIFS(N30:N891,F30:F891,5,G30:G891,3)+SUMIFS(O30:O891,F30:F891,5,G30:G891,3)+SUMIFS(P30:P891,F30:F891,5,G30:G891,3)+SUMIFS(Q30:Q891,F30:F891,5,G30:G891,3)+SUMIFS(R30:R891,F30:F891,5,G30:G891,3)</f>
        <v>0</v>
      </c>
      <c r="AH29" s="2579">
        <f>SUMIFS(M30:M891,F30:F891,"6а",G30:G891,3)+SUMIFS(N30:N891,F30:F891,"6а",G30:G891,3)+SUMIFS(O30:O891,F30:F891,"6а",G30:G891,3)+SUMIFS(P30:P891,F30:F891,"6а",G30:G891,3)+SUMIFS(Q30:Q891,F30:F891,"6а",G30:G891,3)+SUMIFS(R30:R891,F30:F891,"6а",G30:G891,3)</f>
        <v>0</v>
      </c>
      <c r="AI29" s="2579">
        <f>SUMIFS(M30:M891,F30:F891,"6б",G30:G891,3)+SUMIFS(N30:N891,F30:F891,"6б",G30:G891,3)+SUMIFS(O30:O891,F30:F891,"6б",G30:G891,3)+SUMIFS(P30:P891,F30:F891,"6б",G30:G891,3)+SUMIFS(Q30:Q891,F30:F891,"6б",G30:G891,3)+SUMIFS(R30:R891,F30:F891,"6б",G30:G891,3)</f>
        <v>0</v>
      </c>
      <c r="AJ29" s="2580">
        <f>SUMIFS(M30:M891,F30:F891,"б/к",G30:G891,3)+SUMIFS(N30:N891,F30:F891,"б/к",G30:G891,3)+SUMIFS(O30:O891,F30:F891,"б/к",G30:G891,3)+SUMIFS(P30:P891,F30:F891,"б/к",G30:G891,3)+SUMIFS(Q30:Q891,F30:F891,"б/к",G30:G891,3)+SUMIFS(R30:R891,F30:F891,"б/к",G30:G891,3)</f>
        <v>0</v>
      </c>
      <c r="AK29" s="2815" t="s">
        <v>11233</v>
      </c>
      <c r="AL29" s="2579">
        <f>SUMIFS(P30:P950,F30:F950,"6а",G30:G950,3)+SUMIFS(Q30:Q950,F30:F950,"6а",G30:G950,3)+SUMIFS(P30:P950,F30:F950,"6б",G30:G950,3)+SUMIFS(Q30:Q950,F30:F950,"6б",G30:G950,3)+SUMIFS(P30:P950,F30:F950,"б/к",G30:G950,3)+SUMIFS(Q30:Q950,F30:F950,"б/к",G30:G950,3)</f>
        <v>0</v>
      </c>
      <c r="AM29" s="2817"/>
    </row>
    <row r="30" spans="1:39" x14ac:dyDescent="0.35">
      <c r="A30" s="347">
        <v>1</v>
      </c>
      <c r="B30" s="358">
        <v>9911</v>
      </c>
      <c r="C30" s="358"/>
      <c r="D30" s="358" t="s">
        <v>1223</v>
      </c>
      <c r="E30" s="312" t="s">
        <v>11018</v>
      </c>
      <c r="F30" s="2295">
        <v>4</v>
      </c>
      <c r="G30" s="2295">
        <v>3</v>
      </c>
      <c r="H30" s="2295">
        <v>6</v>
      </c>
      <c r="I30" s="772">
        <f t="shared" ref="I30:I37" si="6">J30+K30+L30</f>
        <v>28.727</v>
      </c>
      <c r="J30" s="772">
        <f t="shared" ref="J30:J36" si="7">SUM(M30:R30)</f>
        <v>28.727</v>
      </c>
      <c r="K30" s="772"/>
      <c r="L30" s="772"/>
      <c r="M30" s="772"/>
      <c r="N30" s="772">
        <f>50.347-21.62</f>
        <v>28.727</v>
      </c>
      <c r="O30" s="773"/>
      <c r="P30" s="1470"/>
      <c r="Q30" s="1466"/>
      <c r="R30" s="1462"/>
      <c r="S30" s="1815"/>
      <c r="T30" s="1931"/>
      <c r="U30" s="1815"/>
      <c r="V30" s="1815"/>
      <c r="W30" s="46">
        <v>39</v>
      </c>
      <c r="X30" s="2533">
        <v>515.53</v>
      </c>
      <c r="Y30" s="46">
        <v>9</v>
      </c>
      <c r="Z30" s="47">
        <v>92</v>
      </c>
      <c r="AB30" s="3">
        <v>1</v>
      </c>
      <c r="AD30" s="2578" t="s">
        <v>7181</v>
      </c>
      <c r="AE30" s="2579">
        <f>SUMIFS(M30:M891,F30:F891,3,G30:G891,4)+SUMIFS(N30:N891,F30:F891,3,G30:G891,4)+SUMIFS(O30:O891,F30:F891,3,G30:G891,4)+SUMIFS(P30:P891,F30:F891,3,G30:G891,4)+SUMIFS(Q30:Q891,F30:F891,3,G30:G891,4)+SUMIFS(R30:R891,F30:F891,3,G30:G891,4)</f>
        <v>0</v>
      </c>
      <c r="AF30" s="2579">
        <f>SUMIFS(M30:M891,F30:F891,4,G30:G891,4)+SUMIFS(N30:N891,F30:F891,4,G30:G891,4)+SUMIFS(O30:O891,F30:F891,4,G30:G891,4)+SUMIFS(P30:P891,F30:F891,4,G30:G891,4)+SUMIFS(Q30:Q891,F30:F891,4,G30:G891,4)+SUMIFS(R30:R891,F30:F891,4,G30:G891,4)</f>
        <v>169.80600000000001</v>
      </c>
      <c r="AG30" s="2579">
        <f>SUMIFS(M30:M891,F30:F891,5,G30:G891,4)+SUMIFS(N30:N891,F30:F891,5,G30:G891,4)+SUMIFS(O30:O891,F30:F891,5,G30:G891,4)+SUMIFS(P30:P891,F30:F891,5,G30:G891,4)+SUMIFS(Q30:Q891,F30:F891,5,G30:G891,4)+SUMIFS(R30:R891,F30:F891,5,G30:G891,4)</f>
        <v>62.257999999999996</v>
      </c>
      <c r="AH30" s="2579">
        <f>SUMIFS(M30:M891,F30:F891,"6а",G30:G891,4)+SUMIFS(N30:N891,F30:F891,"6а",G30:G891,4)+SUMIFS(O30:O891,F30:F891,"6а",G30:G891,4)+SUMIFS(P30:P891,F30:F891,"6а",G30:G891,4)+SUMIFS(Q30:Q891,F30:F891,"6а",G30:G891,4)+SUMIFS(R30:R891,F30:F891,"6а",G30:G891,4)</f>
        <v>14.008000000000001</v>
      </c>
      <c r="AI30" s="2579">
        <f>SUMIFS(M30:M891,F30:F891,"6б",G30:G891,4)+SUMIFS(N30:N891,F30:F891,"6б",G30:G891,4)+SUMIFS(O30:O891,F30:F891,"6б",G30:G891,4)+SUMIFS(P30:P891,F30:F891,"6б",G30:G891,4)+SUMIFS(Q30:Q891,F30:F891,"6б",G30:G891,4)+SUMIFS(R30:R891,F30:F891,"6б",G30:G891,4)</f>
        <v>2.1080000000000001</v>
      </c>
      <c r="AJ30" s="2580">
        <f>SUMIFS(M30:M891,F30:F891,"б/к",G30:G891,4)+SUMIFS(N30:N891,F30:F891,"б/к",G30:G891,4)+SUMIFS(O30:O891,F30:F891,"б/к",G30:G891,4)+SUMIFS(P30:P891,F30:F891,"б/к",G30:G891,4)+SUMIFS(Q30:Q891,F30:F891,"б/к",G30:G891,4)+SUMIFS(R30:R891,F30:F891,"б/к",G30:G891,4)</f>
        <v>0</v>
      </c>
      <c r="AK30" s="2815" t="s">
        <v>910</v>
      </c>
      <c r="AL30" s="2579">
        <f>SUMIFS(R30:R950,F30:F950,"6а",G30:G950,3)+SUMIFS(R30:R950,F30:F950,"6б",G30:G950,3)+SUMIFS(R30:R950,F30:F950,"б/к",G30:G950,3)</f>
        <v>0</v>
      </c>
      <c r="AM30" s="2817"/>
    </row>
    <row r="31" spans="1:39" ht="30.5" x14ac:dyDescent="0.35">
      <c r="A31" s="347">
        <v>2</v>
      </c>
      <c r="B31" s="358">
        <v>9911</v>
      </c>
      <c r="C31" s="358"/>
      <c r="D31" s="2464" t="s">
        <v>5940</v>
      </c>
      <c r="E31" s="312" t="s">
        <v>11019</v>
      </c>
      <c r="F31" s="2295">
        <v>5</v>
      </c>
      <c r="G31" s="2295">
        <v>4</v>
      </c>
      <c r="H31" s="2295">
        <v>6</v>
      </c>
      <c r="I31" s="772">
        <f t="shared" si="6"/>
        <v>4.9119999999999999</v>
      </c>
      <c r="J31" s="772">
        <f t="shared" si="7"/>
        <v>4.9119999999999999</v>
      </c>
      <c r="K31" s="772"/>
      <c r="L31" s="772"/>
      <c r="M31" s="772"/>
      <c r="N31" s="772"/>
      <c r="O31" s="773"/>
      <c r="P31" s="1470"/>
      <c r="Q31" s="1466">
        <v>4.9119999999999999</v>
      </c>
      <c r="R31" s="1462"/>
      <c r="S31" s="1815"/>
      <c r="T31" s="1931"/>
      <c r="U31" s="1815"/>
      <c r="V31" s="1815"/>
      <c r="W31" s="2869">
        <f>7-1</f>
        <v>6</v>
      </c>
      <c r="X31" s="2533">
        <f>78.61-16.65</f>
        <v>61.96</v>
      </c>
      <c r="Y31" s="46">
        <v>1</v>
      </c>
      <c r="Z31" s="47">
        <v>7</v>
      </c>
      <c r="AA31" s="3" t="s">
        <v>3447</v>
      </c>
      <c r="AB31" s="3">
        <v>1</v>
      </c>
      <c r="AD31" s="2581" t="s">
        <v>7182</v>
      </c>
      <c r="AE31" s="2582">
        <f>SUMIFS(M30:M891,F30:F891,3,G30:G891,5)+SUMIFS(N30:N891,F30:F891,3,G30:G891,5)+SUMIFS(O30:O891,F30:F891,3,G30:G891,5)+SUMIFS(P30:P891,F30:F891,3,G30:G891,5)+SUMIFS(Q30:Q891,F30:F891,3,G30:G891,5)+SUMIFS(R30:R891,F30:F891,3,G30:G891,5)</f>
        <v>0</v>
      </c>
      <c r="AF31" s="2582">
        <f>SUMIFS(M30:M891,F30:F891,4,G30:G891,5)+SUMIFS(N30:N891,F30:F891,4,G30:G891,5)+SUMIFS(O30:O891,F30:F891,4,G30:G891,5)+SUMIFS(P30:P891,F30:F891,4,G30:G891,5)+SUMIFS(Q30:Q891,F30:F891,4,G30:G891,5)+SUMIFS(R30:R891,F30:F891,4,G30:G891,5)</f>
        <v>13.243000000000002</v>
      </c>
      <c r="AG31" s="2582">
        <f>SUMIFS(M30:M891,F30:F891,5,G30:G891,5)+SUMIFS(N30:N891,F30:F891,5,G30:G891,5)+SUMIFS(O30:O891,F30:F891,5,G30:G891,5)+SUMIFS(P30:P891,F30:F891,5,G30:G891,5)+SUMIFS(Q30:Q891,F30:F891,5,G30:G891,5)+SUMIFS(R30:R891,F30:F891,5,G30:G891,5)</f>
        <v>57.532000000000004</v>
      </c>
      <c r="AH31" s="2582">
        <f>SUMIFS(M30:M891,F30:F891,"6а",G30:G891,5)+SUMIFS(N30:N891,F30:F891,"6а",G30:G891,5)+SUMIFS(O30:O891,F30:F891,"6а",G30:G891,5)+SUMIFS(P30:P891,F30:F891,"6а",G30:G891,5)+SUMIFS(Q30:Q891,F30:F891,"6а",G30:G891,5)+SUMIFS(R30:R891,F30:F891,"6а",G30:G891,5)</f>
        <v>58.253999999999998</v>
      </c>
      <c r="AI31" s="2582">
        <f>SUMIFS(M30:M891,F30:F891,"6б",G30:G891,5)+SUMIFS(N30:N891,F30:F891,"6б",G30:G891,5)+SUMIFS(O30:O891,F30:F891,"6б",G30:G891,5)+SUMIFS(P30:P891,F30:F891,"6б",G30:G891,5)+SUMIFS(Q30:Q891,F30:F891,"6б",G30:G891,5)+SUMIFS(R30:R891,F30:F891,"6б",G30:G891,5)</f>
        <v>28.03</v>
      </c>
      <c r="AJ31" s="2583">
        <f>SUMIFS(M30:M891,F30:F891,"б/к",G30:G891,5)+SUMIFS(N30:N891,F30:F891,"б/к",G30:G891,5)+SUMIFS(O30:O891,F30:F891,"б/к",G30:G891,5)+SUMIFS(P30:P891,F30:F891,"б/к",G30:G891,5)+SUMIFS(Q30:Q891,F30:F891,"б/к",G30:G891,5)+SUMIFS(R30:R891,F30:F891,"б/к",G30:G891,5)</f>
        <v>47.12</v>
      </c>
      <c r="AK31" s="2815"/>
      <c r="AL31" s="2579"/>
      <c r="AM31" s="2817"/>
    </row>
    <row r="32" spans="1:39" ht="60.5" x14ac:dyDescent="0.35">
      <c r="A32" s="347">
        <v>3</v>
      </c>
      <c r="B32" s="365">
        <v>9911</v>
      </c>
      <c r="C32" s="365" t="s">
        <v>1656</v>
      </c>
      <c r="D32" s="2464" t="s">
        <v>5941</v>
      </c>
      <c r="E32" s="312" t="s">
        <v>11020</v>
      </c>
      <c r="F32" s="92" t="s">
        <v>664</v>
      </c>
      <c r="G32" s="92">
        <v>5</v>
      </c>
      <c r="H32" s="92">
        <v>6</v>
      </c>
      <c r="I32" s="772">
        <f t="shared" si="6"/>
        <v>0.25</v>
      </c>
      <c r="J32" s="772">
        <f t="shared" si="7"/>
        <v>0.25</v>
      </c>
      <c r="K32" s="688"/>
      <c r="L32" s="688"/>
      <c r="M32" s="688"/>
      <c r="N32" s="688"/>
      <c r="O32" s="688"/>
      <c r="P32" s="1471"/>
      <c r="Q32" s="1088"/>
      <c r="R32" s="874">
        <v>0.25</v>
      </c>
      <c r="S32" s="46"/>
      <c r="T32" s="46"/>
      <c r="U32" s="46"/>
      <c r="V32" s="46"/>
      <c r="W32" s="46"/>
      <c r="X32" s="46"/>
      <c r="Y32" s="46"/>
      <c r="Z32" s="47"/>
      <c r="AB32" s="3">
        <v>1</v>
      </c>
      <c r="AD32"/>
      <c r="AE32" s="1572"/>
      <c r="AF32"/>
      <c r="AG32"/>
      <c r="AH32"/>
      <c r="AI32" s="2584" t="s">
        <v>7183</v>
      </c>
      <c r="AJ32" s="2585">
        <f>SUMIF(AB30:AB891,"=1",J30:J891)</f>
        <v>530.74200000000008</v>
      </c>
      <c r="AK32" s="2818" t="s">
        <v>11235</v>
      </c>
      <c r="AL32" s="2821">
        <f>AL34+AL40+AL46</f>
        <v>248.18</v>
      </c>
      <c r="AM32" s="2820">
        <f>AL32-J19</f>
        <v>0</v>
      </c>
    </row>
    <row r="33" spans="1:39" ht="30" x14ac:dyDescent="0.35">
      <c r="A33" s="347">
        <v>4</v>
      </c>
      <c r="B33" s="693">
        <v>9911</v>
      </c>
      <c r="C33" s="693"/>
      <c r="D33" s="2464" t="s">
        <v>5942</v>
      </c>
      <c r="E33" s="2187" t="s">
        <v>11021</v>
      </c>
      <c r="F33" s="92" t="s">
        <v>827</v>
      </c>
      <c r="G33" s="92">
        <v>5</v>
      </c>
      <c r="H33" s="2295">
        <v>6</v>
      </c>
      <c r="I33" s="702">
        <f t="shared" si="6"/>
        <v>0.4</v>
      </c>
      <c r="J33" s="702">
        <f t="shared" si="7"/>
        <v>0.4</v>
      </c>
      <c r="K33" s="2089"/>
      <c r="L33" s="2089"/>
      <c r="M33" s="2089"/>
      <c r="N33" s="2089"/>
      <c r="O33" s="2089"/>
      <c r="P33" s="2089"/>
      <c r="Q33" s="2085">
        <v>0.4</v>
      </c>
      <c r="R33" s="2235"/>
      <c r="S33" s="106"/>
      <c r="T33" s="106"/>
      <c r="U33" s="106"/>
      <c r="V33" s="106"/>
      <c r="W33" s="105"/>
      <c r="X33" s="105"/>
      <c r="Y33" s="105"/>
      <c r="Z33" s="323"/>
      <c r="AB33" s="3">
        <v>1</v>
      </c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ht="30.5" x14ac:dyDescent="0.35">
      <c r="A34" s="347">
        <v>5</v>
      </c>
      <c r="B34" s="365">
        <v>9911</v>
      </c>
      <c r="C34" s="365" t="s">
        <v>1656</v>
      </c>
      <c r="D34" s="2464" t="s">
        <v>5943</v>
      </c>
      <c r="E34" s="312" t="s">
        <v>11022</v>
      </c>
      <c r="F34" s="92">
        <v>5</v>
      </c>
      <c r="G34" s="92">
        <v>5</v>
      </c>
      <c r="H34" s="2295">
        <v>6</v>
      </c>
      <c r="I34" s="772">
        <f t="shared" si="6"/>
        <v>0.8</v>
      </c>
      <c r="J34" s="772">
        <f t="shared" si="7"/>
        <v>0.8</v>
      </c>
      <c r="K34" s="688"/>
      <c r="L34" s="688"/>
      <c r="M34" s="688"/>
      <c r="N34" s="688">
        <v>0.8</v>
      </c>
      <c r="O34" s="688"/>
      <c r="P34" s="1471"/>
      <c r="Q34" s="1088"/>
      <c r="R34" s="1083"/>
      <c r="S34" s="46"/>
      <c r="T34" s="46"/>
      <c r="U34" s="46"/>
      <c r="V34" s="46"/>
      <c r="W34" s="46"/>
      <c r="X34" s="46"/>
      <c r="Y34" s="46"/>
      <c r="Z34" s="47"/>
      <c r="AB34" s="3">
        <v>1</v>
      </c>
      <c r="AE34" s="2461"/>
      <c r="AF34" s="68"/>
      <c r="AK34" s="2818" t="s">
        <v>7184</v>
      </c>
      <c r="AL34" s="2821">
        <f>AL35+AL36+AL37+AL38+AL39</f>
        <v>169.80600000000001</v>
      </c>
      <c r="AM34" s="2820">
        <f>AL34-AF30</f>
        <v>0</v>
      </c>
    </row>
    <row r="35" spans="1:39" ht="45.5" x14ac:dyDescent="0.35">
      <c r="A35" s="347">
        <v>6</v>
      </c>
      <c r="B35" s="365">
        <v>9911</v>
      </c>
      <c r="C35" s="365"/>
      <c r="D35" s="2464" t="s">
        <v>5944</v>
      </c>
      <c r="E35" s="312" t="s">
        <v>11023</v>
      </c>
      <c r="F35" s="92" t="s">
        <v>827</v>
      </c>
      <c r="G35" s="92">
        <v>5</v>
      </c>
      <c r="H35" s="2295">
        <v>6</v>
      </c>
      <c r="I35" s="772">
        <f t="shared" si="6"/>
        <v>0.5</v>
      </c>
      <c r="J35" s="772">
        <f t="shared" si="7"/>
        <v>0.5</v>
      </c>
      <c r="K35" s="688"/>
      <c r="L35" s="688"/>
      <c r="M35" s="688"/>
      <c r="N35" s="688"/>
      <c r="O35" s="688"/>
      <c r="P35" s="1471"/>
      <c r="Q35" s="1088">
        <v>0.5</v>
      </c>
      <c r="R35" s="874"/>
      <c r="S35" s="46"/>
      <c r="T35" s="46"/>
      <c r="U35" s="46"/>
      <c r="V35" s="46"/>
      <c r="W35" s="46"/>
      <c r="X35" s="46"/>
      <c r="Y35" s="46"/>
      <c r="Z35" s="47"/>
      <c r="AB35" s="3">
        <v>1</v>
      </c>
      <c r="AE35" s="2461"/>
      <c r="AF35" s="68"/>
      <c r="AK35" s="2815" t="s">
        <v>11230</v>
      </c>
      <c r="AL35" s="2579">
        <f>SUMIFS(M30:M950,F30:F950,4,G30:G950,4)</f>
        <v>0</v>
      </c>
      <c r="AM35" s="2817"/>
    </row>
    <row r="36" spans="1:39" ht="30" x14ac:dyDescent="0.35">
      <c r="A36" s="347">
        <v>7</v>
      </c>
      <c r="B36" s="693">
        <v>9911</v>
      </c>
      <c r="C36" s="693"/>
      <c r="D36" s="2464" t="s">
        <v>5945</v>
      </c>
      <c r="E36" s="2187" t="s">
        <v>11024</v>
      </c>
      <c r="F36" s="92" t="s">
        <v>827</v>
      </c>
      <c r="G36" s="92">
        <v>5</v>
      </c>
      <c r="H36" s="2295">
        <v>6</v>
      </c>
      <c r="I36" s="702">
        <f t="shared" si="6"/>
        <v>1.3</v>
      </c>
      <c r="J36" s="702">
        <f t="shared" si="7"/>
        <v>1.3</v>
      </c>
      <c r="K36" s="2089"/>
      <c r="L36" s="2089"/>
      <c r="M36" s="2089"/>
      <c r="N36" s="2089"/>
      <c r="O36" s="2089"/>
      <c r="P36" s="2089"/>
      <c r="Q36" s="2085">
        <v>1.3</v>
      </c>
      <c r="R36" s="2235"/>
      <c r="S36" s="106"/>
      <c r="T36" s="106"/>
      <c r="U36" s="106"/>
      <c r="V36" s="106"/>
      <c r="W36" s="105"/>
      <c r="X36" s="105"/>
      <c r="Y36" s="105"/>
      <c r="Z36" s="323"/>
      <c r="AB36" s="3">
        <v>1</v>
      </c>
      <c r="AE36" s="2461"/>
      <c r="AF36" s="68"/>
      <c r="AK36" s="2815" t="s">
        <v>11231</v>
      </c>
      <c r="AL36" s="2579">
        <f>SUMIFS(N30:N950,F30:F950,4,G30:G950,4)</f>
        <v>88.727000000000018</v>
      </c>
      <c r="AM36" s="2817"/>
    </row>
    <row r="37" spans="1:39" ht="30" x14ac:dyDescent="0.35">
      <c r="A37" s="347">
        <v>8</v>
      </c>
      <c r="B37" s="358">
        <v>11202</v>
      </c>
      <c r="C37" s="358"/>
      <c r="D37" s="358" t="s">
        <v>682</v>
      </c>
      <c r="E37" s="269" t="s">
        <v>1671</v>
      </c>
      <c r="F37" s="2295"/>
      <c r="G37" s="2295" t="s">
        <v>191</v>
      </c>
      <c r="H37" s="2295" t="s">
        <v>191</v>
      </c>
      <c r="I37" s="772">
        <f t="shared" si="6"/>
        <v>19.36</v>
      </c>
      <c r="J37" s="772">
        <f>SUM(M37:R37)</f>
        <v>17.402999999999999</v>
      </c>
      <c r="K37" s="772">
        <f>SUM(K38:K39)</f>
        <v>1.9570000000000001</v>
      </c>
      <c r="L37" s="772"/>
      <c r="M37" s="772"/>
      <c r="N37" s="772">
        <f>SUM(N38:N39)</f>
        <v>17.402999999999999</v>
      </c>
      <c r="O37" s="773"/>
      <c r="P37" s="1470"/>
      <c r="Q37" s="1466"/>
      <c r="R37" s="1462"/>
      <c r="S37" s="1815">
        <v>2</v>
      </c>
      <c r="T37" s="1931">
        <v>18.8</v>
      </c>
      <c r="U37" s="1815"/>
      <c r="V37" s="1815"/>
      <c r="W37" s="46">
        <v>22</v>
      </c>
      <c r="X37" s="250">
        <v>349.85</v>
      </c>
      <c r="Y37" s="46">
        <v>8</v>
      </c>
      <c r="Z37" s="47">
        <v>84</v>
      </c>
      <c r="AB37" s="3">
        <v>1</v>
      </c>
      <c r="AE37" s="2461"/>
      <c r="AF37" s="68"/>
      <c r="AK37" s="2815" t="s">
        <v>11232</v>
      </c>
      <c r="AL37" s="2579">
        <f>SUMIFS(O30:O950,F30:F950,4,G30:G950,4)</f>
        <v>0</v>
      </c>
      <c r="AM37" s="2817"/>
    </row>
    <row r="38" spans="1:39" ht="46.5" x14ac:dyDescent="0.35">
      <c r="A38" s="359"/>
      <c r="B38" s="358">
        <v>11202</v>
      </c>
      <c r="C38" s="358"/>
      <c r="D38" s="360"/>
      <c r="E38" s="357" t="s">
        <v>10009</v>
      </c>
      <c r="F38" s="2295">
        <v>4</v>
      </c>
      <c r="G38" s="2295">
        <v>3</v>
      </c>
      <c r="H38" s="2295" t="s">
        <v>191</v>
      </c>
      <c r="I38" s="774"/>
      <c r="J38" s="774"/>
      <c r="K38" s="774">
        <v>1.9570000000000001</v>
      </c>
      <c r="L38" s="774"/>
      <c r="M38" s="774"/>
      <c r="N38" s="774"/>
      <c r="O38" s="775"/>
      <c r="P38" s="1473"/>
      <c r="Q38" s="1467"/>
      <c r="R38" s="1463"/>
      <c r="S38" s="1815"/>
      <c r="T38" s="1931"/>
      <c r="U38" s="1815"/>
      <c r="V38" s="1815"/>
      <c r="W38" s="1815"/>
      <c r="X38" s="1933"/>
      <c r="Y38" s="1815"/>
      <c r="Z38" s="2509"/>
      <c r="AE38" s="2461"/>
      <c r="AF38" s="68"/>
      <c r="AK38" s="2815" t="s">
        <v>11233</v>
      </c>
      <c r="AL38" s="2579">
        <f>SUMIFS(P30:P950,F30:F950,4,G30:G950,4)+SUMIFS(Q30:Q950,F30:F950,4,G30:G950,4)</f>
        <v>81.078999999999994</v>
      </c>
      <c r="AM38" s="2817"/>
    </row>
    <row r="39" spans="1:39" x14ac:dyDescent="0.35">
      <c r="A39" s="359"/>
      <c r="B39" s="358"/>
      <c r="C39" s="358"/>
      <c r="D39" s="360"/>
      <c r="E39" s="357" t="s">
        <v>7173</v>
      </c>
      <c r="F39" s="2295">
        <v>4</v>
      </c>
      <c r="G39" s="2295">
        <v>3</v>
      </c>
      <c r="H39" s="2295">
        <v>6</v>
      </c>
      <c r="I39" s="774"/>
      <c r="J39" s="774"/>
      <c r="K39" s="774"/>
      <c r="L39" s="774"/>
      <c r="M39" s="774"/>
      <c r="N39" s="774">
        <f>19.36-1.957</f>
        <v>17.402999999999999</v>
      </c>
      <c r="O39" s="775"/>
      <c r="P39" s="1473"/>
      <c r="Q39" s="1467"/>
      <c r="R39" s="1463"/>
      <c r="S39" s="1815"/>
      <c r="T39" s="1931"/>
      <c r="U39" s="1815"/>
      <c r="V39" s="1815"/>
      <c r="W39" s="1815"/>
      <c r="X39" s="1933"/>
      <c r="Y39" s="1815"/>
      <c r="Z39" s="2509"/>
      <c r="AE39" s="2461"/>
      <c r="AF39" s="68"/>
      <c r="AK39" s="2815" t="s">
        <v>910</v>
      </c>
      <c r="AL39" s="2579">
        <f>SUMIFS(R30:R950,F30:F950,4,G30:G950,4)</f>
        <v>0</v>
      </c>
      <c r="AM39" s="2817"/>
    </row>
    <row r="40" spans="1:39" ht="30.5" x14ac:dyDescent="0.35">
      <c r="A40" s="347">
        <v>9</v>
      </c>
      <c r="B40" s="358">
        <v>11202</v>
      </c>
      <c r="C40" s="358"/>
      <c r="D40" s="2464" t="s">
        <v>5946</v>
      </c>
      <c r="E40" s="312" t="s">
        <v>7935</v>
      </c>
      <c r="F40" s="2295"/>
      <c r="G40" s="2295" t="s">
        <v>191</v>
      </c>
      <c r="H40" s="2295" t="s">
        <v>191</v>
      </c>
      <c r="I40" s="772">
        <f>J40+K40+L40</f>
        <v>3.1629999999999998</v>
      </c>
      <c r="J40" s="772">
        <f>SUM(M40:R40)</f>
        <v>3.1629999999999998</v>
      </c>
      <c r="K40" s="772"/>
      <c r="L40" s="772"/>
      <c r="M40" s="772"/>
      <c r="N40" s="772">
        <f>SUM(N41:N43)</f>
        <v>0.51300000000000001</v>
      </c>
      <c r="O40" s="773"/>
      <c r="P40" s="1470"/>
      <c r="Q40" s="1466">
        <f>SUM(Q41:Q43)</f>
        <v>2.4570000000000003</v>
      </c>
      <c r="R40" s="1462">
        <f>SUM(R41:R43)</f>
        <v>0.19299999999999962</v>
      </c>
      <c r="S40" s="1815"/>
      <c r="T40" s="1931"/>
      <c r="U40" s="1815"/>
      <c r="V40" s="1815"/>
      <c r="W40" s="46">
        <v>2</v>
      </c>
      <c r="X40" s="250">
        <v>25.04</v>
      </c>
      <c r="Y40" s="1815"/>
      <c r="Z40" s="2509"/>
      <c r="AB40" s="3">
        <v>1</v>
      </c>
      <c r="AE40" s="2461"/>
      <c r="AF40" s="68"/>
      <c r="AK40" s="2818" t="s">
        <v>7185</v>
      </c>
      <c r="AL40" s="2821">
        <f>AL41+AL42+AL43+AL44+AL45</f>
        <v>62.257999999999996</v>
      </c>
      <c r="AM40" s="2820">
        <f>AL40-AG30</f>
        <v>0</v>
      </c>
    </row>
    <row r="41" spans="1:39" x14ac:dyDescent="0.35">
      <c r="A41" s="359"/>
      <c r="B41" s="358">
        <v>11202</v>
      </c>
      <c r="C41" s="358"/>
      <c r="D41" s="360"/>
      <c r="E41" s="357" t="s">
        <v>1672</v>
      </c>
      <c r="F41" s="2295">
        <v>4</v>
      </c>
      <c r="G41" s="2295">
        <v>4</v>
      </c>
      <c r="H41" s="2295">
        <v>6</v>
      </c>
      <c r="I41" s="774"/>
      <c r="J41" s="774"/>
      <c r="K41" s="774"/>
      <c r="L41" s="774"/>
      <c r="M41" s="774"/>
      <c r="N41" s="774">
        <v>0.51300000000000001</v>
      </c>
      <c r="O41" s="775"/>
      <c r="P41" s="1473"/>
      <c r="Q41" s="1467"/>
      <c r="R41" s="1463"/>
      <c r="S41" s="1815"/>
      <c r="T41" s="1931"/>
      <c r="U41" s="1815"/>
      <c r="V41" s="1815"/>
      <c r="W41" s="1815"/>
      <c r="X41" s="1933"/>
      <c r="Y41" s="1815"/>
      <c r="Z41" s="2509"/>
      <c r="AE41" s="2461"/>
      <c r="AF41" s="68"/>
      <c r="AK41" s="2815" t="s">
        <v>11230</v>
      </c>
      <c r="AL41" s="2579">
        <f>SUMIFS(M30:M950,F30:F950,5,G30:G950,4)</f>
        <v>0</v>
      </c>
      <c r="AM41" s="2817"/>
    </row>
    <row r="42" spans="1:39" x14ac:dyDescent="0.35">
      <c r="A42" s="359"/>
      <c r="B42" s="358"/>
      <c r="C42" s="358"/>
      <c r="D42" s="360"/>
      <c r="E42" s="1480" t="s">
        <v>1673</v>
      </c>
      <c r="F42" s="2295">
        <v>5</v>
      </c>
      <c r="G42" s="2295">
        <v>4</v>
      </c>
      <c r="H42" s="2295">
        <v>6</v>
      </c>
      <c r="I42" s="774"/>
      <c r="J42" s="774"/>
      <c r="K42" s="774"/>
      <c r="L42" s="774"/>
      <c r="M42" s="774"/>
      <c r="N42" s="774"/>
      <c r="O42" s="775"/>
      <c r="P42" s="1473"/>
      <c r="Q42" s="1467">
        <f>2.97-0.513</f>
        <v>2.4570000000000003</v>
      </c>
      <c r="R42" s="1463"/>
      <c r="S42" s="1815"/>
      <c r="T42" s="1931"/>
      <c r="U42" s="1815"/>
      <c r="V42" s="1815"/>
      <c r="W42" s="1815"/>
      <c r="X42" s="1933"/>
      <c r="Y42" s="1815"/>
      <c r="Z42" s="2509"/>
      <c r="AE42" s="2461"/>
      <c r="AF42" s="68"/>
      <c r="AK42" s="2815" t="s">
        <v>11231</v>
      </c>
      <c r="AL42" s="2579">
        <f>SUMIFS(N30:N950,F30:F950,5,G30:G950,4)</f>
        <v>8.7270000000000003</v>
      </c>
      <c r="AM42" s="2817"/>
    </row>
    <row r="43" spans="1:39" x14ac:dyDescent="0.35">
      <c r="A43" s="359"/>
      <c r="B43" s="358">
        <v>11202</v>
      </c>
      <c r="C43" s="358"/>
      <c r="D43" s="360"/>
      <c r="E43" s="1479" t="s">
        <v>1674</v>
      </c>
      <c r="F43" s="2295" t="s">
        <v>827</v>
      </c>
      <c r="G43" s="2295">
        <v>4</v>
      </c>
      <c r="H43" s="92">
        <v>6</v>
      </c>
      <c r="I43" s="774"/>
      <c r="J43" s="774"/>
      <c r="K43" s="774"/>
      <c r="L43" s="774"/>
      <c r="M43" s="774"/>
      <c r="N43" s="774"/>
      <c r="O43" s="775"/>
      <c r="P43" s="1473"/>
      <c r="Q43" s="1467"/>
      <c r="R43" s="1463">
        <f>3.163-2.97</f>
        <v>0.19299999999999962</v>
      </c>
      <c r="S43" s="1815"/>
      <c r="T43" s="1931"/>
      <c r="U43" s="1815"/>
      <c r="V43" s="1815"/>
      <c r="W43" s="1815"/>
      <c r="X43" s="1933"/>
      <c r="Y43" s="1815"/>
      <c r="Z43" s="2509"/>
      <c r="AE43" s="2461"/>
      <c r="AF43" s="68"/>
      <c r="AK43" s="2815" t="s">
        <v>11232</v>
      </c>
      <c r="AL43" s="2579">
        <f>SUMIFS(O30:O950,F30:F950,5,G30:G950,4)</f>
        <v>0</v>
      </c>
      <c r="AM43" s="2817"/>
    </row>
    <row r="44" spans="1:39" ht="45" x14ac:dyDescent="0.35">
      <c r="A44" s="525">
        <v>10</v>
      </c>
      <c r="B44" s="693">
        <v>11202</v>
      </c>
      <c r="C44" s="365" t="s">
        <v>1656</v>
      </c>
      <c r="D44" s="2464" t="s">
        <v>5947</v>
      </c>
      <c r="E44" s="2187" t="s">
        <v>8889</v>
      </c>
      <c r="F44" s="92" t="s">
        <v>664</v>
      </c>
      <c r="G44" s="92">
        <v>5</v>
      </c>
      <c r="H44" s="92">
        <v>6</v>
      </c>
      <c r="I44" s="702">
        <f>J44+K44+L44</f>
        <v>0.3</v>
      </c>
      <c r="J44" s="702">
        <f>SUM(M44:R44)</f>
        <v>0.3</v>
      </c>
      <c r="K44" s="2089"/>
      <c r="L44" s="2089"/>
      <c r="M44" s="2089"/>
      <c r="N44" s="2089"/>
      <c r="O44" s="2089"/>
      <c r="P44" s="2089"/>
      <c r="Q44" s="2148"/>
      <c r="R44" s="2235">
        <v>0.3</v>
      </c>
      <c r="S44" s="106"/>
      <c r="T44" s="106"/>
      <c r="U44" s="106"/>
      <c r="V44" s="106"/>
      <c r="W44" s="105"/>
      <c r="X44" s="105"/>
      <c r="Y44" s="105"/>
      <c r="Z44" s="323"/>
      <c r="AB44" s="3">
        <v>1</v>
      </c>
      <c r="AE44" s="2461"/>
      <c r="AF44" s="68"/>
      <c r="AK44" s="2815" t="s">
        <v>11233</v>
      </c>
      <c r="AL44" s="2579">
        <f>SUMIFS(P30:P950,F30:F950,5,G30:G950,4)+SUMIFS(Q30:Q950,F30:F950,5,G30:G950,4)</f>
        <v>51.392000000000003</v>
      </c>
      <c r="AM44" s="2817"/>
    </row>
    <row r="45" spans="1:39" ht="30.5" x14ac:dyDescent="0.35">
      <c r="A45" s="347">
        <v>11</v>
      </c>
      <c r="B45" s="358">
        <v>11202</v>
      </c>
      <c r="C45" s="358"/>
      <c r="D45" s="2464" t="s">
        <v>5948</v>
      </c>
      <c r="E45" s="312" t="s">
        <v>7936</v>
      </c>
      <c r="F45" s="2295"/>
      <c r="G45" s="2295" t="s">
        <v>191</v>
      </c>
      <c r="H45" s="2295" t="s">
        <v>191</v>
      </c>
      <c r="I45" s="772">
        <f>J45+K45+L45</f>
        <v>7.9459999999999997</v>
      </c>
      <c r="J45" s="772">
        <f>SUM(M45:R45)</f>
        <v>7.9459999999999997</v>
      </c>
      <c r="K45" s="772"/>
      <c r="L45" s="772"/>
      <c r="M45" s="772"/>
      <c r="N45" s="772">
        <f>SUM(N46:N48)</f>
        <v>2.669</v>
      </c>
      <c r="O45" s="773"/>
      <c r="P45" s="1470"/>
      <c r="Q45" s="1466">
        <f>SUM(Q46:Q48)</f>
        <v>5.2769999999999992</v>
      </c>
      <c r="R45" s="1462"/>
      <c r="S45" s="1815">
        <v>1</v>
      </c>
      <c r="T45" s="1931">
        <v>69.599999999999994</v>
      </c>
      <c r="U45" s="1815"/>
      <c r="V45" s="1815"/>
      <c r="W45" s="46">
        <v>14</v>
      </c>
      <c r="X45" s="250">
        <v>198.26</v>
      </c>
      <c r="Y45" s="1815">
        <v>1</v>
      </c>
      <c r="Z45" s="2509">
        <v>15</v>
      </c>
      <c r="AB45" s="3">
        <v>1</v>
      </c>
      <c r="AE45" s="2461"/>
      <c r="AF45" s="68"/>
      <c r="AK45" s="2815" t="s">
        <v>910</v>
      </c>
      <c r="AL45" s="2579">
        <f>SUMIFS(R30:R950,F30:F950,5,G30:G950,4)</f>
        <v>2.1389999999999993</v>
      </c>
      <c r="AM45" s="2817"/>
    </row>
    <row r="46" spans="1:39" x14ac:dyDescent="0.35">
      <c r="A46" s="359"/>
      <c r="B46" s="358">
        <v>11202</v>
      </c>
      <c r="C46" s="358"/>
      <c r="D46" s="360"/>
      <c r="E46" s="357" t="s">
        <v>1347</v>
      </c>
      <c r="F46" s="2295">
        <v>4</v>
      </c>
      <c r="G46" s="2295">
        <v>4</v>
      </c>
      <c r="H46" s="2295">
        <v>6</v>
      </c>
      <c r="I46" s="774"/>
      <c r="J46" s="774"/>
      <c r="K46" s="774"/>
      <c r="L46" s="774"/>
      <c r="M46" s="774"/>
      <c r="N46" s="774">
        <v>2.669</v>
      </c>
      <c r="O46" s="775"/>
      <c r="P46" s="1473"/>
      <c r="Q46" s="1467"/>
      <c r="R46" s="1463"/>
      <c r="S46" s="1815"/>
      <c r="T46" s="1931"/>
      <c r="U46" s="1815"/>
      <c r="V46" s="1815"/>
      <c r="W46" s="1815"/>
      <c r="X46" s="1933"/>
      <c r="Y46" s="1815"/>
      <c r="Z46" s="2509"/>
      <c r="AE46" s="2461"/>
      <c r="AF46" s="68"/>
      <c r="AK46" s="2818" t="s">
        <v>11234</v>
      </c>
      <c r="AL46" s="2821">
        <f>AL47+AL48+AL49+AL50+AL51</f>
        <v>16.116</v>
      </c>
      <c r="AM46" s="2820">
        <f>AL46-AH30-AI30-AJ30</f>
        <v>-1.3322676295501878E-15</v>
      </c>
    </row>
    <row r="47" spans="1:39" x14ac:dyDescent="0.35">
      <c r="A47" s="359"/>
      <c r="B47" s="358">
        <v>11202</v>
      </c>
      <c r="C47" s="358"/>
      <c r="D47" s="360"/>
      <c r="E47" s="1480" t="s">
        <v>3569</v>
      </c>
      <c r="F47" s="2295">
        <v>4</v>
      </c>
      <c r="G47" s="2295">
        <v>4</v>
      </c>
      <c r="H47" s="2295">
        <v>6</v>
      </c>
      <c r="I47" s="774"/>
      <c r="J47" s="774"/>
      <c r="K47" s="774"/>
      <c r="L47" s="774"/>
      <c r="M47" s="774"/>
      <c r="N47" s="774"/>
      <c r="O47" s="775"/>
      <c r="P47" s="1473"/>
      <c r="Q47" s="1467">
        <f>5.77-2.669</f>
        <v>3.1009999999999995</v>
      </c>
      <c r="R47" s="1463"/>
      <c r="S47" s="1815"/>
      <c r="T47" s="1931"/>
      <c r="U47" s="1815"/>
      <c r="V47" s="1815"/>
      <c r="W47" s="1815"/>
      <c r="X47" s="1933"/>
      <c r="Y47" s="1815"/>
      <c r="Z47" s="2509"/>
      <c r="AE47" s="2461"/>
      <c r="AF47" s="68"/>
      <c r="AK47" s="2815" t="s">
        <v>11230</v>
      </c>
      <c r="AL47" s="2579">
        <f>SUMIFS(M30:M950,F30:F950,"6а",G30:G950,4)+SUMIFS(M30:M950,F30:F950,"6б",G30:G950,4)+SUMIFS(M30:M950,F30:F950,"б/к",G30:G950,4)</f>
        <v>0</v>
      </c>
      <c r="AM47" s="2817"/>
    </row>
    <row r="48" spans="1:39" x14ac:dyDescent="0.35">
      <c r="A48" s="359"/>
      <c r="B48" s="358">
        <v>11202</v>
      </c>
      <c r="C48" s="358"/>
      <c r="D48" s="360"/>
      <c r="E48" s="1480" t="s">
        <v>3570</v>
      </c>
      <c r="F48" s="2295" t="s">
        <v>827</v>
      </c>
      <c r="G48" s="2295">
        <v>4</v>
      </c>
      <c r="H48" s="2295">
        <v>6</v>
      </c>
      <c r="I48" s="774"/>
      <c r="J48" s="774"/>
      <c r="K48" s="774"/>
      <c r="L48" s="774"/>
      <c r="M48" s="774"/>
      <c r="N48" s="774"/>
      <c r="O48" s="775"/>
      <c r="P48" s="1473"/>
      <c r="Q48" s="1467">
        <f>7.946-5.77</f>
        <v>2.1760000000000002</v>
      </c>
      <c r="R48" s="1463"/>
      <c r="S48" s="1815"/>
      <c r="T48" s="1931"/>
      <c r="U48" s="1815"/>
      <c r="V48" s="1815"/>
      <c r="W48" s="1815"/>
      <c r="X48" s="1933"/>
      <c r="Y48" s="1815"/>
      <c r="Z48" s="2509"/>
      <c r="AE48" s="2461"/>
      <c r="AF48" s="68"/>
      <c r="AK48" s="2815" t="s">
        <v>11231</v>
      </c>
      <c r="AL48" s="2579">
        <f>SUMIFS(N30:N950,F30:F950,"6а",G30:G950,4)+SUMIFS(N30:N950,F30:F950,"6б",G30:G950,4)+SUMIFS(N30:N950,F30:F950,"б/к",G30:G950,4)</f>
        <v>4.9010000000000007</v>
      </c>
      <c r="AM48" s="2817"/>
    </row>
    <row r="49" spans="1:39" ht="45" x14ac:dyDescent="0.35">
      <c r="A49" s="525">
        <v>12</v>
      </c>
      <c r="B49" s="693">
        <v>11202</v>
      </c>
      <c r="C49" s="365" t="s">
        <v>1656</v>
      </c>
      <c r="D49" s="2464" t="s">
        <v>5949</v>
      </c>
      <c r="E49" s="2187" t="s">
        <v>8890</v>
      </c>
      <c r="F49" s="92" t="s">
        <v>664</v>
      </c>
      <c r="G49" s="92">
        <v>5</v>
      </c>
      <c r="H49" s="92">
        <v>6</v>
      </c>
      <c r="I49" s="702">
        <f>J49+K49+L49</f>
        <v>0.5</v>
      </c>
      <c r="J49" s="702">
        <f>SUM(M49:R49)</f>
        <v>0.5</v>
      </c>
      <c r="K49" s="2089"/>
      <c r="L49" s="2089"/>
      <c r="M49" s="2089"/>
      <c r="N49" s="2089"/>
      <c r="O49" s="2089"/>
      <c r="P49" s="2089"/>
      <c r="Q49" s="2148"/>
      <c r="R49" s="2235">
        <v>0.5</v>
      </c>
      <c r="S49" s="106"/>
      <c r="T49" s="106"/>
      <c r="U49" s="106"/>
      <c r="V49" s="106"/>
      <c r="W49" s="105"/>
      <c r="X49" s="105"/>
      <c r="Y49" s="105"/>
      <c r="Z49" s="323"/>
      <c r="AB49" s="3">
        <v>1</v>
      </c>
      <c r="AE49" s="2461"/>
      <c r="AF49" s="68"/>
      <c r="AK49" s="2815" t="s">
        <v>11232</v>
      </c>
      <c r="AL49" s="2579">
        <f>SUMIFS(O30:O950,F30:F950,"6а",G30:G950,4)+SUMIFS(O30:O950,F30:F950,"6б",G30:G950,4)+SUMIFS(O30:O950,F30:F950,"б/к",G30:G950,4)</f>
        <v>0</v>
      </c>
      <c r="AM49" s="2817"/>
    </row>
    <row r="50" spans="1:39" ht="45.5" x14ac:dyDescent="0.35">
      <c r="A50" s="525">
        <v>13</v>
      </c>
      <c r="B50" s="365">
        <v>11202</v>
      </c>
      <c r="C50" s="365" t="s">
        <v>1656</v>
      </c>
      <c r="D50" s="2464" t="s">
        <v>5950</v>
      </c>
      <c r="E50" s="312" t="s">
        <v>8891</v>
      </c>
      <c r="F50" s="92" t="s">
        <v>1490</v>
      </c>
      <c r="G50" s="92">
        <v>5</v>
      </c>
      <c r="H50" s="92">
        <v>6</v>
      </c>
      <c r="I50" s="772">
        <f>J50+K50+L50</f>
        <v>0.65</v>
      </c>
      <c r="J50" s="772">
        <f>SUM(M50:R50)</f>
        <v>0.65</v>
      </c>
      <c r="K50" s="688"/>
      <c r="L50" s="688"/>
      <c r="M50" s="688"/>
      <c r="N50" s="688"/>
      <c r="O50" s="688"/>
      <c r="P50" s="1471"/>
      <c r="Q50" s="1088"/>
      <c r="R50" s="874">
        <v>0.65</v>
      </c>
      <c r="S50" s="46"/>
      <c r="T50" s="46"/>
      <c r="U50" s="46"/>
      <c r="V50" s="46"/>
      <c r="W50" s="46"/>
      <c r="X50" s="46"/>
      <c r="Y50" s="46"/>
      <c r="Z50" s="47"/>
      <c r="AB50" s="3">
        <v>1</v>
      </c>
      <c r="AE50" s="2461"/>
      <c r="AF50" s="68"/>
      <c r="AK50" s="2815" t="s">
        <v>11233</v>
      </c>
      <c r="AL50" s="2579">
        <f>SUMIFS(P30:P950,F30:F950,"6а",G30:G950,4)+SUMIFS(Q30:Q950,F30:F950,"6а",G30:G950,4)+SUMIFS(P30:P950,F30:F950,"6б",G30:G950,4)+SUMIFS(Q30:Q950,F30:F950,"6б",G30:G950,4)+SUMIFS(O30:O950,F30:F950,"б/к",G30:G950,4)+SUMIFS(P30:P950,F30:F950,"б/к",G30:G950,4)+SUMIFS(Q30:Q950,F30:F950,"б/к",G30:G950,4)</f>
        <v>7.3580000000000005</v>
      </c>
      <c r="AM50" s="2817"/>
    </row>
    <row r="51" spans="1:39" ht="30.5" x14ac:dyDescent="0.35">
      <c r="A51" s="525">
        <v>14</v>
      </c>
      <c r="B51" s="358">
        <v>11202</v>
      </c>
      <c r="C51" s="358"/>
      <c r="D51" s="2464" t="s">
        <v>5951</v>
      </c>
      <c r="E51" s="312" t="s">
        <v>7937</v>
      </c>
      <c r="F51" s="2295"/>
      <c r="G51" s="2295" t="s">
        <v>191</v>
      </c>
      <c r="H51" s="2295" t="s">
        <v>191</v>
      </c>
      <c r="I51" s="772">
        <f>J51+K51+L51</f>
        <v>1.82</v>
      </c>
      <c r="J51" s="772">
        <f>SUM(M51:R51)</f>
        <v>1.82</v>
      </c>
      <c r="K51" s="772"/>
      <c r="L51" s="772"/>
      <c r="M51" s="772"/>
      <c r="N51" s="772"/>
      <c r="O51" s="773"/>
      <c r="P51" s="1470"/>
      <c r="Q51" s="1466">
        <f>SUM(Q52:Q53)</f>
        <v>1.82</v>
      </c>
      <c r="R51" s="1462"/>
      <c r="S51" s="1815"/>
      <c r="T51" s="1931"/>
      <c r="U51" s="1815"/>
      <c r="V51" s="1815"/>
      <c r="W51" s="46">
        <v>3</v>
      </c>
      <c r="X51" s="250">
        <v>35</v>
      </c>
      <c r="Y51" s="1815">
        <v>1</v>
      </c>
      <c r="Z51" s="2509">
        <v>10</v>
      </c>
      <c r="AB51" s="3">
        <v>1</v>
      </c>
      <c r="AE51" s="2461"/>
      <c r="AF51" s="68"/>
      <c r="AK51" s="2815" t="s">
        <v>910</v>
      </c>
      <c r="AL51" s="2579">
        <f>SUMIFS(R30:R950,F30:F950,"6а",G30:G950,4)+SUMIFS(R30:R950,F30:F950,"6б",G30:G950,4)+SUMIFS(R30:R950,F30:F950,"б/к",G30:G950,4)</f>
        <v>3.8570000000000007</v>
      </c>
      <c r="AM51" s="2817"/>
    </row>
    <row r="52" spans="1:39" x14ac:dyDescent="0.35">
      <c r="A52" s="359"/>
      <c r="B52" s="358">
        <v>11202</v>
      </c>
      <c r="C52" s="358"/>
      <c r="D52" s="360"/>
      <c r="E52" s="1480" t="s">
        <v>3567</v>
      </c>
      <c r="F52" s="2295">
        <v>5</v>
      </c>
      <c r="G52" s="2295">
        <v>4</v>
      </c>
      <c r="H52" s="2295">
        <v>6</v>
      </c>
      <c r="I52" s="774"/>
      <c r="J52" s="774"/>
      <c r="K52" s="774"/>
      <c r="L52" s="774"/>
      <c r="M52" s="774"/>
      <c r="N52" s="774"/>
      <c r="O52" s="775"/>
      <c r="P52" s="1473"/>
      <c r="Q52" s="1467">
        <v>1.1719999999999999</v>
      </c>
      <c r="R52" s="1463"/>
      <c r="S52" s="1815"/>
      <c r="T52" s="1931"/>
      <c r="U52" s="1815"/>
      <c r="V52" s="1815"/>
      <c r="W52" s="1815"/>
      <c r="X52" s="1933"/>
      <c r="Y52" s="1815"/>
      <c r="Z52" s="2509"/>
      <c r="AE52" s="2461"/>
      <c r="AF52" s="68"/>
      <c r="AK52" s="2815"/>
      <c r="AL52" s="2579"/>
      <c r="AM52" s="2817"/>
    </row>
    <row r="53" spans="1:39" x14ac:dyDescent="0.35">
      <c r="A53" s="359"/>
      <c r="B53" s="358">
        <v>11202</v>
      </c>
      <c r="C53" s="358"/>
      <c r="D53" s="360"/>
      <c r="E53" s="1480" t="s">
        <v>3568</v>
      </c>
      <c r="F53" s="2295" t="s">
        <v>827</v>
      </c>
      <c r="G53" s="2295">
        <v>5</v>
      </c>
      <c r="H53" s="2295">
        <v>6</v>
      </c>
      <c r="I53" s="774"/>
      <c r="J53" s="774"/>
      <c r="K53" s="774"/>
      <c r="L53" s="774"/>
      <c r="M53" s="774"/>
      <c r="N53" s="774"/>
      <c r="O53" s="775"/>
      <c r="P53" s="1473"/>
      <c r="Q53" s="1467">
        <f>1.82-1.172</f>
        <v>0.64800000000000013</v>
      </c>
      <c r="R53" s="1463"/>
      <c r="S53" s="1815"/>
      <c r="T53" s="1931"/>
      <c r="U53" s="1815"/>
      <c r="V53" s="1815"/>
      <c r="W53" s="1815"/>
      <c r="X53" s="1933"/>
      <c r="Y53" s="1815"/>
      <c r="Z53" s="2509"/>
      <c r="AE53" s="2461"/>
      <c r="AF53" s="68"/>
      <c r="AK53" s="2818" t="s">
        <v>11236</v>
      </c>
      <c r="AL53" s="2821">
        <f>AL55+AL61+AL67</f>
        <v>204.179</v>
      </c>
      <c r="AM53" s="2820">
        <f>AL53-J20</f>
        <v>0</v>
      </c>
    </row>
    <row r="54" spans="1:39" ht="30.5" x14ac:dyDescent="0.35">
      <c r="A54" s="347">
        <v>15</v>
      </c>
      <c r="B54" s="358">
        <v>11202</v>
      </c>
      <c r="C54" s="358"/>
      <c r="D54" s="2464" t="s">
        <v>5952</v>
      </c>
      <c r="E54" s="312" t="s">
        <v>7938</v>
      </c>
      <c r="F54" s="2295" t="s">
        <v>827</v>
      </c>
      <c r="G54" s="2295">
        <v>5</v>
      </c>
      <c r="H54" s="92">
        <v>6</v>
      </c>
      <c r="I54" s="772">
        <f>J54+K54+L54</f>
        <v>2.8</v>
      </c>
      <c r="J54" s="772">
        <f>SUM(M54:R54)</f>
        <v>2.8</v>
      </c>
      <c r="K54" s="772"/>
      <c r="L54" s="772"/>
      <c r="M54" s="772"/>
      <c r="N54" s="772"/>
      <c r="O54" s="773"/>
      <c r="P54" s="1470"/>
      <c r="Q54" s="1466"/>
      <c r="R54" s="1462">
        <v>2.8</v>
      </c>
      <c r="S54" s="1815"/>
      <c r="T54" s="1931"/>
      <c r="U54" s="1815"/>
      <c r="V54" s="1815"/>
      <c r="W54" s="46">
        <v>2</v>
      </c>
      <c r="X54" s="250">
        <v>15</v>
      </c>
      <c r="Y54" s="1815"/>
      <c r="Z54" s="2509"/>
      <c r="AB54" s="3">
        <v>1</v>
      </c>
      <c r="AE54" s="2461"/>
      <c r="AF54" s="68"/>
      <c r="AK54" s="2815" t="s">
        <v>11229</v>
      </c>
      <c r="AL54" s="2579"/>
      <c r="AM54" s="2817"/>
    </row>
    <row r="55" spans="1:39" ht="60" x14ac:dyDescent="0.35">
      <c r="A55" s="525">
        <v>16</v>
      </c>
      <c r="B55" s="693">
        <v>11202</v>
      </c>
      <c r="C55" s="365" t="s">
        <v>1656</v>
      </c>
      <c r="D55" s="2464" t="s">
        <v>5953</v>
      </c>
      <c r="E55" s="2187" t="s">
        <v>8892</v>
      </c>
      <c r="F55" s="92" t="s">
        <v>664</v>
      </c>
      <c r="G55" s="92">
        <v>5</v>
      </c>
      <c r="H55" s="92">
        <v>6</v>
      </c>
      <c r="I55" s="702">
        <f>J55+K55+L55</f>
        <v>0.5</v>
      </c>
      <c r="J55" s="702">
        <f>SUM(M55:R55)</f>
        <v>0.5</v>
      </c>
      <c r="K55" s="2089"/>
      <c r="L55" s="2089"/>
      <c r="M55" s="2089"/>
      <c r="N55" s="2089"/>
      <c r="O55" s="2089"/>
      <c r="P55" s="2089"/>
      <c r="Q55" s="2148"/>
      <c r="R55" s="2235">
        <v>0.5</v>
      </c>
      <c r="S55" s="106"/>
      <c r="T55" s="106"/>
      <c r="U55" s="106"/>
      <c r="V55" s="106"/>
      <c r="W55" s="105"/>
      <c r="X55" s="105"/>
      <c r="Y55" s="105"/>
      <c r="Z55" s="323"/>
      <c r="AB55" s="3">
        <v>1</v>
      </c>
      <c r="AE55" s="2461"/>
      <c r="AF55" s="68"/>
      <c r="AK55" s="2818" t="s">
        <v>7184</v>
      </c>
      <c r="AL55" s="2821">
        <f>AL56+AL57+AL58+AL59+AL60</f>
        <v>13.243000000000002</v>
      </c>
      <c r="AM55" s="2820">
        <f>AL55-AF31</f>
        <v>0</v>
      </c>
    </row>
    <row r="56" spans="1:39" ht="30.5" x14ac:dyDescent="0.35">
      <c r="A56" s="347">
        <v>17</v>
      </c>
      <c r="B56" s="358">
        <v>11202</v>
      </c>
      <c r="C56" s="358"/>
      <c r="D56" s="2464" t="s">
        <v>5954</v>
      </c>
      <c r="E56" s="312" t="s">
        <v>7939</v>
      </c>
      <c r="F56" s="2295"/>
      <c r="G56" s="2295" t="s">
        <v>191</v>
      </c>
      <c r="H56" s="2295" t="s">
        <v>191</v>
      </c>
      <c r="I56" s="772">
        <f>J56+K56+L56</f>
        <v>3.9770000000000003</v>
      </c>
      <c r="J56" s="772">
        <f>SUM(M56:R56)</f>
        <v>3.9770000000000003</v>
      </c>
      <c r="K56" s="772"/>
      <c r="L56" s="772"/>
      <c r="M56" s="772"/>
      <c r="N56" s="772">
        <f>SUM(N57:N58)</f>
        <v>1.506</v>
      </c>
      <c r="O56" s="773"/>
      <c r="P56" s="1470"/>
      <c r="Q56" s="1466">
        <f>SUM(Q57:Q58)</f>
        <v>2.4710000000000001</v>
      </c>
      <c r="R56" s="1462"/>
      <c r="S56" s="1815"/>
      <c r="T56" s="1931"/>
      <c r="U56" s="1815"/>
      <c r="V56" s="1815"/>
      <c r="W56" s="46">
        <v>6</v>
      </c>
      <c r="X56" s="250">
        <v>75.08</v>
      </c>
      <c r="Y56" s="1815">
        <v>2</v>
      </c>
      <c r="Z56" s="2509">
        <v>20</v>
      </c>
      <c r="AB56" s="3">
        <v>1</v>
      </c>
      <c r="AE56" s="2461"/>
      <c r="AF56" s="68"/>
      <c r="AK56" s="2815" t="s">
        <v>11230</v>
      </c>
      <c r="AL56" s="2579">
        <f>SUMIFS(M30:M950,F30:F950,4,G30:G950,5)</f>
        <v>0</v>
      </c>
      <c r="AM56" s="2817"/>
    </row>
    <row r="57" spans="1:39" x14ac:dyDescent="0.35">
      <c r="A57" s="359"/>
      <c r="B57" s="358">
        <v>11202</v>
      </c>
      <c r="C57" s="358"/>
      <c r="D57" s="360"/>
      <c r="E57" s="357" t="s">
        <v>2547</v>
      </c>
      <c r="F57" s="2295">
        <v>5</v>
      </c>
      <c r="G57" s="2295">
        <v>4</v>
      </c>
      <c r="H57" s="2295">
        <v>6</v>
      </c>
      <c r="I57" s="774"/>
      <c r="J57" s="774"/>
      <c r="K57" s="774"/>
      <c r="L57" s="774"/>
      <c r="M57" s="774"/>
      <c r="N57" s="774">
        <v>1.506</v>
      </c>
      <c r="O57" s="775"/>
      <c r="P57" s="1473"/>
      <c r="Q57" s="1467"/>
      <c r="R57" s="1463"/>
      <c r="S57" s="1815"/>
      <c r="T57" s="1931"/>
      <c r="U57" s="1815"/>
      <c r="V57" s="1815"/>
      <c r="W57" s="1815"/>
      <c r="X57" s="1933"/>
      <c r="Y57" s="1815"/>
      <c r="Z57" s="2509"/>
      <c r="AE57" s="2461"/>
      <c r="AF57" s="68"/>
      <c r="AK57" s="2815" t="s">
        <v>11231</v>
      </c>
      <c r="AL57" s="2579">
        <f>SUMIFS(N30:N950,F30:F950,4,G30:G950,5)</f>
        <v>10.317000000000002</v>
      </c>
      <c r="AM57" s="2817"/>
    </row>
    <row r="58" spans="1:39" x14ac:dyDescent="0.35">
      <c r="A58" s="359"/>
      <c r="B58" s="358">
        <v>11202</v>
      </c>
      <c r="C58" s="358"/>
      <c r="D58" s="360"/>
      <c r="E58" s="1480" t="s">
        <v>2548</v>
      </c>
      <c r="F58" s="2295">
        <v>5</v>
      </c>
      <c r="G58" s="2295">
        <v>4</v>
      </c>
      <c r="H58" s="2295">
        <v>6</v>
      </c>
      <c r="I58" s="774"/>
      <c r="J58" s="774"/>
      <c r="K58" s="774"/>
      <c r="L58" s="774"/>
      <c r="M58" s="774"/>
      <c r="N58" s="774"/>
      <c r="O58" s="775"/>
      <c r="P58" s="1473"/>
      <c r="Q58" s="1467">
        <f>3.977-1.506</f>
        <v>2.4710000000000001</v>
      </c>
      <c r="R58" s="1463"/>
      <c r="S58" s="1815"/>
      <c r="T58" s="1931"/>
      <c r="U58" s="1815"/>
      <c r="V58" s="1815"/>
      <c r="W58" s="1815"/>
      <c r="X58" s="1933"/>
      <c r="Y58" s="1815"/>
      <c r="Z58" s="2509"/>
      <c r="AE58" s="2461"/>
      <c r="AF58" s="68"/>
      <c r="AK58" s="2815" t="s">
        <v>11232</v>
      </c>
      <c r="AL58" s="2579">
        <f>SUMIFS(O30:O950,F30:F950,4,G30:G950,5)</f>
        <v>0</v>
      </c>
      <c r="AM58" s="2817"/>
    </row>
    <row r="59" spans="1:39" ht="45" x14ac:dyDescent="0.35">
      <c r="A59" s="525">
        <v>18</v>
      </c>
      <c r="B59" s="693">
        <v>11202</v>
      </c>
      <c r="C59" s="365" t="s">
        <v>1656</v>
      </c>
      <c r="D59" s="2464" t="s">
        <v>5955</v>
      </c>
      <c r="E59" s="2187" t="s">
        <v>8893</v>
      </c>
      <c r="F59" s="92" t="s">
        <v>1490</v>
      </c>
      <c r="G59" s="92">
        <v>5</v>
      </c>
      <c r="H59" s="92">
        <v>6</v>
      </c>
      <c r="I59" s="702">
        <f t="shared" ref="I59:I67" si="8">J59+K59+L59</f>
        <v>0.8</v>
      </c>
      <c r="J59" s="702">
        <f t="shared" ref="J59:J67" si="9">SUM(M59:R59)</f>
        <v>0.8</v>
      </c>
      <c r="K59" s="2089"/>
      <c r="L59" s="2089"/>
      <c r="M59" s="2089"/>
      <c r="N59" s="2089"/>
      <c r="O59" s="2089"/>
      <c r="P59" s="2089"/>
      <c r="Q59" s="2148"/>
      <c r="R59" s="2235">
        <v>0.8</v>
      </c>
      <c r="S59" s="106"/>
      <c r="T59" s="106"/>
      <c r="U59" s="106"/>
      <c r="V59" s="106"/>
      <c r="W59" s="105"/>
      <c r="X59" s="105"/>
      <c r="Y59" s="105"/>
      <c r="Z59" s="323"/>
      <c r="AB59" s="3">
        <v>1</v>
      </c>
      <c r="AE59" s="2461"/>
      <c r="AF59" s="68"/>
      <c r="AK59" s="2815" t="s">
        <v>11233</v>
      </c>
      <c r="AL59" s="2579">
        <f>SUMIFS(P30:P950,F30:F950,4,G30:G950,5)+SUMIFS(Q30:Q950,F30:F950,4,G30:G950,5)</f>
        <v>2.9260000000000002</v>
      </c>
      <c r="AM59" s="2817"/>
    </row>
    <row r="60" spans="1:39" ht="30.5" x14ac:dyDescent="0.35">
      <c r="A60" s="347">
        <v>19</v>
      </c>
      <c r="B60" s="358">
        <v>11202</v>
      </c>
      <c r="C60" s="358"/>
      <c r="D60" s="2464" t="s">
        <v>5956</v>
      </c>
      <c r="E60" s="312" t="s">
        <v>7940</v>
      </c>
      <c r="F60" s="2295">
        <v>5</v>
      </c>
      <c r="G60" s="2295">
        <v>4</v>
      </c>
      <c r="H60" s="2295">
        <v>6</v>
      </c>
      <c r="I60" s="772">
        <f t="shared" si="8"/>
        <v>0.52400000000000002</v>
      </c>
      <c r="J60" s="772">
        <f t="shared" si="9"/>
        <v>0.52400000000000002</v>
      </c>
      <c r="K60" s="772"/>
      <c r="L60" s="772"/>
      <c r="M60" s="772"/>
      <c r="N60" s="772">
        <v>0.52400000000000002</v>
      </c>
      <c r="O60" s="773"/>
      <c r="P60" s="1470"/>
      <c r="Q60" s="1466"/>
      <c r="R60" s="1462"/>
      <c r="S60" s="1815"/>
      <c r="T60" s="1931"/>
      <c r="U60" s="1815"/>
      <c r="V60" s="1815"/>
      <c r="W60" s="46">
        <v>1</v>
      </c>
      <c r="X60" s="250">
        <v>10.02</v>
      </c>
      <c r="Y60" s="46"/>
      <c r="Z60" s="47"/>
      <c r="AB60" s="3">
        <v>1</v>
      </c>
      <c r="AE60" s="2461"/>
      <c r="AF60" s="68"/>
      <c r="AK60" s="2815" t="s">
        <v>910</v>
      </c>
      <c r="AL60" s="2579">
        <f>SUMIFS(R30:R950,F30:F950,4,G30:G950,5)</f>
        <v>0</v>
      </c>
      <c r="AM60" s="2817"/>
    </row>
    <row r="61" spans="1:39" ht="30.5" x14ac:dyDescent="0.35">
      <c r="A61" s="525">
        <v>20</v>
      </c>
      <c r="B61" s="358">
        <v>11202</v>
      </c>
      <c r="C61" s="358"/>
      <c r="D61" s="2464" t="s">
        <v>5957</v>
      </c>
      <c r="E61" s="312" t="s">
        <v>7941</v>
      </c>
      <c r="F61" s="2295">
        <v>5</v>
      </c>
      <c r="G61" s="2295">
        <v>4</v>
      </c>
      <c r="H61" s="2295">
        <v>6</v>
      </c>
      <c r="I61" s="772">
        <f t="shared" si="8"/>
        <v>1.4279999999999999</v>
      </c>
      <c r="J61" s="772">
        <f t="shared" si="9"/>
        <v>1.4279999999999999</v>
      </c>
      <c r="K61" s="772"/>
      <c r="L61" s="772"/>
      <c r="M61" s="772"/>
      <c r="N61" s="772">
        <v>1.4279999999999999</v>
      </c>
      <c r="O61" s="773"/>
      <c r="P61" s="1470"/>
      <c r="Q61" s="1466"/>
      <c r="R61" s="1462"/>
      <c r="S61" s="1815"/>
      <c r="T61" s="1931"/>
      <c r="U61" s="1815"/>
      <c r="V61" s="1815"/>
      <c r="W61" s="46">
        <v>3</v>
      </c>
      <c r="X61" s="250">
        <v>35.049999999999997</v>
      </c>
      <c r="Y61" s="46">
        <v>1</v>
      </c>
      <c r="Z61" s="47">
        <v>10.01</v>
      </c>
      <c r="AB61" s="3">
        <v>1</v>
      </c>
      <c r="AE61" s="2461"/>
      <c r="AF61" s="68"/>
      <c r="AK61" s="2818" t="s">
        <v>7185</v>
      </c>
      <c r="AL61" s="2821">
        <f>AL62+AL63+AL64+AL65+AL66</f>
        <v>57.532000000000004</v>
      </c>
      <c r="AM61" s="2820">
        <f>AL61-AG31</f>
        <v>0</v>
      </c>
    </row>
    <row r="62" spans="1:39" ht="30" x14ac:dyDescent="0.35">
      <c r="A62" s="347">
        <v>21</v>
      </c>
      <c r="B62" s="693">
        <v>11202</v>
      </c>
      <c r="C62" s="365" t="s">
        <v>1656</v>
      </c>
      <c r="D62" s="2464" t="s">
        <v>5958</v>
      </c>
      <c r="E62" s="2187" t="s">
        <v>8894</v>
      </c>
      <c r="F62" s="92" t="s">
        <v>664</v>
      </c>
      <c r="G62" s="92">
        <v>5</v>
      </c>
      <c r="H62" s="92">
        <v>6</v>
      </c>
      <c r="I62" s="702">
        <f t="shared" si="8"/>
        <v>0.3</v>
      </c>
      <c r="J62" s="702">
        <f t="shared" si="9"/>
        <v>0.3</v>
      </c>
      <c r="K62" s="2089"/>
      <c r="L62" s="2089"/>
      <c r="M62" s="2089"/>
      <c r="N62" s="2089"/>
      <c r="O62" s="2089"/>
      <c r="P62" s="2089"/>
      <c r="Q62" s="2148"/>
      <c r="R62" s="2235">
        <v>0.3</v>
      </c>
      <c r="S62" s="106"/>
      <c r="T62" s="106"/>
      <c r="U62" s="106"/>
      <c r="V62" s="106"/>
      <c r="W62" s="105"/>
      <c r="X62" s="105"/>
      <c r="Y62" s="105"/>
      <c r="Z62" s="323"/>
      <c r="AB62" s="3">
        <v>1</v>
      </c>
      <c r="AE62" s="2461"/>
      <c r="AF62" s="68"/>
      <c r="AK62" s="2815" t="s">
        <v>11230</v>
      </c>
      <c r="AL62" s="2579">
        <f>SUMIFS(M30:M950,F30:F950,5,G30:G950,5)</f>
        <v>0</v>
      </c>
      <c r="AM62" s="2817"/>
    </row>
    <row r="63" spans="1:39" ht="45.5" x14ac:dyDescent="0.35">
      <c r="A63" s="525">
        <v>22</v>
      </c>
      <c r="B63" s="358">
        <v>11202</v>
      </c>
      <c r="C63" s="358" t="s">
        <v>1657</v>
      </c>
      <c r="D63" s="2464" t="s">
        <v>5959</v>
      </c>
      <c r="E63" s="312" t="s">
        <v>10178</v>
      </c>
      <c r="F63" s="2295" t="s">
        <v>827</v>
      </c>
      <c r="G63" s="2295">
        <v>5</v>
      </c>
      <c r="H63" s="2295">
        <v>6</v>
      </c>
      <c r="I63" s="772">
        <f t="shared" si="8"/>
        <v>0.6</v>
      </c>
      <c r="J63" s="772">
        <f t="shared" si="9"/>
        <v>0.6</v>
      </c>
      <c r="K63" s="772"/>
      <c r="L63" s="772"/>
      <c r="M63" s="772"/>
      <c r="N63" s="772"/>
      <c r="O63" s="773"/>
      <c r="P63" s="1470"/>
      <c r="Q63" s="1466">
        <v>0.6</v>
      </c>
      <c r="R63" s="1462"/>
      <c r="S63" s="1815"/>
      <c r="T63" s="1931"/>
      <c r="U63" s="1815"/>
      <c r="V63" s="1815"/>
      <c r="W63" s="1815"/>
      <c r="X63" s="1933"/>
      <c r="Y63" s="1815"/>
      <c r="Z63" s="2509"/>
      <c r="AB63" s="3">
        <v>1</v>
      </c>
      <c r="AE63" s="2461"/>
      <c r="AF63" s="68"/>
      <c r="AK63" s="2815" t="s">
        <v>11231</v>
      </c>
      <c r="AL63" s="2579">
        <f>SUMIFS(N30:N950,F30:F950,5,G30:G950,5)</f>
        <v>13.037999999999998</v>
      </c>
      <c r="AM63" s="2817"/>
    </row>
    <row r="64" spans="1:39" ht="45.5" x14ac:dyDescent="0.35">
      <c r="A64" s="347">
        <v>23</v>
      </c>
      <c r="B64" s="358">
        <v>11202</v>
      </c>
      <c r="C64" s="365"/>
      <c r="D64" s="2464" t="s">
        <v>5960</v>
      </c>
      <c r="E64" s="312" t="s">
        <v>9327</v>
      </c>
      <c r="F64" s="92">
        <v>5</v>
      </c>
      <c r="G64" s="92">
        <v>5</v>
      </c>
      <c r="H64" s="2295">
        <v>6</v>
      </c>
      <c r="I64" s="772">
        <f>J64+K64+L64</f>
        <v>0.3</v>
      </c>
      <c r="J64" s="772">
        <f>SUM(M64:R64)</f>
        <v>0.3</v>
      </c>
      <c r="K64" s="688"/>
      <c r="L64" s="688"/>
      <c r="M64" s="688"/>
      <c r="N64" s="688">
        <v>0.3</v>
      </c>
      <c r="O64" s="688"/>
      <c r="P64" s="1471"/>
      <c r="Q64" s="1088"/>
      <c r="R64" s="874"/>
      <c r="S64" s="46"/>
      <c r="T64" s="46"/>
      <c r="U64" s="46"/>
      <c r="V64" s="46"/>
      <c r="W64" s="46"/>
      <c r="X64" s="46"/>
      <c r="Y64" s="46"/>
      <c r="Z64" s="47"/>
      <c r="AB64" s="3">
        <v>1</v>
      </c>
      <c r="AE64" s="2461"/>
      <c r="AF64" s="68"/>
      <c r="AK64" s="2815" t="s">
        <v>11232</v>
      </c>
      <c r="AL64" s="2579">
        <f>SUMIFS(O30:O950,F30:F950,5,G30:G950,5)</f>
        <v>0</v>
      </c>
      <c r="AM64" s="2817"/>
    </row>
    <row r="65" spans="1:39" ht="45.5" x14ac:dyDescent="0.35">
      <c r="A65" s="525">
        <v>24</v>
      </c>
      <c r="B65" s="365">
        <v>11202</v>
      </c>
      <c r="C65" s="365"/>
      <c r="D65" s="2464" t="s">
        <v>5961</v>
      </c>
      <c r="E65" s="312" t="s">
        <v>10179</v>
      </c>
      <c r="F65" s="92">
        <v>5</v>
      </c>
      <c r="G65" s="92">
        <v>5</v>
      </c>
      <c r="H65" s="2295">
        <v>6</v>
      </c>
      <c r="I65" s="772">
        <f t="shared" si="8"/>
        <v>0.36499999999999999</v>
      </c>
      <c r="J65" s="772">
        <f t="shared" si="9"/>
        <v>0.36499999999999999</v>
      </c>
      <c r="K65" s="688"/>
      <c r="L65" s="688"/>
      <c r="M65" s="688"/>
      <c r="N65" s="688">
        <v>0.36499999999999999</v>
      </c>
      <c r="O65" s="688"/>
      <c r="P65" s="1471"/>
      <c r="Q65" s="1088"/>
      <c r="R65" s="874"/>
      <c r="S65" s="46"/>
      <c r="T65" s="46"/>
      <c r="U65" s="46"/>
      <c r="V65" s="46"/>
      <c r="W65" s="46"/>
      <c r="X65" s="46"/>
      <c r="Y65" s="46"/>
      <c r="Z65" s="47"/>
      <c r="AB65" s="3">
        <v>1</v>
      </c>
      <c r="AE65" s="2461"/>
      <c r="AF65" s="68"/>
      <c r="AK65" s="2815" t="s">
        <v>11233</v>
      </c>
      <c r="AL65" s="2579">
        <f>SUMIFS(P30:P950,F30:F950,5,G30:G950,5)+SUMIFS(Q30:Q950,F30:F950,5,G30:G950,5)</f>
        <v>43.214000000000006</v>
      </c>
      <c r="AM65" s="2817"/>
    </row>
    <row r="66" spans="1:39" ht="30.5" x14ac:dyDescent="0.35">
      <c r="A66" s="347">
        <v>25</v>
      </c>
      <c r="B66" s="365">
        <v>11202</v>
      </c>
      <c r="C66" s="1064"/>
      <c r="D66" s="2464" t="s">
        <v>5962</v>
      </c>
      <c r="E66" s="269" t="s">
        <v>7942</v>
      </c>
      <c r="F66" s="2295" t="s">
        <v>827</v>
      </c>
      <c r="G66" s="2295">
        <v>5</v>
      </c>
      <c r="H66" s="92">
        <v>6</v>
      </c>
      <c r="I66" s="772">
        <f>J66+K66+L66</f>
        <v>1.6</v>
      </c>
      <c r="J66" s="772">
        <f>SUM(M66:R66)</f>
        <v>1.6</v>
      </c>
      <c r="K66" s="772"/>
      <c r="L66" s="772"/>
      <c r="M66" s="772"/>
      <c r="N66" s="772"/>
      <c r="O66" s="773"/>
      <c r="P66" s="1470"/>
      <c r="Q66" s="1466"/>
      <c r="R66" s="1462">
        <v>1.6</v>
      </c>
      <c r="S66" s="1815"/>
      <c r="T66" s="1931"/>
      <c r="U66" s="1815"/>
      <c r="V66" s="1815"/>
      <c r="W66" s="1815"/>
      <c r="X66" s="1933"/>
      <c r="Y66" s="1815"/>
      <c r="Z66" s="2509"/>
      <c r="AB66" s="3">
        <v>1</v>
      </c>
      <c r="AE66" s="2461"/>
      <c r="AF66" s="68"/>
      <c r="AK66" s="2815" t="s">
        <v>910</v>
      </c>
      <c r="AL66" s="2579">
        <f>SUMIFS(R30:R950,F30:F950,5,G30:G950,5)</f>
        <v>1.28</v>
      </c>
      <c r="AM66" s="2817"/>
    </row>
    <row r="67" spans="1:39" ht="30.5" x14ac:dyDescent="0.35">
      <c r="A67" s="525">
        <v>26</v>
      </c>
      <c r="B67" s="358">
        <v>11203</v>
      </c>
      <c r="C67" s="358"/>
      <c r="D67" s="358" t="s">
        <v>683</v>
      </c>
      <c r="E67" s="269" t="s">
        <v>10180</v>
      </c>
      <c r="F67" s="2295"/>
      <c r="G67" s="2295" t="s">
        <v>191</v>
      </c>
      <c r="H67" s="2295" t="s">
        <v>191</v>
      </c>
      <c r="I67" s="772">
        <f t="shared" si="8"/>
        <v>15.75</v>
      </c>
      <c r="J67" s="772">
        <f t="shared" si="9"/>
        <v>15.75</v>
      </c>
      <c r="K67" s="772"/>
      <c r="L67" s="772"/>
      <c r="M67" s="772"/>
      <c r="N67" s="772">
        <f>SUM(N68:N71)</f>
        <v>6.2459999999999987</v>
      </c>
      <c r="O67" s="773"/>
      <c r="P67" s="1470"/>
      <c r="Q67" s="1466">
        <f>SUM(Q68:Q71)</f>
        <v>9.5040000000000013</v>
      </c>
      <c r="R67" s="1462"/>
      <c r="S67" s="1815">
        <v>1</v>
      </c>
      <c r="T67" s="1931">
        <v>75.8</v>
      </c>
      <c r="U67" s="1815"/>
      <c r="V67" s="1815"/>
      <c r="W67" s="46">
        <v>23</v>
      </c>
      <c r="X67" s="250">
        <v>300</v>
      </c>
      <c r="Y67" s="46">
        <v>8</v>
      </c>
      <c r="Z67" s="47">
        <v>80</v>
      </c>
      <c r="AB67" s="3">
        <v>1</v>
      </c>
      <c r="AE67" s="2461"/>
      <c r="AF67" s="68"/>
      <c r="AK67" s="2818" t="s">
        <v>11234</v>
      </c>
      <c r="AL67" s="2821">
        <f>AL68+AL69+AL70+AL71+AL72</f>
        <v>133.404</v>
      </c>
      <c r="AM67" s="2820">
        <f>AL67-AH31-AI31-AJ31</f>
        <v>0</v>
      </c>
    </row>
    <row r="68" spans="1:39" x14ac:dyDescent="0.35">
      <c r="A68" s="359"/>
      <c r="B68" s="358">
        <v>11203</v>
      </c>
      <c r="C68" s="358"/>
      <c r="D68" s="360"/>
      <c r="E68" s="357" t="s">
        <v>46</v>
      </c>
      <c r="F68" s="2295">
        <v>4</v>
      </c>
      <c r="G68" s="2295">
        <v>4</v>
      </c>
      <c r="H68" s="2295">
        <v>6</v>
      </c>
      <c r="I68" s="774"/>
      <c r="J68" s="774"/>
      <c r="K68" s="774"/>
      <c r="L68" s="774"/>
      <c r="M68" s="774"/>
      <c r="N68" s="774">
        <v>1.5489999999999999</v>
      </c>
      <c r="O68" s="775"/>
      <c r="P68" s="1473"/>
      <c r="Q68" s="1467"/>
      <c r="R68" s="1463"/>
      <c r="S68" s="1815"/>
      <c r="T68" s="1931"/>
      <c r="U68" s="1815"/>
      <c r="V68" s="1815"/>
      <c r="W68" s="1815"/>
      <c r="X68" s="1933"/>
      <c r="Y68" s="1815"/>
      <c r="Z68" s="2509"/>
      <c r="AE68" s="2461"/>
      <c r="AF68" s="68"/>
      <c r="AK68" s="2815" t="s">
        <v>11230</v>
      </c>
      <c r="AL68" s="2579">
        <f>SUMIFS(M30:M950,F30:F950,"6а",G30:G950,5)+SUMIFS(M30:M950,F30:F950,"6б",G30:G950,5)+SUMIFS(M30:M950,F30:F950,"б/к",G30:G950,5)</f>
        <v>2.7999999999999581E-2</v>
      </c>
      <c r="AM68" s="2817"/>
    </row>
    <row r="69" spans="1:39" x14ac:dyDescent="0.35">
      <c r="A69" s="359"/>
      <c r="B69" s="358">
        <v>11203</v>
      </c>
      <c r="C69" s="358"/>
      <c r="D69" s="360"/>
      <c r="E69" s="1480" t="s">
        <v>47</v>
      </c>
      <c r="F69" s="2295">
        <v>4</v>
      </c>
      <c r="G69" s="2295">
        <v>4</v>
      </c>
      <c r="H69" s="2295">
        <v>6</v>
      </c>
      <c r="I69" s="774"/>
      <c r="J69" s="774"/>
      <c r="K69" s="774"/>
      <c r="L69" s="774"/>
      <c r="M69" s="774"/>
      <c r="N69" s="774"/>
      <c r="O69" s="775"/>
      <c r="P69" s="1473"/>
      <c r="Q69" s="1467">
        <f>8.811-1.549</f>
        <v>7.2620000000000005</v>
      </c>
      <c r="R69" s="1463"/>
      <c r="S69" s="1815"/>
      <c r="T69" s="1931"/>
      <c r="U69" s="1815"/>
      <c r="V69" s="1815"/>
      <c r="W69" s="1815"/>
      <c r="X69" s="1933"/>
      <c r="Y69" s="1815"/>
      <c r="Z69" s="2509"/>
      <c r="AE69" s="2461"/>
      <c r="AF69" s="68"/>
      <c r="AK69" s="2815" t="s">
        <v>11231</v>
      </c>
      <c r="AL69" s="2579">
        <f>SUMIFS(N30:N950,F30:F950,"6а",G30:G950,5)+SUMIFS(N30:N950,F30:F950,"6б",G30:G950,5)+SUMIFS(N30:N950,F30:F950,"б/к",G30:G950,5)</f>
        <v>2.9589999999999996</v>
      </c>
      <c r="AM69" s="2817"/>
    </row>
    <row r="70" spans="1:39" x14ac:dyDescent="0.35">
      <c r="A70" s="359"/>
      <c r="B70" s="358">
        <v>11203</v>
      </c>
      <c r="C70" s="358"/>
      <c r="D70" s="360"/>
      <c r="E70" s="357" t="s">
        <v>48</v>
      </c>
      <c r="F70" s="2295">
        <v>4</v>
      </c>
      <c r="G70" s="2295">
        <v>4</v>
      </c>
      <c r="H70" s="2295">
        <v>6</v>
      </c>
      <c r="I70" s="774"/>
      <c r="J70" s="774"/>
      <c r="K70" s="774"/>
      <c r="L70" s="774"/>
      <c r="M70" s="774"/>
      <c r="N70" s="774">
        <f>13.508-8.811</f>
        <v>4.6969999999999992</v>
      </c>
      <c r="O70" s="775"/>
      <c r="P70" s="1473"/>
      <c r="Q70" s="1467"/>
      <c r="R70" s="1463"/>
      <c r="S70" s="1815"/>
      <c r="T70" s="1931"/>
      <c r="U70" s="1815"/>
      <c r="V70" s="1815"/>
      <c r="W70" s="1815"/>
      <c r="X70" s="1933"/>
      <c r="Y70" s="1815"/>
      <c r="Z70" s="2509"/>
      <c r="AE70" s="2461"/>
      <c r="AF70" s="68"/>
      <c r="AK70" s="2815" t="s">
        <v>11232</v>
      </c>
      <c r="AL70" s="2579">
        <f>SUMIFS(O30:O950,F30:F950,"6а",G30:G950,5)+SUMIFS(O30:O950,F30:F950,"6б",G30:G950,5)+SUMIFS(O30:O950,F30:F950,"б/к",G30:G950,5)</f>
        <v>0</v>
      </c>
      <c r="AM70" s="2817"/>
    </row>
    <row r="71" spans="1:39" x14ac:dyDescent="0.35">
      <c r="A71" s="359"/>
      <c r="B71" s="358">
        <v>11203</v>
      </c>
      <c r="C71" s="358"/>
      <c r="D71" s="360"/>
      <c r="E71" s="1480" t="s">
        <v>49</v>
      </c>
      <c r="F71" s="2295">
        <v>4</v>
      </c>
      <c r="G71" s="2295">
        <v>4</v>
      </c>
      <c r="H71" s="2295">
        <v>6</v>
      </c>
      <c r="I71" s="774"/>
      <c r="J71" s="774"/>
      <c r="K71" s="774"/>
      <c r="L71" s="774"/>
      <c r="M71" s="774"/>
      <c r="N71" s="774"/>
      <c r="O71" s="775"/>
      <c r="P71" s="1473"/>
      <c r="Q71" s="1467">
        <f>15.75-13.508</f>
        <v>2.2420000000000009</v>
      </c>
      <c r="R71" s="1463"/>
      <c r="S71" s="1815"/>
      <c r="T71" s="1931"/>
      <c r="U71" s="1815"/>
      <c r="V71" s="1815"/>
      <c r="W71" s="1815"/>
      <c r="X71" s="1933"/>
      <c r="Y71" s="1815"/>
      <c r="Z71" s="2509"/>
      <c r="AE71" s="2461"/>
      <c r="AF71" s="68"/>
      <c r="AK71" s="2815" t="s">
        <v>11233</v>
      </c>
      <c r="AL71" s="2579">
        <f>SUMIFS(P30:P950,F30:F950,"6а",G30:G950,5)+SUMIFS(Q30:Q950,F30:F950,"6а",G30:G950,5)+SUMIFS(P30:P950,F30:F950,"6б",G30:G950,5)+SUMIFS(Q30:Q950,F30:F950,"6б",G30:G950,5)+SUMIFS(P30:P950,F30:F950,"б/к",G30:G950,5)+SUMIFS(Q30:Q950,F30:F950,"б/к",G30:G950,5)</f>
        <v>24.847999999999999</v>
      </c>
      <c r="AM71" s="2817"/>
    </row>
    <row r="72" spans="1:39" ht="45.5" x14ac:dyDescent="0.35">
      <c r="A72" s="347">
        <v>27</v>
      </c>
      <c r="B72" s="358">
        <v>11203</v>
      </c>
      <c r="C72" s="358"/>
      <c r="D72" s="2464" t="s">
        <v>5963</v>
      </c>
      <c r="E72" s="312" t="s">
        <v>10181</v>
      </c>
      <c r="F72" s="2295"/>
      <c r="G72" s="2295" t="s">
        <v>191</v>
      </c>
      <c r="H72" s="2295" t="s">
        <v>191</v>
      </c>
      <c r="I72" s="772">
        <f>J72+K72+L72</f>
        <v>5.9</v>
      </c>
      <c r="J72" s="772">
        <f>SUM(M72:R72)</f>
        <v>5.9</v>
      </c>
      <c r="K72" s="772"/>
      <c r="L72" s="772"/>
      <c r="M72" s="772"/>
      <c r="N72" s="772"/>
      <c r="O72" s="773"/>
      <c r="P72" s="1470"/>
      <c r="Q72" s="1466">
        <f>SUM(Q73:Q74)</f>
        <v>2.0339999999999998</v>
      </c>
      <c r="R72" s="1462">
        <f>SUM(R73:R74)</f>
        <v>3.8660000000000005</v>
      </c>
      <c r="S72" s="1815"/>
      <c r="T72" s="1931"/>
      <c r="U72" s="1815"/>
      <c r="V72" s="1815"/>
      <c r="W72" s="46">
        <v>7</v>
      </c>
      <c r="X72" s="250">
        <v>72.900000000000006</v>
      </c>
      <c r="Y72" s="46">
        <v>3</v>
      </c>
      <c r="Z72" s="47">
        <v>30</v>
      </c>
      <c r="AB72" s="3">
        <v>1</v>
      </c>
      <c r="AC72" s="3" t="s">
        <v>1845</v>
      </c>
      <c r="AE72" s="2461"/>
      <c r="AF72" s="68"/>
      <c r="AK72" s="2815" t="s">
        <v>910</v>
      </c>
      <c r="AL72" s="2579">
        <f>SUMIFS(R30:R950,F30:F950,"6а",G30:G950,5)+SUMIFS(R30:R950,F30:F950,"6б",G30:G950,5)+SUMIFS(R30:R950,F30:F950,"б/к",G30:G950,5)</f>
        <v>105.56899999999999</v>
      </c>
      <c r="AM72" s="2817"/>
    </row>
    <row r="73" spans="1:39" x14ac:dyDescent="0.35">
      <c r="A73" s="359"/>
      <c r="B73" s="358">
        <v>11203</v>
      </c>
      <c r="C73" s="358"/>
      <c r="D73" s="360"/>
      <c r="E73" s="1480" t="s">
        <v>2914</v>
      </c>
      <c r="F73" s="2295">
        <v>5</v>
      </c>
      <c r="G73" s="2295">
        <v>5</v>
      </c>
      <c r="H73" s="2295">
        <v>6</v>
      </c>
      <c r="I73" s="774"/>
      <c r="J73" s="774"/>
      <c r="K73" s="774"/>
      <c r="L73" s="774"/>
      <c r="M73" s="774"/>
      <c r="N73" s="774"/>
      <c r="O73" s="775"/>
      <c r="P73" s="1473"/>
      <c r="Q73" s="1467">
        <v>2.0339999999999998</v>
      </c>
      <c r="R73" s="1463"/>
      <c r="S73" s="1815"/>
      <c r="T73" s="1931"/>
      <c r="U73" s="1815"/>
      <c r="V73" s="1815"/>
      <c r="W73" s="1815"/>
      <c r="X73" s="1933"/>
      <c r="Y73" s="1815"/>
      <c r="Z73" s="2509"/>
      <c r="AE73" s="2461"/>
      <c r="AF73" s="68"/>
      <c r="AK73" s="2815"/>
      <c r="AL73" s="2579"/>
      <c r="AM73" s="2817"/>
    </row>
    <row r="74" spans="1:39" x14ac:dyDescent="0.35">
      <c r="A74" s="359"/>
      <c r="B74" s="358">
        <v>11203</v>
      </c>
      <c r="C74" s="358"/>
      <c r="D74" s="360"/>
      <c r="E74" s="1479" t="s">
        <v>2915</v>
      </c>
      <c r="F74" s="2295" t="s">
        <v>827</v>
      </c>
      <c r="G74" s="2295">
        <v>5</v>
      </c>
      <c r="H74" s="92">
        <v>6</v>
      </c>
      <c r="I74" s="774"/>
      <c r="J74" s="774"/>
      <c r="K74" s="774"/>
      <c r="L74" s="774"/>
      <c r="M74" s="774"/>
      <c r="N74" s="774"/>
      <c r="O74" s="775"/>
      <c r="P74" s="1473"/>
      <c r="Q74" s="1467"/>
      <c r="R74" s="1463">
        <f>5.9-2.034</f>
        <v>3.8660000000000005</v>
      </c>
      <c r="S74" s="1815"/>
      <c r="T74" s="1931"/>
      <c r="U74" s="1815"/>
      <c r="V74" s="1815"/>
      <c r="W74" s="1815"/>
      <c r="X74" s="1933"/>
      <c r="Y74" s="1815"/>
      <c r="Z74" s="2509"/>
      <c r="AC74" s="3" t="s">
        <v>2570</v>
      </c>
      <c r="AE74" s="2461"/>
      <c r="AF74" s="68"/>
      <c r="AK74" s="2822" t="s">
        <v>11237</v>
      </c>
      <c r="AL74" s="2823">
        <f>AL11+AL32+AL53</f>
        <v>530.74199999999996</v>
      </c>
      <c r="AM74" s="2824">
        <f>AL74-J10</f>
        <v>0</v>
      </c>
    </row>
    <row r="75" spans="1:39" ht="45.5" x14ac:dyDescent="0.35">
      <c r="A75" s="347">
        <v>28</v>
      </c>
      <c r="B75" s="358">
        <v>11203</v>
      </c>
      <c r="C75" s="358"/>
      <c r="D75" s="2464" t="s">
        <v>5964</v>
      </c>
      <c r="E75" s="312" t="s">
        <v>10182</v>
      </c>
      <c r="F75" s="2295" t="s">
        <v>827</v>
      </c>
      <c r="G75" s="2295">
        <v>5</v>
      </c>
      <c r="H75" s="92">
        <v>6</v>
      </c>
      <c r="I75" s="772">
        <f>J75+K75+L75</f>
        <v>0.95</v>
      </c>
      <c r="J75" s="772">
        <f>SUM(M75:R75)</f>
        <v>0.95</v>
      </c>
      <c r="K75" s="772"/>
      <c r="L75" s="772"/>
      <c r="M75" s="772"/>
      <c r="N75" s="772"/>
      <c r="O75" s="773"/>
      <c r="P75" s="1470"/>
      <c r="Q75" s="1466"/>
      <c r="R75" s="1462">
        <v>0.95</v>
      </c>
      <c r="S75" s="1815"/>
      <c r="T75" s="1931"/>
      <c r="U75" s="1815"/>
      <c r="V75" s="1815"/>
      <c r="W75" s="1815">
        <v>1</v>
      </c>
      <c r="X75" s="1933">
        <v>10</v>
      </c>
      <c r="Y75" s="1815"/>
      <c r="Z75" s="2509"/>
      <c r="AB75" s="3">
        <v>1</v>
      </c>
      <c r="AC75" s="3" t="s">
        <v>887</v>
      </c>
      <c r="AE75" s="2461"/>
      <c r="AF75" s="68"/>
      <c r="AK75" s="2825" t="s">
        <v>11238</v>
      </c>
      <c r="AL75" s="2826">
        <f>AL34+AL55+AL13</f>
        <v>261.43200000000002</v>
      </c>
      <c r="AM75" s="2827">
        <f>AL75-J12</f>
        <v>0</v>
      </c>
    </row>
    <row r="76" spans="1:39" ht="45.5" x14ac:dyDescent="0.35">
      <c r="A76" s="347">
        <v>29</v>
      </c>
      <c r="B76" s="358">
        <v>11203</v>
      </c>
      <c r="C76" s="358"/>
      <c r="D76" s="2464" t="s">
        <v>5965</v>
      </c>
      <c r="E76" s="312" t="s">
        <v>10183</v>
      </c>
      <c r="F76" s="2295" t="s">
        <v>1490</v>
      </c>
      <c r="G76" s="2295">
        <v>5</v>
      </c>
      <c r="H76" s="2295">
        <v>6</v>
      </c>
      <c r="I76" s="772">
        <f>J76+K76+L76</f>
        <v>5.4</v>
      </c>
      <c r="J76" s="772">
        <f>SUM(M76:R76)</f>
        <v>5.4</v>
      </c>
      <c r="K76" s="772"/>
      <c r="L76" s="772"/>
      <c r="M76" s="772"/>
      <c r="N76" s="772"/>
      <c r="O76" s="773"/>
      <c r="P76" s="1470"/>
      <c r="Q76" s="1466">
        <v>5.4</v>
      </c>
      <c r="R76" s="1462"/>
      <c r="S76" s="1815"/>
      <c r="T76" s="1931"/>
      <c r="U76" s="1815"/>
      <c r="V76" s="1815"/>
      <c r="W76" s="1815"/>
      <c r="X76" s="1933"/>
      <c r="Y76" s="1815"/>
      <c r="Z76" s="2509"/>
      <c r="AB76" s="3">
        <v>1</v>
      </c>
      <c r="AE76" s="2461"/>
      <c r="AF76" s="68"/>
      <c r="AK76" s="2828" t="s">
        <v>11239</v>
      </c>
      <c r="AL76" s="2826">
        <f>AL19+AL40+AL61</f>
        <v>119.78999999999999</v>
      </c>
      <c r="AM76" s="2827">
        <f>AL76-J13</f>
        <v>0</v>
      </c>
    </row>
    <row r="77" spans="1:39" ht="45.5" x14ac:dyDescent="0.35">
      <c r="A77" s="347">
        <v>30</v>
      </c>
      <c r="B77" s="358">
        <v>11203</v>
      </c>
      <c r="C77" s="358"/>
      <c r="D77" s="2464" t="s">
        <v>5966</v>
      </c>
      <c r="E77" s="312" t="s">
        <v>10184</v>
      </c>
      <c r="F77" s="2295">
        <v>5</v>
      </c>
      <c r="G77" s="2295">
        <v>4</v>
      </c>
      <c r="H77" s="2295">
        <v>6</v>
      </c>
      <c r="I77" s="772">
        <f>J77+K77+L77</f>
        <v>4.673</v>
      </c>
      <c r="J77" s="772">
        <f>SUM(M77:R77)</f>
        <v>4.673</v>
      </c>
      <c r="K77" s="772"/>
      <c r="L77" s="772"/>
      <c r="M77" s="772"/>
      <c r="N77" s="772"/>
      <c r="O77" s="773"/>
      <c r="P77" s="1470"/>
      <c r="Q77" s="1466">
        <v>4.673</v>
      </c>
      <c r="R77" s="1462"/>
      <c r="S77" s="1815"/>
      <c r="T77" s="1931"/>
      <c r="U77" s="1815"/>
      <c r="V77" s="1815"/>
      <c r="W77" s="46">
        <v>4</v>
      </c>
      <c r="X77" s="250">
        <v>60</v>
      </c>
      <c r="Y77" s="46"/>
      <c r="Z77" s="47"/>
      <c r="AB77" s="3">
        <v>1</v>
      </c>
      <c r="AE77" s="2461"/>
      <c r="AF77" s="68"/>
      <c r="AK77" s="2828" t="s">
        <v>11240</v>
      </c>
      <c r="AL77" s="2826">
        <f>AL25+AL46+AL67</f>
        <v>149.51999999999998</v>
      </c>
      <c r="AM77" s="2827">
        <f>AL77-J14</f>
        <v>0</v>
      </c>
    </row>
    <row r="78" spans="1:39" ht="60" x14ac:dyDescent="0.35">
      <c r="A78" s="347">
        <v>31</v>
      </c>
      <c r="B78" s="365">
        <v>11203</v>
      </c>
      <c r="C78" s="365" t="s">
        <v>1656</v>
      </c>
      <c r="D78" s="2464" t="s">
        <v>5967</v>
      </c>
      <c r="E78" s="2187" t="s">
        <v>10185</v>
      </c>
      <c r="F78" s="92" t="s">
        <v>664</v>
      </c>
      <c r="G78" s="92">
        <v>5</v>
      </c>
      <c r="H78" s="92">
        <v>6</v>
      </c>
      <c r="I78" s="702">
        <f>J78+K78+L78</f>
        <v>0.3</v>
      </c>
      <c r="J78" s="702">
        <f>SUM(M78:R78)</f>
        <v>0.3</v>
      </c>
      <c r="K78" s="2089"/>
      <c r="L78" s="2089"/>
      <c r="M78" s="2089"/>
      <c r="N78" s="2089"/>
      <c r="O78" s="2089"/>
      <c r="P78" s="2089"/>
      <c r="Q78" s="2148"/>
      <c r="R78" s="2235">
        <v>0.3</v>
      </c>
      <c r="S78" s="106"/>
      <c r="T78" s="106"/>
      <c r="U78" s="106"/>
      <c r="V78" s="106"/>
      <c r="W78" s="105"/>
      <c r="X78" s="105"/>
      <c r="Y78" s="105"/>
      <c r="Z78" s="323"/>
      <c r="AB78" s="3">
        <v>1</v>
      </c>
      <c r="AE78" s="2461"/>
      <c r="AF78" s="68"/>
    </row>
    <row r="79" spans="1:39" ht="30.5" x14ac:dyDescent="0.35">
      <c r="A79" s="347">
        <v>32</v>
      </c>
      <c r="B79" s="358">
        <v>11204</v>
      </c>
      <c r="C79" s="358"/>
      <c r="D79" s="358" t="s">
        <v>684</v>
      </c>
      <c r="E79" s="269" t="s">
        <v>3088</v>
      </c>
      <c r="F79" s="2295"/>
      <c r="G79" s="2295" t="s">
        <v>191</v>
      </c>
      <c r="H79" s="2295" t="s">
        <v>191</v>
      </c>
      <c r="I79" s="772">
        <f>J79+K79+L79</f>
        <v>28.83</v>
      </c>
      <c r="J79" s="772">
        <f>SUM(M79:R79)</f>
        <v>28.83</v>
      </c>
      <c r="K79" s="772"/>
      <c r="L79" s="772"/>
      <c r="M79" s="772"/>
      <c r="N79" s="772">
        <f>SUM(N80:N84)</f>
        <v>18.669999999999998</v>
      </c>
      <c r="O79" s="773"/>
      <c r="P79" s="1470"/>
      <c r="Q79" s="1466">
        <f>SUM(Q80:Q84)</f>
        <v>10.16</v>
      </c>
      <c r="R79" s="1462"/>
      <c r="S79" s="1815">
        <v>1</v>
      </c>
      <c r="T79" s="1931">
        <v>126.5</v>
      </c>
      <c r="U79" s="1815"/>
      <c r="V79" s="1815"/>
      <c r="W79" s="46">
        <v>44</v>
      </c>
      <c r="X79" s="250">
        <f>678.8+10</f>
        <v>688.8</v>
      </c>
      <c r="Y79" s="46">
        <v>16</v>
      </c>
      <c r="Z79" s="47">
        <f>174.1+10</f>
        <v>184.1</v>
      </c>
      <c r="AB79" s="3">
        <v>1</v>
      </c>
      <c r="AE79" s="2461"/>
      <c r="AF79" s="68"/>
    </row>
    <row r="80" spans="1:39" x14ac:dyDescent="0.35">
      <c r="A80" s="359"/>
      <c r="B80" s="358">
        <v>11204</v>
      </c>
      <c r="C80" s="358"/>
      <c r="D80" s="360"/>
      <c r="E80" s="357" t="s">
        <v>2754</v>
      </c>
      <c r="F80" s="2295">
        <v>4</v>
      </c>
      <c r="G80" s="2295">
        <v>4</v>
      </c>
      <c r="H80" s="2295">
        <v>6</v>
      </c>
      <c r="I80" s="774"/>
      <c r="J80" s="774"/>
      <c r="K80" s="774"/>
      <c r="L80" s="774"/>
      <c r="M80" s="774"/>
      <c r="N80" s="774">
        <v>2.9119999999999999</v>
      </c>
      <c r="O80" s="775"/>
      <c r="P80" s="1473"/>
      <c r="Q80" s="1467"/>
      <c r="R80" s="1463"/>
      <c r="S80" s="1815"/>
      <c r="T80" s="1931"/>
      <c r="U80" s="1815"/>
      <c r="V80" s="1815"/>
      <c r="W80" s="1815"/>
      <c r="X80" s="1933"/>
      <c r="Y80" s="1815"/>
      <c r="Z80" s="2509"/>
      <c r="AE80" s="2461"/>
      <c r="AF80" s="68"/>
    </row>
    <row r="81" spans="1:32" x14ac:dyDescent="0.35">
      <c r="A81" s="359"/>
      <c r="B81" s="358">
        <v>11204</v>
      </c>
      <c r="C81" s="358"/>
      <c r="D81" s="360"/>
      <c r="E81" s="1480" t="s">
        <v>2755</v>
      </c>
      <c r="F81" s="2295">
        <v>4</v>
      </c>
      <c r="G81" s="2295">
        <v>4</v>
      </c>
      <c r="H81" s="2295">
        <v>6</v>
      </c>
      <c r="I81" s="774"/>
      <c r="J81" s="774"/>
      <c r="K81" s="774"/>
      <c r="L81" s="774"/>
      <c r="M81" s="774"/>
      <c r="N81" s="774"/>
      <c r="O81" s="775"/>
      <c r="P81" s="1473"/>
      <c r="Q81" s="1467">
        <v>6.633</v>
      </c>
      <c r="R81" s="1463"/>
      <c r="S81" s="1815"/>
      <c r="T81" s="1931"/>
      <c r="U81" s="1815"/>
      <c r="V81" s="1815"/>
      <c r="W81" s="1815"/>
      <c r="X81" s="1933"/>
      <c r="Y81" s="1815"/>
      <c r="Z81" s="2509"/>
      <c r="AE81" s="2461"/>
      <c r="AF81" s="68"/>
    </row>
    <row r="82" spans="1:32" x14ac:dyDescent="0.35">
      <c r="A82" s="359"/>
      <c r="B82" s="358">
        <v>11204</v>
      </c>
      <c r="C82" s="358"/>
      <c r="D82" s="360"/>
      <c r="E82" s="357" t="s">
        <v>2756</v>
      </c>
      <c r="F82" s="2295">
        <v>4</v>
      </c>
      <c r="G82" s="2295">
        <v>4</v>
      </c>
      <c r="H82" s="2295">
        <v>6</v>
      </c>
      <c r="I82" s="774"/>
      <c r="J82" s="774"/>
      <c r="K82" s="774"/>
      <c r="L82" s="774"/>
      <c r="M82" s="774"/>
      <c r="N82" s="774">
        <v>0.88899999999999935</v>
      </c>
      <c r="O82" s="775"/>
      <c r="P82" s="1473"/>
      <c r="Q82" s="1467"/>
      <c r="R82" s="1463"/>
      <c r="S82" s="1815"/>
      <c r="T82" s="1931"/>
      <c r="U82" s="1815"/>
      <c r="V82" s="1815"/>
      <c r="W82" s="1815"/>
      <c r="X82" s="1933"/>
      <c r="Y82" s="1815"/>
      <c r="Z82" s="2509"/>
      <c r="AE82" s="2461"/>
      <c r="AF82" s="68"/>
    </row>
    <row r="83" spans="1:32" x14ac:dyDescent="0.35">
      <c r="A83" s="359"/>
      <c r="B83" s="358">
        <v>11204</v>
      </c>
      <c r="C83" s="358"/>
      <c r="D83" s="360"/>
      <c r="E83" s="1480" t="s">
        <v>2757</v>
      </c>
      <c r="F83" s="2295">
        <v>4</v>
      </c>
      <c r="G83" s="2295">
        <v>4</v>
      </c>
      <c r="H83" s="2295">
        <v>6</v>
      </c>
      <c r="I83" s="774"/>
      <c r="J83" s="774"/>
      <c r="K83" s="774"/>
      <c r="L83" s="774"/>
      <c r="M83" s="774"/>
      <c r="N83" s="774"/>
      <c r="O83" s="775"/>
      <c r="P83" s="1473"/>
      <c r="Q83" s="1467">
        <v>3.527000000000001</v>
      </c>
      <c r="R83" s="1463"/>
      <c r="S83" s="1815"/>
      <c r="T83" s="1931"/>
      <c r="U83" s="1815"/>
      <c r="V83" s="1815"/>
      <c r="W83" s="1815"/>
      <c r="X83" s="1933"/>
      <c r="Y83" s="1815"/>
      <c r="Z83" s="2509"/>
      <c r="AE83" s="2461"/>
      <c r="AF83" s="68"/>
    </row>
    <row r="84" spans="1:32" x14ac:dyDescent="0.35">
      <c r="A84" s="359"/>
      <c r="B84" s="358">
        <v>11204</v>
      </c>
      <c r="C84" s="358"/>
      <c r="D84" s="360"/>
      <c r="E84" s="357" t="s">
        <v>2758</v>
      </c>
      <c r="F84" s="2295">
        <v>4</v>
      </c>
      <c r="G84" s="2295">
        <v>4</v>
      </c>
      <c r="H84" s="2295">
        <v>6</v>
      </c>
      <c r="I84" s="774"/>
      <c r="J84" s="774"/>
      <c r="K84" s="774"/>
      <c r="L84" s="774"/>
      <c r="M84" s="774"/>
      <c r="N84" s="774">
        <v>14.868999999999998</v>
      </c>
      <c r="O84" s="775"/>
      <c r="P84" s="1473"/>
      <c r="Q84" s="1467"/>
      <c r="R84" s="1463"/>
      <c r="S84" s="1815"/>
      <c r="T84" s="1931"/>
      <c r="U84" s="1815"/>
      <c r="V84" s="1815"/>
      <c r="W84" s="1815"/>
      <c r="X84" s="1933"/>
      <c r="Y84" s="1815"/>
      <c r="Z84" s="2509"/>
      <c r="AE84" s="2461"/>
      <c r="AF84" s="68"/>
    </row>
    <row r="85" spans="1:32" ht="30.5" x14ac:dyDescent="0.35">
      <c r="A85" s="347">
        <v>33</v>
      </c>
      <c r="B85" s="358">
        <v>11204</v>
      </c>
      <c r="C85" s="358"/>
      <c r="D85" s="2464" t="s">
        <v>5968</v>
      </c>
      <c r="E85" s="312" t="s">
        <v>7943</v>
      </c>
      <c r="F85" s="2295"/>
      <c r="G85" s="2295" t="s">
        <v>191</v>
      </c>
      <c r="H85" s="2295" t="s">
        <v>191</v>
      </c>
      <c r="I85" s="772">
        <f>J85+K85+L85</f>
        <v>3.5680000000000001</v>
      </c>
      <c r="J85" s="772">
        <f>SUM(M85:R85)</f>
        <v>3.5680000000000001</v>
      </c>
      <c r="K85" s="772"/>
      <c r="L85" s="772"/>
      <c r="M85" s="772"/>
      <c r="N85" s="772"/>
      <c r="O85" s="773"/>
      <c r="P85" s="1470"/>
      <c r="Q85" s="1466">
        <f>SUM(Q86:Q87)</f>
        <v>3.5680000000000001</v>
      </c>
      <c r="R85" s="1462"/>
      <c r="S85" s="1815"/>
      <c r="T85" s="1931"/>
      <c r="U85" s="1815"/>
      <c r="V85" s="1815"/>
      <c r="W85" s="46">
        <v>12</v>
      </c>
      <c r="X85" s="250">
        <v>140.72999999999999</v>
      </c>
      <c r="Y85" s="46">
        <v>5</v>
      </c>
      <c r="Z85" s="47">
        <v>50.05</v>
      </c>
      <c r="AA85" s="3" t="s">
        <v>2520</v>
      </c>
      <c r="AB85" s="3">
        <v>1</v>
      </c>
      <c r="AE85" s="2461"/>
      <c r="AF85" s="68"/>
    </row>
    <row r="86" spans="1:32" x14ac:dyDescent="0.35">
      <c r="A86" s="359"/>
      <c r="B86" s="358">
        <v>11204</v>
      </c>
      <c r="C86" s="358"/>
      <c r="D86" s="360"/>
      <c r="E86" s="1480" t="s">
        <v>1831</v>
      </c>
      <c r="F86" s="2295">
        <v>4</v>
      </c>
      <c r="G86" s="2295">
        <v>4</v>
      </c>
      <c r="H86" s="2295">
        <v>6</v>
      </c>
      <c r="I86" s="774"/>
      <c r="J86" s="774"/>
      <c r="K86" s="774"/>
      <c r="L86" s="774"/>
      <c r="M86" s="774"/>
      <c r="N86" s="774"/>
      <c r="O86" s="775"/>
      <c r="P86" s="1473"/>
      <c r="Q86" s="1467">
        <v>3.0419999999999998</v>
      </c>
      <c r="R86" s="1463"/>
      <c r="S86" s="1815"/>
      <c r="T86" s="1931"/>
      <c r="U86" s="1815"/>
      <c r="V86" s="1815"/>
      <c r="W86" s="1815"/>
      <c r="X86" s="1933"/>
      <c r="Y86" s="1815"/>
      <c r="Z86" s="2509"/>
      <c r="AE86" s="2461"/>
      <c r="AF86" s="68"/>
    </row>
    <row r="87" spans="1:32" x14ac:dyDescent="0.35">
      <c r="A87" s="359"/>
      <c r="B87" s="358">
        <v>11204</v>
      </c>
      <c r="C87" s="358"/>
      <c r="D87" s="360"/>
      <c r="E87" s="1480" t="s">
        <v>1832</v>
      </c>
      <c r="F87" s="2295" t="s">
        <v>1490</v>
      </c>
      <c r="G87" s="2295">
        <v>5</v>
      </c>
      <c r="H87" s="2295">
        <v>6</v>
      </c>
      <c r="I87" s="774"/>
      <c r="J87" s="774"/>
      <c r="K87" s="774"/>
      <c r="L87" s="774"/>
      <c r="M87" s="774"/>
      <c r="N87" s="774"/>
      <c r="O87" s="775"/>
      <c r="P87" s="1473"/>
      <c r="Q87" s="1467">
        <v>0.52600000000000025</v>
      </c>
      <c r="R87" s="1463"/>
      <c r="S87" s="1815"/>
      <c r="T87" s="1931"/>
      <c r="U87" s="1815"/>
      <c r="V87" s="1815"/>
      <c r="W87" s="1815"/>
      <c r="X87" s="1933"/>
      <c r="Y87" s="1815"/>
      <c r="Z87" s="2509"/>
      <c r="AE87" s="2461"/>
      <c r="AF87" s="68"/>
    </row>
    <row r="88" spans="1:32" ht="45" x14ac:dyDescent="0.35">
      <c r="A88" s="525">
        <v>34</v>
      </c>
      <c r="B88" s="693">
        <v>11204</v>
      </c>
      <c r="C88" s="365" t="s">
        <v>1656</v>
      </c>
      <c r="D88" s="2464" t="s">
        <v>5969</v>
      </c>
      <c r="E88" s="2187" t="s">
        <v>8895</v>
      </c>
      <c r="F88" s="92" t="s">
        <v>1490</v>
      </c>
      <c r="G88" s="92">
        <v>5</v>
      </c>
      <c r="H88" s="92">
        <v>6</v>
      </c>
      <c r="I88" s="702">
        <f>J88+K88+L88</f>
        <v>0.35</v>
      </c>
      <c r="J88" s="702">
        <f>SUM(M88:R88)</f>
        <v>0.35</v>
      </c>
      <c r="K88" s="2089"/>
      <c r="L88" s="2089"/>
      <c r="M88" s="2089"/>
      <c r="N88" s="2089"/>
      <c r="O88" s="2089"/>
      <c r="P88" s="2089"/>
      <c r="Q88" s="2148"/>
      <c r="R88" s="2235">
        <v>0.35</v>
      </c>
      <c r="S88" s="106"/>
      <c r="T88" s="106"/>
      <c r="U88" s="106"/>
      <c r="V88" s="106"/>
      <c r="W88" s="105"/>
      <c r="X88" s="105"/>
      <c r="Y88" s="105"/>
      <c r="Z88" s="323"/>
      <c r="AB88" s="3">
        <v>1</v>
      </c>
      <c r="AE88" s="2461"/>
      <c r="AF88" s="68"/>
    </row>
    <row r="89" spans="1:32" ht="30.5" x14ac:dyDescent="0.35">
      <c r="A89" s="347">
        <v>35</v>
      </c>
      <c r="B89" s="358">
        <v>11204</v>
      </c>
      <c r="C89" s="358"/>
      <c r="D89" s="2464" t="s">
        <v>5970</v>
      </c>
      <c r="E89" s="312" t="s">
        <v>9377</v>
      </c>
      <c r="F89" s="2295">
        <v>4</v>
      </c>
      <c r="G89" s="2295">
        <v>4</v>
      </c>
      <c r="H89" s="2295">
        <v>6</v>
      </c>
      <c r="I89" s="772">
        <f>J89+K89+L89</f>
        <v>2.9289999999999998</v>
      </c>
      <c r="J89" s="772">
        <f>SUM(M89:R89)</f>
        <v>2.9289999999999998</v>
      </c>
      <c r="K89" s="772"/>
      <c r="L89" s="772"/>
      <c r="M89" s="772"/>
      <c r="N89" s="772">
        <v>2.9289999999999998</v>
      </c>
      <c r="O89" s="773"/>
      <c r="P89" s="1470"/>
      <c r="Q89" s="1466"/>
      <c r="R89" s="1462"/>
      <c r="S89" s="1815"/>
      <c r="T89" s="1931"/>
      <c r="U89" s="1815"/>
      <c r="V89" s="1815"/>
      <c r="W89" s="46">
        <v>7</v>
      </c>
      <c r="X89" s="250">
        <v>98.5</v>
      </c>
      <c r="Y89" s="46">
        <v>1</v>
      </c>
      <c r="Z89" s="47">
        <v>12.5</v>
      </c>
      <c r="AB89" s="3">
        <v>1</v>
      </c>
      <c r="AE89" s="2461"/>
      <c r="AF89" s="68"/>
    </row>
    <row r="90" spans="1:32" ht="60" x14ac:dyDescent="0.35">
      <c r="A90" s="525">
        <v>36</v>
      </c>
      <c r="B90" s="693">
        <v>11204</v>
      </c>
      <c r="C90" s="365" t="s">
        <v>1656</v>
      </c>
      <c r="D90" s="2464" t="s">
        <v>5971</v>
      </c>
      <c r="E90" s="2187" t="s">
        <v>9378</v>
      </c>
      <c r="F90" s="92"/>
      <c r="G90" s="92" t="s">
        <v>191</v>
      </c>
      <c r="H90" s="2295" t="s">
        <v>191</v>
      </c>
      <c r="I90" s="702">
        <f>J90+K90+L90</f>
        <v>0.85000000000000009</v>
      </c>
      <c r="J90" s="702">
        <f>SUM(M90:R90)</f>
        <v>0.85000000000000009</v>
      </c>
      <c r="K90" s="2089"/>
      <c r="L90" s="2089"/>
      <c r="M90" s="2089"/>
      <c r="N90" s="2089">
        <f>SUM(N91:N92)</f>
        <v>0.3</v>
      </c>
      <c r="O90" s="2089"/>
      <c r="P90" s="2089"/>
      <c r="Q90" s="2148"/>
      <c r="R90" s="2235">
        <f>SUM(R91:R92)</f>
        <v>0.55000000000000004</v>
      </c>
      <c r="S90" s="106"/>
      <c r="T90" s="106"/>
      <c r="U90" s="106"/>
      <c r="V90" s="106"/>
      <c r="W90" s="105"/>
      <c r="X90" s="105"/>
      <c r="Y90" s="105"/>
      <c r="Z90" s="323"/>
      <c r="AB90" s="3">
        <v>1</v>
      </c>
      <c r="AE90" s="2461"/>
      <c r="AF90" s="68"/>
    </row>
    <row r="91" spans="1:32" x14ac:dyDescent="0.35">
      <c r="A91" s="525"/>
      <c r="B91" s="693">
        <v>11204</v>
      </c>
      <c r="C91" s="365"/>
      <c r="D91" s="693"/>
      <c r="E91" s="357" t="s">
        <v>880</v>
      </c>
      <c r="F91" s="92" t="s">
        <v>1490</v>
      </c>
      <c r="G91" s="92">
        <v>5</v>
      </c>
      <c r="H91" s="2295">
        <v>6</v>
      </c>
      <c r="I91" s="1918"/>
      <c r="J91" s="1918"/>
      <c r="K91" s="2347"/>
      <c r="L91" s="2347"/>
      <c r="M91" s="2347"/>
      <c r="N91" s="2347">
        <v>0.3</v>
      </c>
      <c r="O91" s="2347"/>
      <c r="P91" s="2347"/>
      <c r="Q91" s="2348"/>
      <c r="R91" s="907"/>
      <c r="S91" s="106"/>
      <c r="T91" s="106"/>
      <c r="U91" s="106"/>
      <c r="V91" s="106"/>
      <c r="W91" s="105"/>
      <c r="X91" s="105"/>
      <c r="Y91" s="105"/>
      <c r="Z91" s="323"/>
      <c r="AE91" s="2461"/>
      <c r="AF91" s="68"/>
    </row>
    <row r="92" spans="1:32" x14ac:dyDescent="0.35">
      <c r="A92" s="525"/>
      <c r="B92" s="693">
        <v>11204</v>
      </c>
      <c r="C92" s="365"/>
      <c r="D92" s="693"/>
      <c r="E92" s="1479" t="s">
        <v>26</v>
      </c>
      <c r="F92" s="92" t="s">
        <v>1490</v>
      </c>
      <c r="G92" s="92">
        <v>5</v>
      </c>
      <c r="H92" s="92">
        <v>6</v>
      </c>
      <c r="I92" s="1918"/>
      <c r="J92" s="1918"/>
      <c r="K92" s="2347"/>
      <c r="L92" s="2347"/>
      <c r="M92" s="2347"/>
      <c r="N92" s="2347"/>
      <c r="O92" s="2347"/>
      <c r="P92" s="2347"/>
      <c r="Q92" s="2348"/>
      <c r="R92" s="907">
        <f>0.85-0.3</f>
        <v>0.55000000000000004</v>
      </c>
      <c r="S92" s="106"/>
      <c r="T92" s="106"/>
      <c r="U92" s="106"/>
      <c r="V92" s="106"/>
      <c r="W92" s="105"/>
      <c r="X92" s="105"/>
      <c r="Y92" s="105"/>
      <c r="Z92" s="323"/>
      <c r="AE92" s="2461"/>
      <c r="AF92" s="68"/>
    </row>
    <row r="93" spans="1:32" ht="30.5" x14ac:dyDescent="0.35">
      <c r="A93" s="347">
        <v>37</v>
      </c>
      <c r="B93" s="358">
        <v>11204</v>
      </c>
      <c r="C93" s="358"/>
      <c r="D93" s="2464" t="s">
        <v>5972</v>
      </c>
      <c r="E93" s="312" t="s">
        <v>7944</v>
      </c>
      <c r="F93" s="2295"/>
      <c r="G93" s="2295" t="s">
        <v>191</v>
      </c>
      <c r="H93" s="2295" t="s">
        <v>191</v>
      </c>
      <c r="I93" s="772">
        <f>J93+K93+L93</f>
        <v>6.36</v>
      </c>
      <c r="J93" s="772">
        <f>SUM(M93:R93)</f>
        <v>6.36</v>
      </c>
      <c r="K93" s="772"/>
      <c r="L93" s="772"/>
      <c r="M93" s="772"/>
      <c r="N93" s="2486">
        <f>SUM(N94:N97)</f>
        <v>2.5129999999999999</v>
      </c>
      <c r="O93" s="773"/>
      <c r="P93" s="1470"/>
      <c r="Q93" s="1466">
        <f>SUM(Q94:Q97)</f>
        <v>3.8470000000000004</v>
      </c>
      <c r="R93" s="1462"/>
      <c r="S93" s="1815"/>
      <c r="T93" s="1931"/>
      <c r="U93" s="1815"/>
      <c r="V93" s="1815"/>
      <c r="W93" s="46">
        <v>12</v>
      </c>
      <c r="X93" s="250">
        <v>152.87</v>
      </c>
      <c r="Y93" s="46">
        <v>5</v>
      </c>
      <c r="Z93" s="47">
        <v>55</v>
      </c>
      <c r="AB93" s="3">
        <v>1</v>
      </c>
      <c r="AE93" s="2461"/>
      <c r="AF93" s="68"/>
    </row>
    <row r="94" spans="1:32" x14ac:dyDescent="0.35">
      <c r="A94" s="359"/>
      <c r="B94" s="358">
        <v>11204</v>
      </c>
      <c r="C94" s="358"/>
      <c r="D94" s="360"/>
      <c r="E94" s="357" t="s">
        <v>1858</v>
      </c>
      <c r="F94" s="2295">
        <v>4</v>
      </c>
      <c r="G94" s="2295">
        <v>4</v>
      </c>
      <c r="H94" s="2295">
        <v>6</v>
      </c>
      <c r="I94" s="774"/>
      <c r="J94" s="774"/>
      <c r="K94" s="774"/>
      <c r="L94" s="774"/>
      <c r="M94" s="774"/>
      <c r="N94" s="774">
        <v>2.5129999999999999</v>
      </c>
      <c r="O94" s="775"/>
      <c r="P94" s="1473"/>
      <c r="Q94" s="1467"/>
      <c r="R94" s="1463"/>
      <c r="S94" s="1815"/>
      <c r="T94" s="1931"/>
      <c r="U94" s="1815"/>
      <c r="V94" s="1815"/>
      <c r="W94" s="1815"/>
      <c r="X94" s="1933"/>
      <c r="Y94" s="1815"/>
      <c r="Z94" s="2509"/>
      <c r="AE94" s="2461"/>
      <c r="AF94" s="68"/>
    </row>
    <row r="95" spans="1:32" x14ac:dyDescent="0.35">
      <c r="A95" s="359"/>
      <c r="B95" s="358">
        <v>11204</v>
      </c>
      <c r="C95" s="358"/>
      <c r="D95" s="360"/>
      <c r="E95" s="1480" t="s">
        <v>1859</v>
      </c>
      <c r="F95" s="2295">
        <v>4</v>
      </c>
      <c r="G95" s="2295">
        <v>4</v>
      </c>
      <c r="H95" s="2295">
        <v>6</v>
      </c>
      <c r="I95" s="774"/>
      <c r="J95" s="774"/>
      <c r="K95" s="774"/>
      <c r="L95" s="774"/>
      <c r="M95" s="774"/>
      <c r="N95" s="774"/>
      <c r="O95" s="775"/>
      <c r="P95" s="1473"/>
      <c r="Q95" s="1467">
        <f>4.939-2.513</f>
        <v>2.4260000000000002</v>
      </c>
      <c r="R95" s="1463"/>
      <c r="S95" s="1815"/>
      <c r="T95" s="1931"/>
      <c r="U95" s="1815"/>
      <c r="V95" s="1815"/>
      <c r="W95" s="1815"/>
      <c r="X95" s="1933"/>
      <c r="Y95" s="1815"/>
      <c r="Z95" s="2509"/>
      <c r="AE95" s="2461"/>
      <c r="AF95" s="68"/>
    </row>
    <row r="96" spans="1:32" x14ac:dyDescent="0.35">
      <c r="A96" s="359"/>
      <c r="B96" s="358">
        <v>11204</v>
      </c>
      <c r="C96" s="358"/>
      <c r="D96" s="360"/>
      <c r="E96" s="1480" t="s">
        <v>3573</v>
      </c>
      <c r="F96" s="2295" t="s">
        <v>1490</v>
      </c>
      <c r="G96" s="2295">
        <v>4</v>
      </c>
      <c r="H96" s="2295">
        <v>6</v>
      </c>
      <c r="I96" s="774"/>
      <c r="J96" s="774"/>
      <c r="K96" s="774"/>
      <c r="L96" s="774"/>
      <c r="M96" s="774"/>
      <c r="N96" s="2909">
        <v>0</v>
      </c>
      <c r="O96" s="775"/>
      <c r="P96" s="1473"/>
      <c r="Q96" s="1467">
        <f>5.161-4.939</f>
        <v>0.22199999999999953</v>
      </c>
      <c r="R96" s="1463"/>
      <c r="S96" s="1815"/>
      <c r="T96" s="1931"/>
      <c r="U96" s="1815"/>
      <c r="V96" s="1815"/>
      <c r="W96" s="1815"/>
      <c r="X96" s="1933"/>
      <c r="Y96" s="1815"/>
      <c r="Z96" s="2509"/>
      <c r="AE96" s="2461"/>
      <c r="AF96" s="68"/>
    </row>
    <row r="97" spans="1:32" x14ac:dyDescent="0.35">
      <c r="A97" s="359"/>
      <c r="B97" s="358">
        <v>11204</v>
      </c>
      <c r="C97" s="358"/>
      <c r="D97" s="360"/>
      <c r="E97" s="1480" t="s">
        <v>3574</v>
      </c>
      <c r="F97" s="2295">
        <v>4</v>
      </c>
      <c r="G97" s="2295">
        <v>4</v>
      </c>
      <c r="H97" s="2295">
        <v>6</v>
      </c>
      <c r="I97" s="774"/>
      <c r="J97" s="774"/>
      <c r="K97" s="774"/>
      <c r="L97" s="774"/>
      <c r="M97" s="774"/>
      <c r="N97" s="2909">
        <v>0</v>
      </c>
      <c r="O97" s="775"/>
      <c r="P97" s="1473"/>
      <c r="Q97" s="1467">
        <f>6.36-5.161</f>
        <v>1.1990000000000007</v>
      </c>
      <c r="R97" s="1463"/>
      <c r="S97" s="1815"/>
      <c r="T97" s="1931"/>
      <c r="U97" s="1815"/>
      <c r="V97" s="1815"/>
      <c r="W97" s="1815"/>
      <c r="X97" s="1933"/>
      <c r="Y97" s="1815"/>
      <c r="Z97" s="2509"/>
      <c r="AE97" s="2461"/>
      <c r="AF97" s="68"/>
    </row>
    <row r="98" spans="1:32" ht="60" x14ac:dyDescent="0.35">
      <c r="A98" s="525">
        <v>38</v>
      </c>
      <c r="B98" s="693">
        <v>11204</v>
      </c>
      <c r="C98" s="365" t="s">
        <v>1656</v>
      </c>
      <c r="D98" s="2464" t="s">
        <v>5973</v>
      </c>
      <c r="E98" s="2187" t="s">
        <v>9285</v>
      </c>
      <c r="F98" s="92" t="s">
        <v>827</v>
      </c>
      <c r="G98" s="92">
        <v>5</v>
      </c>
      <c r="H98" s="2295">
        <v>6</v>
      </c>
      <c r="I98" s="702">
        <f>J98+K98+L98</f>
        <v>1.2</v>
      </c>
      <c r="J98" s="702">
        <f>SUM(M98:R98)</f>
        <v>1.2</v>
      </c>
      <c r="K98" s="2089"/>
      <c r="L98" s="2089"/>
      <c r="M98" s="2089"/>
      <c r="N98" s="2089"/>
      <c r="O98" s="2089"/>
      <c r="P98" s="2089"/>
      <c r="Q98" s="2085">
        <v>1.2</v>
      </c>
      <c r="R98" s="2235"/>
      <c r="S98" s="106"/>
      <c r="T98" s="106"/>
      <c r="U98" s="106"/>
      <c r="V98" s="106"/>
      <c r="W98" s="105"/>
      <c r="X98" s="105"/>
      <c r="Y98" s="105"/>
      <c r="Z98" s="323"/>
      <c r="AB98" s="3">
        <v>1</v>
      </c>
      <c r="AE98" s="2461"/>
      <c r="AF98" s="68"/>
    </row>
    <row r="99" spans="1:32" ht="45" x14ac:dyDescent="0.35">
      <c r="A99" s="525">
        <v>39</v>
      </c>
      <c r="B99" s="693">
        <v>11204</v>
      </c>
      <c r="C99" s="365" t="s">
        <v>1656</v>
      </c>
      <c r="D99" s="2464" t="s">
        <v>5974</v>
      </c>
      <c r="E99" s="2187" t="s">
        <v>8896</v>
      </c>
      <c r="F99" s="92" t="s">
        <v>664</v>
      </c>
      <c r="G99" s="92">
        <v>5</v>
      </c>
      <c r="H99" s="92">
        <v>6</v>
      </c>
      <c r="I99" s="702">
        <f>J99+K99+L99</f>
        <v>0.5</v>
      </c>
      <c r="J99" s="702">
        <f>SUM(M99:R99)</f>
        <v>0.5</v>
      </c>
      <c r="K99" s="2089"/>
      <c r="L99" s="2089"/>
      <c r="M99" s="2089"/>
      <c r="N99" s="2089"/>
      <c r="O99" s="2089"/>
      <c r="P99" s="2089"/>
      <c r="Q99" s="2148"/>
      <c r="R99" s="2235">
        <v>0.5</v>
      </c>
      <c r="S99" s="106"/>
      <c r="T99" s="106"/>
      <c r="U99" s="106"/>
      <c r="V99" s="106"/>
      <c r="W99" s="105">
        <v>1</v>
      </c>
      <c r="X99" s="105">
        <v>5</v>
      </c>
      <c r="Y99" s="105"/>
      <c r="Z99" s="323"/>
      <c r="AB99" s="3">
        <v>1</v>
      </c>
      <c r="AE99" s="2461"/>
      <c r="AF99" s="68"/>
    </row>
    <row r="100" spans="1:32" ht="45" x14ac:dyDescent="0.35">
      <c r="A100" s="525">
        <v>40</v>
      </c>
      <c r="B100" s="693">
        <v>11204</v>
      </c>
      <c r="C100" s="365" t="s">
        <v>1656</v>
      </c>
      <c r="D100" s="2464" t="s">
        <v>5975</v>
      </c>
      <c r="E100" s="2187" t="s">
        <v>8897</v>
      </c>
      <c r="F100" s="92" t="s">
        <v>1490</v>
      </c>
      <c r="G100" s="92">
        <v>5</v>
      </c>
      <c r="H100" s="92">
        <v>6</v>
      </c>
      <c r="I100" s="702">
        <f>J100+K100+L100</f>
        <v>0.45</v>
      </c>
      <c r="J100" s="702">
        <f>SUM(M100:R100)</f>
        <v>0.45</v>
      </c>
      <c r="K100" s="2089"/>
      <c r="L100" s="2089"/>
      <c r="M100" s="2089"/>
      <c r="N100" s="2089"/>
      <c r="O100" s="2089"/>
      <c r="P100" s="2089"/>
      <c r="Q100" s="2148"/>
      <c r="R100" s="2235">
        <v>0.45</v>
      </c>
      <c r="S100" s="106"/>
      <c r="T100" s="106"/>
      <c r="U100" s="106"/>
      <c r="V100" s="106"/>
      <c r="W100" s="105"/>
      <c r="X100" s="105"/>
      <c r="Y100" s="105"/>
      <c r="Z100" s="323"/>
      <c r="AB100" s="3">
        <v>1</v>
      </c>
      <c r="AE100" s="2461"/>
      <c r="AF100" s="68"/>
    </row>
    <row r="101" spans="1:32" ht="45" x14ac:dyDescent="0.35">
      <c r="A101" s="525">
        <v>41</v>
      </c>
      <c r="B101" s="693">
        <v>11204</v>
      </c>
      <c r="C101" s="365" t="s">
        <v>1656</v>
      </c>
      <c r="D101" s="2464" t="s">
        <v>5976</v>
      </c>
      <c r="E101" s="2187" t="s">
        <v>8898</v>
      </c>
      <c r="F101" s="92" t="s">
        <v>664</v>
      </c>
      <c r="G101" s="92">
        <v>5</v>
      </c>
      <c r="H101" s="92">
        <v>6</v>
      </c>
      <c r="I101" s="702">
        <f>J101+K101+L101</f>
        <v>0.5</v>
      </c>
      <c r="J101" s="702">
        <f>SUM(M101:R101)</f>
        <v>0.5</v>
      </c>
      <c r="K101" s="2089"/>
      <c r="L101" s="2089"/>
      <c r="M101" s="2089"/>
      <c r="N101" s="2089"/>
      <c r="O101" s="2089"/>
      <c r="P101" s="2089"/>
      <c r="Q101" s="2089"/>
      <c r="R101" s="2235">
        <v>0.5</v>
      </c>
      <c r="S101" s="106"/>
      <c r="T101" s="106"/>
      <c r="U101" s="106"/>
      <c r="V101" s="106"/>
      <c r="W101" s="105"/>
      <c r="X101" s="105"/>
      <c r="Y101" s="105"/>
      <c r="Z101" s="323"/>
      <c r="AB101" s="3">
        <v>1</v>
      </c>
      <c r="AE101" s="2461"/>
      <c r="AF101" s="68"/>
    </row>
    <row r="102" spans="1:32" ht="30" x14ac:dyDescent="0.35">
      <c r="A102" s="525">
        <v>42</v>
      </c>
      <c r="B102" s="358">
        <v>11205</v>
      </c>
      <c r="C102" s="358"/>
      <c r="D102" s="358" t="s">
        <v>1458</v>
      </c>
      <c r="E102" s="269" t="s">
        <v>3241</v>
      </c>
      <c r="F102" s="2295"/>
      <c r="G102" s="2295" t="s">
        <v>191</v>
      </c>
      <c r="H102" s="2295" t="s">
        <v>191</v>
      </c>
      <c r="I102" s="772">
        <f>J102+K102+L102</f>
        <v>11.000999999999998</v>
      </c>
      <c r="J102" s="772">
        <f>SUM(M102:R102)</f>
        <v>11.000999999999998</v>
      </c>
      <c r="K102" s="772"/>
      <c r="L102" s="772"/>
      <c r="M102" s="772"/>
      <c r="N102" s="772">
        <f>SUM(N103:N105)</f>
        <v>8.8389999999999986</v>
      </c>
      <c r="O102" s="773"/>
      <c r="P102" s="1470"/>
      <c r="Q102" s="1466">
        <f>SUM(Q103:Q105)</f>
        <v>2.1619999999999999</v>
      </c>
      <c r="R102" s="1462"/>
      <c r="S102" s="1815">
        <v>1</v>
      </c>
      <c r="T102" s="1931">
        <v>90.8</v>
      </c>
      <c r="U102" s="1815"/>
      <c r="V102" s="1815"/>
      <c r="W102" s="46">
        <v>11</v>
      </c>
      <c r="X102" s="250">
        <v>146</v>
      </c>
      <c r="Y102" s="46">
        <v>3</v>
      </c>
      <c r="Z102" s="47">
        <v>30</v>
      </c>
      <c r="AB102" s="3">
        <v>1</v>
      </c>
      <c r="AE102" s="2461"/>
      <c r="AF102" s="68"/>
    </row>
    <row r="103" spans="1:32" x14ac:dyDescent="0.35">
      <c r="A103" s="359"/>
      <c r="B103" s="358">
        <v>11205</v>
      </c>
      <c r="C103" s="358"/>
      <c r="D103" s="360"/>
      <c r="E103" s="357" t="s">
        <v>3238</v>
      </c>
      <c r="F103" s="2295">
        <v>4</v>
      </c>
      <c r="G103" s="2295">
        <v>4</v>
      </c>
      <c r="H103" s="2295">
        <v>6</v>
      </c>
      <c r="I103" s="774"/>
      <c r="J103" s="774"/>
      <c r="K103" s="774"/>
      <c r="L103" s="774"/>
      <c r="M103" s="774"/>
      <c r="N103" s="774">
        <v>7.5780000000000003</v>
      </c>
      <c r="O103" s="775"/>
      <c r="P103" s="1473"/>
      <c r="Q103" s="1467"/>
      <c r="R103" s="1463"/>
      <c r="S103" s="1815"/>
      <c r="T103" s="1931"/>
      <c r="U103" s="1815"/>
      <c r="V103" s="1815"/>
      <c r="W103" s="1815"/>
      <c r="X103" s="1933"/>
      <c r="Y103" s="1815"/>
      <c r="Z103" s="2509"/>
      <c r="AE103" s="2461"/>
      <c r="AF103" s="68"/>
    </row>
    <row r="104" spans="1:32" x14ac:dyDescent="0.35">
      <c r="A104" s="359"/>
      <c r="B104" s="358">
        <v>11205</v>
      </c>
      <c r="C104" s="358"/>
      <c r="D104" s="360"/>
      <c r="E104" s="1480" t="s">
        <v>3239</v>
      </c>
      <c r="F104" s="2295">
        <v>4</v>
      </c>
      <c r="G104" s="2295">
        <v>4</v>
      </c>
      <c r="H104" s="2295">
        <v>6</v>
      </c>
      <c r="I104" s="774"/>
      <c r="J104" s="774"/>
      <c r="K104" s="774"/>
      <c r="L104" s="774"/>
      <c r="M104" s="774"/>
      <c r="N104" s="774"/>
      <c r="O104" s="775"/>
      <c r="P104" s="1473"/>
      <c r="Q104" s="1467">
        <f>9.74-7.578</f>
        <v>2.1619999999999999</v>
      </c>
      <c r="R104" s="1463"/>
      <c r="S104" s="1815"/>
      <c r="T104" s="1931"/>
      <c r="U104" s="1815"/>
      <c r="V104" s="1815"/>
      <c r="W104" s="1815"/>
      <c r="X104" s="1933"/>
      <c r="Y104" s="1815"/>
      <c r="Z104" s="2509"/>
      <c r="AE104" s="2461"/>
      <c r="AF104" s="68"/>
    </row>
    <row r="105" spans="1:32" x14ac:dyDescent="0.35">
      <c r="A105" s="359"/>
      <c r="B105" s="358">
        <v>11205</v>
      </c>
      <c r="C105" s="358"/>
      <c r="D105" s="360"/>
      <c r="E105" s="357" t="s">
        <v>3240</v>
      </c>
      <c r="F105" s="2295">
        <v>4</v>
      </c>
      <c r="G105" s="2295">
        <v>4</v>
      </c>
      <c r="H105" s="2295">
        <v>6</v>
      </c>
      <c r="I105" s="774"/>
      <c r="J105" s="774"/>
      <c r="K105" s="774"/>
      <c r="L105" s="774"/>
      <c r="M105" s="774"/>
      <c r="N105" s="774">
        <f>11.001-9.74</f>
        <v>1.2609999999999992</v>
      </c>
      <c r="O105" s="775"/>
      <c r="P105" s="1473"/>
      <c r="Q105" s="1467"/>
      <c r="R105" s="1463"/>
      <c r="S105" s="1815"/>
      <c r="T105" s="1931"/>
      <c r="U105" s="1815"/>
      <c r="V105" s="1815"/>
      <c r="W105" s="1815"/>
      <c r="X105" s="1933"/>
      <c r="Y105" s="1815"/>
      <c r="Z105" s="2509"/>
      <c r="AE105" s="2461"/>
      <c r="AF105" s="68"/>
    </row>
    <row r="106" spans="1:32" ht="30.5" x14ac:dyDescent="0.35">
      <c r="A106" s="347">
        <v>43</v>
      </c>
      <c r="B106" s="358">
        <v>11205</v>
      </c>
      <c r="C106" s="358"/>
      <c r="D106" s="2464" t="s">
        <v>5977</v>
      </c>
      <c r="E106" s="312" t="s">
        <v>7945</v>
      </c>
      <c r="F106" s="2295" t="s">
        <v>827</v>
      </c>
      <c r="G106" s="2295">
        <v>5</v>
      </c>
      <c r="H106" s="92">
        <v>6</v>
      </c>
      <c r="I106" s="772">
        <f>J106+K106+L106</f>
        <v>3.4</v>
      </c>
      <c r="J106" s="772">
        <f>SUM(M106:R106)</f>
        <v>3.4</v>
      </c>
      <c r="K106" s="772"/>
      <c r="L106" s="772"/>
      <c r="M106" s="772"/>
      <c r="N106" s="772"/>
      <c r="O106" s="773"/>
      <c r="P106" s="1470"/>
      <c r="Q106" s="1466"/>
      <c r="R106" s="1462">
        <v>3.4</v>
      </c>
      <c r="S106" s="1815"/>
      <c r="T106" s="1931"/>
      <c r="U106" s="1815"/>
      <c r="V106" s="1815"/>
      <c r="W106" s="46"/>
      <c r="X106" s="250"/>
      <c r="Y106" s="46"/>
      <c r="Z106" s="47"/>
      <c r="AB106" s="3">
        <v>1</v>
      </c>
      <c r="AC106" s="3" t="s">
        <v>2570</v>
      </c>
      <c r="AE106" s="2461"/>
      <c r="AF106" s="68"/>
    </row>
    <row r="107" spans="1:32" ht="45" x14ac:dyDescent="0.35">
      <c r="A107" s="358">
        <v>44</v>
      </c>
      <c r="B107" s="358">
        <v>11205</v>
      </c>
      <c r="C107" s="365" t="s">
        <v>1656</v>
      </c>
      <c r="D107" s="2464" t="s">
        <v>5978</v>
      </c>
      <c r="E107" s="2187" t="s">
        <v>9286</v>
      </c>
      <c r="F107" s="92" t="s">
        <v>827</v>
      </c>
      <c r="G107" s="92">
        <v>5</v>
      </c>
      <c r="H107" s="92">
        <v>6</v>
      </c>
      <c r="I107" s="702">
        <f>J107+K107+L107</f>
        <v>0.35</v>
      </c>
      <c r="J107" s="702">
        <f>SUM(M107:R107)</f>
        <v>0.35</v>
      </c>
      <c r="K107" s="2089"/>
      <c r="L107" s="2089"/>
      <c r="M107" s="2089"/>
      <c r="N107" s="2089"/>
      <c r="O107" s="2089"/>
      <c r="P107" s="2089"/>
      <c r="Q107" s="2089"/>
      <c r="R107" s="2235">
        <v>0.35</v>
      </c>
      <c r="S107" s="106"/>
      <c r="T107" s="106"/>
      <c r="U107" s="106"/>
      <c r="V107" s="106"/>
      <c r="W107" s="105"/>
      <c r="X107" s="105"/>
      <c r="Y107" s="105"/>
      <c r="Z107" s="323"/>
      <c r="AB107" s="3">
        <v>1</v>
      </c>
      <c r="AE107" s="2461"/>
      <c r="AF107" s="68"/>
    </row>
    <row r="108" spans="1:32" ht="30.5" x14ac:dyDescent="0.35">
      <c r="A108" s="347">
        <v>45</v>
      </c>
      <c r="B108" s="358">
        <v>11206</v>
      </c>
      <c r="C108" s="358"/>
      <c r="D108" s="358" t="s">
        <v>197</v>
      </c>
      <c r="E108" s="526" t="s">
        <v>10186</v>
      </c>
      <c r="F108" s="2295"/>
      <c r="G108" s="2295" t="s">
        <v>191</v>
      </c>
      <c r="H108" s="2295" t="s">
        <v>191</v>
      </c>
      <c r="I108" s="772">
        <f>J108+K108+L108</f>
        <v>18.128</v>
      </c>
      <c r="J108" s="772">
        <f>SUM(M108:R108)</f>
        <v>18.128</v>
      </c>
      <c r="K108" s="772"/>
      <c r="L108" s="772"/>
      <c r="M108" s="772"/>
      <c r="N108" s="772">
        <f>SUM(N109:N111)</f>
        <v>6.8599999999999994</v>
      </c>
      <c r="O108" s="773"/>
      <c r="P108" s="1470"/>
      <c r="Q108" s="1466">
        <f>SUM(Q109:Q111)</f>
        <v>11.268000000000001</v>
      </c>
      <c r="R108" s="1462"/>
      <c r="S108" s="1815"/>
      <c r="T108" s="1931"/>
      <c r="U108" s="1815"/>
      <c r="V108" s="1815"/>
      <c r="W108" s="46">
        <v>12</v>
      </c>
      <c r="X108" s="250">
        <v>163.89</v>
      </c>
      <c r="Y108" s="46">
        <v>2</v>
      </c>
      <c r="Z108" s="47">
        <v>20.02</v>
      </c>
      <c r="AB108" s="3">
        <v>1</v>
      </c>
      <c r="AE108" s="2461"/>
      <c r="AF108" s="68"/>
    </row>
    <row r="109" spans="1:32" x14ac:dyDescent="0.35">
      <c r="A109" s="359"/>
      <c r="B109" s="358">
        <v>11206</v>
      </c>
      <c r="C109" s="358"/>
      <c r="D109" s="360"/>
      <c r="E109" s="357" t="s">
        <v>3575</v>
      </c>
      <c r="F109" s="2295">
        <v>4</v>
      </c>
      <c r="G109" s="2295">
        <v>4</v>
      </c>
      <c r="H109" s="2295">
        <v>6</v>
      </c>
      <c r="I109" s="774"/>
      <c r="J109" s="774"/>
      <c r="K109" s="774"/>
      <c r="L109" s="774"/>
      <c r="M109" s="774"/>
      <c r="N109" s="774">
        <v>3.17</v>
      </c>
      <c r="O109" s="775"/>
      <c r="P109" s="1473"/>
      <c r="Q109" s="1467"/>
      <c r="R109" s="1463"/>
      <c r="S109" s="1815"/>
      <c r="T109" s="1931"/>
      <c r="U109" s="1815"/>
      <c r="V109" s="1815"/>
      <c r="W109" s="1815"/>
      <c r="X109" s="1933"/>
      <c r="Y109" s="1815"/>
      <c r="Z109" s="2509"/>
      <c r="AE109" s="2461"/>
      <c r="AF109" s="68"/>
    </row>
    <row r="110" spans="1:32" x14ac:dyDescent="0.35">
      <c r="A110" s="359"/>
      <c r="B110" s="358">
        <v>11206</v>
      </c>
      <c r="C110" s="358"/>
      <c r="D110" s="360"/>
      <c r="E110" s="1480" t="s">
        <v>3576</v>
      </c>
      <c r="F110" s="2295">
        <v>5</v>
      </c>
      <c r="G110" s="2295">
        <v>4</v>
      </c>
      <c r="H110" s="2295">
        <v>6</v>
      </c>
      <c r="I110" s="774"/>
      <c r="J110" s="774"/>
      <c r="K110" s="774"/>
      <c r="L110" s="774"/>
      <c r="M110" s="774"/>
      <c r="N110" s="774"/>
      <c r="O110" s="775"/>
      <c r="P110" s="1473"/>
      <c r="Q110" s="1467">
        <f>14.438-3.17</f>
        <v>11.268000000000001</v>
      </c>
      <c r="R110" s="1463"/>
      <c r="S110" s="1815"/>
      <c r="T110" s="1931"/>
      <c r="U110" s="1815"/>
      <c r="V110" s="1815"/>
      <c r="W110" s="1815"/>
      <c r="X110" s="1933"/>
      <c r="Y110" s="1815"/>
      <c r="Z110" s="2509"/>
      <c r="AE110" s="2461"/>
      <c r="AF110" s="68"/>
    </row>
    <row r="111" spans="1:32" x14ac:dyDescent="0.35">
      <c r="A111" s="359"/>
      <c r="B111" s="358">
        <v>11206</v>
      </c>
      <c r="C111" s="358"/>
      <c r="D111" s="360"/>
      <c r="E111" s="357" t="s">
        <v>3385</v>
      </c>
      <c r="F111" s="2295">
        <v>5</v>
      </c>
      <c r="G111" s="2295">
        <v>4</v>
      </c>
      <c r="H111" s="2295">
        <v>6</v>
      </c>
      <c r="I111" s="774"/>
      <c r="J111" s="774"/>
      <c r="K111" s="774"/>
      <c r="L111" s="774"/>
      <c r="M111" s="774"/>
      <c r="N111" s="774">
        <v>3.69</v>
      </c>
      <c r="O111" s="775"/>
      <c r="P111" s="1473"/>
      <c r="Q111" s="1467"/>
      <c r="R111" s="1463"/>
      <c r="S111" s="1815"/>
      <c r="T111" s="1931"/>
      <c r="U111" s="1815"/>
      <c r="V111" s="1815"/>
      <c r="W111" s="1815"/>
      <c r="X111" s="1933"/>
      <c r="Y111" s="1815"/>
      <c r="Z111" s="2509"/>
      <c r="AE111" s="2461"/>
      <c r="AF111" s="68"/>
    </row>
    <row r="112" spans="1:32" ht="45.5" x14ac:dyDescent="0.35">
      <c r="A112" s="347">
        <v>46</v>
      </c>
      <c r="B112" s="358">
        <v>11206</v>
      </c>
      <c r="C112" s="358"/>
      <c r="D112" s="2464" t="s">
        <v>5979</v>
      </c>
      <c r="E112" s="312" t="s">
        <v>10187</v>
      </c>
      <c r="F112" s="2295" t="s">
        <v>827</v>
      </c>
      <c r="G112" s="2295">
        <v>5</v>
      </c>
      <c r="H112" s="92">
        <v>6</v>
      </c>
      <c r="I112" s="772">
        <f>J112+K112+L112</f>
        <v>1.7</v>
      </c>
      <c r="J112" s="772">
        <f>SUM(M112:R112)</f>
        <v>1.7</v>
      </c>
      <c r="K112" s="772"/>
      <c r="L112" s="772"/>
      <c r="M112" s="772"/>
      <c r="N112" s="772"/>
      <c r="O112" s="773"/>
      <c r="P112" s="1470"/>
      <c r="Q112" s="1466"/>
      <c r="R112" s="1462">
        <v>1.7</v>
      </c>
      <c r="S112" s="1815"/>
      <c r="T112" s="1931"/>
      <c r="U112" s="1815"/>
      <c r="V112" s="1815"/>
      <c r="W112" s="1815"/>
      <c r="X112" s="1933"/>
      <c r="Y112" s="1815"/>
      <c r="Z112" s="2509"/>
      <c r="AB112" s="3">
        <v>1</v>
      </c>
      <c r="AE112" s="2461"/>
      <c r="AF112" s="68"/>
    </row>
    <row r="113" spans="1:32" ht="60.5" x14ac:dyDescent="0.35">
      <c r="A113" s="347">
        <v>47</v>
      </c>
      <c r="B113" s="358">
        <v>11206</v>
      </c>
      <c r="C113" s="358" t="s">
        <v>1655</v>
      </c>
      <c r="D113" s="2464" t="s">
        <v>5980</v>
      </c>
      <c r="E113" s="312" t="s">
        <v>10188</v>
      </c>
      <c r="F113" s="2295" t="s">
        <v>1490</v>
      </c>
      <c r="G113" s="2295">
        <v>5</v>
      </c>
      <c r="H113" s="92">
        <v>6</v>
      </c>
      <c r="I113" s="772">
        <f>J113+K113+L113</f>
        <v>0.4</v>
      </c>
      <c r="J113" s="772">
        <f>SUM(M113:R113)</f>
        <v>0.4</v>
      </c>
      <c r="K113" s="772"/>
      <c r="L113" s="772"/>
      <c r="M113" s="772"/>
      <c r="N113" s="772"/>
      <c r="O113" s="773"/>
      <c r="P113" s="1470"/>
      <c r="Q113" s="1466"/>
      <c r="R113" s="1462">
        <v>0.4</v>
      </c>
      <c r="S113" s="1815"/>
      <c r="T113" s="1931"/>
      <c r="U113" s="1815"/>
      <c r="V113" s="1815"/>
      <c r="W113" s="1815"/>
      <c r="X113" s="1933"/>
      <c r="Y113" s="1815"/>
      <c r="Z113" s="2509"/>
      <c r="AB113" s="3">
        <v>1</v>
      </c>
      <c r="AE113" s="2461"/>
      <c r="AF113" s="68"/>
    </row>
    <row r="114" spans="1:32" ht="45.5" x14ac:dyDescent="0.35">
      <c r="A114" s="347">
        <v>48</v>
      </c>
      <c r="B114" s="358">
        <v>11206</v>
      </c>
      <c r="C114" s="358"/>
      <c r="D114" s="2464" t="s">
        <v>5981</v>
      </c>
      <c r="E114" s="312" t="s">
        <v>10189</v>
      </c>
      <c r="F114" s="2295">
        <v>5</v>
      </c>
      <c r="G114" s="2295">
        <v>5</v>
      </c>
      <c r="H114" s="2295">
        <v>6</v>
      </c>
      <c r="I114" s="772">
        <f>J114+K114+L114</f>
        <v>1.9359999999999999</v>
      </c>
      <c r="J114" s="772">
        <f>SUM(M114:R114)</f>
        <v>1.9359999999999999</v>
      </c>
      <c r="K114" s="772"/>
      <c r="L114" s="772"/>
      <c r="M114" s="772"/>
      <c r="N114" s="772">
        <v>1.9359999999999999</v>
      </c>
      <c r="O114" s="773"/>
      <c r="P114" s="1470"/>
      <c r="Q114" s="1466"/>
      <c r="R114" s="1462"/>
      <c r="S114" s="1815"/>
      <c r="T114" s="1931"/>
      <c r="U114" s="1815"/>
      <c r="V114" s="1815"/>
      <c r="W114" s="1815"/>
      <c r="X114" s="1933"/>
      <c r="Y114" s="1815"/>
      <c r="Z114" s="2509"/>
      <c r="AB114" s="3">
        <v>1</v>
      </c>
      <c r="AE114" s="2461"/>
      <c r="AF114" s="68"/>
    </row>
    <row r="115" spans="1:32" ht="30" x14ac:dyDescent="0.35">
      <c r="A115" s="347">
        <v>49</v>
      </c>
      <c r="B115" s="358">
        <v>11207</v>
      </c>
      <c r="C115" s="358"/>
      <c r="D115" s="358" t="s">
        <v>198</v>
      </c>
      <c r="E115" s="269" t="s">
        <v>1353</v>
      </c>
      <c r="F115" s="2295">
        <v>4</v>
      </c>
      <c r="G115" s="2295">
        <v>3</v>
      </c>
      <c r="H115" s="2295">
        <v>6</v>
      </c>
      <c r="I115" s="772">
        <f>J115+K115+L115</f>
        <v>14.489000000000001</v>
      </c>
      <c r="J115" s="772">
        <f>SUM(M115:R115)</f>
        <v>14.489000000000001</v>
      </c>
      <c r="K115" s="772"/>
      <c r="L115" s="772"/>
      <c r="M115" s="772"/>
      <c r="N115" s="772">
        <v>14.489000000000001</v>
      </c>
      <c r="O115" s="773"/>
      <c r="P115" s="1470"/>
      <c r="Q115" s="1466"/>
      <c r="R115" s="1462"/>
      <c r="S115" s="1815">
        <v>2</v>
      </c>
      <c r="T115" s="2764">
        <f>18.5+18.9</f>
        <v>37.4</v>
      </c>
      <c r="U115" s="1815"/>
      <c r="V115" s="1815"/>
      <c r="W115" s="46">
        <v>14</v>
      </c>
      <c r="X115" s="2533">
        <v>177.24</v>
      </c>
      <c r="Y115" s="46">
        <v>2</v>
      </c>
      <c r="Z115" s="47">
        <v>15</v>
      </c>
      <c r="AB115" s="3">
        <v>1</v>
      </c>
      <c r="AE115" s="2461"/>
      <c r="AF115" s="68"/>
    </row>
    <row r="116" spans="1:32" ht="30.5" x14ac:dyDescent="0.35">
      <c r="A116" s="347">
        <v>50</v>
      </c>
      <c r="B116" s="358">
        <v>11207</v>
      </c>
      <c r="C116" s="358"/>
      <c r="D116" s="2464" t="s">
        <v>5982</v>
      </c>
      <c r="E116" s="312" t="s">
        <v>9154</v>
      </c>
      <c r="F116" s="2295"/>
      <c r="G116" s="2295" t="s">
        <v>191</v>
      </c>
      <c r="H116" s="2295" t="s">
        <v>191</v>
      </c>
      <c r="I116" s="772">
        <f>J116+K116+L116</f>
        <v>3.2</v>
      </c>
      <c r="J116" s="772">
        <f>SUM(M116:R116)</f>
        <v>3.2</v>
      </c>
      <c r="K116" s="772"/>
      <c r="L116" s="772"/>
      <c r="M116" s="772"/>
      <c r="N116" s="772">
        <f>SUM(N117:N118)</f>
        <v>0.95</v>
      </c>
      <c r="O116" s="773"/>
      <c r="P116" s="1470"/>
      <c r="Q116" s="1466"/>
      <c r="R116" s="1462">
        <f>SUM(R117:R118)</f>
        <v>2.25</v>
      </c>
      <c r="S116" s="1815"/>
      <c r="T116" s="1931"/>
      <c r="U116" s="1815"/>
      <c r="V116" s="1815"/>
      <c r="W116" s="1815"/>
      <c r="X116" s="1933"/>
      <c r="Y116" s="1815"/>
      <c r="Z116" s="2509"/>
      <c r="AB116" s="3">
        <v>1</v>
      </c>
      <c r="AE116" s="2461"/>
      <c r="AF116" s="68"/>
    </row>
    <row r="117" spans="1:32" x14ac:dyDescent="0.35">
      <c r="A117" s="347"/>
      <c r="B117" s="358">
        <v>11207</v>
      </c>
      <c r="C117" s="358"/>
      <c r="D117" s="358"/>
      <c r="E117" s="2603" t="s">
        <v>966</v>
      </c>
      <c r="F117" s="92" t="s">
        <v>827</v>
      </c>
      <c r="G117" s="2295">
        <v>5</v>
      </c>
      <c r="H117" s="2295">
        <v>6</v>
      </c>
      <c r="I117" s="2298"/>
      <c r="J117" s="2298"/>
      <c r="K117" s="774"/>
      <c r="L117" s="774"/>
      <c r="M117" s="774"/>
      <c r="N117" s="774">
        <v>0.95</v>
      </c>
      <c r="O117" s="775"/>
      <c r="P117" s="1824"/>
      <c r="Q117" s="1825"/>
      <c r="R117" s="2296"/>
      <c r="S117" s="1815"/>
      <c r="T117" s="1931"/>
      <c r="U117" s="1815"/>
      <c r="V117" s="1815"/>
      <c r="W117" s="1815"/>
      <c r="X117" s="1933"/>
      <c r="Y117" s="1815"/>
      <c r="Z117" s="2509"/>
      <c r="AE117" s="2461"/>
      <c r="AF117" s="68"/>
    </row>
    <row r="118" spans="1:32" x14ac:dyDescent="0.35">
      <c r="A118" s="347"/>
      <c r="B118" s="358">
        <v>11207</v>
      </c>
      <c r="C118" s="358"/>
      <c r="D118" s="358"/>
      <c r="E118" s="2297" t="s">
        <v>2326</v>
      </c>
      <c r="F118" s="2295" t="s">
        <v>664</v>
      </c>
      <c r="G118" s="2295">
        <v>5</v>
      </c>
      <c r="H118" s="92">
        <v>6</v>
      </c>
      <c r="I118" s="2298"/>
      <c r="J118" s="2298"/>
      <c r="K118" s="774"/>
      <c r="L118" s="774"/>
      <c r="M118" s="774"/>
      <c r="N118" s="774"/>
      <c r="O118" s="775"/>
      <c r="P118" s="1824"/>
      <c r="Q118" s="1825"/>
      <c r="R118" s="2296">
        <v>2.25</v>
      </c>
      <c r="S118" s="1815"/>
      <c r="T118" s="1931"/>
      <c r="U118" s="1815"/>
      <c r="V118" s="1815"/>
      <c r="W118" s="1815"/>
      <c r="X118" s="1933"/>
      <c r="Y118" s="1815"/>
      <c r="Z118" s="2509"/>
      <c r="AE118" s="2461"/>
      <c r="AF118" s="68"/>
    </row>
    <row r="119" spans="1:32" ht="30.5" x14ac:dyDescent="0.35">
      <c r="A119" s="347">
        <v>51</v>
      </c>
      <c r="B119" s="358">
        <v>11207</v>
      </c>
      <c r="C119" s="358"/>
      <c r="D119" s="2464" t="s">
        <v>5983</v>
      </c>
      <c r="E119" s="312" t="s">
        <v>10190</v>
      </c>
      <c r="F119" s="2295"/>
      <c r="G119" s="2295" t="s">
        <v>191</v>
      </c>
      <c r="H119" s="2295" t="s">
        <v>191</v>
      </c>
      <c r="I119" s="772">
        <f>J119+K119+L119</f>
        <v>1.363</v>
      </c>
      <c r="J119" s="772">
        <f>SUM(M119:R119)</f>
        <v>1.363</v>
      </c>
      <c r="K119" s="772"/>
      <c r="L119" s="772"/>
      <c r="M119" s="772"/>
      <c r="N119" s="772">
        <f>SUM(N120:N121)</f>
        <v>0.84099999999999997</v>
      </c>
      <c r="O119" s="773"/>
      <c r="P119" s="1470"/>
      <c r="Q119" s="1466">
        <f>SUM(Q120:Q121)</f>
        <v>0.52200000000000002</v>
      </c>
      <c r="R119" s="1462"/>
      <c r="S119" s="1815"/>
      <c r="T119" s="1931"/>
      <c r="U119" s="1815"/>
      <c r="V119" s="1815"/>
      <c r="W119" s="1815"/>
      <c r="X119" s="1933"/>
      <c r="Y119" s="1815"/>
      <c r="Z119" s="2509"/>
      <c r="AB119" s="3">
        <v>1</v>
      </c>
      <c r="AE119" s="2461"/>
      <c r="AF119" s="68"/>
    </row>
    <row r="120" spans="1:32" x14ac:dyDescent="0.35">
      <c r="A120" s="359"/>
      <c r="B120" s="358">
        <v>11207</v>
      </c>
      <c r="C120" s="358"/>
      <c r="D120" s="360"/>
      <c r="E120" s="357" t="s">
        <v>1354</v>
      </c>
      <c r="F120" s="2295">
        <v>5</v>
      </c>
      <c r="G120" s="2295">
        <v>5</v>
      </c>
      <c r="H120" s="2295">
        <v>6</v>
      </c>
      <c r="I120" s="774"/>
      <c r="J120" s="774"/>
      <c r="K120" s="774"/>
      <c r="L120" s="774"/>
      <c r="M120" s="774"/>
      <c r="N120" s="774">
        <v>0.84099999999999997</v>
      </c>
      <c r="O120" s="775"/>
      <c r="P120" s="1473"/>
      <c r="Q120" s="1467"/>
      <c r="R120" s="1463"/>
      <c r="S120" s="1815"/>
      <c r="T120" s="1931"/>
      <c r="U120" s="1815"/>
      <c r="V120" s="1815"/>
      <c r="W120" s="1815"/>
      <c r="X120" s="1933"/>
      <c r="Y120" s="1815"/>
      <c r="Z120" s="2509"/>
      <c r="AE120" s="2461"/>
      <c r="AF120" s="68"/>
    </row>
    <row r="121" spans="1:32" x14ac:dyDescent="0.35">
      <c r="A121" s="359"/>
      <c r="B121" s="358">
        <v>11207</v>
      </c>
      <c r="C121" s="358"/>
      <c r="D121" s="360"/>
      <c r="E121" s="1480" t="s">
        <v>1257</v>
      </c>
      <c r="F121" s="2295">
        <v>5</v>
      </c>
      <c r="G121" s="2295">
        <v>5</v>
      </c>
      <c r="H121" s="2295">
        <v>6</v>
      </c>
      <c r="I121" s="774"/>
      <c r="J121" s="774"/>
      <c r="K121" s="774"/>
      <c r="L121" s="774"/>
      <c r="M121" s="774"/>
      <c r="N121" s="774"/>
      <c r="O121" s="775"/>
      <c r="P121" s="1473"/>
      <c r="Q121" s="1467">
        <f>1.363-0.841</f>
        <v>0.52200000000000002</v>
      </c>
      <c r="R121" s="1463"/>
      <c r="S121" s="1815"/>
      <c r="T121" s="1931"/>
      <c r="U121" s="1815"/>
      <c r="V121" s="1815"/>
      <c r="W121" s="1815"/>
      <c r="X121" s="1933"/>
      <c r="Y121" s="1815"/>
      <c r="Z121" s="2509"/>
      <c r="AE121" s="2461"/>
      <c r="AF121" s="68"/>
    </row>
    <row r="122" spans="1:32" ht="30" x14ac:dyDescent="0.35">
      <c r="A122" s="347">
        <v>52</v>
      </c>
      <c r="B122" s="358">
        <v>11208</v>
      </c>
      <c r="C122" s="358"/>
      <c r="D122" s="358" t="s">
        <v>199</v>
      </c>
      <c r="E122" s="269" t="s">
        <v>10728</v>
      </c>
      <c r="F122" s="2295">
        <v>4</v>
      </c>
      <c r="G122" s="2295">
        <v>4</v>
      </c>
      <c r="H122" s="2295">
        <v>6</v>
      </c>
      <c r="I122" s="772">
        <f>J122+K122+L122</f>
        <v>14.728</v>
      </c>
      <c r="J122" s="772">
        <f>SUM(M122:R122)</f>
        <v>14.728</v>
      </c>
      <c r="K122" s="772"/>
      <c r="L122" s="772"/>
      <c r="M122" s="772"/>
      <c r="N122" s="772">
        <v>14.728</v>
      </c>
      <c r="O122" s="773"/>
      <c r="P122" s="1470"/>
      <c r="Q122" s="1466"/>
      <c r="R122" s="1462"/>
      <c r="S122" s="1815"/>
      <c r="T122" s="1931"/>
      <c r="U122" s="1815"/>
      <c r="V122" s="1815"/>
      <c r="W122" s="46">
        <v>11</v>
      </c>
      <c r="X122" s="250">
        <v>149.44999999999999</v>
      </c>
      <c r="Y122" s="46">
        <v>1</v>
      </c>
      <c r="Z122" s="47">
        <v>9</v>
      </c>
      <c r="AB122" s="3">
        <v>1</v>
      </c>
      <c r="AE122" s="2461"/>
      <c r="AF122" s="68"/>
    </row>
    <row r="123" spans="1:32" ht="30.5" x14ac:dyDescent="0.35">
      <c r="A123" s="347">
        <v>53</v>
      </c>
      <c r="B123" s="358">
        <v>11208</v>
      </c>
      <c r="C123" s="358"/>
      <c r="D123" s="2464" t="s">
        <v>5984</v>
      </c>
      <c r="E123" s="312" t="s">
        <v>10724</v>
      </c>
      <c r="F123" s="2295" t="s">
        <v>827</v>
      </c>
      <c r="G123" s="2295">
        <v>5</v>
      </c>
      <c r="H123" s="92">
        <v>6</v>
      </c>
      <c r="I123" s="772">
        <f>J123+K123+L123</f>
        <v>0.8</v>
      </c>
      <c r="J123" s="772">
        <f>SUM(M123:R123)</f>
        <v>0.8</v>
      </c>
      <c r="K123" s="772"/>
      <c r="L123" s="772"/>
      <c r="M123" s="772"/>
      <c r="N123" s="772"/>
      <c r="O123" s="773"/>
      <c r="P123" s="1470"/>
      <c r="Q123" s="1466"/>
      <c r="R123" s="1462">
        <v>0.8</v>
      </c>
      <c r="S123" s="1815"/>
      <c r="T123" s="1931"/>
      <c r="U123" s="1815"/>
      <c r="V123" s="1815"/>
      <c r="W123" s="1815"/>
      <c r="X123" s="1933"/>
      <c r="Y123" s="1815"/>
      <c r="Z123" s="2509"/>
      <c r="AB123" s="3">
        <v>1</v>
      </c>
      <c r="AE123" s="2461"/>
      <c r="AF123" s="68"/>
    </row>
    <row r="124" spans="1:32" ht="30" x14ac:dyDescent="0.35">
      <c r="A124" s="347">
        <v>54</v>
      </c>
      <c r="B124" s="693">
        <v>11208</v>
      </c>
      <c r="C124" s="365" t="s">
        <v>1656</v>
      </c>
      <c r="D124" s="2464" t="s">
        <v>5985</v>
      </c>
      <c r="E124" s="2187" t="s">
        <v>10725</v>
      </c>
      <c r="F124" s="92" t="s">
        <v>664</v>
      </c>
      <c r="G124" s="92">
        <v>5</v>
      </c>
      <c r="H124" s="92">
        <v>6</v>
      </c>
      <c r="I124" s="702">
        <f>J124+K124+L124</f>
        <v>0.4</v>
      </c>
      <c r="J124" s="702">
        <f>SUM(M124:R124)</f>
        <v>0.4</v>
      </c>
      <c r="K124" s="2089"/>
      <c r="L124" s="2089"/>
      <c r="M124" s="2089"/>
      <c r="N124" s="2089"/>
      <c r="O124" s="2089"/>
      <c r="P124" s="2089"/>
      <c r="Q124" s="2148"/>
      <c r="R124" s="2235">
        <v>0.4</v>
      </c>
      <c r="S124" s="106"/>
      <c r="T124" s="106"/>
      <c r="U124" s="106"/>
      <c r="V124" s="106"/>
      <c r="W124" s="105"/>
      <c r="X124" s="105"/>
      <c r="Y124" s="105"/>
      <c r="Z124" s="323"/>
      <c r="AB124" s="3">
        <v>1</v>
      </c>
      <c r="AE124" s="2461"/>
      <c r="AF124" s="68"/>
    </row>
    <row r="125" spans="1:32" ht="30" x14ac:dyDescent="0.35">
      <c r="A125" s="347">
        <v>55</v>
      </c>
      <c r="B125" s="693">
        <v>11208</v>
      </c>
      <c r="C125" s="365" t="s">
        <v>1656</v>
      </c>
      <c r="D125" s="2464" t="s">
        <v>5986</v>
      </c>
      <c r="E125" s="2187" t="s">
        <v>10726</v>
      </c>
      <c r="F125" s="92" t="s">
        <v>664</v>
      </c>
      <c r="G125" s="92">
        <v>5</v>
      </c>
      <c r="H125" s="92">
        <v>6</v>
      </c>
      <c r="I125" s="702">
        <f>J125+K125+L125</f>
        <v>0.8</v>
      </c>
      <c r="J125" s="702">
        <f>SUM(M125:R125)</f>
        <v>0.8</v>
      </c>
      <c r="K125" s="2089"/>
      <c r="L125" s="2089"/>
      <c r="M125" s="2089"/>
      <c r="N125" s="2089"/>
      <c r="O125" s="2089"/>
      <c r="P125" s="2089"/>
      <c r="Q125" s="2148"/>
      <c r="R125" s="2235">
        <v>0.8</v>
      </c>
      <c r="S125" s="106"/>
      <c r="T125" s="106"/>
      <c r="U125" s="106"/>
      <c r="V125" s="106"/>
      <c r="W125" s="105"/>
      <c r="X125" s="105"/>
      <c r="Y125" s="105"/>
      <c r="Z125" s="323"/>
      <c r="AB125" s="3">
        <v>1</v>
      </c>
      <c r="AE125" s="2461"/>
      <c r="AF125" s="68"/>
    </row>
    <row r="126" spans="1:32" ht="30" x14ac:dyDescent="0.35">
      <c r="A126" s="347">
        <v>56</v>
      </c>
      <c r="B126" s="358">
        <v>11209</v>
      </c>
      <c r="C126" s="358"/>
      <c r="D126" s="358" t="s">
        <v>200</v>
      </c>
      <c r="E126" s="269" t="s">
        <v>3559</v>
      </c>
      <c r="F126" s="2295"/>
      <c r="G126" s="2295" t="s">
        <v>191</v>
      </c>
      <c r="H126" s="2295" t="s">
        <v>191</v>
      </c>
      <c r="I126" s="772">
        <f>J126+K126+L126</f>
        <v>11.645</v>
      </c>
      <c r="J126" s="772">
        <f>SUM(M126:R126)</f>
        <v>11.645</v>
      </c>
      <c r="K126" s="772"/>
      <c r="L126" s="772"/>
      <c r="M126" s="772"/>
      <c r="N126" s="772">
        <f>SUM(N127:N133)</f>
        <v>0.91900000000000037</v>
      </c>
      <c r="O126" s="773"/>
      <c r="P126" s="1470"/>
      <c r="Q126" s="1466">
        <f>SUM(Q127:Q133)</f>
        <v>10.725999999999999</v>
      </c>
      <c r="R126" s="1462"/>
      <c r="S126" s="1815"/>
      <c r="T126" s="1931"/>
      <c r="U126" s="1815"/>
      <c r="V126" s="1815"/>
      <c r="W126" s="2869">
        <f>20+1</f>
        <v>21</v>
      </c>
      <c r="X126" s="2533">
        <f>246.38+15</f>
        <v>261.38</v>
      </c>
      <c r="Y126" s="46">
        <v>7</v>
      </c>
      <c r="Z126" s="47">
        <v>72</v>
      </c>
      <c r="AB126" s="3">
        <v>1</v>
      </c>
      <c r="AE126" s="2461"/>
      <c r="AF126" s="68"/>
    </row>
    <row r="127" spans="1:32" x14ac:dyDescent="0.35">
      <c r="A127" s="359"/>
      <c r="B127" s="358">
        <v>11209</v>
      </c>
      <c r="C127" s="358"/>
      <c r="D127" s="360"/>
      <c r="E127" s="357" t="s">
        <v>1371</v>
      </c>
      <c r="F127" s="2295">
        <v>4</v>
      </c>
      <c r="G127" s="2295">
        <v>4</v>
      </c>
      <c r="H127" s="2295">
        <v>6</v>
      </c>
      <c r="I127" s="774"/>
      <c r="J127" s="774"/>
      <c r="K127" s="774"/>
      <c r="L127" s="774"/>
      <c r="M127" s="774"/>
      <c r="N127" s="774">
        <v>0.20899999999999999</v>
      </c>
      <c r="O127" s="775"/>
      <c r="P127" s="1473"/>
      <c r="Q127" s="1467"/>
      <c r="R127" s="1463"/>
      <c r="S127" s="1815"/>
      <c r="T127" s="1931"/>
      <c r="U127" s="1815"/>
      <c r="V127" s="1815"/>
      <c r="W127" s="1815"/>
      <c r="X127" s="1933"/>
      <c r="Y127" s="1815"/>
      <c r="Z127" s="2509"/>
      <c r="AE127" s="2461"/>
      <c r="AF127" s="68"/>
    </row>
    <row r="128" spans="1:32" x14ac:dyDescent="0.35">
      <c r="A128" s="359"/>
      <c r="B128" s="358">
        <v>11209</v>
      </c>
      <c r="C128" s="358"/>
      <c r="D128" s="360"/>
      <c r="E128" s="1480" t="s">
        <v>1372</v>
      </c>
      <c r="F128" s="2295">
        <v>4</v>
      </c>
      <c r="G128" s="2295">
        <v>4</v>
      </c>
      <c r="H128" s="2295">
        <v>6</v>
      </c>
      <c r="I128" s="774"/>
      <c r="J128" s="774"/>
      <c r="K128" s="774"/>
      <c r="L128" s="774"/>
      <c r="M128" s="774"/>
      <c r="N128" s="774"/>
      <c r="O128" s="775"/>
      <c r="P128" s="1473"/>
      <c r="Q128" s="1467">
        <f>2.029-0.209</f>
        <v>1.8199999999999998</v>
      </c>
      <c r="R128" s="1463"/>
      <c r="S128" s="1815"/>
      <c r="T128" s="1931"/>
      <c r="U128" s="1815"/>
      <c r="V128" s="1815"/>
      <c r="W128" s="1815"/>
      <c r="X128" s="1933"/>
      <c r="Y128" s="1815"/>
      <c r="Z128" s="2509"/>
      <c r="AE128" s="2461"/>
      <c r="AF128" s="68"/>
    </row>
    <row r="129" spans="1:32" x14ac:dyDescent="0.35">
      <c r="A129" s="359"/>
      <c r="B129" s="358">
        <v>11209</v>
      </c>
      <c r="C129" s="358"/>
      <c r="D129" s="360"/>
      <c r="E129" s="357" t="s">
        <v>1373</v>
      </c>
      <c r="F129" s="2295">
        <v>4</v>
      </c>
      <c r="G129" s="2295">
        <v>4</v>
      </c>
      <c r="H129" s="2295">
        <v>6</v>
      </c>
      <c r="I129" s="774"/>
      <c r="J129" s="774"/>
      <c r="K129" s="774"/>
      <c r="L129" s="774"/>
      <c r="M129" s="774"/>
      <c r="N129" s="774">
        <f>2.421-2.029</f>
        <v>0.3919999999999999</v>
      </c>
      <c r="O129" s="775"/>
      <c r="P129" s="1473"/>
      <c r="Q129" s="1467"/>
      <c r="R129" s="1463"/>
      <c r="S129" s="1815"/>
      <c r="T129" s="1931"/>
      <c r="U129" s="1815"/>
      <c r="V129" s="1815"/>
      <c r="W129" s="1815"/>
      <c r="X129" s="1933"/>
      <c r="Y129" s="1815"/>
      <c r="Z129" s="2509"/>
      <c r="AE129" s="2461"/>
      <c r="AF129" s="68"/>
    </row>
    <row r="130" spans="1:32" x14ac:dyDescent="0.35">
      <c r="A130" s="359"/>
      <c r="B130" s="358">
        <v>11209</v>
      </c>
      <c r="C130" s="358"/>
      <c r="D130" s="360"/>
      <c r="E130" s="1480" t="s">
        <v>1374</v>
      </c>
      <c r="F130" s="2295">
        <v>4</v>
      </c>
      <c r="G130" s="2295">
        <v>4</v>
      </c>
      <c r="H130" s="2295">
        <v>6</v>
      </c>
      <c r="I130" s="774"/>
      <c r="J130" s="774"/>
      <c r="K130" s="774"/>
      <c r="L130" s="774"/>
      <c r="M130" s="774"/>
      <c r="N130" s="774"/>
      <c r="O130" s="775"/>
      <c r="P130" s="1473"/>
      <c r="Q130" s="1467">
        <f>4.821-2.421</f>
        <v>2.4</v>
      </c>
      <c r="R130" s="1463"/>
      <c r="S130" s="1815"/>
      <c r="T130" s="1931"/>
      <c r="U130" s="1815"/>
      <c r="V130" s="1815"/>
      <c r="W130" s="1815"/>
      <c r="X130" s="1933"/>
      <c r="Y130" s="1815"/>
      <c r="Z130" s="2509"/>
      <c r="AE130" s="2461"/>
      <c r="AF130" s="68"/>
    </row>
    <row r="131" spans="1:32" x14ac:dyDescent="0.35">
      <c r="A131" s="359"/>
      <c r="B131" s="358">
        <v>11209</v>
      </c>
      <c r="C131" s="358"/>
      <c r="D131" s="360"/>
      <c r="E131" s="357" t="s">
        <v>1375</v>
      </c>
      <c r="F131" s="2295">
        <v>4</v>
      </c>
      <c r="G131" s="2295">
        <v>4</v>
      </c>
      <c r="H131" s="2295">
        <v>6</v>
      </c>
      <c r="I131" s="774"/>
      <c r="J131" s="774"/>
      <c r="K131" s="774"/>
      <c r="L131" s="774"/>
      <c r="M131" s="774"/>
      <c r="N131" s="774">
        <f>5.139-4.821</f>
        <v>0.3180000000000005</v>
      </c>
      <c r="O131" s="775"/>
      <c r="P131" s="1473"/>
      <c r="Q131" s="1467"/>
      <c r="R131" s="1463"/>
      <c r="S131" s="1815"/>
      <c r="T131" s="1931"/>
      <c r="U131" s="1815"/>
      <c r="V131" s="1815"/>
      <c r="W131" s="1815"/>
      <c r="X131" s="1933"/>
      <c r="Y131" s="1815"/>
      <c r="Z131" s="2509"/>
      <c r="AE131" s="2461"/>
      <c r="AF131" s="68"/>
    </row>
    <row r="132" spans="1:32" x14ac:dyDescent="0.35">
      <c r="A132" s="359"/>
      <c r="B132" s="358">
        <v>11209</v>
      </c>
      <c r="C132" s="358"/>
      <c r="D132" s="360"/>
      <c r="E132" s="1480" t="s">
        <v>3565</v>
      </c>
      <c r="F132" s="2295">
        <v>4</v>
      </c>
      <c r="G132" s="2295">
        <v>4</v>
      </c>
      <c r="H132" s="2295">
        <v>6</v>
      </c>
      <c r="I132" s="774"/>
      <c r="J132" s="774"/>
      <c r="K132" s="774"/>
      <c r="L132" s="774"/>
      <c r="M132" s="774"/>
      <c r="N132" s="774"/>
      <c r="O132" s="775"/>
      <c r="P132" s="1473"/>
      <c r="Q132" s="1467">
        <f>8-5.139</f>
        <v>2.8609999999999998</v>
      </c>
      <c r="R132" s="1463"/>
      <c r="S132" s="1815"/>
      <c r="T132" s="1931"/>
      <c r="U132" s="1815"/>
      <c r="V132" s="1815"/>
      <c r="W132" s="1815"/>
      <c r="X132" s="1933"/>
      <c r="Y132" s="1815"/>
      <c r="Z132" s="2509"/>
      <c r="AE132" s="2461"/>
      <c r="AF132" s="68"/>
    </row>
    <row r="133" spans="1:32" x14ac:dyDescent="0.35">
      <c r="A133" s="359"/>
      <c r="B133" s="358">
        <v>11209</v>
      </c>
      <c r="C133" s="358"/>
      <c r="D133" s="360"/>
      <c r="E133" s="1480" t="s">
        <v>3566</v>
      </c>
      <c r="F133" s="2295">
        <v>5</v>
      </c>
      <c r="G133" s="2295">
        <v>4</v>
      </c>
      <c r="H133" s="2295">
        <v>6</v>
      </c>
      <c r="I133" s="774"/>
      <c r="J133" s="774"/>
      <c r="K133" s="774"/>
      <c r="L133" s="774"/>
      <c r="M133" s="774"/>
      <c r="N133" s="774"/>
      <c r="O133" s="775"/>
      <c r="P133" s="1473"/>
      <c r="Q133" s="1467">
        <f>11.645-8</f>
        <v>3.6449999999999996</v>
      </c>
      <c r="R133" s="1463"/>
      <c r="S133" s="1815"/>
      <c r="T133" s="1931"/>
      <c r="U133" s="1815"/>
      <c r="V133" s="1815"/>
      <c r="W133" s="1815"/>
      <c r="X133" s="1933"/>
      <c r="Y133" s="1815"/>
      <c r="Z133" s="2509"/>
      <c r="AE133" s="2461"/>
      <c r="AF133" s="68"/>
    </row>
    <row r="134" spans="1:32" ht="30.5" x14ac:dyDescent="0.35">
      <c r="A134" s="347">
        <v>57</v>
      </c>
      <c r="B134" s="1064">
        <v>11209</v>
      </c>
      <c r="C134" s="1064"/>
      <c r="D134" s="2464" t="s">
        <v>5987</v>
      </c>
      <c r="E134" s="312" t="s">
        <v>7946</v>
      </c>
      <c r="F134" s="92" t="s">
        <v>1516</v>
      </c>
      <c r="G134" s="92" t="s">
        <v>191</v>
      </c>
      <c r="H134" s="2295" t="s">
        <v>191</v>
      </c>
      <c r="I134" s="772">
        <f>J134+K134+L134</f>
        <v>3.25</v>
      </c>
      <c r="J134" s="772">
        <f>SUM(M134:R134)</f>
        <v>3.25</v>
      </c>
      <c r="K134" s="688"/>
      <c r="L134" s="688"/>
      <c r="M134" s="688"/>
      <c r="N134" s="688"/>
      <c r="O134" s="776"/>
      <c r="P134" s="1471"/>
      <c r="Q134" s="1088">
        <f>SUM(Q135:Q136)</f>
        <v>3</v>
      </c>
      <c r="R134" s="1083">
        <f>SUM(R135:R136)</f>
        <v>0.25</v>
      </c>
      <c r="S134" s="46"/>
      <c r="T134" s="250"/>
      <c r="U134" s="46"/>
      <c r="V134" s="46"/>
      <c r="W134" s="46">
        <v>2</v>
      </c>
      <c r="X134" s="250">
        <v>22.6</v>
      </c>
      <c r="Y134" s="46"/>
      <c r="Z134" s="47"/>
      <c r="AA134" s="3" t="s">
        <v>2519</v>
      </c>
      <c r="AB134" s="3">
        <v>1</v>
      </c>
      <c r="AE134" s="2461"/>
      <c r="AF134" s="68"/>
    </row>
    <row r="135" spans="1:32" x14ac:dyDescent="0.35">
      <c r="A135" s="367"/>
      <c r="B135" s="1064">
        <v>11209</v>
      </c>
      <c r="C135" s="1064"/>
      <c r="D135" s="368"/>
      <c r="E135" s="2149" t="s">
        <v>948</v>
      </c>
      <c r="F135" s="2295">
        <v>4</v>
      </c>
      <c r="G135" s="2295">
        <v>4</v>
      </c>
      <c r="H135" s="2295">
        <v>6</v>
      </c>
      <c r="I135" s="774"/>
      <c r="J135" s="774"/>
      <c r="K135" s="774"/>
      <c r="L135" s="774"/>
      <c r="M135" s="774"/>
      <c r="N135" s="774"/>
      <c r="O135" s="775"/>
      <c r="P135" s="1473"/>
      <c r="Q135" s="1467">
        <v>3</v>
      </c>
      <c r="R135" s="1463"/>
      <c r="S135" s="1815"/>
      <c r="T135" s="1931"/>
      <c r="U135" s="1815"/>
      <c r="V135" s="1815"/>
      <c r="W135" s="46"/>
      <c r="X135" s="46"/>
      <c r="Y135" s="1815"/>
      <c r="Z135" s="2509"/>
      <c r="AE135" s="2461"/>
      <c r="AF135" s="68"/>
    </row>
    <row r="136" spans="1:32" x14ac:dyDescent="0.35">
      <c r="A136" s="359"/>
      <c r="B136" s="1064">
        <v>11209</v>
      </c>
      <c r="C136" s="1064"/>
      <c r="D136" s="360"/>
      <c r="E136" s="1479" t="s">
        <v>1376</v>
      </c>
      <c r="F136" s="2295" t="s">
        <v>827</v>
      </c>
      <c r="G136" s="2295">
        <v>5</v>
      </c>
      <c r="H136" s="92">
        <v>6</v>
      </c>
      <c r="I136" s="774"/>
      <c r="J136" s="774"/>
      <c r="K136" s="774"/>
      <c r="L136" s="774"/>
      <c r="M136" s="774"/>
      <c r="N136" s="774"/>
      <c r="O136" s="775"/>
      <c r="P136" s="1473"/>
      <c r="Q136" s="1467"/>
      <c r="R136" s="1463">
        <f>3.25-3</f>
        <v>0.25</v>
      </c>
      <c r="S136" s="1815"/>
      <c r="T136" s="1931"/>
      <c r="U136" s="1815"/>
      <c r="V136" s="1815"/>
      <c r="W136" s="1815"/>
      <c r="X136" s="1933"/>
      <c r="Y136" s="1815"/>
      <c r="Z136" s="2509"/>
      <c r="AE136" s="2461"/>
      <c r="AF136" s="68"/>
    </row>
    <row r="137" spans="1:32" ht="45" x14ac:dyDescent="0.35">
      <c r="A137" s="1823">
        <v>58</v>
      </c>
      <c r="B137" s="1074">
        <v>11233</v>
      </c>
      <c r="C137" s="365" t="s">
        <v>1656</v>
      </c>
      <c r="D137" s="2464" t="s">
        <v>5988</v>
      </c>
      <c r="E137" s="2187" t="s">
        <v>8899</v>
      </c>
      <c r="F137" s="92" t="s">
        <v>664</v>
      </c>
      <c r="G137" s="92">
        <v>5</v>
      </c>
      <c r="H137" s="92">
        <v>6</v>
      </c>
      <c r="I137" s="702">
        <f>J137+K137+L137</f>
        <v>0.05</v>
      </c>
      <c r="J137" s="702">
        <v>0.05</v>
      </c>
      <c r="K137" s="2089"/>
      <c r="L137" s="2089"/>
      <c r="M137" s="2089"/>
      <c r="N137" s="2089"/>
      <c r="O137" s="2089"/>
      <c r="P137" s="2089"/>
      <c r="Q137" s="2148"/>
      <c r="R137" s="2235">
        <v>0.05</v>
      </c>
      <c r="S137" s="106"/>
      <c r="T137" s="106"/>
      <c r="U137" s="106"/>
      <c r="V137" s="106"/>
      <c r="W137" s="105"/>
      <c r="X137" s="105"/>
      <c r="Y137" s="105"/>
      <c r="Z137" s="323"/>
      <c r="AB137" s="3">
        <v>1</v>
      </c>
      <c r="AE137" s="2461"/>
      <c r="AF137" s="68"/>
    </row>
    <row r="138" spans="1:32" ht="30" x14ac:dyDescent="0.35">
      <c r="A138" s="525">
        <v>59</v>
      </c>
      <c r="B138" s="693">
        <v>11209</v>
      </c>
      <c r="C138" s="365" t="s">
        <v>1656</v>
      </c>
      <c r="D138" s="2464" t="s">
        <v>5989</v>
      </c>
      <c r="E138" s="2187" t="s">
        <v>8900</v>
      </c>
      <c r="F138" s="92" t="s">
        <v>664</v>
      </c>
      <c r="G138" s="92">
        <v>5</v>
      </c>
      <c r="H138" s="92">
        <v>6</v>
      </c>
      <c r="I138" s="702">
        <f>J138+K138+L138</f>
        <v>0.5</v>
      </c>
      <c r="J138" s="702">
        <f>SUM(M138:R138)</f>
        <v>0.5</v>
      </c>
      <c r="K138" s="2089"/>
      <c r="L138" s="2089"/>
      <c r="M138" s="2089"/>
      <c r="N138" s="2089"/>
      <c r="O138" s="2089"/>
      <c r="P138" s="2089"/>
      <c r="Q138" s="2148"/>
      <c r="R138" s="2235">
        <v>0.5</v>
      </c>
      <c r="S138" s="106"/>
      <c r="T138" s="106"/>
      <c r="U138" s="106"/>
      <c r="V138" s="106"/>
      <c r="W138" s="105"/>
      <c r="X138" s="105"/>
      <c r="Y138" s="105"/>
      <c r="Z138" s="323"/>
      <c r="AB138" s="3">
        <v>1</v>
      </c>
      <c r="AE138" s="2461"/>
      <c r="AF138" s="68"/>
    </row>
    <row r="139" spans="1:32" ht="30" x14ac:dyDescent="0.35">
      <c r="A139" s="347">
        <v>60</v>
      </c>
      <c r="B139" s="358">
        <v>11210</v>
      </c>
      <c r="C139" s="358"/>
      <c r="D139" s="358" t="s">
        <v>201</v>
      </c>
      <c r="E139" s="2606" t="s">
        <v>11031</v>
      </c>
      <c r="F139" s="2295"/>
      <c r="G139" s="2295" t="s">
        <v>191</v>
      </c>
      <c r="H139" s="2295" t="s">
        <v>191</v>
      </c>
      <c r="I139" s="772">
        <f>J139+K139+L139</f>
        <v>10.244</v>
      </c>
      <c r="J139" s="772">
        <f>SUM(M139:R139)</f>
        <v>10.244</v>
      </c>
      <c r="K139" s="772"/>
      <c r="L139" s="772"/>
      <c r="M139" s="772"/>
      <c r="N139" s="772">
        <f>SUM(N140:N142)</f>
        <v>4.5110000000000001</v>
      </c>
      <c r="O139" s="773"/>
      <c r="P139" s="1470"/>
      <c r="Q139" s="1466">
        <f>SUM(Q140:Q142)</f>
        <v>5.7329999999999997</v>
      </c>
      <c r="R139" s="1462"/>
      <c r="S139" s="1815"/>
      <c r="T139" s="1931"/>
      <c r="U139" s="1815"/>
      <c r="V139" s="1815"/>
      <c r="W139" s="46">
        <v>12</v>
      </c>
      <c r="X139" s="250">
        <v>157.37</v>
      </c>
      <c r="Y139" s="46">
        <v>2</v>
      </c>
      <c r="Z139" s="47">
        <v>19</v>
      </c>
      <c r="AB139" s="3">
        <v>1</v>
      </c>
      <c r="AE139" s="2461"/>
      <c r="AF139" s="68"/>
    </row>
    <row r="140" spans="1:32" x14ac:dyDescent="0.35">
      <c r="A140" s="347"/>
      <c r="B140" s="358"/>
      <c r="C140" s="358"/>
      <c r="D140" s="358"/>
      <c r="E140" s="357" t="s">
        <v>1377</v>
      </c>
      <c r="F140" s="2295">
        <v>4</v>
      </c>
      <c r="G140" s="2295">
        <v>4</v>
      </c>
      <c r="H140" s="2295">
        <v>6</v>
      </c>
      <c r="I140" s="774"/>
      <c r="J140" s="774"/>
      <c r="K140" s="774"/>
      <c r="L140" s="774"/>
      <c r="M140" s="774"/>
      <c r="N140" s="774">
        <v>8.5000000000000006E-2</v>
      </c>
      <c r="O140" s="775"/>
      <c r="P140" s="1824"/>
      <c r="Q140" s="1825"/>
      <c r="R140" s="1462"/>
      <c r="S140" s="1815"/>
      <c r="T140" s="1931"/>
      <c r="U140" s="1815"/>
      <c r="V140" s="1815"/>
      <c r="W140" s="46"/>
      <c r="X140" s="250"/>
      <c r="Y140" s="46"/>
      <c r="Z140" s="47"/>
      <c r="AE140" s="2461"/>
      <c r="AF140" s="68"/>
    </row>
    <row r="141" spans="1:32" x14ac:dyDescent="0.35">
      <c r="A141" s="359"/>
      <c r="B141" s="358">
        <v>11210</v>
      </c>
      <c r="C141" s="358"/>
      <c r="D141" s="360"/>
      <c r="E141" s="1480" t="s">
        <v>11032</v>
      </c>
      <c r="F141" s="2295">
        <v>4</v>
      </c>
      <c r="G141" s="2295">
        <v>4</v>
      </c>
      <c r="H141" s="2295">
        <v>6</v>
      </c>
      <c r="I141" s="774"/>
      <c r="J141" s="774"/>
      <c r="K141" s="774"/>
      <c r="L141" s="774"/>
      <c r="M141" s="774"/>
      <c r="N141" s="774"/>
      <c r="O141" s="775"/>
      <c r="P141" s="1473"/>
      <c r="Q141" s="1467">
        <f>5.818-0.085</f>
        <v>5.7329999999999997</v>
      </c>
      <c r="R141" s="1463"/>
      <c r="S141" s="1815"/>
      <c r="T141" s="1931"/>
      <c r="U141" s="1815"/>
      <c r="V141" s="1815"/>
      <c r="W141" s="1815"/>
      <c r="X141" s="1933"/>
      <c r="Y141" s="1815"/>
      <c r="Z141" s="2509"/>
      <c r="AE141" s="2461"/>
      <c r="AF141" s="68"/>
    </row>
    <row r="142" spans="1:32" x14ac:dyDescent="0.35">
      <c r="A142" s="359"/>
      <c r="B142" s="358">
        <v>11210</v>
      </c>
      <c r="C142" s="358"/>
      <c r="D142" s="360"/>
      <c r="E142" s="2760" t="s">
        <v>11432</v>
      </c>
      <c r="F142" s="2295">
        <v>4</v>
      </c>
      <c r="G142" s="2295">
        <v>4</v>
      </c>
      <c r="H142" s="2295">
        <v>6</v>
      </c>
      <c r="I142" s="774"/>
      <c r="J142" s="774"/>
      <c r="K142" s="774"/>
      <c r="L142" s="774"/>
      <c r="M142" s="774"/>
      <c r="N142" s="2700">
        <f>10.244-5.818</f>
        <v>4.4260000000000002</v>
      </c>
      <c r="O142" s="775"/>
      <c r="P142" s="1473"/>
      <c r="Q142" s="1467"/>
      <c r="R142" s="1463"/>
      <c r="S142" s="1815"/>
      <c r="T142" s="1931"/>
      <c r="U142" s="1815"/>
      <c r="V142" s="1815"/>
      <c r="W142" s="1815"/>
      <c r="X142" s="1933"/>
      <c r="Y142" s="1815"/>
      <c r="Z142" s="2509"/>
      <c r="AE142" s="2461"/>
      <c r="AF142" s="68"/>
    </row>
    <row r="143" spans="1:32" ht="30" x14ac:dyDescent="0.35">
      <c r="A143" s="693">
        <v>61</v>
      </c>
      <c r="B143" s="693">
        <v>11210</v>
      </c>
      <c r="C143" s="693"/>
      <c r="D143" s="2464" t="s">
        <v>5990</v>
      </c>
      <c r="E143" s="2187" t="s">
        <v>10727</v>
      </c>
      <c r="F143" s="92" t="s">
        <v>1490</v>
      </c>
      <c r="G143" s="92">
        <v>5</v>
      </c>
      <c r="H143" s="92">
        <v>6</v>
      </c>
      <c r="I143" s="702">
        <f>J143+K143+L143</f>
        <v>0.95</v>
      </c>
      <c r="J143" s="702">
        <f>SUM(M143:R143)</f>
        <v>0.95</v>
      </c>
      <c r="K143" s="2089"/>
      <c r="L143" s="2089"/>
      <c r="M143" s="2089"/>
      <c r="N143" s="2089"/>
      <c r="O143" s="2089"/>
      <c r="P143" s="2089"/>
      <c r="Q143" s="2089"/>
      <c r="R143" s="2235">
        <v>0.95</v>
      </c>
      <c r="S143" s="106"/>
      <c r="T143" s="106"/>
      <c r="U143" s="106"/>
      <c r="V143" s="106"/>
      <c r="W143" s="105"/>
      <c r="X143" s="105"/>
      <c r="Y143" s="105"/>
      <c r="Z143" s="323"/>
      <c r="AB143" s="3">
        <v>1</v>
      </c>
      <c r="AE143" s="2461"/>
      <c r="AF143" s="68"/>
    </row>
    <row r="144" spans="1:32" ht="30" x14ac:dyDescent="0.35">
      <c r="A144" s="347">
        <v>62</v>
      </c>
      <c r="B144" s="358">
        <v>11211</v>
      </c>
      <c r="C144" s="358"/>
      <c r="D144" s="358" t="s">
        <v>3386</v>
      </c>
      <c r="E144" s="269" t="s">
        <v>2941</v>
      </c>
      <c r="F144" s="2295">
        <v>4</v>
      </c>
      <c r="G144" s="2295">
        <v>4</v>
      </c>
      <c r="H144" s="2295">
        <v>6</v>
      </c>
      <c r="I144" s="772">
        <f>J144+K144+L144</f>
        <v>3.64</v>
      </c>
      <c r="J144" s="772">
        <f>SUM(M144:R144)</f>
        <v>3.64</v>
      </c>
      <c r="K144" s="772"/>
      <c r="L144" s="772"/>
      <c r="M144" s="772"/>
      <c r="N144" s="772">
        <v>3.64</v>
      </c>
      <c r="O144" s="773"/>
      <c r="P144" s="1470"/>
      <c r="Q144" s="1466"/>
      <c r="R144" s="1462"/>
      <c r="S144" s="1815"/>
      <c r="T144" s="1931"/>
      <c r="U144" s="1815"/>
      <c r="V144" s="1815"/>
      <c r="W144" s="46">
        <v>5</v>
      </c>
      <c r="X144" s="250">
        <v>80.66</v>
      </c>
      <c r="Y144" s="46">
        <v>2</v>
      </c>
      <c r="Z144" s="47">
        <v>25.5</v>
      </c>
      <c r="AB144" s="3">
        <v>1</v>
      </c>
      <c r="AE144" s="2461"/>
      <c r="AF144" s="68"/>
    </row>
    <row r="145" spans="1:32" ht="30" x14ac:dyDescent="0.35">
      <c r="A145" s="347">
        <v>63</v>
      </c>
      <c r="B145" s="358">
        <v>11212</v>
      </c>
      <c r="C145" s="358"/>
      <c r="D145" s="358" t="s">
        <v>3387</v>
      </c>
      <c r="E145" s="269" t="s">
        <v>2987</v>
      </c>
      <c r="F145" s="2295"/>
      <c r="G145" s="2295" t="s">
        <v>191</v>
      </c>
      <c r="H145" s="2295" t="s">
        <v>191</v>
      </c>
      <c r="I145" s="772">
        <f>J145+K145+L145</f>
        <v>16.277000000000001</v>
      </c>
      <c r="J145" s="772">
        <f>SUM(M145:R145)</f>
        <v>16.277000000000001</v>
      </c>
      <c r="K145" s="772"/>
      <c r="L145" s="772"/>
      <c r="M145" s="772"/>
      <c r="N145" s="772">
        <f>SUM(N146:N148)</f>
        <v>3.5060000000000016</v>
      </c>
      <c r="O145" s="773"/>
      <c r="P145" s="1470"/>
      <c r="Q145" s="1466">
        <f>SUM(Q146:Q148)</f>
        <v>12.770999999999999</v>
      </c>
      <c r="R145" s="1462"/>
      <c r="S145" s="1815"/>
      <c r="T145" s="1931"/>
      <c r="U145" s="1815"/>
      <c r="V145" s="1815"/>
      <c r="W145" s="46">
        <v>17</v>
      </c>
      <c r="X145" s="250">
        <v>244.48</v>
      </c>
      <c r="Y145" s="46">
        <v>6</v>
      </c>
      <c r="Z145" s="47">
        <v>81</v>
      </c>
      <c r="AB145" s="3">
        <v>1</v>
      </c>
      <c r="AE145" s="2461"/>
      <c r="AF145" s="68"/>
    </row>
    <row r="146" spans="1:32" x14ac:dyDescent="0.35">
      <c r="A146" s="359"/>
      <c r="B146" s="358">
        <v>11212</v>
      </c>
      <c r="C146" s="358"/>
      <c r="D146" s="360"/>
      <c r="E146" s="357" t="s">
        <v>2984</v>
      </c>
      <c r="F146" s="2295">
        <v>4</v>
      </c>
      <c r="G146" s="2295">
        <v>4</v>
      </c>
      <c r="H146" s="2295">
        <v>6</v>
      </c>
      <c r="I146" s="774"/>
      <c r="J146" s="774"/>
      <c r="K146" s="774"/>
      <c r="L146" s="774"/>
      <c r="M146" s="774"/>
      <c r="N146" s="774">
        <v>0.52800000000000002</v>
      </c>
      <c r="O146" s="775"/>
      <c r="P146" s="1473"/>
      <c r="Q146" s="1467"/>
      <c r="R146" s="1463"/>
      <c r="S146" s="1815"/>
      <c r="T146" s="1931"/>
      <c r="U146" s="1815"/>
      <c r="V146" s="1815"/>
      <c r="W146" s="1815"/>
      <c r="X146" s="1933"/>
      <c r="Y146" s="1815"/>
      <c r="Z146" s="2509"/>
      <c r="AE146" s="2461"/>
      <c r="AF146" s="68"/>
    </row>
    <row r="147" spans="1:32" x14ac:dyDescent="0.35">
      <c r="A147" s="359"/>
      <c r="B147" s="358">
        <v>11212</v>
      </c>
      <c r="C147" s="358"/>
      <c r="D147" s="360"/>
      <c r="E147" s="1480" t="s">
        <v>2985</v>
      </c>
      <c r="F147" s="2295">
        <v>4</v>
      </c>
      <c r="G147" s="2295">
        <v>4</v>
      </c>
      <c r="H147" s="2295">
        <v>6</v>
      </c>
      <c r="I147" s="774"/>
      <c r="J147" s="774"/>
      <c r="K147" s="774"/>
      <c r="L147" s="774"/>
      <c r="M147" s="774"/>
      <c r="N147" s="774"/>
      <c r="O147" s="775"/>
      <c r="P147" s="1473"/>
      <c r="Q147" s="1467">
        <f>13.299-0.528</f>
        <v>12.770999999999999</v>
      </c>
      <c r="R147" s="1463"/>
      <c r="S147" s="1815"/>
      <c r="T147" s="1931"/>
      <c r="U147" s="1815"/>
      <c r="V147" s="1815"/>
      <c r="W147" s="1815"/>
      <c r="X147" s="1933"/>
      <c r="Y147" s="1815"/>
      <c r="Z147" s="2509"/>
      <c r="AE147" s="2461"/>
      <c r="AF147" s="68"/>
    </row>
    <row r="148" spans="1:32" x14ac:dyDescent="0.35">
      <c r="A148" s="359"/>
      <c r="B148" s="358">
        <v>11212</v>
      </c>
      <c r="C148" s="358"/>
      <c r="D148" s="360"/>
      <c r="E148" s="357" t="s">
        <v>2986</v>
      </c>
      <c r="F148" s="2295">
        <v>4</v>
      </c>
      <c r="G148" s="2295">
        <v>4</v>
      </c>
      <c r="H148" s="2295">
        <v>6</v>
      </c>
      <c r="I148" s="774"/>
      <c r="J148" s="774"/>
      <c r="K148" s="774"/>
      <c r="L148" s="774"/>
      <c r="M148" s="774"/>
      <c r="N148" s="774">
        <f>16.277-13.299</f>
        <v>2.9780000000000015</v>
      </c>
      <c r="O148" s="775"/>
      <c r="P148" s="1473"/>
      <c r="Q148" s="1467"/>
      <c r="R148" s="1463"/>
      <c r="S148" s="1815"/>
      <c r="T148" s="1931"/>
      <c r="U148" s="1815"/>
      <c r="V148" s="1815"/>
      <c r="W148" s="1815"/>
      <c r="X148" s="1933"/>
      <c r="Y148" s="1815"/>
      <c r="Z148" s="2509"/>
      <c r="AA148" s="3" t="s">
        <v>2218</v>
      </c>
      <c r="AE148" s="2461"/>
      <c r="AF148" s="68"/>
    </row>
    <row r="149" spans="1:32" ht="30.5" x14ac:dyDescent="0.35">
      <c r="A149" s="347">
        <v>64</v>
      </c>
      <c r="B149" s="358">
        <v>11212</v>
      </c>
      <c r="C149" s="358"/>
      <c r="D149" s="2464" t="s">
        <v>5991</v>
      </c>
      <c r="E149" s="345" t="s">
        <v>7947</v>
      </c>
      <c r="F149" s="2295"/>
      <c r="G149" s="2295" t="s">
        <v>191</v>
      </c>
      <c r="H149" s="2295" t="s">
        <v>191</v>
      </c>
      <c r="I149" s="772">
        <f>J149+K149+L149</f>
        <v>1.454</v>
      </c>
      <c r="J149" s="772">
        <f>SUM(M149:R149)</f>
        <v>1.454</v>
      </c>
      <c r="K149" s="772"/>
      <c r="L149" s="772"/>
      <c r="M149" s="772"/>
      <c r="N149" s="772"/>
      <c r="O149" s="773"/>
      <c r="P149" s="1470"/>
      <c r="Q149" s="1466">
        <f>SUM(Q150:Q151)</f>
        <v>1.454</v>
      </c>
      <c r="R149" s="1462"/>
      <c r="S149" s="1815"/>
      <c r="T149" s="1931"/>
      <c r="U149" s="1815"/>
      <c r="V149" s="1815"/>
      <c r="W149" s="46">
        <v>2</v>
      </c>
      <c r="X149" s="250">
        <v>20.399999999999999</v>
      </c>
      <c r="Y149" s="1815"/>
      <c r="Z149" s="2509"/>
      <c r="AB149" s="3">
        <v>1</v>
      </c>
      <c r="AE149" s="2461"/>
      <c r="AF149" s="68"/>
    </row>
    <row r="150" spans="1:32" x14ac:dyDescent="0.35">
      <c r="A150" s="347"/>
      <c r="B150" s="1064"/>
      <c r="C150" s="1064"/>
      <c r="D150" s="366"/>
      <c r="E150" s="2604" t="s">
        <v>3242</v>
      </c>
      <c r="F150" s="2295">
        <v>5</v>
      </c>
      <c r="G150" s="2295">
        <v>5</v>
      </c>
      <c r="H150" s="2295">
        <v>6</v>
      </c>
      <c r="I150" s="2434"/>
      <c r="J150" s="2434"/>
      <c r="K150" s="774"/>
      <c r="L150" s="774"/>
      <c r="M150" s="774"/>
      <c r="N150" s="774"/>
      <c r="O150" s="775"/>
      <c r="P150" s="1824"/>
      <c r="Q150" s="1825">
        <v>0.60499999999999998</v>
      </c>
      <c r="R150" s="1462"/>
      <c r="S150" s="1815"/>
      <c r="T150" s="1931"/>
      <c r="U150" s="1815"/>
      <c r="V150" s="1815"/>
      <c r="W150" s="46"/>
      <c r="X150" s="250"/>
      <c r="Y150" s="1815"/>
      <c r="Z150" s="2509"/>
      <c r="AE150" s="2461"/>
      <c r="AF150" s="68"/>
    </row>
    <row r="151" spans="1:32" x14ac:dyDescent="0.35">
      <c r="A151" s="347"/>
      <c r="B151" s="1064"/>
      <c r="C151" s="1064"/>
      <c r="D151" s="366"/>
      <c r="E151" s="2604" t="s">
        <v>3243</v>
      </c>
      <c r="F151" s="2295" t="s">
        <v>827</v>
      </c>
      <c r="G151" s="2295">
        <v>5</v>
      </c>
      <c r="H151" s="2295">
        <v>6</v>
      </c>
      <c r="I151" s="2434"/>
      <c r="J151" s="2434"/>
      <c r="K151" s="774"/>
      <c r="L151" s="774"/>
      <c r="M151" s="774"/>
      <c r="N151" s="774"/>
      <c r="O151" s="775"/>
      <c r="P151" s="1824"/>
      <c r="Q151" s="1825">
        <f>1.454-0.605</f>
        <v>0.84899999999999998</v>
      </c>
      <c r="R151" s="1462"/>
      <c r="S151" s="1815"/>
      <c r="T151" s="1931"/>
      <c r="U151" s="1815"/>
      <c r="V151" s="1815"/>
      <c r="W151" s="46"/>
      <c r="X151" s="250"/>
      <c r="Y151" s="1815"/>
      <c r="Z151" s="2509"/>
      <c r="AE151" s="2461"/>
      <c r="AF151" s="68"/>
    </row>
    <row r="152" spans="1:32" ht="30.5" x14ac:dyDescent="0.35">
      <c r="A152" s="1823">
        <v>65</v>
      </c>
      <c r="B152" s="1064">
        <v>11212</v>
      </c>
      <c r="C152" s="1064"/>
      <c r="D152" s="2464" t="s">
        <v>5992</v>
      </c>
      <c r="E152" s="269" t="s">
        <v>7948</v>
      </c>
      <c r="F152" s="2295">
        <v>5</v>
      </c>
      <c r="G152" s="2295">
        <v>4</v>
      </c>
      <c r="H152" s="2295">
        <v>6</v>
      </c>
      <c r="I152" s="777">
        <f>J152+K152+L152</f>
        <v>1.1000000000000001</v>
      </c>
      <c r="J152" s="777">
        <f>SUM(M152:R152)</f>
        <v>1.1000000000000001</v>
      </c>
      <c r="K152" s="772"/>
      <c r="L152" s="772"/>
      <c r="M152" s="772"/>
      <c r="N152" s="772">
        <v>1.1000000000000001</v>
      </c>
      <c r="O152" s="773"/>
      <c r="P152" s="1470"/>
      <c r="Q152" s="1466"/>
      <c r="R152" s="1462"/>
      <c r="S152" s="1815"/>
      <c r="T152" s="1931"/>
      <c r="U152" s="1815"/>
      <c r="V152" s="1815"/>
      <c r="W152" s="1815"/>
      <c r="X152" s="1933"/>
      <c r="Y152" s="1815"/>
      <c r="Z152" s="2509"/>
      <c r="AB152" s="3">
        <v>1</v>
      </c>
      <c r="AE152" s="2461"/>
      <c r="AF152" s="68"/>
    </row>
    <row r="153" spans="1:32" ht="45.5" x14ac:dyDescent="0.35">
      <c r="A153" s="347">
        <v>66</v>
      </c>
      <c r="B153" s="1064">
        <v>11212</v>
      </c>
      <c r="C153" s="1064"/>
      <c r="D153" s="2464" t="s">
        <v>5993</v>
      </c>
      <c r="E153" s="269" t="s">
        <v>7949</v>
      </c>
      <c r="F153" s="2295"/>
      <c r="G153" s="2295" t="s">
        <v>191</v>
      </c>
      <c r="H153" s="2295" t="s">
        <v>191</v>
      </c>
      <c r="I153" s="772">
        <f>J153+K153+L153</f>
        <v>1</v>
      </c>
      <c r="J153" s="772">
        <f>SUM(M153:R153)</f>
        <v>1</v>
      </c>
      <c r="K153" s="774"/>
      <c r="L153" s="774"/>
      <c r="M153" s="774"/>
      <c r="N153" s="774"/>
      <c r="O153" s="775"/>
      <c r="P153" s="1473"/>
      <c r="Q153" s="1816">
        <f>Q154+Q155</f>
        <v>0.6</v>
      </c>
      <c r="R153" s="1462">
        <f>R154+R155</f>
        <v>0.4</v>
      </c>
      <c r="S153" s="1815"/>
      <c r="T153" s="1931"/>
      <c r="U153" s="1815"/>
      <c r="V153" s="1815"/>
      <c r="W153" s="1815"/>
      <c r="X153" s="1933"/>
      <c r="Y153" s="1815"/>
      <c r="Z153" s="2509"/>
      <c r="AB153" s="3">
        <v>1</v>
      </c>
      <c r="AE153" s="2461"/>
      <c r="AF153" s="68"/>
    </row>
    <row r="154" spans="1:32" x14ac:dyDescent="0.35">
      <c r="A154" s="1821"/>
      <c r="B154" s="1064">
        <v>11212</v>
      </c>
      <c r="C154" s="1064"/>
      <c r="D154" s="360"/>
      <c r="E154" s="1480" t="s">
        <v>365</v>
      </c>
      <c r="F154" s="2295" t="s">
        <v>827</v>
      </c>
      <c r="G154" s="2295">
        <v>5</v>
      </c>
      <c r="H154" s="2295">
        <v>6</v>
      </c>
      <c r="I154" s="774"/>
      <c r="J154" s="774"/>
      <c r="K154" s="774"/>
      <c r="L154" s="774"/>
      <c r="M154" s="774"/>
      <c r="N154" s="774"/>
      <c r="O154" s="775"/>
      <c r="P154" s="1473"/>
      <c r="Q154" s="1467">
        <v>0.6</v>
      </c>
      <c r="R154" s="1463"/>
      <c r="S154" s="1815"/>
      <c r="T154" s="1931"/>
      <c r="U154" s="1815"/>
      <c r="V154" s="1815"/>
      <c r="W154" s="1815"/>
      <c r="X154" s="1933"/>
      <c r="Y154" s="1815"/>
      <c r="Z154" s="2509"/>
      <c r="AE154" s="2461"/>
      <c r="AF154" s="68"/>
    </row>
    <row r="155" spans="1:32" x14ac:dyDescent="0.35">
      <c r="A155" s="1822"/>
      <c r="B155" s="1064">
        <v>11212</v>
      </c>
      <c r="C155" s="1064"/>
      <c r="D155" s="362"/>
      <c r="E155" s="1479" t="s">
        <v>1669</v>
      </c>
      <c r="F155" s="2295" t="s">
        <v>1490</v>
      </c>
      <c r="G155" s="2295">
        <v>5</v>
      </c>
      <c r="H155" s="92">
        <v>6</v>
      </c>
      <c r="I155" s="774"/>
      <c r="J155" s="774"/>
      <c r="K155" s="774"/>
      <c r="L155" s="774"/>
      <c r="M155" s="774"/>
      <c r="N155" s="774"/>
      <c r="O155" s="775"/>
      <c r="P155" s="1473"/>
      <c r="Q155" s="1467"/>
      <c r="R155" s="1463">
        <v>0.4</v>
      </c>
      <c r="S155" s="1815"/>
      <c r="T155" s="1931"/>
      <c r="U155" s="1815"/>
      <c r="V155" s="1815"/>
      <c r="W155" s="1815"/>
      <c r="X155" s="1933"/>
      <c r="Y155" s="1815"/>
      <c r="Z155" s="2509"/>
      <c r="AE155" s="2461"/>
      <c r="AF155" s="68"/>
    </row>
    <row r="156" spans="1:32" ht="30" x14ac:dyDescent="0.35">
      <c r="A156" s="693">
        <v>67</v>
      </c>
      <c r="B156" s="1064">
        <v>11212</v>
      </c>
      <c r="C156" s="365" t="s">
        <v>1656</v>
      </c>
      <c r="D156" s="2464" t="s">
        <v>5994</v>
      </c>
      <c r="E156" s="2187" t="s">
        <v>9287</v>
      </c>
      <c r="F156" s="92" t="s">
        <v>1490</v>
      </c>
      <c r="G156" s="92">
        <v>5</v>
      </c>
      <c r="H156" s="92">
        <v>6</v>
      </c>
      <c r="I156" s="702">
        <f>J156+K156+L156</f>
        <v>0.03</v>
      </c>
      <c r="J156" s="702">
        <f>SUM(M156:R156)</f>
        <v>0.03</v>
      </c>
      <c r="K156" s="2089"/>
      <c r="L156" s="2089"/>
      <c r="M156" s="2089"/>
      <c r="N156" s="2089"/>
      <c r="O156" s="2089"/>
      <c r="P156" s="2089"/>
      <c r="Q156" s="2148"/>
      <c r="R156" s="2235">
        <v>0.03</v>
      </c>
      <c r="S156" s="106"/>
      <c r="T156" s="106"/>
      <c r="U156" s="106"/>
      <c r="V156" s="106"/>
      <c r="W156" s="105"/>
      <c r="X156" s="105"/>
      <c r="Y156" s="105"/>
      <c r="Z156" s="323"/>
      <c r="AB156" s="3">
        <v>1</v>
      </c>
      <c r="AE156" s="2461"/>
      <c r="AF156" s="68"/>
    </row>
    <row r="157" spans="1:32" ht="45" x14ac:dyDescent="0.35">
      <c r="A157" s="525">
        <v>68</v>
      </c>
      <c r="B157" s="693">
        <v>11212</v>
      </c>
      <c r="C157" s="365" t="s">
        <v>1656</v>
      </c>
      <c r="D157" s="2464" t="s">
        <v>5995</v>
      </c>
      <c r="E157" s="2187" t="s">
        <v>8901</v>
      </c>
      <c r="F157" s="92" t="s">
        <v>664</v>
      </c>
      <c r="G157" s="92">
        <v>5</v>
      </c>
      <c r="H157" s="92">
        <v>6</v>
      </c>
      <c r="I157" s="702">
        <f>J157+K157+L157</f>
        <v>0.65</v>
      </c>
      <c r="J157" s="702">
        <f>SUM(M157:R157)</f>
        <v>0.65</v>
      </c>
      <c r="K157" s="2089"/>
      <c r="L157" s="2089"/>
      <c r="M157" s="2089"/>
      <c r="N157" s="2089"/>
      <c r="O157" s="2089"/>
      <c r="P157" s="2089"/>
      <c r="Q157" s="2148"/>
      <c r="R157" s="2235">
        <v>0.65</v>
      </c>
      <c r="S157" s="106"/>
      <c r="T157" s="106"/>
      <c r="U157" s="106"/>
      <c r="V157" s="106"/>
      <c r="W157" s="105"/>
      <c r="X157" s="105"/>
      <c r="Y157" s="105"/>
      <c r="Z157" s="323"/>
      <c r="AB157" s="3">
        <v>1</v>
      </c>
      <c r="AE157" s="2461"/>
      <c r="AF157" s="68"/>
    </row>
    <row r="158" spans="1:32" ht="45" x14ac:dyDescent="0.35">
      <c r="A158" s="347">
        <v>69</v>
      </c>
      <c r="B158" s="693">
        <v>11212</v>
      </c>
      <c r="C158" s="365" t="s">
        <v>1656</v>
      </c>
      <c r="D158" s="2464" t="s">
        <v>5996</v>
      </c>
      <c r="E158" s="2187" t="s">
        <v>8902</v>
      </c>
      <c r="F158" s="92" t="s">
        <v>664</v>
      </c>
      <c r="G158" s="92">
        <v>5</v>
      </c>
      <c r="H158" s="92">
        <v>6</v>
      </c>
      <c r="I158" s="702">
        <f>J158+K158+L158</f>
        <v>0.17</v>
      </c>
      <c r="J158" s="702">
        <f>SUM(M158:R158)</f>
        <v>0.17</v>
      </c>
      <c r="K158" s="2089"/>
      <c r="L158" s="2089"/>
      <c r="M158" s="2089"/>
      <c r="N158" s="2089"/>
      <c r="O158" s="2089"/>
      <c r="P158" s="2089"/>
      <c r="Q158" s="2148"/>
      <c r="R158" s="2235">
        <v>0.17</v>
      </c>
      <c r="S158" s="106"/>
      <c r="T158" s="106"/>
      <c r="U158" s="106"/>
      <c r="V158" s="106"/>
      <c r="W158" s="105"/>
      <c r="X158" s="105"/>
      <c r="Y158" s="105"/>
      <c r="Z158" s="323"/>
      <c r="AB158" s="3">
        <v>1</v>
      </c>
      <c r="AE158" s="2461"/>
      <c r="AF158" s="68"/>
    </row>
    <row r="159" spans="1:32" ht="30" x14ac:dyDescent="0.35">
      <c r="A159" s="347">
        <v>70</v>
      </c>
      <c r="B159" s="358">
        <v>11213</v>
      </c>
      <c r="C159" s="358"/>
      <c r="D159" s="358" t="s">
        <v>1872</v>
      </c>
      <c r="E159" s="356" t="s">
        <v>11277</v>
      </c>
      <c r="F159" s="2295"/>
      <c r="G159" s="2295" t="s">
        <v>191</v>
      </c>
      <c r="H159" s="2295" t="s">
        <v>191</v>
      </c>
      <c r="I159" s="772">
        <f>J159+K159+L159</f>
        <v>14.8</v>
      </c>
      <c r="J159" s="772">
        <f>SUM(M159:R159)</f>
        <v>14.8</v>
      </c>
      <c r="K159" s="772"/>
      <c r="L159" s="772"/>
      <c r="M159" s="772"/>
      <c r="N159" s="772"/>
      <c r="O159" s="773"/>
      <c r="P159" s="1470"/>
      <c r="Q159" s="1466">
        <f>SUM(Q160:Q164)</f>
        <v>2.5</v>
      </c>
      <c r="R159" s="1462">
        <f>SUM(R160:R164)</f>
        <v>12.3</v>
      </c>
      <c r="S159" s="1815"/>
      <c r="T159" s="1931"/>
      <c r="U159" s="1815"/>
      <c r="V159" s="1815"/>
      <c r="W159" s="46">
        <v>6</v>
      </c>
      <c r="X159" s="250">
        <v>76</v>
      </c>
      <c r="Y159" s="1815"/>
      <c r="Z159" s="2509"/>
      <c r="AB159" s="3">
        <v>1</v>
      </c>
      <c r="AE159" s="2461"/>
      <c r="AF159" s="68"/>
    </row>
    <row r="160" spans="1:32" x14ac:dyDescent="0.35">
      <c r="A160" s="359"/>
      <c r="B160" s="358">
        <v>11213</v>
      </c>
      <c r="C160" s="358"/>
      <c r="D160" s="360"/>
      <c r="E160" s="1480" t="s">
        <v>3457</v>
      </c>
      <c r="F160" s="2295">
        <v>4</v>
      </c>
      <c r="G160" s="2295">
        <v>5</v>
      </c>
      <c r="H160" s="2295">
        <v>6</v>
      </c>
      <c r="I160" s="774"/>
      <c r="J160" s="774"/>
      <c r="K160" s="774"/>
      <c r="L160" s="774"/>
      <c r="M160" s="774"/>
      <c r="N160" s="774"/>
      <c r="O160" s="775"/>
      <c r="P160" s="1473"/>
      <c r="Q160" s="1467">
        <v>0.53</v>
      </c>
      <c r="R160" s="1463"/>
      <c r="S160" s="1815"/>
      <c r="T160" s="1931"/>
      <c r="U160" s="1815"/>
      <c r="V160" s="1815"/>
      <c r="W160" s="1815"/>
      <c r="X160" s="1933"/>
      <c r="Y160" s="1815"/>
      <c r="Z160" s="2509"/>
      <c r="AE160" s="2461"/>
      <c r="AF160" s="68"/>
    </row>
    <row r="161" spans="1:32" x14ac:dyDescent="0.35">
      <c r="A161" s="359"/>
      <c r="B161" s="358">
        <v>11213</v>
      </c>
      <c r="C161" s="358"/>
      <c r="D161" s="360"/>
      <c r="E161" s="1480" t="s">
        <v>3146</v>
      </c>
      <c r="F161" s="2295" t="s">
        <v>827</v>
      </c>
      <c r="G161" s="2295">
        <v>5</v>
      </c>
      <c r="H161" s="2295">
        <v>6</v>
      </c>
      <c r="I161" s="774"/>
      <c r="J161" s="774"/>
      <c r="K161" s="774"/>
      <c r="L161" s="774"/>
      <c r="M161" s="774"/>
      <c r="N161" s="774"/>
      <c r="O161" s="775"/>
      <c r="P161" s="1473"/>
      <c r="Q161" s="1467">
        <f>1.02-0.53</f>
        <v>0.49</v>
      </c>
      <c r="R161" s="1463"/>
      <c r="S161" s="1815"/>
      <c r="T161" s="1931"/>
      <c r="U161" s="1815"/>
      <c r="V161" s="1815"/>
      <c r="W161" s="1815"/>
      <c r="X161" s="1933"/>
      <c r="Y161" s="1815"/>
      <c r="Z161" s="2509"/>
      <c r="AE161" s="2461"/>
      <c r="AF161" s="68"/>
    </row>
    <row r="162" spans="1:32" x14ac:dyDescent="0.35">
      <c r="A162" s="359"/>
      <c r="B162" s="358">
        <v>11213</v>
      </c>
      <c r="C162" s="358"/>
      <c r="D162" s="360"/>
      <c r="E162" s="1480" t="s">
        <v>2566</v>
      </c>
      <c r="F162" s="2295">
        <v>4</v>
      </c>
      <c r="G162" s="2295">
        <v>5</v>
      </c>
      <c r="H162" s="2295">
        <v>6</v>
      </c>
      <c r="I162" s="774"/>
      <c r="J162" s="774"/>
      <c r="K162" s="774"/>
      <c r="L162" s="774"/>
      <c r="M162" s="774"/>
      <c r="N162" s="774"/>
      <c r="O162" s="775"/>
      <c r="P162" s="1473"/>
      <c r="Q162" s="1467">
        <f>1.33-1.02</f>
        <v>0.31000000000000005</v>
      </c>
      <c r="R162" s="1463"/>
      <c r="S162" s="1815"/>
      <c r="T162" s="1931"/>
      <c r="U162" s="1815"/>
      <c r="V162" s="1815"/>
      <c r="W162" s="1815"/>
      <c r="X162" s="1933"/>
      <c r="Y162" s="1815"/>
      <c r="Z162" s="2509"/>
      <c r="AE162" s="2461"/>
      <c r="AF162" s="68"/>
    </row>
    <row r="163" spans="1:32" x14ac:dyDescent="0.35">
      <c r="A163" s="359"/>
      <c r="B163" s="358">
        <v>11213</v>
      </c>
      <c r="C163" s="358"/>
      <c r="D163" s="360"/>
      <c r="E163" s="1480" t="s">
        <v>2567</v>
      </c>
      <c r="F163" s="2295" t="s">
        <v>827</v>
      </c>
      <c r="G163" s="2295">
        <v>5</v>
      </c>
      <c r="H163" s="2295">
        <v>6</v>
      </c>
      <c r="I163" s="774"/>
      <c r="J163" s="774"/>
      <c r="K163" s="774"/>
      <c r="L163" s="774"/>
      <c r="M163" s="774"/>
      <c r="N163" s="774"/>
      <c r="O163" s="775"/>
      <c r="P163" s="1473"/>
      <c r="Q163" s="1467">
        <f>2.5-1.33</f>
        <v>1.17</v>
      </c>
      <c r="R163" s="1463"/>
      <c r="S163" s="1815"/>
      <c r="T163" s="1931"/>
      <c r="U163" s="1815"/>
      <c r="V163" s="1815"/>
      <c r="W163" s="1815"/>
      <c r="X163" s="1933"/>
      <c r="Y163" s="1815"/>
      <c r="Z163" s="2509"/>
      <c r="AE163" s="2461"/>
      <c r="AF163" s="68"/>
    </row>
    <row r="164" spans="1:32" x14ac:dyDescent="0.35">
      <c r="A164" s="359"/>
      <c r="B164" s="358">
        <v>11213</v>
      </c>
      <c r="C164" s="358"/>
      <c r="D164" s="360"/>
      <c r="E164" s="1479" t="s">
        <v>2568</v>
      </c>
      <c r="F164" s="2295" t="s">
        <v>664</v>
      </c>
      <c r="G164" s="2295">
        <v>5</v>
      </c>
      <c r="H164" s="92">
        <v>6</v>
      </c>
      <c r="I164" s="774"/>
      <c r="J164" s="774"/>
      <c r="K164" s="774"/>
      <c r="L164" s="774"/>
      <c r="M164" s="774"/>
      <c r="N164" s="774"/>
      <c r="O164" s="775"/>
      <c r="P164" s="1473"/>
      <c r="Q164" s="1467"/>
      <c r="R164" s="1463">
        <v>12.3</v>
      </c>
      <c r="S164" s="1815"/>
      <c r="T164" s="1931"/>
      <c r="U164" s="1815"/>
      <c r="V164" s="1815"/>
      <c r="W164" s="1815"/>
      <c r="X164" s="1933"/>
      <c r="Y164" s="1815"/>
      <c r="Z164" s="2509"/>
      <c r="AE164" s="2461"/>
      <c r="AF164" s="68"/>
    </row>
    <row r="165" spans="1:32" ht="45" x14ac:dyDescent="0.35">
      <c r="A165" s="1823">
        <v>71</v>
      </c>
      <c r="B165" s="358"/>
      <c r="C165" s="358"/>
      <c r="D165" s="2472" t="s">
        <v>11118</v>
      </c>
      <c r="E165" s="739" t="s">
        <v>11119</v>
      </c>
      <c r="F165" s="2797" t="s">
        <v>1490</v>
      </c>
      <c r="G165" s="2797">
        <v>5</v>
      </c>
      <c r="H165" s="92">
        <v>6</v>
      </c>
      <c r="I165" s="702">
        <f>J165+K165+L165</f>
        <v>2.04</v>
      </c>
      <c r="J165" s="702">
        <f>SUM(M165:R165)</f>
        <v>2.04</v>
      </c>
      <c r="K165" s="2089"/>
      <c r="L165" s="2089"/>
      <c r="M165" s="2089"/>
      <c r="N165" s="2089"/>
      <c r="O165" s="2089"/>
      <c r="P165" s="2089"/>
      <c r="Q165" s="2148"/>
      <c r="R165" s="2235">
        <v>2.04</v>
      </c>
      <c r="S165" s="1815"/>
      <c r="T165" s="1931"/>
      <c r="U165" s="1815"/>
      <c r="V165" s="1815"/>
      <c r="W165" s="1815"/>
      <c r="X165" s="1933"/>
      <c r="Y165" s="1815"/>
      <c r="Z165" s="2509"/>
      <c r="AB165" s="3">
        <v>1</v>
      </c>
      <c r="AE165" s="2461"/>
      <c r="AF165" s="68"/>
    </row>
    <row r="166" spans="1:32" ht="30" x14ac:dyDescent="0.35">
      <c r="A166" s="1823">
        <v>72</v>
      </c>
      <c r="B166" s="358">
        <v>11214</v>
      </c>
      <c r="C166" s="358"/>
      <c r="D166" s="358" t="s">
        <v>1335</v>
      </c>
      <c r="E166" s="356" t="s">
        <v>2945</v>
      </c>
      <c r="F166" s="2295"/>
      <c r="G166" s="2295" t="s">
        <v>191</v>
      </c>
      <c r="H166" s="2295" t="s">
        <v>191</v>
      </c>
      <c r="I166" s="772">
        <f>J166+K166+L166</f>
        <v>4.0649999999999995</v>
      </c>
      <c r="J166" s="772">
        <f>SUM(M166:R166)</f>
        <v>4.0649999999999995</v>
      </c>
      <c r="K166" s="772"/>
      <c r="L166" s="772"/>
      <c r="M166" s="772"/>
      <c r="N166" s="772">
        <f>SUM(N167:N169)</f>
        <v>0.14199999999999999</v>
      </c>
      <c r="O166" s="773"/>
      <c r="P166" s="1470"/>
      <c r="Q166" s="1466">
        <f>SUM(Q167:Q169)</f>
        <v>3.278</v>
      </c>
      <c r="R166" s="1462">
        <f>SUM(R167:R169)</f>
        <v>0.64500000000000002</v>
      </c>
      <c r="S166" s="1815"/>
      <c r="T166" s="1931"/>
      <c r="U166" s="1815"/>
      <c r="V166" s="1815"/>
      <c r="W166" s="46">
        <v>7</v>
      </c>
      <c r="X166" s="250">
        <v>95.16</v>
      </c>
      <c r="Y166" s="46">
        <v>1</v>
      </c>
      <c r="Z166" s="47">
        <v>10</v>
      </c>
      <c r="AB166" s="3">
        <v>1</v>
      </c>
      <c r="AE166" s="2461"/>
      <c r="AF166" s="68"/>
    </row>
    <row r="167" spans="1:32" x14ac:dyDescent="0.35">
      <c r="A167" s="1814"/>
      <c r="B167" s="358">
        <v>11214</v>
      </c>
      <c r="C167" s="358"/>
      <c r="D167" s="358"/>
      <c r="E167" s="357" t="s">
        <v>2942</v>
      </c>
      <c r="F167" s="2295">
        <v>4</v>
      </c>
      <c r="G167" s="2295">
        <v>4</v>
      </c>
      <c r="H167" s="2295">
        <v>6</v>
      </c>
      <c r="I167" s="774"/>
      <c r="J167" s="774"/>
      <c r="K167" s="774"/>
      <c r="L167" s="774"/>
      <c r="M167" s="774"/>
      <c r="N167" s="774">
        <v>0.14199999999999999</v>
      </c>
      <c r="O167" s="775"/>
      <c r="P167" s="1824"/>
      <c r="Q167" s="1825"/>
      <c r="R167" s="2296"/>
      <c r="S167" s="1815"/>
      <c r="T167" s="1931"/>
      <c r="U167" s="1815"/>
      <c r="V167" s="1815"/>
      <c r="W167" s="46"/>
      <c r="X167" s="250"/>
      <c r="Y167" s="46"/>
      <c r="Z167" s="47"/>
      <c r="AE167" s="2461"/>
      <c r="AF167" s="68"/>
    </row>
    <row r="168" spans="1:32" x14ac:dyDescent="0.35">
      <c r="A168" s="1814"/>
      <c r="B168" s="358">
        <v>11214</v>
      </c>
      <c r="C168" s="358"/>
      <c r="D168" s="358"/>
      <c r="E168" s="1480" t="s">
        <v>2943</v>
      </c>
      <c r="F168" s="2295">
        <v>4</v>
      </c>
      <c r="G168" s="2295">
        <v>4</v>
      </c>
      <c r="H168" s="2295">
        <v>6</v>
      </c>
      <c r="I168" s="772"/>
      <c r="J168" s="772"/>
      <c r="K168" s="772"/>
      <c r="L168" s="774"/>
      <c r="M168" s="774"/>
      <c r="N168" s="774"/>
      <c r="O168" s="775"/>
      <c r="P168" s="1824"/>
      <c r="Q168" s="1825">
        <v>3.278</v>
      </c>
      <c r="R168" s="1462"/>
      <c r="S168" s="1815"/>
      <c r="T168" s="1931"/>
      <c r="U168" s="1815"/>
      <c r="V168" s="1815"/>
      <c r="W168" s="46"/>
      <c r="X168" s="250"/>
      <c r="Y168" s="46"/>
      <c r="Z168" s="47"/>
      <c r="AE168" s="2461"/>
      <c r="AF168" s="68"/>
    </row>
    <row r="169" spans="1:32" x14ac:dyDescent="0.35">
      <c r="A169" s="1814"/>
      <c r="B169" s="358"/>
      <c r="C169" s="358"/>
      <c r="D169" s="358"/>
      <c r="E169" s="1479" t="s">
        <v>2944</v>
      </c>
      <c r="F169" s="2295" t="s">
        <v>827</v>
      </c>
      <c r="G169" s="2295">
        <v>4</v>
      </c>
      <c r="H169" s="92">
        <v>6</v>
      </c>
      <c r="I169" s="772"/>
      <c r="J169" s="772"/>
      <c r="K169" s="772"/>
      <c r="L169" s="774"/>
      <c r="M169" s="774"/>
      <c r="N169" s="774"/>
      <c r="O169" s="775"/>
      <c r="P169" s="1824"/>
      <c r="Q169" s="1825"/>
      <c r="R169" s="2296">
        <v>0.64500000000000002</v>
      </c>
      <c r="S169" s="1815"/>
      <c r="T169" s="1931"/>
      <c r="U169" s="1815"/>
      <c r="V169" s="1815"/>
      <c r="W169" s="46"/>
      <c r="X169" s="250"/>
      <c r="Y169" s="46"/>
      <c r="Z169" s="47"/>
      <c r="AE169" s="2461"/>
      <c r="AF169" s="68"/>
    </row>
    <row r="170" spans="1:32" ht="30.5" x14ac:dyDescent="0.35">
      <c r="A170" s="827">
        <v>73</v>
      </c>
      <c r="B170" s="358">
        <v>11214</v>
      </c>
      <c r="C170" s="358"/>
      <c r="D170" s="2464" t="s">
        <v>5997</v>
      </c>
      <c r="E170" s="356" t="s">
        <v>7950</v>
      </c>
      <c r="F170" s="2295">
        <v>5</v>
      </c>
      <c r="G170" s="2295">
        <v>4</v>
      </c>
      <c r="H170" s="2295">
        <v>6</v>
      </c>
      <c r="I170" s="772">
        <f t="shared" ref="I170:I175" si="10">J170+K170+L170</f>
        <v>1.1619999999999999</v>
      </c>
      <c r="J170" s="772">
        <f t="shared" ref="J170:J175" si="11">SUM(M170:R170)</f>
        <v>1.1619999999999999</v>
      </c>
      <c r="K170" s="774"/>
      <c r="L170" s="774"/>
      <c r="M170" s="774"/>
      <c r="N170" s="772"/>
      <c r="O170" s="775"/>
      <c r="P170" s="1473"/>
      <c r="Q170" s="1816">
        <v>1.1619999999999999</v>
      </c>
      <c r="R170" s="1463"/>
      <c r="S170" s="1815"/>
      <c r="T170" s="1931"/>
      <c r="U170" s="1815"/>
      <c r="V170" s="1815"/>
      <c r="W170" s="1815">
        <v>2</v>
      </c>
      <c r="X170" s="1933">
        <v>30</v>
      </c>
      <c r="Y170" s="1815"/>
      <c r="Z170" s="2509"/>
      <c r="AB170" s="3">
        <v>1</v>
      </c>
      <c r="AE170" s="2461"/>
      <c r="AF170" s="68"/>
    </row>
    <row r="171" spans="1:32" ht="45.5" x14ac:dyDescent="0.35">
      <c r="A171" s="827">
        <v>74</v>
      </c>
      <c r="B171" s="358">
        <v>11214</v>
      </c>
      <c r="C171" s="358"/>
      <c r="D171" s="2464" t="s">
        <v>5998</v>
      </c>
      <c r="E171" s="356" t="s">
        <v>7951</v>
      </c>
      <c r="F171" s="2295" t="s">
        <v>827</v>
      </c>
      <c r="G171" s="2295">
        <v>4</v>
      </c>
      <c r="H171" s="2295">
        <v>6</v>
      </c>
      <c r="I171" s="772">
        <f t="shared" si="10"/>
        <v>1.4419999999999999</v>
      </c>
      <c r="J171" s="772">
        <f t="shared" si="11"/>
        <v>1.4419999999999999</v>
      </c>
      <c r="K171" s="774"/>
      <c r="L171" s="774"/>
      <c r="M171" s="774"/>
      <c r="N171" s="772">
        <v>1.4419999999999999</v>
      </c>
      <c r="O171" s="775"/>
      <c r="P171" s="1473"/>
      <c r="Q171" s="1467"/>
      <c r="R171" s="1462"/>
      <c r="S171" s="1815"/>
      <c r="T171" s="1931"/>
      <c r="U171" s="1815"/>
      <c r="V171" s="1815"/>
      <c r="W171" s="1815"/>
      <c r="X171" s="1933"/>
      <c r="Y171" s="1815"/>
      <c r="Z171" s="2509"/>
      <c r="AB171" s="3">
        <v>1</v>
      </c>
      <c r="AE171" s="2461"/>
      <c r="AF171" s="68"/>
    </row>
    <row r="172" spans="1:32" ht="60" x14ac:dyDescent="0.35">
      <c r="A172" s="525">
        <v>75</v>
      </c>
      <c r="B172" s="1074">
        <v>11214</v>
      </c>
      <c r="C172" s="365" t="s">
        <v>1656</v>
      </c>
      <c r="D172" s="2464" t="s">
        <v>5999</v>
      </c>
      <c r="E172" s="2187" t="s">
        <v>10191</v>
      </c>
      <c r="F172" s="92" t="s">
        <v>1490</v>
      </c>
      <c r="G172" s="92">
        <v>5</v>
      </c>
      <c r="H172" s="92">
        <v>6</v>
      </c>
      <c r="I172" s="702">
        <f t="shared" si="10"/>
        <v>0.13</v>
      </c>
      <c r="J172" s="702">
        <f t="shared" si="11"/>
        <v>0.13</v>
      </c>
      <c r="K172" s="2089"/>
      <c r="L172" s="2089"/>
      <c r="M172" s="2089"/>
      <c r="N172" s="2089"/>
      <c r="O172" s="2089"/>
      <c r="P172" s="2089"/>
      <c r="Q172" s="2148"/>
      <c r="R172" s="2235">
        <v>0.13</v>
      </c>
      <c r="S172" s="106"/>
      <c r="T172" s="106"/>
      <c r="U172" s="106"/>
      <c r="V172" s="106"/>
      <c r="W172" s="105"/>
      <c r="X172" s="105"/>
      <c r="Y172" s="105"/>
      <c r="Z172" s="323"/>
      <c r="AB172" s="3">
        <v>1</v>
      </c>
      <c r="AE172" s="2461"/>
      <c r="AF172" s="68"/>
    </row>
    <row r="173" spans="1:32" ht="30" x14ac:dyDescent="0.35">
      <c r="A173" s="347">
        <v>76</v>
      </c>
      <c r="B173" s="1064">
        <v>11215</v>
      </c>
      <c r="C173" s="1064"/>
      <c r="D173" s="366" t="s">
        <v>1278</v>
      </c>
      <c r="E173" s="269" t="s">
        <v>3403</v>
      </c>
      <c r="F173" s="2295">
        <v>4</v>
      </c>
      <c r="G173" s="2295">
        <v>5</v>
      </c>
      <c r="H173" s="2295">
        <v>6</v>
      </c>
      <c r="I173" s="772">
        <f t="shared" si="10"/>
        <v>3.456</v>
      </c>
      <c r="J173" s="772">
        <f t="shared" si="11"/>
        <v>3.456</v>
      </c>
      <c r="K173" s="772"/>
      <c r="L173" s="772"/>
      <c r="M173" s="772"/>
      <c r="N173" s="772">
        <v>3.456</v>
      </c>
      <c r="O173" s="773"/>
      <c r="P173" s="1470"/>
      <c r="Q173" s="1466"/>
      <c r="R173" s="1462"/>
      <c r="S173" s="1815"/>
      <c r="T173" s="1931"/>
      <c r="U173" s="1815"/>
      <c r="V173" s="1815"/>
      <c r="W173" s="46">
        <v>5</v>
      </c>
      <c r="X173" s="250">
        <v>63.8</v>
      </c>
      <c r="Y173" s="46">
        <v>1</v>
      </c>
      <c r="Z173" s="2510">
        <v>5.5</v>
      </c>
      <c r="AB173" s="3">
        <v>1</v>
      </c>
      <c r="AE173" s="2461"/>
      <c r="AF173" s="68"/>
    </row>
    <row r="174" spans="1:32" ht="30" x14ac:dyDescent="0.35">
      <c r="A174" s="525">
        <v>77</v>
      </c>
      <c r="B174" s="1074">
        <v>11215</v>
      </c>
      <c r="C174" s="365" t="s">
        <v>1656</v>
      </c>
      <c r="D174" s="2464" t="s">
        <v>6000</v>
      </c>
      <c r="E174" s="2187" t="s">
        <v>8903</v>
      </c>
      <c r="F174" s="92" t="s">
        <v>827</v>
      </c>
      <c r="G174" s="92">
        <v>5</v>
      </c>
      <c r="H174" s="2295">
        <v>6</v>
      </c>
      <c r="I174" s="702">
        <f t="shared" si="10"/>
        <v>0.25</v>
      </c>
      <c r="J174" s="702">
        <f t="shared" si="11"/>
        <v>0.25</v>
      </c>
      <c r="K174" s="2089"/>
      <c r="L174" s="2089"/>
      <c r="M174" s="2089"/>
      <c r="N174" s="622">
        <v>0.25</v>
      </c>
      <c r="O174" s="2089"/>
      <c r="P174" s="2089"/>
      <c r="Q174" s="2085"/>
      <c r="R174" s="2235"/>
      <c r="S174" s="106"/>
      <c r="T174" s="106"/>
      <c r="U174" s="106"/>
      <c r="V174" s="106"/>
      <c r="W174" s="105"/>
      <c r="X174" s="105"/>
      <c r="Y174" s="105"/>
      <c r="Z174" s="323"/>
      <c r="AB174" s="3">
        <v>1</v>
      </c>
      <c r="AE174" s="2461"/>
      <c r="AF174" s="68"/>
    </row>
    <row r="175" spans="1:32" ht="30" x14ac:dyDescent="0.35">
      <c r="A175" s="347">
        <v>78</v>
      </c>
      <c r="B175" s="1064">
        <v>11216</v>
      </c>
      <c r="C175" s="1064"/>
      <c r="D175" s="358" t="s">
        <v>1151</v>
      </c>
      <c r="E175" s="269" t="s">
        <v>1011</v>
      </c>
      <c r="F175" s="2295"/>
      <c r="G175" s="2295" t="s">
        <v>191</v>
      </c>
      <c r="H175" s="2295" t="s">
        <v>191</v>
      </c>
      <c r="I175" s="772">
        <f t="shared" si="10"/>
        <v>6.6189999999999998</v>
      </c>
      <c r="J175" s="772">
        <f t="shared" si="11"/>
        <v>5.8439999999999994</v>
      </c>
      <c r="K175" s="772"/>
      <c r="L175" s="772">
        <f>SUM(L176:L182)</f>
        <v>0.77499999999999991</v>
      </c>
      <c r="M175" s="772"/>
      <c r="N175" s="772">
        <f>SUM(N176:N182)</f>
        <v>1.6020000000000003</v>
      </c>
      <c r="O175" s="773"/>
      <c r="P175" s="1470"/>
      <c r="Q175" s="1466">
        <f>SUM(Q176:Q182)</f>
        <v>4.2419999999999991</v>
      </c>
      <c r="R175" s="1462"/>
      <c r="S175" s="1815"/>
      <c r="T175" s="1931"/>
      <c r="U175" s="1815"/>
      <c r="V175" s="1815"/>
      <c r="W175" s="46">
        <v>5</v>
      </c>
      <c r="X175" s="250">
        <v>59.26</v>
      </c>
      <c r="Y175" s="46"/>
      <c r="Z175" s="47"/>
      <c r="AB175" s="3">
        <v>1</v>
      </c>
      <c r="AE175" s="2461"/>
      <c r="AF175" s="68"/>
    </row>
    <row r="176" spans="1:32" x14ac:dyDescent="0.35">
      <c r="A176" s="359"/>
      <c r="B176" s="1064">
        <v>11216</v>
      </c>
      <c r="C176" s="1064"/>
      <c r="D176" s="360"/>
      <c r="E176" s="1480" t="s">
        <v>3561</v>
      </c>
      <c r="F176" s="2295" t="s">
        <v>827</v>
      </c>
      <c r="G176" s="2295">
        <v>4</v>
      </c>
      <c r="H176" s="2295">
        <v>6</v>
      </c>
      <c r="I176" s="774"/>
      <c r="J176" s="774"/>
      <c r="K176" s="774"/>
      <c r="L176" s="774"/>
      <c r="M176" s="774"/>
      <c r="N176" s="774"/>
      <c r="O176" s="775"/>
      <c r="P176" s="1473"/>
      <c r="Q176" s="1467">
        <v>1.339</v>
      </c>
      <c r="R176" s="1463"/>
      <c r="S176" s="1815"/>
      <c r="T176" s="1931"/>
      <c r="U176" s="1815"/>
      <c r="V176" s="1815"/>
      <c r="W176" s="1815"/>
      <c r="X176" s="1933"/>
      <c r="Y176" s="1815"/>
      <c r="Z176" s="2509"/>
      <c r="AE176" s="2461"/>
      <c r="AF176" s="68"/>
    </row>
    <row r="177" spans="1:32" x14ac:dyDescent="0.35">
      <c r="A177" s="359"/>
      <c r="B177" s="1064">
        <v>11216</v>
      </c>
      <c r="C177" s="1064"/>
      <c r="D177" s="1154"/>
      <c r="E177" s="1480" t="s">
        <v>3562</v>
      </c>
      <c r="F177" s="2295">
        <v>5</v>
      </c>
      <c r="G177" s="2295">
        <v>4</v>
      </c>
      <c r="H177" s="2295">
        <v>6</v>
      </c>
      <c r="I177" s="774"/>
      <c r="J177" s="774"/>
      <c r="K177" s="774"/>
      <c r="L177" s="774"/>
      <c r="M177" s="774"/>
      <c r="N177" s="774"/>
      <c r="O177" s="775"/>
      <c r="P177" s="1473"/>
      <c r="Q177" s="1467">
        <f>1.864-1.339</f>
        <v>0.52500000000000013</v>
      </c>
      <c r="R177" s="1463"/>
      <c r="S177" s="1815"/>
      <c r="T177" s="1931"/>
      <c r="U177" s="1815"/>
      <c r="V177" s="1815"/>
      <c r="W177" s="1815"/>
      <c r="X177" s="1933"/>
      <c r="Y177" s="1815"/>
      <c r="Z177" s="2509"/>
      <c r="AE177" s="2461"/>
      <c r="AF177" s="68"/>
    </row>
    <row r="178" spans="1:32" x14ac:dyDescent="0.35">
      <c r="A178" s="359"/>
      <c r="B178" s="1064">
        <v>11216</v>
      </c>
      <c r="C178" s="1064"/>
      <c r="D178" s="1154"/>
      <c r="E178" s="1480" t="s">
        <v>3563</v>
      </c>
      <c r="F178" s="2295" t="s">
        <v>827</v>
      </c>
      <c r="G178" s="2295">
        <v>4</v>
      </c>
      <c r="H178" s="2295">
        <v>6</v>
      </c>
      <c r="I178" s="774"/>
      <c r="J178" s="774"/>
      <c r="K178" s="774"/>
      <c r="L178" s="774"/>
      <c r="M178" s="774"/>
      <c r="N178" s="774"/>
      <c r="O178" s="775"/>
      <c r="P178" s="1473"/>
      <c r="Q178" s="1467">
        <f>1.972-1.864</f>
        <v>0.10799999999999987</v>
      </c>
      <c r="R178" s="1463"/>
      <c r="S178" s="1815"/>
      <c r="T178" s="1931"/>
      <c r="U178" s="1815"/>
      <c r="V178" s="1815"/>
      <c r="W178" s="1815"/>
      <c r="X178" s="1933"/>
      <c r="Y178" s="1815"/>
      <c r="Z178" s="2509"/>
      <c r="AE178" s="2461"/>
      <c r="AF178" s="68"/>
    </row>
    <row r="179" spans="1:32" x14ac:dyDescent="0.35">
      <c r="A179" s="359"/>
      <c r="B179" s="1064">
        <v>11216</v>
      </c>
      <c r="C179" s="1064"/>
      <c r="D179" s="1154"/>
      <c r="E179" s="357" t="s">
        <v>1010</v>
      </c>
      <c r="F179" s="2295">
        <v>4</v>
      </c>
      <c r="G179" s="2295">
        <v>4</v>
      </c>
      <c r="H179" s="2295">
        <v>6</v>
      </c>
      <c r="I179" s="774"/>
      <c r="J179" s="774"/>
      <c r="K179" s="774"/>
      <c r="L179" s="774"/>
      <c r="M179" s="774"/>
      <c r="N179" s="774">
        <f>3.525-1.972</f>
        <v>1.5529999999999999</v>
      </c>
      <c r="O179" s="775"/>
      <c r="P179" s="1473"/>
      <c r="Q179" s="1467"/>
      <c r="R179" s="1463"/>
      <c r="S179" s="1815"/>
      <c r="T179" s="1931"/>
      <c r="U179" s="1815"/>
      <c r="V179" s="1815"/>
      <c r="W179" s="1815"/>
      <c r="X179" s="1933"/>
      <c r="Y179" s="1815"/>
      <c r="Z179" s="2509"/>
      <c r="AE179" s="2461"/>
      <c r="AF179" s="68"/>
    </row>
    <row r="180" spans="1:32" ht="31" x14ac:dyDescent="0.35">
      <c r="A180" s="359"/>
      <c r="B180" s="1064">
        <v>11216</v>
      </c>
      <c r="C180" s="1064"/>
      <c r="D180" s="1154"/>
      <c r="E180" s="357" t="s">
        <v>9453</v>
      </c>
      <c r="F180" s="2295">
        <v>4</v>
      </c>
      <c r="G180" s="2295">
        <v>4</v>
      </c>
      <c r="H180" s="2295" t="s">
        <v>191</v>
      </c>
      <c r="I180" s="774"/>
      <c r="J180" s="774"/>
      <c r="K180" s="774"/>
      <c r="L180" s="774">
        <f>4.3-3.525</f>
        <v>0.77499999999999991</v>
      </c>
      <c r="M180" s="774"/>
      <c r="N180" s="774"/>
      <c r="O180" s="775"/>
      <c r="P180" s="1473"/>
      <c r="Q180" s="1467"/>
      <c r="R180" s="1463"/>
      <c r="S180" s="1815"/>
      <c r="T180" s="1931"/>
      <c r="U180" s="1815"/>
      <c r="V180" s="1815"/>
      <c r="W180" s="1815"/>
      <c r="X180" s="1933"/>
      <c r="Y180" s="1815"/>
      <c r="Z180" s="2509"/>
      <c r="AE180" s="2461"/>
      <c r="AF180" s="68"/>
    </row>
    <row r="181" spans="1:32" x14ac:dyDescent="0.35">
      <c r="A181" s="359"/>
      <c r="B181" s="1064">
        <v>11216</v>
      </c>
      <c r="C181" s="1064"/>
      <c r="D181" s="1154"/>
      <c r="E181" s="357" t="s">
        <v>1009</v>
      </c>
      <c r="F181" s="2295">
        <v>4</v>
      </c>
      <c r="G181" s="2295">
        <v>4</v>
      </c>
      <c r="H181" s="2295">
        <v>6</v>
      </c>
      <c r="I181" s="774"/>
      <c r="J181" s="774"/>
      <c r="K181" s="774"/>
      <c r="L181" s="774"/>
      <c r="M181" s="774"/>
      <c r="N181" s="774">
        <f>4.349-4.3</f>
        <v>4.9000000000000377E-2</v>
      </c>
      <c r="O181" s="775"/>
      <c r="P181" s="1473"/>
      <c r="Q181" s="1467"/>
      <c r="R181" s="1463"/>
      <c r="S181" s="1815"/>
      <c r="T181" s="1931"/>
      <c r="U181" s="1815"/>
      <c r="V181" s="1815"/>
      <c r="W181" s="1815"/>
      <c r="X181" s="1933"/>
      <c r="Y181" s="1815"/>
      <c r="Z181" s="2509"/>
      <c r="AE181" s="2461"/>
      <c r="AF181" s="68"/>
    </row>
    <row r="182" spans="1:32" x14ac:dyDescent="0.35">
      <c r="A182" s="359"/>
      <c r="B182" s="1064">
        <v>11216</v>
      </c>
      <c r="C182" s="1064"/>
      <c r="D182" s="1154"/>
      <c r="E182" s="1480" t="s">
        <v>1258</v>
      </c>
      <c r="F182" s="2295">
        <v>4</v>
      </c>
      <c r="G182" s="2295">
        <v>4</v>
      </c>
      <c r="H182" s="2295">
        <v>6</v>
      </c>
      <c r="I182" s="774"/>
      <c r="J182" s="774"/>
      <c r="K182" s="774"/>
      <c r="L182" s="774"/>
      <c r="M182" s="774"/>
      <c r="N182" s="774"/>
      <c r="O182" s="775"/>
      <c r="P182" s="1473"/>
      <c r="Q182" s="1467">
        <f>6.619-4.349</f>
        <v>2.2699999999999996</v>
      </c>
      <c r="R182" s="1463"/>
      <c r="S182" s="1815"/>
      <c r="T182" s="1931"/>
      <c r="U182" s="1815"/>
      <c r="V182" s="1815"/>
      <c r="W182" s="1815"/>
      <c r="X182" s="1933"/>
      <c r="Y182" s="1815"/>
      <c r="Z182" s="2509"/>
      <c r="AE182" s="2461"/>
      <c r="AF182" s="68"/>
    </row>
    <row r="183" spans="1:32" ht="30" x14ac:dyDescent="0.35">
      <c r="A183" s="347">
        <v>79</v>
      </c>
      <c r="B183" s="1064">
        <v>11217</v>
      </c>
      <c r="C183" s="1064"/>
      <c r="D183" s="366" t="s">
        <v>1152</v>
      </c>
      <c r="E183" s="356" t="s">
        <v>631</v>
      </c>
      <c r="F183" s="2295"/>
      <c r="G183" s="2295" t="s">
        <v>191</v>
      </c>
      <c r="H183" s="2295" t="s">
        <v>191</v>
      </c>
      <c r="I183" s="772">
        <f>J183+K183+L183</f>
        <v>5.4879999999999995</v>
      </c>
      <c r="J183" s="772">
        <f>SUM(M183:R183)</f>
        <v>5.4879999999999995</v>
      </c>
      <c r="K183" s="772"/>
      <c r="L183" s="772"/>
      <c r="M183" s="772"/>
      <c r="N183" s="772">
        <f>SUM(N184:N188)</f>
        <v>1.2980000000000005</v>
      </c>
      <c r="O183" s="773"/>
      <c r="P183" s="1470"/>
      <c r="Q183" s="1466">
        <f>SUM(Q184:Q188)</f>
        <v>4.1899999999999995</v>
      </c>
      <c r="R183" s="1462"/>
      <c r="S183" s="1815"/>
      <c r="T183" s="1931"/>
      <c r="U183" s="1815"/>
      <c r="V183" s="1815"/>
      <c r="W183" s="46">
        <v>15</v>
      </c>
      <c r="X183" s="250">
        <v>192.63</v>
      </c>
      <c r="Y183" s="46">
        <v>5</v>
      </c>
      <c r="Z183" s="47">
        <v>56.3</v>
      </c>
      <c r="AB183" s="3">
        <v>1</v>
      </c>
      <c r="AE183" s="2461"/>
      <c r="AF183" s="68"/>
    </row>
    <row r="184" spans="1:32" x14ac:dyDescent="0.35">
      <c r="A184" s="359"/>
      <c r="B184" s="1064">
        <v>11217</v>
      </c>
      <c r="C184" s="1064"/>
      <c r="D184" s="1154"/>
      <c r="E184" s="1480" t="s">
        <v>10769</v>
      </c>
      <c r="F184" s="2295">
        <v>4</v>
      </c>
      <c r="G184" s="2295">
        <v>4</v>
      </c>
      <c r="H184" s="2295">
        <v>6</v>
      </c>
      <c r="I184" s="774"/>
      <c r="J184" s="774"/>
      <c r="K184" s="774"/>
      <c r="L184" s="774"/>
      <c r="M184" s="774"/>
      <c r="N184" s="774"/>
      <c r="O184" s="775"/>
      <c r="P184" s="1473"/>
      <c r="Q184" s="1467">
        <v>1.9159999999999999</v>
      </c>
      <c r="R184" s="1463"/>
      <c r="S184" s="1815"/>
      <c r="T184" s="1931"/>
      <c r="U184" s="1815"/>
      <c r="V184" s="1815"/>
      <c r="W184" s="1815"/>
      <c r="X184" s="1933"/>
      <c r="Y184" s="1815"/>
      <c r="Z184" s="2509"/>
      <c r="AE184" s="2461"/>
      <c r="AF184" s="68"/>
    </row>
    <row r="185" spans="1:32" x14ac:dyDescent="0.35">
      <c r="A185" s="359"/>
      <c r="B185" s="1064">
        <v>11217</v>
      </c>
      <c r="C185" s="1064"/>
      <c r="D185" s="1154"/>
      <c r="E185" s="2760" t="s">
        <v>11033</v>
      </c>
      <c r="F185" s="2295">
        <v>4</v>
      </c>
      <c r="G185" s="2295">
        <v>4</v>
      </c>
      <c r="H185" s="2295">
        <v>6</v>
      </c>
      <c r="I185" s="774"/>
      <c r="J185" s="774"/>
      <c r="K185" s="774"/>
      <c r="L185" s="774"/>
      <c r="M185" s="774"/>
      <c r="N185" s="2700">
        <f>2-1.916</f>
        <v>8.4000000000000075E-2</v>
      </c>
      <c r="O185" s="775"/>
      <c r="P185" s="1473"/>
      <c r="Q185" s="1467"/>
      <c r="R185" s="1463"/>
      <c r="S185" s="1815"/>
      <c r="T185" s="1931"/>
      <c r="U185" s="1815"/>
      <c r="V185" s="1815"/>
      <c r="W185" s="1815"/>
      <c r="X185" s="1933"/>
      <c r="Y185" s="1815"/>
      <c r="Z185" s="2509"/>
      <c r="AE185" s="2461"/>
      <c r="AF185" s="68"/>
    </row>
    <row r="186" spans="1:32" x14ac:dyDescent="0.35">
      <c r="A186" s="359"/>
      <c r="B186" s="1064">
        <v>11217</v>
      </c>
      <c r="C186" s="1064"/>
      <c r="D186" s="1154"/>
      <c r="E186" s="1480" t="s">
        <v>630</v>
      </c>
      <c r="F186" s="2295">
        <v>4</v>
      </c>
      <c r="G186" s="2295">
        <v>4</v>
      </c>
      <c r="H186" s="2295">
        <v>6</v>
      </c>
      <c r="I186" s="774"/>
      <c r="J186" s="774"/>
      <c r="K186" s="774"/>
      <c r="L186" s="774"/>
      <c r="M186" s="774"/>
      <c r="N186" s="774"/>
      <c r="O186" s="775"/>
      <c r="P186" s="1473"/>
      <c r="Q186" s="1467">
        <f>4.274-2</f>
        <v>2.274</v>
      </c>
      <c r="R186" s="1463"/>
      <c r="S186" s="1815"/>
      <c r="T186" s="1931"/>
      <c r="U186" s="1815"/>
      <c r="V186" s="1815"/>
      <c r="W186" s="1815"/>
      <c r="X186" s="1933"/>
      <c r="Y186" s="1815"/>
      <c r="Z186" s="2509"/>
      <c r="AE186" s="2461"/>
      <c r="AF186" s="68"/>
    </row>
    <row r="187" spans="1:32" x14ac:dyDescent="0.35">
      <c r="A187" s="359"/>
      <c r="B187" s="1064">
        <v>11217</v>
      </c>
      <c r="C187" s="1064"/>
      <c r="D187" s="1154"/>
      <c r="E187" s="2605" t="s">
        <v>3571</v>
      </c>
      <c r="F187" s="2295">
        <v>4</v>
      </c>
      <c r="G187" s="2295">
        <v>4</v>
      </c>
      <c r="H187" s="2295">
        <v>6</v>
      </c>
      <c r="I187" s="774"/>
      <c r="J187" s="774"/>
      <c r="K187" s="774"/>
      <c r="L187" s="774"/>
      <c r="M187" s="774"/>
      <c r="N187" s="774">
        <f>4.393-4.274</f>
        <v>0.11899999999999977</v>
      </c>
      <c r="O187" s="775"/>
      <c r="P187" s="1473"/>
      <c r="Q187" s="1467"/>
      <c r="R187" s="1463"/>
      <c r="S187" s="1815"/>
      <c r="T187" s="1931"/>
      <c r="U187" s="1815"/>
      <c r="V187" s="1815"/>
      <c r="W187" s="1815"/>
      <c r="X187" s="1933"/>
      <c r="Y187" s="1815"/>
      <c r="Z187" s="2509"/>
      <c r="AE187" s="2461"/>
      <c r="AF187" s="68"/>
    </row>
    <row r="188" spans="1:32" x14ac:dyDescent="0.35">
      <c r="A188" s="359"/>
      <c r="B188" s="1064">
        <v>11217</v>
      </c>
      <c r="C188" s="1064"/>
      <c r="D188" s="1154"/>
      <c r="E188" s="2605" t="s">
        <v>3572</v>
      </c>
      <c r="F188" s="2295" t="s">
        <v>1490</v>
      </c>
      <c r="G188" s="2295">
        <v>4</v>
      </c>
      <c r="H188" s="2295">
        <v>6</v>
      </c>
      <c r="I188" s="774"/>
      <c r="J188" s="774"/>
      <c r="K188" s="774"/>
      <c r="L188" s="774"/>
      <c r="M188" s="774"/>
      <c r="N188" s="774">
        <f>5.488-4.393</f>
        <v>1.0950000000000006</v>
      </c>
      <c r="O188" s="775"/>
      <c r="P188" s="1473"/>
      <c r="Q188" s="1467"/>
      <c r="R188" s="1463"/>
      <c r="S188" s="1815"/>
      <c r="T188" s="1931"/>
      <c r="U188" s="1815"/>
      <c r="V188" s="1815"/>
      <c r="W188" s="1815"/>
      <c r="X188" s="1933"/>
      <c r="Y188" s="1815"/>
      <c r="Z188" s="2509"/>
      <c r="AE188" s="2461"/>
      <c r="AF188" s="68"/>
    </row>
    <row r="189" spans="1:32" ht="30" x14ac:dyDescent="0.35">
      <c r="A189" s="525">
        <v>80</v>
      </c>
      <c r="B189" s="1074">
        <v>11217</v>
      </c>
      <c r="C189" s="365" t="s">
        <v>1656</v>
      </c>
      <c r="D189" s="2464" t="s">
        <v>6001</v>
      </c>
      <c r="E189" s="2187" t="s">
        <v>8904</v>
      </c>
      <c r="F189" s="92" t="s">
        <v>664</v>
      </c>
      <c r="G189" s="92">
        <v>5</v>
      </c>
      <c r="H189" s="92">
        <v>6</v>
      </c>
      <c r="I189" s="702">
        <f>J189+K189+L189</f>
        <v>0.3</v>
      </c>
      <c r="J189" s="702">
        <f>SUM(M189:R189)</f>
        <v>0.3</v>
      </c>
      <c r="K189" s="2089"/>
      <c r="L189" s="2089"/>
      <c r="M189" s="2089"/>
      <c r="N189" s="2089"/>
      <c r="O189" s="2089"/>
      <c r="P189" s="2089"/>
      <c r="Q189" s="2148"/>
      <c r="R189" s="2235">
        <v>0.3</v>
      </c>
      <c r="S189" s="106"/>
      <c r="T189" s="106"/>
      <c r="U189" s="106"/>
      <c r="V189" s="106"/>
      <c r="W189" s="105"/>
      <c r="X189" s="105"/>
      <c r="Y189" s="105"/>
      <c r="Z189" s="323"/>
      <c r="AB189" s="3">
        <v>1</v>
      </c>
      <c r="AE189" s="2461"/>
      <c r="AF189" s="68"/>
    </row>
    <row r="190" spans="1:32" ht="30" x14ac:dyDescent="0.35">
      <c r="A190" s="525">
        <v>81</v>
      </c>
      <c r="B190" s="1074">
        <v>11217</v>
      </c>
      <c r="C190" s="365" t="s">
        <v>1656</v>
      </c>
      <c r="D190" s="2464" t="s">
        <v>6002</v>
      </c>
      <c r="E190" s="2187" t="s">
        <v>8905</v>
      </c>
      <c r="F190" s="92" t="s">
        <v>664</v>
      </c>
      <c r="G190" s="92">
        <v>5</v>
      </c>
      <c r="H190" s="92">
        <v>6</v>
      </c>
      <c r="I190" s="702">
        <f>J190+K190+L190</f>
        <v>1.3</v>
      </c>
      <c r="J190" s="702">
        <f>SUM(M190:R190)</f>
        <v>1.3</v>
      </c>
      <c r="K190" s="2089"/>
      <c r="L190" s="2089"/>
      <c r="M190" s="2089"/>
      <c r="N190" s="2089"/>
      <c r="O190" s="2089"/>
      <c r="P190" s="2089"/>
      <c r="Q190" s="2148"/>
      <c r="R190" s="2235">
        <v>1.3</v>
      </c>
      <c r="S190" s="106"/>
      <c r="T190" s="106"/>
      <c r="U190" s="106"/>
      <c r="V190" s="106"/>
      <c r="W190" s="105"/>
      <c r="X190" s="105"/>
      <c r="Y190" s="105"/>
      <c r="Z190" s="323"/>
      <c r="AB190" s="3">
        <v>1</v>
      </c>
      <c r="AE190" s="2461"/>
      <c r="AF190" s="68"/>
    </row>
    <row r="191" spans="1:32" ht="30.5" x14ac:dyDescent="0.35">
      <c r="A191" s="525">
        <v>82</v>
      </c>
      <c r="B191" s="1064">
        <v>11218</v>
      </c>
      <c r="C191" s="1064"/>
      <c r="D191" s="358" t="s">
        <v>1153</v>
      </c>
      <c r="E191" s="356" t="s">
        <v>2947</v>
      </c>
      <c r="F191" s="2295"/>
      <c r="G191" s="2295" t="s">
        <v>191</v>
      </c>
      <c r="H191" s="2295" t="s">
        <v>191</v>
      </c>
      <c r="I191" s="772">
        <f>J191+K191+L191</f>
        <v>12.701000000000001</v>
      </c>
      <c r="J191" s="772">
        <f>SUM(M191:R191)</f>
        <v>12.591000000000001</v>
      </c>
      <c r="K191" s="772"/>
      <c r="L191" s="772">
        <f>SUM(L192:L198)</f>
        <v>0.10999999999999943</v>
      </c>
      <c r="M191" s="772"/>
      <c r="N191" s="2699">
        <f>SUM(N192:N198)</f>
        <v>6.5810000000000004</v>
      </c>
      <c r="O191" s="773"/>
      <c r="P191" s="1470"/>
      <c r="Q191" s="1466">
        <f>SUM(Q192:Q198)</f>
        <v>6.0100000000000016</v>
      </c>
      <c r="R191" s="1462"/>
      <c r="S191" s="1815">
        <v>2</v>
      </c>
      <c r="T191" s="1931">
        <v>37</v>
      </c>
      <c r="U191" s="1815"/>
      <c r="V191" s="1815"/>
      <c r="W191" s="46">
        <v>19</v>
      </c>
      <c r="X191" s="250">
        <f>238.19</f>
        <v>238.19</v>
      </c>
      <c r="Y191" s="46">
        <v>6</v>
      </c>
      <c r="Z191" s="47">
        <f>72</f>
        <v>72</v>
      </c>
      <c r="AB191" s="3">
        <v>1</v>
      </c>
      <c r="AE191" s="2461"/>
      <c r="AF191" s="68"/>
    </row>
    <row r="192" spans="1:32" x14ac:dyDescent="0.35">
      <c r="A192" s="359"/>
      <c r="B192" s="1064">
        <v>11218</v>
      </c>
      <c r="C192" s="1064"/>
      <c r="D192" s="1154"/>
      <c r="E192" s="357" t="s">
        <v>2946</v>
      </c>
      <c r="F192" s="2295">
        <v>4</v>
      </c>
      <c r="G192" s="2295">
        <v>4</v>
      </c>
      <c r="H192" s="2295">
        <v>6</v>
      </c>
      <c r="I192" s="774"/>
      <c r="J192" s="774"/>
      <c r="K192" s="774"/>
      <c r="L192" s="774"/>
      <c r="M192" s="774"/>
      <c r="N192" s="774">
        <v>2.61</v>
      </c>
      <c r="O192" s="775"/>
      <c r="P192" s="1473"/>
      <c r="Q192" s="1467"/>
      <c r="R192" s="1463"/>
      <c r="S192" s="1815"/>
      <c r="T192" s="1931"/>
      <c r="U192" s="1815"/>
      <c r="V192" s="1815"/>
      <c r="W192" s="1815"/>
      <c r="X192" s="1933"/>
      <c r="Y192" s="1815"/>
      <c r="Z192" s="2509"/>
      <c r="AA192" s="3" t="s">
        <v>10613</v>
      </c>
      <c r="AE192" s="2461"/>
      <c r="AF192" s="68"/>
    </row>
    <row r="193" spans="1:32" x14ac:dyDescent="0.35">
      <c r="A193" s="359"/>
      <c r="B193" s="1064">
        <v>11218</v>
      </c>
      <c r="C193" s="1064"/>
      <c r="D193" s="1154"/>
      <c r="E193" s="1480" t="s">
        <v>11028</v>
      </c>
      <c r="F193" s="2295">
        <v>4</v>
      </c>
      <c r="G193" s="2295">
        <v>4</v>
      </c>
      <c r="H193" s="2295">
        <v>6</v>
      </c>
      <c r="I193" s="774"/>
      <c r="J193" s="774"/>
      <c r="K193" s="774"/>
      <c r="L193" s="774"/>
      <c r="M193" s="774"/>
      <c r="N193" s="2700"/>
      <c r="O193" s="775"/>
      <c r="P193" s="1473"/>
      <c r="Q193" s="1467">
        <f>4.16-2.61</f>
        <v>1.5500000000000003</v>
      </c>
      <c r="R193" s="1463"/>
      <c r="S193" s="1815"/>
      <c r="T193" s="1931"/>
      <c r="U193" s="1815"/>
      <c r="V193" s="1815"/>
      <c r="W193" s="1815"/>
      <c r="X193" s="1933"/>
      <c r="Y193" s="1815"/>
      <c r="Z193" s="2509"/>
      <c r="AA193" s="3" t="s">
        <v>10613</v>
      </c>
      <c r="AE193" s="2461"/>
      <c r="AF193" s="68"/>
    </row>
    <row r="194" spans="1:32" ht="18" customHeight="1" x14ac:dyDescent="0.35">
      <c r="A194" s="359"/>
      <c r="B194" s="1064">
        <v>11218</v>
      </c>
      <c r="C194" s="1064"/>
      <c r="D194" s="1154"/>
      <c r="E194" s="2603" t="s">
        <v>11255</v>
      </c>
      <c r="F194" s="2295">
        <v>4</v>
      </c>
      <c r="G194" s="2295">
        <v>4</v>
      </c>
      <c r="H194" s="2295">
        <v>6</v>
      </c>
      <c r="I194" s="774"/>
      <c r="J194" s="774"/>
      <c r="K194" s="774"/>
      <c r="L194" s="774"/>
      <c r="M194" s="774"/>
      <c r="N194" s="2700">
        <v>0.88700000000000001</v>
      </c>
      <c r="O194" s="775"/>
      <c r="P194" s="1473"/>
      <c r="Q194" s="1467"/>
      <c r="R194" s="1463"/>
      <c r="S194" s="1815"/>
      <c r="T194" s="1931"/>
      <c r="U194" s="1815"/>
      <c r="V194" s="1815"/>
      <c r="W194" s="1815"/>
      <c r="X194" s="1933"/>
      <c r="Y194" s="1815"/>
      <c r="Z194" s="2509"/>
      <c r="AA194" s="3" t="s">
        <v>10613</v>
      </c>
      <c r="AE194" s="2461"/>
      <c r="AF194" s="68"/>
    </row>
    <row r="195" spans="1:32" x14ac:dyDescent="0.35">
      <c r="A195" s="359"/>
      <c r="B195" s="1064">
        <v>11218</v>
      </c>
      <c r="C195" s="1064"/>
      <c r="D195" s="1154"/>
      <c r="E195" s="1480" t="s">
        <v>11029</v>
      </c>
      <c r="F195" s="2295">
        <v>4</v>
      </c>
      <c r="G195" s="2295">
        <v>4</v>
      </c>
      <c r="H195" s="2295">
        <v>6</v>
      </c>
      <c r="I195" s="774"/>
      <c r="J195" s="774"/>
      <c r="K195" s="774"/>
      <c r="L195" s="774"/>
      <c r="M195" s="774"/>
      <c r="N195" s="2700"/>
      <c r="O195" s="775"/>
      <c r="P195" s="1473"/>
      <c r="Q195" s="1467">
        <f>6.908-5.047</f>
        <v>1.8610000000000007</v>
      </c>
      <c r="R195" s="1463"/>
      <c r="S195" s="1815"/>
      <c r="T195" s="1931"/>
      <c r="U195" s="1815"/>
      <c r="V195" s="1815"/>
      <c r="W195" s="1815"/>
      <c r="X195" s="1933"/>
      <c r="Y195" s="1815"/>
      <c r="Z195" s="2509"/>
      <c r="AA195" s="3" t="s">
        <v>10613</v>
      </c>
      <c r="AE195" s="2461"/>
      <c r="AF195" s="68"/>
    </row>
    <row r="196" spans="1:32" ht="46.5" x14ac:dyDescent="0.35">
      <c r="A196" s="359"/>
      <c r="B196" s="1064"/>
      <c r="C196" s="1064"/>
      <c r="D196" s="1154"/>
      <c r="E196" s="2603" t="s">
        <v>11027</v>
      </c>
      <c r="F196" s="2797">
        <v>4</v>
      </c>
      <c r="G196" s="2797">
        <v>4</v>
      </c>
      <c r="H196" s="2797" t="s">
        <v>191</v>
      </c>
      <c r="I196" s="2799"/>
      <c r="J196" s="2799"/>
      <c r="K196" s="2799"/>
      <c r="L196" s="2799">
        <f>7.018-6.908</f>
        <v>0.10999999999999943</v>
      </c>
      <c r="M196" s="774"/>
      <c r="N196" s="2700"/>
      <c r="O196" s="775"/>
      <c r="P196" s="1473"/>
      <c r="Q196" s="1467"/>
      <c r="R196" s="1463"/>
      <c r="S196" s="1815"/>
      <c r="T196" s="1931"/>
      <c r="U196" s="1815"/>
      <c r="V196" s="1815"/>
      <c r="W196" s="1815"/>
      <c r="X196" s="1933"/>
      <c r="Y196" s="1815"/>
      <c r="Z196" s="2509"/>
      <c r="AE196" s="2461"/>
      <c r="AF196" s="68"/>
    </row>
    <row r="197" spans="1:32" x14ac:dyDescent="0.35">
      <c r="A197" s="359"/>
      <c r="B197" s="1064">
        <v>11218</v>
      </c>
      <c r="C197" s="1064"/>
      <c r="D197" s="1154"/>
      <c r="E197" s="2760" t="s">
        <v>11433</v>
      </c>
      <c r="F197" s="2295">
        <v>4</v>
      </c>
      <c r="G197" s="2295">
        <v>4</v>
      </c>
      <c r="H197" s="2295">
        <v>6</v>
      </c>
      <c r="I197" s="774"/>
      <c r="J197" s="774"/>
      <c r="K197" s="774"/>
      <c r="L197" s="774"/>
      <c r="M197" s="774"/>
      <c r="N197" s="2700">
        <f>10.102-7.018</f>
        <v>3.0840000000000005</v>
      </c>
      <c r="O197" s="775"/>
      <c r="P197" s="1473"/>
      <c r="Q197" s="1467"/>
      <c r="R197" s="1463"/>
      <c r="S197" s="1815"/>
      <c r="T197" s="1931"/>
      <c r="U197" s="1815"/>
      <c r="V197" s="1815"/>
      <c r="W197" s="1815"/>
      <c r="X197" s="1933"/>
      <c r="Y197" s="1815"/>
      <c r="Z197" s="2509"/>
      <c r="AA197" s="3" t="s">
        <v>10614</v>
      </c>
      <c r="AE197" s="2461"/>
      <c r="AF197" s="68"/>
    </row>
    <row r="198" spans="1:32" x14ac:dyDescent="0.35">
      <c r="A198" s="359"/>
      <c r="B198" s="1064">
        <v>11218</v>
      </c>
      <c r="C198" s="1064"/>
      <c r="D198" s="360"/>
      <c r="E198" s="1480" t="s">
        <v>11309</v>
      </c>
      <c r="F198" s="2295">
        <v>4</v>
      </c>
      <c r="G198" s="2295">
        <v>4</v>
      </c>
      <c r="H198" s="2295">
        <v>6</v>
      </c>
      <c r="I198" s="774"/>
      <c r="J198" s="774"/>
      <c r="K198" s="774"/>
      <c r="L198" s="774"/>
      <c r="M198" s="774"/>
      <c r="N198" s="2700"/>
      <c r="O198" s="775"/>
      <c r="P198" s="1473"/>
      <c r="Q198" s="1467">
        <f>12.701-10.102</f>
        <v>2.5990000000000002</v>
      </c>
      <c r="R198" s="1463"/>
      <c r="S198" s="1815"/>
      <c r="T198" s="1931"/>
      <c r="U198" s="1815"/>
      <c r="V198" s="1815"/>
      <c r="W198" s="1815"/>
      <c r="X198" s="1933"/>
      <c r="Y198" s="1815"/>
      <c r="Z198" s="2509"/>
      <c r="AA198" s="3" t="s">
        <v>1839</v>
      </c>
      <c r="AE198" s="2461"/>
      <c r="AF198" s="68"/>
    </row>
    <row r="199" spans="1:32" ht="45" x14ac:dyDescent="0.35">
      <c r="A199" s="693">
        <v>83</v>
      </c>
      <c r="B199" s="693">
        <v>11218</v>
      </c>
      <c r="C199" s="365" t="s">
        <v>1656</v>
      </c>
      <c r="D199" s="2464" t="s">
        <v>6003</v>
      </c>
      <c r="E199" s="2187" t="s">
        <v>8906</v>
      </c>
      <c r="F199" s="92" t="s">
        <v>664</v>
      </c>
      <c r="G199" s="92">
        <v>5</v>
      </c>
      <c r="H199" s="92">
        <v>6</v>
      </c>
      <c r="I199" s="702">
        <f>J199+K199+L199</f>
        <v>1.1499999999999999</v>
      </c>
      <c r="J199" s="702">
        <f>SUM(M199:R199)</f>
        <v>1.1499999999999999</v>
      </c>
      <c r="K199" s="2089"/>
      <c r="L199" s="2089"/>
      <c r="M199" s="2089"/>
      <c r="N199" s="2089"/>
      <c r="O199" s="2089"/>
      <c r="P199" s="2089"/>
      <c r="Q199" s="2089"/>
      <c r="R199" s="2235">
        <v>1.1499999999999999</v>
      </c>
      <c r="S199" s="106"/>
      <c r="T199" s="106"/>
      <c r="U199" s="106"/>
      <c r="V199" s="106"/>
      <c r="W199" s="105"/>
      <c r="X199" s="105"/>
      <c r="Y199" s="105"/>
      <c r="Z199" s="323"/>
      <c r="AB199" s="3">
        <v>1</v>
      </c>
      <c r="AE199" s="2461"/>
      <c r="AF199" s="68"/>
    </row>
    <row r="200" spans="1:32" ht="30" x14ac:dyDescent="0.35">
      <c r="A200" s="347">
        <v>84</v>
      </c>
      <c r="B200" s="1064">
        <v>11219</v>
      </c>
      <c r="C200" s="1064"/>
      <c r="D200" s="358" t="s">
        <v>1154</v>
      </c>
      <c r="E200" s="356" t="s">
        <v>1029</v>
      </c>
      <c r="F200" s="2295"/>
      <c r="G200" s="2295" t="s">
        <v>191</v>
      </c>
      <c r="H200" s="2295" t="s">
        <v>191</v>
      </c>
      <c r="I200" s="772">
        <f>J200+K200+L200</f>
        <v>5</v>
      </c>
      <c r="J200" s="772">
        <f>SUM(M200:R200)</f>
        <v>5</v>
      </c>
      <c r="K200" s="772"/>
      <c r="L200" s="772"/>
      <c r="M200" s="772"/>
      <c r="N200" s="772"/>
      <c r="O200" s="773"/>
      <c r="P200" s="1470"/>
      <c r="Q200" s="1466">
        <f>SUM(Q201:Q202)</f>
        <v>2.8</v>
      </c>
      <c r="R200" s="1462">
        <f>SUM(R201:R202)</f>
        <v>2.2000000000000002</v>
      </c>
      <c r="S200" s="1815"/>
      <c r="T200" s="1931"/>
      <c r="U200" s="1815"/>
      <c r="V200" s="1815"/>
      <c r="W200" s="46">
        <v>4</v>
      </c>
      <c r="X200" s="250">
        <v>50</v>
      </c>
      <c r="Y200" s="46">
        <v>1</v>
      </c>
      <c r="Z200" s="47">
        <v>10</v>
      </c>
      <c r="AB200" s="3">
        <v>1</v>
      </c>
      <c r="AE200" s="2461"/>
      <c r="AF200" s="68"/>
    </row>
    <row r="201" spans="1:32" x14ac:dyDescent="0.35">
      <c r="A201" s="359"/>
      <c r="B201" s="1064">
        <v>11219</v>
      </c>
      <c r="C201" s="1064"/>
      <c r="D201" s="360"/>
      <c r="E201" s="1480" t="s">
        <v>815</v>
      </c>
      <c r="F201" s="2295">
        <v>5</v>
      </c>
      <c r="G201" s="2295">
        <v>5</v>
      </c>
      <c r="H201" s="2295">
        <v>6</v>
      </c>
      <c r="I201" s="774"/>
      <c r="J201" s="774"/>
      <c r="K201" s="774"/>
      <c r="L201" s="774"/>
      <c r="M201" s="774"/>
      <c r="N201" s="774"/>
      <c r="O201" s="775"/>
      <c r="P201" s="1473"/>
      <c r="Q201" s="1467">
        <v>2.8</v>
      </c>
      <c r="R201" s="1463"/>
      <c r="S201" s="1815"/>
      <c r="T201" s="1931"/>
      <c r="U201" s="1815"/>
      <c r="V201" s="1815"/>
      <c r="W201" s="1815"/>
      <c r="X201" s="1933"/>
      <c r="Y201" s="1815"/>
      <c r="Z201" s="2509"/>
      <c r="AE201" s="2461"/>
      <c r="AF201" s="68"/>
    </row>
    <row r="202" spans="1:32" x14ac:dyDescent="0.35">
      <c r="A202" s="359"/>
      <c r="B202" s="1064">
        <v>11219</v>
      </c>
      <c r="C202" s="1064"/>
      <c r="D202" s="1154"/>
      <c r="E202" s="1479" t="s">
        <v>1030</v>
      </c>
      <c r="F202" s="2295" t="s">
        <v>1490</v>
      </c>
      <c r="G202" s="2295">
        <v>5</v>
      </c>
      <c r="H202" s="92">
        <v>6</v>
      </c>
      <c r="I202" s="774"/>
      <c r="J202" s="774"/>
      <c r="K202" s="774"/>
      <c r="L202" s="774"/>
      <c r="M202" s="774"/>
      <c r="N202" s="774"/>
      <c r="O202" s="775"/>
      <c r="P202" s="1473"/>
      <c r="Q202" s="1467"/>
      <c r="R202" s="1463">
        <v>2.2000000000000002</v>
      </c>
      <c r="S202" s="1815"/>
      <c r="T202" s="1931"/>
      <c r="U202" s="1815"/>
      <c r="V202" s="1815"/>
      <c r="W202" s="1815"/>
      <c r="X202" s="1933"/>
      <c r="Y202" s="1815"/>
      <c r="Z202" s="2509"/>
      <c r="AA202" s="3" t="s">
        <v>2521</v>
      </c>
      <c r="AE202" s="2461"/>
      <c r="AF202" s="68"/>
    </row>
    <row r="203" spans="1:32" ht="30.5" x14ac:dyDescent="0.35">
      <c r="A203" s="347">
        <v>85</v>
      </c>
      <c r="B203" s="1064">
        <v>11220</v>
      </c>
      <c r="C203" s="1064"/>
      <c r="D203" s="358" t="s">
        <v>417</v>
      </c>
      <c r="E203" s="269" t="s">
        <v>2948</v>
      </c>
      <c r="F203" s="2295">
        <v>5</v>
      </c>
      <c r="G203" s="2295">
        <v>4</v>
      </c>
      <c r="H203" s="2295">
        <v>6</v>
      </c>
      <c r="I203" s="772">
        <f>J203+K203+L203</f>
        <v>8.11</v>
      </c>
      <c r="J203" s="772">
        <f>SUM(M203:R203)</f>
        <v>8.11</v>
      </c>
      <c r="K203" s="772"/>
      <c r="L203" s="772"/>
      <c r="M203" s="772"/>
      <c r="N203" s="772"/>
      <c r="O203" s="773"/>
      <c r="P203" s="1470"/>
      <c r="Q203" s="1466">
        <v>8.11</v>
      </c>
      <c r="R203" s="1462"/>
      <c r="S203" s="1815"/>
      <c r="T203" s="1931"/>
      <c r="U203" s="1815"/>
      <c r="V203" s="1815"/>
      <c r="W203" s="46">
        <v>7</v>
      </c>
      <c r="X203" s="250">
        <v>95.2</v>
      </c>
      <c r="Y203" s="46"/>
      <c r="Z203" s="47"/>
      <c r="AB203" s="3">
        <v>1</v>
      </c>
      <c r="AE203" s="2461"/>
      <c r="AF203" s="68"/>
    </row>
    <row r="204" spans="1:32" ht="30" x14ac:dyDescent="0.35">
      <c r="A204" s="525">
        <v>86</v>
      </c>
      <c r="B204" s="1064">
        <v>11221</v>
      </c>
      <c r="C204" s="1064"/>
      <c r="D204" s="366" t="s">
        <v>697</v>
      </c>
      <c r="E204" s="269" t="s">
        <v>11025</v>
      </c>
      <c r="F204" s="2295">
        <v>5</v>
      </c>
      <c r="G204" s="2295">
        <v>5</v>
      </c>
      <c r="H204" s="2295">
        <v>6</v>
      </c>
      <c r="I204" s="772">
        <f>J204+K204+L204</f>
        <v>10.34</v>
      </c>
      <c r="J204" s="772">
        <f>SUM(M204:R204)</f>
        <v>10.34</v>
      </c>
      <c r="K204" s="772"/>
      <c r="L204" s="772"/>
      <c r="M204" s="772"/>
      <c r="N204" s="772"/>
      <c r="O204" s="773"/>
      <c r="P204" s="1470"/>
      <c r="Q204" s="1466">
        <v>10.34</v>
      </c>
      <c r="R204" s="1462"/>
      <c r="S204" s="1815"/>
      <c r="T204" s="1931"/>
      <c r="U204" s="1815"/>
      <c r="V204" s="1815"/>
      <c r="W204" s="46">
        <v>4</v>
      </c>
      <c r="X204" s="250">
        <v>45.06</v>
      </c>
      <c r="Y204" s="46"/>
      <c r="Z204" s="47"/>
      <c r="AB204" s="3">
        <v>1</v>
      </c>
      <c r="AE204" s="2461"/>
      <c r="AF204" s="68"/>
    </row>
    <row r="205" spans="1:32" x14ac:dyDescent="0.35">
      <c r="A205" s="347">
        <v>87</v>
      </c>
      <c r="B205" s="1817">
        <v>11222</v>
      </c>
      <c r="C205" s="1817"/>
      <c r="D205" s="39" t="s">
        <v>698</v>
      </c>
      <c r="E205" s="2113" t="s">
        <v>7162</v>
      </c>
      <c r="F205" s="165"/>
      <c r="G205" s="165" t="s">
        <v>191</v>
      </c>
      <c r="H205" s="2295" t="s">
        <v>191</v>
      </c>
      <c r="I205" s="762">
        <f>J205+K205+L205</f>
        <v>1.976</v>
      </c>
      <c r="J205" s="762">
        <f>SUM(M205:R205)</f>
        <v>1.976</v>
      </c>
      <c r="K205" s="762"/>
      <c r="L205" s="762"/>
      <c r="M205" s="762"/>
      <c r="N205" s="762">
        <f>SUM(N206:N208)</f>
        <v>0.98399999999999987</v>
      </c>
      <c r="O205" s="763"/>
      <c r="P205" s="1818"/>
      <c r="Q205" s="1445">
        <f>SUM(Q206:Q208)</f>
        <v>0.9920000000000001</v>
      </c>
      <c r="R205" s="1440"/>
      <c r="S205" s="168"/>
      <c r="T205" s="2071"/>
      <c r="U205" s="168"/>
      <c r="V205" s="168"/>
      <c r="W205" s="105">
        <v>2</v>
      </c>
      <c r="X205" s="253">
        <v>25.03</v>
      </c>
      <c r="Y205" s="105">
        <v>1</v>
      </c>
      <c r="Z205" s="323">
        <v>10</v>
      </c>
      <c r="AA205" s="76"/>
      <c r="AB205" s="3">
        <v>1</v>
      </c>
      <c r="AE205" s="2461"/>
      <c r="AF205" s="68"/>
    </row>
    <row r="206" spans="1:32" x14ac:dyDescent="0.35">
      <c r="A206" s="359"/>
      <c r="B206" s="1064">
        <v>11222</v>
      </c>
      <c r="C206" s="1064"/>
      <c r="D206" s="360"/>
      <c r="E206" s="357" t="s">
        <v>632</v>
      </c>
      <c r="F206" s="165">
        <v>5</v>
      </c>
      <c r="G206" s="165">
        <v>5</v>
      </c>
      <c r="H206" s="2295">
        <v>6</v>
      </c>
      <c r="I206" s="774"/>
      <c r="J206" s="774"/>
      <c r="K206" s="774"/>
      <c r="L206" s="774"/>
      <c r="M206" s="774"/>
      <c r="N206" s="774">
        <v>7.3999999999999996E-2</v>
      </c>
      <c r="O206" s="775"/>
      <c r="P206" s="1473"/>
      <c r="Q206" s="1467"/>
      <c r="R206" s="1463"/>
      <c r="S206" s="1815"/>
      <c r="T206" s="1931"/>
      <c r="U206" s="1815"/>
      <c r="V206" s="1815"/>
      <c r="W206" s="1815"/>
      <c r="X206" s="1933"/>
      <c r="Y206" s="1815"/>
      <c r="Z206" s="2509"/>
      <c r="AE206" s="2461"/>
      <c r="AF206" s="68"/>
    </row>
    <row r="207" spans="1:32" x14ac:dyDescent="0.35">
      <c r="A207" s="359"/>
      <c r="B207" s="1064">
        <v>11222</v>
      </c>
      <c r="C207" s="1064"/>
      <c r="D207" s="1154"/>
      <c r="E207" s="1480" t="s">
        <v>633</v>
      </c>
      <c r="F207" s="165">
        <v>5</v>
      </c>
      <c r="G207" s="165">
        <v>5</v>
      </c>
      <c r="H207" s="2295">
        <v>6</v>
      </c>
      <c r="I207" s="774"/>
      <c r="J207" s="774"/>
      <c r="K207" s="774"/>
      <c r="L207" s="774"/>
      <c r="M207" s="774"/>
      <c r="N207" s="774"/>
      <c r="O207" s="775"/>
      <c r="P207" s="1473"/>
      <c r="Q207" s="1467">
        <f>1.066-0.074</f>
        <v>0.9920000000000001</v>
      </c>
      <c r="R207" s="1463"/>
      <c r="S207" s="1815"/>
      <c r="T207" s="1931"/>
      <c r="U207" s="1815"/>
      <c r="V207" s="1815"/>
      <c r="W207" s="1815"/>
      <c r="X207" s="1933"/>
      <c r="Y207" s="1815"/>
      <c r="Z207" s="2509"/>
      <c r="AE207" s="2461"/>
      <c r="AF207" s="68"/>
    </row>
    <row r="208" spans="1:32" x14ac:dyDescent="0.35">
      <c r="A208" s="359"/>
      <c r="B208" s="1064"/>
      <c r="C208" s="1064"/>
      <c r="D208" s="1154"/>
      <c r="E208" s="357" t="s">
        <v>634</v>
      </c>
      <c r="F208" s="165">
        <v>5</v>
      </c>
      <c r="G208" s="165">
        <v>5</v>
      </c>
      <c r="H208" s="2295">
        <v>6</v>
      </c>
      <c r="I208" s="774"/>
      <c r="J208" s="774"/>
      <c r="K208" s="774"/>
      <c r="L208" s="774"/>
      <c r="M208" s="774"/>
      <c r="N208" s="774">
        <f>1.976-1.066</f>
        <v>0.90999999999999992</v>
      </c>
      <c r="O208" s="775"/>
      <c r="P208" s="1473"/>
      <c r="Q208" s="1467"/>
      <c r="R208" s="1463"/>
      <c r="S208" s="1815"/>
      <c r="T208" s="1931"/>
      <c r="U208" s="1815"/>
      <c r="V208" s="1815"/>
      <c r="W208" s="1815"/>
      <c r="X208" s="1933"/>
      <c r="Y208" s="1815"/>
      <c r="Z208" s="2509"/>
      <c r="AE208" s="2461"/>
      <c r="AF208" s="68"/>
    </row>
    <row r="209" spans="1:32" ht="30" x14ac:dyDescent="0.35">
      <c r="A209" s="347">
        <v>88</v>
      </c>
      <c r="B209" s="1064">
        <v>11223</v>
      </c>
      <c r="C209" s="1064"/>
      <c r="D209" s="366" t="s">
        <v>699</v>
      </c>
      <c r="E209" s="269" t="s">
        <v>635</v>
      </c>
      <c r="F209" s="2295">
        <v>5</v>
      </c>
      <c r="G209" s="2295">
        <v>5</v>
      </c>
      <c r="H209" s="2295">
        <v>6</v>
      </c>
      <c r="I209" s="772">
        <f>J209+K209+L209</f>
        <v>8.2789999999999999</v>
      </c>
      <c r="J209" s="772">
        <f>SUM(M209:R209)</f>
        <v>8.2789999999999999</v>
      </c>
      <c r="K209" s="772"/>
      <c r="L209" s="772"/>
      <c r="M209" s="772"/>
      <c r="N209" s="772"/>
      <c r="O209" s="773"/>
      <c r="P209" s="1470"/>
      <c r="Q209" s="1466">
        <v>8.2789999999999999</v>
      </c>
      <c r="R209" s="1462"/>
      <c r="S209" s="1815"/>
      <c r="T209" s="1931"/>
      <c r="U209" s="1815"/>
      <c r="V209" s="1815"/>
      <c r="W209" s="46">
        <v>23</v>
      </c>
      <c r="X209" s="250">
        <v>320.10000000000002</v>
      </c>
      <c r="Y209" s="46">
        <v>12</v>
      </c>
      <c r="Z209" s="47">
        <v>179</v>
      </c>
      <c r="AB209" s="3">
        <v>1</v>
      </c>
      <c r="AE209" s="2461"/>
      <c r="AF209" s="68"/>
    </row>
    <row r="210" spans="1:32" ht="30" x14ac:dyDescent="0.35">
      <c r="A210" s="525">
        <v>89</v>
      </c>
      <c r="B210" s="1074">
        <v>11223</v>
      </c>
      <c r="C210" s="365" t="s">
        <v>1656</v>
      </c>
      <c r="D210" s="2464" t="s">
        <v>6004</v>
      </c>
      <c r="E210" s="2187" t="s">
        <v>8907</v>
      </c>
      <c r="F210" s="92" t="s">
        <v>664</v>
      </c>
      <c r="G210" s="92">
        <v>5</v>
      </c>
      <c r="H210" s="92">
        <v>6</v>
      </c>
      <c r="I210" s="702">
        <f>J210+K210+L210</f>
        <v>0.7</v>
      </c>
      <c r="J210" s="702">
        <f>SUM(M210:R210)</f>
        <v>0.7</v>
      </c>
      <c r="K210" s="2089"/>
      <c r="L210" s="2089"/>
      <c r="M210" s="2089"/>
      <c r="N210" s="2089"/>
      <c r="O210" s="2089"/>
      <c r="P210" s="2089"/>
      <c r="Q210" s="2148"/>
      <c r="R210" s="2235">
        <v>0.7</v>
      </c>
      <c r="S210" s="106"/>
      <c r="T210" s="106"/>
      <c r="U210" s="106"/>
      <c r="V210" s="106"/>
      <c r="W210" s="105"/>
      <c r="X210" s="105"/>
      <c r="Y210" s="105"/>
      <c r="Z210" s="323"/>
      <c r="AB210" s="3">
        <v>1</v>
      </c>
      <c r="AE210" s="2461"/>
      <c r="AF210" s="68"/>
    </row>
    <row r="211" spans="1:32" ht="30" x14ac:dyDescent="0.35">
      <c r="A211" s="827">
        <v>90</v>
      </c>
      <c r="B211" s="1064">
        <v>11224</v>
      </c>
      <c r="C211" s="1064"/>
      <c r="D211" s="358" t="s">
        <v>414</v>
      </c>
      <c r="E211" s="269" t="s">
        <v>636</v>
      </c>
      <c r="F211" s="2295"/>
      <c r="G211" s="2295" t="s">
        <v>191</v>
      </c>
      <c r="H211" s="2295" t="s">
        <v>191</v>
      </c>
      <c r="I211" s="772">
        <f>J211+K211+L211</f>
        <v>2.5640000000000001</v>
      </c>
      <c r="J211" s="772">
        <f>SUM(M211:R211)</f>
        <v>2.5640000000000001</v>
      </c>
      <c r="K211" s="774"/>
      <c r="L211" s="774"/>
      <c r="M211" s="774"/>
      <c r="N211" s="772">
        <f>SUM(N212:N213)</f>
        <v>1.64</v>
      </c>
      <c r="O211" s="775"/>
      <c r="P211" s="1820"/>
      <c r="Q211" s="1816">
        <f>SUM(Q212:Q213)</f>
        <v>0.92400000000000015</v>
      </c>
      <c r="R211" s="1463"/>
      <c r="S211" s="1815"/>
      <c r="T211" s="1931"/>
      <c r="U211" s="1815"/>
      <c r="V211" s="1815"/>
      <c r="W211" s="1815">
        <v>4</v>
      </c>
      <c r="X211" s="250">
        <v>63.28</v>
      </c>
      <c r="Y211" s="1815">
        <v>1</v>
      </c>
      <c r="Z211" s="2509">
        <v>10</v>
      </c>
      <c r="AB211" s="3">
        <v>1</v>
      </c>
      <c r="AE211" s="2461"/>
      <c r="AF211" s="68"/>
    </row>
    <row r="212" spans="1:32" x14ac:dyDescent="0.35">
      <c r="A212" s="827"/>
      <c r="B212" s="1064"/>
      <c r="C212" s="1064"/>
      <c r="D212" s="366"/>
      <c r="E212" s="357" t="s">
        <v>1438</v>
      </c>
      <c r="F212" s="2295">
        <v>4</v>
      </c>
      <c r="G212" s="2295">
        <v>5</v>
      </c>
      <c r="H212" s="2295">
        <v>10</v>
      </c>
      <c r="I212" s="772"/>
      <c r="J212" s="772"/>
      <c r="K212" s="774"/>
      <c r="L212" s="774"/>
      <c r="M212" s="774"/>
      <c r="N212" s="774">
        <v>1.64</v>
      </c>
      <c r="O212" s="775"/>
      <c r="P212" s="1820"/>
      <c r="Q212" s="1816"/>
      <c r="R212" s="1463"/>
      <c r="S212" s="1815"/>
      <c r="T212" s="1931"/>
      <c r="U212" s="1815"/>
      <c r="V212" s="1815"/>
      <c r="W212" s="1815"/>
      <c r="X212" s="1933"/>
      <c r="Y212" s="1815"/>
      <c r="Z212" s="2509"/>
      <c r="AE212" s="2461"/>
      <c r="AF212" s="68"/>
    </row>
    <row r="213" spans="1:32" x14ac:dyDescent="0.35">
      <c r="A213" s="361"/>
      <c r="B213" s="1064">
        <v>11224</v>
      </c>
      <c r="C213" s="1064"/>
      <c r="D213" s="362"/>
      <c r="E213" s="1480" t="s">
        <v>1437</v>
      </c>
      <c r="F213" s="2295">
        <v>5</v>
      </c>
      <c r="G213" s="2295">
        <v>5</v>
      </c>
      <c r="H213" s="2295">
        <v>6</v>
      </c>
      <c r="I213" s="774"/>
      <c r="J213" s="774"/>
      <c r="K213" s="774"/>
      <c r="L213" s="774"/>
      <c r="M213" s="774"/>
      <c r="N213" s="774"/>
      <c r="O213" s="775"/>
      <c r="P213" s="1473"/>
      <c r="Q213" s="1467">
        <f>2.564-1.64</f>
        <v>0.92400000000000015</v>
      </c>
      <c r="R213" s="1463"/>
      <c r="S213" s="1815"/>
      <c r="T213" s="1931"/>
      <c r="U213" s="1815"/>
      <c r="V213" s="1815"/>
      <c r="W213" s="1815"/>
      <c r="X213" s="1933"/>
      <c r="Y213" s="1815"/>
      <c r="Z213" s="2509"/>
      <c r="AE213" s="2461"/>
      <c r="AF213" s="68"/>
    </row>
    <row r="214" spans="1:32" ht="30" x14ac:dyDescent="0.35">
      <c r="A214" s="347">
        <v>91</v>
      </c>
      <c r="B214" s="1064">
        <v>11225</v>
      </c>
      <c r="C214" s="1064"/>
      <c r="D214" s="358" t="s">
        <v>415</v>
      </c>
      <c r="E214" s="269" t="s">
        <v>7163</v>
      </c>
      <c r="F214" s="2295"/>
      <c r="G214" s="2295" t="s">
        <v>191</v>
      </c>
      <c r="H214" s="2295" t="s">
        <v>191</v>
      </c>
      <c r="I214" s="772">
        <f>J214+K214+L214</f>
        <v>8.0950000000000006</v>
      </c>
      <c r="J214" s="772">
        <f>SUM(M214:R214)</f>
        <v>7.8710000000000004</v>
      </c>
      <c r="K214" s="772"/>
      <c r="L214" s="772">
        <f>SUM(L215:L221)</f>
        <v>0.22399999999999998</v>
      </c>
      <c r="M214" s="772"/>
      <c r="N214" s="2699">
        <f>SUM(N215:N221)</f>
        <v>1.292</v>
      </c>
      <c r="O214" s="773"/>
      <c r="P214" s="1470"/>
      <c r="Q214" s="1466">
        <f>SUM(Q215:Q221)</f>
        <v>6.5790000000000006</v>
      </c>
      <c r="R214" s="1462"/>
      <c r="S214" s="1815"/>
      <c r="T214" s="1931"/>
      <c r="U214" s="1815"/>
      <c r="V214" s="1815"/>
      <c r="W214" s="46">
        <v>20</v>
      </c>
      <c r="X214" s="250">
        <v>277.98</v>
      </c>
      <c r="Y214" s="46">
        <v>6</v>
      </c>
      <c r="Z214" s="47">
        <v>70</v>
      </c>
      <c r="AB214" s="3">
        <v>1</v>
      </c>
      <c r="AE214" s="2461"/>
      <c r="AF214" s="68"/>
    </row>
    <row r="215" spans="1:32" x14ac:dyDescent="0.35">
      <c r="A215" s="347"/>
      <c r="B215" s="1064"/>
      <c r="C215" s="1064"/>
      <c r="D215" s="358"/>
      <c r="E215" s="357" t="s">
        <v>637</v>
      </c>
      <c r="F215" s="2295">
        <v>4</v>
      </c>
      <c r="G215" s="2295">
        <v>5</v>
      </c>
      <c r="H215" s="2295">
        <v>6</v>
      </c>
      <c r="I215" s="774"/>
      <c r="J215" s="774"/>
      <c r="K215" s="774"/>
      <c r="L215" s="774"/>
      <c r="M215" s="774"/>
      <c r="N215" s="2700">
        <v>0.54600000000000004</v>
      </c>
      <c r="O215" s="775"/>
      <c r="P215" s="1824"/>
      <c r="Q215" s="1825"/>
      <c r="R215" s="1462"/>
      <c r="S215" s="1815"/>
      <c r="T215" s="1931"/>
      <c r="U215" s="1815"/>
      <c r="V215" s="1815"/>
      <c r="W215" s="46"/>
      <c r="X215" s="250"/>
      <c r="Y215" s="46"/>
      <c r="Z215" s="47"/>
      <c r="AE215" s="2461"/>
      <c r="AF215" s="68"/>
    </row>
    <row r="216" spans="1:32" ht="31" x14ac:dyDescent="0.35">
      <c r="A216" s="347"/>
      <c r="B216" s="1064"/>
      <c r="C216" s="1064"/>
      <c r="D216" s="358"/>
      <c r="E216" s="357" t="s">
        <v>1095</v>
      </c>
      <c r="F216" s="2295">
        <v>4</v>
      </c>
      <c r="G216" s="2295">
        <v>5</v>
      </c>
      <c r="H216" s="2295" t="s">
        <v>191</v>
      </c>
      <c r="I216" s="774"/>
      <c r="J216" s="774"/>
      <c r="K216" s="774"/>
      <c r="L216" s="774">
        <f>0.77-0.546</f>
        <v>0.22399999999999998</v>
      </c>
      <c r="M216" s="774"/>
      <c r="N216" s="2700"/>
      <c r="O216" s="775"/>
      <c r="P216" s="1824"/>
      <c r="Q216" s="1825"/>
      <c r="R216" s="1462"/>
      <c r="S216" s="1815"/>
      <c r="T216" s="1931"/>
      <c r="U216" s="1815"/>
      <c r="V216" s="1815"/>
      <c r="W216" s="46"/>
      <c r="X216" s="250"/>
      <c r="Y216" s="46"/>
      <c r="Z216" s="47"/>
      <c r="AE216" s="2461"/>
      <c r="AF216" s="68"/>
    </row>
    <row r="217" spans="1:32" x14ac:dyDescent="0.35">
      <c r="A217" s="361"/>
      <c r="B217" s="1064">
        <v>11225</v>
      </c>
      <c r="C217" s="1064"/>
      <c r="D217" s="362"/>
      <c r="E217" s="357" t="s">
        <v>638</v>
      </c>
      <c r="F217" s="2295">
        <v>4</v>
      </c>
      <c r="G217" s="2295">
        <v>5</v>
      </c>
      <c r="H217" s="2295">
        <v>6</v>
      </c>
      <c r="I217" s="774"/>
      <c r="J217" s="774"/>
      <c r="K217" s="774"/>
      <c r="L217" s="774"/>
      <c r="M217" s="774"/>
      <c r="N217" s="2700">
        <f>0.829-0.77</f>
        <v>5.8999999999999941E-2</v>
      </c>
      <c r="O217" s="775"/>
      <c r="P217" s="1824"/>
      <c r="Q217" s="1825"/>
      <c r="R217" s="1463"/>
      <c r="S217" s="1815"/>
      <c r="T217" s="1931"/>
      <c r="U217" s="1815"/>
      <c r="V217" s="1815"/>
      <c r="W217" s="1815"/>
      <c r="X217" s="1933"/>
      <c r="Y217" s="1815"/>
      <c r="Z217" s="2509"/>
      <c r="AE217" s="2461"/>
      <c r="AF217" s="68"/>
    </row>
    <row r="218" spans="1:32" x14ac:dyDescent="0.35">
      <c r="A218" s="359"/>
      <c r="B218" s="1064">
        <v>11225</v>
      </c>
      <c r="C218" s="1064"/>
      <c r="D218" s="1154"/>
      <c r="E218" s="1480" t="s">
        <v>639</v>
      </c>
      <c r="F218" s="2295">
        <v>4</v>
      </c>
      <c r="G218" s="2295">
        <v>5</v>
      </c>
      <c r="H218" s="2295">
        <v>6</v>
      </c>
      <c r="I218" s="774"/>
      <c r="J218" s="774"/>
      <c r="K218" s="774"/>
      <c r="L218" s="774"/>
      <c r="M218" s="774"/>
      <c r="N218" s="2700"/>
      <c r="O218" s="775"/>
      <c r="P218" s="1473"/>
      <c r="Q218" s="1467">
        <f>1.897-0.829</f>
        <v>1.0680000000000001</v>
      </c>
      <c r="R218" s="1463"/>
      <c r="S218" s="1815"/>
      <c r="T218" s="1931"/>
      <c r="U218" s="1815"/>
      <c r="V218" s="1815"/>
      <c r="W218" s="1815"/>
      <c r="X218" s="1933"/>
      <c r="Y218" s="1815"/>
      <c r="Z218" s="2509"/>
      <c r="AE218" s="2461"/>
      <c r="AF218" s="68"/>
    </row>
    <row r="219" spans="1:32" x14ac:dyDescent="0.35">
      <c r="A219" s="359"/>
      <c r="B219" s="1064">
        <v>11225</v>
      </c>
      <c r="C219" s="1064"/>
      <c r="D219" s="360"/>
      <c r="E219" s="357" t="s">
        <v>640</v>
      </c>
      <c r="F219" s="2295">
        <v>4</v>
      </c>
      <c r="G219" s="2295">
        <v>5</v>
      </c>
      <c r="H219" s="2295">
        <v>6</v>
      </c>
      <c r="I219" s="774"/>
      <c r="J219" s="774"/>
      <c r="K219" s="774"/>
      <c r="L219" s="774"/>
      <c r="M219" s="774"/>
      <c r="N219" s="2700">
        <f>2.584-1.897</f>
        <v>0.68700000000000006</v>
      </c>
      <c r="O219" s="775"/>
      <c r="P219" s="1473"/>
      <c r="Q219" s="1467"/>
      <c r="R219" s="1463"/>
      <c r="S219" s="1815"/>
      <c r="T219" s="1931"/>
      <c r="U219" s="1815"/>
      <c r="V219" s="1815"/>
      <c r="W219" s="1815"/>
      <c r="X219" s="1933"/>
      <c r="Y219" s="1815"/>
      <c r="Z219" s="2509"/>
      <c r="AE219" s="2461"/>
      <c r="AF219" s="68"/>
    </row>
    <row r="220" spans="1:32" x14ac:dyDescent="0.35">
      <c r="A220" s="359"/>
      <c r="B220" s="1064">
        <v>11225</v>
      </c>
      <c r="C220" s="1064"/>
      <c r="D220" s="1154"/>
      <c r="E220" s="1480" t="s">
        <v>11434</v>
      </c>
      <c r="F220" s="2295">
        <v>4</v>
      </c>
      <c r="G220" s="2295">
        <v>5</v>
      </c>
      <c r="H220" s="2295">
        <v>6</v>
      </c>
      <c r="I220" s="774"/>
      <c r="J220" s="774"/>
      <c r="K220" s="774"/>
      <c r="L220" s="774"/>
      <c r="M220" s="774"/>
      <c r="N220" s="2700"/>
      <c r="O220" s="775"/>
      <c r="P220" s="1473"/>
      <c r="Q220" s="1467">
        <f>3.602-2.584</f>
        <v>1.0179999999999998</v>
      </c>
      <c r="R220" s="1463"/>
      <c r="S220" s="1815"/>
      <c r="T220" s="1931"/>
      <c r="U220" s="1815"/>
      <c r="V220" s="1815"/>
      <c r="W220" s="1815"/>
      <c r="X220" s="1933"/>
      <c r="Y220" s="1815"/>
      <c r="Z220" s="2509"/>
      <c r="AE220" s="2461"/>
      <c r="AF220" s="68"/>
    </row>
    <row r="221" spans="1:32" x14ac:dyDescent="0.35">
      <c r="A221" s="359"/>
      <c r="B221" s="1064">
        <v>11225</v>
      </c>
      <c r="C221" s="1064"/>
      <c r="D221" s="360"/>
      <c r="E221" s="1480" t="s">
        <v>641</v>
      </c>
      <c r="F221" s="2295">
        <v>5</v>
      </c>
      <c r="G221" s="2295">
        <v>5</v>
      </c>
      <c r="H221" s="2295">
        <v>6</v>
      </c>
      <c r="I221" s="774"/>
      <c r="J221" s="774"/>
      <c r="K221" s="774"/>
      <c r="L221" s="774"/>
      <c r="M221" s="774"/>
      <c r="N221" s="2700"/>
      <c r="O221" s="775"/>
      <c r="P221" s="1473"/>
      <c r="Q221" s="1467">
        <f>8.095-3.602</f>
        <v>4.4930000000000003</v>
      </c>
      <c r="R221" s="1463"/>
      <c r="S221" s="1815"/>
      <c r="T221" s="1931"/>
      <c r="U221" s="1815"/>
      <c r="V221" s="1815"/>
      <c r="W221" s="1815"/>
      <c r="X221" s="1933"/>
      <c r="Y221" s="1815"/>
      <c r="Z221" s="2509"/>
      <c r="AE221" s="2461"/>
      <c r="AF221" s="68"/>
    </row>
    <row r="222" spans="1:32" ht="45" x14ac:dyDescent="0.35">
      <c r="A222" s="525">
        <v>92</v>
      </c>
      <c r="B222" s="1074">
        <v>11225</v>
      </c>
      <c r="C222" s="365" t="s">
        <v>1656</v>
      </c>
      <c r="D222" s="2464" t="s">
        <v>6005</v>
      </c>
      <c r="E222" s="2187" t="s">
        <v>8908</v>
      </c>
      <c r="F222" s="92" t="s">
        <v>664</v>
      </c>
      <c r="G222" s="92">
        <v>5</v>
      </c>
      <c r="H222" s="92">
        <v>6</v>
      </c>
      <c r="I222" s="702">
        <f>J222+K222+L222</f>
        <v>0.75</v>
      </c>
      <c r="J222" s="702">
        <f>SUM(M222:R222)</f>
        <v>0.75</v>
      </c>
      <c r="K222" s="2089"/>
      <c r="L222" s="2089"/>
      <c r="M222" s="2089"/>
      <c r="N222" s="2089"/>
      <c r="O222" s="2089"/>
      <c r="P222" s="2089"/>
      <c r="Q222" s="2148"/>
      <c r="R222" s="2235">
        <v>0.75</v>
      </c>
      <c r="S222" s="106"/>
      <c r="T222" s="106"/>
      <c r="U222" s="106"/>
      <c r="V222" s="106"/>
      <c r="W222" s="105"/>
      <c r="X222" s="105"/>
      <c r="Y222" s="105"/>
      <c r="Z222" s="323"/>
      <c r="AB222" s="3">
        <v>1</v>
      </c>
      <c r="AE222" s="2461"/>
      <c r="AF222" s="68"/>
    </row>
    <row r="223" spans="1:32" ht="45" x14ac:dyDescent="0.35">
      <c r="A223" s="525">
        <v>93</v>
      </c>
      <c r="B223" s="1074">
        <v>11225</v>
      </c>
      <c r="C223" s="365" t="s">
        <v>1656</v>
      </c>
      <c r="D223" s="2464" t="s">
        <v>6006</v>
      </c>
      <c r="E223" s="2187" t="s">
        <v>8909</v>
      </c>
      <c r="F223" s="92" t="s">
        <v>664</v>
      </c>
      <c r="G223" s="92">
        <v>5</v>
      </c>
      <c r="H223" s="92">
        <v>6</v>
      </c>
      <c r="I223" s="702">
        <f>J223+K223+L223</f>
        <v>1.1000000000000001</v>
      </c>
      <c r="J223" s="702">
        <f>SUM(M223:R223)</f>
        <v>1.1000000000000001</v>
      </c>
      <c r="K223" s="2089"/>
      <c r="L223" s="2089"/>
      <c r="M223" s="2089"/>
      <c r="N223" s="2089"/>
      <c r="O223" s="2089"/>
      <c r="P223" s="2089"/>
      <c r="Q223" s="2148"/>
      <c r="R223" s="2235">
        <v>1.1000000000000001</v>
      </c>
      <c r="S223" s="106"/>
      <c r="T223" s="106"/>
      <c r="U223" s="106"/>
      <c r="V223" s="106"/>
      <c r="W223" s="105">
        <v>1</v>
      </c>
      <c r="X223" s="105">
        <v>5</v>
      </c>
      <c r="Y223" s="105"/>
      <c r="Z223" s="323"/>
      <c r="AB223" s="3">
        <v>1</v>
      </c>
      <c r="AE223" s="2461"/>
      <c r="AF223" s="68"/>
    </row>
    <row r="224" spans="1:32" ht="30" x14ac:dyDescent="0.35">
      <c r="A224" s="525">
        <v>94</v>
      </c>
      <c r="B224" s="1064">
        <v>11226</v>
      </c>
      <c r="C224" s="1064"/>
      <c r="D224" s="366" t="s">
        <v>416</v>
      </c>
      <c r="E224" s="269" t="s">
        <v>3246</v>
      </c>
      <c r="F224" s="2295"/>
      <c r="G224" s="2295" t="s">
        <v>191</v>
      </c>
      <c r="H224" s="2295" t="s">
        <v>191</v>
      </c>
      <c r="I224" s="772">
        <f>J224+K224+L224</f>
        <v>4.99</v>
      </c>
      <c r="J224" s="772">
        <f>SUM(M224:R224)</f>
        <v>4.99</v>
      </c>
      <c r="K224" s="772"/>
      <c r="L224" s="772"/>
      <c r="M224" s="772"/>
      <c r="N224" s="772">
        <f>SUM(N225:N228)</f>
        <v>5.500000000000016E-2</v>
      </c>
      <c r="O224" s="773"/>
      <c r="P224" s="1470"/>
      <c r="Q224" s="1466">
        <f>SUM(Q225:Q228)</f>
        <v>4.9349999999999996</v>
      </c>
      <c r="R224" s="1462"/>
      <c r="S224" s="1815">
        <v>1</v>
      </c>
      <c r="T224" s="1931">
        <v>18.5</v>
      </c>
      <c r="U224" s="1815"/>
      <c r="V224" s="1815"/>
      <c r="W224" s="46">
        <v>7</v>
      </c>
      <c r="X224" s="250">
        <v>84.1</v>
      </c>
      <c r="Y224" s="46">
        <v>5</v>
      </c>
      <c r="Z224" s="47">
        <v>51</v>
      </c>
      <c r="AB224" s="3">
        <v>1</v>
      </c>
      <c r="AE224" s="2461"/>
      <c r="AF224" s="68"/>
    </row>
    <row r="225" spans="1:32" x14ac:dyDescent="0.35">
      <c r="A225" s="525"/>
      <c r="B225" s="1064"/>
      <c r="C225" s="1064"/>
      <c r="D225" s="366"/>
      <c r="E225" s="1480" t="s">
        <v>3244</v>
      </c>
      <c r="F225" s="2295">
        <v>5</v>
      </c>
      <c r="G225" s="2295">
        <v>4</v>
      </c>
      <c r="H225" s="2295">
        <v>6</v>
      </c>
      <c r="I225" s="774"/>
      <c r="J225" s="774"/>
      <c r="K225" s="774"/>
      <c r="L225" s="774"/>
      <c r="M225" s="774"/>
      <c r="N225" s="774"/>
      <c r="O225" s="775"/>
      <c r="P225" s="1824"/>
      <c r="Q225" s="1825">
        <v>3.42</v>
      </c>
      <c r="R225" s="1462"/>
      <c r="S225" s="1815"/>
      <c r="T225" s="1931"/>
      <c r="U225" s="1815"/>
      <c r="V225" s="1815"/>
      <c r="W225" s="46"/>
      <c r="X225" s="250"/>
      <c r="Y225" s="46"/>
      <c r="Z225" s="47"/>
      <c r="AE225" s="2461"/>
      <c r="AF225" s="68"/>
    </row>
    <row r="226" spans="1:32" x14ac:dyDescent="0.35">
      <c r="A226" s="525"/>
      <c r="B226" s="1064"/>
      <c r="C226" s="1064"/>
      <c r="D226" s="366"/>
      <c r="E226" s="357" t="s">
        <v>3245</v>
      </c>
      <c r="F226" s="2295">
        <v>5</v>
      </c>
      <c r="G226" s="2295">
        <v>4</v>
      </c>
      <c r="H226" s="2295">
        <v>6</v>
      </c>
      <c r="I226" s="774"/>
      <c r="J226" s="774"/>
      <c r="K226" s="774"/>
      <c r="L226" s="774"/>
      <c r="M226" s="774"/>
      <c r="N226" s="774">
        <f>3.475-3.42</f>
        <v>5.500000000000016E-2</v>
      </c>
      <c r="O226" s="775"/>
      <c r="P226" s="1824"/>
      <c r="Q226" s="1825"/>
      <c r="R226" s="1462"/>
      <c r="S226" s="1815"/>
      <c r="T226" s="1931"/>
      <c r="U226" s="1815"/>
      <c r="V226" s="1815"/>
      <c r="W226" s="46"/>
      <c r="X226" s="250"/>
      <c r="Y226" s="46"/>
      <c r="Z226" s="47"/>
      <c r="AE226" s="2461"/>
      <c r="AF226" s="68"/>
    </row>
    <row r="227" spans="1:32" x14ac:dyDescent="0.35">
      <c r="A227" s="525"/>
      <c r="B227" s="1064"/>
      <c r="C227" s="1064"/>
      <c r="D227" s="366"/>
      <c r="E227" s="1480" t="s">
        <v>3247</v>
      </c>
      <c r="F227" s="2295">
        <v>5</v>
      </c>
      <c r="G227" s="2295">
        <v>4</v>
      </c>
      <c r="H227" s="2295">
        <v>6</v>
      </c>
      <c r="I227" s="774"/>
      <c r="J227" s="774"/>
      <c r="K227" s="774"/>
      <c r="L227" s="774"/>
      <c r="M227" s="774"/>
      <c r="N227" s="774"/>
      <c r="O227" s="775"/>
      <c r="P227" s="1824"/>
      <c r="Q227" s="1825">
        <f>4.13-3.475</f>
        <v>0.6549999999999998</v>
      </c>
      <c r="R227" s="1462"/>
      <c r="S227" s="1815"/>
      <c r="T227" s="1931"/>
      <c r="U227" s="1815"/>
      <c r="V227" s="1815"/>
      <c r="W227" s="46"/>
      <c r="X227" s="250"/>
      <c r="Y227" s="46"/>
      <c r="Z227" s="47"/>
      <c r="AE227" s="2461"/>
      <c r="AF227" s="68"/>
    </row>
    <row r="228" spans="1:32" x14ac:dyDescent="0.35">
      <c r="A228" s="525"/>
      <c r="B228" s="1064"/>
      <c r="C228" s="1064"/>
      <c r="D228" s="366"/>
      <c r="E228" s="1480" t="s">
        <v>3248</v>
      </c>
      <c r="F228" s="2295" t="s">
        <v>827</v>
      </c>
      <c r="G228" s="2295">
        <v>4</v>
      </c>
      <c r="H228" s="2295">
        <v>6</v>
      </c>
      <c r="I228" s="774"/>
      <c r="J228" s="774"/>
      <c r="K228" s="774"/>
      <c r="L228" s="774"/>
      <c r="M228" s="774"/>
      <c r="N228" s="774"/>
      <c r="O228" s="775"/>
      <c r="P228" s="1824"/>
      <c r="Q228" s="1825">
        <f>4.99-4.13</f>
        <v>0.86000000000000032</v>
      </c>
      <c r="R228" s="1462"/>
      <c r="S228" s="1815"/>
      <c r="T228" s="1931"/>
      <c r="U228" s="1815"/>
      <c r="V228" s="1815"/>
      <c r="W228" s="46"/>
      <c r="X228" s="250"/>
      <c r="Y228" s="46"/>
      <c r="Z228" s="47"/>
      <c r="AE228" s="2461"/>
      <c r="AF228" s="68"/>
    </row>
    <row r="229" spans="1:32" ht="30.5" x14ac:dyDescent="0.35">
      <c r="A229" s="525">
        <v>95</v>
      </c>
      <c r="B229" s="1064">
        <v>11227</v>
      </c>
      <c r="C229" s="1064"/>
      <c r="D229" s="366" t="s">
        <v>1924</v>
      </c>
      <c r="E229" s="269" t="s">
        <v>10192</v>
      </c>
      <c r="F229" s="2295"/>
      <c r="G229" s="2295" t="s">
        <v>191</v>
      </c>
      <c r="H229" s="2295" t="s">
        <v>191</v>
      </c>
      <c r="I229" s="772">
        <f>J229+K229+L229</f>
        <v>11.048999999999999</v>
      </c>
      <c r="J229" s="772">
        <f>SUM(M229:R229)</f>
        <v>11.048999999999999</v>
      </c>
      <c r="K229" s="772"/>
      <c r="L229" s="772"/>
      <c r="M229" s="1389">
        <f>SUM(M230:M235)</f>
        <v>2.7999999999999581E-2</v>
      </c>
      <c r="N229" s="772">
        <f>SUM(N230:N235)</f>
        <v>4.3749999999999991</v>
      </c>
      <c r="O229" s="773"/>
      <c r="P229" s="1470"/>
      <c r="Q229" s="1466">
        <f>SUM(Q230:Q235)</f>
        <v>5.2110000000000003</v>
      </c>
      <c r="R229" s="1462">
        <f>SUM(R230:R235)</f>
        <v>1.4350000000000005</v>
      </c>
      <c r="S229" s="1815"/>
      <c r="T229" s="1931"/>
      <c r="U229" s="1815"/>
      <c r="V229" s="1815"/>
      <c r="W229" s="46">
        <v>13</v>
      </c>
      <c r="X229" s="250">
        <v>146.93</v>
      </c>
      <c r="Y229" s="46">
        <v>3</v>
      </c>
      <c r="Z229" s="47">
        <v>31</v>
      </c>
      <c r="AB229" s="3">
        <v>1</v>
      </c>
      <c r="AE229" s="2461"/>
      <c r="AF229" s="68"/>
    </row>
    <row r="230" spans="1:32" x14ac:dyDescent="0.35">
      <c r="A230" s="525"/>
      <c r="B230" s="1064"/>
      <c r="C230" s="1064"/>
      <c r="D230" s="366"/>
      <c r="E230" s="1480" t="s">
        <v>1096</v>
      </c>
      <c r="F230" s="2295" t="s">
        <v>827</v>
      </c>
      <c r="G230" s="2295">
        <v>5</v>
      </c>
      <c r="H230" s="2295">
        <v>6</v>
      </c>
      <c r="I230" s="774"/>
      <c r="J230" s="774"/>
      <c r="K230" s="774"/>
      <c r="L230" s="774"/>
      <c r="M230" s="1948"/>
      <c r="N230" s="774"/>
      <c r="O230" s="775"/>
      <c r="P230" s="1824"/>
      <c r="Q230" s="1825">
        <v>5.2110000000000003</v>
      </c>
      <c r="R230" s="2296"/>
      <c r="S230" s="1815"/>
      <c r="T230" s="1931"/>
      <c r="U230" s="1815"/>
      <c r="V230" s="1815"/>
      <c r="W230" s="46"/>
      <c r="X230" s="250"/>
      <c r="Y230" s="46"/>
      <c r="Z230" s="47"/>
      <c r="AE230" s="2461"/>
      <c r="AF230" s="68"/>
    </row>
    <row r="231" spans="1:32" x14ac:dyDescent="0.35">
      <c r="A231" s="525"/>
      <c r="B231" s="1064"/>
      <c r="C231" s="1064"/>
      <c r="D231" s="366"/>
      <c r="E231" s="1479" t="s">
        <v>1097</v>
      </c>
      <c r="F231" s="2295" t="s">
        <v>827</v>
      </c>
      <c r="G231" s="2295">
        <v>5</v>
      </c>
      <c r="H231" s="92">
        <v>6</v>
      </c>
      <c r="I231" s="774"/>
      <c r="J231" s="774"/>
      <c r="K231" s="774"/>
      <c r="L231" s="774"/>
      <c r="M231" s="1948"/>
      <c r="N231" s="774"/>
      <c r="O231" s="775"/>
      <c r="P231" s="1824"/>
      <c r="Q231" s="1825"/>
      <c r="R231" s="2296">
        <f>6.19-5.211</f>
        <v>0.97900000000000009</v>
      </c>
      <c r="S231" s="1815"/>
      <c r="T231" s="1931"/>
      <c r="U231" s="1815"/>
      <c r="V231" s="1815"/>
      <c r="W231" s="46"/>
      <c r="X231" s="250"/>
      <c r="Y231" s="46"/>
      <c r="Z231" s="47"/>
      <c r="AE231" s="2461"/>
      <c r="AF231" s="68"/>
    </row>
    <row r="232" spans="1:32" x14ac:dyDescent="0.35">
      <c r="A232" s="525"/>
      <c r="B232" s="1064"/>
      <c r="C232" s="1064"/>
      <c r="D232" s="366"/>
      <c r="E232" s="1399" t="s">
        <v>1253</v>
      </c>
      <c r="F232" s="2295" t="s">
        <v>827</v>
      </c>
      <c r="G232" s="2295">
        <v>5</v>
      </c>
      <c r="H232" s="2295">
        <v>10</v>
      </c>
      <c r="I232" s="772"/>
      <c r="J232" s="772"/>
      <c r="K232" s="772"/>
      <c r="L232" s="772"/>
      <c r="M232" s="1948">
        <f>6.218-6.19</f>
        <v>2.7999999999999581E-2</v>
      </c>
      <c r="N232" s="772"/>
      <c r="O232" s="773"/>
      <c r="P232" s="1470"/>
      <c r="Q232" s="1466"/>
      <c r="R232" s="1462"/>
      <c r="S232" s="1815"/>
      <c r="T232" s="1931"/>
      <c r="U232" s="1815"/>
      <c r="V232" s="1815"/>
      <c r="W232" s="46"/>
      <c r="X232" s="250"/>
      <c r="Y232" s="46"/>
      <c r="Z232" s="47"/>
      <c r="AE232" s="2461"/>
      <c r="AF232" s="68"/>
    </row>
    <row r="233" spans="1:32" x14ac:dyDescent="0.35">
      <c r="A233" s="363"/>
      <c r="B233" s="1064">
        <v>11227</v>
      </c>
      <c r="C233" s="1064"/>
      <c r="D233" s="364"/>
      <c r="E233" s="1479" t="s">
        <v>1254</v>
      </c>
      <c r="F233" s="2295" t="s">
        <v>827</v>
      </c>
      <c r="G233" s="2295">
        <v>5</v>
      </c>
      <c r="H233" s="92">
        <v>6</v>
      </c>
      <c r="I233" s="774"/>
      <c r="J233" s="774"/>
      <c r="K233" s="774"/>
      <c r="L233" s="774"/>
      <c r="M233" s="774" t="s">
        <v>1516</v>
      </c>
      <c r="N233" s="774"/>
      <c r="O233" s="775"/>
      <c r="P233" s="1473"/>
      <c r="Q233" s="1467"/>
      <c r="R233" s="1463">
        <f>6.674-6.218</f>
        <v>0.45600000000000041</v>
      </c>
      <c r="S233" s="1815"/>
      <c r="T233" s="1931"/>
      <c r="U233" s="1815"/>
      <c r="V233" s="1815"/>
      <c r="W233" s="1815"/>
      <c r="X233" s="1933"/>
      <c r="Y233" s="1815"/>
      <c r="Z233" s="2509"/>
      <c r="AE233" s="2461"/>
      <c r="AF233" s="68"/>
    </row>
    <row r="234" spans="1:32" x14ac:dyDescent="0.35">
      <c r="A234" s="359"/>
      <c r="B234" s="1064">
        <v>11227</v>
      </c>
      <c r="C234" s="1064"/>
      <c r="D234" s="1154"/>
      <c r="E234" s="357" t="s">
        <v>3275</v>
      </c>
      <c r="F234" s="2295">
        <v>5</v>
      </c>
      <c r="G234" s="2295">
        <v>5</v>
      </c>
      <c r="H234" s="2295">
        <v>6</v>
      </c>
      <c r="I234" s="774"/>
      <c r="J234" s="774"/>
      <c r="K234" s="774"/>
      <c r="L234" s="774"/>
      <c r="M234" s="774"/>
      <c r="N234" s="774">
        <f>8.2-6.674</f>
        <v>1.5259999999999989</v>
      </c>
      <c r="O234" s="775"/>
      <c r="P234" s="1473"/>
      <c r="Q234" s="1467"/>
      <c r="R234" s="1463"/>
      <c r="S234" s="1815"/>
      <c r="T234" s="1931"/>
      <c r="U234" s="1815"/>
      <c r="V234" s="1815"/>
      <c r="W234" s="1815"/>
      <c r="X234" s="1933"/>
      <c r="Y234" s="1815"/>
      <c r="Z234" s="2509"/>
      <c r="AA234" s="3" t="s">
        <v>2674</v>
      </c>
      <c r="AE234" s="2461"/>
      <c r="AF234" s="68"/>
    </row>
    <row r="235" spans="1:32" x14ac:dyDescent="0.35">
      <c r="A235" s="359"/>
      <c r="B235" s="1064">
        <v>11227</v>
      </c>
      <c r="C235" s="1064"/>
      <c r="D235" s="1154"/>
      <c r="E235" s="357" t="s">
        <v>3276</v>
      </c>
      <c r="F235" s="2295">
        <v>4</v>
      </c>
      <c r="G235" s="2295">
        <v>5</v>
      </c>
      <c r="H235" s="2295">
        <v>6</v>
      </c>
      <c r="I235" s="774"/>
      <c r="J235" s="774"/>
      <c r="K235" s="774"/>
      <c r="L235" s="774"/>
      <c r="M235" s="774"/>
      <c r="N235" s="774">
        <f>11.049-8.2</f>
        <v>2.8490000000000002</v>
      </c>
      <c r="O235" s="775"/>
      <c r="P235" s="1473"/>
      <c r="Q235" s="1467"/>
      <c r="R235" s="1463"/>
      <c r="S235" s="1815"/>
      <c r="T235" s="1931"/>
      <c r="U235" s="1815"/>
      <c r="V235" s="1815"/>
      <c r="W235" s="1815"/>
      <c r="X235" s="1933"/>
      <c r="Y235" s="1815"/>
      <c r="Z235" s="2509"/>
      <c r="AE235" s="2461"/>
      <c r="AF235" s="68"/>
    </row>
    <row r="236" spans="1:32" ht="60.5" x14ac:dyDescent="0.35">
      <c r="A236" s="347">
        <v>96</v>
      </c>
      <c r="B236" s="1064">
        <v>11227</v>
      </c>
      <c r="C236" s="358" t="s">
        <v>1655</v>
      </c>
      <c r="D236" s="2464" t="s">
        <v>6007</v>
      </c>
      <c r="E236" s="312" t="s">
        <v>10193</v>
      </c>
      <c r="F236" s="2295" t="s">
        <v>1490</v>
      </c>
      <c r="G236" s="2295">
        <v>5</v>
      </c>
      <c r="H236" s="92">
        <v>6</v>
      </c>
      <c r="I236" s="772">
        <f>J236+K236+L236</f>
        <v>1.2</v>
      </c>
      <c r="J236" s="772">
        <f>SUM(M236:R236)</f>
        <v>1.2</v>
      </c>
      <c r="K236" s="772"/>
      <c r="L236" s="772"/>
      <c r="M236" s="772"/>
      <c r="N236" s="772"/>
      <c r="O236" s="773"/>
      <c r="P236" s="1470"/>
      <c r="Q236" s="1466"/>
      <c r="R236" s="1462">
        <v>1.2</v>
      </c>
      <c r="S236" s="1815"/>
      <c r="T236" s="1931"/>
      <c r="U236" s="1815"/>
      <c r="V236" s="1815"/>
      <c r="W236" s="1815"/>
      <c r="X236" s="1933"/>
      <c r="Y236" s="1815"/>
      <c r="Z236" s="2509"/>
      <c r="AB236" s="3">
        <v>1</v>
      </c>
      <c r="AE236" s="2461"/>
      <c r="AF236" s="68"/>
    </row>
    <row r="237" spans="1:32" ht="45" x14ac:dyDescent="0.35">
      <c r="A237" s="525">
        <v>97</v>
      </c>
      <c r="B237" s="1074">
        <v>11227</v>
      </c>
      <c r="C237" s="365" t="s">
        <v>1656</v>
      </c>
      <c r="D237" s="2464" t="s">
        <v>6008</v>
      </c>
      <c r="E237" s="2187" t="s">
        <v>10194</v>
      </c>
      <c r="F237" s="92" t="s">
        <v>664</v>
      </c>
      <c r="G237" s="92">
        <v>5</v>
      </c>
      <c r="H237" s="92">
        <v>6</v>
      </c>
      <c r="I237" s="702">
        <f>J237+K237+L237</f>
        <v>0.1</v>
      </c>
      <c r="J237" s="702">
        <f>SUM(M237:R237)</f>
        <v>0.1</v>
      </c>
      <c r="K237" s="2089"/>
      <c r="L237" s="2089"/>
      <c r="M237" s="2089"/>
      <c r="N237" s="2089"/>
      <c r="O237" s="2089"/>
      <c r="P237" s="2089"/>
      <c r="Q237" s="2148"/>
      <c r="R237" s="2235">
        <v>0.1</v>
      </c>
      <c r="S237" s="106"/>
      <c r="T237" s="106"/>
      <c r="U237" s="106"/>
      <c r="V237" s="106"/>
      <c r="W237" s="105"/>
      <c r="X237" s="105"/>
      <c r="Y237" s="105"/>
      <c r="Z237" s="323"/>
      <c r="AB237" s="3">
        <v>1</v>
      </c>
      <c r="AE237" s="2461"/>
      <c r="AF237" s="68"/>
    </row>
    <row r="238" spans="1:32" ht="45" x14ac:dyDescent="0.35">
      <c r="A238" s="347">
        <v>98</v>
      </c>
      <c r="B238" s="1074">
        <v>11227</v>
      </c>
      <c r="C238" s="365" t="s">
        <v>1656</v>
      </c>
      <c r="D238" s="2464" t="s">
        <v>6009</v>
      </c>
      <c r="E238" s="2187" t="s">
        <v>10195</v>
      </c>
      <c r="F238" s="92"/>
      <c r="G238" s="92" t="s">
        <v>191</v>
      </c>
      <c r="H238" s="2295" t="s">
        <v>191</v>
      </c>
      <c r="I238" s="702">
        <f>J238+K238+L238</f>
        <v>1</v>
      </c>
      <c r="J238" s="702">
        <f>SUM(M238:R238)</f>
        <v>1</v>
      </c>
      <c r="K238" s="2089"/>
      <c r="L238" s="2089"/>
      <c r="M238" s="2089"/>
      <c r="N238" s="2089">
        <f>SUM(N239:N240)</f>
        <v>0.45</v>
      </c>
      <c r="O238" s="2089"/>
      <c r="P238" s="2089"/>
      <c r="Q238" s="2148"/>
      <c r="R238" s="2235">
        <f>SUM(R239:R240)</f>
        <v>0.55000000000000004</v>
      </c>
      <c r="S238" s="106"/>
      <c r="T238" s="106"/>
      <c r="U238" s="106"/>
      <c r="V238" s="106"/>
      <c r="W238" s="105">
        <v>1</v>
      </c>
      <c r="X238" s="105">
        <v>5</v>
      </c>
      <c r="Y238" s="105"/>
      <c r="Z238" s="323"/>
      <c r="AB238" s="3">
        <v>1</v>
      </c>
      <c r="AE238" s="2461"/>
      <c r="AF238" s="68"/>
    </row>
    <row r="239" spans="1:32" x14ac:dyDescent="0.35">
      <c r="A239" s="347"/>
      <c r="B239" s="1074"/>
      <c r="C239" s="365"/>
      <c r="D239" s="805"/>
      <c r="E239" s="357" t="s">
        <v>2901</v>
      </c>
      <c r="F239" s="92" t="s">
        <v>1490</v>
      </c>
      <c r="G239" s="92">
        <v>5</v>
      </c>
      <c r="H239" s="92">
        <v>6</v>
      </c>
      <c r="I239" s="702"/>
      <c r="J239" s="702"/>
      <c r="K239" s="2347"/>
      <c r="L239" s="2347"/>
      <c r="M239" s="2347"/>
      <c r="N239" s="2347">
        <v>0.45</v>
      </c>
      <c r="O239" s="2347"/>
      <c r="P239" s="2347"/>
      <c r="Q239" s="2348"/>
      <c r="R239" s="907"/>
      <c r="S239" s="106"/>
      <c r="T239" s="106"/>
      <c r="U239" s="106"/>
      <c r="V239" s="106"/>
      <c r="W239" s="105"/>
      <c r="X239" s="105"/>
      <c r="Y239" s="105"/>
      <c r="Z239" s="323"/>
      <c r="AE239" s="2461"/>
      <c r="AF239" s="68"/>
    </row>
    <row r="240" spans="1:32" x14ac:dyDescent="0.35">
      <c r="A240" s="347"/>
      <c r="B240" s="1074"/>
      <c r="C240" s="365"/>
      <c r="D240" s="805"/>
      <c r="E240" s="1479" t="s">
        <v>4805</v>
      </c>
      <c r="F240" s="92" t="s">
        <v>1490</v>
      </c>
      <c r="G240" s="92">
        <v>5</v>
      </c>
      <c r="H240" s="92">
        <v>6</v>
      </c>
      <c r="I240" s="702"/>
      <c r="J240" s="702"/>
      <c r="K240" s="2347"/>
      <c r="L240" s="2347"/>
      <c r="M240" s="2347"/>
      <c r="N240" s="2347"/>
      <c r="O240" s="2347"/>
      <c r="P240" s="2347"/>
      <c r="Q240" s="2348"/>
      <c r="R240" s="907">
        <f>1-0.45</f>
        <v>0.55000000000000004</v>
      </c>
      <c r="S240" s="106"/>
      <c r="T240" s="106"/>
      <c r="U240" s="106"/>
      <c r="V240" s="106"/>
      <c r="W240" s="105"/>
      <c r="X240" s="105"/>
      <c r="Y240" s="105"/>
      <c r="Z240" s="323"/>
      <c r="AC240" s="3" t="s">
        <v>6804</v>
      </c>
      <c r="AE240" s="2461"/>
      <c r="AF240" s="68"/>
    </row>
    <row r="241" spans="1:32" ht="45" x14ac:dyDescent="0.35">
      <c r="A241" s="525">
        <v>99</v>
      </c>
      <c r="B241" s="693">
        <v>11227</v>
      </c>
      <c r="C241" s="693"/>
      <c r="D241" s="2464" t="s">
        <v>6010</v>
      </c>
      <c r="E241" s="2187" t="s">
        <v>10196</v>
      </c>
      <c r="F241" s="92" t="s">
        <v>827</v>
      </c>
      <c r="G241" s="92">
        <v>5</v>
      </c>
      <c r="H241" s="92">
        <v>6</v>
      </c>
      <c r="I241" s="702">
        <f>J241+K241+L241</f>
        <v>1</v>
      </c>
      <c r="J241" s="702">
        <f>SUM(M241:R241)</f>
        <v>1</v>
      </c>
      <c r="K241" s="2089"/>
      <c r="L241" s="2089"/>
      <c r="M241" s="2089"/>
      <c r="N241" s="2089"/>
      <c r="O241" s="2089"/>
      <c r="P241" s="2089"/>
      <c r="Q241" s="2089"/>
      <c r="R241" s="2235">
        <v>1</v>
      </c>
      <c r="S241" s="106"/>
      <c r="T241" s="106"/>
      <c r="U241" s="106"/>
      <c r="V241" s="106"/>
      <c r="W241" s="105"/>
      <c r="X241" s="105"/>
      <c r="Y241" s="105"/>
      <c r="Z241" s="323"/>
      <c r="AB241" s="3">
        <v>1</v>
      </c>
      <c r="AE241" s="2461"/>
      <c r="AF241" s="68"/>
    </row>
    <row r="242" spans="1:32" ht="30" x14ac:dyDescent="0.35">
      <c r="A242" s="347">
        <v>100</v>
      </c>
      <c r="B242" s="1064">
        <v>11228</v>
      </c>
      <c r="C242" s="1064"/>
      <c r="D242" s="366" t="s">
        <v>1925</v>
      </c>
      <c r="E242" s="269" t="s">
        <v>11167</v>
      </c>
      <c r="F242" s="2295"/>
      <c r="G242" s="2295" t="s">
        <v>191</v>
      </c>
      <c r="H242" s="2295" t="s">
        <v>191</v>
      </c>
      <c r="I242" s="2699">
        <f>J242+K242+L242</f>
        <v>15.3</v>
      </c>
      <c r="J242" s="2699">
        <f>SUM(M242:R242)</f>
        <v>15.3</v>
      </c>
      <c r="K242" s="772"/>
      <c r="L242" s="772"/>
      <c r="M242" s="772"/>
      <c r="N242" s="772">
        <f>SUM(N243:N244)</f>
        <v>1.6000000000000014</v>
      </c>
      <c r="O242" s="773"/>
      <c r="P242" s="1470"/>
      <c r="Q242" s="1466"/>
      <c r="R242" s="1462">
        <f>SUM(R243:R244)</f>
        <v>13.7</v>
      </c>
      <c r="S242" s="1815"/>
      <c r="T242" s="1931"/>
      <c r="U242" s="1815"/>
      <c r="V242" s="1815"/>
      <c r="W242" s="2869">
        <v>4</v>
      </c>
      <c r="X242" s="2533">
        <v>47.4</v>
      </c>
      <c r="Y242" s="1815"/>
      <c r="Z242" s="2509"/>
      <c r="AB242" s="3">
        <v>1</v>
      </c>
      <c r="AE242" s="2461"/>
      <c r="AF242" s="68"/>
    </row>
    <row r="243" spans="1:32" x14ac:dyDescent="0.35">
      <c r="A243" s="359"/>
      <c r="B243" s="1064">
        <v>11228</v>
      </c>
      <c r="C243" s="1064"/>
      <c r="D243" s="1154"/>
      <c r="E243" s="1479" t="s">
        <v>11090</v>
      </c>
      <c r="F243" s="2295" t="s">
        <v>664</v>
      </c>
      <c r="G243" s="2295">
        <v>5</v>
      </c>
      <c r="H243" s="92">
        <v>6</v>
      </c>
      <c r="I243" s="774"/>
      <c r="J243" s="774"/>
      <c r="K243" s="774"/>
      <c r="L243" s="774"/>
      <c r="M243" s="774"/>
      <c r="N243" s="774"/>
      <c r="O243" s="775"/>
      <c r="P243" s="1473"/>
      <c r="Q243" s="1467"/>
      <c r="R243" s="1463">
        <v>13.7</v>
      </c>
      <c r="S243" s="1815"/>
      <c r="T243" s="1931"/>
      <c r="U243" s="1815"/>
      <c r="V243" s="1815"/>
      <c r="W243" s="1815"/>
      <c r="X243" s="1933"/>
      <c r="Y243" s="1815"/>
      <c r="Z243" s="2509"/>
      <c r="AE243" s="2461"/>
      <c r="AF243" s="68"/>
    </row>
    <row r="244" spans="1:32" x14ac:dyDescent="0.35">
      <c r="A244" s="359"/>
      <c r="B244" s="1064">
        <v>11228</v>
      </c>
      <c r="C244" s="1064"/>
      <c r="D244" s="1154"/>
      <c r="E244" s="2760" t="s">
        <v>11091</v>
      </c>
      <c r="F244" s="2295">
        <v>5</v>
      </c>
      <c r="G244" s="2295">
        <v>5</v>
      </c>
      <c r="H244" s="2295">
        <v>6</v>
      </c>
      <c r="I244" s="2700"/>
      <c r="J244" s="2700"/>
      <c r="K244" s="2700"/>
      <c r="L244" s="2700"/>
      <c r="M244" s="2700"/>
      <c r="N244" s="2700">
        <f>15.3-13.7</f>
        <v>1.6000000000000014</v>
      </c>
      <c r="O244" s="775"/>
      <c r="P244" s="1473"/>
      <c r="Q244" s="1467"/>
      <c r="R244" s="1463"/>
      <c r="S244" s="1815"/>
      <c r="T244" s="1931"/>
      <c r="U244" s="1815"/>
      <c r="V244" s="1815"/>
      <c r="W244" s="1815"/>
      <c r="X244" s="1933"/>
      <c r="Y244" s="1815"/>
      <c r="Z244" s="2509"/>
      <c r="AE244" s="2461"/>
      <c r="AF244" s="68"/>
    </row>
    <row r="245" spans="1:32" ht="30" x14ac:dyDescent="0.35">
      <c r="A245" s="347">
        <v>101</v>
      </c>
      <c r="B245" s="1064">
        <v>11229</v>
      </c>
      <c r="C245" s="1064"/>
      <c r="D245" s="358" t="s">
        <v>1926</v>
      </c>
      <c r="E245" s="356" t="s">
        <v>7164</v>
      </c>
      <c r="F245" s="2295" t="s">
        <v>827</v>
      </c>
      <c r="G245" s="2295">
        <v>5</v>
      </c>
      <c r="H245" s="92">
        <v>6</v>
      </c>
      <c r="I245" s="772">
        <f>J245+K245+L245</f>
        <v>11.622999999999999</v>
      </c>
      <c r="J245" s="772">
        <f>SUM(M245:R245)</f>
        <v>11.622999999999999</v>
      </c>
      <c r="K245" s="772"/>
      <c r="L245" s="772"/>
      <c r="M245" s="772"/>
      <c r="N245" s="772"/>
      <c r="O245" s="773"/>
      <c r="P245" s="1470"/>
      <c r="Q245" s="1466"/>
      <c r="R245" s="1462">
        <v>11.622999999999999</v>
      </c>
      <c r="S245" s="1815"/>
      <c r="T245" s="1931"/>
      <c r="U245" s="1815"/>
      <c r="V245" s="1815"/>
      <c r="W245" s="1815">
        <v>3</v>
      </c>
      <c r="X245" s="2511">
        <v>30.04</v>
      </c>
      <c r="Y245" s="1815"/>
      <c r="Z245" s="2509"/>
      <c r="AB245" s="3">
        <v>1</v>
      </c>
      <c r="AE245" s="2461"/>
      <c r="AF245" s="68"/>
    </row>
    <row r="246" spans="1:32" ht="30" x14ac:dyDescent="0.35">
      <c r="A246" s="347">
        <v>102</v>
      </c>
      <c r="B246" s="1064">
        <v>11230</v>
      </c>
      <c r="C246" s="1064"/>
      <c r="D246" s="358" t="s">
        <v>1927</v>
      </c>
      <c r="E246" s="356" t="s">
        <v>3465</v>
      </c>
      <c r="F246" s="2295"/>
      <c r="G246" s="2295" t="s">
        <v>191</v>
      </c>
      <c r="H246" s="2295" t="s">
        <v>191</v>
      </c>
      <c r="I246" s="772">
        <f>J246+K246+L246</f>
        <v>15.503</v>
      </c>
      <c r="J246" s="772">
        <f>SUM(M246:R246)</f>
        <v>15.503</v>
      </c>
      <c r="K246" s="772"/>
      <c r="L246" s="772"/>
      <c r="M246" s="772"/>
      <c r="N246" s="772">
        <f>SUM(N247:N255)</f>
        <v>0.97600000000000042</v>
      </c>
      <c r="O246" s="773"/>
      <c r="P246" s="1470"/>
      <c r="Q246" s="1466">
        <f>SUM(Q247:Q255)</f>
        <v>9.3689999999999998</v>
      </c>
      <c r="R246" s="1462">
        <f>SUM(R247:R255)</f>
        <v>5.1580000000000004</v>
      </c>
      <c r="S246" s="1815"/>
      <c r="T246" s="1931"/>
      <c r="U246" s="1815"/>
      <c r="V246" s="1815"/>
      <c r="W246" s="46">
        <v>34</v>
      </c>
      <c r="X246" s="250">
        <v>481.6</v>
      </c>
      <c r="Y246" s="46">
        <v>19</v>
      </c>
      <c r="Z246" s="47">
        <v>257</v>
      </c>
      <c r="AB246" s="3">
        <v>1</v>
      </c>
      <c r="AE246" s="2461"/>
      <c r="AF246" s="68"/>
    </row>
    <row r="247" spans="1:32" x14ac:dyDescent="0.35">
      <c r="A247" s="359"/>
      <c r="B247" s="1064">
        <v>11230</v>
      </c>
      <c r="C247" s="1064"/>
      <c r="D247" s="1154"/>
      <c r="E247" s="357" t="s">
        <v>3459</v>
      </c>
      <c r="F247" s="2295">
        <v>4</v>
      </c>
      <c r="G247" s="2295">
        <v>4</v>
      </c>
      <c r="H247" s="2295">
        <v>6</v>
      </c>
      <c r="I247" s="774"/>
      <c r="J247" s="774"/>
      <c r="K247" s="774"/>
      <c r="L247" s="774"/>
      <c r="M247" s="774"/>
      <c r="N247" s="774">
        <v>0.96399999999999997</v>
      </c>
      <c r="O247" s="775"/>
      <c r="P247" s="1473"/>
      <c r="Q247" s="1467"/>
      <c r="R247" s="1463"/>
      <c r="S247" s="1815"/>
      <c r="T247" s="1931"/>
      <c r="U247" s="1815"/>
      <c r="V247" s="1815"/>
      <c r="W247" s="1815"/>
      <c r="X247" s="1933"/>
      <c r="Y247" s="1815"/>
      <c r="Z247" s="2509"/>
      <c r="AE247" s="2461"/>
      <c r="AF247" s="68"/>
    </row>
    <row r="248" spans="1:32" x14ac:dyDescent="0.35">
      <c r="A248" s="359"/>
      <c r="B248" s="1064">
        <v>11230</v>
      </c>
      <c r="C248" s="1064"/>
      <c r="D248" s="1154"/>
      <c r="E248" s="1480" t="s">
        <v>3462</v>
      </c>
      <c r="F248" s="2295">
        <v>4</v>
      </c>
      <c r="G248" s="2295">
        <v>4</v>
      </c>
      <c r="H248" s="2295">
        <v>6</v>
      </c>
      <c r="I248" s="774"/>
      <c r="J248" s="774"/>
      <c r="K248" s="774"/>
      <c r="L248" s="774"/>
      <c r="M248" s="774"/>
      <c r="N248" s="774"/>
      <c r="O248" s="775"/>
      <c r="P248" s="1473"/>
      <c r="Q248" s="1467">
        <f>6.116-0.964</f>
        <v>5.1519999999999992</v>
      </c>
      <c r="R248" s="1463"/>
      <c r="S248" s="1815"/>
      <c r="T248" s="1931"/>
      <c r="U248" s="1815"/>
      <c r="V248" s="1815"/>
      <c r="W248" s="1815"/>
      <c r="X248" s="1933"/>
      <c r="Y248" s="1815"/>
      <c r="Z248" s="2509"/>
      <c r="AE248" s="2461"/>
      <c r="AF248" s="68"/>
    </row>
    <row r="249" spans="1:32" x14ac:dyDescent="0.35">
      <c r="A249" s="359"/>
      <c r="B249" s="1064">
        <v>11230</v>
      </c>
      <c r="C249" s="1064"/>
      <c r="D249" s="1154"/>
      <c r="E249" s="1480" t="s">
        <v>3461</v>
      </c>
      <c r="F249" s="2295" t="s">
        <v>827</v>
      </c>
      <c r="G249" s="2295">
        <v>4</v>
      </c>
      <c r="H249" s="2295">
        <v>6</v>
      </c>
      <c r="I249" s="774"/>
      <c r="J249" s="774"/>
      <c r="K249" s="774"/>
      <c r="L249" s="774"/>
      <c r="M249" s="774"/>
      <c r="N249" s="774"/>
      <c r="O249" s="775"/>
      <c r="P249" s="1473"/>
      <c r="Q249" s="1467">
        <f>6.342-6.116</f>
        <v>0.22599999999999998</v>
      </c>
      <c r="R249" s="1463"/>
      <c r="S249" s="1815"/>
      <c r="T249" s="1931"/>
      <c r="U249" s="1815"/>
      <c r="V249" s="1815"/>
      <c r="W249" s="1815"/>
      <c r="X249" s="1933"/>
      <c r="Y249" s="1815"/>
      <c r="Z249" s="2509"/>
      <c r="AE249" s="2461"/>
      <c r="AF249" s="68"/>
    </row>
    <row r="250" spans="1:32" x14ac:dyDescent="0.35">
      <c r="A250" s="359"/>
      <c r="B250" s="1064">
        <v>11230</v>
      </c>
      <c r="C250" s="1064"/>
      <c r="D250" s="1154"/>
      <c r="E250" s="1479" t="s">
        <v>3463</v>
      </c>
      <c r="F250" s="2295" t="s">
        <v>827</v>
      </c>
      <c r="G250" s="2295">
        <v>4</v>
      </c>
      <c r="H250" s="92">
        <v>6</v>
      </c>
      <c r="I250" s="774"/>
      <c r="J250" s="774"/>
      <c r="K250" s="774"/>
      <c r="L250" s="774"/>
      <c r="M250" s="774"/>
      <c r="N250" s="774"/>
      <c r="O250" s="775"/>
      <c r="P250" s="1473"/>
      <c r="Q250" s="1467"/>
      <c r="R250" s="1463">
        <f>9.361-6.342</f>
        <v>3.019000000000001</v>
      </c>
      <c r="S250" s="1815"/>
      <c r="T250" s="1931"/>
      <c r="U250" s="1815"/>
      <c r="V250" s="1815"/>
      <c r="W250" s="1815"/>
      <c r="X250" s="1933"/>
      <c r="Y250" s="1815"/>
      <c r="Z250" s="2509"/>
      <c r="AE250" s="2461"/>
      <c r="AF250" s="68"/>
    </row>
    <row r="251" spans="1:32" x14ac:dyDescent="0.35">
      <c r="A251" s="359"/>
      <c r="B251" s="1064">
        <v>11230</v>
      </c>
      <c r="C251" s="1064"/>
      <c r="D251" s="1154"/>
      <c r="E251" s="1479" t="s">
        <v>3464</v>
      </c>
      <c r="F251" s="2295">
        <v>5</v>
      </c>
      <c r="G251" s="2295">
        <v>4</v>
      </c>
      <c r="H251" s="92">
        <v>6</v>
      </c>
      <c r="I251" s="774"/>
      <c r="J251" s="774"/>
      <c r="K251" s="774"/>
      <c r="L251" s="774"/>
      <c r="M251" s="774"/>
      <c r="N251" s="774"/>
      <c r="O251" s="775"/>
      <c r="P251" s="1473"/>
      <c r="Q251" s="1467"/>
      <c r="R251" s="1463">
        <f>10.5-9.361</f>
        <v>1.1389999999999993</v>
      </c>
      <c r="S251" s="1815"/>
      <c r="T251" s="1931"/>
      <c r="U251" s="1815"/>
      <c r="V251" s="1815"/>
      <c r="W251" s="1815"/>
      <c r="X251" s="1933"/>
      <c r="Y251" s="1815"/>
      <c r="Z251" s="2509"/>
      <c r="AE251" s="2461"/>
      <c r="AF251" s="68"/>
    </row>
    <row r="252" spans="1:32" x14ac:dyDescent="0.35">
      <c r="A252" s="359"/>
      <c r="B252" s="1064">
        <v>11230</v>
      </c>
      <c r="C252" s="1064"/>
      <c r="D252" s="1154"/>
      <c r="E252" s="1480" t="s">
        <v>3468</v>
      </c>
      <c r="F252" s="2295">
        <v>5</v>
      </c>
      <c r="G252" s="2295">
        <v>4</v>
      </c>
      <c r="H252" s="2295">
        <v>6</v>
      </c>
      <c r="I252" s="774"/>
      <c r="J252" s="774"/>
      <c r="K252" s="774"/>
      <c r="L252" s="774"/>
      <c r="M252" s="774"/>
      <c r="N252" s="774"/>
      <c r="O252" s="775"/>
      <c r="P252" s="1473"/>
      <c r="Q252" s="1467">
        <f>11.5-10.5</f>
        <v>1</v>
      </c>
      <c r="R252" s="1463"/>
      <c r="S252" s="1815"/>
      <c r="T252" s="1931"/>
      <c r="U252" s="1815"/>
      <c r="V252" s="1815"/>
      <c r="W252" s="1815"/>
      <c r="X252" s="1933"/>
      <c r="Y252" s="1815"/>
      <c r="Z252" s="2509"/>
      <c r="AE252" s="2461"/>
      <c r="AF252" s="68"/>
    </row>
    <row r="253" spans="1:32" x14ac:dyDescent="0.35">
      <c r="A253" s="359"/>
      <c r="B253" s="1064">
        <v>11230</v>
      </c>
      <c r="C253" s="1064"/>
      <c r="D253" s="1154"/>
      <c r="E253" s="1479" t="s">
        <v>3467</v>
      </c>
      <c r="F253" s="2295">
        <v>5</v>
      </c>
      <c r="G253" s="2295">
        <v>4</v>
      </c>
      <c r="H253" s="92">
        <v>6</v>
      </c>
      <c r="I253" s="774"/>
      <c r="J253" s="774"/>
      <c r="K253" s="774"/>
      <c r="L253" s="774"/>
      <c r="M253" s="774"/>
      <c r="N253" s="774"/>
      <c r="O253" s="775"/>
      <c r="P253" s="1473"/>
      <c r="Q253" s="1467"/>
      <c r="R253" s="1463">
        <f>12.5-11.5</f>
        <v>1</v>
      </c>
      <c r="S253" s="1815"/>
      <c r="T253" s="1931"/>
      <c r="U253" s="1815"/>
      <c r="V253" s="1815"/>
      <c r="W253" s="1815"/>
      <c r="X253" s="1933"/>
      <c r="Y253" s="1815"/>
      <c r="Z253" s="2509"/>
      <c r="AE253" s="2461"/>
      <c r="AF253" s="68"/>
    </row>
    <row r="254" spans="1:32" x14ac:dyDescent="0.35">
      <c r="A254" s="359"/>
      <c r="B254" s="1064">
        <v>11230</v>
      </c>
      <c r="C254" s="1064"/>
      <c r="D254" s="1154"/>
      <c r="E254" s="1480" t="s">
        <v>3466</v>
      </c>
      <c r="F254" s="2295">
        <v>5</v>
      </c>
      <c r="G254" s="2295">
        <v>4</v>
      </c>
      <c r="H254" s="2295">
        <v>6</v>
      </c>
      <c r="I254" s="774"/>
      <c r="J254" s="774"/>
      <c r="K254" s="774"/>
      <c r="L254" s="774"/>
      <c r="M254" s="774"/>
      <c r="N254" s="774"/>
      <c r="O254" s="775"/>
      <c r="P254" s="1473"/>
      <c r="Q254" s="1467">
        <f>15.491-12.5</f>
        <v>2.9909999999999997</v>
      </c>
      <c r="R254" s="1463"/>
      <c r="S254" s="1815"/>
      <c r="T254" s="1931"/>
      <c r="U254" s="1815"/>
      <c r="V254" s="1815"/>
      <c r="W254" s="1815"/>
      <c r="X254" s="1933"/>
      <c r="Y254" s="1815"/>
      <c r="Z254" s="2509"/>
      <c r="AE254" s="2461"/>
      <c r="AF254" s="68"/>
    </row>
    <row r="255" spans="1:32" x14ac:dyDescent="0.35">
      <c r="A255" s="359"/>
      <c r="B255" s="1064">
        <v>11230</v>
      </c>
      <c r="C255" s="1064"/>
      <c r="D255" s="1154"/>
      <c r="E255" s="357" t="s">
        <v>3460</v>
      </c>
      <c r="F255" s="2295">
        <v>5</v>
      </c>
      <c r="G255" s="2295">
        <v>4</v>
      </c>
      <c r="H255" s="2295">
        <v>6</v>
      </c>
      <c r="I255" s="774"/>
      <c r="J255" s="774"/>
      <c r="K255" s="774"/>
      <c r="L255" s="774"/>
      <c r="M255" s="774"/>
      <c r="N255" s="774">
        <f>15.503-15.491</f>
        <v>1.2000000000000455E-2</v>
      </c>
      <c r="O255" s="775"/>
      <c r="P255" s="1473"/>
      <c r="Q255" s="1467"/>
      <c r="R255" s="1463"/>
      <c r="S255" s="1815"/>
      <c r="T255" s="1931"/>
      <c r="U255" s="1815"/>
      <c r="V255" s="1815"/>
      <c r="W255" s="1815"/>
      <c r="X255" s="1933"/>
      <c r="Y255" s="1815"/>
      <c r="Z255" s="2509"/>
      <c r="AE255" s="2461"/>
      <c r="AF255" s="68"/>
    </row>
    <row r="256" spans="1:32" ht="30" x14ac:dyDescent="0.35">
      <c r="A256" s="525">
        <v>103</v>
      </c>
      <c r="B256" s="1074">
        <v>11230</v>
      </c>
      <c r="C256" s="365" t="s">
        <v>1656</v>
      </c>
      <c r="D256" s="2464" t="s">
        <v>6011</v>
      </c>
      <c r="E256" s="2187" t="s">
        <v>8910</v>
      </c>
      <c r="F256" s="92" t="s">
        <v>664</v>
      </c>
      <c r="G256" s="92">
        <v>5</v>
      </c>
      <c r="H256" s="92">
        <v>6</v>
      </c>
      <c r="I256" s="702">
        <f t="shared" ref="I256:I264" si="12">J256+K256+L256</f>
        <v>0.3</v>
      </c>
      <c r="J256" s="702">
        <f>SUM(M256:R256)</f>
        <v>0.3</v>
      </c>
      <c r="K256" s="2089"/>
      <c r="L256" s="2089"/>
      <c r="M256" s="2089"/>
      <c r="N256" s="2089"/>
      <c r="O256" s="2089"/>
      <c r="P256" s="2089"/>
      <c r="Q256" s="2148"/>
      <c r="R256" s="2235">
        <v>0.3</v>
      </c>
      <c r="S256" s="106"/>
      <c r="T256" s="106"/>
      <c r="U256" s="106"/>
      <c r="V256" s="106"/>
      <c r="W256" s="105"/>
      <c r="X256" s="105"/>
      <c r="Y256" s="105"/>
      <c r="Z256" s="323"/>
      <c r="AB256" s="3">
        <v>1</v>
      </c>
      <c r="AE256" s="2461"/>
      <c r="AF256" s="68"/>
    </row>
    <row r="257" spans="1:32" ht="30" x14ac:dyDescent="0.35">
      <c r="A257" s="1823">
        <v>104</v>
      </c>
      <c r="B257" s="1064">
        <v>11231</v>
      </c>
      <c r="C257" s="1064"/>
      <c r="D257" s="366" t="s">
        <v>1928</v>
      </c>
      <c r="E257" s="2606" t="s">
        <v>1314</v>
      </c>
      <c r="F257" s="2295">
        <v>5</v>
      </c>
      <c r="G257" s="2295">
        <v>5</v>
      </c>
      <c r="H257" s="2295">
        <v>6</v>
      </c>
      <c r="I257" s="772">
        <f t="shared" si="12"/>
        <v>7.6150000000000002</v>
      </c>
      <c r="J257" s="772">
        <f>SUM(M257:R257)</f>
        <v>7.6150000000000002</v>
      </c>
      <c r="K257" s="772"/>
      <c r="L257" s="772"/>
      <c r="M257" s="772"/>
      <c r="N257" s="772"/>
      <c r="O257" s="773"/>
      <c r="P257" s="1470"/>
      <c r="Q257" s="1466">
        <v>7.6150000000000002</v>
      </c>
      <c r="R257" s="1462"/>
      <c r="S257" s="1815"/>
      <c r="T257" s="1931"/>
      <c r="U257" s="1815"/>
      <c r="V257" s="1815"/>
      <c r="W257" s="1815">
        <v>9</v>
      </c>
      <c r="X257" s="1933">
        <v>105.09</v>
      </c>
      <c r="Y257" s="1815">
        <v>6</v>
      </c>
      <c r="Z257" s="2509">
        <v>60</v>
      </c>
      <c r="AB257" s="3">
        <v>1</v>
      </c>
      <c r="AE257" s="2461"/>
      <c r="AF257" s="68"/>
    </row>
    <row r="258" spans="1:32" ht="30" x14ac:dyDescent="0.35">
      <c r="A258" s="525">
        <v>105</v>
      </c>
      <c r="B258" s="1074">
        <v>11231</v>
      </c>
      <c r="C258" s="365" t="s">
        <v>1656</v>
      </c>
      <c r="D258" s="2464" t="s">
        <v>6012</v>
      </c>
      <c r="E258" s="2187" t="s">
        <v>8911</v>
      </c>
      <c r="F258" s="92" t="s">
        <v>827</v>
      </c>
      <c r="G258" s="92">
        <v>5</v>
      </c>
      <c r="H258" s="92">
        <v>6</v>
      </c>
      <c r="I258" s="702">
        <f t="shared" si="12"/>
        <v>1.63</v>
      </c>
      <c r="J258" s="702">
        <f>SUM(M258:R258)</f>
        <v>1.63</v>
      </c>
      <c r="K258" s="2089"/>
      <c r="L258" s="2089"/>
      <c r="M258" s="2089"/>
      <c r="N258" s="2089"/>
      <c r="O258" s="2089"/>
      <c r="P258" s="2089"/>
      <c r="Q258" s="2085"/>
      <c r="R258" s="2235">
        <v>1.63</v>
      </c>
      <c r="S258" s="106"/>
      <c r="T258" s="106"/>
      <c r="U258" s="106"/>
      <c r="V258" s="106"/>
      <c r="W258" s="105"/>
      <c r="X258" s="105"/>
      <c r="Y258" s="105"/>
      <c r="Z258" s="323"/>
      <c r="AB258" s="3">
        <v>1</v>
      </c>
      <c r="AE258" s="2461"/>
      <c r="AF258" s="68"/>
    </row>
    <row r="259" spans="1:32" ht="30" x14ac:dyDescent="0.35">
      <c r="A259" s="525">
        <v>106</v>
      </c>
      <c r="B259" s="1064">
        <v>11233</v>
      </c>
      <c r="C259" s="1064"/>
      <c r="D259" s="366" t="s">
        <v>205</v>
      </c>
      <c r="E259" s="269" t="s">
        <v>615</v>
      </c>
      <c r="F259" s="2295"/>
      <c r="G259" s="2295" t="s">
        <v>191</v>
      </c>
      <c r="H259" s="92" t="s">
        <v>191</v>
      </c>
      <c r="I259" s="772">
        <f t="shared" si="12"/>
        <v>5.1189999999999998</v>
      </c>
      <c r="J259" s="772">
        <f>SUM(M259:R259)</f>
        <v>5.1189999999999998</v>
      </c>
      <c r="K259" s="772"/>
      <c r="L259" s="772"/>
      <c r="M259" s="772"/>
      <c r="N259" s="772"/>
      <c r="O259" s="773"/>
      <c r="P259" s="1470"/>
      <c r="Q259" s="1466"/>
      <c r="R259" s="1462">
        <f>SUM(R260:R263)</f>
        <v>5.1189999999999998</v>
      </c>
      <c r="S259" s="1815"/>
      <c r="T259" s="1931"/>
      <c r="U259" s="1815"/>
      <c r="V259" s="1815"/>
      <c r="W259" s="1815">
        <v>5</v>
      </c>
      <c r="X259" s="2511">
        <v>54.38</v>
      </c>
      <c r="Y259" s="1815"/>
      <c r="Z259" s="2509"/>
      <c r="AB259" s="3">
        <v>1</v>
      </c>
      <c r="AC259" s="3" t="s">
        <v>2570</v>
      </c>
      <c r="AE259" s="2461"/>
      <c r="AF259" s="68"/>
    </row>
    <row r="260" spans="1:32" x14ac:dyDescent="0.35">
      <c r="A260" s="525"/>
      <c r="B260" s="1064">
        <v>11233</v>
      </c>
      <c r="C260" s="1064"/>
      <c r="D260" s="366"/>
      <c r="E260" s="2054" t="s">
        <v>782</v>
      </c>
      <c r="F260" s="2295" t="s">
        <v>827</v>
      </c>
      <c r="G260" s="2295">
        <v>5</v>
      </c>
      <c r="H260" s="92">
        <v>6</v>
      </c>
      <c r="I260" s="774"/>
      <c r="J260" s="774"/>
      <c r="K260" s="774"/>
      <c r="L260" s="774"/>
      <c r="M260" s="774"/>
      <c r="N260" s="774"/>
      <c r="O260" s="775"/>
      <c r="P260" s="1824"/>
      <c r="Q260" s="1825"/>
      <c r="R260" s="2296">
        <v>0.75</v>
      </c>
      <c r="S260" s="1815"/>
      <c r="T260" s="1931"/>
      <c r="U260" s="1815"/>
      <c r="V260" s="1815"/>
      <c r="W260" s="1815"/>
      <c r="X260" s="1933"/>
      <c r="Y260" s="1815"/>
      <c r="Z260" s="2509"/>
      <c r="AE260" s="2461"/>
      <c r="AF260" s="68"/>
    </row>
    <row r="261" spans="1:32" x14ac:dyDescent="0.35">
      <c r="A261" s="525"/>
      <c r="B261" s="1064">
        <v>11233</v>
      </c>
      <c r="C261" s="1064"/>
      <c r="D261" s="366"/>
      <c r="E261" s="2054" t="s">
        <v>1606</v>
      </c>
      <c r="F261" s="2295" t="s">
        <v>1490</v>
      </c>
      <c r="G261" s="2295">
        <v>5</v>
      </c>
      <c r="H261" s="92">
        <v>6</v>
      </c>
      <c r="I261" s="774"/>
      <c r="J261" s="774"/>
      <c r="K261" s="774"/>
      <c r="L261" s="774"/>
      <c r="M261" s="774"/>
      <c r="N261" s="774"/>
      <c r="O261" s="775"/>
      <c r="P261" s="1824"/>
      <c r="Q261" s="1825"/>
      <c r="R261" s="2296">
        <v>1.85</v>
      </c>
      <c r="S261" s="1815"/>
      <c r="T261" s="1931"/>
      <c r="U261" s="1815"/>
      <c r="V261" s="1815"/>
      <c r="W261" s="1815"/>
      <c r="X261" s="1933"/>
      <c r="Y261" s="1815"/>
      <c r="Z261" s="2509"/>
      <c r="AE261" s="2461"/>
      <c r="AF261" s="68"/>
    </row>
    <row r="262" spans="1:32" x14ac:dyDescent="0.35">
      <c r="A262" s="525"/>
      <c r="B262" s="1064">
        <v>11233</v>
      </c>
      <c r="C262" s="1064"/>
      <c r="D262" s="366"/>
      <c r="E262" s="2054" t="s">
        <v>2471</v>
      </c>
      <c r="F262" s="2295" t="s">
        <v>827</v>
      </c>
      <c r="G262" s="2295">
        <v>5</v>
      </c>
      <c r="H262" s="92">
        <v>6</v>
      </c>
      <c r="I262" s="774"/>
      <c r="J262" s="774"/>
      <c r="K262" s="774"/>
      <c r="L262" s="774"/>
      <c r="M262" s="774"/>
      <c r="N262" s="774"/>
      <c r="O262" s="775"/>
      <c r="P262" s="1824"/>
      <c r="Q262" s="1825"/>
      <c r="R262" s="2296">
        <v>1.7</v>
      </c>
      <c r="S262" s="1815"/>
      <c r="T262" s="1931"/>
      <c r="U262" s="1815"/>
      <c r="V262" s="1815"/>
      <c r="W262" s="1815"/>
      <c r="X262" s="1933"/>
      <c r="Y262" s="1815"/>
      <c r="Z262" s="2509"/>
      <c r="AE262" s="2461"/>
      <c r="AF262" s="68"/>
    </row>
    <row r="263" spans="1:32" x14ac:dyDescent="0.35">
      <c r="A263" s="525"/>
      <c r="B263" s="1064">
        <v>11233</v>
      </c>
      <c r="C263" s="1064"/>
      <c r="D263" s="366"/>
      <c r="E263" s="2054" t="s">
        <v>614</v>
      </c>
      <c r="F263" s="2295" t="s">
        <v>1490</v>
      </c>
      <c r="G263" s="2295">
        <v>5</v>
      </c>
      <c r="H263" s="92">
        <v>6</v>
      </c>
      <c r="I263" s="774"/>
      <c r="J263" s="774"/>
      <c r="K263" s="774"/>
      <c r="L263" s="774"/>
      <c r="M263" s="774"/>
      <c r="N263" s="774"/>
      <c r="O263" s="775"/>
      <c r="P263" s="1824"/>
      <c r="Q263" s="1825"/>
      <c r="R263" s="2296">
        <f>5.119-4.3</f>
        <v>0.81899999999999995</v>
      </c>
      <c r="S263" s="1815"/>
      <c r="T263" s="1931"/>
      <c r="U263" s="1815"/>
      <c r="V263" s="1815"/>
      <c r="W263" s="1815"/>
      <c r="X263" s="1933"/>
      <c r="Y263" s="1815"/>
      <c r="Z263" s="2509"/>
      <c r="AE263" s="2461"/>
      <c r="AF263" s="68"/>
    </row>
    <row r="264" spans="1:32" ht="30" x14ac:dyDescent="0.35">
      <c r="A264" s="525">
        <v>107</v>
      </c>
      <c r="B264" s="1064">
        <v>11234</v>
      </c>
      <c r="C264" s="1064"/>
      <c r="D264" s="366" t="s">
        <v>206</v>
      </c>
      <c r="E264" s="269" t="s">
        <v>0</v>
      </c>
      <c r="F264" s="2295"/>
      <c r="G264" s="2295" t="s">
        <v>191</v>
      </c>
      <c r="H264" s="2295" t="s">
        <v>191</v>
      </c>
      <c r="I264" s="772">
        <f t="shared" si="12"/>
        <v>4</v>
      </c>
      <c r="J264" s="772">
        <f>SUM(M264:R264)</f>
        <v>4</v>
      </c>
      <c r="K264" s="772"/>
      <c r="L264" s="772"/>
      <c r="M264" s="772"/>
      <c r="N264" s="772"/>
      <c r="O264" s="773"/>
      <c r="P264" s="1470"/>
      <c r="Q264" s="1466">
        <f>SUM(Q265:Q266)</f>
        <v>0.7</v>
      </c>
      <c r="R264" s="1462">
        <f>SUM(R265:R266)</f>
        <v>3.3</v>
      </c>
      <c r="S264" s="1815"/>
      <c r="T264" s="1931"/>
      <c r="U264" s="1815"/>
      <c r="V264" s="1815"/>
      <c r="W264" s="46">
        <v>1</v>
      </c>
      <c r="X264" s="250">
        <v>10</v>
      </c>
      <c r="Y264" s="1815"/>
      <c r="Z264" s="2509"/>
      <c r="AB264" s="3">
        <v>1</v>
      </c>
      <c r="AE264" s="2461"/>
      <c r="AF264" s="68"/>
    </row>
    <row r="265" spans="1:32" x14ac:dyDescent="0.35">
      <c r="A265" s="359"/>
      <c r="B265" s="1064">
        <v>11234</v>
      </c>
      <c r="C265" s="1064"/>
      <c r="D265" s="1154"/>
      <c r="E265" s="1480" t="s">
        <v>2585</v>
      </c>
      <c r="F265" s="2295" t="s">
        <v>827</v>
      </c>
      <c r="G265" s="2295">
        <v>5</v>
      </c>
      <c r="H265" s="2295">
        <v>6</v>
      </c>
      <c r="I265" s="774"/>
      <c r="J265" s="774"/>
      <c r="K265" s="774"/>
      <c r="L265" s="774"/>
      <c r="M265" s="774"/>
      <c r="N265" s="774"/>
      <c r="O265" s="775"/>
      <c r="P265" s="1473"/>
      <c r="Q265" s="1467">
        <v>0.7</v>
      </c>
      <c r="R265" s="1463"/>
      <c r="S265" s="1815"/>
      <c r="T265" s="1931"/>
      <c r="U265" s="1815"/>
      <c r="V265" s="1815"/>
      <c r="W265" s="1815"/>
      <c r="X265" s="1933"/>
      <c r="Y265" s="1815"/>
      <c r="Z265" s="2509"/>
      <c r="AE265" s="2461"/>
      <c r="AF265" s="68"/>
    </row>
    <row r="266" spans="1:32" x14ac:dyDescent="0.35">
      <c r="A266" s="359"/>
      <c r="B266" s="1064">
        <v>11234</v>
      </c>
      <c r="C266" s="1064"/>
      <c r="D266" s="1154"/>
      <c r="E266" s="1479" t="s">
        <v>1</v>
      </c>
      <c r="F266" s="2295" t="s">
        <v>664</v>
      </c>
      <c r="G266" s="2295">
        <v>5</v>
      </c>
      <c r="H266" s="92">
        <v>6</v>
      </c>
      <c r="I266" s="774"/>
      <c r="J266" s="774"/>
      <c r="K266" s="774"/>
      <c r="L266" s="774"/>
      <c r="M266" s="774"/>
      <c r="N266" s="774"/>
      <c r="O266" s="775"/>
      <c r="P266" s="1473"/>
      <c r="Q266" s="1467"/>
      <c r="R266" s="1463">
        <v>3.3</v>
      </c>
      <c r="S266" s="1815"/>
      <c r="T266" s="1931"/>
      <c r="U266" s="1815"/>
      <c r="V266" s="1815"/>
      <c r="W266" s="1815"/>
      <c r="X266" s="1933"/>
      <c r="Y266" s="1815"/>
      <c r="Z266" s="2509"/>
      <c r="AE266" s="2461"/>
      <c r="AF266" s="68"/>
    </row>
    <row r="267" spans="1:32" ht="30" x14ac:dyDescent="0.35">
      <c r="A267" s="347">
        <v>108</v>
      </c>
      <c r="B267" s="1064">
        <v>11235</v>
      </c>
      <c r="C267" s="1064"/>
      <c r="D267" s="366" t="s">
        <v>207</v>
      </c>
      <c r="E267" s="269" t="s">
        <v>2</v>
      </c>
      <c r="F267" s="2295"/>
      <c r="G267" s="2295" t="s">
        <v>191</v>
      </c>
      <c r="H267" s="2295" t="s">
        <v>191</v>
      </c>
      <c r="I267" s="772">
        <f>J267+K267+L267</f>
        <v>1.6</v>
      </c>
      <c r="J267" s="772">
        <f>SUM(M267:R267)</f>
        <v>1.33</v>
      </c>
      <c r="K267" s="772"/>
      <c r="L267" s="772">
        <f>SUM(L268:L269)</f>
        <v>0.27</v>
      </c>
      <c r="M267" s="772"/>
      <c r="N267" s="772">
        <f>SUM(N268:N269)</f>
        <v>1.33</v>
      </c>
      <c r="O267" s="773"/>
      <c r="P267" s="1470"/>
      <c r="Q267" s="1466"/>
      <c r="R267" s="1462"/>
      <c r="S267" s="1815"/>
      <c r="T267" s="1931"/>
      <c r="U267" s="1815"/>
      <c r="V267" s="1815"/>
      <c r="W267" s="46">
        <v>2</v>
      </c>
      <c r="X267" s="250">
        <v>25</v>
      </c>
      <c r="Y267" s="1815"/>
      <c r="Z267" s="2509"/>
      <c r="AB267" s="3">
        <v>1</v>
      </c>
      <c r="AE267" s="2461"/>
      <c r="AF267" s="68"/>
    </row>
    <row r="268" spans="1:32" ht="46.5" x14ac:dyDescent="0.35">
      <c r="A268" s="369"/>
      <c r="B268" s="1064"/>
      <c r="C268" s="1064"/>
      <c r="D268" s="366"/>
      <c r="E268" s="270" t="s">
        <v>11030</v>
      </c>
      <c r="F268" s="2295">
        <v>4</v>
      </c>
      <c r="G268" s="2295">
        <v>4</v>
      </c>
      <c r="H268" s="2295" t="s">
        <v>191</v>
      </c>
      <c r="I268" s="2800"/>
      <c r="J268" s="2800"/>
      <c r="K268" s="2800"/>
      <c r="L268" s="2800">
        <v>0.27</v>
      </c>
      <c r="M268" s="2800"/>
      <c r="N268" s="2800"/>
      <c r="O268" s="2754"/>
      <c r="P268" s="2755"/>
      <c r="Q268" s="2756"/>
      <c r="R268" s="2757"/>
      <c r="S268" s="2569"/>
      <c r="T268" s="2758"/>
      <c r="U268" s="2569"/>
      <c r="V268" s="2569"/>
      <c r="W268" s="2176"/>
      <c r="X268" s="1173"/>
      <c r="Y268" s="2569"/>
      <c r="Z268" s="2759"/>
      <c r="AE268" s="2461"/>
      <c r="AF268" s="68"/>
    </row>
    <row r="269" spans="1:32" x14ac:dyDescent="0.35">
      <c r="A269" s="369"/>
      <c r="B269" s="1064"/>
      <c r="C269" s="1064"/>
      <c r="D269" s="366"/>
      <c r="E269" s="270" t="s">
        <v>11168</v>
      </c>
      <c r="F269" s="2295">
        <v>4</v>
      </c>
      <c r="G269" s="2295">
        <v>4</v>
      </c>
      <c r="H269" s="2295">
        <v>6</v>
      </c>
      <c r="I269" s="2800"/>
      <c r="J269" s="2800"/>
      <c r="K269" s="2800"/>
      <c r="L269" s="2800"/>
      <c r="M269" s="2800"/>
      <c r="N269" s="2800">
        <f>1.6-0.27</f>
        <v>1.33</v>
      </c>
      <c r="O269" s="2754"/>
      <c r="P269" s="2755"/>
      <c r="Q269" s="2756"/>
      <c r="R269" s="2757"/>
      <c r="S269" s="2569"/>
      <c r="T269" s="2758"/>
      <c r="U269" s="2569"/>
      <c r="V269" s="2569"/>
      <c r="W269" s="2176"/>
      <c r="X269" s="1173"/>
      <c r="Y269" s="2569"/>
      <c r="Z269" s="2759"/>
      <c r="AE269" s="2461"/>
      <c r="AF269" s="68"/>
    </row>
    <row r="270" spans="1:32" ht="30.5" x14ac:dyDescent="0.35">
      <c r="A270" s="369">
        <v>109</v>
      </c>
      <c r="B270" s="1064">
        <v>11236</v>
      </c>
      <c r="C270" s="1064"/>
      <c r="D270" s="366" t="s">
        <v>552</v>
      </c>
      <c r="E270" s="269" t="s">
        <v>10197</v>
      </c>
      <c r="F270" s="2569" t="s">
        <v>1490</v>
      </c>
      <c r="G270" s="2569">
        <v>5</v>
      </c>
      <c r="H270" s="92">
        <v>6</v>
      </c>
      <c r="I270" s="777">
        <f>J270+K270+L270</f>
        <v>2.1</v>
      </c>
      <c r="J270" s="777">
        <f>SUM(M270:R270)</f>
        <v>2.1</v>
      </c>
      <c r="K270" s="777"/>
      <c r="L270" s="777"/>
      <c r="M270" s="777"/>
      <c r="N270" s="777"/>
      <c r="O270" s="778"/>
      <c r="P270" s="1474"/>
      <c r="Q270" s="1468"/>
      <c r="R270" s="1464">
        <v>2.1</v>
      </c>
      <c r="S270" s="2512"/>
      <c r="T270" s="2513"/>
      <c r="U270" s="2512"/>
      <c r="V270" s="2512"/>
      <c r="W270" s="2512"/>
      <c r="X270" s="2514"/>
      <c r="Y270" s="2512"/>
      <c r="Z270" s="2515"/>
      <c r="AB270" s="3">
        <v>1</v>
      </c>
      <c r="AE270" s="2461"/>
      <c r="AF270" s="68"/>
    </row>
    <row r="271" spans="1:32" ht="30" x14ac:dyDescent="0.35">
      <c r="A271" s="347">
        <v>110</v>
      </c>
      <c r="B271" s="1064">
        <v>11238</v>
      </c>
      <c r="C271" s="1064"/>
      <c r="D271" s="366" t="s">
        <v>553</v>
      </c>
      <c r="E271" s="269" t="s">
        <v>3089</v>
      </c>
      <c r="F271" s="2295">
        <v>5</v>
      </c>
      <c r="G271" s="2295">
        <v>5</v>
      </c>
      <c r="H271" s="2295">
        <v>6</v>
      </c>
      <c r="I271" s="777">
        <f>J271+K271+L271</f>
        <v>0.9</v>
      </c>
      <c r="J271" s="777">
        <f>SUM(M271:R271)</f>
        <v>0.9</v>
      </c>
      <c r="K271" s="772"/>
      <c r="L271" s="772"/>
      <c r="M271" s="772"/>
      <c r="N271" s="772"/>
      <c r="O271" s="773"/>
      <c r="P271" s="1470"/>
      <c r="Q271" s="1466">
        <v>0.9</v>
      </c>
      <c r="R271" s="1462"/>
      <c r="S271" s="1815">
        <v>1</v>
      </c>
      <c r="T271" s="1931">
        <v>19.05</v>
      </c>
      <c r="U271" s="1815"/>
      <c r="V271" s="1815"/>
      <c r="W271" s="1815"/>
      <c r="X271" s="1933"/>
      <c r="Y271" s="1815"/>
      <c r="Z271" s="2509"/>
      <c r="AB271" s="3">
        <v>1</v>
      </c>
      <c r="AE271" s="2461"/>
      <c r="AF271" s="68"/>
    </row>
    <row r="272" spans="1:32" ht="30.5" x14ac:dyDescent="0.35">
      <c r="A272" s="369">
        <v>111</v>
      </c>
      <c r="B272" s="1066">
        <v>11239</v>
      </c>
      <c r="C272" s="1066"/>
      <c r="D272" s="365" t="s">
        <v>1224</v>
      </c>
      <c r="E272" s="312" t="s">
        <v>10198</v>
      </c>
      <c r="F272" s="92" t="s">
        <v>664</v>
      </c>
      <c r="G272" s="92">
        <v>5</v>
      </c>
      <c r="H272" s="92">
        <v>6</v>
      </c>
      <c r="I272" s="772">
        <f>J272+K272+L272</f>
        <v>1.2</v>
      </c>
      <c r="J272" s="772">
        <f>SUM(M272:R272)</f>
        <v>1.2</v>
      </c>
      <c r="K272" s="772"/>
      <c r="L272" s="772"/>
      <c r="M272" s="772"/>
      <c r="N272" s="772"/>
      <c r="O272" s="773"/>
      <c r="P272" s="1470"/>
      <c r="Q272" s="1466"/>
      <c r="R272" s="1462">
        <v>1.2</v>
      </c>
      <c r="S272" s="1815"/>
      <c r="T272" s="1931"/>
      <c r="U272" s="1815"/>
      <c r="V272" s="1815"/>
      <c r="W272" s="1815"/>
      <c r="X272" s="1933"/>
      <c r="Y272" s="1815"/>
      <c r="Z272" s="2509"/>
      <c r="AB272" s="3">
        <v>1</v>
      </c>
      <c r="AE272" s="2461"/>
      <c r="AF272" s="68"/>
    </row>
    <row r="273" spans="1:32" ht="30.5" x14ac:dyDescent="0.35">
      <c r="A273" s="347"/>
      <c r="B273" s="1064" t="s">
        <v>9434</v>
      </c>
      <c r="C273" s="1064"/>
      <c r="D273" s="365"/>
      <c r="E273" s="1596" t="s">
        <v>9435</v>
      </c>
      <c r="F273" s="92"/>
      <c r="G273" s="92"/>
      <c r="H273" s="92"/>
      <c r="I273" s="772"/>
      <c r="J273" s="772"/>
      <c r="K273" s="772"/>
      <c r="L273" s="772"/>
      <c r="M273" s="772"/>
      <c r="N273" s="772"/>
      <c r="O273" s="773"/>
      <c r="P273" s="1470"/>
      <c r="Q273" s="1466"/>
      <c r="R273" s="1462"/>
      <c r="S273" s="1815"/>
      <c r="T273" s="1931"/>
      <c r="U273" s="1815"/>
      <c r="V273" s="1815"/>
      <c r="W273" s="1815"/>
      <c r="X273" s="1933"/>
      <c r="Y273" s="1815"/>
      <c r="Z273" s="2509"/>
      <c r="AE273" s="2461"/>
      <c r="AF273" s="68"/>
    </row>
    <row r="274" spans="1:32" ht="30.5" x14ac:dyDescent="0.35">
      <c r="A274" s="369">
        <v>112</v>
      </c>
      <c r="B274" s="1064" t="s">
        <v>159</v>
      </c>
      <c r="C274" s="1064"/>
      <c r="D274" s="2464" t="s">
        <v>6013</v>
      </c>
      <c r="E274" s="312" t="s">
        <v>9454</v>
      </c>
      <c r="F274" s="2295" t="s">
        <v>664</v>
      </c>
      <c r="G274" s="2295">
        <v>5</v>
      </c>
      <c r="H274" s="92">
        <v>6</v>
      </c>
      <c r="I274" s="777">
        <f t="shared" ref="I274:I283" si="13">J274+K274+L274</f>
        <v>1</v>
      </c>
      <c r="J274" s="777">
        <f t="shared" ref="J274:J283" si="14">SUM(M274:R274)</f>
        <v>1</v>
      </c>
      <c r="K274" s="772"/>
      <c r="L274" s="772"/>
      <c r="M274" s="772"/>
      <c r="N274" s="772"/>
      <c r="O274" s="773"/>
      <c r="P274" s="1470"/>
      <c r="Q274" s="1466"/>
      <c r="R274" s="1462">
        <v>1</v>
      </c>
      <c r="S274" s="1815"/>
      <c r="T274" s="1931"/>
      <c r="U274" s="1815"/>
      <c r="V274" s="1815"/>
      <c r="W274" s="1815"/>
      <c r="X274" s="1933"/>
      <c r="Y274" s="1815"/>
      <c r="Z274" s="2509"/>
      <c r="AB274" s="3">
        <v>1</v>
      </c>
      <c r="AE274" s="2461"/>
      <c r="AF274" s="68"/>
    </row>
    <row r="275" spans="1:32" ht="30.5" x14ac:dyDescent="0.35">
      <c r="A275" s="347">
        <v>113</v>
      </c>
      <c r="B275" s="1064" t="s">
        <v>159</v>
      </c>
      <c r="C275" s="1064"/>
      <c r="D275" s="2464" t="s">
        <v>6014</v>
      </c>
      <c r="E275" s="312" t="s">
        <v>9455</v>
      </c>
      <c r="F275" s="2295"/>
      <c r="G275" s="2295" t="s">
        <v>191</v>
      </c>
      <c r="H275" s="2295" t="s">
        <v>191</v>
      </c>
      <c r="I275" s="777">
        <f t="shared" si="13"/>
        <v>3.9159999999999999</v>
      </c>
      <c r="J275" s="777">
        <f t="shared" si="14"/>
        <v>3.9159999999999999</v>
      </c>
      <c r="K275" s="772"/>
      <c r="L275" s="772"/>
      <c r="M275" s="772"/>
      <c r="N275" s="772">
        <f>SUM(N276:N277)</f>
        <v>3.9159999999999999</v>
      </c>
      <c r="O275" s="773"/>
      <c r="P275" s="1470"/>
      <c r="Q275" s="1466"/>
      <c r="R275" s="1462"/>
      <c r="S275" s="1815"/>
      <c r="T275" s="1931"/>
      <c r="U275" s="1815"/>
      <c r="V275" s="1815"/>
      <c r="W275" s="46">
        <v>8</v>
      </c>
      <c r="X275" s="250">
        <v>111.21</v>
      </c>
      <c r="Y275" s="46"/>
      <c r="Z275" s="47"/>
      <c r="AB275" s="3">
        <v>1</v>
      </c>
      <c r="AE275" s="2461"/>
      <c r="AF275" s="68"/>
    </row>
    <row r="276" spans="1:32" x14ac:dyDescent="0.35">
      <c r="A276" s="369"/>
      <c r="B276" s="1064" t="s">
        <v>159</v>
      </c>
      <c r="C276" s="1064"/>
      <c r="D276" s="366"/>
      <c r="E276" s="357" t="s">
        <v>562</v>
      </c>
      <c r="F276" s="2295">
        <v>4</v>
      </c>
      <c r="G276" s="2295">
        <v>4</v>
      </c>
      <c r="H276" s="2295">
        <v>6</v>
      </c>
      <c r="I276" s="2434"/>
      <c r="J276" s="2434"/>
      <c r="K276" s="774"/>
      <c r="L276" s="774"/>
      <c r="M276" s="774"/>
      <c r="N276" s="774">
        <v>2.9</v>
      </c>
      <c r="O276" s="773"/>
      <c r="P276" s="1470"/>
      <c r="Q276" s="1466"/>
      <c r="R276" s="1462"/>
      <c r="S276" s="1815"/>
      <c r="T276" s="1931"/>
      <c r="U276" s="1815"/>
      <c r="V276" s="1815"/>
      <c r="W276" s="46"/>
      <c r="X276" s="250"/>
      <c r="Y276" s="46"/>
      <c r="Z276" s="47"/>
      <c r="AE276" s="2461"/>
      <c r="AF276" s="68"/>
    </row>
    <row r="277" spans="1:32" x14ac:dyDescent="0.35">
      <c r="A277" s="369"/>
      <c r="B277" s="1064" t="s">
        <v>159</v>
      </c>
      <c r="C277" s="1064"/>
      <c r="D277" s="366"/>
      <c r="E277" s="357" t="s">
        <v>3564</v>
      </c>
      <c r="F277" s="2295" t="s">
        <v>827</v>
      </c>
      <c r="G277" s="2295">
        <v>4</v>
      </c>
      <c r="H277" s="2295">
        <v>6</v>
      </c>
      <c r="I277" s="2434"/>
      <c r="J277" s="2434"/>
      <c r="K277" s="774"/>
      <c r="L277" s="774"/>
      <c r="M277" s="774"/>
      <c r="N277" s="774">
        <f>3.916-2.9</f>
        <v>1.016</v>
      </c>
      <c r="O277" s="773"/>
      <c r="P277" s="1470"/>
      <c r="Q277" s="1466"/>
      <c r="R277" s="1462"/>
      <c r="S277" s="1815"/>
      <c r="T277" s="1931"/>
      <c r="U277" s="1815"/>
      <c r="V277" s="1815"/>
      <c r="W277" s="46"/>
      <c r="X277" s="250"/>
      <c r="Y277" s="46"/>
      <c r="Z277" s="47"/>
      <c r="AE277" s="2461"/>
      <c r="AF277" s="68"/>
    </row>
    <row r="278" spans="1:32" ht="45" x14ac:dyDescent="0.35">
      <c r="A278" s="369">
        <v>114</v>
      </c>
      <c r="B278" s="693" t="s">
        <v>159</v>
      </c>
      <c r="C278" s="365" t="s">
        <v>1656</v>
      </c>
      <c r="D278" s="2464" t="s">
        <v>6015</v>
      </c>
      <c r="E278" s="2187" t="s">
        <v>9456</v>
      </c>
      <c r="F278" s="92" t="s">
        <v>664</v>
      </c>
      <c r="G278" s="92">
        <v>5</v>
      </c>
      <c r="H278" s="92">
        <v>6</v>
      </c>
      <c r="I278" s="702">
        <f>J278+K278+L278</f>
        <v>0.4</v>
      </c>
      <c r="J278" s="702">
        <f>SUM(M278:R278)</f>
        <v>0.4</v>
      </c>
      <c r="K278" s="2089"/>
      <c r="L278" s="2089"/>
      <c r="M278" s="2089"/>
      <c r="N278" s="2089"/>
      <c r="O278" s="2089"/>
      <c r="P278" s="2089"/>
      <c r="Q278" s="2089"/>
      <c r="R278" s="2235">
        <v>0.4</v>
      </c>
      <c r="S278" s="106"/>
      <c r="T278" s="106"/>
      <c r="U278" s="106"/>
      <c r="V278" s="106"/>
      <c r="W278" s="105"/>
      <c r="X278" s="105"/>
      <c r="Y278" s="105"/>
      <c r="Z278" s="323"/>
      <c r="AB278" s="3">
        <v>1</v>
      </c>
      <c r="AE278" s="2461"/>
      <c r="AF278" s="68"/>
    </row>
    <row r="279" spans="1:32" ht="45.5" x14ac:dyDescent="0.35">
      <c r="A279" s="347">
        <v>115</v>
      </c>
      <c r="B279" s="1064" t="s">
        <v>159</v>
      </c>
      <c r="C279" s="358" t="s">
        <v>1655</v>
      </c>
      <c r="D279" s="2464" t="s">
        <v>6016</v>
      </c>
      <c r="E279" s="312" t="s">
        <v>9457</v>
      </c>
      <c r="F279" s="2295"/>
      <c r="G279" s="2295" t="s">
        <v>191</v>
      </c>
      <c r="H279" s="2295" t="s">
        <v>191</v>
      </c>
      <c r="I279" s="777">
        <f t="shared" si="13"/>
        <v>0.755</v>
      </c>
      <c r="J279" s="777">
        <f t="shared" si="14"/>
        <v>0.755</v>
      </c>
      <c r="K279" s="772"/>
      <c r="L279" s="772"/>
      <c r="M279" s="772"/>
      <c r="N279" s="772">
        <f>SUM(N280:N281)</f>
        <v>8.9999999999999993E-3</v>
      </c>
      <c r="O279" s="773"/>
      <c r="P279" s="1470"/>
      <c r="Q279" s="1466"/>
      <c r="R279" s="1462">
        <f>SUM(R280:R281)</f>
        <v>0.746</v>
      </c>
      <c r="S279" s="1815"/>
      <c r="T279" s="1931"/>
      <c r="U279" s="1815"/>
      <c r="V279" s="1815"/>
      <c r="W279" s="1815"/>
      <c r="X279" s="1933"/>
      <c r="Y279" s="1815"/>
      <c r="Z279" s="2509"/>
      <c r="AB279" s="3">
        <v>1</v>
      </c>
      <c r="AE279" s="2461"/>
      <c r="AF279" s="68"/>
    </row>
    <row r="280" spans="1:32" x14ac:dyDescent="0.35">
      <c r="A280" s="369"/>
      <c r="B280" s="1064" t="s">
        <v>159</v>
      </c>
      <c r="C280" s="1064"/>
      <c r="D280" s="366"/>
      <c r="E280" s="357" t="s">
        <v>3469</v>
      </c>
      <c r="F280" s="2295" t="s">
        <v>1490</v>
      </c>
      <c r="G280" s="2295">
        <v>5</v>
      </c>
      <c r="H280" s="92">
        <v>6</v>
      </c>
      <c r="I280" s="2434"/>
      <c r="J280" s="2434"/>
      <c r="K280" s="774"/>
      <c r="L280" s="774"/>
      <c r="M280" s="774"/>
      <c r="N280" s="774">
        <v>8.9999999999999993E-3</v>
      </c>
      <c r="O280" s="775"/>
      <c r="P280" s="1824"/>
      <c r="Q280" s="1825"/>
      <c r="R280" s="2296"/>
      <c r="S280" s="1815"/>
      <c r="T280" s="1931"/>
      <c r="U280" s="1815"/>
      <c r="V280" s="1815"/>
      <c r="W280" s="1815"/>
      <c r="X280" s="1933"/>
      <c r="Y280" s="1815"/>
      <c r="Z280" s="2509"/>
      <c r="AE280" s="2461"/>
      <c r="AF280" s="68"/>
    </row>
    <row r="281" spans="1:32" x14ac:dyDescent="0.35">
      <c r="A281" s="369"/>
      <c r="B281" s="1064" t="s">
        <v>159</v>
      </c>
      <c r="C281" s="1064"/>
      <c r="D281" s="366"/>
      <c r="E281" s="1479" t="s">
        <v>3470</v>
      </c>
      <c r="F281" s="2295" t="s">
        <v>1490</v>
      </c>
      <c r="G281" s="2295">
        <v>5</v>
      </c>
      <c r="H281" s="92">
        <v>6</v>
      </c>
      <c r="I281" s="2434"/>
      <c r="J281" s="2434"/>
      <c r="K281" s="774"/>
      <c r="L281" s="774"/>
      <c r="M281" s="774"/>
      <c r="N281" s="774"/>
      <c r="O281" s="775"/>
      <c r="P281" s="1824"/>
      <c r="Q281" s="1825"/>
      <c r="R281" s="2296">
        <f>0.755-0.009</f>
        <v>0.746</v>
      </c>
      <c r="S281" s="1815"/>
      <c r="T281" s="1931"/>
      <c r="U281" s="1815"/>
      <c r="V281" s="1815"/>
      <c r="W281" s="1815"/>
      <c r="X281" s="1933"/>
      <c r="Y281" s="1815"/>
      <c r="Z281" s="2509"/>
      <c r="AE281" s="2461"/>
      <c r="AF281" s="68"/>
    </row>
    <row r="282" spans="1:32" ht="30.5" x14ac:dyDescent="0.35">
      <c r="A282" s="369">
        <v>116</v>
      </c>
      <c r="B282" s="1064" t="s">
        <v>159</v>
      </c>
      <c r="C282" s="1064"/>
      <c r="D282" s="2464" t="s">
        <v>6017</v>
      </c>
      <c r="E282" s="312" t="s">
        <v>9458</v>
      </c>
      <c r="F282" s="2295">
        <v>5</v>
      </c>
      <c r="G282" s="2295">
        <v>5</v>
      </c>
      <c r="H282" s="2295">
        <v>6</v>
      </c>
      <c r="I282" s="777">
        <f t="shared" si="13"/>
        <v>1.115</v>
      </c>
      <c r="J282" s="777">
        <f t="shared" si="14"/>
        <v>1.115</v>
      </c>
      <c r="K282" s="772"/>
      <c r="L282" s="772"/>
      <c r="M282" s="772"/>
      <c r="N282" s="772">
        <v>1.115</v>
      </c>
      <c r="O282" s="773"/>
      <c r="P282" s="1470"/>
      <c r="Q282" s="1466"/>
      <c r="R282" s="1462"/>
      <c r="S282" s="1815"/>
      <c r="T282" s="1931"/>
      <c r="U282" s="1815"/>
      <c r="V282" s="1815"/>
      <c r="W282" s="1815"/>
      <c r="X282" s="1933"/>
      <c r="Y282" s="1815"/>
      <c r="Z282" s="2509"/>
      <c r="AB282" s="3">
        <v>1</v>
      </c>
      <c r="AE282" s="2461"/>
      <c r="AF282" s="68"/>
    </row>
    <row r="283" spans="1:32" ht="45.5" x14ac:dyDescent="0.35">
      <c r="A283" s="347">
        <v>117</v>
      </c>
      <c r="B283" s="1064" t="s">
        <v>159</v>
      </c>
      <c r="C283" s="358" t="s">
        <v>1655</v>
      </c>
      <c r="D283" s="2464" t="s">
        <v>6018</v>
      </c>
      <c r="E283" s="312" t="s">
        <v>10881</v>
      </c>
      <c r="F283" s="2295" t="s">
        <v>1490</v>
      </c>
      <c r="G283" s="2295">
        <v>5</v>
      </c>
      <c r="H283" s="92">
        <v>6</v>
      </c>
      <c r="I283" s="777">
        <f t="shared" si="13"/>
        <v>1.2</v>
      </c>
      <c r="J283" s="777">
        <f t="shared" si="14"/>
        <v>1.2</v>
      </c>
      <c r="K283" s="772"/>
      <c r="L283" s="772"/>
      <c r="M283" s="772"/>
      <c r="N283" s="772"/>
      <c r="O283" s="773"/>
      <c r="P283" s="1470"/>
      <c r="Q283" s="1466"/>
      <c r="R283" s="1462">
        <v>1.2</v>
      </c>
      <c r="S283" s="1815"/>
      <c r="T283" s="1931"/>
      <c r="U283" s="1815"/>
      <c r="V283" s="1815"/>
      <c r="W283" s="1815"/>
      <c r="X283" s="1933"/>
      <c r="Y283" s="1815"/>
      <c r="Z283" s="2509"/>
      <c r="AB283" s="3">
        <v>1</v>
      </c>
      <c r="AE283" s="2461"/>
      <c r="AF283" s="68"/>
    </row>
    <row r="284" spans="1:32" ht="45.5" x14ac:dyDescent="0.35">
      <c r="A284" s="347">
        <v>118</v>
      </c>
      <c r="B284" s="405" t="s">
        <v>159</v>
      </c>
      <c r="C284" s="405"/>
      <c r="D284" s="2464" t="s">
        <v>6019</v>
      </c>
      <c r="E284" s="269" t="s">
        <v>11026</v>
      </c>
      <c r="F284" s="2295">
        <v>5</v>
      </c>
      <c r="G284" s="2295">
        <v>5</v>
      </c>
      <c r="H284" s="2295">
        <v>6</v>
      </c>
      <c r="I284" s="772">
        <f>J284+K284+L284</f>
        <v>0.85</v>
      </c>
      <c r="J284" s="772">
        <f>SUM(M284:R284)</f>
        <v>0.85</v>
      </c>
      <c r="K284" s="772"/>
      <c r="L284" s="772"/>
      <c r="M284" s="772"/>
      <c r="N284" s="772">
        <v>0.85</v>
      </c>
      <c r="O284" s="773"/>
      <c r="P284" s="1470"/>
      <c r="Q284" s="1466"/>
      <c r="R284" s="1462"/>
      <c r="S284" s="1815">
        <v>1</v>
      </c>
      <c r="T284" s="1931">
        <v>40</v>
      </c>
      <c r="U284" s="1815"/>
      <c r="V284" s="1815"/>
      <c r="W284" s="1815"/>
      <c r="X284" s="1933"/>
      <c r="Y284" s="1815"/>
      <c r="Z284" s="2509"/>
      <c r="AB284" s="3">
        <v>1</v>
      </c>
      <c r="AE284" s="2461"/>
      <c r="AF284" s="68"/>
    </row>
    <row r="285" spans="1:32" ht="45.5" x14ac:dyDescent="0.35">
      <c r="A285" s="1024">
        <v>119</v>
      </c>
      <c r="B285" s="405"/>
      <c r="C285" s="405" t="s">
        <v>1655</v>
      </c>
      <c r="D285" s="2464" t="s">
        <v>11120</v>
      </c>
      <c r="E285" s="312" t="s">
        <v>11123</v>
      </c>
      <c r="F285" s="2295"/>
      <c r="G285" s="2295" t="s">
        <v>191</v>
      </c>
      <c r="H285" s="2295" t="s">
        <v>191</v>
      </c>
      <c r="I285" s="1924">
        <f>J285+K285+L285</f>
        <v>1.44</v>
      </c>
      <c r="J285" s="1924">
        <f>SUM(M285:R285)</f>
        <v>1.3739999999999999</v>
      </c>
      <c r="K285" s="2089"/>
      <c r="L285" s="622">
        <f>SUM(L286:L287)</f>
        <v>6.6000000000000003E-2</v>
      </c>
      <c r="M285" s="2089"/>
      <c r="N285" s="2089"/>
      <c r="O285" s="2089"/>
      <c r="P285" s="2089"/>
      <c r="Q285" s="2085">
        <f>SUM(Q286:Q287)</f>
        <v>1.3739999999999999</v>
      </c>
      <c r="R285" s="2235"/>
      <c r="S285" s="1815"/>
      <c r="T285" s="1931"/>
      <c r="U285" s="1815"/>
      <c r="V285" s="1815"/>
      <c r="W285" s="1815"/>
      <c r="X285" s="1933"/>
      <c r="Y285" s="1815"/>
      <c r="Z285" s="2509"/>
      <c r="AB285" s="3">
        <v>1</v>
      </c>
      <c r="AE285" s="2461"/>
      <c r="AF285" s="68"/>
    </row>
    <row r="286" spans="1:32" ht="46.5" x14ac:dyDescent="0.35">
      <c r="A286" s="1024"/>
      <c r="B286" s="405"/>
      <c r="C286" s="405"/>
      <c r="D286" s="2464"/>
      <c r="E286" s="270" t="s">
        <v>11122</v>
      </c>
      <c r="F286" s="2295" t="s">
        <v>827</v>
      </c>
      <c r="G286" s="2295">
        <v>5</v>
      </c>
      <c r="H286" s="2295">
        <v>6</v>
      </c>
      <c r="I286" s="1918"/>
      <c r="J286" s="1918"/>
      <c r="K286" s="2347"/>
      <c r="L286" s="395">
        <v>6.6000000000000003E-2</v>
      </c>
      <c r="M286" s="2347"/>
      <c r="N286" s="2347"/>
      <c r="O286" s="2347"/>
      <c r="P286" s="2347"/>
      <c r="Q286" s="2086"/>
      <c r="R286" s="907"/>
      <c r="S286" s="1815"/>
      <c r="T286" s="1931"/>
      <c r="U286" s="1815"/>
      <c r="V286" s="1815"/>
      <c r="W286" s="1815"/>
      <c r="X286" s="1933"/>
      <c r="Y286" s="1815"/>
      <c r="Z286" s="2509"/>
      <c r="AE286" s="2461"/>
      <c r="AF286" s="68"/>
    </row>
    <row r="287" spans="1:32" x14ac:dyDescent="0.35">
      <c r="A287" s="1024"/>
      <c r="B287" s="405"/>
      <c r="C287" s="405"/>
      <c r="D287" s="2464"/>
      <c r="E287" s="1480" t="s">
        <v>11121</v>
      </c>
      <c r="F287" s="2295" t="s">
        <v>827</v>
      </c>
      <c r="G287" s="2295">
        <v>5</v>
      </c>
      <c r="H287" s="2295">
        <v>6</v>
      </c>
      <c r="I287" s="1918"/>
      <c r="J287" s="1918"/>
      <c r="K287" s="2347"/>
      <c r="L287" s="2347"/>
      <c r="M287" s="2347"/>
      <c r="N287" s="2347"/>
      <c r="O287" s="2347"/>
      <c r="P287" s="2347"/>
      <c r="Q287" s="2086">
        <f>1.44-0.066</f>
        <v>1.3739999999999999</v>
      </c>
      <c r="R287" s="907"/>
      <c r="S287" s="1815"/>
      <c r="T287" s="1931"/>
      <c r="U287" s="1815"/>
      <c r="V287" s="1815"/>
      <c r="W287" s="1815"/>
      <c r="X287" s="1933"/>
      <c r="Y287" s="1815"/>
      <c r="Z287" s="2509"/>
      <c r="AE287" s="2461"/>
      <c r="AF287" s="68"/>
    </row>
    <row r="288" spans="1:32" ht="27.75" customHeight="1" x14ac:dyDescent="0.35">
      <c r="A288" s="405"/>
      <c r="B288" s="358" t="s">
        <v>2161</v>
      </c>
      <c r="C288" s="358"/>
      <c r="D288" s="360"/>
      <c r="E288" s="1596" t="s">
        <v>219</v>
      </c>
      <c r="F288" s="92"/>
      <c r="G288" s="92"/>
      <c r="H288" s="92"/>
      <c r="I288" s="691"/>
      <c r="J288" s="691"/>
      <c r="K288" s="691"/>
      <c r="L288" s="691"/>
      <c r="M288" s="691"/>
      <c r="N288" s="691"/>
      <c r="O288" s="691"/>
      <c r="P288" s="1472"/>
      <c r="Q288" s="1090"/>
      <c r="R288" s="875"/>
      <c r="S288" s="154"/>
      <c r="T288" s="154"/>
      <c r="U288" s="154"/>
      <c r="V288" s="154"/>
      <c r="W288" s="154"/>
      <c r="X288" s="154"/>
      <c r="Y288" s="154"/>
      <c r="Z288" s="2355"/>
      <c r="AE288" s="2461"/>
      <c r="AF288" s="68"/>
    </row>
    <row r="289" spans="1:32" ht="51" customHeight="1" x14ac:dyDescent="0.35">
      <c r="A289" s="358">
        <v>120</v>
      </c>
      <c r="B289" s="358" t="s">
        <v>2161</v>
      </c>
      <c r="C289" s="358"/>
      <c r="D289" s="2464" t="s">
        <v>6020</v>
      </c>
      <c r="E289" s="312" t="s">
        <v>10729</v>
      </c>
      <c r="F289" s="2295"/>
      <c r="G289" s="2295" t="s">
        <v>191</v>
      </c>
      <c r="H289" s="2295" t="s">
        <v>191</v>
      </c>
      <c r="I289" s="2699">
        <f>J289+K289+L289</f>
        <v>1.56</v>
      </c>
      <c r="J289" s="2699">
        <f>SUM(M289:R289)</f>
        <v>1.5</v>
      </c>
      <c r="K289" s="2699">
        <f>SUM(K290:K292)</f>
        <v>6.0000000000000053E-2</v>
      </c>
      <c r="L289" s="2486"/>
      <c r="M289" s="772"/>
      <c r="N289" s="772">
        <f>SUM(N290:N292)</f>
        <v>1.5</v>
      </c>
      <c r="O289" s="773"/>
      <c r="P289" s="1470"/>
      <c r="Q289" s="1466"/>
      <c r="R289" s="1462"/>
      <c r="S289" s="1815"/>
      <c r="T289" s="1931"/>
      <c r="U289" s="1815"/>
      <c r="V289" s="1815"/>
      <c r="W289" s="46">
        <v>2</v>
      </c>
      <c r="X289" s="250">
        <v>25</v>
      </c>
      <c r="Y289" s="1815"/>
      <c r="Z289" s="2509"/>
      <c r="AB289" s="3">
        <v>1</v>
      </c>
    </row>
    <row r="290" spans="1:32" ht="50.25" customHeight="1" x14ac:dyDescent="0.35">
      <c r="A290" s="358"/>
      <c r="B290" s="358" t="s">
        <v>2161</v>
      </c>
      <c r="C290" s="358"/>
      <c r="D290" s="358"/>
      <c r="E290" s="313" t="s">
        <v>10010</v>
      </c>
      <c r="F290" s="2295">
        <v>4</v>
      </c>
      <c r="G290" s="2295">
        <v>3</v>
      </c>
      <c r="H290" s="2295">
        <v>6</v>
      </c>
      <c r="I290" s="2700"/>
      <c r="J290" s="2700"/>
      <c r="K290" s="2700"/>
      <c r="L290" s="774"/>
      <c r="M290" s="774"/>
      <c r="N290" s="774">
        <v>1.2749999999999999</v>
      </c>
      <c r="O290" s="775"/>
      <c r="P290" s="1824"/>
      <c r="Q290" s="1825"/>
      <c r="R290" s="2296"/>
      <c r="S290" s="2295"/>
      <c r="T290" s="2454"/>
      <c r="U290" s="2295"/>
      <c r="V290" s="2295"/>
      <c r="W290" s="92"/>
      <c r="X290" s="254"/>
      <c r="Y290" s="2295"/>
      <c r="Z290" s="2516"/>
    </row>
    <row r="291" spans="1:32" ht="64.5" customHeight="1" x14ac:dyDescent="0.35">
      <c r="A291" s="358"/>
      <c r="B291" s="358" t="s">
        <v>2161</v>
      </c>
      <c r="C291" s="358"/>
      <c r="D291" s="358"/>
      <c r="E291" s="313" t="s">
        <v>6838</v>
      </c>
      <c r="F291" s="2295">
        <v>4</v>
      </c>
      <c r="G291" s="2295">
        <v>3</v>
      </c>
      <c r="H291" s="2295" t="s">
        <v>191</v>
      </c>
      <c r="I291" s="2700"/>
      <c r="J291" s="2700"/>
      <c r="K291" s="2700">
        <f>1.335-1.275</f>
        <v>6.0000000000000053E-2</v>
      </c>
      <c r="L291" s="774"/>
      <c r="M291" s="774"/>
      <c r="N291" s="774"/>
      <c r="O291" s="775"/>
      <c r="P291" s="1824"/>
      <c r="Q291" s="1825"/>
      <c r="R291" s="2296"/>
      <c r="S291" s="2295"/>
      <c r="T291" s="2454"/>
      <c r="U291" s="2295"/>
      <c r="V291" s="2295"/>
      <c r="W291" s="92"/>
      <c r="X291" s="254"/>
      <c r="Y291" s="2295"/>
      <c r="Z291" s="2516"/>
    </row>
    <row r="292" spans="1:32" ht="46.5" x14ac:dyDescent="0.35">
      <c r="A292" s="358"/>
      <c r="B292" s="358" t="s">
        <v>2161</v>
      </c>
      <c r="C292" s="358"/>
      <c r="D292" s="358"/>
      <c r="E292" s="313" t="s">
        <v>10011</v>
      </c>
      <c r="F292" s="2295">
        <v>4</v>
      </c>
      <c r="G292" s="2295">
        <v>3</v>
      </c>
      <c r="H292" s="2295">
        <v>6</v>
      </c>
      <c r="I292" s="2700"/>
      <c r="J292" s="2700"/>
      <c r="K292" s="2700"/>
      <c r="L292" s="774"/>
      <c r="M292" s="774"/>
      <c r="N292" s="774">
        <f>1.56-1.335</f>
        <v>0.22500000000000009</v>
      </c>
      <c r="O292" s="775"/>
      <c r="P292" s="1824"/>
      <c r="Q292" s="1825"/>
      <c r="R292" s="2296"/>
      <c r="S292" s="2295"/>
      <c r="T292" s="2454"/>
      <c r="U292" s="2295"/>
      <c r="V292" s="2295"/>
      <c r="W292" s="92"/>
      <c r="X292" s="254"/>
      <c r="Y292" s="2295"/>
      <c r="Z292" s="2516"/>
    </row>
    <row r="293" spans="1:32" ht="30.5" x14ac:dyDescent="0.35">
      <c r="A293" s="358"/>
      <c r="B293" s="693" t="s">
        <v>163</v>
      </c>
      <c r="C293" s="693"/>
      <c r="D293" s="358"/>
      <c r="E293" s="1596" t="s">
        <v>1271</v>
      </c>
      <c r="F293" s="2295"/>
      <c r="G293" s="2295"/>
      <c r="H293" s="2295"/>
      <c r="I293" s="772"/>
      <c r="J293" s="772"/>
      <c r="K293" s="772"/>
      <c r="L293" s="772"/>
      <c r="M293" s="772"/>
      <c r="N293" s="772"/>
      <c r="O293" s="773"/>
      <c r="P293" s="1470"/>
      <c r="Q293" s="1466"/>
      <c r="R293" s="1462"/>
      <c r="S293" s="1815"/>
      <c r="T293" s="1931"/>
      <c r="U293" s="1815"/>
      <c r="V293" s="1815"/>
      <c r="W293" s="46"/>
      <c r="X293" s="250"/>
      <c r="Y293" s="1815"/>
      <c r="Z293" s="2509"/>
      <c r="AE293" s="2461"/>
      <c r="AF293" s="68"/>
    </row>
    <row r="294" spans="1:32" ht="30" x14ac:dyDescent="0.35">
      <c r="A294" s="693">
        <v>121</v>
      </c>
      <c r="B294" s="693" t="s">
        <v>163</v>
      </c>
      <c r="C294" s="693"/>
      <c r="D294" s="2464" t="s">
        <v>6021</v>
      </c>
      <c r="E294" s="2187" t="s">
        <v>11543</v>
      </c>
      <c r="F294" s="2872" t="s">
        <v>827</v>
      </c>
      <c r="G294" s="92">
        <v>5</v>
      </c>
      <c r="H294" s="2295">
        <v>6</v>
      </c>
      <c r="I294" s="2841">
        <f>J294+K294+L294</f>
        <v>1.03</v>
      </c>
      <c r="J294" s="2841">
        <f>SUM(M294:R294)</f>
        <v>1.03</v>
      </c>
      <c r="K294" s="2089"/>
      <c r="L294" s="2089"/>
      <c r="M294" s="2089"/>
      <c r="N294" s="2908">
        <v>0</v>
      </c>
      <c r="O294" s="2089"/>
      <c r="P294" s="2089"/>
      <c r="Q294" s="2085">
        <v>1.03</v>
      </c>
      <c r="R294" s="2235"/>
      <c r="S294" s="106"/>
      <c r="T294" s="106"/>
      <c r="U294" s="106"/>
      <c r="V294" s="106"/>
      <c r="W294" s="105"/>
      <c r="X294" s="105"/>
      <c r="Y294" s="105"/>
      <c r="Z294" s="323"/>
      <c r="AB294" s="3">
        <v>1</v>
      </c>
      <c r="AE294" s="2461"/>
      <c r="AF294" s="68"/>
    </row>
    <row r="295" spans="1:32" ht="30" x14ac:dyDescent="0.35">
      <c r="A295" s="693">
        <v>122</v>
      </c>
      <c r="B295" s="693" t="s">
        <v>163</v>
      </c>
      <c r="C295" s="693"/>
      <c r="D295" s="2464" t="s">
        <v>6022</v>
      </c>
      <c r="E295" s="2187" t="s">
        <v>7952</v>
      </c>
      <c r="F295" s="92" t="s">
        <v>827</v>
      </c>
      <c r="G295" s="92">
        <v>5</v>
      </c>
      <c r="H295" s="2295">
        <v>6</v>
      </c>
      <c r="I295" s="702">
        <f>J295+K295+L295</f>
        <v>2.85</v>
      </c>
      <c r="J295" s="702">
        <f>SUM(M295:R295)</f>
        <v>2.85</v>
      </c>
      <c r="K295" s="2089"/>
      <c r="L295" s="2089"/>
      <c r="M295" s="2089"/>
      <c r="N295" s="2089"/>
      <c r="O295" s="2089"/>
      <c r="P295" s="2089"/>
      <c r="Q295" s="2085">
        <v>2.85</v>
      </c>
      <c r="R295" s="2235"/>
      <c r="S295" s="106"/>
      <c r="T295" s="106"/>
      <c r="U295" s="106"/>
      <c r="V295" s="106"/>
      <c r="W295" s="105"/>
      <c r="X295" s="105"/>
      <c r="Y295" s="105"/>
      <c r="Z295" s="323"/>
      <c r="AB295" s="3">
        <v>1</v>
      </c>
      <c r="AE295" s="2461"/>
      <c r="AF295" s="68"/>
    </row>
    <row r="296" spans="1:32" ht="30" x14ac:dyDescent="0.35">
      <c r="A296" s="693">
        <v>123</v>
      </c>
      <c r="B296" s="693" t="s">
        <v>163</v>
      </c>
      <c r="C296" s="365" t="s">
        <v>1656</v>
      </c>
      <c r="D296" s="2464" t="s">
        <v>6023</v>
      </c>
      <c r="E296" s="2187" t="s">
        <v>8912</v>
      </c>
      <c r="F296" s="92" t="s">
        <v>664</v>
      </c>
      <c r="G296" s="92">
        <v>5</v>
      </c>
      <c r="H296" s="92">
        <v>6</v>
      </c>
      <c r="I296" s="702">
        <f>J296+K296+L296</f>
        <v>0.45</v>
      </c>
      <c r="J296" s="702">
        <f>SUM(M296:R296)</f>
        <v>0.45</v>
      </c>
      <c r="K296" s="2089"/>
      <c r="L296" s="2089"/>
      <c r="M296" s="2089"/>
      <c r="N296" s="2089"/>
      <c r="O296" s="2089"/>
      <c r="P296" s="2089"/>
      <c r="Q296" s="2148"/>
      <c r="R296" s="2235">
        <v>0.45</v>
      </c>
      <c r="S296" s="106"/>
      <c r="T296" s="106"/>
      <c r="U296" s="106"/>
      <c r="V296" s="106"/>
      <c r="W296" s="105"/>
      <c r="X296" s="105"/>
      <c r="Y296" s="105"/>
      <c r="Z296" s="323"/>
      <c r="AB296" s="3">
        <v>1</v>
      </c>
      <c r="AE296" s="2461"/>
      <c r="AF296" s="68"/>
    </row>
    <row r="297" spans="1:32" ht="30" x14ac:dyDescent="0.35">
      <c r="A297" s="693">
        <v>124</v>
      </c>
      <c r="B297" s="693" t="s">
        <v>163</v>
      </c>
      <c r="C297" s="365" t="s">
        <v>1656</v>
      </c>
      <c r="D297" s="2464" t="s">
        <v>6024</v>
      </c>
      <c r="E297" s="2187" t="s">
        <v>8913</v>
      </c>
      <c r="F297" s="92" t="s">
        <v>664</v>
      </c>
      <c r="G297" s="92">
        <v>5</v>
      </c>
      <c r="H297" s="92">
        <v>6</v>
      </c>
      <c r="I297" s="702">
        <f>J297+K297+L297</f>
        <v>0.4</v>
      </c>
      <c r="J297" s="702">
        <f>SUM(M297:R297)</f>
        <v>0.4</v>
      </c>
      <c r="K297" s="2089"/>
      <c r="L297" s="2089"/>
      <c r="M297" s="2089"/>
      <c r="N297" s="2089"/>
      <c r="O297" s="2089"/>
      <c r="P297" s="2089"/>
      <c r="Q297" s="2148"/>
      <c r="R297" s="2235">
        <v>0.4</v>
      </c>
      <c r="S297" s="106"/>
      <c r="T297" s="106"/>
      <c r="U297" s="106"/>
      <c r="V297" s="106"/>
      <c r="W297" s="105"/>
      <c r="X297" s="105"/>
      <c r="Y297" s="105"/>
      <c r="Z297" s="323"/>
      <c r="AB297" s="3">
        <v>1</v>
      </c>
      <c r="AE297" s="2461"/>
      <c r="AF297" s="68"/>
    </row>
    <row r="298" spans="1:32" ht="30.5" x14ac:dyDescent="0.35">
      <c r="A298" s="358"/>
      <c r="B298" s="358" t="s">
        <v>166</v>
      </c>
      <c r="C298" s="358"/>
      <c r="D298" s="358"/>
      <c r="E298" s="1596" t="s">
        <v>2109</v>
      </c>
      <c r="F298" s="2295"/>
      <c r="G298" s="2295"/>
      <c r="H298" s="2295"/>
      <c r="I298" s="772"/>
      <c r="J298" s="772"/>
      <c r="K298" s="772"/>
      <c r="L298" s="772"/>
      <c r="M298" s="772"/>
      <c r="N298" s="772"/>
      <c r="O298" s="773"/>
      <c r="P298" s="1470"/>
      <c r="Q298" s="1466"/>
      <c r="R298" s="1462"/>
      <c r="S298" s="1815"/>
      <c r="T298" s="1931"/>
      <c r="U298" s="1815"/>
      <c r="V298" s="1815"/>
      <c r="W298" s="46"/>
      <c r="X298" s="250"/>
      <c r="Y298" s="1815"/>
      <c r="Z298" s="2509"/>
      <c r="AE298" s="2461"/>
      <c r="AF298" s="68"/>
    </row>
    <row r="299" spans="1:32" ht="30.5" x14ac:dyDescent="0.35">
      <c r="A299" s="358">
        <v>125</v>
      </c>
      <c r="B299" s="358" t="s">
        <v>166</v>
      </c>
      <c r="C299" s="358"/>
      <c r="D299" s="2464" t="s">
        <v>6025</v>
      </c>
      <c r="E299" s="312" t="s">
        <v>7953</v>
      </c>
      <c r="F299" s="2295">
        <v>5</v>
      </c>
      <c r="G299" s="2295">
        <v>5</v>
      </c>
      <c r="H299" s="2295">
        <v>6</v>
      </c>
      <c r="I299" s="772">
        <f>J299+K299+L299</f>
        <v>1.3</v>
      </c>
      <c r="J299" s="772">
        <f>SUM(M299:R299)</f>
        <v>1.3</v>
      </c>
      <c r="K299" s="772"/>
      <c r="L299" s="772"/>
      <c r="M299" s="772"/>
      <c r="N299" s="772"/>
      <c r="O299" s="773"/>
      <c r="P299" s="1470"/>
      <c r="Q299" s="1466">
        <v>1.3</v>
      </c>
      <c r="R299" s="1462"/>
      <c r="S299" s="1815"/>
      <c r="T299" s="1931"/>
      <c r="U299" s="1815"/>
      <c r="V299" s="1815"/>
      <c r="W299" s="1815"/>
      <c r="X299" s="1933"/>
      <c r="Y299" s="1815"/>
      <c r="Z299" s="2509"/>
      <c r="AB299" s="3">
        <v>1</v>
      </c>
      <c r="AE299" s="2461"/>
      <c r="AF299" s="68"/>
    </row>
    <row r="300" spans="1:32" ht="30.5" x14ac:dyDescent="0.35">
      <c r="A300" s="358">
        <v>126</v>
      </c>
      <c r="B300" s="358" t="s">
        <v>166</v>
      </c>
      <c r="C300" s="358"/>
      <c r="D300" s="2464" t="s">
        <v>6026</v>
      </c>
      <c r="E300" s="312" t="s">
        <v>7954</v>
      </c>
      <c r="F300" s="2295" t="s">
        <v>827</v>
      </c>
      <c r="G300" s="2295">
        <v>5</v>
      </c>
      <c r="H300" s="92">
        <v>6</v>
      </c>
      <c r="I300" s="772">
        <f>J300+K300+L300</f>
        <v>1.6</v>
      </c>
      <c r="J300" s="772">
        <f>SUM(M300:R300)</f>
        <v>1.6</v>
      </c>
      <c r="K300" s="772"/>
      <c r="L300" s="772"/>
      <c r="M300" s="772"/>
      <c r="N300" s="772"/>
      <c r="O300" s="773"/>
      <c r="P300" s="1470"/>
      <c r="Q300" s="1466"/>
      <c r="R300" s="1462">
        <v>1.6</v>
      </c>
      <c r="S300" s="1815"/>
      <c r="T300" s="1931"/>
      <c r="U300" s="1815"/>
      <c r="V300" s="1815"/>
      <c r="W300" s="1815"/>
      <c r="X300" s="1933"/>
      <c r="Y300" s="1815"/>
      <c r="Z300" s="2509"/>
      <c r="AB300" s="3">
        <v>1</v>
      </c>
      <c r="AE300" s="2461"/>
      <c r="AF300" s="68"/>
    </row>
    <row r="301" spans="1:32" ht="30.5" x14ac:dyDescent="0.35">
      <c r="A301" s="358">
        <v>127</v>
      </c>
      <c r="B301" s="358" t="s">
        <v>166</v>
      </c>
      <c r="C301" s="358"/>
      <c r="D301" s="2464" t="s">
        <v>6027</v>
      </c>
      <c r="E301" s="312" t="s">
        <v>7955</v>
      </c>
      <c r="F301" s="2295"/>
      <c r="G301" s="2295" t="s">
        <v>191</v>
      </c>
      <c r="H301" s="2295" t="s">
        <v>191</v>
      </c>
      <c r="I301" s="772">
        <f>J301+K301+L301</f>
        <v>1.784</v>
      </c>
      <c r="J301" s="772">
        <f>SUM(M301:R301)</f>
        <v>1.784</v>
      </c>
      <c r="K301" s="772"/>
      <c r="L301" s="772"/>
      <c r="M301" s="772"/>
      <c r="N301" s="772">
        <f>SUM(N302:N304)</f>
        <v>1.3480000000000001</v>
      </c>
      <c r="O301" s="773"/>
      <c r="P301" s="1470"/>
      <c r="Q301" s="1466">
        <f>SUM(Q302:Q304)</f>
        <v>0.43599999999999994</v>
      </c>
      <c r="R301" s="1462"/>
      <c r="S301" s="1815"/>
      <c r="T301" s="1931"/>
      <c r="U301" s="1815"/>
      <c r="V301" s="1815"/>
      <c r="W301" s="46">
        <v>5</v>
      </c>
      <c r="X301" s="250">
        <v>57.58</v>
      </c>
      <c r="Y301" s="46">
        <v>1</v>
      </c>
      <c r="Z301" s="47">
        <v>10</v>
      </c>
      <c r="AB301" s="3">
        <v>1</v>
      </c>
      <c r="AE301" s="2461"/>
      <c r="AF301" s="68"/>
    </row>
    <row r="302" spans="1:32" x14ac:dyDescent="0.35">
      <c r="A302" s="360"/>
      <c r="B302" s="358" t="s">
        <v>166</v>
      </c>
      <c r="C302" s="358"/>
      <c r="D302" s="360"/>
      <c r="E302" s="357" t="s">
        <v>3324</v>
      </c>
      <c r="F302" s="2295" t="s">
        <v>827</v>
      </c>
      <c r="G302" s="2295">
        <v>4</v>
      </c>
      <c r="H302" s="2295">
        <v>6</v>
      </c>
      <c r="I302" s="774"/>
      <c r="J302" s="774"/>
      <c r="K302" s="774"/>
      <c r="L302" s="774"/>
      <c r="M302" s="774"/>
      <c r="N302" s="774">
        <v>0.51200000000000001</v>
      </c>
      <c r="O302" s="775"/>
      <c r="P302" s="1473"/>
      <c r="Q302" s="1467"/>
      <c r="R302" s="1463"/>
      <c r="S302" s="1815"/>
      <c r="T302" s="1931"/>
      <c r="U302" s="1815"/>
      <c r="V302" s="1815"/>
      <c r="W302" s="1815"/>
      <c r="X302" s="1933"/>
      <c r="Y302" s="1815"/>
      <c r="Z302" s="2509"/>
      <c r="AE302" s="2461"/>
      <c r="AF302" s="68"/>
    </row>
    <row r="303" spans="1:32" x14ac:dyDescent="0.35">
      <c r="A303" s="360"/>
      <c r="B303" s="358" t="s">
        <v>166</v>
      </c>
      <c r="C303" s="358"/>
      <c r="D303" s="360"/>
      <c r="E303" s="1480" t="s">
        <v>3325</v>
      </c>
      <c r="F303" s="2295" t="s">
        <v>827</v>
      </c>
      <c r="G303" s="2295">
        <v>4</v>
      </c>
      <c r="H303" s="2295">
        <v>6</v>
      </c>
      <c r="I303" s="774"/>
      <c r="J303" s="774"/>
      <c r="K303" s="774"/>
      <c r="L303" s="774"/>
      <c r="M303" s="774"/>
      <c r="N303" s="774"/>
      <c r="O303" s="775"/>
      <c r="P303" s="1473"/>
      <c r="Q303" s="1467">
        <f>0.948-0.512</f>
        <v>0.43599999999999994</v>
      </c>
      <c r="R303" s="1463"/>
      <c r="S303" s="1815"/>
      <c r="T303" s="1931"/>
      <c r="U303" s="1815"/>
      <c r="V303" s="1815"/>
      <c r="W303" s="1815"/>
      <c r="X303" s="1933"/>
      <c r="Y303" s="1815"/>
      <c r="Z303" s="2509"/>
      <c r="AE303" s="2461"/>
      <c r="AF303" s="68"/>
    </row>
    <row r="304" spans="1:32" x14ac:dyDescent="0.35">
      <c r="A304" s="360"/>
      <c r="B304" s="358" t="s">
        <v>166</v>
      </c>
      <c r="C304" s="358"/>
      <c r="D304" s="360"/>
      <c r="E304" s="357" t="s">
        <v>3326</v>
      </c>
      <c r="F304" s="2295" t="s">
        <v>827</v>
      </c>
      <c r="G304" s="2295">
        <v>4</v>
      </c>
      <c r="H304" s="2295">
        <v>6</v>
      </c>
      <c r="I304" s="774"/>
      <c r="J304" s="774"/>
      <c r="K304" s="774"/>
      <c r="L304" s="774"/>
      <c r="M304" s="774"/>
      <c r="N304" s="774">
        <f>1.784-0.948</f>
        <v>0.83600000000000008</v>
      </c>
      <c r="O304" s="775"/>
      <c r="P304" s="1473"/>
      <c r="Q304" s="1467"/>
      <c r="R304" s="1463"/>
      <c r="S304" s="1815"/>
      <c r="T304" s="1931"/>
      <c r="U304" s="1815"/>
      <c r="V304" s="1815"/>
      <c r="W304" s="1815"/>
      <c r="X304" s="1933"/>
      <c r="Y304" s="1815"/>
      <c r="Z304" s="2509"/>
      <c r="AE304" s="2461"/>
      <c r="AF304" s="68"/>
    </row>
    <row r="305" spans="1:32" ht="45.5" x14ac:dyDescent="0.35">
      <c r="A305" s="358">
        <v>128</v>
      </c>
      <c r="B305" s="358" t="s">
        <v>166</v>
      </c>
      <c r="C305" s="358"/>
      <c r="D305" s="2464" t="s">
        <v>6028</v>
      </c>
      <c r="E305" s="312" t="s">
        <v>10199</v>
      </c>
      <c r="F305" s="2295">
        <v>4</v>
      </c>
      <c r="G305" s="2295">
        <v>3</v>
      </c>
      <c r="H305" s="2295">
        <v>6</v>
      </c>
      <c r="I305" s="772">
        <f>J305+K305+L305</f>
        <v>16.263999999999999</v>
      </c>
      <c r="J305" s="772">
        <f>SUM(M305:R305)</f>
        <v>16.263999999999999</v>
      </c>
      <c r="K305" s="772"/>
      <c r="L305" s="772"/>
      <c r="M305" s="772"/>
      <c r="N305" s="772">
        <v>16.263999999999999</v>
      </c>
      <c r="O305" s="773"/>
      <c r="P305" s="1470"/>
      <c r="Q305" s="1466"/>
      <c r="R305" s="1462"/>
      <c r="S305" s="1815"/>
      <c r="T305" s="1931"/>
      <c r="U305" s="1815"/>
      <c r="V305" s="1815"/>
      <c r="W305" s="46">
        <v>21</v>
      </c>
      <c r="X305" s="250">
        <v>339.81</v>
      </c>
      <c r="Y305" s="46">
        <v>3</v>
      </c>
      <c r="Z305" s="47">
        <v>28</v>
      </c>
      <c r="AB305" s="3">
        <v>1</v>
      </c>
      <c r="AE305" s="2461"/>
      <c r="AF305" s="68"/>
    </row>
    <row r="306" spans="1:32" ht="60.5" x14ac:dyDescent="0.35">
      <c r="A306" s="826">
        <v>129</v>
      </c>
      <c r="B306" s="358" t="s">
        <v>166</v>
      </c>
      <c r="C306" s="358"/>
      <c r="D306" s="2464" t="s">
        <v>6029</v>
      </c>
      <c r="E306" s="312" t="s">
        <v>10200</v>
      </c>
      <c r="F306" s="2295"/>
      <c r="G306" s="2295" t="s">
        <v>191</v>
      </c>
      <c r="H306" s="2295" t="s">
        <v>191</v>
      </c>
      <c r="I306" s="772">
        <f>J306+K306+L306</f>
        <v>0.54300000000000004</v>
      </c>
      <c r="J306" s="772">
        <f>SUM(M306:R306)</f>
        <v>0.54300000000000004</v>
      </c>
      <c r="K306" s="772"/>
      <c r="L306" s="772"/>
      <c r="M306" s="772"/>
      <c r="N306" s="772">
        <f>SUM(N307:N308)</f>
        <v>0.41199999999999998</v>
      </c>
      <c r="O306" s="773"/>
      <c r="P306" s="1470"/>
      <c r="Q306" s="1466">
        <f>SUM(Q307:Q308)</f>
        <v>0.13100000000000006</v>
      </c>
      <c r="R306" s="1462"/>
      <c r="S306" s="1815"/>
      <c r="T306" s="1931"/>
      <c r="U306" s="1815"/>
      <c r="V306" s="1815"/>
      <c r="W306" s="46">
        <v>1</v>
      </c>
      <c r="X306" s="250">
        <v>15.8</v>
      </c>
      <c r="Y306" s="1815"/>
      <c r="Z306" s="2509"/>
      <c r="AB306" s="3">
        <v>1</v>
      </c>
      <c r="AE306" s="2461"/>
      <c r="AF306" s="68"/>
    </row>
    <row r="307" spans="1:32" x14ac:dyDescent="0.35">
      <c r="A307" s="826"/>
      <c r="B307" s="358" t="s">
        <v>166</v>
      </c>
      <c r="C307" s="358"/>
      <c r="D307" s="358"/>
      <c r="E307" s="357" t="s">
        <v>3472</v>
      </c>
      <c r="F307" s="2295">
        <v>5</v>
      </c>
      <c r="G307" s="2295">
        <v>4</v>
      </c>
      <c r="H307" s="2295">
        <v>6</v>
      </c>
      <c r="I307" s="774"/>
      <c r="J307" s="774"/>
      <c r="K307" s="774"/>
      <c r="L307" s="774"/>
      <c r="M307" s="774"/>
      <c r="N307" s="774">
        <v>0.41199999999999998</v>
      </c>
      <c r="O307" s="775"/>
      <c r="P307" s="1824"/>
      <c r="Q307" s="1825"/>
      <c r="R307" s="1462"/>
      <c r="S307" s="1815"/>
      <c r="T307" s="1931"/>
      <c r="U307" s="1815"/>
      <c r="V307" s="1815"/>
      <c r="W307" s="46"/>
      <c r="X307" s="250"/>
      <c r="Y307" s="1815"/>
      <c r="Z307" s="2509"/>
      <c r="AE307" s="2461"/>
      <c r="AF307" s="68"/>
    </row>
    <row r="308" spans="1:32" x14ac:dyDescent="0.35">
      <c r="A308" s="826"/>
      <c r="B308" s="358" t="s">
        <v>166</v>
      </c>
      <c r="C308" s="358"/>
      <c r="D308" s="358"/>
      <c r="E308" s="1480" t="s">
        <v>3473</v>
      </c>
      <c r="F308" s="2295">
        <v>5</v>
      </c>
      <c r="G308" s="2295">
        <v>4</v>
      </c>
      <c r="H308" s="2295">
        <v>6</v>
      </c>
      <c r="I308" s="774"/>
      <c r="J308" s="774"/>
      <c r="K308" s="774"/>
      <c r="L308" s="774"/>
      <c r="M308" s="774"/>
      <c r="N308" s="774"/>
      <c r="O308" s="775"/>
      <c r="P308" s="1824"/>
      <c r="Q308" s="1825">
        <f>0.543-0.412</f>
        <v>0.13100000000000006</v>
      </c>
      <c r="R308" s="1462"/>
      <c r="S308" s="1815"/>
      <c r="T308" s="1931"/>
      <c r="U308" s="1815"/>
      <c r="V308" s="1815"/>
      <c r="W308" s="46"/>
      <c r="X308" s="250"/>
      <c r="Y308" s="1815"/>
      <c r="Z308" s="2509"/>
      <c r="AE308" s="2461"/>
      <c r="AF308" s="68"/>
    </row>
    <row r="309" spans="1:32" ht="60.5" x14ac:dyDescent="0.35">
      <c r="A309" s="358">
        <v>130</v>
      </c>
      <c r="B309" s="358" t="s">
        <v>166</v>
      </c>
      <c r="C309" s="358"/>
      <c r="D309" s="2464" t="s">
        <v>6030</v>
      </c>
      <c r="E309" s="312" t="s">
        <v>10201</v>
      </c>
      <c r="F309" s="2295"/>
      <c r="G309" s="2295" t="s">
        <v>191</v>
      </c>
      <c r="H309" s="2295" t="s">
        <v>191</v>
      </c>
      <c r="I309" s="772">
        <f>J309+K309+L309</f>
        <v>1.9910000000000003</v>
      </c>
      <c r="J309" s="772">
        <f>SUM(M309:R309)</f>
        <v>1.9910000000000003</v>
      </c>
      <c r="K309" s="772"/>
      <c r="L309" s="772"/>
      <c r="M309" s="772"/>
      <c r="N309" s="772"/>
      <c r="O309" s="773"/>
      <c r="P309" s="1470"/>
      <c r="Q309" s="1466">
        <f>SUM(Q310:Q312)</f>
        <v>1.9910000000000003</v>
      </c>
      <c r="R309" s="1462"/>
      <c r="S309" s="1815"/>
      <c r="T309" s="1931"/>
      <c r="U309" s="1815"/>
      <c r="V309" s="1815"/>
      <c r="W309" s="46">
        <v>4</v>
      </c>
      <c r="X309" s="250">
        <v>38.4</v>
      </c>
      <c r="Y309" s="1815"/>
      <c r="Z309" s="2509"/>
      <c r="AB309" s="3">
        <v>1</v>
      </c>
      <c r="AE309" s="2461"/>
      <c r="AF309" s="68"/>
    </row>
    <row r="310" spans="1:32" x14ac:dyDescent="0.35">
      <c r="A310" s="358"/>
      <c r="B310" s="358" t="s">
        <v>166</v>
      </c>
      <c r="C310" s="358"/>
      <c r="D310" s="358"/>
      <c r="E310" s="1480" t="s">
        <v>365</v>
      </c>
      <c r="F310" s="2295" t="s">
        <v>1490</v>
      </c>
      <c r="G310" s="2295">
        <v>4</v>
      </c>
      <c r="H310" s="2295">
        <v>6</v>
      </c>
      <c r="I310" s="774"/>
      <c r="J310" s="774"/>
      <c r="K310" s="774"/>
      <c r="L310" s="774"/>
      <c r="M310" s="774"/>
      <c r="N310" s="774"/>
      <c r="O310" s="775"/>
      <c r="P310" s="1824"/>
      <c r="Q310" s="1825">
        <v>0.6</v>
      </c>
      <c r="R310" s="2296"/>
      <c r="S310" s="1815"/>
      <c r="T310" s="1931"/>
      <c r="U310" s="1815"/>
      <c r="V310" s="1815"/>
      <c r="W310" s="46"/>
      <c r="X310" s="250"/>
      <c r="Y310" s="1815"/>
      <c r="Z310" s="2509"/>
      <c r="AE310" s="2461"/>
      <c r="AF310" s="68"/>
    </row>
    <row r="311" spans="1:32" x14ac:dyDescent="0.35">
      <c r="A311" s="358"/>
      <c r="B311" s="358" t="s">
        <v>166</v>
      </c>
      <c r="C311" s="358"/>
      <c r="D311" s="358"/>
      <c r="E311" s="1480" t="s">
        <v>3474</v>
      </c>
      <c r="F311" s="2295" t="s">
        <v>827</v>
      </c>
      <c r="G311" s="2295">
        <v>4</v>
      </c>
      <c r="H311" s="2295">
        <v>6</v>
      </c>
      <c r="I311" s="774"/>
      <c r="J311" s="774"/>
      <c r="K311" s="774"/>
      <c r="L311" s="774"/>
      <c r="M311" s="774"/>
      <c r="N311" s="774"/>
      <c r="O311" s="775"/>
      <c r="P311" s="1824"/>
      <c r="Q311" s="1825">
        <f>1.8-0.6</f>
        <v>1.2000000000000002</v>
      </c>
      <c r="R311" s="2296"/>
      <c r="S311" s="1815"/>
      <c r="T311" s="1931"/>
      <c r="U311" s="1815"/>
      <c r="V311" s="1815"/>
      <c r="W311" s="46"/>
      <c r="X311" s="250"/>
      <c r="Y311" s="1815"/>
      <c r="Z311" s="2509"/>
      <c r="AE311" s="2461"/>
      <c r="AF311" s="68"/>
    </row>
    <row r="312" spans="1:32" x14ac:dyDescent="0.35">
      <c r="A312" s="358"/>
      <c r="B312" s="358" t="s">
        <v>166</v>
      </c>
      <c r="C312" s="358"/>
      <c r="D312" s="358"/>
      <c r="E312" s="1480" t="s">
        <v>3475</v>
      </c>
      <c r="F312" s="2295" t="s">
        <v>1490</v>
      </c>
      <c r="G312" s="2295">
        <v>4</v>
      </c>
      <c r="H312" s="2295">
        <v>6</v>
      </c>
      <c r="I312" s="774"/>
      <c r="J312" s="774"/>
      <c r="K312" s="774"/>
      <c r="L312" s="774"/>
      <c r="M312" s="774"/>
      <c r="N312" s="774"/>
      <c r="O312" s="775"/>
      <c r="P312" s="1824"/>
      <c r="Q312" s="1825">
        <f>1.991-1.8</f>
        <v>0.19100000000000006</v>
      </c>
      <c r="R312" s="2296"/>
      <c r="S312" s="1815"/>
      <c r="T312" s="1931"/>
      <c r="U312" s="1815"/>
      <c r="V312" s="1815"/>
      <c r="W312" s="46"/>
      <c r="X312" s="250"/>
      <c r="Y312" s="1815"/>
      <c r="Z312" s="2509"/>
      <c r="AE312" s="2461"/>
      <c r="AF312" s="68"/>
    </row>
    <row r="313" spans="1:32" ht="30.5" x14ac:dyDescent="0.35">
      <c r="A313" s="826">
        <v>131</v>
      </c>
      <c r="B313" s="358" t="s">
        <v>166</v>
      </c>
      <c r="C313" s="358"/>
      <c r="D313" s="2464" t="s">
        <v>6031</v>
      </c>
      <c r="E313" s="312" t="s">
        <v>9379</v>
      </c>
      <c r="F313" s="2295"/>
      <c r="G313" s="2295" t="s">
        <v>191</v>
      </c>
      <c r="H313" s="2295" t="s">
        <v>191</v>
      </c>
      <c r="I313" s="772">
        <f>J313+K313+L313</f>
        <v>3.0999999999999996</v>
      </c>
      <c r="J313" s="772">
        <f>SUM(M313:R313)</f>
        <v>3.0999999999999996</v>
      </c>
      <c r="K313" s="772"/>
      <c r="L313" s="772"/>
      <c r="M313" s="772"/>
      <c r="N313" s="772"/>
      <c r="O313" s="773"/>
      <c r="P313" s="1470"/>
      <c r="Q313" s="1466">
        <f>SUM(Q314:Q315)</f>
        <v>2.8</v>
      </c>
      <c r="R313" s="1462">
        <f>SUM(R314:R315)</f>
        <v>0.3</v>
      </c>
      <c r="S313" s="1815"/>
      <c r="T313" s="1931"/>
      <c r="U313" s="1815"/>
      <c r="V313" s="1815"/>
      <c r="W313" s="46">
        <v>4</v>
      </c>
      <c r="X313" s="250">
        <v>40</v>
      </c>
      <c r="Y313" s="1815"/>
      <c r="Z313" s="2509"/>
      <c r="AB313" s="3">
        <v>1</v>
      </c>
      <c r="AE313" s="2461"/>
      <c r="AF313" s="68"/>
    </row>
    <row r="314" spans="1:32" x14ac:dyDescent="0.35">
      <c r="A314" s="360"/>
      <c r="B314" s="358" t="s">
        <v>166</v>
      </c>
      <c r="C314" s="358"/>
      <c r="D314" s="360"/>
      <c r="E314" s="1480" t="s">
        <v>815</v>
      </c>
      <c r="F314" s="2295">
        <v>5</v>
      </c>
      <c r="G314" s="2295">
        <v>4</v>
      </c>
      <c r="H314" s="2295">
        <v>6</v>
      </c>
      <c r="I314" s="774"/>
      <c r="J314" s="774"/>
      <c r="K314" s="774"/>
      <c r="L314" s="774"/>
      <c r="M314" s="774"/>
      <c r="N314" s="774"/>
      <c r="O314" s="775"/>
      <c r="P314" s="1473"/>
      <c r="Q314" s="1467">
        <v>2.8</v>
      </c>
      <c r="R314" s="1463"/>
      <c r="S314" s="1815"/>
      <c r="T314" s="1931"/>
      <c r="U314" s="1815"/>
      <c r="V314" s="1815"/>
      <c r="W314" s="1815"/>
      <c r="X314" s="1933"/>
      <c r="Y314" s="1815"/>
      <c r="Z314" s="2509"/>
      <c r="AE314" s="2461"/>
      <c r="AF314" s="68"/>
    </row>
    <row r="315" spans="1:32" x14ac:dyDescent="0.35">
      <c r="A315" s="360"/>
      <c r="B315" s="358" t="s">
        <v>166</v>
      </c>
      <c r="C315" s="358"/>
      <c r="D315" s="360"/>
      <c r="E315" s="1479" t="s">
        <v>1284</v>
      </c>
      <c r="F315" s="2295" t="s">
        <v>827</v>
      </c>
      <c r="G315" s="2295">
        <v>5</v>
      </c>
      <c r="H315" s="92">
        <v>6</v>
      </c>
      <c r="I315" s="774"/>
      <c r="J315" s="774"/>
      <c r="K315" s="774"/>
      <c r="L315" s="774"/>
      <c r="M315" s="774"/>
      <c r="N315" s="774"/>
      <c r="O315" s="775"/>
      <c r="P315" s="1473"/>
      <c r="Q315" s="1467"/>
      <c r="R315" s="1463">
        <v>0.3</v>
      </c>
      <c r="S315" s="1815"/>
      <c r="T315" s="1931"/>
      <c r="U315" s="1815"/>
      <c r="V315" s="1815"/>
      <c r="W315" s="1815"/>
      <c r="X315" s="1933"/>
      <c r="Y315" s="1815"/>
      <c r="Z315" s="2509"/>
      <c r="AE315" s="2461"/>
      <c r="AF315" s="68"/>
    </row>
    <row r="316" spans="1:32" ht="45" x14ac:dyDescent="0.35">
      <c r="A316" s="693">
        <v>132</v>
      </c>
      <c r="B316" s="693" t="s">
        <v>166</v>
      </c>
      <c r="C316" s="693" t="s">
        <v>2435</v>
      </c>
      <c r="D316" s="2464" t="s">
        <v>6032</v>
      </c>
      <c r="E316" s="2187" t="s">
        <v>10202</v>
      </c>
      <c r="F316" s="92" t="s">
        <v>827</v>
      </c>
      <c r="G316" s="92">
        <v>5</v>
      </c>
      <c r="H316" s="92">
        <v>6</v>
      </c>
      <c r="I316" s="702">
        <f>J316+K316+L316</f>
        <v>0.8</v>
      </c>
      <c r="J316" s="702">
        <f>SUM(M316:R316)</f>
        <v>0.8</v>
      </c>
      <c r="K316" s="2089"/>
      <c r="L316" s="2089"/>
      <c r="M316" s="2089"/>
      <c r="N316" s="2089"/>
      <c r="O316" s="2089"/>
      <c r="P316" s="2089"/>
      <c r="Q316" s="2148"/>
      <c r="R316" s="2235">
        <v>0.8</v>
      </c>
      <c r="S316" s="106"/>
      <c r="T316" s="106"/>
      <c r="U316" s="106"/>
      <c r="V316" s="106"/>
      <c r="W316" s="105"/>
      <c r="X316" s="105"/>
      <c r="Y316" s="105"/>
      <c r="Z316" s="323"/>
      <c r="AB316" s="3">
        <v>1</v>
      </c>
      <c r="AE316" s="2461"/>
      <c r="AF316" s="68"/>
    </row>
    <row r="317" spans="1:32" ht="60" x14ac:dyDescent="0.35">
      <c r="A317" s="693">
        <v>133</v>
      </c>
      <c r="B317" s="693" t="s">
        <v>166</v>
      </c>
      <c r="C317" s="693" t="s">
        <v>2435</v>
      </c>
      <c r="D317" s="2464" t="s">
        <v>6033</v>
      </c>
      <c r="E317" s="2187" t="s">
        <v>10203</v>
      </c>
      <c r="F317" s="92" t="s">
        <v>1490</v>
      </c>
      <c r="G317" s="92">
        <v>5</v>
      </c>
      <c r="H317" s="92">
        <v>6</v>
      </c>
      <c r="I317" s="702">
        <f>J317+K317+L317</f>
        <v>1</v>
      </c>
      <c r="J317" s="702">
        <f>SUM(M317:R317)</f>
        <v>1</v>
      </c>
      <c r="K317" s="2089"/>
      <c r="L317" s="2089"/>
      <c r="M317" s="2089"/>
      <c r="N317" s="2089"/>
      <c r="O317" s="2089"/>
      <c r="P317" s="2089"/>
      <c r="Q317" s="2089"/>
      <c r="R317" s="2235">
        <v>1</v>
      </c>
      <c r="S317" s="106"/>
      <c r="T317" s="106"/>
      <c r="U317" s="106"/>
      <c r="V317" s="106"/>
      <c r="W317" s="105"/>
      <c r="X317" s="105"/>
      <c r="Y317" s="105"/>
      <c r="Z317" s="323"/>
      <c r="AB317" s="3">
        <v>1</v>
      </c>
      <c r="AE317" s="2461"/>
      <c r="AF317" s="68"/>
    </row>
    <row r="318" spans="1:32" ht="30.5" x14ac:dyDescent="0.35">
      <c r="A318" s="360"/>
      <c r="B318" s="358" t="s">
        <v>2162</v>
      </c>
      <c r="C318" s="358"/>
      <c r="D318" s="360"/>
      <c r="E318" s="1596" t="s">
        <v>2396</v>
      </c>
      <c r="F318" s="2295"/>
      <c r="G318" s="2295"/>
      <c r="H318" s="2295"/>
      <c r="I318" s="774"/>
      <c r="J318" s="774"/>
      <c r="K318" s="774"/>
      <c r="L318" s="774"/>
      <c r="M318" s="774"/>
      <c r="N318" s="774"/>
      <c r="O318" s="775"/>
      <c r="P318" s="1473"/>
      <c r="Q318" s="1467"/>
      <c r="R318" s="1463"/>
      <c r="S318" s="1815"/>
      <c r="T318" s="1931"/>
      <c r="U318" s="1815"/>
      <c r="V318" s="1815"/>
      <c r="W318" s="1815"/>
      <c r="X318" s="1933"/>
      <c r="Y318" s="1815"/>
      <c r="Z318" s="2509"/>
      <c r="AE318" s="2461"/>
      <c r="AF318" s="68"/>
    </row>
    <row r="319" spans="1:32" ht="30.5" x14ac:dyDescent="0.35">
      <c r="A319" s="358">
        <v>134</v>
      </c>
      <c r="B319" s="358" t="s">
        <v>2162</v>
      </c>
      <c r="C319" s="358"/>
      <c r="D319" s="2464" t="s">
        <v>6034</v>
      </c>
      <c r="E319" s="312" t="s">
        <v>7344</v>
      </c>
      <c r="F319" s="2295">
        <v>4</v>
      </c>
      <c r="G319" s="2295">
        <v>4</v>
      </c>
      <c r="H319" s="2295">
        <v>6</v>
      </c>
      <c r="I319" s="772">
        <f>J319+K319+L319</f>
        <v>2.1520000000000001</v>
      </c>
      <c r="J319" s="772">
        <f>SUM(M319:R319)</f>
        <v>2.1520000000000001</v>
      </c>
      <c r="K319" s="772"/>
      <c r="L319" s="772"/>
      <c r="M319" s="772"/>
      <c r="N319" s="772">
        <v>2.1520000000000001</v>
      </c>
      <c r="O319" s="773"/>
      <c r="P319" s="1470"/>
      <c r="Q319" s="1466"/>
      <c r="R319" s="1462"/>
      <c r="S319" s="1815"/>
      <c r="T319" s="1931"/>
      <c r="U319" s="1815"/>
      <c r="V319" s="1815"/>
      <c r="W319" s="46">
        <v>5</v>
      </c>
      <c r="X319" s="250">
        <v>69.069999999999993</v>
      </c>
      <c r="Y319" s="46">
        <v>1</v>
      </c>
      <c r="Z319" s="47">
        <v>15</v>
      </c>
      <c r="AB319" s="3">
        <v>1</v>
      </c>
      <c r="AE319" s="2461"/>
      <c r="AF319" s="68"/>
    </row>
    <row r="320" spans="1:32" ht="30.5" x14ac:dyDescent="0.35">
      <c r="A320" s="358">
        <v>135</v>
      </c>
      <c r="B320" s="358" t="s">
        <v>2162</v>
      </c>
      <c r="C320" s="358"/>
      <c r="D320" s="2464" t="s">
        <v>6035</v>
      </c>
      <c r="E320" s="312" t="s">
        <v>7956</v>
      </c>
      <c r="F320" s="2295"/>
      <c r="G320" s="2295" t="s">
        <v>191</v>
      </c>
      <c r="H320" s="2295" t="s">
        <v>191</v>
      </c>
      <c r="I320" s="772">
        <f>J320+K320+L320</f>
        <v>1.587</v>
      </c>
      <c r="J320" s="772">
        <f>SUM(M320:R320)</f>
        <v>1.587</v>
      </c>
      <c r="K320" s="772"/>
      <c r="L320" s="772"/>
      <c r="M320" s="772"/>
      <c r="N320" s="772">
        <f>SUM(N321:N322)</f>
        <v>0.77700000000000002</v>
      </c>
      <c r="O320" s="773"/>
      <c r="P320" s="1470"/>
      <c r="Q320" s="1466">
        <f>SUM(Q321:Q322)</f>
        <v>0.80999999999999994</v>
      </c>
      <c r="R320" s="1462"/>
      <c r="S320" s="1815"/>
      <c r="T320" s="1931"/>
      <c r="U320" s="1815"/>
      <c r="V320" s="1815"/>
      <c r="W320" s="46">
        <v>2</v>
      </c>
      <c r="X320" s="250">
        <v>33.049999999999997</v>
      </c>
      <c r="Y320" s="46"/>
      <c r="Z320" s="47"/>
      <c r="AB320" s="3">
        <v>1</v>
      </c>
      <c r="AE320" s="2461"/>
      <c r="AF320" s="68"/>
    </row>
    <row r="321" spans="1:32" x14ac:dyDescent="0.35">
      <c r="A321" s="360"/>
      <c r="B321" s="358" t="s">
        <v>2162</v>
      </c>
      <c r="C321" s="358"/>
      <c r="D321" s="360"/>
      <c r="E321" s="357" t="s">
        <v>616</v>
      </c>
      <c r="F321" s="2295">
        <v>5</v>
      </c>
      <c r="G321" s="2295">
        <v>5</v>
      </c>
      <c r="H321" s="2295">
        <v>6</v>
      </c>
      <c r="I321" s="774"/>
      <c r="J321" s="774"/>
      <c r="K321" s="774"/>
      <c r="L321" s="774"/>
      <c r="M321" s="774"/>
      <c r="N321" s="774">
        <v>0.77700000000000002</v>
      </c>
      <c r="O321" s="775"/>
      <c r="P321" s="1473"/>
      <c r="Q321" s="1467"/>
      <c r="R321" s="1463"/>
      <c r="S321" s="1815"/>
      <c r="T321" s="1931"/>
      <c r="U321" s="1815"/>
      <c r="V321" s="1815"/>
      <c r="W321" s="1815"/>
      <c r="X321" s="1933"/>
      <c r="Y321" s="1815"/>
      <c r="Z321" s="2509"/>
      <c r="AE321" s="2461"/>
      <c r="AF321" s="68"/>
    </row>
    <row r="322" spans="1:32" x14ac:dyDescent="0.35">
      <c r="A322" s="360"/>
      <c r="B322" s="358" t="s">
        <v>2162</v>
      </c>
      <c r="C322" s="358"/>
      <c r="D322" s="360"/>
      <c r="E322" s="1480" t="s">
        <v>617</v>
      </c>
      <c r="F322" s="2295">
        <v>5</v>
      </c>
      <c r="G322" s="2295">
        <v>5</v>
      </c>
      <c r="H322" s="2295">
        <v>6</v>
      </c>
      <c r="I322" s="504"/>
      <c r="J322" s="504"/>
      <c r="K322" s="504"/>
      <c r="L322" s="504"/>
      <c r="M322" s="504"/>
      <c r="N322" s="774"/>
      <c r="O322" s="571"/>
      <c r="P322" s="1475"/>
      <c r="Q322" s="865">
        <f>1.587-0.777</f>
        <v>0.80999999999999994</v>
      </c>
      <c r="R322" s="875"/>
      <c r="S322" s="154"/>
      <c r="T322" s="260"/>
      <c r="U322" s="154"/>
      <c r="V322" s="154"/>
      <c r="W322" s="154"/>
      <c r="X322" s="399"/>
      <c r="Y322" s="154"/>
      <c r="Z322" s="2517"/>
      <c r="AE322" s="2461"/>
      <c r="AF322" s="68"/>
    </row>
    <row r="323" spans="1:32" ht="45.5" x14ac:dyDescent="0.35">
      <c r="A323" s="358">
        <v>136</v>
      </c>
      <c r="B323" s="358" t="s">
        <v>2162</v>
      </c>
      <c r="C323" s="358"/>
      <c r="D323" s="2464" t="s">
        <v>6036</v>
      </c>
      <c r="E323" s="312" t="s">
        <v>10204</v>
      </c>
      <c r="F323" s="2295">
        <v>5</v>
      </c>
      <c r="G323" s="2295">
        <v>5</v>
      </c>
      <c r="H323" s="2295">
        <v>6</v>
      </c>
      <c r="I323" s="772">
        <f>J323+K323+L323</f>
        <v>0.6</v>
      </c>
      <c r="J323" s="772">
        <f>SUM(M323:R323)</f>
        <v>0.6</v>
      </c>
      <c r="K323" s="772"/>
      <c r="L323" s="772"/>
      <c r="M323" s="772"/>
      <c r="N323" s="772">
        <v>0.6</v>
      </c>
      <c r="O323" s="773"/>
      <c r="P323" s="1470"/>
      <c r="Q323" s="1466"/>
      <c r="R323" s="1462"/>
      <c r="S323" s="1815"/>
      <c r="T323" s="1931"/>
      <c r="U323" s="1815"/>
      <c r="V323" s="1815"/>
      <c r="W323" s="1815"/>
      <c r="X323" s="1933"/>
      <c r="Y323" s="1815"/>
      <c r="Z323" s="2509"/>
      <c r="AB323" s="3">
        <v>1</v>
      </c>
      <c r="AE323" s="2461"/>
      <c r="AF323" s="68"/>
    </row>
    <row r="324" spans="1:32" ht="30.5" x14ac:dyDescent="0.35">
      <c r="A324" s="826">
        <v>137</v>
      </c>
      <c r="B324" s="358" t="s">
        <v>2162</v>
      </c>
      <c r="C324" s="358"/>
      <c r="D324" s="2464" t="s">
        <v>6037</v>
      </c>
      <c r="E324" s="312" t="s">
        <v>7957</v>
      </c>
      <c r="F324" s="2295" t="s">
        <v>1490</v>
      </c>
      <c r="G324" s="2295">
        <v>5</v>
      </c>
      <c r="H324" s="2295">
        <v>6</v>
      </c>
      <c r="I324" s="772">
        <f>J324+K324+L324</f>
        <v>1</v>
      </c>
      <c r="J324" s="772">
        <f>SUM(M324:R324)</f>
        <v>1</v>
      </c>
      <c r="K324" s="772"/>
      <c r="L324" s="772"/>
      <c r="M324" s="772"/>
      <c r="N324" s="772">
        <v>1</v>
      </c>
      <c r="O324" s="773"/>
      <c r="P324" s="1470"/>
      <c r="Q324" s="1466"/>
      <c r="R324" s="1462"/>
      <c r="S324" s="1815"/>
      <c r="T324" s="1931"/>
      <c r="U324" s="1815"/>
      <c r="V324" s="1815"/>
      <c r="W324" s="1815">
        <v>6</v>
      </c>
      <c r="X324" s="1933">
        <v>45</v>
      </c>
      <c r="Y324" s="1815">
        <v>3</v>
      </c>
      <c r="Z324" s="2509">
        <v>15</v>
      </c>
      <c r="AB324" s="3">
        <v>1</v>
      </c>
      <c r="AE324" s="2461"/>
      <c r="AF324" s="68"/>
    </row>
    <row r="325" spans="1:32" ht="30" x14ac:dyDescent="0.35">
      <c r="A325" s="358">
        <v>138</v>
      </c>
      <c r="B325" s="693" t="s">
        <v>2162</v>
      </c>
      <c r="C325" s="365" t="s">
        <v>1656</v>
      </c>
      <c r="D325" s="2464" t="s">
        <v>6038</v>
      </c>
      <c r="E325" s="2187" t="s">
        <v>8914</v>
      </c>
      <c r="F325" s="92" t="s">
        <v>664</v>
      </c>
      <c r="G325" s="92">
        <v>5</v>
      </c>
      <c r="H325" s="92">
        <v>6</v>
      </c>
      <c r="I325" s="702">
        <f>J325+K325+L325</f>
        <v>0.65</v>
      </c>
      <c r="J325" s="702">
        <f>SUM(M325:R325)</f>
        <v>0.65</v>
      </c>
      <c r="K325" s="2089"/>
      <c r="L325" s="2089"/>
      <c r="M325" s="2089"/>
      <c r="N325" s="2089"/>
      <c r="O325" s="2089"/>
      <c r="P325" s="2089"/>
      <c r="Q325" s="2089"/>
      <c r="R325" s="2235">
        <v>0.65</v>
      </c>
      <c r="S325" s="106"/>
      <c r="T325" s="106"/>
      <c r="U325" s="106"/>
      <c r="V325" s="106"/>
      <c r="W325" s="105"/>
      <c r="X325" s="105"/>
      <c r="Y325" s="105"/>
      <c r="Z325" s="323"/>
      <c r="AB325" s="3">
        <v>1</v>
      </c>
      <c r="AE325" s="2461"/>
      <c r="AF325" s="68"/>
    </row>
    <row r="326" spans="1:32" ht="30.5" x14ac:dyDescent="0.35">
      <c r="A326" s="358"/>
      <c r="B326" s="358" t="s">
        <v>2163</v>
      </c>
      <c r="C326" s="358"/>
      <c r="D326" s="358"/>
      <c r="E326" s="1596" t="s">
        <v>3376</v>
      </c>
      <c r="F326" s="2295"/>
      <c r="G326" s="2295"/>
      <c r="H326" s="2295"/>
      <c r="I326" s="772"/>
      <c r="J326" s="772"/>
      <c r="K326" s="772"/>
      <c r="L326" s="772"/>
      <c r="M326" s="772"/>
      <c r="N326" s="772"/>
      <c r="O326" s="773"/>
      <c r="P326" s="1470"/>
      <c r="Q326" s="1466"/>
      <c r="R326" s="1462"/>
      <c r="S326" s="1815"/>
      <c r="T326" s="1931"/>
      <c r="U326" s="1815"/>
      <c r="V326" s="1815"/>
      <c r="W326" s="1815"/>
      <c r="X326" s="1933"/>
      <c r="Y326" s="1815"/>
      <c r="Z326" s="2509"/>
      <c r="AE326" s="2461"/>
      <c r="AF326" s="68"/>
    </row>
    <row r="327" spans="1:32" ht="30.5" x14ac:dyDescent="0.35">
      <c r="A327" s="358">
        <v>139</v>
      </c>
      <c r="B327" s="358" t="s">
        <v>2163</v>
      </c>
      <c r="C327" s="358"/>
      <c r="D327" s="2464" t="s">
        <v>6039</v>
      </c>
      <c r="E327" s="312" t="s">
        <v>11435</v>
      </c>
      <c r="F327" s="2295" t="s">
        <v>827</v>
      </c>
      <c r="G327" s="2295">
        <v>5</v>
      </c>
      <c r="H327" s="92">
        <v>6</v>
      </c>
      <c r="I327" s="2699">
        <f t="shared" ref="I327:I336" si="15">J327+K327+L327</f>
        <v>1.1000000000000001</v>
      </c>
      <c r="J327" s="2699">
        <f t="shared" ref="J327:J336" si="16">SUM(M327:R327)</f>
        <v>1.1000000000000001</v>
      </c>
      <c r="K327" s="772"/>
      <c r="L327" s="772"/>
      <c r="M327" s="772"/>
      <c r="N327" s="772"/>
      <c r="O327" s="773"/>
      <c r="P327" s="1470"/>
      <c r="Q327" s="1466"/>
      <c r="R327" s="1462">
        <v>1.1000000000000001</v>
      </c>
      <c r="S327" s="1815"/>
      <c r="T327" s="1931"/>
      <c r="U327" s="1815"/>
      <c r="V327" s="1815"/>
      <c r="W327" s="1815"/>
      <c r="X327" s="1933"/>
      <c r="Y327" s="1815"/>
      <c r="Z327" s="2509"/>
      <c r="AB327" s="3">
        <v>1</v>
      </c>
      <c r="AE327" s="2461"/>
      <c r="AF327" s="68"/>
    </row>
    <row r="328" spans="1:32" ht="30.5" x14ac:dyDescent="0.35">
      <c r="A328" s="358">
        <v>140</v>
      </c>
      <c r="B328" s="358" t="s">
        <v>2163</v>
      </c>
      <c r="C328" s="358"/>
      <c r="D328" s="2464" t="s">
        <v>11321</v>
      </c>
      <c r="E328" s="312" t="s">
        <v>11324</v>
      </c>
      <c r="F328" s="2295" t="s">
        <v>1490</v>
      </c>
      <c r="G328" s="2295">
        <v>5</v>
      </c>
      <c r="H328" s="92">
        <v>6</v>
      </c>
      <c r="I328" s="2699">
        <f t="shared" ref="I328" si="17">J328+K328+L328</f>
        <v>0.53</v>
      </c>
      <c r="J328" s="2699">
        <f t="shared" ref="J328" si="18">SUM(M328:R328)</f>
        <v>0.53</v>
      </c>
      <c r="K328" s="772"/>
      <c r="L328" s="772"/>
      <c r="M328" s="772"/>
      <c r="N328" s="772"/>
      <c r="O328" s="773"/>
      <c r="P328" s="1470"/>
      <c r="Q328" s="1466"/>
      <c r="R328" s="1462">
        <v>0.53</v>
      </c>
      <c r="S328" s="1815"/>
      <c r="T328" s="1931"/>
      <c r="U328" s="1815"/>
      <c r="V328" s="1815"/>
      <c r="W328" s="1815"/>
      <c r="X328" s="1933"/>
      <c r="Y328" s="1815"/>
      <c r="Z328" s="2509"/>
      <c r="AB328" s="3">
        <v>1</v>
      </c>
      <c r="AE328" s="2461"/>
      <c r="AF328" s="68"/>
    </row>
    <row r="329" spans="1:32" ht="30.5" x14ac:dyDescent="0.35">
      <c r="A329" s="441">
        <v>141</v>
      </c>
      <c r="B329" s="358" t="s">
        <v>2163</v>
      </c>
      <c r="C329" s="358"/>
      <c r="D329" s="2464" t="s">
        <v>6040</v>
      </c>
      <c r="E329" s="312" t="s">
        <v>9380</v>
      </c>
      <c r="F329" s="2295">
        <v>4</v>
      </c>
      <c r="G329" s="2295">
        <v>5</v>
      </c>
      <c r="H329" s="2295">
        <v>6</v>
      </c>
      <c r="I329" s="297">
        <f>J329+K329+L329</f>
        <v>1.08</v>
      </c>
      <c r="J329" s="297">
        <f>SUM(M329:R329)</f>
        <v>1.08</v>
      </c>
      <c r="K329" s="772"/>
      <c r="L329" s="772"/>
      <c r="M329" s="772"/>
      <c r="N329" s="772">
        <v>1.08</v>
      </c>
      <c r="O329" s="773"/>
      <c r="P329" s="1470"/>
      <c r="Q329" s="1466"/>
      <c r="R329" s="1462"/>
      <c r="S329" s="1815"/>
      <c r="T329" s="1931"/>
      <c r="U329" s="1815"/>
      <c r="V329" s="1815"/>
      <c r="W329" s="46"/>
      <c r="X329" s="250"/>
      <c r="Y329" s="46"/>
      <c r="Z329" s="47"/>
      <c r="AB329" s="3">
        <v>1</v>
      </c>
      <c r="AE329" s="2461"/>
      <c r="AF329" s="68"/>
    </row>
    <row r="330" spans="1:32" ht="30.5" x14ac:dyDescent="0.35">
      <c r="A330" s="358">
        <v>142</v>
      </c>
      <c r="B330" s="358" t="s">
        <v>2163</v>
      </c>
      <c r="C330" s="358"/>
      <c r="D330" s="2464" t="s">
        <v>6041</v>
      </c>
      <c r="E330" s="312" t="s">
        <v>7958</v>
      </c>
      <c r="F330" s="2295">
        <v>5</v>
      </c>
      <c r="G330" s="2295">
        <v>5</v>
      </c>
      <c r="H330" s="2295">
        <v>6</v>
      </c>
      <c r="I330" s="772">
        <f t="shared" si="15"/>
        <v>1.6</v>
      </c>
      <c r="J330" s="772">
        <f t="shared" si="16"/>
        <v>1.6</v>
      </c>
      <c r="K330" s="772"/>
      <c r="L330" s="772"/>
      <c r="M330" s="772"/>
      <c r="N330" s="772"/>
      <c r="O330" s="773"/>
      <c r="P330" s="1470"/>
      <c r="Q330" s="1466">
        <v>1.6</v>
      </c>
      <c r="R330" s="1462"/>
      <c r="S330" s="1815"/>
      <c r="T330" s="1931"/>
      <c r="U330" s="1815"/>
      <c r="V330" s="1815"/>
      <c r="W330" s="1815"/>
      <c r="X330" s="1933"/>
      <c r="Y330" s="1815"/>
      <c r="Z330" s="2509"/>
      <c r="AB330" s="3">
        <v>1</v>
      </c>
      <c r="AE330" s="2461"/>
      <c r="AF330" s="68"/>
    </row>
    <row r="331" spans="1:32" ht="45.5" x14ac:dyDescent="0.35">
      <c r="A331" s="441">
        <v>143</v>
      </c>
      <c r="B331" s="358" t="s">
        <v>2163</v>
      </c>
      <c r="C331" s="358" t="s">
        <v>1655</v>
      </c>
      <c r="D331" s="2464" t="s">
        <v>6042</v>
      </c>
      <c r="E331" s="312" t="s">
        <v>7345</v>
      </c>
      <c r="F331" s="2295"/>
      <c r="G331" s="2295" t="s">
        <v>191</v>
      </c>
      <c r="H331" s="2295" t="s">
        <v>191</v>
      </c>
      <c r="I331" s="772">
        <f t="shared" si="15"/>
        <v>1.325</v>
      </c>
      <c r="J331" s="772">
        <f t="shared" si="16"/>
        <v>1.325</v>
      </c>
      <c r="K331" s="772"/>
      <c r="L331" s="772"/>
      <c r="M331" s="772"/>
      <c r="N331" s="2486">
        <f>SUM(N332:N333)</f>
        <v>1.325</v>
      </c>
      <c r="O331" s="773"/>
      <c r="P331" s="1470"/>
      <c r="Q331" s="1466">
        <f>SUM(Q332:Q333)</f>
        <v>0</v>
      </c>
      <c r="R331" s="2846"/>
      <c r="S331" s="1815"/>
      <c r="T331" s="1931"/>
      <c r="U331" s="1815"/>
      <c r="V331" s="1815"/>
      <c r="W331" s="1815"/>
      <c r="X331" s="1933"/>
      <c r="Y331" s="1815"/>
      <c r="Z331" s="2509"/>
      <c r="AB331" s="3">
        <v>1</v>
      </c>
      <c r="AC331" s="3" t="s">
        <v>2570</v>
      </c>
      <c r="AE331" s="2461"/>
      <c r="AF331" s="68"/>
    </row>
    <row r="332" spans="1:32" x14ac:dyDescent="0.35">
      <c r="A332" s="2435"/>
      <c r="B332" s="358" t="s">
        <v>2163</v>
      </c>
      <c r="C332" s="358"/>
      <c r="D332" s="358"/>
      <c r="E332" s="357" t="s">
        <v>3309</v>
      </c>
      <c r="F332" s="2963">
        <v>5</v>
      </c>
      <c r="G332" s="2295">
        <v>5</v>
      </c>
      <c r="H332" s="92">
        <v>6</v>
      </c>
      <c r="I332" s="774"/>
      <c r="J332" s="774"/>
      <c r="K332" s="774"/>
      <c r="L332" s="774"/>
      <c r="M332" s="774"/>
      <c r="N332" s="774">
        <f>0.032</f>
        <v>3.2000000000000001E-2</v>
      </c>
      <c r="O332" s="775"/>
      <c r="P332" s="1824"/>
      <c r="Q332" s="1825"/>
      <c r="R332" s="2847"/>
      <c r="S332" s="1815"/>
      <c r="T332" s="1931"/>
      <c r="U332" s="1815"/>
      <c r="V332" s="1815"/>
      <c r="W332" s="1815"/>
      <c r="X332" s="1933"/>
      <c r="Y332" s="1815"/>
      <c r="Z332" s="2509"/>
      <c r="AE332" s="2461"/>
      <c r="AF332" s="68"/>
    </row>
    <row r="333" spans="1:32" x14ac:dyDescent="0.35">
      <c r="A333" s="2435"/>
      <c r="B333" s="358" t="s">
        <v>2163</v>
      </c>
      <c r="C333" s="358"/>
      <c r="D333" s="358"/>
      <c r="E333" s="2941" t="s">
        <v>3471</v>
      </c>
      <c r="F333" s="2963">
        <v>5</v>
      </c>
      <c r="G333" s="2295">
        <v>5</v>
      </c>
      <c r="H333" s="92">
        <v>6</v>
      </c>
      <c r="I333" s="774"/>
      <c r="J333" s="774"/>
      <c r="K333" s="774"/>
      <c r="L333" s="774"/>
      <c r="M333" s="774"/>
      <c r="N333" s="2909">
        <f>1.325-0.032</f>
        <v>1.2929999999999999</v>
      </c>
      <c r="O333" s="775"/>
      <c r="P333" s="1824"/>
      <c r="Q333" s="2909">
        <v>0</v>
      </c>
      <c r="R333" s="2847"/>
      <c r="S333" s="1815"/>
      <c r="T333" s="1931"/>
      <c r="U333" s="1815"/>
      <c r="V333" s="1815"/>
      <c r="W333" s="1815"/>
      <c r="X333" s="1933"/>
      <c r="Y333" s="1815"/>
      <c r="Z333" s="2509"/>
      <c r="AE333" s="2461"/>
      <c r="AF333" s="68"/>
    </row>
    <row r="334" spans="1:32" ht="30" x14ac:dyDescent="0.35">
      <c r="A334" s="358">
        <v>144</v>
      </c>
      <c r="B334" s="693" t="s">
        <v>2163</v>
      </c>
      <c r="C334" s="693"/>
      <c r="D334" s="2464" t="s">
        <v>6043</v>
      </c>
      <c r="E334" s="2187" t="s">
        <v>7959</v>
      </c>
      <c r="F334" s="92" t="s">
        <v>827</v>
      </c>
      <c r="G334" s="92">
        <v>5</v>
      </c>
      <c r="H334" s="92">
        <v>6</v>
      </c>
      <c r="I334" s="702">
        <f t="shared" si="15"/>
        <v>0.45</v>
      </c>
      <c r="J334" s="702">
        <f t="shared" si="16"/>
        <v>0.45</v>
      </c>
      <c r="K334" s="2089"/>
      <c r="L334" s="2089"/>
      <c r="M334" s="2089"/>
      <c r="N334" s="2089"/>
      <c r="O334" s="2089"/>
      <c r="P334" s="2089"/>
      <c r="Q334" s="2089"/>
      <c r="R334" s="2235">
        <v>0.45</v>
      </c>
      <c r="S334" s="106"/>
      <c r="T334" s="106"/>
      <c r="U334" s="106"/>
      <c r="V334" s="106"/>
      <c r="W334" s="105"/>
      <c r="X334" s="105"/>
      <c r="Y334" s="105"/>
      <c r="Z334" s="323"/>
      <c r="AB334" s="3">
        <v>1</v>
      </c>
      <c r="AE334" s="2461"/>
      <c r="AF334" s="68"/>
    </row>
    <row r="335" spans="1:32" ht="30" x14ac:dyDescent="0.35">
      <c r="A335" s="441">
        <v>145</v>
      </c>
      <c r="B335" s="693" t="s">
        <v>2163</v>
      </c>
      <c r="C335" s="365" t="s">
        <v>1656</v>
      </c>
      <c r="D335" s="2464" t="s">
        <v>6044</v>
      </c>
      <c r="E335" s="2187" t="s">
        <v>8915</v>
      </c>
      <c r="F335" s="92" t="s">
        <v>1490</v>
      </c>
      <c r="G335" s="92">
        <v>5</v>
      </c>
      <c r="H335" s="92">
        <v>6</v>
      </c>
      <c r="I335" s="702">
        <f t="shared" si="15"/>
        <v>0.65</v>
      </c>
      <c r="J335" s="702">
        <f t="shared" si="16"/>
        <v>0.65</v>
      </c>
      <c r="K335" s="2089"/>
      <c r="L335" s="2089"/>
      <c r="M335" s="2089"/>
      <c r="N335" s="2089"/>
      <c r="O335" s="2089"/>
      <c r="P335" s="2089"/>
      <c r="Q335" s="2089"/>
      <c r="R335" s="2235">
        <v>0.65</v>
      </c>
      <c r="S335" s="106"/>
      <c r="T335" s="106"/>
      <c r="U335" s="106"/>
      <c r="V335" s="106"/>
      <c r="W335" s="105"/>
      <c r="X335" s="105"/>
      <c r="Y335" s="105"/>
      <c r="Z335" s="323"/>
      <c r="AB335" s="3">
        <v>1</v>
      </c>
      <c r="AE335" s="2461"/>
      <c r="AF335" s="68"/>
    </row>
    <row r="336" spans="1:32" ht="30" x14ac:dyDescent="0.35">
      <c r="A336" s="358">
        <v>146</v>
      </c>
      <c r="B336" s="693" t="s">
        <v>2163</v>
      </c>
      <c r="C336" s="365" t="s">
        <v>1656</v>
      </c>
      <c r="D336" s="2464" t="s">
        <v>6045</v>
      </c>
      <c r="E336" s="2187" t="s">
        <v>8916</v>
      </c>
      <c r="F336" s="92" t="s">
        <v>664</v>
      </c>
      <c r="G336" s="92">
        <v>5</v>
      </c>
      <c r="H336" s="92">
        <v>6</v>
      </c>
      <c r="I336" s="702">
        <f t="shared" si="15"/>
        <v>0.05</v>
      </c>
      <c r="J336" s="702">
        <f t="shared" si="16"/>
        <v>0.05</v>
      </c>
      <c r="K336" s="2089"/>
      <c r="L336" s="2089"/>
      <c r="M336" s="2089"/>
      <c r="N336" s="2089"/>
      <c r="O336" s="2089"/>
      <c r="P336" s="2089"/>
      <c r="Q336" s="2148"/>
      <c r="R336" s="2235">
        <v>0.05</v>
      </c>
      <c r="S336" s="106"/>
      <c r="T336" s="106"/>
      <c r="U336" s="106"/>
      <c r="V336" s="106"/>
      <c r="W336" s="105"/>
      <c r="X336" s="105"/>
      <c r="Y336" s="105"/>
      <c r="Z336" s="323"/>
      <c r="AB336" s="3">
        <v>1</v>
      </c>
      <c r="AE336" s="2461"/>
      <c r="AF336" s="68"/>
    </row>
    <row r="337" spans="1:32" ht="30.5" x14ac:dyDescent="0.35">
      <c r="A337" s="441">
        <v>147</v>
      </c>
      <c r="B337" s="693" t="s">
        <v>2163</v>
      </c>
      <c r="C337" s="365"/>
      <c r="D337" s="2464" t="s">
        <v>6046</v>
      </c>
      <c r="E337" s="312" t="s">
        <v>7960</v>
      </c>
      <c r="F337" s="92"/>
      <c r="G337" s="92" t="s">
        <v>191</v>
      </c>
      <c r="H337" s="92" t="s">
        <v>191</v>
      </c>
      <c r="I337" s="702">
        <f>J337+K337+L337</f>
        <v>2.0490000000000004</v>
      </c>
      <c r="J337" s="702">
        <f>SUM(M337:R337)</f>
        <v>2.0490000000000004</v>
      </c>
      <c r="K337" s="2089"/>
      <c r="L337" s="2089"/>
      <c r="M337" s="2089"/>
      <c r="N337" s="622">
        <f>SUM(N338:N340)</f>
        <v>1.9E-2</v>
      </c>
      <c r="O337" s="2089"/>
      <c r="P337" s="2089"/>
      <c r="Q337" s="2089"/>
      <c r="R337" s="2235">
        <f>SUM(R338:R340)</f>
        <v>2.0300000000000002</v>
      </c>
      <c r="S337" s="106"/>
      <c r="T337" s="106"/>
      <c r="U337" s="106"/>
      <c r="V337" s="106"/>
      <c r="W337" s="105"/>
      <c r="X337" s="105"/>
      <c r="Y337" s="105"/>
      <c r="Z337" s="323"/>
      <c r="AB337" s="3">
        <v>1</v>
      </c>
      <c r="AE337" s="2461"/>
      <c r="AF337" s="68"/>
    </row>
    <row r="338" spans="1:32" x14ac:dyDescent="0.35">
      <c r="A338" s="358"/>
      <c r="B338" s="693"/>
      <c r="C338" s="365"/>
      <c r="D338" s="693"/>
      <c r="E338" s="357" t="s">
        <v>2255</v>
      </c>
      <c r="F338" s="92">
        <v>5</v>
      </c>
      <c r="G338" s="92">
        <v>5</v>
      </c>
      <c r="H338" s="92">
        <v>6</v>
      </c>
      <c r="I338" s="1918"/>
      <c r="J338" s="1918"/>
      <c r="K338" s="2347"/>
      <c r="L338" s="2347"/>
      <c r="M338" s="2347"/>
      <c r="N338" s="395">
        <v>1.9E-2</v>
      </c>
      <c r="O338" s="2347"/>
      <c r="P338" s="2347"/>
      <c r="Q338" s="2347"/>
      <c r="R338" s="907"/>
      <c r="S338" s="106"/>
      <c r="T338" s="106"/>
      <c r="U338" s="106"/>
      <c r="V338" s="106"/>
      <c r="W338" s="105"/>
      <c r="X338" s="105"/>
      <c r="Y338" s="105"/>
      <c r="Z338" s="323"/>
    </row>
    <row r="339" spans="1:32" x14ac:dyDescent="0.35">
      <c r="A339" s="360"/>
      <c r="B339" s="693" t="s">
        <v>2163</v>
      </c>
      <c r="C339" s="358"/>
      <c r="D339" s="360"/>
      <c r="E339" s="1479" t="s">
        <v>3328</v>
      </c>
      <c r="F339" s="2295">
        <v>5</v>
      </c>
      <c r="G339" s="92">
        <v>5</v>
      </c>
      <c r="H339" s="92">
        <v>6</v>
      </c>
      <c r="I339" s="774"/>
      <c r="J339" s="774"/>
      <c r="K339" s="774"/>
      <c r="L339" s="774"/>
      <c r="M339" s="774"/>
      <c r="N339" s="774"/>
      <c r="O339" s="775"/>
      <c r="P339" s="1824"/>
      <c r="Q339" s="1825"/>
      <c r="R339" s="2296">
        <f>1.299-0.019</f>
        <v>1.28</v>
      </c>
      <c r="S339" s="1815"/>
      <c r="T339" s="1931"/>
      <c r="U339" s="1815"/>
      <c r="V339" s="1815"/>
      <c r="W339" s="1815"/>
      <c r="X339" s="1933"/>
      <c r="Y339" s="1815"/>
      <c r="Z339" s="2509"/>
    </row>
    <row r="340" spans="1:32" x14ac:dyDescent="0.35">
      <c r="A340" s="360"/>
      <c r="B340" s="693" t="s">
        <v>2163</v>
      </c>
      <c r="C340" s="358"/>
      <c r="D340" s="360"/>
      <c r="E340" s="1479" t="s">
        <v>3327</v>
      </c>
      <c r="F340" s="2295" t="s">
        <v>1490</v>
      </c>
      <c r="G340" s="92">
        <v>5</v>
      </c>
      <c r="H340" s="92">
        <v>6</v>
      </c>
      <c r="I340" s="774"/>
      <c r="J340" s="774"/>
      <c r="K340" s="774"/>
      <c r="L340" s="774"/>
      <c r="M340" s="774"/>
      <c r="N340" s="774"/>
      <c r="O340" s="775"/>
      <c r="P340" s="1824"/>
      <c r="Q340" s="1825"/>
      <c r="R340" s="2296">
        <f>2.049-1.299</f>
        <v>0.75</v>
      </c>
      <c r="S340" s="1815"/>
      <c r="T340" s="1931"/>
      <c r="U340" s="1815"/>
      <c r="V340" s="1815"/>
      <c r="W340" s="1815"/>
      <c r="X340" s="1933"/>
      <c r="Y340" s="1815"/>
      <c r="Z340" s="2509"/>
    </row>
  </sheetData>
  <autoFilter ref="A29:AB340"/>
  <mergeCells count="36">
    <mergeCell ref="B5:B8"/>
    <mergeCell ref="Q6:Q8"/>
    <mergeCell ref="M5:R5"/>
    <mergeCell ref="P6:P8"/>
    <mergeCell ref="K6:K8"/>
    <mergeCell ref="O6:O8"/>
    <mergeCell ref="H5:H8"/>
    <mergeCell ref="M6:M8"/>
    <mergeCell ref="N6:N8"/>
    <mergeCell ref="A2:Z2"/>
    <mergeCell ref="A3:Z3"/>
    <mergeCell ref="A5:A8"/>
    <mergeCell ref="D5:D8"/>
    <mergeCell ref="E5:E8"/>
    <mergeCell ref="F5:F8"/>
    <mergeCell ref="G5:G8"/>
    <mergeCell ref="I5:L5"/>
    <mergeCell ref="I6:I8"/>
    <mergeCell ref="J6:J8"/>
    <mergeCell ref="W4:Z4"/>
    <mergeCell ref="R6:R8"/>
    <mergeCell ref="S6:T6"/>
    <mergeCell ref="W6:X6"/>
    <mergeCell ref="Y6:Z6"/>
    <mergeCell ref="L6:L8"/>
    <mergeCell ref="Y7:Y8"/>
    <mergeCell ref="Z7:Z8"/>
    <mergeCell ref="W5:Z5"/>
    <mergeCell ref="V7:V8"/>
    <mergeCell ref="X7:X8"/>
    <mergeCell ref="W7:W8"/>
    <mergeCell ref="S5:V5"/>
    <mergeCell ref="U6:V6"/>
    <mergeCell ref="U7:U8"/>
    <mergeCell ref="S7:S8"/>
    <mergeCell ref="T7:T8"/>
  </mergeCells>
  <phoneticPr fontId="0" type="noConversion"/>
  <printOptions horizontalCentered="1"/>
  <pageMargins left="0.19685039370078741" right="0.19685039370078741" top="0.98425196850393704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Roman,обычный"&amp;10Осиповичское ДРСУ-199&amp;R&amp;"Times New Roman,обычный"&amp;10&amp;P</oddFooter>
  </headerFooter>
  <rowBreaks count="5" manualBreakCount="5">
    <brk id="43" max="25" man="1"/>
    <brk id="106" max="25" man="1"/>
    <brk id="138" max="25" man="1"/>
    <brk id="221" max="25" man="1"/>
    <brk id="272" max="2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2:AM262"/>
  <sheetViews>
    <sheetView zoomScale="90" zoomScaleNormal="90" workbookViewId="0">
      <pane xSplit="5" ySplit="10" topLeftCell="F14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9.75" defaultRowHeight="15.5" x14ac:dyDescent="0.35"/>
  <cols>
    <col min="1" max="1" width="4.4140625" style="7" bestFit="1" customWidth="1"/>
    <col min="2" max="3" width="7.25" style="7" hidden="1" customWidth="1"/>
    <col min="4" max="4" width="7.25" style="7" customWidth="1"/>
    <col min="5" max="5" width="43.33203125" style="3" customWidth="1"/>
    <col min="6" max="6" width="6.75" style="7" customWidth="1"/>
    <col min="7" max="9" width="7.25" style="7" customWidth="1"/>
    <col min="10" max="10" width="7.33203125" style="7" customWidth="1"/>
    <col min="11" max="11" width="6.58203125" style="7" customWidth="1"/>
    <col min="12" max="12" width="6.6640625" style="7" customWidth="1"/>
    <col min="13" max="13" width="6.58203125" style="7" customWidth="1"/>
    <col min="14" max="14" width="7.08203125" style="7" customWidth="1"/>
    <col min="15" max="15" width="6.75" style="7" customWidth="1"/>
    <col min="16" max="16" width="6.58203125" style="7" customWidth="1"/>
    <col min="17" max="17" width="6.6640625" style="7" customWidth="1"/>
    <col min="18" max="18" width="7.33203125" style="7" customWidth="1"/>
    <col min="19" max="19" width="4.4140625" style="7" customWidth="1"/>
    <col min="20" max="20" width="7.25" style="7" customWidth="1"/>
    <col min="21" max="21" width="4.4140625" style="7" customWidth="1"/>
    <col min="22" max="22" width="5.58203125" style="7" customWidth="1"/>
    <col min="23" max="23" width="4.58203125" style="7" customWidth="1"/>
    <col min="24" max="24" width="7.75" style="7" customWidth="1"/>
    <col min="25" max="25" width="4.58203125" style="7" customWidth="1"/>
    <col min="26" max="26" width="7.9140625" style="7" customWidth="1"/>
    <col min="27" max="36" width="9.75" style="3"/>
    <col min="37" max="37" width="22.25" style="3" customWidth="1"/>
    <col min="38" max="16384" width="9.75" style="3"/>
  </cols>
  <sheetData>
    <row r="2" spans="1:39" ht="20" x14ac:dyDescent="0.4">
      <c r="A2" s="3123" t="s">
        <v>10631</v>
      </c>
      <c r="B2" s="3123"/>
      <c r="C2" s="3123"/>
      <c r="D2" s="3123"/>
      <c r="E2" s="3123"/>
      <c r="F2" s="3123"/>
      <c r="G2" s="3123"/>
      <c r="H2" s="3123"/>
      <c r="I2" s="3123"/>
      <c r="J2" s="3123"/>
      <c r="K2" s="3123"/>
      <c r="L2" s="3123"/>
      <c r="M2" s="3123"/>
      <c r="N2" s="3123"/>
      <c r="O2" s="3123"/>
      <c r="P2" s="3123"/>
      <c r="Q2" s="3123"/>
      <c r="R2" s="3123"/>
      <c r="S2" s="3123"/>
      <c r="T2" s="3123"/>
      <c r="U2" s="3123"/>
      <c r="V2" s="3123"/>
      <c r="W2" s="3123"/>
      <c r="X2" s="3123"/>
      <c r="Y2" s="3123"/>
      <c r="Z2" s="3123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172"/>
      <c r="B4" s="172"/>
      <c r="C4" s="172"/>
      <c r="D4" s="172"/>
      <c r="E4" s="32"/>
      <c r="F4" s="172"/>
      <c r="G4" s="172"/>
      <c r="H4" s="172"/>
      <c r="I4" s="172"/>
      <c r="J4" s="1800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2063"/>
      <c r="X4" s="2064"/>
      <c r="Y4" s="172"/>
    </row>
    <row r="5" spans="1:39" ht="15.7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4.5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" thickBot="1" x14ac:dyDescent="0.4">
      <c r="A10" s="1482"/>
      <c r="B10" s="1207"/>
      <c r="C10" s="1207"/>
      <c r="D10" s="1207"/>
      <c r="E10" s="1207" t="s">
        <v>2392</v>
      </c>
      <c r="F10" s="1207"/>
      <c r="G10" s="1207"/>
      <c r="H10" s="1207"/>
      <c r="I10" s="845">
        <f>J10+K10+L10</f>
        <v>314.78399999999993</v>
      </c>
      <c r="J10" s="845">
        <f>M10+N10+O10+P10+Q10+R10</f>
        <v>307.49999999999994</v>
      </c>
      <c r="K10" s="845">
        <f t="shared" ref="K10:R10" si="0">K11+K12+K13+K14</f>
        <v>0</v>
      </c>
      <c r="L10" s="845">
        <f t="shared" si="0"/>
        <v>7.2840000000000034</v>
      </c>
      <c r="M10" s="845">
        <f t="shared" si="0"/>
        <v>0</v>
      </c>
      <c r="N10" s="845">
        <f t="shared" si="0"/>
        <v>126.17699999999995</v>
      </c>
      <c r="O10" s="849">
        <f t="shared" si="0"/>
        <v>0</v>
      </c>
      <c r="P10" s="845">
        <f t="shared" si="0"/>
        <v>0</v>
      </c>
      <c r="Q10" s="858">
        <f t="shared" si="0"/>
        <v>77.504999999999995</v>
      </c>
      <c r="R10" s="868">
        <f t="shared" si="0"/>
        <v>103.81799999999997</v>
      </c>
      <c r="S10" s="1268">
        <f>SUM(S30:S964)</f>
        <v>17</v>
      </c>
      <c r="T10" s="1208">
        <f t="shared" ref="T10:Z10" si="1">SUM(T30:T964)</f>
        <v>380.34000000000003</v>
      </c>
      <c r="U10" s="1268">
        <f t="shared" si="1"/>
        <v>0</v>
      </c>
      <c r="V10" s="1208">
        <f t="shared" si="1"/>
        <v>0</v>
      </c>
      <c r="W10" s="1268">
        <f t="shared" si="1"/>
        <v>392</v>
      </c>
      <c r="X10" s="1208">
        <f t="shared" si="1"/>
        <v>5172.5399999999991</v>
      </c>
      <c r="Y10" s="1268">
        <f t="shared" si="1"/>
        <v>111</v>
      </c>
      <c r="Z10" s="1208">
        <f t="shared" si="1"/>
        <v>1249.9400000000003</v>
      </c>
      <c r="AB10" s="1268">
        <f>SUM(AB30:AB262)</f>
        <v>110</v>
      </c>
      <c r="AK10" s="2150" t="s">
        <v>11226</v>
      </c>
      <c r="AL10" s="43"/>
      <c r="AM10" s="2812" t="s">
        <v>11227</v>
      </c>
    </row>
    <row r="11" spans="1:39" x14ac:dyDescent="0.35">
      <c r="A11" s="187"/>
      <c r="B11" s="1033"/>
      <c r="C11" s="1033"/>
      <c r="D11" s="184"/>
      <c r="E11" s="1264" t="s">
        <v>909</v>
      </c>
      <c r="F11" s="1245">
        <v>3</v>
      </c>
      <c r="G11" s="1245"/>
      <c r="H11" s="1245"/>
      <c r="I11" s="1276"/>
      <c r="J11" s="1276"/>
      <c r="K11" s="1276"/>
      <c r="L11" s="1276"/>
      <c r="M11" s="1276"/>
      <c r="N11" s="1276"/>
      <c r="O11" s="1277"/>
      <c r="P11" s="1276"/>
      <c r="Q11" s="1278"/>
      <c r="R11" s="1489"/>
      <c r="S11" s="184"/>
      <c r="T11" s="261"/>
      <c r="U11" s="184"/>
      <c r="V11" s="184"/>
      <c r="W11" s="184"/>
      <c r="X11" s="184"/>
      <c r="Y11" s="184"/>
      <c r="Z11" s="1722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x14ac:dyDescent="0.35">
      <c r="A12" s="273"/>
      <c r="B12" s="1034"/>
      <c r="C12" s="1034"/>
      <c r="D12" s="98"/>
      <c r="E12" s="640"/>
      <c r="F12" s="1249">
        <v>4</v>
      </c>
      <c r="G12" s="1249"/>
      <c r="H12" s="1249"/>
      <c r="I12" s="1281">
        <f t="shared" ref="I12:I20" si="2">J12+K12+L12</f>
        <v>160.33099999999996</v>
      </c>
      <c r="J12" s="1250">
        <f t="shared" ref="J12:J20" si="3">R12+Q12+P12+O12+N12+M12</f>
        <v>153.17199999999997</v>
      </c>
      <c r="K12" s="1281">
        <f>SUMIF(F30:F866,4,K30:K866)</f>
        <v>0</v>
      </c>
      <c r="L12" s="1281">
        <f>SUMIF(F30:F866,4,L30:L866)</f>
        <v>7.1590000000000042</v>
      </c>
      <c r="M12" s="1281">
        <f>SUMIF(F30:F866,4,M30:M866)</f>
        <v>0</v>
      </c>
      <c r="N12" s="1281">
        <f>SUMIF(F30:F866,4,N30:N866)</f>
        <v>115.48799999999996</v>
      </c>
      <c r="O12" s="1282">
        <f>SUMIF(F30:F866,4,O30:O866)</f>
        <v>0</v>
      </c>
      <c r="P12" s="1281">
        <f>SUMIF(F30:F866,4,P30:P866)</f>
        <v>0</v>
      </c>
      <c r="Q12" s="1283">
        <f>SUMIF(F30:F866,4,Q30:Q866)</f>
        <v>37.683999999999997</v>
      </c>
      <c r="R12" s="1490">
        <f>SUMIF(F30:F866,4,R30:R866)</f>
        <v>0</v>
      </c>
      <c r="S12" s="98"/>
      <c r="T12" s="275"/>
      <c r="U12" s="98"/>
      <c r="V12" s="98"/>
      <c r="W12" s="98"/>
      <c r="X12" s="98"/>
      <c r="Y12" s="98"/>
      <c r="Z12" s="1723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273"/>
      <c r="B13" s="1034"/>
      <c r="C13" s="1034"/>
      <c r="D13" s="98"/>
      <c r="E13" s="640"/>
      <c r="F13" s="1249">
        <v>5</v>
      </c>
      <c r="G13" s="1249"/>
      <c r="H13" s="1249"/>
      <c r="I13" s="1281">
        <f t="shared" si="2"/>
        <v>39.914999999999999</v>
      </c>
      <c r="J13" s="1250">
        <f t="shared" si="3"/>
        <v>39.802</v>
      </c>
      <c r="K13" s="1281">
        <f>SUMIF(F30:F866,5,K30:K866)</f>
        <v>0</v>
      </c>
      <c r="L13" s="1281">
        <f>SUMIF(F30:F866,5,L30:L866)</f>
        <v>0.1129999999999996</v>
      </c>
      <c r="M13" s="1281">
        <f>SUMIF(F30:F866,5,M30:M866)</f>
        <v>0</v>
      </c>
      <c r="N13" s="1281">
        <f>SUMIF(F30:F866,5,N30:N866)</f>
        <v>7.3090000000000002</v>
      </c>
      <c r="O13" s="1282">
        <f>SUMIF(F30:F866,5,O30:O866)</f>
        <v>0</v>
      </c>
      <c r="P13" s="1281">
        <f>SUMIF(F30:F866,5,P30:P866)</f>
        <v>0</v>
      </c>
      <c r="Q13" s="1283">
        <f>SUMIF(F30:F866,5,Q30:Q866)</f>
        <v>29.929000000000002</v>
      </c>
      <c r="R13" s="1490">
        <f>SUMIF(F30:F866,5,R30:R866)</f>
        <v>2.5639999999999996</v>
      </c>
      <c r="S13" s="275"/>
      <c r="T13" s="275"/>
      <c r="U13" s="98"/>
      <c r="V13" s="98"/>
      <c r="W13" s="98"/>
      <c r="X13" s="98"/>
      <c r="Y13" s="98"/>
      <c r="Z13" s="1723"/>
      <c r="AD13" s="2777" t="s">
        <v>11126</v>
      </c>
      <c r="AE13" s="2776"/>
      <c r="AF13" s="2778">
        <v>79</v>
      </c>
      <c r="AG13" s="2783">
        <f>M12+N12+O12</f>
        <v>115.48799999999996</v>
      </c>
      <c r="AH13" s="2783">
        <f>M13+N13+O13</f>
        <v>7.3090000000000002</v>
      </c>
      <c r="AI13" s="2784">
        <f>M14+N14+O14</f>
        <v>3.3800000000000003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x14ac:dyDescent="0.35">
      <c r="A14" s="273"/>
      <c r="B14" s="1034"/>
      <c r="C14" s="1034"/>
      <c r="D14" s="98"/>
      <c r="E14" s="640"/>
      <c r="F14" s="1249" t="s">
        <v>448</v>
      </c>
      <c r="G14" s="1249"/>
      <c r="H14" s="1249"/>
      <c r="I14" s="1250">
        <f>J14+K14+L14</f>
        <v>114.53799999999997</v>
      </c>
      <c r="J14" s="1250">
        <f>R14+Q14+P14+O14+N14+M14</f>
        <v>114.52599999999997</v>
      </c>
      <c r="K14" s="1250">
        <f>K15+K16+K17</f>
        <v>0</v>
      </c>
      <c r="L14" s="1250">
        <f>L15+L16+L17</f>
        <v>1.2E-2</v>
      </c>
      <c r="M14" s="1250">
        <f t="shared" ref="M14:R14" si="4">M15+M16+M17</f>
        <v>0</v>
      </c>
      <c r="N14" s="1250">
        <f t="shared" si="4"/>
        <v>3.3800000000000003</v>
      </c>
      <c r="O14" s="1251">
        <f t="shared" si="4"/>
        <v>0</v>
      </c>
      <c r="P14" s="1317">
        <f t="shared" si="4"/>
        <v>0</v>
      </c>
      <c r="Q14" s="1252">
        <f t="shared" si="4"/>
        <v>9.8919999999999995</v>
      </c>
      <c r="R14" s="1256">
        <f t="shared" si="4"/>
        <v>101.25399999999998</v>
      </c>
      <c r="S14" s="98"/>
      <c r="T14" s="275"/>
      <c r="U14" s="98"/>
      <c r="V14" s="98"/>
      <c r="W14" s="98"/>
      <c r="X14" s="98"/>
      <c r="Y14" s="98"/>
      <c r="Z14" s="1723"/>
      <c r="AD14" s="2777" t="s">
        <v>11127</v>
      </c>
      <c r="AE14" s="2776"/>
      <c r="AF14" s="2778">
        <v>80</v>
      </c>
      <c r="AG14" s="2785">
        <f>P12+Q12</f>
        <v>37.683999999999997</v>
      </c>
      <c r="AH14" s="2785">
        <f>P13+Q13</f>
        <v>29.929000000000002</v>
      </c>
      <c r="AI14" s="2786">
        <f>P14+Q14</f>
        <v>9.8919999999999995</v>
      </c>
      <c r="AK14" s="2815" t="s">
        <v>11230</v>
      </c>
      <c r="AL14" s="2579">
        <f>SUMIFS(M30:M964,F30:F964,4,G30:G964,3)</f>
        <v>0</v>
      </c>
      <c r="AM14" s="2817"/>
    </row>
    <row r="15" spans="1:39" x14ac:dyDescent="0.35">
      <c r="A15" s="273"/>
      <c r="B15" s="1034"/>
      <c r="C15" s="1034"/>
      <c r="D15" s="98"/>
      <c r="E15" s="640"/>
      <c r="F15" s="1253" t="s">
        <v>827</v>
      </c>
      <c r="G15" s="1249"/>
      <c r="H15" s="1249"/>
      <c r="I15" s="1318">
        <f t="shared" si="2"/>
        <v>17.335000000000001</v>
      </c>
      <c r="J15" s="1318">
        <f t="shared" si="3"/>
        <v>17.323</v>
      </c>
      <c r="K15" s="1318">
        <f>SUMIF(F30:F956,"=6а",K30:K956)</f>
        <v>0</v>
      </c>
      <c r="L15" s="1318">
        <f>SUMIF(F30:F956,"=6а",L30:L956)</f>
        <v>1.2E-2</v>
      </c>
      <c r="M15" s="1318">
        <f>SUMIF(F30:F956,"=6а",M30:M956)</f>
        <v>0</v>
      </c>
      <c r="N15" s="1318">
        <f>SUMIF(F30:F956,"=6а",N30:N956)</f>
        <v>1.6200000000000003</v>
      </c>
      <c r="O15" s="1319">
        <f>SUMIF(F30:F956,"=6а",O30:O956)</f>
        <v>0</v>
      </c>
      <c r="P15" s="1320">
        <f>SUMIF(F30:F956,"=6а",P30:P956)</f>
        <v>0</v>
      </c>
      <c r="Q15" s="1321">
        <f>SUMIF(F30:F956,"=6а",Q30:Q956)</f>
        <v>8.9640000000000004</v>
      </c>
      <c r="R15" s="1322">
        <f>SUMIF(F30:F956,"=6а",R30:R956)</f>
        <v>6.7390000000000008</v>
      </c>
      <c r="S15" s="98"/>
      <c r="T15" s="275"/>
      <c r="U15" s="98"/>
      <c r="V15" s="98"/>
      <c r="W15" s="98"/>
      <c r="X15" s="98"/>
      <c r="Y15" s="98"/>
      <c r="Z15" s="1723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2.5639999999999996</v>
      </c>
      <c r="AI15" s="2788">
        <f>R14</f>
        <v>101.25399999999998</v>
      </c>
      <c r="AK15" s="2815" t="s">
        <v>11231</v>
      </c>
      <c r="AL15" s="2579">
        <f>SUMIFS(N30:N964,F30:F964,4,G30:G964,3)</f>
        <v>0</v>
      </c>
      <c r="AM15" s="2817"/>
    </row>
    <row r="16" spans="1:39" x14ac:dyDescent="0.35">
      <c r="A16" s="273"/>
      <c r="B16" s="1034"/>
      <c r="C16" s="1034"/>
      <c r="D16" s="98"/>
      <c r="E16" s="1265"/>
      <c r="F16" s="1254" t="s">
        <v>1490</v>
      </c>
      <c r="G16" s="1249"/>
      <c r="H16" s="1249"/>
      <c r="I16" s="1318">
        <f>J16+K16+L16</f>
        <v>35.012999999999984</v>
      </c>
      <c r="J16" s="1318">
        <f t="shared" si="3"/>
        <v>35.012999999999984</v>
      </c>
      <c r="K16" s="1318">
        <f>SUMIF(F30:F957,"=6б",K30:K957)</f>
        <v>0</v>
      </c>
      <c r="L16" s="1318">
        <f>SUMIF(F30:F957,"=6б",L30:L957)</f>
        <v>0</v>
      </c>
      <c r="M16" s="1318">
        <f>SUMIF(F30:F957,"=6б",M30:M957)</f>
        <v>0</v>
      </c>
      <c r="N16" s="1318">
        <f>SUMIF(F30:F957,"=6б",N30:N957)</f>
        <v>1.6099999999999999</v>
      </c>
      <c r="O16" s="1319">
        <f>SUMIF(F30:F957,"=6б",O30:O957)</f>
        <v>0</v>
      </c>
      <c r="P16" s="1320">
        <f>SUMIF(F30:F957,"=6б",P30:P957)</f>
        <v>0</v>
      </c>
      <c r="Q16" s="1321">
        <f>SUMIF(F30:F957,"=6б",Q30:Q957)</f>
        <v>0.92799999999999994</v>
      </c>
      <c r="R16" s="1322">
        <f>SUMIF(F30:F957,"=6б",R30:R957)</f>
        <v>32.474999999999987</v>
      </c>
      <c r="S16" s="98"/>
      <c r="T16" s="275"/>
      <c r="U16" s="98"/>
      <c r="V16" s="98"/>
      <c r="W16" s="98"/>
      <c r="X16" s="98"/>
      <c r="Y16" s="98"/>
      <c r="Z16" s="1723"/>
      <c r="AK16" s="2815" t="s">
        <v>11232</v>
      </c>
      <c r="AL16" s="2579">
        <f>SUMIFS(O30:O964,F30:F964,4,G30:G964,3)</f>
        <v>0</v>
      </c>
      <c r="AM16" s="2817"/>
    </row>
    <row r="17" spans="1:39" x14ac:dyDescent="0.35">
      <c r="A17" s="273"/>
      <c r="B17" s="1034"/>
      <c r="C17" s="1034"/>
      <c r="D17" s="98"/>
      <c r="E17" s="1265"/>
      <c r="F17" s="2271" t="s">
        <v>449</v>
      </c>
      <c r="G17" s="1249"/>
      <c r="H17" s="1249"/>
      <c r="I17" s="2272">
        <f>J17+K17+L17</f>
        <v>62.189999999999991</v>
      </c>
      <c r="J17" s="2272">
        <f>R17+Q17+P17+O17+N17+M17</f>
        <v>62.189999999999991</v>
      </c>
      <c r="K17" s="2272">
        <f>SUMIF(F30:F958,"=б/к",K30:K958)</f>
        <v>0</v>
      </c>
      <c r="L17" s="2272">
        <f>SUMIF(F30:F958,"=б/к",L30:L958)</f>
        <v>0</v>
      </c>
      <c r="M17" s="2272">
        <f>SUMIF(F30:F958,"=б/к",M30:M958)</f>
        <v>0</v>
      </c>
      <c r="N17" s="2272">
        <f>SUMIF(F30:F958,"=б/к",N30:N958)</f>
        <v>0.15000000000000002</v>
      </c>
      <c r="O17" s="2272">
        <f>SUMIF(F30:F958,"=б/к",O30:O958)</f>
        <v>0</v>
      </c>
      <c r="P17" s="2272">
        <f>SUMIF(F30:F958,"=б/к",P30:P958)</f>
        <v>0</v>
      </c>
      <c r="Q17" s="2273">
        <f>SUMIF(F30:F958,"=б/к",Q30:Q958)</f>
        <v>0</v>
      </c>
      <c r="R17" s="2274">
        <f>SUMIF(F30:F958,"=б/к",R30:R958)</f>
        <v>62.039999999999992</v>
      </c>
      <c r="S17" s="98"/>
      <c r="T17" s="275"/>
      <c r="U17" s="98"/>
      <c r="V17" s="98"/>
      <c r="W17" s="98"/>
      <c r="X17" s="98"/>
      <c r="Y17" s="98"/>
      <c r="Z17" s="1723"/>
      <c r="AK17" s="2815" t="s">
        <v>11233</v>
      </c>
      <c r="AL17" s="2579">
        <f>SUMIFS(P30:P964,F30:F964,4,G30:G964,3)+SUMIFS(Q30:Q964,F30:F964,4,G30:G964,3)</f>
        <v>0</v>
      </c>
      <c r="AM17" s="2817"/>
    </row>
    <row r="18" spans="1:39" x14ac:dyDescent="0.35">
      <c r="A18" s="273"/>
      <c r="B18" s="1034"/>
      <c r="C18" s="1034"/>
      <c r="D18" s="98"/>
      <c r="E18" s="1266"/>
      <c r="F18" s="1266" t="s">
        <v>3303</v>
      </c>
      <c r="G18" s="1241">
        <v>3</v>
      </c>
      <c r="H18" s="1241"/>
      <c r="I18" s="1286">
        <f t="shared" si="2"/>
        <v>0</v>
      </c>
      <c r="J18" s="1286">
        <f t="shared" si="3"/>
        <v>0</v>
      </c>
      <c r="K18" s="1286">
        <f>SUMIF(G30:G866,3,K30:K866)</f>
        <v>0</v>
      </c>
      <c r="L18" s="1286">
        <f>SUMIF(G30:G866,3,L30:L866)</f>
        <v>0</v>
      </c>
      <c r="M18" s="1286">
        <f>SUMIF(G30:G866,3,M30:M866)</f>
        <v>0</v>
      </c>
      <c r="N18" s="1286">
        <f>SUMIF(G30:G866,3,N30:N866)</f>
        <v>0</v>
      </c>
      <c r="O18" s="1287">
        <f>SUMIF(G30:G866,3,O30:O866)</f>
        <v>0</v>
      </c>
      <c r="P18" s="1286">
        <f>SUMIF(G30:G866,3,P30:P866)</f>
        <v>0</v>
      </c>
      <c r="Q18" s="1288">
        <f>SUMIF(G30:G866,3,Q30:Q866)</f>
        <v>0</v>
      </c>
      <c r="R18" s="1491">
        <f>SUMIF(G30:G866,3,R30:R866)</f>
        <v>0</v>
      </c>
      <c r="S18" s="98"/>
      <c r="T18" s="275"/>
      <c r="U18" s="98"/>
      <c r="V18" s="98"/>
      <c r="W18" s="98"/>
      <c r="X18" s="98"/>
      <c r="Y18" s="98"/>
      <c r="Z18" s="1723"/>
      <c r="AK18" s="2815" t="s">
        <v>910</v>
      </c>
      <c r="AL18" s="2579">
        <f>SUMIFS(R30:R964,F30:F964,4,G30:G964,3)</f>
        <v>0</v>
      </c>
      <c r="AM18" s="2817"/>
    </row>
    <row r="19" spans="1:39" x14ac:dyDescent="0.35">
      <c r="A19" s="273"/>
      <c r="B19" s="1034"/>
      <c r="C19" s="1034"/>
      <c r="D19" s="98"/>
      <c r="E19" s="98"/>
      <c r="F19" s="1240"/>
      <c r="G19" s="1241">
        <v>4</v>
      </c>
      <c r="H19" s="1241"/>
      <c r="I19" s="1286">
        <f t="shared" si="2"/>
        <v>106.18899999999999</v>
      </c>
      <c r="J19" s="1286">
        <f t="shared" si="3"/>
        <v>99.102999999999994</v>
      </c>
      <c r="K19" s="1286">
        <f>SUMIF(G30:G866,4,K30:K866)</f>
        <v>0</v>
      </c>
      <c r="L19" s="1286">
        <f>SUMIF(G30:G866,4,L30:L866)</f>
        <v>7.0859999999999985</v>
      </c>
      <c r="M19" s="1286">
        <f>SUMIF(G30:G866,4,M30:M866)</f>
        <v>0</v>
      </c>
      <c r="N19" s="1286">
        <f>SUMIF(G30:G866,4,N30:N866)</f>
        <v>87.137999999999991</v>
      </c>
      <c r="O19" s="1287">
        <f>SUMIF(G30:G866,4,O30:O866)</f>
        <v>0</v>
      </c>
      <c r="P19" s="1286">
        <f>SUMIF(G30:G866,4,P30:P866)</f>
        <v>0</v>
      </c>
      <c r="Q19" s="1288">
        <f>SUMIF(G30:G866,4,Q30:Q866)</f>
        <v>11.000999999999999</v>
      </c>
      <c r="R19" s="1491">
        <f>SUMIF(G30:G866,4,R30:R866)</f>
        <v>0.96399999999999997</v>
      </c>
      <c r="S19" s="98"/>
      <c r="T19" s="275"/>
      <c r="U19" s="98"/>
      <c r="V19" s="98"/>
      <c r="W19" s="98"/>
      <c r="X19" s="98"/>
      <c r="Y19" s="98"/>
      <c r="Z19" s="1723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783"/>
      <c r="B20" s="1067"/>
      <c r="C20" s="1067"/>
      <c r="D20" s="319"/>
      <c r="E20" s="319"/>
      <c r="F20" s="1258"/>
      <c r="G20" s="1259">
        <v>5</v>
      </c>
      <c r="H20" s="1259"/>
      <c r="I20" s="1290">
        <f t="shared" si="2"/>
        <v>208.595</v>
      </c>
      <c r="J20" s="1290">
        <f t="shared" si="3"/>
        <v>208.39699999999999</v>
      </c>
      <c r="K20" s="1290">
        <f>SUMIF(G30:G866,5,K30:K866)</f>
        <v>0</v>
      </c>
      <c r="L20" s="1290">
        <f>SUMIF(G30:G866,5,L30:L866)</f>
        <v>0.19800000000000578</v>
      </c>
      <c r="M20" s="1290">
        <f>SUMIF(G30:G866,5,M30:M866)</f>
        <v>0</v>
      </c>
      <c r="N20" s="1290">
        <f>SUMIF(G30:G866,5,N30:N866)</f>
        <v>39.038999999999987</v>
      </c>
      <c r="O20" s="1291">
        <f>SUMIF(G30:G866,5,O30:O866)</f>
        <v>0</v>
      </c>
      <c r="P20" s="1290">
        <f>SUMIF(G30:G866,5,P30:P866)</f>
        <v>0</v>
      </c>
      <c r="Q20" s="1292">
        <f>SUMIF(G30:G866,5,Q30:Q866)</f>
        <v>66.504000000000005</v>
      </c>
      <c r="R20" s="1492">
        <f>SUMIF(G30:G866,5,R30:R866)</f>
        <v>102.854</v>
      </c>
      <c r="S20" s="319"/>
      <c r="T20" s="404"/>
      <c r="U20" s="319"/>
      <c r="V20" s="319"/>
      <c r="W20" s="319"/>
      <c r="X20" s="319"/>
      <c r="Y20" s="319"/>
      <c r="Z20" s="1724"/>
      <c r="AK20" s="2815" t="s">
        <v>11230</v>
      </c>
      <c r="AL20" s="2579">
        <f>SUMIFS(M30:M964,F30:F964,5,G30:G964,3)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SUMIFS(N30:N964,F30:F964,5,G30:G964,3)</f>
        <v>0</v>
      </c>
      <c r="AM21" s="2817"/>
    </row>
    <row r="22" spans="1:39" customFormat="1" x14ac:dyDescent="0.35">
      <c r="A22" s="285"/>
      <c r="B22" s="993"/>
      <c r="C22" s="993"/>
      <c r="D22" s="538">
        <f>SUMIF(C30:C888,"=сад",AB30:AB888)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SUMIF(C30:C888,"=сад",K30:K888)</f>
        <v>0</v>
      </c>
      <c r="L22" s="2247">
        <f>SUMIF(C30:C888,"=сад",L30:L888)</f>
        <v>0</v>
      </c>
      <c r="M22" s="2247">
        <f>SUMIF(C30:C888,"=сад",M30:M888)</f>
        <v>0</v>
      </c>
      <c r="N22" s="2247">
        <f>SUMIF(C30:C888,"=сад",N30:N888)</f>
        <v>0</v>
      </c>
      <c r="O22" s="2248">
        <f>SUMIF(C30:C888,"=сад",O30:O888)</f>
        <v>0</v>
      </c>
      <c r="P22" s="2247">
        <f>SUMIF(C30:C888,"=сад",P30:P888)</f>
        <v>0</v>
      </c>
      <c r="Q22" s="2249">
        <f>SUMIF(C30:C888,"=сад",Q30:Q888)</f>
        <v>0</v>
      </c>
      <c r="R22" s="2250">
        <f>SUMIF(C30:C888,"=сад",R30:R888)</f>
        <v>0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SUMIFS(O30:O964,F30:F964,5,G30:G964,3)</f>
        <v>0</v>
      </c>
      <c r="AM22" s="2817"/>
    </row>
    <row r="23" spans="1:39" customFormat="1" x14ac:dyDescent="0.35">
      <c r="A23" s="285"/>
      <c r="B23" s="993"/>
      <c r="C23" s="993"/>
      <c r="D23" s="538">
        <f>SUMIF(C30:C889,"=индив",AB30:AB889)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SUMIF(C30:C889,"=индив",K30:K889)</f>
        <v>0</v>
      </c>
      <c r="L23" s="2247">
        <f>SUMIF(C30:C889,"=индив",L30:L889)</f>
        <v>0</v>
      </c>
      <c r="M23" s="2247">
        <f>SUMIF(C30:C889,"=индив",M30:M889)</f>
        <v>0</v>
      </c>
      <c r="N23" s="2247">
        <f>SUMIF(C30:C889,"=индив",N30:N889)</f>
        <v>0</v>
      </c>
      <c r="O23" s="2248">
        <f>SUMIF(C30:C889,"=индив",O30:O889)</f>
        <v>0</v>
      </c>
      <c r="P23" s="2247">
        <f>SUMIF(C30:C889,"=индив",P30:P889)</f>
        <v>0</v>
      </c>
      <c r="Q23" s="2249">
        <f>SUMIF(C30:C889,"=индив",Q30:Q889)</f>
        <v>0</v>
      </c>
      <c r="R23" s="2250">
        <f>SUMIF(C30:C889,"=индив",R30:R889)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SUMIFS(P30:P964,F30:F964,5,G30:G964,3)+SUMIFS(Q30:Q964,F30:F964,5,G30:G964,3)</f>
        <v>0</v>
      </c>
      <c r="AM23" s="2817"/>
    </row>
    <row r="24" spans="1:39" customFormat="1" x14ac:dyDescent="0.35">
      <c r="A24" s="285"/>
      <c r="B24" s="993"/>
      <c r="C24" s="993"/>
      <c r="D24" s="538">
        <f>SUMIF(C30:C890,"=кладб",AB30:AB890)</f>
        <v>55</v>
      </c>
      <c r="E24" s="2241" t="s">
        <v>2761</v>
      </c>
      <c r="F24" s="98"/>
      <c r="G24" s="226"/>
      <c r="H24" s="226"/>
      <c r="I24" s="2247">
        <f>J24+K24+L24</f>
        <v>40.819999999999993</v>
      </c>
      <c r="J24" s="2247">
        <f>R24+Q24+P24+O24+N24+M24</f>
        <v>40.819999999999993</v>
      </c>
      <c r="K24" s="2247">
        <f>SUMIF(C30:C890,"=кладб",K30:K890)</f>
        <v>0</v>
      </c>
      <c r="L24" s="2247">
        <f>SUMIF(C30:C890,"=кладб",L30:L890)</f>
        <v>0</v>
      </c>
      <c r="M24" s="2247">
        <f>SUMIF(C30:C890,"=кладб",M30:M890)</f>
        <v>0</v>
      </c>
      <c r="N24" s="2247">
        <f>SUMIF(C30:C890,"=кладб",N30:N890)</f>
        <v>0</v>
      </c>
      <c r="O24" s="2248">
        <f>SUMIF(C30:C890,"=кладб",O30:O890)</f>
        <v>0</v>
      </c>
      <c r="P24" s="2247">
        <f>SUMIF(C30:C890,"=кладб",P30:P890)</f>
        <v>0</v>
      </c>
      <c r="Q24" s="2249">
        <f>SUMIF(C30:C890,"=кладб",Q30:Q890)</f>
        <v>0</v>
      </c>
      <c r="R24" s="2250">
        <f>SUMIF(C30:C890,"=кладб",R30:R890)</f>
        <v>40.819999999999993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SUMIFS(R30:R964,F30:F964,5,G30:G964,3)</f>
        <v>0</v>
      </c>
      <c r="AM24" s="2817"/>
    </row>
    <row r="25" spans="1:39" customFormat="1" x14ac:dyDescent="0.35">
      <c r="A25" s="387"/>
      <c r="B25" s="994"/>
      <c r="C25" s="994"/>
      <c r="D25" s="538">
        <f>SUMIF(C30:C891,"=прир",AB30:AB891)</f>
        <v>1</v>
      </c>
      <c r="E25" s="2241" t="s">
        <v>2760</v>
      </c>
      <c r="F25" s="319"/>
      <c r="G25" s="2258"/>
      <c r="H25" s="2258"/>
      <c r="I25" s="2259">
        <f>J25+K25+L25</f>
        <v>0.85799999999999998</v>
      </c>
      <c r="J25" s="2259">
        <f>R25+Q25+P25+O25+N25+M25</f>
        <v>0.84299999999999997</v>
      </c>
      <c r="K25" s="2259">
        <f>SUMIF(C30:C891,"=прир",K30:K891)</f>
        <v>0</v>
      </c>
      <c r="L25" s="2259">
        <f>SUMIF(C30:C891,"=прир",L30:L891)</f>
        <v>1.4999999999999999E-2</v>
      </c>
      <c r="M25" s="2259">
        <f>SUMIF(C30:C891,"=прир",M30:M891)</f>
        <v>0</v>
      </c>
      <c r="N25" s="2259">
        <f>SUMIF(C30:C891,"=прир",N30:N891)</f>
        <v>0.84299999999999997</v>
      </c>
      <c r="O25" s="2260">
        <f>SUMIF(C30:C891,"=прир",O30:O891)</f>
        <v>0</v>
      </c>
      <c r="P25" s="2259">
        <f>SUMIF(C30:C891,"=прир",P30:P891)</f>
        <v>0</v>
      </c>
      <c r="Q25" s="2261">
        <f>SUMIF(C30:C891,"=прир",Q30:Q891)</f>
        <v>0</v>
      </c>
      <c r="R25" s="2262">
        <f>SUMIF(C30:C891,"=прир",R30:R891)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SUMIF(C30:C892,"=ист",AB30:AB892)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SUMIF(C30:C892,"=ист",K30:K892)</f>
        <v>0</v>
      </c>
      <c r="L26" s="2259">
        <f>SUMIF(C30:C892,"=ист",L30:L892)</f>
        <v>0</v>
      </c>
      <c r="M26" s="2259">
        <f>SUMIF(C30:C892,"=ист",M30:M892)</f>
        <v>0</v>
      </c>
      <c r="N26" s="2259">
        <f>SUMIF(C30:C892,"=ист",N30:N892)</f>
        <v>0</v>
      </c>
      <c r="O26" s="2260">
        <f>SUMIF(C30:C892,"=ист",O30:O892)</f>
        <v>0</v>
      </c>
      <c r="P26" s="2259">
        <f>SUMIF(C30:C892,"=ист",P30:P892)</f>
        <v>0</v>
      </c>
      <c r="Q26" s="2261">
        <f>SUMIF(C30:C892,"=ист",Q30:Q892)</f>
        <v>0</v>
      </c>
      <c r="R26" s="2262">
        <f>SUMIF(C30:C892,"=ист",R30:R892)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SUMIFS(M30:M964,F30:F964,"6а",G30:G964,3)+SUMIFS(M30:M964,F30:F964,"6б",G30:G964,3)+SUMIFS(M30:M964,F30:F964,"б/к",G30:G964,3)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SUMIFS(N30:N964,F30:F964,"6а",G30:G964,3)+SUMIFS(N30:N964,F30:F964,"6б",G30:G964,3)+SUMIFS(N30:N964,F30:F964,"б/к",G30:G964,3)</f>
        <v>0</v>
      </c>
      <c r="AM27" s="2817"/>
    </row>
    <row r="28" spans="1:39" ht="16" thickBot="1" x14ac:dyDescent="0.4">
      <c r="A28" s="784"/>
      <c r="B28" s="1068"/>
      <c r="C28" s="1068"/>
      <c r="D28" s="451"/>
      <c r="E28" s="451"/>
      <c r="F28" s="451"/>
      <c r="G28" s="451"/>
      <c r="H28" s="451"/>
      <c r="I28" s="2324">
        <f t="shared" ref="I28:R28" si="5">SUBTOTAL(9,I30:I379)</f>
        <v>314.78400000000011</v>
      </c>
      <c r="J28" s="2324">
        <f t="shared" si="5"/>
        <v>307.5</v>
      </c>
      <c r="K28" s="2324">
        <f t="shared" si="5"/>
        <v>0</v>
      </c>
      <c r="L28" s="2324">
        <f t="shared" si="5"/>
        <v>14.568000000000012</v>
      </c>
      <c r="M28" s="2324">
        <f t="shared" si="5"/>
        <v>0</v>
      </c>
      <c r="N28" s="2324">
        <f t="shared" si="5"/>
        <v>239.5440000000001</v>
      </c>
      <c r="O28" s="2324">
        <f t="shared" si="5"/>
        <v>0</v>
      </c>
      <c r="P28" s="2324">
        <f t="shared" si="5"/>
        <v>0</v>
      </c>
      <c r="Q28" s="2324">
        <f t="shared" si="5"/>
        <v>149.73000000000002</v>
      </c>
      <c r="R28" s="2324">
        <f t="shared" si="5"/>
        <v>140.63600000000005</v>
      </c>
      <c r="S28" s="451"/>
      <c r="T28" s="452"/>
      <c r="U28" s="451"/>
      <c r="V28" s="451"/>
      <c r="W28" s="451"/>
      <c r="X28" s="451"/>
      <c r="Y28" s="451"/>
      <c r="Z28" s="1725"/>
      <c r="AB28" s="2334">
        <f>SUBTOTAL(9,AB30:AB379)</f>
        <v>110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SUMIFS(O30:O964,F30:F964,"6а",G30:G964,3)+SUMIFS(O30:O964,F30:F964,"6б",G30:G964,3)+SUMIFS(O30:O964,F30:F964,"б/к",G30:G964,3)</f>
        <v>0</v>
      </c>
      <c r="AM28" s="2817"/>
    </row>
    <row r="29" spans="1:39" x14ac:dyDescent="0.35">
      <c r="A29" s="52"/>
      <c r="B29" s="996"/>
      <c r="C29" s="996"/>
      <c r="D29" s="53"/>
      <c r="E29" s="1483" t="s">
        <v>2871</v>
      </c>
      <c r="F29" s="24"/>
      <c r="G29" s="24"/>
      <c r="H29" s="24"/>
      <c r="I29" s="779"/>
      <c r="J29" s="779"/>
      <c r="K29" s="779"/>
      <c r="L29" s="779"/>
      <c r="M29" s="779"/>
      <c r="N29" s="779"/>
      <c r="O29" s="1487"/>
      <c r="P29" s="779"/>
      <c r="Q29" s="1485"/>
      <c r="R29" s="1484"/>
      <c r="S29" s="24"/>
      <c r="T29" s="232"/>
      <c r="U29" s="24"/>
      <c r="V29" s="24"/>
      <c r="W29" s="24"/>
      <c r="X29" s="24"/>
      <c r="Y29" s="24"/>
      <c r="Z29" s="54"/>
      <c r="AD29" s="2578" t="s">
        <v>7180</v>
      </c>
      <c r="AE29" s="2579">
        <f>SUMIFS(M30:M932,F30:F932,3,G30:G932,3)+SUMIFS(N30:N932,F30:F932,3,G30:G932,3)+SUMIFS(O30:O932,F30:F932,3,G30:G932,3)+SUMIFS(P30:P932,F30:F932,3,G30:G932,3)+SUMIFS(Q30:Q932,F30:F932,3,G30:G932,3)+SUMIFS(R30:R932,F30:F932,3,G30:G932,3)</f>
        <v>0</v>
      </c>
      <c r="AF29" s="2579">
        <f>SUMIFS(M30:M932,F30:F932,4,G30:G932,3)+SUMIFS(N30:N932,F30:F932,4,G30:G932,3)+SUMIFS(O30:O932,F30:F932,4,G30:G932,3)+SUMIFS(P30:P932,F30:F932,4,G30:G932,3)+SUMIFS(Q30:Q932,F30:F932,4,G30:G932,3)+SUMIFS(R30:R932,F30:F932,4,G30:G932,3)</f>
        <v>0</v>
      </c>
      <c r="AG29" s="2579">
        <f>SUMIFS(M30:M932,F30:F932,5,G30:G932,3)+SUMIFS(N30:N932,F30:F932,5,G30:G932,3)+SUMIFS(O30:O932,F30:F932,5,G30:G932,3)+SUMIFS(P30:P932,F30:F932,5,G30:G932,3)+SUMIFS(Q30:Q932,F30:F932,5,G30:G932,3)+SUMIFS(R30:R932,F30:F932,5,G30:G932,3)</f>
        <v>0</v>
      </c>
      <c r="AH29" s="2579">
        <f>SUMIFS(M30:M932,F30:F932,"6а",G30:G932,3)+SUMIFS(N30:N932,F30:F932,"6а",G30:G932,3)+SUMIFS(O30:O932,F30:F932,"6а",G30:G932,3)+SUMIFS(P30:P932,F30:F932,"6а",G30:G932,3)+SUMIFS(Q30:Q932,F30:F932,"6а",G30:G932,3)+SUMIFS(R30:R932,F30:F932,"6а",G30:G932,3)</f>
        <v>0</v>
      </c>
      <c r="AI29" s="2579">
        <f>SUMIFS(M30:M932,F30:F932,"6б",G30:G932,3)+SUMIFS(N30:N932,F30:F932,"6б",G30:G932,3)+SUMIFS(O30:O932,F30:F932,"6б",G30:G932,3)+SUMIFS(P30:P932,F30:F932,"6б",G30:G932,3)+SUMIFS(Q30:Q932,F30:F932,"6б",G30:G932,3)+SUMIFS(R30:R932,F30:F932,"6б",G30:G932,3)</f>
        <v>0</v>
      </c>
      <c r="AJ29" s="2580">
        <f>SUMIFS(M30:M932,F30:F932,"б/к",G30:G932,3)+SUMIFS(N30:N932,F30:F932,"б/к",G30:G932,3)+SUMIFS(O30:O932,F30:F932,"б/к",G30:G932,3)+SUMIFS(P30:P932,F30:F932,"б/к",G30:G932,3)+SUMIFS(Q30:Q932,F30:F932,"б/к",G30:G932,3)+SUMIFS(R30:R932,F30:F932,"б/к",G30:G932,3)</f>
        <v>0</v>
      </c>
      <c r="AK29" s="2815" t="s">
        <v>11233</v>
      </c>
      <c r="AL29" s="2579">
        <f>SUMIFS(P30:P964,F30:F964,"6а",G30:G964,3)+SUMIFS(Q30:Q964,F30:F964,"6а",G30:G964,3)+SUMIFS(P30:P964,F30:F964,"6б",G30:G964,3)+SUMIFS(Q30:Q964,F30:F964,"6б",G30:G964,3)+SUMIFS(P30:P964,F30:F964,"б/к",G30:G964,3)+SUMIFS(Q30:Q964,F30:F964,"б/к",G30:G964,3)</f>
        <v>0</v>
      </c>
      <c r="AM29" s="2817"/>
    </row>
    <row r="30" spans="1:39" ht="30" x14ac:dyDescent="0.35">
      <c r="A30" s="347">
        <v>1</v>
      </c>
      <c r="B30" s="348">
        <v>11276</v>
      </c>
      <c r="C30" s="348"/>
      <c r="D30" s="348" t="s">
        <v>2317</v>
      </c>
      <c r="E30" s="288" t="s">
        <v>11509</v>
      </c>
      <c r="F30" s="1138"/>
      <c r="G30" s="2424" t="s">
        <v>191</v>
      </c>
      <c r="H30" s="2424" t="s">
        <v>191</v>
      </c>
      <c r="I30" s="2705">
        <f>J30+K30+L30</f>
        <v>36.651000000000003</v>
      </c>
      <c r="J30" s="2705">
        <f>SUM(M30:R30)</f>
        <v>36.603999999999999</v>
      </c>
      <c r="K30" s="501"/>
      <c r="L30" s="2609">
        <f>SUM(L31:L42)</f>
        <v>4.7000000000005683E-2</v>
      </c>
      <c r="M30" s="501"/>
      <c r="N30" s="2609">
        <f>SUM(N31:N42)</f>
        <v>27.996999999999996</v>
      </c>
      <c r="O30" s="851"/>
      <c r="P30" s="552"/>
      <c r="Q30" s="860">
        <f>SUM(Q31:Q42)</f>
        <v>8.6070000000000011</v>
      </c>
      <c r="R30" s="870"/>
      <c r="S30" s="335">
        <v>3</v>
      </c>
      <c r="T30" s="2437">
        <f>6+6.81+30.74</f>
        <v>43.55</v>
      </c>
      <c r="U30" s="335"/>
      <c r="V30" s="335"/>
      <c r="W30" s="2688">
        <v>60</v>
      </c>
      <c r="X30" s="2437">
        <v>892.8</v>
      </c>
      <c r="Y30" s="2688">
        <v>25</v>
      </c>
      <c r="Z30" s="2689">
        <v>341.9</v>
      </c>
      <c r="AB30" s="3">
        <v>1</v>
      </c>
      <c r="AD30" s="2578" t="s">
        <v>7181</v>
      </c>
      <c r="AE30" s="2579">
        <f>SUMIFS(M30:M932,F30:F932,3,G30:G932,4)+SUMIFS(N30:N932,F30:F932,3,G30:G932,4)+SUMIFS(O30:O932,F30:F932,3,G30:G932,4)+SUMIFS(P30:P932,F30:F932,3,G30:G932,4)+SUMIFS(Q30:Q932,F30:F932,3,G30:G932,4)+SUMIFS(R30:R932,F30:F932,3,G30:G932,4)</f>
        <v>0</v>
      </c>
      <c r="AF30" s="2579">
        <f>SUMIFS(M30:M932,F30:F932,4,G30:G932,4)+SUMIFS(N30:N932,F30:F932,4,G30:G932,4)+SUMIFS(O30:O932,F30:F932,4,G30:G932,4)+SUMIFS(P30:P932,F30:F932,4,G30:G932,4)+SUMIFS(Q30:Q932,F30:F932,4,G30:G932,4)+SUMIFS(R30:R932,F30:F932,4,G30:G932,4)</f>
        <v>94.593999999999994</v>
      </c>
      <c r="AG30" s="2579">
        <f>SUMIFS(M30:M932,F30:F932,5,G30:G932,4)+SUMIFS(N30:N932,F30:F932,5,G30:G932,4)+SUMIFS(O30:O932,F30:F932,5,G30:G932,4)+SUMIFS(P30:P932,F30:F932,5,G30:G932,4)+SUMIFS(Q30:Q932,F30:F932,5,G30:G932,4)+SUMIFS(R30:R932,F30:F932,5,G30:G932,4)</f>
        <v>2.1989999999999998</v>
      </c>
      <c r="AH30" s="2579">
        <f>SUMIFS(M30:M932,F30:F932,"6а",G30:G932,4)+SUMIFS(N30:N932,F30:F932,"6а",G30:G932,4)+SUMIFS(O30:O932,F30:F932,"6а",G30:G932,4)+SUMIFS(P30:P932,F30:F932,"6а",G30:G932,4)+SUMIFS(Q30:Q932,F30:F932,"6а",G30:G932,4)+SUMIFS(R30:R932,F30:F932,"6а",G30:G932,4)</f>
        <v>2.31</v>
      </c>
      <c r="AI30" s="2579">
        <f>SUMIFS(M30:M932,F30:F932,"6б",G30:G932,4)+SUMIFS(N30:N932,F30:F932,"6б",G30:G932,4)+SUMIFS(O30:O932,F30:F932,"6б",G30:G932,4)+SUMIFS(P30:P932,F30:F932,"6б",G30:G932,4)+SUMIFS(Q30:Q932,F30:F932,"6б",G30:G932,4)+SUMIFS(R30:R932,F30:F932,"6б",G30:G932,4)</f>
        <v>0</v>
      </c>
      <c r="AJ30" s="2580">
        <f>SUMIFS(M30:M932,F30:F932,"б/к",G30:G932,4)+SUMIFS(N30:N932,F30:F932,"б/к",G30:G932,4)+SUMIFS(O30:O932,F30:F932,"б/к",G30:G932,4)+SUMIFS(P30:P932,F30:F932,"б/к",G30:G932,4)+SUMIFS(Q30:Q932,F30:F932,"б/к",G30:G932,4)+SUMIFS(R30:R932,F30:F932,"б/к",G30:G932,4)</f>
        <v>0</v>
      </c>
      <c r="AK30" s="2815" t="s">
        <v>910</v>
      </c>
      <c r="AL30" s="2579">
        <f>SUMIFS(R30:R964,F30:F964,"6а",G30:G964,3)+SUMIFS(R30:R964,F30:F964,"6б",G30:G964,3)+SUMIFS(R30:R964,F30:F964,"б/к",G30:G964,3)</f>
        <v>0</v>
      </c>
      <c r="AM30" s="2817"/>
    </row>
    <row r="31" spans="1:39" ht="31" x14ac:dyDescent="0.35">
      <c r="A31" s="349"/>
      <c r="B31" s="348">
        <v>11276</v>
      </c>
      <c r="C31" s="348"/>
      <c r="D31" s="350"/>
      <c r="E31" s="2910" t="s">
        <v>11500</v>
      </c>
      <c r="F31" s="1944">
        <v>4</v>
      </c>
      <c r="G31" s="14">
        <v>4</v>
      </c>
      <c r="H31" s="2424" t="s">
        <v>191</v>
      </c>
      <c r="I31" s="502"/>
      <c r="J31" s="502"/>
      <c r="K31" s="502"/>
      <c r="L31" s="2608">
        <f>0.022</f>
        <v>2.1999999999999999E-2</v>
      </c>
      <c r="M31" s="502"/>
      <c r="N31" s="2867"/>
      <c r="O31" s="853"/>
      <c r="P31" s="572"/>
      <c r="Q31" s="863"/>
      <c r="R31" s="873"/>
      <c r="S31" s="705"/>
      <c r="T31" s="704"/>
      <c r="U31" s="705"/>
      <c r="V31" s="705"/>
      <c r="W31" s="705"/>
      <c r="X31" s="705"/>
      <c r="Y31" s="705"/>
      <c r="Z31" s="336"/>
      <c r="AD31" s="2581" t="s">
        <v>7182</v>
      </c>
      <c r="AE31" s="2582">
        <f>SUMIFS(M30:M932,F30:F932,3,G30:G932,5)+SUMIFS(N30:N932,F30:F932,3,G30:G932,5)+SUMIFS(O30:O932,F30:F932,3,G30:G932,5)+SUMIFS(P30:P932,F30:F932,3,G30:G932,5)+SUMIFS(Q30:Q932,F30:F932,3,G30:G932,5)+SUMIFS(R30:R932,F30:F932,3,G30:G932,5)</f>
        <v>0</v>
      </c>
      <c r="AF31" s="2582">
        <f>SUMIFS(M30:M932,F30:F932,4,G30:G932,5)+SUMIFS(N30:N932,F30:F932,4,G30:G932,5)+SUMIFS(O30:O932,F30:F932,4,G30:G932,5)+SUMIFS(P30:P932,F30:F932,4,G30:G932,5)+SUMIFS(Q30:Q932,F30:F932,4,G30:G932,5)+SUMIFS(R30:R932,F30:F932,4,G30:G932,5)</f>
        <v>58.577999999999989</v>
      </c>
      <c r="AG31" s="2582">
        <f>SUMIFS(M30:M932,F30:F932,5,G30:G932,5)+SUMIFS(N30:N932,F30:F932,5,G30:G932,5)+SUMIFS(O30:O932,F30:F932,5,G30:G932,5)+SUMIFS(P30:P932,F30:F932,5,G30:G932,5)+SUMIFS(Q30:Q932,F30:F932,5,G30:G932,5)+SUMIFS(R30:R932,F30:F932,5,G30:G932,5)</f>
        <v>37.602999999999994</v>
      </c>
      <c r="AH31" s="2582">
        <f>SUMIFS(M30:M932,F30:F932,"6а",G30:G932,5)+SUMIFS(N30:N932,F30:F932,"6а",G30:G932,5)+SUMIFS(O30:O932,F30:F932,"6а",G30:G932,5)+SUMIFS(P30:P932,F30:F932,"6а",G30:G932,5)+SUMIFS(Q30:Q932,F30:F932,"6а",G30:G932,5)+SUMIFS(R30:R932,F30:F932,"6а",G30:G932,5)</f>
        <v>15.012999999999998</v>
      </c>
      <c r="AI31" s="2582">
        <f>SUMIFS(M30:M932,F30:F932,"6б",G30:G932,5)+SUMIFS(N30:N932,F30:F932,"6б",G30:G932,5)+SUMIFS(O30:O932,F30:F932,"6б",G30:G932,5)+SUMIFS(P30:P932,F30:F932,"6б",G30:G932,5)+SUMIFS(Q30:Q932,F30:F932,"6б",G30:G932,5)+SUMIFS(R30:R932,F30:F932,"6б",G30:G932,5)</f>
        <v>35.012999999999984</v>
      </c>
      <c r="AJ31" s="2583">
        <f>SUMIFS(M30:M932,F30:F932,"б/к",G30:G932,5)+SUMIFS(N30:N932,F30:F932,"б/к",G30:G932,5)+SUMIFS(O30:O932,F30:F932,"б/к",G30:G932,5)+SUMIFS(P30:P932,F30:F932,"б/к",G30:G932,5)+SUMIFS(Q30:Q932,F30:F932,"б/к",G30:G932,5)+SUMIFS(R30:R932,F30:F932,"б/к",G30:G932,5)</f>
        <v>62.189999999999991</v>
      </c>
      <c r="AK31" s="2815"/>
      <c r="AL31" s="2579"/>
      <c r="AM31" s="2817"/>
    </row>
    <row r="32" spans="1:39" x14ac:dyDescent="0.35">
      <c r="A32" s="349"/>
      <c r="B32" s="348"/>
      <c r="C32" s="348"/>
      <c r="D32" s="350"/>
      <c r="E32" s="2868" t="s">
        <v>11501</v>
      </c>
      <c r="F32" s="1944">
        <v>4</v>
      </c>
      <c r="G32" s="14">
        <v>4</v>
      </c>
      <c r="H32" s="2424">
        <v>6</v>
      </c>
      <c r="I32" s="502"/>
      <c r="J32" s="502"/>
      <c r="K32" s="502"/>
      <c r="L32" s="2608"/>
      <c r="M32" s="502"/>
      <c r="N32" s="2867">
        <f>10.1-0.022</f>
        <v>10.077999999999999</v>
      </c>
      <c r="O32" s="853"/>
      <c r="P32" s="572"/>
      <c r="Q32" s="863"/>
      <c r="R32" s="873"/>
      <c r="S32" s="705"/>
      <c r="T32" s="704"/>
      <c r="U32" s="705"/>
      <c r="V32" s="705"/>
      <c r="W32" s="705"/>
      <c r="X32" s="705"/>
      <c r="Y32" s="705"/>
      <c r="Z32" s="336"/>
      <c r="AD32" s="174"/>
      <c r="AE32" s="1840"/>
      <c r="AF32" s="1840"/>
      <c r="AG32" s="1840"/>
      <c r="AH32" s="1840"/>
      <c r="AI32" s="1840"/>
      <c r="AJ32" s="1840"/>
      <c r="AK32" s="2818" t="s">
        <v>11235</v>
      </c>
      <c r="AL32" s="2821">
        <f>AL34+AL40+AL48</f>
        <v>99.102999999999994</v>
      </c>
      <c r="AM32" s="2820">
        <f>AL32-J19</f>
        <v>0</v>
      </c>
    </row>
    <row r="33" spans="1:39" x14ac:dyDescent="0.35">
      <c r="A33" s="349"/>
      <c r="B33" s="348"/>
      <c r="C33" s="348"/>
      <c r="D33" s="350"/>
      <c r="E33" s="837" t="s">
        <v>11502</v>
      </c>
      <c r="F33" s="1138">
        <v>4</v>
      </c>
      <c r="G33" s="13">
        <v>5</v>
      </c>
      <c r="H33" s="2424">
        <v>6</v>
      </c>
      <c r="I33" s="502"/>
      <c r="J33" s="502"/>
      <c r="K33" s="502"/>
      <c r="L33" s="2608"/>
      <c r="M33" s="502"/>
      <c r="N33" s="2867"/>
      <c r="O33" s="853"/>
      <c r="P33" s="572"/>
      <c r="Q33" s="863">
        <f>12.375-10.1</f>
        <v>2.2750000000000004</v>
      </c>
      <c r="R33" s="873"/>
      <c r="S33" s="705"/>
      <c r="T33" s="704"/>
      <c r="U33" s="705"/>
      <c r="V33" s="705"/>
      <c r="W33" s="705"/>
      <c r="X33" s="705"/>
      <c r="Y33" s="705"/>
      <c r="Z33" s="336"/>
      <c r="AD33" s="174"/>
      <c r="AE33" s="1840"/>
      <c r="AF33" s="1840"/>
      <c r="AG33" s="1840"/>
      <c r="AH33" s="1840"/>
      <c r="AI33" s="1840"/>
      <c r="AJ33" s="1840"/>
      <c r="AK33" s="2815" t="s">
        <v>11229</v>
      </c>
      <c r="AL33" s="2579"/>
      <c r="AM33" s="2817"/>
    </row>
    <row r="34" spans="1:39" x14ac:dyDescent="0.35">
      <c r="A34" s="349"/>
      <c r="B34" s="348">
        <v>11276</v>
      </c>
      <c r="C34" s="348"/>
      <c r="D34" s="348"/>
      <c r="E34" s="2868" t="s">
        <v>11503</v>
      </c>
      <c r="F34" s="1138">
        <v>4</v>
      </c>
      <c r="G34" s="13">
        <v>5</v>
      </c>
      <c r="H34" s="2424">
        <v>6</v>
      </c>
      <c r="I34" s="502"/>
      <c r="J34" s="502"/>
      <c r="K34" s="502"/>
      <c r="L34" s="2608"/>
      <c r="M34" s="502"/>
      <c r="N34" s="2867">
        <f>21.816-12.375</f>
        <v>9.4409999999999989</v>
      </c>
      <c r="O34" s="853"/>
      <c r="P34" s="572"/>
      <c r="Q34" s="863"/>
      <c r="R34" s="873"/>
      <c r="S34" s="705"/>
      <c r="T34" s="704"/>
      <c r="U34" s="705"/>
      <c r="V34" s="705"/>
      <c r="W34" s="705"/>
      <c r="X34" s="335"/>
      <c r="Y34" s="705"/>
      <c r="Z34" s="336"/>
      <c r="AD34"/>
      <c r="AE34" s="1572"/>
      <c r="AF34"/>
      <c r="AG34"/>
      <c r="AH34"/>
      <c r="AI34" s="2584" t="s">
        <v>7183</v>
      </c>
      <c r="AJ34" s="2585">
        <f>SUMIF(AB30:AB932,"=1",J30:J932)</f>
        <v>307.5</v>
      </c>
      <c r="AK34" s="2818" t="s">
        <v>7184</v>
      </c>
      <c r="AL34" s="2821">
        <f>AL35+AL36+AL37+AL38+AL39</f>
        <v>94.593999999999994</v>
      </c>
      <c r="AM34" s="2820">
        <f>AL34-AF30</f>
        <v>0</v>
      </c>
    </row>
    <row r="35" spans="1:39" x14ac:dyDescent="0.35">
      <c r="A35" s="349"/>
      <c r="B35" s="348"/>
      <c r="C35" s="348"/>
      <c r="D35" s="348"/>
      <c r="E35" s="837" t="s">
        <v>11504</v>
      </c>
      <c r="F35" s="1138">
        <v>4</v>
      </c>
      <c r="G35" s="13">
        <v>5</v>
      </c>
      <c r="H35" s="2424">
        <v>6</v>
      </c>
      <c r="I35" s="502"/>
      <c r="J35" s="502"/>
      <c r="K35" s="502"/>
      <c r="L35" s="2608"/>
      <c r="M35" s="502"/>
      <c r="N35" s="2867"/>
      <c r="O35" s="853"/>
      <c r="P35" s="572"/>
      <c r="Q35" s="863">
        <f>27.05-21.816</f>
        <v>5.2340000000000018</v>
      </c>
      <c r="R35" s="873"/>
      <c r="S35" s="705"/>
      <c r="T35" s="704"/>
      <c r="U35" s="705"/>
      <c r="V35" s="705"/>
      <c r="W35" s="705"/>
      <c r="X35" s="335"/>
      <c r="Y35" s="705"/>
      <c r="Z35" s="336"/>
      <c r="AD35"/>
      <c r="AE35" s="1572"/>
      <c r="AF35"/>
      <c r="AG35"/>
      <c r="AH35"/>
      <c r="AI35" s="2584"/>
      <c r="AJ35" s="2585"/>
      <c r="AK35" s="2815" t="s">
        <v>11230</v>
      </c>
      <c r="AL35" s="2579">
        <f>SUMIFS(M30:M964,F30:F964,4,G30:G964,4)</f>
        <v>0</v>
      </c>
      <c r="AM35" s="2817"/>
    </row>
    <row r="36" spans="1:39" x14ac:dyDescent="0.35">
      <c r="A36" s="349"/>
      <c r="B36" s="348"/>
      <c r="C36" s="348"/>
      <c r="D36" s="348"/>
      <c r="E36" s="2868" t="s">
        <v>11505</v>
      </c>
      <c r="F36" s="1138">
        <v>4</v>
      </c>
      <c r="G36" s="13">
        <v>5</v>
      </c>
      <c r="H36" s="2424">
        <v>6</v>
      </c>
      <c r="I36" s="502"/>
      <c r="J36" s="502"/>
      <c r="K36" s="502"/>
      <c r="L36" s="2608"/>
      <c r="M36" s="502"/>
      <c r="N36" s="2867">
        <f>27.514-27.05</f>
        <v>0.46399999999999864</v>
      </c>
      <c r="O36" s="853"/>
      <c r="P36" s="572"/>
      <c r="Q36" s="863"/>
      <c r="R36" s="873"/>
      <c r="S36" s="705"/>
      <c r="T36" s="704"/>
      <c r="U36" s="705"/>
      <c r="V36" s="705"/>
      <c r="W36" s="705"/>
      <c r="X36" s="335"/>
      <c r="Y36" s="705"/>
      <c r="Z36" s="336"/>
      <c r="AD36"/>
      <c r="AE36" s="1572"/>
      <c r="AF36"/>
      <c r="AG36"/>
      <c r="AH36"/>
      <c r="AI36" s="2584"/>
      <c r="AJ36" s="2585"/>
      <c r="AK36" s="2815" t="s">
        <v>11231</v>
      </c>
      <c r="AL36" s="2579">
        <f>SUMIFS(N30:N964,F30:F964,4,G30:G964,4)</f>
        <v>85.297999999999988</v>
      </c>
      <c r="AM36" s="2817"/>
    </row>
    <row r="37" spans="1:39" x14ac:dyDescent="0.35">
      <c r="A37" s="349"/>
      <c r="B37" s="348">
        <v>11276</v>
      </c>
      <c r="C37" s="348"/>
      <c r="D37" s="348"/>
      <c r="E37" s="837" t="s">
        <v>11506</v>
      </c>
      <c r="F37" s="1138">
        <v>4</v>
      </c>
      <c r="G37" s="13">
        <v>5</v>
      </c>
      <c r="H37" s="2424">
        <v>6</v>
      </c>
      <c r="I37" s="502"/>
      <c r="J37" s="502"/>
      <c r="K37" s="502"/>
      <c r="L37" s="2608"/>
      <c r="M37" s="502"/>
      <c r="N37" s="2867"/>
      <c r="O37" s="853"/>
      <c r="P37" s="572"/>
      <c r="Q37" s="1486">
        <f>28.612-27.514</f>
        <v>1.097999999999999</v>
      </c>
      <c r="R37" s="873"/>
      <c r="S37" s="335"/>
      <c r="T37" s="333"/>
      <c r="U37" s="335"/>
      <c r="V37" s="335"/>
      <c r="W37" s="705"/>
      <c r="X37" s="335"/>
      <c r="Y37" s="705"/>
      <c r="Z37" s="336"/>
      <c r="AD37"/>
      <c r="AE37" s="1572"/>
      <c r="AF37"/>
      <c r="AG37"/>
      <c r="AH37"/>
      <c r="AI37"/>
      <c r="AJ37" s="2585">
        <f>SUM(AE29:AJ31)-AJ34</f>
        <v>0</v>
      </c>
      <c r="AK37" s="2815" t="s">
        <v>11232</v>
      </c>
      <c r="AL37" s="2579">
        <f>SUMIFS(O30:O964,F30:F964,4,G30:G964,4)</f>
        <v>0</v>
      </c>
      <c r="AM37" s="2817"/>
    </row>
    <row r="38" spans="1:39" x14ac:dyDescent="0.35">
      <c r="A38" s="349"/>
      <c r="B38" s="348"/>
      <c r="C38" s="348"/>
      <c r="D38" s="348"/>
      <c r="E38" s="2868" t="s">
        <v>11507</v>
      </c>
      <c r="F38" s="337">
        <v>4</v>
      </c>
      <c r="G38" s="337">
        <v>5</v>
      </c>
      <c r="H38" s="2862">
        <v>6</v>
      </c>
      <c r="I38" s="502"/>
      <c r="J38" s="502"/>
      <c r="K38" s="502"/>
      <c r="L38" s="2608"/>
      <c r="M38" s="502"/>
      <c r="N38" s="2867">
        <f>36.626-28.612</f>
        <v>8.0139999999999993</v>
      </c>
      <c r="O38" s="853"/>
      <c r="P38" s="572"/>
      <c r="Q38" s="1486"/>
      <c r="R38" s="873"/>
      <c r="S38" s="335"/>
      <c r="T38" s="333"/>
      <c r="U38" s="335"/>
      <c r="V38" s="335"/>
      <c r="W38" s="705"/>
      <c r="X38" s="335"/>
      <c r="Y38" s="705"/>
      <c r="Z38" s="336"/>
      <c r="AD38" s="2844"/>
      <c r="AE38" s="1572"/>
      <c r="AF38" s="2844"/>
      <c r="AG38" s="2844"/>
      <c r="AH38" s="2844"/>
      <c r="AI38" s="2844"/>
      <c r="AJ38" s="2848"/>
      <c r="AK38" s="2815" t="s">
        <v>11233</v>
      </c>
      <c r="AL38" s="2579">
        <f>SUMIFS(P30:P964,F30:F964,4,G30:G964,4)+SUMIFS(Q30:Q964,F30:F964,4,G30:G964,4)</f>
        <v>9.2960000000000012</v>
      </c>
      <c r="AM38" s="2817"/>
    </row>
    <row r="39" spans="1:39" ht="31" x14ac:dyDescent="0.35">
      <c r="A39" s="349"/>
      <c r="B39" s="348"/>
      <c r="C39" s="348"/>
      <c r="D39" s="348"/>
      <c r="E39" s="2910" t="s">
        <v>11508</v>
      </c>
      <c r="F39" s="1138">
        <v>4</v>
      </c>
      <c r="G39" s="13">
        <v>5</v>
      </c>
      <c r="H39" s="2424" t="s">
        <v>191</v>
      </c>
      <c r="I39" s="502"/>
      <c r="J39" s="502"/>
      <c r="K39" s="502"/>
      <c r="L39" s="2608">
        <f>36.651-36.626</f>
        <v>2.5000000000005684E-2</v>
      </c>
      <c r="M39" s="502"/>
      <c r="N39" s="572"/>
      <c r="O39" s="853"/>
      <c r="P39" s="572"/>
      <c r="Q39" s="1486"/>
      <c r="R39" s="873"/>
      <c r="S39" s="335"/>
      <c r="T39" s="333"/>
      <c r="U39" s="335"/>
      <c r="V39" s="335"/>
      <c r="W39" s="705"/>
      <c r="X39" s="335"/>
      <c r="Y39" s="705"/>
      <c r="Z39" s="336"/>
      <c r="AD39" s="2844"/>
      <c r="AE39" s="1572"/>
      <c r="AF39" s="2844"/>
      <c r="AG39" s="2844"/>
      <c r="AH39" s="2844"/>
      <c r="AI39" s="2844"/>
      <c r="AJ39" s="2848"/>
      <c r="AK39" s="2815" t="s">
        <v>910</v>
      </c>
      <c r="AL39" s="2579">
        <f>SUMIFS(R30:R964,F30:F964,4,G30:G964,4)</f>
        <v>0</v>
      </c>
      <c r="AM39" s="2817"/>
    </row>
    <row r="40" spans="1:39" x14ac:dyDescent="0.35">
      <c r="A40" s="349"/>
      <c r="B40" s="348">
        <v>11276</v>
      </c>
      <c r="C40" s="348"/>
      <c r="D40" s="348"/>
      <c r="E40" s="2916" t="s">
        <v>11513</v>
      </c>
      <c r="F40" s="1138"/>
      <c r="G40" s="13"/>
      <c r="H40" s="2424"/>
      <c r="I40" s="502"/>
      <c r="J40" s="502"/>
      <c r="K40" s="502"/>
      <c r="L40" s="502"/>
      <c r="M40" s="502"/>
      <c r="N40" s="572"/>
      <c r="O40" s="853"/>
      <c r="P40" s="572"/>
      <c r="Q40" s="863"/>
      <c r="R40" s="873"/>
      <c r="S40" s="705"/>
      <c r="T40" s="704"/>
      <c r="U40" s="705"/>
      <c r="V40" s="705"/>
      <c r="W40" s="705"/>
      <c r="X40" s="335"/>
      <c r="Y40" s="705"/>
      <c r="Z40" s="336"/>
      <c r="AA40" s="1778"/>
      <c r="AK40" s="2818" t="s">
        <v>7185</v>
      </c>
      <c r="AL40" s="2821">
        <f>AL41+AL42+AL43+AL46+AL47</f>
        <v>2.1989999999999998</v>
      </c>
      <c r="AM40" s="2820">
        <f>AL40-AG30</f>
        <v>0</v>
      </c>
    </row>
    <row r="41" spans="1:39" x14ac:dyDescent="0.35">
      <c r="A41" s="349"/>
      <c r="B41" s="348">
        <v>11276</v>
      </c>
      <c r="C41" s="348"/>
      <c r="D41" s="348"/>
      <c r="E41" s="2916" t="s">
        <v>11513</v>
      </c>
      <c r="F41" s="1138"/>
      <c r="G41" s="13"/>
      <c r="H41" s="2424"/>
      <c r="I41" s="502"/>
      <c r="J41" s="502"/>
      <c r="K41" s="502"/>
      <c r="L41" s="502"/>
      <c r="M41" s="502"/>
      <c r="N41" s="572"/>
      <c r="O41" s="853"/>
      <c r="P41" s="572"/>
      <c r="Q41" s="863"/>
      <c r="R41" s="873"/>
      <c r="S41" s="705"/>
      <c r="T41" s="704"/>
      <c r="U41" s="705"/>
      <c r="V41" s="705"/>
      <c r="W41" s="705"/>
      <c r="X41" s="335"/>
      <c r="Y41" s="705"/>
      <c r="Z41" s="336"/>
      <c r="AK41" s="2815" t="s">
        <v>11230</v>
      </c>
      <c r="AL41" s="2579">
        <f>SUMIFS(M30:M964,F30:F964,5,G30:G964,4)</f>
        <v>0</v>
      </c>
      <c r="AM41" s="2817"/>
    </row>
    <row r="42" spans="1:39" x14ac:dyDescent="0.35">
      <c r="A42" s="349"/>
      <c r="B42" s="348">
        <v>11276</v>
      </c>
      <c r="C42" s="348"/>
      <c r="D42" s="348"/>
      <c r="E42" s="2916" t="s">
        <v>11513</v>
      </c>
      <c r="F42" s="1138"/>
      <c r="G42" s="13"/>
      <c r="H42" s="2424"/>
      <c r="I42" s="502"/>
      <c r="J42" s="502"/>
      <c r="K42" s="502"/>
      <c r="L42" s="502"/>
      <c r="M42" s="502"/>
      <c r="N42" s="572"/>
      <c r="O42" s="853"/>
      <c r="P42" s="572"/>
      <c r="Q42" s="863"/>
      <c r="R42" s="873"/>
      <c r="S42" s="705"/>
      <c r="T42" s="704"/>
      <c r="U42" s="705"/>
      <c r="V42" s="705"/>
      <c r="W42" s="705"/>
      <c r="X42" s="335"/>
      <c r="Y42" s="705"/>
      <c r="Z42" s="336"/>
      <c r="AK42" s="2815" t="s">
        <v>11231</v>
      </c>
      <c r="AL42" s="2579">
        <f>SUMIFS(N30:N964,F30:F964,5,G30:G964,4)</f>
        <v>0.5</v>
      </c>
      <c r="AM42" s="2817"/>
    </row>
    <row r="43" spans="1:39" ht="45.5" x14ac:dyDescent="0.35">
      <c r="A43" s="349">
        <v>2</v>
      </c>
      <c r="B43" s="405">
        <v>11276</v>
      </c>
      <c r="C43" s="405"/>
      <c r="D43" s="2472" t="s">
        <v>6047</v>
      </c>
      <c r="E43" s="288" t="s">
        <v>11594</v>
      </c>
      <c r="F43" s="1138"/>
      <c r="G43" s="2424" t="s">
        <v>191</v>
      </c>
      <c r="H43" s="2424" t="s">
        <v>191</v>
      </c>
      <c r="I43" s="2705">
        <f>J43+K43+L43</f>
        <v>7.149</v>
      </c>
      <c r="J43" s="2705">
        <f>SUM(M43:R43)</f>
        <v>7.1289999999999996</v>
      </c>
      <c r="K43" s="501"/>
      <c r="L43" s="2609">
        <f>SUM(L44:L45)</f>
        <v>2.0000000000000462E-2</v>
      </c>
      <c r="M43" s="501"/>
      <c r="N43" s="2609">
        <f>SUM(N44:N45)</f>
        <v>7.1289999999999996</v>
      </c>
      <c r="O43" s="851"/>
      <c r="P43" s="552"/>
      <c r="Q43" s="860"/>
      <c r="R43" s="870"/>
      <c r="S43" s="335">
        <v>1</v>
      </c>
      <c r="T43" s="333">
        <v>6.2</v>
      </c>
      <c r="U43" s="335"/>
      <c r="V43" s="335"/>
      <c r="W43" s="2688">
        <v>9</v>
      </c>
      <c r="X43" s="2437">
        <v>121.8</v>
      </c>
      <c r="Y43" s="2688">
        <v>0</v>
      </c>
      <c r="Z43" s="2689">
        <v>0</v>
      </c>
      <c r="AA43" s="1778" t="s">
        <v>3225</v>
      </c>
      <c r="AB43" s="3">
        <v>1</v>
      </c>
      <c r="AE43" s="2461"/>
      <c r="AF43" s="2462"/>
      <c r="AK43" s="2815" t="s">
        <v>11232</v>
      </c>
      <c r="AL43" s="2579">
        <f>SUMIFS(O30:O964,F30:F964,5,G30:G964,4)</f>
        <v>0</v>
      </c>
      <c r="AM43" s="2817"/>
    </row>
    <row r="44" spans="1:39" x14ac:dyDescent="0.35">
      <c r="A44" s="349"/>
      <c r="B44" s="405"/>
      <c r="C44" s="405"/>
      <c r="D44" s="2472"/>
      <c r="E44" s="2868" t="s">
        <v>11596</v>
      </c>
      <c r="F44" s="337">
        <v>4</v>
      </c>
      <c r="G44" s="337">
        <v>5</v>
      </c>
      <c r="H44" s="2862">
        <v>6</v>
      </c>
      <c r="I44" s="502"/>
      <c r="J44" s="502"/>
      <c r="K44" s="502"/>
      <c r="L44" s="502"/>
      <c r="M44" s="502"/>
      <c r="N44" s="2608">
        <v>7.1289999999999996</v>
      </c>
      <c r="O44" s="2490"/>
      <c r="P44" s="502"/>
      <c r="Q44" s="1859"/>
      <c r="R44" s="1868"/>
      <c r="S44" s="335"/>
      <c r="T44" s="333"/>
      <c r="U44" s="335"/>
      <c r="V44" s="335"/>
      <c r="W44" s="2688"/>
      <c r="X44" s="2437"/>
      <c r="Y44" s="2688"/>
      <c r="Z44" s="2689"/>
      <c r="AA44" s="1778"/>
      <c r="AE44" s="2461"/>
      <c r="AF44" s="2462"/>
      <c r="AK44" s="2815"/>
      <c r="AL44" s="2579"/>
      <c r="AM44" s="2817"/>
    </row>
    <row r="45" spans="1:39" ht="31" x14ac:dyDescent="0.35">
      <c r="A45" s="349"/>
      <c r="B45" s="405"/>
      <c r="C45" s="405"/>
      <c r="D45" s="2472"/>
      <c r="E45" s="2910" t="s">
        <v>11595</v>
      </c>
      <c r="F45" s="1138">
        <v>4</v>
      </c>
      <c r="G45" s="13">
        <v>5</v>
      </c>
      <c r="H45" s="2424" t="s">
        <v>191</v>
      </c>
      <c r="I45" s="502"/>
      <c r="J45" s="502"/>
      <c r="K45" s="502"/>
      <c r="L45" s="2608">
        <f>7.149-7.129</f>
        <v>2.0000000000000462E-2</v>
      </c>
      <c r="M45" s="502"/>
      <c r="N45" s="2608"/>
      <c r="O45" s="2490"/>
      <c r="P45" s="502"/>
      <c r="Q45" s="1859"/>
      <c r="R45" s="1868"/>
      <c r="S45" s="335"/>
      <c r="T45" s="333"/>
      <c r="U45" s="335"/>
      <c r="V45" s="335"/>
      <c r="W45" s="2688"/>
      <c r="X45" s="2437"/>
      <c r="Y45" s="2688"/>
      <c r="Z45" s="2689"/>
      <c r="AA45" s="1778"/>
      <c r="AE45" s="2461"/>
      <c r="AF45" s="2462"/>
      <c r="AK45" s="2815"/>
      <c r="AL45" s="2579"/>
      <c r="AM45" s="2817"/>
    </row>
    <row r="46" spans="1:39" ht="30.5" x14ac:dyDescent="0.35">
      <c r="A46" s="349">
        <v>3</v>
      </c>
      <c r="B46" s="405">
        <v>11276</v>
      </c>
      <c r="C46" s="405"/>
      <c r="D46" s="2472" t="s">
        <v>6048</v>
      </c>
      <c r="E46" s="290" t="s">
        <v>9381</v>
      </c>
      <c r="F46" s="1138"/>
      <c r="G46" s="1138" t="s">
        <v>191</v>
      </c>
      <c r="H46" s="2424" t="s">
        <v>191</v>
      </c>
      <c r="I46" s="501">
        <f>J46+K46+L46</f>
        <v>2.94</v>
      </c>
      <c r="J46" s="501">
        <f>SUM(M46:R46)</f>
        <v>2.94</v>
      </c>
      <c r="K46" s="502"/>
      <c r="L46" s="502"/>
      <c r="M46" s="502"/>
      <c r="N46" s="2609">
        <f>SUM(N47:N48)</f>
        <v>1.2989999999999999</v>
      </c>
      <c r="O46" s="851"/>
      <c r="P46" s="552"/>
      <c r="Q46" s="860">
        <f>SUM(Q47:Q48)</f>
        <v>1.641</v>
      </c>
      <c r="R46" s="870"/>
      <c r="S46" s="335"/>
      <c r="T46" s="333"/>
      <c r="U46" s="335"/>
      <c r="V46" s="335"/>
      <c r="W46" s="2688">
        <v>5</v>
      </c>
      <c r="X46" s="2437">
        <v>53</v>
      </c>
      <c r="Y46" s="705">
        <v>1</v>
      </c>
      <c r="Z46" s="336">
        <v>10</v>
      </c>
      <c r="AA46" s="3" t="s">
        <v>3035</v>
      </c>
      <c r="AB46" s="3">
        <v>1</v>
      </c>
      <c r="AE46" s="2461"/>
      <c r="AF46" s="68"/>
      <c r="AK46" s="2815" t="s">
        <v>11233</v>
      </c>
      <c r="AL46" s="2579">
        <f>SUMIFS(P30:P964,F30:F964,5,G30:G964,4)+SUMIFS(Q30:Q964,F30:F964,5,G30:G964,4)</f>
        <v>1.1850000000000001</v>
      </c>
      <c r="AM46" s="2817"/>
    </row>
    <row r="47" spans="1:39" x14ac:dyDescent="0.35">
      <c r="A47" s="349"/>
      <c r="B47" s="405">
        <v>11276</v>
      </c>
      <c r="C47" s="405"/>
      <c r="D47" s="348"/>
      <c r="E47" s="289" t="s">
        <v>11602</v>
      </c>
      <c r="F47" s="1138">
        <v>4</v>
      </c>
      <c r="G47" s="1138">
        <v>4</v>
      </c>
      <c r="H47" s="2424">
        <v>6</v>
      </c>
      <c r="I47" s="502"/>
      <c r="J47" s="502"/>
      <c r="K47" s="502"/>
      <c r="L47" s="502"/>
      <c r="M47" s="502"/>
      <c r="N47" s="2867">
        <v>1.2989999999999999</v>
      </c>
      <c r="O47" s="853"/>
      <c r="P47" s="572"/>
      <c r="Q47" s="863"/>
      <c r="R47" s="873"/>
      <c r="S47" s="337"/>
      <c r="T47" s="332"/>
      <c r="U47" s="337"/>
      <c r="V47" s="337"/>
      <c r="W47" s="728"/>
      <c r="X47" s="337"/>
      <c r="Y47" s="728"/>
      <c r="Z47" s="2518"/>
      <c r="AE47" s="2461"/>
      <c r="AF47" s="68"/>
      <c r="AK47" s="2815" t="s">
        <v>910</v>
      </c>
      <c r="AL47" s="2579">
        <f>SUMIFS(R30:R964,F30:F964,5,G30:G964,4)</f>
        <v>0.51400000000000001</v>
      </c>
      <c r="AM47" s="2817"/>
    </row>
    <row r="48" spans="1:39" x14ac:dyDescent="0.35">
      <c r="A48" s="349"/>
      <c r="B48" s="405">
        <v>11276</v>
      </c>
      <c r="C48" s="405"/>
      <c r="D48" s="348"/>
      <c r="E48" s="837" t="s">
        <v>11601</v>
      </c>
      <c r="F48" s="1138">
        <v>4</v>
      </c>
      <c r="G48" s="1138">
        <v>5</v>
      </c>
      <c r="H48" s="2424">
        <v>6</v>
      </c>
      <c r="I48" s="502"/>
      <c r="J48" s="502"/>
      <c r="K48" s="502"/>
      <c r="L48" s="502"/>
      <c r="M48" s="502"/>
      <c r="N48" s="572"/>
      <c r="O48" s="853"/>
      <c r="P48" s="572"/>
      <c r="Q48" s="863">
        <f>2.94-1.299</f>
        <v>1.641</v>
      </c>
      <c r="R48" s="873"/>
      <c r="S48" s="337"/>
      <c r="T48" s="332"/>
      <c r="U48" s="337"/>
      <c r="V48" s="337"/>
      <c r="W48" s="728"/>
      <c r="X48" s="337"/>
      <c r="Y48" s="728"/>
      <c r="Z48" s="2518"/>
      <c r="AE48" s="2461"/>
      <c r="AF48" s="68"/>
      <c r="AK48" s="2818" t="s">
        <v>11234</v>
      </c>
      <c r="AL48" s="2821">
        <f>AL49+AL50+AL51+AL52+AL53</f>
        <v>2.31</v>
      </c>
      <c r="AM48" s="2820">
        <f>AL48-AH30-AI30-AJ30</f>
        <v>0</v>
      </c>
    </row>
    <row r="49" spans="1:39" ht="30.5" x14ac:dyDescent="0.35">
      <c r="A49" s="349">
        <v>4</v>
      </c>
      <c r="B49" s="405">
        <v>11276</v>
      </c>
      <c r="C49" s="405"/>
      <c r="D49" s="2472" t="s">
        <v>6049</v>
      </c>
      <c r="E49" s="290" t="s">
        <v>7961</v>
      </c>
      <c r="F49" s="1138">
        <v>5</v>
      </c>
      <c r="G49" s="1138">
        <v>5</v>
      </c>
      <c r="H49" s="2424">
        <v>6</v>
      </c>
      <c r="I49" s="501">
        <f t="shared" ref="I49:I54" si="6">J49+K49+L49</f>
        <v>2.5</v>
      </c>
      <c r="J49" s="501">
        <f t="shared" ref="J49:J54" si="7">SUM(M49:R49)</f>
        <v>2.5</v>
      </c>
      <c r="K49" s="501"/>
      <c r="L49" s="501"/>
      <c r="M49" s="501"/>
      <c r="N49" s="552"/>
      <c r="O49" s="851"/>
      <c r="P49" s="552"/>
      <c r="Q49" s="860">
        <v>2.5</v>
      </c>
      <c r="R49" s="870"/>
      <c r="S49" s="335"/>
      <c r="T49" s="333"/>
      <c r="U49" s="335"/>
      <c r="V49" s="335"/>
      <c r="W49" s="705">
        <v>4</v>
      </c>
      <c r="X49" s="333">
        <v>60</v>
      </c>
      <c r="Y49" s="705"/>
      <c r="Z49" s="336"/>
      <c r="AB49" s="3">
        <v>1</v>
      </c>
      <c r="AE49" s="2461"/>
      <c r="AF49" s="68"/>
      <c r="AK49" s="2815" t="s">
        <v>11230</v>
      </c>
      <c r="AL49" s="2579">
        <f>SUMIFS(M30:M964,F30:F964,"6а",G30:G964,4)+SUMIFS(M30:M964,F30:F964,"6б",G30:G964,4)+SUMIFS(M30:M964,F30:F964,"б/к",G30:G964,4)</f>
        <v>0</v>
      </c>
      <c r="AM49" s="2817"/>
    </row>
    <row r="50" spans="1:39" ht="45.5" x14ac:dyDescent="0.35">
      <c r="A50" s="349">
        <v>5</v>
      </c>
      <c r="B50" s="405">
        <v>11276</v>
      </c>
      <c r="C50" s="405" t="s">
        <v>1656</v>
      </c>
      <c r="D50" s="2472" t="s">
        <v>6050</v>
      </c>
      <c r="E50" s="288" t="s">
        <v>8917</v>
      </c>
      <c r="F50" s="1138" t="s">
        <v>664</v>
      </c>
      <c r="G50" s="1138">
        <v>5</v>
      </c>
      <c r="H50" s="1138">
        <v>6</v>
      </c>
      <c r="I50" s="501">
        <f t="shared" si="6"/>
        <v>1</v>
      </c>
      <c r="J50" s="501">
        <f t="shared" si="7"/>
        <v>1</v>
      </c>
      <c r="K50" s="502"/>
      <c r="L50" s="502"/>
      <c r="M50" s="502"/>
      <c r="N50" s="572"/>
      <c r="O50" s="853"/>
      <c r="P50" s="572"/>
      <c r="Q50" s="863"/>
      <c r="R50" s="870">
        <v>1</v>
      </c>
      <c r="S50" s="337"/>
      <c r="T50" s="332"/>
      <c r="U50" s="337"/>
      <c r="V50" s="337"/>
      <c r="W50" s="728"/>
      <c r="X50" s="337"/>
      <c r="Y50" s="728"/>
      <c r="Z50" s="2518"/>
      <c r="AB50" s="3">
        <v>1</v>
      </c>
      <c r="AE50" s="2461"/>
      <c r="AF50" s="68"/>
      <c r="AK50" s="2815" t="s">
        <v>11231</v>
      </c>
      <c r="AL50" s="2579">
        <f>SUMIFS(N30:N964,F30:F964,"6а",G30:G964,4)+SUMIFS(N30:N964,F30:F964,"6б",G30:G964,4)+SUMIFS(N30:N964,F30:F964,"б/к",G30:G964,4)</f>
        <v>1.34</v>
      </c>
      <c r="AM50" s="2817"/>
    </row>
    <row r="51" spans="1:39" ht="30.5" x14ac:dyDescent="0.35">
      <c r="A51" s="349">
        <v>6</v>
      </c>
      <c r="B51" s="405">
        <v>11276</v>
      </c>
      <c r="C51" s="405"/>
      <c r="D51" s="2472" t="s">
        <v>6051</v>
      </c>
      <c r="E51" s="288" t="s">
        <v>7962</v>
      </c>
      <c r="F51" s="1138">
        <v>5</v>
      </c>
      <c r="G51" s="1138">
        <v>5</v>
      </c>
      <c r="H51" s="2424">
        <v>6</v>
      </c>
      <c r="I51" s="501">
        <f t="shared" si="6"/>
        <v>2.78</v>
      </c>
      <c r="J51" s="501">
        <f t="shared" si="7"/>
        <v>2.78</v>
      </c>
      <c r="K51" s="501"/>
      <c r="L51" s="501"/>
      <c r="M51" s="501"/>
      <c r="N51" s="552"/>
      <c r="O51" s="851"/>
      <c r="P51" s="552"/>
      <c r="Q51" s="860">
        <v>2.78</v>
      </c>
      <c r="R51" s="870"/>
      <c r="S51" s="335"/>
      <c r="T51" s="333"/>
      <c r="U51" s="335"/>
      <c r="V51" s="335"/>
      <c r="W51" s="705">
        <v>6</v>
      </c>
      <c r="X51" s="333">
        <v>81.47</v>
      </c>
      <c r="Y51" s="728"/>
      <c r="Z51" s="2518"/>
      <c r="AB51" s="3">
        <v>1</v>
      </c>
      <c r="AE51" s="2461"/>
      <c r="AF51" s="68"/>
      <c r="AK51" s="2815" t="s">
        <v>11232</v>
      </c>
      <c r="AL51" s="2579">
        <f>SUMIFS(O30:O964,F30:F964,"6а",G30:G964,4)+SUMIFS(O30:O964,F30:F964,"6б",G30:G964,4)+SUMIFS(O30:O964,F30:F964,"б/к",G30:G964,4)</f>
        <v>0</v>
      </c>
      <c r="AM51" s="2817"/>
    </row>
    <row r="52" spans="1:39" ht="45.5" x14ac:dyDescent="0.35">
      <c r="A52" s="349">
        <v>7</v>
      </c>
      <c r="B52" s="405">
        <v>11276</v>
      </c>
      <c r="C52" s="405" t="s">
        <v>1656</v>
      </c>
      <c r="D52" s="2472" t="s">
        <v>6052</v>
      </c>
      <c r="E52" s="288" t="s">
        <v>8918</v>
      </c>
      <c r="F52" s="1138" t="s">
        <v>664</v>
      </c>
      <c r="G52" s="1138">
        <v>5</v>
      </c>
      <c r="H52" s="1138">
        <v>6</v>
      </c>
      <c r="I52" s="501">
        <f t="shared" si="6"/>
        <v>0.7</v>
      </c>
      <c r="J52" s="501">
        <f t="shared" si="7"/>
        <v>0.7</v>
      </c>
      <c r="K52" s="502"/>
      <c r="L52" s="502"/>
      <c r="M52" s="502"/>
      <c r="N52" s="572"/>
      <c r="O52" s="853"/>
      <c r="P52" s="572"/>
      <c r="Q52" s="863"/>
      <c r="R52" s="870">
        <v>0.7</v>
      </c>
      <c r="S52" s="337"/>
      <c r="T52" s="332"/>
      <c r="U52" s="337"/>
      <c r="V52" s="337"/>
      <c r="W52" s="728"/>
      <c r="X52" s="337"/>
      <c r="Y52" s="728"/>
      <c r="Z52" s="2518"/>
      <c r="AB52" s="3">
        <v>1</v>
      </c>
      <c r="AE52" s="2461"/>
      <c r="AF52" s="68"/>
      <c r="AK52" s="2815" t="s">
        <v>11233</v>
      </c>
      <c r="AL52" s="2579">
        <f>SUMIFS(P30:P964,F30:F964,"6а",G30:G964,4)+SUMIFS(Q30:Q964,F30:F964,"6а",G30:G964,4)+SUMIFS(P30:P964,F30:F964,"6б",G30:G964,4)+SUMIFS(Q30:Q964,F30:F964,"6б",G30:G964,4)+SUMIFS(O30:O964,F30:F964,"б/к",G30:G964,4)+SUMIFS(P30:P964,F30:F964,"б/к",G30:G964,4)+SUMIFS(Q30:Q964,F30:F964,"б/к",G30:G964,4)</f>
        <v>0.52</v>
      </c>
      <c r="AM52" s="2817"/>
    </row>
    <row r="53" spans="1:39" ht="30.5" x14ac:dyDescent="0.35">
      <c r="A53" s="349">
        <v>8</v>
      </c>
      <c r="B53" s="405">
        <v>11276</v>
      </c>
      <c r="C53" s="405"/>
      <c r="D53" s="2472" t="s">
        <v>6053</v>
      </c>
      <c r="E53" s="288" t="s">
        <v>7963</v>
      </c>
      <c r="F53" s="1138" t="s">
        <v>664</v>
      </c>
      <c r="G53" s="1138">
        <v>5</v>
      </c>
      <c r="H53" s="1138">
        <v>6</v>
      </c>
      <c r="I53" s="501">
        <f t="shared" si="6"/>
        <v>3.98</v>
      </c>
      <c r="J53" s="501">
        <f t="shared" si="7"/>
        <v>3.98</v>
      </c>
      <c r="K53" s="501"/>
      <c r="L53" s="501"/>
      <c r="M53" s="501"/>
      <c r="N53" s="552"/>
      <c r="O53" s="851"/>
      <c r="P53" s="552"/>
      <c r="Q53" s="860"/>
      <c r="R53" s="870">
        <v>3.98</v>
      </c>
      <c r="S53" s="335"/>
      <c r="T53" s="333"/>
      <c r="U53" s="335"/>
      <c r="V53" s="335"/>
      <c r="W53" s="705">
        <v>1</v>
      </c>
      <c r="X53" s="333">
        <v>9</v>
      </c>
      <c r="Y53" s="705"/>
      <c r="Z53" s="2518"/>
      <c r="AB53" s="3">
        <v>1</v>
      </c>
      <c r="AE53" s="2461"/>
      <c r="AF53" s="68"/>
      <c r="AK53" s="2815" t="s">
        <v>910</v>
      </c>
      <c r="AL53" s="2579">
        <f>SUMIFS(R30:R964,F30:F964,"6а",G30:G964,4)+SUMIFS(R30:R964,F30:F964,"6б",G30:G964,4)+SUMIFS(R30:R964,F30:F964,"б/к",G30:G964,4)</f>
        <v>0.45</v>
      </c>
      <c r="AM53" s="2817"/>
    </row>
    <row r="54" spans="1:39" ht="30.5" x14ac:dyDescent="0.35">
      <c r="A54" s="349">
        <v>9</v>
      </c>
      <c r="B54" s="405">
        <v>11276</v>
      </c>
      <c r="C54" s="405"/>
      <c r="D54" s="2472" t="s">
        <v>6054</v>
      </c>
      <c r="E54" s="288" t="s">
        <v>7964</v>
      </c>
      <c r="F54" s="1138"/>
      <c r="G54" s="1138" t="s">
        <v>191</v>
      </c>
      <c r="H54" s="2424" t="s">
        <v>191</v>
      </c>
      <c r="I54" s="501">
        <f t="shared" si="6"/>
        <v>7.1</v>
      </c>
      <c r="J54" s="501">
        <f t="shared" si="7"/>
        <v>7.1</v>
      </c>
      <c r="K54" s="501"/>
      <c r="L54" s="501"/>
      <c r="M54" s="501"/>
      <c r="N54" s="552">
        <f>SUM(N55:N56)</f>
        <v>0.88</v>
      </c>
      <c r="O54" s="851"/>
      <c r="P54" s="552"/>
      <c r="Q54" s="860"/>
      <c r="R54" s="870">
        <f>SUM(R55:R56)</f>
        <v>6.22</v>
      </c>
      <c r="S54" s="335"/>
      <c r="T54" s="333"/>
      <c r="U54" s="335"/>
      <c r="V54" s="335"/>
      <c r="W54" s="705">
        <v>5</v>
      </c>
      <c r="X54" s="333">
        <v>62</v>
      </c>
      <c r="Y54" s="728"/>
      <c r="Z54" s="2518"/>
      <c r="AB54" s="3">
        <v>1</v>
      </c>
      <c r="AE54" s="2461"/>
      <c r="AF54" s="68"/>
      <c r="AK54" s="2815"/>
      <c r="AL54" s="2579"/>
      <c r="AM54" s="2817"/>
    </row>
    <row r="55" spans="1:39" x14ac:dyDescent="0.35">
      <c r="A55" s="349"/>
      <c r="B55" s="405">
        <v>11276</v>
      </c>
      <c r="C55" s="405"/>
      <c r="D55" s="348"/>
      <c r="E55" s="289" t="s">
        <v>3394</v>
      </c>
      <c r="F55" s="1138">
        <v>5</v>
      </c>
      <c r="G55" s="1138">
        <v>5</v>
      </c>
      <c r="H55" s="2424">
        <v>6</v>
      </c>
      <c r="I55" s="502"/>
      <c r="J55" s="502"/>
      <c r="K55" s="502"/>
      <c r="L55" s="502"/>
      <c r="M55" s="502"/>
      <c r="N55" s="572">
        <v>0.88</v>
      </c>
      <c r="O55" s="853"/>
      <c r="P55" s="572"/>
      <c r="Q55" s="863"/>
      <c r="R55" s="873"/>
      <c r="S55" s="337"/>
      <c r="T55" s="332"/>
      <c r="U55" s="337"/>
      <c r="V55" s="337"/>
      <c r="W55" s="728"/>
      <c r="X55" s="337"/>
      <c r="Y55" s="728"/>
      <c r="Z55" s="2518"/>
      <c r="AE55" s="2461"/>
      <c r="AF55" s="68"/>
      <c r="AK55" s="2818" t="s">
        <v>11236</v>
      </c>
      <c r="AL55" s="2821">
        <f>AL57+AL63+AL69</f>
        <v>208.39699999999996</v>
      </c>
      <c r="AM55" s="2820">
        <f>AL55-J20</f>
        <v>0</v>
      </c>
    </row>
    <row r="56" spans="1:39" x14ac:dyDescent="0.35">
      <c r="A56" s="349"/>
      <c r="B56" s="405">
        <v>11276</v>
      </c>
      <c r="C56" s="405"/>
      <c r="D56" s="348"/>
      <c r="E56" s="838" t="s">
        <v>1386</v>
      </c>
      <c r="F56" s="1138" t="s">
        <v>664</v>
      </c>
      <c r="G56" s="1138">
        <v>5</v>
      </c>
      <c r="H56" s="1138">
        <v>6</v>
      </c>
      <c r="I56" s="502"/>
      <c r="J56" s="502"/>
      <c r="K56" s="502"/>
      <c r="L56" s="502"/>
      <c r="M56" s="502"/>
      <c r="N56" s="572"/>
      <c r="O56" s="853"/>
      <c r="P56" s="572"/>
      <c r="Q56" s="863"/>
      <c r="R56" s="873">
        <v>6.22</v>
      </c>
      <c r="S56" s="337"/>
      <c r="T56" s="332"/>
      <c r="U56" s="337"/>
      <c r="V56" s="337"/>
      <c r="W56" s="728"/>
      <c r="X56" s="337"/>
      <c r="Y56" s="728"/>
      <c r="Z56" s="2518"/>
      <c r="AE56" s="2461"/>
      <c r="AF56" s="68"/>
      <c r="AK56" s="2815" t="s">
        <v>11229</v>
      </c>
      <c r="AL56" s="2579"/>
      <c r="AM56" s="2817"/>
    </row>
    <row r="57" spans="1:39" ht="45.5" x14ac:dyDescent="0.35">
      <c r="A57" s="349">
        <v>10</v>
      </c>
      <c r="B57" s="405">
        <v>11276</v>
      </c>
      <c r="C57" s="405" t="s">
        <v>1656</v>
      </c>
      <c r="D57" s="2472" t="s">
        <v>6055</v>
      </c>
      <c r="E57" s="288" t="s">
        <v>8919</v>
      </c>
      <c r="F57" s="1138" t="s">
        <v>664</v>
      </c>
      <c r="G57" s="1138">
        <v>5</v>
      </c>
      <c r="H57" s="1138">
        <v>6</v>
      </c>
      <c r="I57" s="501">
        <f t="shared" ref="I57:I63" si="8">J57+K57+L57</f>
        <v>0.9</v>
      </c>
      <c r="J57" s="501">
        <f t="shared" ref="J57:J63" si="9">SUM(M57:R57)</f>
        <v>0.9</v>
      </c>
      <c r="K57" s="502"/>
      <c r="L57" s="502"/>
      <c r="M57" s="502"/>
      <c r="N57" s="572"/>
      <c r="O57" s="853"/>
      <c r="P57" s="572"/>
      <c r="Q57" s="863"/>
      <c r="R57" s="870">
        <v>0.9</v>
      </c>
      <c r="S57" s="337"/>
      <c r="T57" s="332"/>
      <c r="U57" s="337"/>
      <c r="V57" s="337"/>
      <c r="W57" s="728"/>
      <c r="X57" s="337"/>
      <c r="Y57" s="728"/>
      <c r="Z57" s="2518"/>
      <c r="AB57" s="3">
        <v>1</v>
      </c>
      <c r="AE57" s="2461"/>
      <c r="AF57" s="68"/>
      <c r="AK57" s="2818" t="s">
        <v>7184</v>
      </c>
      <c r="AL57" s="2821">
        <f>AL58+AL59+AL60+AL61+AL62</f>
        <v>58.577999999999989</v>
      </c>
      <c r="AM57" s="2820">
        <f>AL57-AF31</f>
        <v>0</v>
      </c>
    </row>
    <row r="58" spans="1:39" ht="45.5" x14ac:dyDescent="0.35">
      <c r="A58" s="349">
        <v>11</v>
      </c>
      <c r="B58" s="405">
        <v>11276</v>
      </c>
      <c r="C58" s="405" t="s">
        <v>1656</v>
      </c>
      <c r="D58" s="2472" t="s">
        <v>6056</v>
      </c>
      <c r="E58" s="288" t="s">
        <v>9214</v>
      </c>
      <c r="F58" s="1138" t="s">
        <v>664</v>
      </c>
      <c r="G58" s="1138">
        <v>5</v>
      </c>
      <c r="H58" s="1138">
        <v>6</v>
      </c>
      <c r="I58" s="501">
        <f t="shared" si="8"/>
        <v>0.1</v>
      </c>
      <c r="J58" s="501">
        <f t="shared" si="9"/>
        <v>0.1</v>
      </c>
      <c r="K58" s="502"/>
      <c r="L58" s="502"/>
      <c r="M58" s="502"/>
      <c r="N58" s="572"/>
      <c r="O58" s="853"/>
      <c r="P58" s="572"/>
      <c r="Q58" s="863"/>
      <c r="R58" s="870">
        <v>0.1</v>
      </c>
      <c r="S58" s="337"/>
      <c r="T58" s="332"/>
      <c r="U58" s="337"/>
      <c r="V58" s="337"/>
      <c r="W58" s="728"/>
      <c r="X58" s="337"/>
      <c r="Y58" s="728"/>
      <c r="Z58" s="2518"/>
      <c r="AB58" s="3">
        <v>1</v>
      </c>
      <c r="AE58" s="2461"/>
      <c r="AF58" s="68"/>
      <c r="AK58" s="2815" t="s">
        <v>11230</v>
      </c>
      <c r="AL58" s="2579">
        <f>SUMIFS(M30:M964,F30:F964,4,G30:G964,5)</f>
        <v>0</v>
      </c>
      <c r="AM58" s="2817"/>
    </row>
    <row r="59" spans="1:39" ht="45.5" x14ac:dyDescent="0.35">
      <c r="A59" s="349">
        <v>12</v>
      </c>
      <c r="B59" s="405">
        <v>11276</v>
      </c>
      <c r="C59" s="405" t="s">
        <v>1656</v>
      </c>
      <c r="D59" s="2472" t="s">
        <v>6057</v>
      </c>
      <c r="E59" s="288" t="s">
        <v>8920</v>
      </c>
      <c r="F59" s="1138" t="s">
        <v>664</v>
      </c>
      <c r="G59" s="1138">
        <v>5</v>
      </c>
      <c r="H59" s="1138">
        <v>6</v>
      </c>
      <c r="I59" s="501">
        <f t="shared" si="8"/>
        <v>0.6</v>
      </c>
      <c r="J59" s="501">
        <f t="shared" si="9"/>
        <v>0.6</v>
      </c>
      <c r="K59" s="502"/>
      <c r="L59" s="502"/>
      <c r="M59" s="502"/>
      <c r="N59" s="572"/>
      <c r="O59" s="853"/>
      <c r="P59" s="572"/>
      <c r="Q59" s="863"/>
      <c r="R59" s="870">
        <v>0.6</v>
      </c>
      <c r="S59" s="337"/>
      <c r="T59" s="332"/>
      <c r="U59" s="337"/>
      <c r="V59" s="337"/>
      <c r="W59" s="728"/>
      <c r="X59" s="337"/>
      <c r="Y59" s="728"/>
      <c r="Z59" s="2518"/>
      <c r="AB59" s="3">
        <v>1</v>
      </c>
      <c r="AE59" s="2461"/>
      <c r="AF59" s="68"/>
      <c r="AK59" s="2815" t="s">
        <v>11231</v>
      </c>
      <c r="AL59" s="2579">
        <f>SUMIFS(N30:N964,F30:F964,4,G30:G964,5)</f>
        <v>30.189999999999994</v>
      </c>
      <c r="AM59" s="2817"/>
    </row>
    <row r="60" spans="1:39" ht="30.5" x14ac:dyDescent="0.35">
      <c r="A60" s="349">
        <v>13</v>
      </c>
      <c r="B60" s="405">
        <v>11276</v>
      </c>
      <c r="C60" s="405" t="s">
        <v>1656</v>
      </c>
      <c r="D60" s="2472" t="s">
        <v>6058</v>
      </c>
      <c r="E60" s="288" t="s">
        <v>8921</v>
      </c>
      <c r="F60" s="1138" t="s">
        <v>664</v>
      </c>
      <c r="G60" s="1138">
        <v>5</v>
      </c>
      <c r="H60" s="1138">
        <v>6</v>
      </c>
      <c r="I60" s="501">
        <f t="shared" si="8"/>
        <v>0.54</v>
      </c>
      <c r="J60" s="501">
        <f t="shared" si="9"/>
        <v>0.54</v>
      </c>
      <c r="K60" s="502"/>
      <c r="L60" s="502"/>
      <c r="M60" s="502"/>
      <c r="N60" s="572"/>
      <c r="O60" s="853"/>
      <c r="P60" s="572"/>
      <c r="Q60" s="863"/>
      <c r="R60" s="870">
        <v>0.54</v>
      </c>
      <c r="S60" s="337"/>
      <c r="T60" s="332"/>
      <c r="U60" s="337"/>
      <c r="V60" s="337"/>
      <c r="W60" s="728"/>
      <c r="X60" s="337"/>
      <c r="Y60" s="728"/>
      <c r="Z60" s="2518"/>
      <c r="AB60" s="3">
        <v>1</v>
      </c>
      <c r="AE60" s="2461"/>
      <c r="AF60" s="68"/>
      <c r="AK60" s="2815" t="s">
        <v>11232</v>
      </c>
      <c r="AL60" s="2579">
        <f>SUMIFS(O30:O964,F30:F964,4,G30:G964,5)</f>
        <v>0</v>
      </c>
      <c r="AM60" s="2817"/>
    </row>
    <row r="61" spans="1:39" ht="30.5" x14ac:dyDescent="0.35">
      <c r="A61" s="349">
        <v>14</v>
      </c>
      <c r="B61" s="405">
        <v>11276</v>
      </c>
      <c r="C61" s="405" t="s">
        <v>1656</v>
      </c>
      <c r="D61" s="2472" t="s">
        <v>6059</v>
      </c>
      <c r="E61" s="288" t="s">
        <v>9288</v>
      </c>
      <c r="F61" s="1138" t="s">
        <v>664</v>
      </c>
      <c r="G61" s="1138">
        <v>5</v>
      </c>
      <c r="H61" s="1138">
        <v>6</v>
      </c>
      <c r="I61" s="501">
        <f t="shared" si="8"/>
        <v>0.3</v>
      </c>
      <c r="J61" s="501">
        <f t="shared" si="9"/>
        <v>0.3</v>
      </c>
      <c r="K61" s="502"/>
      <c r="L61" s="502"/>
      <c r="M61" s="502"/>
      <c r="N61" s="572"/>
      <c r="O61" s="853"/>
      <c r="P61" s="572"/>
      <c r="Q61" s="863"/>
      <c r="R61" s="870">
        <v>0.3</v>
      </c>
      <c r="S61" s="337"/>
      <c r="T61" s="332"/>
      <c r="U61" s="337"/>
      <c r="V61" s="337"/>
      <c r="W61" s="728"/>
      <c r="X61" s="337"/>
      <c r="Y61" s="728"/>
      <c r="Z61" s="2518"/>
      <c r="AB61" s="3">
        <v>1</v>
      </c>
      <c r="AE61" s="2461"/>
      <c r="AF61" s="68"/>
      <c r="AK61" s="2815" t="s">
        <v>11233</v>
      </c>
      <c r="AL61" s="2579">
        <f>SUMIFS(P30:P964,F30:F964,4,G30:G964,5)+SUMIFS(Q30:Q964,F30:F964,4,G30:G964,5)</f>
        <v>28.387999999999995</v>
      </c>
      <c r="AM61" s="2817"/>
    </row>
    <row r="62" spans="1:39" ht="45.5" x14ac:dyDescent="0.35">
      <c r="A62" s="349">
        <v>15</v>
      </c>
      <c r="B62" s="405">
        <v>11276</v>
      </c>
      <c r="C62" s="405" t="s">
        <v>1656</v>
      </c>
      <c r="D62" s="2472" t="s">
        <v>6060</v>
      </c>
      <c r="E62" s="288" t="s">
        <v>8922</v>
      </c>
      <c r="F62" s="1138" t="s">
        <v>664</v>
      </c>
      <c r="G62" s="1138">
        <v>5</v>
      </c>
      <c r="H62" s="1138">
        <v>6</v>
      </c>
      <c r="I62" s="501">
        <f t="shared" si="8"/>
        <v>0.9</v>
      </c>
      <c r="J62" s="501">
        <f t="shared" si="9"/>
        <v>0.9</v>
      </c>
      <c r="K62" s="502"/>
      <c r="L62" s="502"/>
      <c r="M62" s="502"/>
      <c r="N62" s="572"/>
      <c r="O62" s="853"/>
      <c r="P62" s="572"/>
      <c r="Q62" s="863"/>
      <c r="R62" s="870">
        <v>0.9</v>
      </c>
      <c r="S62" s="337"/>
      <c r="T62" s="332"/>
      <c r="U62" s="337"/>
      <c r="V62" s="337"/>
      <c r="W62" s="728"/>
      <c r="X62" s="337"/>
      <c r="Y62" s="728"/>
      <c r="Z62" s="2518"/>
      <c r="AB62" s="3">
        <v>1</v>
      </c>
      <c r="AE62" s="2461"/>
      <c r="AF62" s="68"/>
      <c r="AK62" s="2815" t="s">
        <v>910</v>
      </c>
      <c r="AL62" s="2579">
        <f>SUMIFS(R30:R964,F30:F964,4,G30:G964,5)</f>
        <v>0</v>
      </c>
      <c r="AM62" s="2817"/>
    </row>
    <row r="63" spans="1:39" ht="30.5" x14ac:dyDescent="0.35">
      <c r="A63" s="349">
        <v>16</v>
      </c>
      <c r="B63" s="348">
        <v>11277</v>
      </c>
      <c r="C63" s="348"/>
      <c r="D63" s="348" t="s">
        <v>2845</v>
      </c>
      <c r="E63" s="290" t="s">
        <v>9583</v>
      </c>
      <c r="F63" s="1138"/>
      <c r="G63" s="13" t="s">
        <v>191</v>
      </c>
      <c r="H63" s="2424" t="s">
        <v>191</v>
      </c>
      <c r="I63" s="501">
        <f t="shared" si="8"/>
        <v>2.1100000000000003</v>
      </c>
      <c r="J63" s="501">
        <f t="shared" si="9"/>
        <v>2.1100000000000003</v>
      </c>
      <c r="K63" s="501"/>
      <c r="L63" s="501"/>
      <c r="M63" s="501"/>
      <c r="N63" s="1799">
        <f>SUM(N64:N66)</f>
        <v>0.61</v>
      </c>
      <c r="O63" s="860"/>
      <c r="P63" s="860"/>
      <c r="Q63" s="860">
        <f>SUM(Q65:Q66)</f>
        <v>1.1100000000000001</v>
      </c>
      <c r="R63" s="870">
        <f>SUM(R65:R66)</f>
        <v>0.39</v>
      </c>
      <c r="S63" s="705"/>
      <c r="T63" s="704"/>
      <c r="U63" s="705"/>
      <c r="V63" s="705"/>
      <c r="W63" s="705">
        <v>3</v>
      </c>
      <c r="X63" s="333">
        <v>40.5</v>
      </c>
      <c r="Y63" s="705"/>
      <c r="Z63" s="336"/>
      <c r="AB63" s="3">
        <v>1</v>
      </c>
      <c r="AE63" s="2461"/>
      <c r="AF63" s="68"/>
      <c r="AK63" s="2818" t="s">
        <v>7185</v>
      </c>
      <c r="AL63" s="2821">
        <f>AL64+AL65+AL66+AL67+AL68</f>
        <v>37.602999999999994</v>
      </c>
      <c r="AM63" s="2820">
        <f>AL63-AG31</f>
        <v>0</v>
      </c>
    </row>
    <row r="64" spans="1:39" x14ac:dyDescent="0.35">
      <c r="A64" s="349"/>
      <c r="B64" s="348">
        <v>11277</v>
      </c>
      <c r="C64" s="348"/>
      <c r="D64" s="348"/>
      <c r="E64" s="289" t="s">
        <v>1855</v>
      </c>
      <c r="F64" s="1138">
        <v>5</v>
      </c>
      <c r="G64" s="13">
        <v>5</v>
      </c>
      <c r="H64" s="2424">
        <v>6</v>
      </c>
      <c r="I64" s="501"/>
      <c r="J64" s="501"/>
      <c r="K64" s="501"/>
      <c r="L64" s="501"/>
      <c r="M64" s="501"/>
      <c r="N64" s="572">
        <v>0.61</v>
      </c>
      <c r="O64" s="853"/>
      <c r="P64" s="572"/>
      <c r="Q64" s="860"/>
      <c r="R64" s="870"/>
      <c r="S64" s="705"/>
      <c r="T64" s="704"/>
      <c r="U64" s="705"/>
      <c r="V64" s="705"/>
      <c r="W64" s="705"/>
      <c r="X64" s="335"/>
      <c r="Y64" s="705"/>
      <c r="Z64" s="336"/>
      <c r="AE64" s="2461"/>
      <c r="AF64" s="68"/>
      <c r="AK64" s="2815" t="s">
        <v>11230</v>
      </c>
      <c r="AL64" s="2579">
        <f>SUMIFS(M30:M964,F30:F964,5,G30:G964,5)</f>
        <v>0</v>
      </c>
      <c r="AM64" s="2817"/>
    </row>
    <row r="65" spans="1:39" x14ac:dyDescent="0.35">
      <c r="A65" s="349"/>
      <c r="B65" s="348">
        <v>11277</v>
      </c>
      <c r="C65" s="348"/>
      <c r="D65" s="348"/>
      <c r="E65" s="837" t="s">
        <v>1308</v>
      </c>
      <c r="F65" s="1138">
        <v>5</v>
      </c>
      <c r="G65" s="13">
        <v>5</v>
      </c>
      <c r="H65" s="2424">
        <v>6</v>
      </c>
      <c r="I65" s="502"/>
      <c r="J65" s="502"/>
      <c r="K65" s="502"/>
      <c r="L65" s="502"/>
      <c r="M65" s="502"/>
      <c r="N65" s="572"/>
      <c r="O65" s="853"/>
      <c r="P65" s="572"/>
      <c r="Q65" s="863">
        <v>1.1100000000000001</v>
      </c>
      <c r="R65" s="873"/>
      <c r="S65" s="728"/>
      <c r="T65" s="2519"/>
      <c r="U65" s="728"/>
      <c r="V65" s="728"/>
      <c r="W65" s="728"/>
      <c r="X65" s="337"/>
      <c r="Y65" s="728"/>
      <c r="Z65" s="2518"/>
      <c r="AE65" s="2461"/>
      <c r="AF65" s="68"/>
      <c r="AK65" s="2815" t="s">
        <v>11231</v>
      </c>
      <c r="AL65" s="2579">
        <f>SUMIFS(N30:N964,F30:F964,5,G30:G964,5)</f>
        <v>6.8090000000000002</v>
      </c>
      <c r="AM65" s="2817"/>
    </row>
    <row r="66" spans="1:39" x14ac:dyDescent="0.35">
      <c r="A66" s="349"/>
      <c r="B66" s="348">
        <v>11277</v>
      </c>
      <c r="C66" s="348"/>
      <c r="D66" s="348"/>
      <c r="E66" s="838" t="s">
        <v>1356</v>
      </c>
      <c r="F66" s="1138" t="s">
        <v>664</v>
      </c>
      <c r="G66" s="2573">
        <v>5</v>
      </c>
      <c r="H66" s="1138">
        <v>6</v>
      </c>
      <c r="I66" s="502"/>
      <c r="J66" s="502"/>
      <c r="K66" s="502"/>
      <c r="L66" s="502"/>
      <c r="M66" s="502"/>
      <c r="N66" s="572"/>
      <c r="O66" s="853"/>
      <c r="P66" s="572"/>
      <c r="Q66" s="863"/>
      <c r="R66" s="873">
        <v>0.39</v>
      </c>
      <c r="S66" s="337"/>
      <c r="T66" s="332"/>
      <c r="U66" s="337"/>
      <c r="V66" s="337"/>
      <c r="W66" s="728"/>
      <c r="X66" s="337"/>
      <c r="Y66" s="728"/>
      <c r="Z66" s="2518"/>
      <c r="AE66" s="2461"/>
      <c r="AF66" s="68"/>
      <c r="AK66" s="2815" t="s">
        <v>11232</v>
      </c>
      <c r="AL66" s="2579">
        <f>SUMIFS(O30:O964,F30:F964,5,G30:G964,5)</f>
        <v>0</v>
      </c>
      <c r="AM66" s="2817"/>
    </row>
    <row r="67" spans="1:39" ht="60.5" x14ac:dyDescent="0.35">
      <c r="A67" s="349">
        <v>17</v>
      </c>
      <c r="B67" s="405">
        <v>11277</v>
      </c>
      <c r="C67" s="405" t="s">
        <v>1656</v>
      </c>
      <c r="D67" s="2472" t="s">
        <v>6061</v>
      </c>
      <c r="E67" s="290" t="s">
        <v>9584</v>
      </c>
      <c r="F67" s="1138" t="s">
        <v>664</v>
      </c>
      <c r="G67" s="1138">
        <v>5</v>
      </c>
      <c r="H67" s="1138">
        <v>6</v>
      </c>
      <c r="I67" s="501">
        <f t="shared" ref="I67:I78" si="10">J67+K67+L67</f>
        <v>0.8</v>
      </c>
      <c r="J67" s="501">
        <f t="shared" ref="J67:J78" si="11">SUM(M67:R67)</f>
        <v>0.8</v>
      </c>
      <c r="K67" s="502"/>
      <c r="L67" s="502"/>
      <c r="M67" s="502"/>
      <c r="N67" s="572"/>
      <c r="O67" s="853"/>
      <c r="P67" s="572"/>
      <c r="Q67" s="863"/>
      <c r="R67" s="870">
        <v>0.8</v>
      </c>
      <c r="S67" s="337"/>
      <c r="T67" s="332"/>
      <c r="U67" s="337"/>
      <c r="V67" s="337"/>
      <c r="W67" s="728"/>
      <c r="X67" s="337"/>
      <c r="Y67" s="728"/>
      <c r="Z67" s="2518"/>
      <c r="AB67" s="3">
        <v>1</v>
      </c>
      <c r="AE67" s="2461"/>
      <c r="AF67" s="68"/>
      <c r="AK67" s="2815" t="s">
        <v>11233</v>
      </c>
      <c r="AL67" s="2579">
        <f>SUMIFS(P30:P964,F30:F964,5,G30:G964,5)+SUMIFS(Q30:Q964,F30:F964,5,G30:G964,5)</f>
        <v>28.744</v>
      </c>
      <c r="AM67" s="2817"/>
    </row>
    <row r="68" spans="1:39" ht="30" x14ac:dyDescent="0.35">
      <c r="A68" s="349">
        <v>18</v>
      </c>
      <c r="B68" s="348">
        <v>11278</v>
      </c>
      <c r="C68" s="348"/>
      <c r="D68" s="348" t="s">
        <v>2320</v>
      </c>
      <c r="E68" s="290" t="s">
        <v>1978</v>
      </c>
      <c r="F68" s="1138"/>
      <c r="G68" s="1138" t="s">
        <v>191</v>
      </c>
      <c r="H68" s="2424" t="s">
        <v>191</v>
      </c>
      <c r="I68" s="501">
        <f t="shared" si="10"/>
        <v>7.45</v>
      </c>
      <c r="J68" s="501">
        <f t="shared" si="11"/>
        <v>7.45</v>
      </c>
      <c r="K68" s="502"/>
      <c r="L68" s="502"/>
      <c r="M68" s="502"/>
      <c r="N68" s="501">
        <f>SUM(N69:N71)</f>
        <v>1.8000000000000682E-2</v>
      </c>
      <c r="O68" s="853"/>
      <c r="P68" s="572"/>
      <c r="Q68" s="860">
        <f>SUM(Q69:Q71)</f>
        <v>7.4319999999999995</v>
      </c>
      <c r="R68" s="873"/>
      <c r="S68" s="335">
        <v>1</v>
      </c>
      <c r="T68" s="333">
        <v>18.64</v>
      </c>
      <c r="U68" s="337"/>
      <c r="V68" s="337"/>
      <c r="W68" s="705">
        <v>16</v>
      </c>
      <c r="X68" s="333">
        <v>222.13</v>
      </c>
      <c r="Y68" s="705">
        <v>9</v>
      </c>
      <c r="Z68" s="336">
        <v>86.8</v>
      </c>
      <c r="AB68" s="3">
        <v>1</v>
      </c>
      <c r="AE68" s="2461"/>
      <c r="AF68" s="68"/>
      <c r="AK68" s="2815" t="s">
        <v>910</v>
      </c>
      <c r="AL68" s="2579">
        <f>SUMIFS(R30:R964,F30:F964,5,G30:G964,5)</f>
        <v>2.0499999999999998</v>
      </c>
      <c r="AM68" s="2817"/>
    </row>
    <row r="69" spans="1:39" x14ac:dyDescent="0.35">
      <c r="A69" s="349"/>
      <c r="B69" s="348"/>
      <c r="C69" s="348"/>
      <c r="D69" s="348"/>
      <c r="E69" s="837" t="s">
        <v>10594</v>
      </c>
      <c r="F69" s="1138">
        <v>4</v>
      </c>
      <c r="G69" s="1138">
        <v>5</v>
      </c>
      <c r="H69" s="2424">
        <v>6</v>
      </c>
      <c r="I69" s="501"/>
      <c r="J69" s="501"/>
      <c r="K69" s="502"/>
      <c r="L69" s="502"/>
      <c r="M69" s="502"/>
      <c r="N69" s="572"/>
      <c r="O69" s="2490"/>
      <c r="P69" s="502"/>
      <c r="Q69" s="1859">
        <v>4.9749999999999996</v>
      </c>
      <c r="R69" s="873"/>
      <c r="S69" s="335"/>
      <c r="T69" s="2437"/>
      <c r="U69" s="2687"/>
      <c r="V69" s="2687"/>
      <c r="W69" s="2688"/>
      <c r="X69" s="2437"/>
      <c r="Y69" s="2688"/>
      <c r="Z69" s="2689"/>
      <c r="AE69" s="2461"/>
      <c r="AF69" s="68"/>
      <c r="AK69" s="2818" t="s">
        <v>11234</v>
      </c>
      <c r="AL69" s="2821">
        <f>AL70+AL71+AL72+AL73+AL74</f>
        <v>112.21599999999998</v>
      </c>
      <c r="AM69" s="2820">
        <f>AL69-AH31-AI31-AJ31</f>
        <v>0</v>
      </c>
    </row>
    <row r="70" spans="1:39" x14ac:dyDescent="0.35">
      <c r="A70" s="349"/>
      <c r="B70" s="348"/>
      <c r="C70" s="348"/>
      <c r="D70" s="348"/>
      <c r="E70" s="289" t="s">
        <v>10595</v>
      </c>
      <c r="F70" s="1138">
        <v>4</v>
      </c>
      <c r="G70" s="1138">
        <v>5</v>
      </c>
      <c r="H70" s="2424">
        <v>6</v>
      </c>
      <c r="I70" s="501"/>
      <c r="J70" s="501"/>
      <c r="K70" s="502"/>
      <c r="L70" s="502"/>
      <c r="M70" s="502"/>
      <c r="N70" s="780">
        <f>4.993-4.975</f>
        <v>1.8000000000000682E-2</v>
      </c>
      <c r="O70" s="2490"/>
      <c r="P70" s="502"/>
      <c r="Q70" s="1859"/>
      <c r="R70" s="873"/>
      <c r="S70" s="335"/>
      <c r="T70" s="2437"/>
      <c r="U70" s="2687"/>
      <c r="V70" s="2687"/>
      <c r="W70" s="2688"/>
      <c r="X70" s="2437"/>
      <c r="Y70" s="2688"/>
      <c r="Z70" s="2689"/>
      <c r="AE70" s="2461"/>
      <c r="AF70" s="68"/>
      <c r="AK70" s="2815" t="s">
        <v>11230</v>
      </c>
      <c r="AL70" s="2579">
        <f>SUMIFS(M30:M964,F30:F964,"6а",G30:G964,5)+SUMIFS(M30:M964,F30:F964,"6б",G30:G964,5)+SUMIFS(M30:M964,F30:F964,"б/к",G30:G964,5)</f>
        <v>0</v>
      </c>
      <c r="AM70" s="2817"/>
    </row>
    <row r="71" spans="1:39" x14ac:dyDescent="0.35">
      <c r="A71" s="349"/>
      <c r="B71" s="348"/>
      <c r="C71" s="348"/>
      <c r="D71" s="348"/>
      <c r="E71" s="837" t="s">
        <v>10596</v>
      </c>
      <c r="F71" s="1138">
        <v>4</v>
      </c>
      <c r="G71" s="1138">
        <v>5</v>
      </c>
      <c r="H71" s="2424">
        <v>6</v>
      </c>
      <c r="I71" s="501"/>
      <c r="J71" s="501"/>
      <c r="K71" s="502"/>
      <c r="L71" s="502"/>
      <c r="M71" s="502"/>
      <c r="N71" s="572"/>
      <c r="O71" s="2490"/>
      <c r="P71" s="502"/>
      <c r="Q71" s="1859">
        <f>7.45-4.993</f>
        <v>2.4569999999999999</v>
      </c>
      <c r="R71" s="873"/>
      <c r="S71" s="335"/>
      <c r="T71" s="2437"/>
      <c r="U71" s="2687"/>
      <c r="V71" s="2687"/>
      <c r="W71" s="2688"/>
      <c r="X71" s="2437"/>
      <c r="Y71" s="2688"/>
      <c r="Z71" s="2689"/>
      <c r="AE71" s="2461"/>
      <c r="AF71" s="68"/>
      <c r="AK71" s="2815" t="s">
        <v>11231</v>
      </c>
      <c r="AL71" s="2579">
        <f>SUMIFS(N30:N964,F30:F964,"6а",G30:G964,5)+SUMIFS(N30:N964,F30:F964,"6б",G30:G964,5)+SUMIFS(N30:N964,F30:F964,"б/к",G30:G964,5)</f>
        <v>2.04</v>
      </c>
      <c r="AM71" s="2817"/>
    </row>
    <row r="72" spans="1:39" ht="30.5" x14ac:dyDescent="0.35">
      <c r="A72" s="349">
        <v>19</v>
      </c>
      <c r="B72" s="405">
        <v>11278</v>
      </c>
      <c r="C72" s="405"/>
      <c r="D72" s="2472" t="s">
        <v>6062</v>
      </c>
      <c r="E72" s="288" t="s">
        <v>7965</v>
      </c>
      <c r="F72" s="1138" t="s">
        <v>664</v>
      </c>
      <c r="G72" s="1138">
        <v>5</v>
      </c>
      <c r="H72" s="1138">
        <v>6</v>
      </c>
      <c r="I72" s="501">
        <f t="shared" si="10"/>
        <v>2.94</v>
      </c>
      <c r="J72" s="501">
        <f t="shared" si="11"/>
        <v>2.94</v>
      </c>
      <c r="K72" s="501"/>
      <c r="L72" s="501"/>
      <c r="M72" s="501"/>
      <c r="N72" s="552"/>
      <c r="O72" s="851"/>
      <c r="P72" s="552"/>
      <c r="Q72" s="860"/>
      <c r="R72" s="870">
        <v>2.94</v>
      </c>
      <c r="S72" s="335">
        <v>1</v>
      </c>
      <c r="T72" s="333">
        <v>24.95</v>
      </c>
      <c r="U72" s="335"/>
      <c r="V72" s="335"/>
      <c r="W72" s="728"/>
      <c r="X72" s="337"/>
      <c r="Y72" s="728"/>
      <c r="Z72" s="2518"/>
      <c r="AB72" s="3">
        <v>1</v>
      </c>
      <c r="AE72" s="2461"/>
      <c r="AF72" s="68"/>
      <c r="AK72" s="2815" t="s">
        <v>11232</v>
      </c>
      <c r="AL72" s="2579">
        <f>SUMIFS(O30:O964,F30:F964,"6а",G30:G964,5)+SUMIFS(O30:O964,F30:F964,"6б",G30:G964,5)+SUMIFS(O30:O964,F30:F964,"б/к",G30:G964,5)</f>
        <v>0</v>
      </c>
      <c r="AM72" s="2817"/>
    </row>
    <row r="73" spans="1:39" ht="60.5" x14ac:dyDescent="0.35">
      <c r="A73" s="349">
        <v>20</v>
      </c>
      <c r="B73" s="405">
        <v>11278</v>
      </c>
      <c r="C73" s="405" t="s">
        <v>1656</v>
      </c>
      <c r="D73" s="2472" t="s">
        <v>6063</v>
      </c>
      <c r="E73" s="288" t="s">
        <v>8923</v>
      </c>
      <c r="F73" s="1138" t="s">
        <v>664</v>
      </c>
      <c r="G73" s="1138">
        <v>5</v>
      </c>
      <c r="H73" s="1138">
        <v>6</v>
      </c>
      <c r="I73" s="501">
        <f>J73+K73+L73</f>
        <v>1.1000000000000001</v>
      </c>
      <c r="J73" s="501">
        <f>SUM(M73:R73)</f>
        <v>1.1000000000000001</v>
      </c>
      <c r="K73" s="502"/>
      <c r="L73" s="502"/>
      <c r="M73" s="502"/>
      <c r="N73" s="572"/>
      <c r="O73" s="853"/>
      <c r="P73" s="572"/>
      <c r="Q73" s="863"/>
      <c r="R73" s="870">
        <v>1.1000000000000001</v>
      </c>
      <c r="S73" s="337"/>
      <c r="T73" s="332"/>
      <c r="U73" s="337"/>
      <c r="V73" s="337"/>
      <c r="W73" s="728"/>
      <c r="X73" s="337"/>
      <c r="Y73" s="728"/>
      <c r="Z73" s="2518"/>
      <c r="AB73" s="3">
        <v>1</v>
      </c>
      <c r="AE73" s="2461"/>
      <c r="AF73" s="68"/>
      <c r="AK73" s="2815" t="s">
        <v>11233</v>
      </c>
      <c r="AL73" s="2579">
        <f>SUMIFS(P30:P964,F30:F964,"6а",G30:G964,5)+SUMIFS(Q30:Q964,F30:F964,"6а",G30:G964,5)+SUMIFS(P30:P964,F30:F964,"6б",G30:G964,5)+SUMIFS(Q30:Q964,F30:F964,"6б",G30:G964,5)+SUMIFS(P30:P964,F30:F964,"б/к",G30:G964,5)+SUMIFS(Q30:Q964,F30:F964,"б/к",G30:G964,5)</f>
        <v>9.3719999999999999</v>
      </c>
      <c r="AM73" s="2817"/>
    </row>
    <row r="74" spans="1:39" ht="45.5" x14ac:dyDescent="0.35">
      <c r="A74" s="349">
        <v>21</v>
      </c>
      <c r="B74" s="405">
        <v>11278</v>
      </c>
      <c r="C74" s="405" t="s">
        <v>1656</v>
      </c>
      <c r="D74" s="2472" t="s">
        <v>6064</v>
      </c>
      <c r="E74" s="288" t="s">
        <v>8924</v>
      </c>
      <c r="F74" s="1138" t="s">
        <v>664</v>
      </c>
      <c r="G74" s="1138">
        <v>5</v>
      </c>
      <c r="H74" s="1138">
        <v>6</v>
      </c>
      <c r="I74" s="501">
        <f t="shared" si="10"/>
        <v>0.15</v>
      </c>
      <c r="J74" s="501">
        <f t="shared" si="11"/>
        <v>0.15</v>
      </c>
      <c r="K74" s="502"/>
      <c r="L74" s="502"/>
      <c r="M74" s="502"/>
      <c r="N74" s="572"/>
      <c r="O74" s="853"/>
      <c r="P74" s="572"/>
      <c r="Q74" s="863"/>
      <c r="R74" s="870">
        <v>0.15</v>
      </c>
      <c r="S74" s="337"/>
      <c r="T74" s="332"/>
      <c r="U74" s="337"/>
      <c r="V74" s="337"/>
      <c r="W74" s="728"/>
      <c r="X74" s="337"/>
      <c r="Y74" s="728"/>
      <c r="Z74" s="2518"/>
      <c r="AB74" s="3">
        <v>1</v>
      </c>
      <c r="AE74" s="2461"/>
      <c r="AF74" s="68"/>
      <c r="AK74" s="2815" t="s">
        <v>910</v>
      </c>
      <c r="AL74" s="2579">
        <f>SUMIFS(R30:R964,F30:F964,"6а",G30:G964,5)+SUMIFS(R30:R964,F30:F964,"6б",G30:G964,5)+SUMIFS(R30:R964,F30:F964,"б/к",G30:G964,5)</f>
        <v>100.80399999999997</v>
      </c>
      <c r="AM74" s="2817"/>
    </row>
    <row r="75" spans="1:39" ht="30" x14ac:dyDescent="0.35">
      <c r="A75" s="349">
        <v>22</v>
      </c>
      <c r="B75" s="348">
        <v>11279</v>
      </c>
      <c r="C75" s="348"/>
      <c r="D75" s="348" t="s">
        <v>2321</v>
      </c>
      <c r="E75" s="290" t="s">
        <v>529</v>
      </c>
      <c r="F75" s="1138">
        <v>4</v>
      </c>
      <c r="G75" s="1138">
        <v>4</v>
      </c>
      <c r="H75" s="2424">
        <v>6</v>
      </c>
      <c r="I75" s="501">
        <f t="shared" si="10"/>
        <v>4.76</v>
      </c>
      <c r="J75" s="501">
        <f t="shared" si="11"/>
        <v>4.76</v>
      </c>
      <c r="K75" s="502"/>
      <c r="L75" s="502"/>
      <c r="M75" s="502"/>
      <c r="N75" s="552">
        <v>4.76</v>
      </c>
      <c r="O75" s="853"/>
      <c r="P75" s="572"/>
      <c r="Q75" s="863"/>
      <c r="R75" s="873"/>
      <c r="S75" s="337"/>
      <c r="T75" s="332"/>
      <c r="U75" s="337"/>
      <c r="V75" s="337"/>
      <c r="W75" s="705">
        <v>12</v>
      </c>
      <c r="X75" s="333">
        <v>171.95</v>
      </c>
      <c r="Y75" s="705">
        <v>6</v>
      </c>
      <c r="Z75" s="336">
        <v>77.400000000000006</v>
      </c>
      <c r="AB75" s="3">
        <v>1</v>
      </c>
      <c r="AE75" s="2461"/>
      <c r="AF75" s="68"/>
      <c r="AK75" s="2815"/>
      <c r="AL75" s="2579"/>
      <c r="AM75" s="2817"/>
    </row>
    <row r="76" spans="1:39" ht="30.5" x14ac:dyDescent="0.35">
      <c r="A76" s="349">
        <v>23</v>
      </c>
      <c r="B76" s="348">
        <v>11279</v>
      </c>
      <c r="C76" s="348"/>
      <c r="D76" s="2472" t="s">
        <v>6065</v>
      </c>
      <c r="E76" s="290" t="s">
        <v>7966</v>
      </c>
      <c r="F76" s="1138">
        <v>4</v>
      </c>
      <c r="G76" s="1138">
        <v>4</v>
      </c>
      <c r="H76" s="2424">
        <v>6</v>
      </c>
      <c r="I76" s="501">
        <f t="shared" si="10"/>
        <v>2.08</v>
      </c>
      <c r="J76" s="501">
        <f t="shared" si="11"/>
        <v>2.08</v>
      </c>
      <c r="K76" s="502"/>
      <c r="L76" s="502"/>
      <c r="M76" s="502"/>
      <c r="N76" s="552">
        <v>2.08</v>
      </c>
      <c r="O76" s="853"/>
      <c r="P76" s="572"/>
      <c r="Q76" s="863"/>
      <c r="R76" s="873"/>
      <c r="S76" s="337"/>
      <c r="T76" s="332"/>
      <c r="U76" s="337"/>
      <c r="V76" s="337"/>
      <c r="W76" s="705">
        <v>6</v>
      </c>
      <c r="X76" s="333">
        <v>78.2</v>
      </c>
      <c r="Y76" s="705">
        <v>2</v>
      </c>
      <c r="Z76" s="336">
        <v>30</v>
      </c>
      <c r="AB76" s="3">
        <v>1</v>
      </c>
      <c r="AE76" s="2461"/>
      <c r="AF76" s="68"/>
      <c r="AK76" s="2822" t="s">
        <v>11237</v>
      </c>
      <c r="AL76" s="2823">
        <f>AL11+AL32+AL55</f>
        <v>307.49999999999994</v>
      </c>
      <c r="AM76" s="2824">
        <f>AL76-J10</f>
        <v>0</v>
      </c>
    </row>
    <row r="77" spans="1:39" ht="45.5" x14ac:dyDescent="0.35">
      <c r="A77" s="349">
        <v>24</v>
      </c>
      <c r="B77" s="405">
        <v>11279</v>
      </c>
      <c r="C77" s="405" t="s">
        <v>1656</v>
      </c>
      <c r="D77" s="2472" t="s">
        <v>6066</v>
      </c>
      <c r="E77" s="288" t="s">
        <v>8925</v>
      </c>
      <c r="F77" s="1138" t="s">
        <v>664</v>
      </c>
      <c r="G77" s="1138">
        <v>5</v>
      </c>
      <c r="H77" s="1138">
        <v>6</v>
      </c>
      <c r="I77" s="501">
        <f t="shared" si="10"/>
        <v>1.5</v>
      </c>
      <c r="J77" s="501">
        <f t="shared" si="11"/>
        <v>1.5</v>
      </c>
      <c r="K77" s="502"/>
      <c r="L77" s="502"/>
      <c r="M77" s="502"/>
      <c r="N77" s="572"/>
      <c r="O77" s="853"/>
      <c r="P77" s="572"/>
      <c r="Q77" s="863"/>
      <c r="R77" s="870">
        <v>1.5</v>
      </c>
      <c r="S77" s="337"/>
      <c r="T77" s="332"/>
      <c r="U77" s="337"/>
      <c r="V77" s="337"/>
      <c r="W77" s="728"/>
      <c r="X77" s="337"/>
      <c r="Y77" s="728"/>
      <c r="Z77" s="2518"/>
      <c r="AB77" s="3">
        <v>1</v>
      </c>
      <c r="AE77" s="2461"/>
      <c r="AF77" s="68"/>
      <c r="AK77" s="2825" t="s">
        <v>11238</v>
      </c>
      <c r="AL77" s="2826">
        <f>AL34+AL57+AL13</f>
        <v>153.17199999999997</v>
      </c>
      <c r="AM77" s="2827">
        <f>AL77-J12</f>
        <v>0</v>
      </c>
    </row>
    <row r="78" spans="1:39" ht="30" x14ac:dyDescent="0.35">
      <c r="A78" s="349">
        <v>25</v>
      </c>
      <c r="B78" s="348">
        <v>11280</v>
      </c>
      <c r="C78" s="348"/>
      <c r="D78" s="348" t="s">
        <v>2902</v>
      </c>
      <c r="E78" s="550" t="s">
        <v>11034</v>
      </c>
      <c r="F78" s="1138"/>
      <c r="G78" s="1138" t="s">
        <v>191</v>
      </c>
      <c r="H78" s="2424" t="s">
        <v>191</v>
      </c>
      <c r="I78" s="501">
        <f t="shared" si="10"/>
        <v>31.548999999999999</v>
      </c>
      <c r="J78" s="501">
        <f t="shared" si="11"/>
        <v>31.474</v>
      </c>
      <c r="K78" s="502"/>
      <c r="L78" s="501">
        <f>SUM(L79:L84)</f>
        <v>7.4999999999998457E-2</v>
      </c>
      <c r="M78" s="502"/>
      <c r="N78" s="552">
        <f>SUM(N79:N84)</f>
        <v>31.474</v>
      </c>
      <c r="O78" s="853"/>
      <c r="P78" s="572"/>
      <c r="Q78" s="860"/>
      <c r="R78" s="873"/>
      <c r="S78" s="335">
        <v>3</v>
      </c>
      <c r="T78" s="333">
        <f>27.95+14.61+46.15</f>
        <v>88.710000000000008</v>
      </c>
      <c r="U78" s="337"/>
      <c r="V78" s="337"/>
      <c r="W78" s="705">
        <v>51</v>
      </c>
      <c r="X78" s="333">
        <v>740.2</v>
      </c>
      <c r="Y78" s="705">
        <v>19</v>
      </c>
      <c r="Z78" s="336">
        <v>210.3</v>
      </c>
      <c r="AB78" s="3">
        <v>1</v>
      </c>
      <c r="AE78" s="2461"/>
      <c r="AF78" s="68"/>
      <c r="AK78" s="2828" t="s">
        <v>11239</v>
      </c>
      <c r="AL78" s="2826">
        <f>AL19+AL40+AL63</f>
        <v>39.801999999999992</v>
      </c>
      <c r="AM78" s="2827">
        <f>AL78-J13</f>
        <v>0</v>
      </c>
    </row>
    <row r="79" spans="1:39" ht="31" x14ac:dyDescent="0.35">
      <c r="A79" s="349"/>
      <c r="B79" s="348">
        <v>11280</v>
      </c>
      <c r="C79" s="348"/>
      <c r="D79" s="348"/>
      <c r="E79" s="734" t="s">
        <v>10604</v>
      </c>
      <c r="F79" s="1138">
        <v>4</v>
      </c>
      <c r="G79" s="1138">
        <v>4</v>
      </c>
      <c r="H79" s="2424" t="s">
        <v>191</v>
      </c>
      <c r="I79" s="502"/>
      <c r="J79" s="502"/>
      <c r="K79" s="502"/>
      <c r="L79" s="831">
        <v>5.2999999999999999E-2</v>
      </c>
      <c r="M79" s="502"/>
      <c r="N79" s="572"/>
      <c r="O79" s="853"/>
      <c r="P79" s="572"/>
      <c r="Q79" s="863"/>
      <c r="R79" s="873"/>
      <c r="S79" s="337"/>
      <c r="T79" s="332"/>
      <c r="U79" s="337"/>
      <c r="V79" s="337"/>
      <c r="W79" s="728"/>
      <c r="X79" s="337"/>
      <c r="Y79" s="728"/>
      <c r="Z79" s="2518"/>
      <c r="AE79" s="2461"/>
      <c r="AF79" s="68"/>
      <c r="AK79" s="2828" t="s">
        <v>11240</v>
      </c>
      <c r="AL79" s="2826">
        <f>AL25+AL48+AL69</f>
        <v>114.52599999999998</v>
      </c>
      <c r="AM79" s="2827">
        <f>AL79-J14</f>
        <v>0</v>
      </c>
    </row>
    <row r="80" spans="1:39" x14ac:dyDescent="0.35">
      <c r="A80" s="349"/>
      <c r="B80" s="348">
        <v>11280</v>
      </c>
      <c r="C80" s="348"/>
      <c r="D80" s="348"/>
      <c r="E80" s="289" t="s">
        <v>10605</v>
      </c>
      <c r="F80" s="1138">
        <v>4</v>
      </c>
      <c r="G80" s="1138">
        <v>4</v>
      </c>
      <c r="H80" s="2424">
        <v>6</v>
      </c>
      <c r="I80" s="502"/>
      <c r="J80" s="502"/>
      <c r="K80" s="502"/>
      <c r="L80" s="831"/>
      <c r="M80" s="502"/>
      <c r="N80" s="572">
        <f>16.36-0.053</f>
        <v>16.306999999999999</v>
      </c>
      <c r="O80" s="853"/>
      <c r="P80" s="572"/>
      <c r="Q80" s="863"/>
      <c r="R80" s="873"/>
      <c r="S80" s="337"/>
      <c r="T80" s="332"/>
      <c r="U80" s="337"/>
      <c r="V80" s="337"/>
      <c r="W80" s="728"/>
      <c r="X80" s="337"/>
      <c r="Y80" s="728"/>
      <c r="Z80" s="2518"/>
      <c r="AE80" s="2461"/>
      <c r="AF80" s="68"/>
    </row>
    <row r="81" spans="1:32" x14ac:dyDescent="0.35">
      <c r="A81" s="349"/>
      <c r="B81" s="348">
        <v>11280</v>
      </c>
      <c r="C81" s="348"/>
      <c r="D81" s="348"/>
      <c r="E81" s="289" t="s">
        <v>1436</v>
      </c>
      <c r="F81" s="1138">
        <v>4</v>
      </c>
      <c r="G81" s="1138">
        <v>4</v>
      </c>
      <c r="H81" s="2424">
        <v>10</v>
      </c>
      <c r="I81" s="502"/>
      <c r="J81" s="502"/>
      <c r="K81" s="502"/>
      <c r="L81" s="831"/>
      <c r="M81" s="502"/>
      <c r="N81" s="572">
        <f>21.13-16.36</f>
        <v>4.7699999999999996</v>
      </c>
      <c r="O81" s="853"/>
      <c r="P81" s="572"/>
      <c r="Q81" s="863"/>
      <c r="R81" s="873"/>
      <c r="S81" s="337"/>
      <c r="T81" s="332"/>
      <c r="U81" s="337"/>
      <c r="V81" s="337"/>
      <c r="W81" s="728"/>
      <c r="X81" s="337"/>
      <c r="Y81" s="728"/>
      <c r="Z81" s="2518"/>
      <c r="AE81" s="2461"/>
      <c r="AF81" s="68"/>
    </row>
    <row r="82" spans="1:32" x14ac:dyDescent="0.35">
      <c r="A82" s="349"/>
      <c r="B82" s="348">
        <v>11280</v>
      </c>
      <c r="C82" s="348"/>
      <c r="D82" s="348"/>
      <c r="E82" s="289" t="s">
        <v>142</v>
      </c>
      <c r="F82" s="1138">
        <v>4</v>
      </c>
      <c r="G82" s="1138">
        <v>4</v>
      </c>
      <c r="H82" s="2424">
        <v>10</v>
      </c>
      <c r="I82" s="502"/>
      <c r="J82" s="502"/>
      <c r="K82" s="502"/>
      <c r="L82" s="831"/>
      <c r="M82" s="502"/>
      <c r="N82" s="572">
        <f>22.13-21.13</f>
        <v>1</v>
      </c>
      <c r="O82" s="853"/>
      <c r="P82" s="572"/>
      <c r="Q82" s="863"/>
      <c r="R82" s="873"/>
      <c r="S82" s="337"/>
      <c r="T82" s="332"/>
      <c r="U82" s="337"/>
      <c r="V82" s="337"/>
      <c r="W82" s="728"/>
      <c r="X82" s="337"/>
      <c r="Y82" s="728"/>
      <c r="Z82" s="2518"/>
      <c r="AE82" s="2461"/>
      <c r="AF82" s="68"/>
    </row>
    <row r="83" spans="1:32" x14ac:dyDescent="0.35">
      <c r="A83" s="349"/>
      <c r="B83" s="348">
        <v>11280</v>
      </c>
      <c r="C83" s="348"/>
      <c r="D83" s="348"/>
      <c r="E83" s="289" t="s">
        <v>10607</v>
      </c>
      <c r="F83" s="1138">
        <v>4</v>
      </c>
      <c r="G83" s="1138">
        <v>4</v>
      </c>
      <c r="H83" s="2424">
        <v>6</v>
      </c>
      <c r="I83" s="502"/>
      <c r="J83" s="502"/>
      <c r="K83" s="502"/>
      <c r="L83" s="831"/>
      <c r="M83" s="502"/>
      <c r="N83" s="572">
        <f>31.527-22.13</f>
        <v>9.397000000000002</v>
      </c>
      <c r="O83" s="853"/>
      <c r="P83" s="572"/>
      <c r="Q83" s="863"/>
      <c r="R83" s="873"/>
      <c r="S83" s="337"/>
      <c r="T83" s="332"/>
      <c r="U83" s="337"/>
      <c r="V83" s="337"/>
      <c r="W83" s="728"/>
      <c r="X83" s="337"/>
      <c r="Y83" s="728"/>
      <c r="Z83" s="2518"/>
      <c r="AE83" s="2461"/>
      <c r="AF83" s="68"/>
    </row>
    <row r="84" spans="1:32" ht="31" x14ac:dyDescent="0.35">
      <c r="A84" s="349"/>
      <c r="B84" s="348">
        <v>11280</v>
      </c>
      <c r="C84" s="348"/>
      <c r="D84" s="348"/>
      <c r="E84" s="734" t="s">
        <v>10606</v>
      </c>
      <c r="F84" s="1138">
        <v>4</v>
      </c>
      <c r="G84" s="1138">
        <v>4</v>
      </c>
      <c r="H84" s="2424" t="s">
        <v>191</v>
      </c>
      <c r="I84" s="502"/>
      <c r="J84" s="502"/>
      <c r="K84" s="502"/>
      <c r="L84" s="831">
        <f>31.549-31.527</f>
        <v>2.1999999999998465E-2</v>
      </c>
      <c r="M84" s="502"/>
      <c r="N84" s="572"/>
      <c r="O84" s="853"/>
      <c r="P84" s="572"/>
      <c r="Q84" s="863"/>
      <c r="R84" s="873"/>
      <c r="S84" s="337"/>
      <c r="T84" s="332"/>
      <c r="U84" s="337"/>
      <c r="V84" s="337"/>
      <c r="W84" s="728"/>
      <c r="X84" s="337"/>
      <c r="Y84" s="728"/>
      <c r="Z84" s="2518"/>
      <c r="AE84" s="2461"/>
      <c r="AF84" s="68"/>
    </row>
    <row r="85" spans="1:32" ht="30.5" x14ac:dyDescent="0.35">
      <c r="A85" s="349">
        <v>26</v>
      </c>
      <c r="B85" s="405">
        <v>11280</v>
      </c>
      <c r="C85" s="405"/>
      <c r="D85" s="2472" t="s">
        <v>6067</v>
      </c>
      <c r="E85" s="290" t="s">
        <v>7967</v>
      </c>
      <c r="F85" s="1138">
        <v>5</v>
      </c>
      <c r="G85" s="1138">
        <v>5</v>
      </c>
      <c r="H85" s="1138">
        <v>6</v>
      </c>
      <c r="I85" s="501">
        <f t="shared" ref="I85:I98" si="12">J85+K85+L85</f>
        <v>2.0499999999999998</v>
      </c>
      <c r="J85" s="501">
        <f t="shared" ref="J85:J98" si="13">SUM(M85:R85)</f>
        <v>2.0499999999999998</v>
      </c>
      <c r="K85" s="502"/>
      <c r="L85" s="502"/>
      <c r="M85" s="502"/>
      <c r="N85" s="572"/>
      <c r="O85" s="853"/>
      <c r="P85" s="572"/>
      <c r="Q85" s="863"/>
      <c r="R85" s="870">
        <v>2.0499999999999998</v>
      </c>
      <c r="S85" s="337"/>
      <c r="T85" s="332"/>
      <c r="U85" s="337"/>
      <c r="V85" s="337"/>
      <c r="W85" s="705">
        <v>1</v>
      </c>
      <c r="X85" s="333">
        <v>10</v>
      </c>
      <c r="Y85" s="728"/>
      <c r="Z85" s="2518"/>
      <c r="AB85" s="3">
        <v>1</v>
      </c>
      <c r="AE85" s="2461"/>
      <c r="AF85" s="68"/>
    </row>
    <row r="86" spans="1:32" ht="45.5" x14ac:dyDescent="0.35">
      <c r="A86" s="349">
        <v>27</v>
      </c>
      <c r="B86" s="405">
        <v>11280</v>
      </c>
      <c r="C86" s="405" t="s">
        <v>1656</v>
      </c>
      <c r="D86" s="2472" t="s">
        <v>6068</v>
      </c>
      <c r="E86" s="288" t="s">
        <v>8926</v>
      </c>
      <c r="F86" s="1138" t="s">
        <v>664</v>
      </c>
      <c r="G86" s="1138">
        <v>5</v>
      </c>
      <c r="H86" s="1138">
        <v>6</v>
      </c>
      <c r="I86" s="501">
        <f>J86+K86+L86</f>
        <v>0.3</v>
      </c>
      <c r="J86" s="501">
        <f>SUM(M86:R86)</f>
        <v>0.3</v>
      </c>
      <c r="K86" s="502"/>
      <c r="L86" s="502"/>
      <c r="M86" s="502"/>
      <c r="N86" s="572"/>
      <c r="O86" s="853"/>
      <c r="P86" s="572"/>
      <c r="Q86" s="863"/>
      <c r="R86" s="870">
        <v>0.3</v>
      </c>
      <c r="S86" s="337"/>
      <c r="T86" s="332"/>
      <c r="U86" s="337"/>
      <c r="V86" s="337"/>
      <c r="W86" s="728"/>
      <c r="X86" s="337"/>
      <c r="Y86" s="728"/>
      <c r="Z86" s="2518"/>
      <c r="AB86" s="3">
        <v>1</v>
      </c>
      <c r="AE86" s="2461"/>
      <c r="AF86" s="68"/>
    </row>
    <row r="87" spans="1:32" ht="30.5" x14ac:dyDescent="0.35">
      <c r="A87" s="349">
        <v>28</v>
      </c>
      <c r="B87" s="405">
        <v>11280</v>
      </c>
      <c r="C87" s="405"/>
      <c r="D87" s="2472" t="s">
        <v>6069</v>
      </c>
      <c r="E87" s="288" t="s">
        <v>7968</v>
      </c>
      <c r="F87" s="1138" t="s">
        <v>1490</v>
      </c>
      <c r="G87" s="1138">
        <v>5</v>
      </c>
      <c r="H87" s="1138">
        <v>6</v>
      </c>
      <c r="I87" s="501">
        <f t="shared" si="12"/>
        <v>1.8</v>
      </c>
      <c r="J87" s="501">
        <f t="shared" si="13"/>
        <v>1.8</v>
      </c>
      <c r="K87" s="501"/>
      <c r="L87" s="501"/>
      <c r="M87" s="501"/>
      <c r="N87" s="552"/>
      <c r="O87" s="851"/>
      <c r="P87" s="552"/>
      <c r="Q87" s="860"/>
      <c r="R87" s="870">
        <v>1.8</v>
      </c>
      <c r="S87" s="335"/>
      <c r="T87" s="333"/>
      <c r="U87" s="335"/>
      <c r="V87" s="335"/>
      <c r="W87" s="705">
        <v>1</v>
      </c>
      <c r="X87" s="333">
        <v>10</v>
      </c>
      <c r="Y87" s="728"/>
      <c r="Z87" s="2518"/>
      <c r="AB87" s="3">
        <v>1</v>
      </c>
      <c r="AE87" s="2461"/>
      <c r="AF87" s="68"/>
    </row>
    <row r="88" spans="1:32" ht="45.5" x14ac:dyDescent="0.35">
      <c r="A88" s="349">
        <v>29</v>
      </c>
      <c r="B88" s="405">
        <v>11280</v>
      </c>
      <c r="C88" s="405" t="s">
        <v>1656</v>
      </c>
      <c r="D88" s="2472" t="s">
        <v>6070</v>
      </c>
      <c r="E88" s="288" t="s">
        <v>8927</v>
      </c>
      <c r="F88" s="1138" t="s">
        <v>664</v>
      </c>
      <c r="G88" s="2422">
        <v>5</v>
      </c>
      <c r="H88" s="1138">
        <v>6</v>
      </c>
      <c r="I88" s="501">
        <f>J88+K88+L88</f>
        <v>0.05</v>
      </c>
      <c r="J88" s="501">
        <f>SUM(M88:R88)</f>
        <v>0.05</v>
      </c>
      <c r="K88" s="502"/>
      <c r="L88" s="502"/>
      <c r="M88" s="502"/>
      <c r="N88" s="572"/>
      <c r="O88" s="853"/>
      <c r="P88" s="572"/>
      <c r="Q88" s="863"/>
      <c r="R88" s="870">
        <v>0.05</v>
      </c>
      <c r="S88" s="337"/>
      <c r="T88" s="332"/>
      <c r="U88" s="2520"/>
      <c r="V88" s="2520"/>
      <c r="W88" s="728"/>
      <c r="X88" s="337"/>
      <c r="Y88" s="728"/>
      <c r="Z88" s="2518"/>
      <c r="AB88" s="3">
        <v>1</v>
      </c>
      <c r="AE88" s="2461"/>
      <c r="AF88" s="68"/>
    </row>
    <row r="89" spans="1:32" ht="30.5" x14ac:dyDescent="0.35">
      <c r="A89" s="349">
        <v>30</v>
      </c>
      <c r="B89" s="405">
        <v>11280</v>
      </c>
      <c r="C89" s="405"/>
      <c r="D89" s="2472" t="s">
        <v>6071</v>
      </c>
      <c r="E89" s="288" t="s">
        <v>7969</v>
      </c>
      <c r="F89" s="1138"/>
      <c r="G89" s="1138" t="s">
        <v>191</v>
      </c>
      <c r="H89" s="1138" t="s">
        <v>191</v>
      </c>
      <c r="I89" s="501">
        <f t="shared" si="12"/>
        <v>2.8460000000000001</v>
      </c>
      <c r="J89" s="501">
        <f t="shared" si="13"/>
        <v>2.8460000000000001</v>
      </c>
      <c r="K89" s="501"/>
      <c r="L89" s="501"/>
      <c r="M89" s="501"/>
      <c r="N89" s="552"/>
      <c r="O89" s="851"/>
      <c r="P89" s="552"/>
      <c r="Q89" s="860">
        <f>SUM(Q90:Q91)</f>
        <v>2.8460000000000001</v>
      </c>
      <c r="R89" s="2609"/>
      <c r="S89" s="335"/>
      <c r="T89" s="333"/>
      <c r="U89" s="335"/>
      <c r="V89" s="335"/>
      <c r="W89" s="705">
        <v>1</v>
      </c>
      <c r="X89" s="333">
        <v>10</v>
      </c>
      <c r="Y89" s="705"/>
      <c r="Z89" s="2518"/>
      <c r="AB89" s="3">
        <v>1</v>
      </c>
      <c r="AE89" s="2461"/>
      <c r="AF89" s="68"/>
    </row>
    <row r="90" spans="1:32" x14ac:dyDescent="0.35">
      <c r="A90" s="349"/>
      <c r="B90" s="405">
        <v>11280</v>
      </c>
      <c r="C90" s="405"/>
      <c r="D90" s="348"/>
      <c r="E90" s="837" t="s">
        <v>2394</v>
      </c>
      <c r="F90" s="1138" t="s">
        <v>827</v>
      </c>
      <c r="G90" s="1138">
        <v>5</v>
      </c>
      <c r="H90" s="1138">
        <v>6</v>
      </c>
      <c r="I90" s="501"/>
      <c r="J90" s="501"/>
      <c r="K90" s="502"/>
      <c r="L90" s="502"/>
      <c r="M90" s="502"/>
      <c r="N90" s="502"/>
      <c r="O90" s="2490"/>
      <c r="P90" s="502"/>
      <c r="Q90" s="1859">
        <v>1.75</v>
      </c>
      <c r="R90" s="1868"/>
      <c r="S90" s="335"/>
      <c r="T90" s="333"/>
      <c r="U90" s="335"/>
      <c r="V90" s="335"/>
      <c r="W90" s="705"/>
      <c r="X90" s="333"/>
      <c r="Y90" s="705"/>
      <c r="Z90" s="2518"/>
      <c r="AC90" s="3" t="s">
        <v>11044</v>
      </c>
      <c r="AE90" s="2461"/>
      <c r="AF90" s="68"/>
    </row>
    <row r="91" spans="1:32" x14ac:dyDescent="0.35">
      <c r="A91" s="349"/>
      <c r="B91" s="405">
        <v>11280</v>
      </c>
      <c r="C91" s="405"/>
      <c r="D91" s="348"/>
      <c r="E91" s="837" t="s">
        <v>1324</v>
      </c>
      <c r="F91" s="1138" t="s">
        <v>827</v>
      </c>
      <c r="G91" s="1138">
        <v>5</v>
      </c>
      <c r="H91" s="1138">
        <v>6</v>
      </c>
      <c r="I91" s="501"/>
      <c r="J91" s="501"/>
      <c r="K91" s="502"/>
      <c r="L91" s="502"/>
      <c r="M91" s="502"/>
      <c r="N91" s="502"/>
      <c r="O91" s="2490"/>
      <c r="P91" s="502"/>
      <c r="Q91" s="1859">
        <v>1.0960000000000001</v>
      </c>
      <c r="R91" s="1868"/>
      <c r="S91" s="335"/>
      <c r="T91" s="333"/>
      <c r="U91" s="335"/>
      <c r="V91" s="335"/>
      <c r="W91" s="705"/>
      <c r="X91" s="333"/>
      <c r="Y91" s="705"/>
      <c r="Z91" s="2518"/>
      <c r="AE91" s="2461"/>
      <c r="AF91" s="68"/>
    </row>
    <row r="92" spans="1:32" ht="30.5" x14ac:dyDescent="0.35">
      <c r="A92" s="349">
        <v>31</v>
      </c>
      <c r="B92" s="405">
        <v>11280</v>
      </c>
      <c r="C92" s="405" t="s">
        <v>1656</v>
      </c>
      <c r="D92" s="2472" t="s">
        <v>6072</v>
      </c>
      <c r="E92" s="288" t="s">
        <v>8928</v>
      </c>
      <c r="F92" s="1138" t="s">
        <v>664</v>
      </c>
      <c r="G92" s="1138">
        <v>5</v>
      </c>
      <c r="H92" s="1138">
        <v>6</v>
      </c>
      <c r="I92" s="501">
        <f t="shared" si="12"/>
        <v>1.1000000000000001</v>
      </c>
      <c r="J92" s="501">
        <f t="shared" si="13"/>
        <v>1.1000000000000001</v>
      </c>
      <c r="K92" s="502"/>
      <c r="L92" s="502"/>
      <c r="M92" s="502"/>
      <c r="N92" s="572"/>
      <c r="O92" s="853"/>
      <c r="P92" s="572"/>
      <c r="Q92" s="863"/>
      <c r="R92" s="870">
        <v>1.1000000000000001</v>
      </c>
      <c r="S92" s="337"/>
      <c r="T92" s="332"/>
      <c r="U92" s="337"/>
      <c r="V92" s="337"/>
      <c r="W92" s="728"/>
      <c r="X92" s="337"/>
      <c r="Y92" s="728"/>
      <c r="Z92" s="2518"/>
      <c r="AB92" s="3">
        <v>1</v>
      </c>
      <c r="AE92" s="2461"/>
      <c r="AF92" s="68"/>
    </row>
    <row r="93" spans="1:32" ht="30.5" x14ac:dyDescent="0.35">
      <c r="A93" s="349">
        <v>32</v>
      </c>
      <c r="B93" s="405">
        <v>11280</v>
      </c>
      <c r="C93" s="405" t="s">
        <v>1656</v>
      </c>
      <c r="D93" s="2472" t="s">
        <v>6073</v>
      </c>
      <c r="E93" s="511" t="s">
        <v>9289</v>
      </c>
      <c r="F93" s="1138" t="s">
        <v>664</v>
      </c>
      <c r="G93" s="1138">
        <v>5</v>
      </c>
      <c r="H93" s="1138">
        <v>6</v>
      </c>
      <c r="I93" s="501">
        <f t="shared" si="12"/>
        <v>1</v>
      </c>
      <c r="J93" s="501">
        <f t="shared" si="13"/>
        <v>1</v>
      </c>
      <c r="K93" s="502"/>
      <c r="L93" s="502"/>
      <c r="M93" s="502"/>
      <c r="N93" s="572"/>
      <c r="O93" s="853"/>
      <c r="P93" s="572"/>
      <c r="Q93" s="863"/>
      <c r="R93" s="870">
        <v>1</v>
      </c>
      <c r="S93" s="337"/>
      <c r="T93" s="332"/>
      <c r="U93" s="337"/>
      <c r="V93" s="337"/>
      <c r="W93" s="728"/>
      <c r="X93" s="337"/>
      <c r="Y93" s="728"/>
      <c r="Z93" s="2518"/>
      <c r="AB93" s="3">
        <v>1</v>
      </c>
      <c r="AE93" s="2461"/>
      <c r="AF93" s="68"/>
    </row>
    <row r="94" spans="1:32" ht="30.5" x14ac:dyDescent="0.35">
      <c r="A94" s="349">
        <v>33</v>
      </c>
      <c r="B94" s="405">
        <v>11280</v>
      </c>
      <c r="C94" s="405" t="s">
        <v>1656</v>
      </c>
      <c r="D94" s="2472" t="s">
        <v>6074</v>
      </c>
      <c r="E94" s="288" t="s">
        <v>8929</v>
      </c>
      <c r="F94" s="1138" t="s">
        <v>664</v>
      </c>
      <c r="G94" s="1138">
        <v>5</v>
      </c>
      <c r="H94" s="1138">
        <v>6</v>
      </c>
      <c r="I94" s="501">
        <f t="shared" si="12"/>
        <v>1.5</v>
      </c>
      <c r="J94" s="501">
        <f t="shared" si="13"/>
        <v>1.5</v>
      </c>
      <c r="K94" s="502"/>
      <c r="L94" s="502"/>
      <c r="M94" s="502"/>
      <c r="N94" s="572"/>
      <c r="O94" s="853"/>
      <c r="P94" s="572"/>
      <c r="Q94" s="863"/>
      <c r="R94" s="870">
        <v>1.5</v>
      </c>
      <c r="S94" s="337"/>
      <c r="T94" s="332"/>
      <c r="U94" s="337"/>
      <c r="V94" s="337"/>
      <c r="W94" s="728"/>
      <c r="X94" s="337"/>
      <c r="Y94" s="728"/>
      <c r="Z94" s="2518"/>
      <c r="AB94" s="3">
        <v>1</v>
      </c>
      <c r="AE94" s="2461"/>
      <c r="AF94" s="68"/>
    </row>
    <row r="95" spans="1:32" ht="30.5" x14ac:dyDescent="0.35">
      <c r="A95" s="349">
        <v>34</v>
      </c>
      <c r="B95" s="1156">
        <v>11280</v>
      </c>
      <c r="C95" s="405" t="s">
        <v>1656</v>
      </c>
      <c r="D95" s="2472" t="s">
        <v>6075</v>
      </c>
      <c r="E95" s="512" t="s">
        <v>10206</v>
      </c>
      <c r="F95" s="2425" t="s">
        <v>664</v>
      </c>
      <c r="G95" s="2425">
        <v>5</v>
      </c>
      <c r="H95" s="1138">
        <v>6</v>
      </c>
      <c r="I95" s="781">
        <f t="shared" si="12"/>
        <v>1.3</v>
      </c>
      <c r="J95" s="781">
        <f t="shared" si="13"/>
        <v>1.3</v>
      </c>
      <c r="K95" s="782"/>
      <c r="L95" s="782"/>
      <c r="M95" s="782"/>
      <c r="N95" s="679"/>
      <c r="O95" s="1488"/>
      <c r="P95" s="679"/>
      <c r="Q95" s="957"/>
      <c r="R95" s="871">
        <v>1.3</v>
      </c>
      <c r="S95" s="1160"/>
      <c r="T95" s="2521"/>
      <c r="U95" s="1160"/>
      <c r="V95" s="1160"/>
      <c r="W95" s="2522"/>
      <c r="X95" s="1160"/>
      <c r="Y95" s="2522"/>
      <c r="Z95" s="2523"/>
      <c r="AB95" s="3">
        <v>1</v>
      </c>
      <c r="AE95" s="2461"/>
      <c r="AF95" s="68"/>
    </row>
    <row r="96" spans="1:32" ht="30.5" x14ac:dyDescent="0.35">
      <c r="A96" s="349">
        <v>35</v>
      </c>
      <c r="B96" s="405">
        <v>11280</v>
      </c>
      <c r="C96" s="405" t="s">
        <v>1656</v>
      </c>
      <c r="D96" s="2472" t="s">
        <v>6076</v>
      </c>
      <c r="E96" s="288" t="s">
        <v>8930</v>
      </c>
      <c r="F96" s="1138" t="s">
        <v>664</v>
      </c>
      <c r="G96" s="1138">
        <v>5</v>
      </c>
      <c r="H96" s="1138">
        <v>6</v>
      </c>
      <c r="I96" s="501">
        <f t="shared" si="12"/>
        <v>0.03</v>
      </c>
      <c r="J96" s="501">
        <f t="shared" si="13"/>
        <v>0.03</v>
      </c>
      <c r="K96" s="502"/>
      <c r="L96" s="502"/>
      <c r="M96" s="502"/>
      <c r="N96" s="572"/>
      <c r="O96" s="853"/>
      <c r="P96" s="572"/>
      <c r="Q96" s="863"/>
      <c r="R96" s="870">
        <v>0.03</v>
      </c>
      <c r="S96" s="337"/>
      <c r="T96" s="332"/>
      <c r="U96" s="337"/>
      <c r="V96" s="337"/>
      <c r="W96" s="728"/>
      <c r="X96" s="337"/>
      <c r="Y96" s="728"/>
      <c r="Z96" s="2518"/>
      <c r="AB96" s="3">
        <v>1</v>
      </c>
      <c r="AE96" s="2461"/>
      <c r="AF96" s="68"/>
    </row>
    <row r="97" spans="1:32" ht="45.5" x14ac:dyDescent="0.35">
      <c r="A97" s="349">
        <v>36</v>
      </c>
      <c r="B97" s="405">
        <v>11280</v>
      </c>
      <c r="C97" s="405"/>
      <c r="D97" s="2472" t="s">
        <v>6077</v>
      </c>
      <c r="E97" s="288" t="s">
        <v>9328</v>
      </c>
      <c r="F97" s="1138" t="s">
        <v>1490</v>
      </c>
      <c r="G97" s="1138">
        <v>5</v>
      </c>
      <c r="H97" s="2424">
        <v>6</v>
      </c>
      <c r="I97" s="501">
        <f t="shared" si="12"/>
        <v>7.0000000000000007E-2</v>
      </c>
      <c r="J97" s="501">
        <f t="shared" si="13"/>
        <v>7.0000000000000007E-2</v>
      </c>
      <c r="K97" s="502"/>
      <c r="L97" s="502"/>
      <c r="M97" s="502"/>
      <c r="N97" s="501">
        <v>7.0000000000000007E-2</v>
      </c>
      <c r="O97" s="853"/>
      <c r="P97" s="572"/>
      <c r="Q97" s="863"/>
      <c r="R97" s="870"/>
      <c r="S97" s="337"/>
      <c r="T97" s="332"/>
      <c r="U97" s="337"/>
      <c r="V97" s="337"/>
      <c r="W97" s="728"/>
      <c r="X97" s="337"/>
      <c r="Y97" s="728"/>
      <c r="Z97" s="2518"/>
      <c r="AB97" s="3">
        <v>1</v>
      </c>
      <c r="AE97" s="2461"/>
      <c r="AF97" s="68"/>
    </row>
    <row r="98" spans="1:32" ht="30" x14ac:dyDescent="0.35">
      <c r="A98" s="349">
        <v>37</v>
      </c>
      <c r="B98" s="348">
        <v>11281</v>
      </c>
      <c r="C98" s="348"/>
      <c r="D98" s="348" t="s">
        <v>2903</v>
      </c>
      <c r="E98" s="290" t="s">
        <v>1189</v>
      </c>
      <c r="F98" s="1138"/>
      <c r="G98" s="1138" t="s">
        <v>191</v>
      </c>
      <c r="H98" s="2424" t="s">
        <v>191</v>
      </c>
      <c r="I98" s="501">
        <f t="shared" si="12"/>
        <v>5.88</v>
      </c>
      <c r="J98" s="501">
        <f t="shared" si="13"/>
        <v>5.88</v>
      </c>
      <c r="K98" s="501"/>
      <c r="L98" s="501"/>
      <c r="M98" s="501"/>
      <c r="N98" s="552">
        <f>SUM(N99:N102)</f>
        <v>1.88</v>
      </c>
      <c r="O98" s="851"/>
      <c r="P98" s="552"/>
      <c r="Q98" s="860">
        <f>SUM(Q99:Q102)</f>
        <v>4</v>
      </c>
      <c r="R98" s="870">
        <f>SUM(R99:R102)</f>
        <v>0</v>
      </c>
      <c r="S98" s="335"/>
      <c r="T98" s="333"/>
      <c r="U98" s="335"/>
      <c r="V98" s="335"/>
      <c r="W98" s="705">
        <v>15</v>
      </c>
      <c r="X98" s="333">
        <v>223.74</v>
      </c>
      <c r="Y98" s="705">
        <v>3</v>
      </c>
      <c r="Z98" s="336">
        <v>35.24</v>
      </c>
      <c r="AB98" s="3">
        <v>1</v>
      </c>
      <c r="AE98" s="2461"/>
      <c r="AF98" s="68"/>
    </row>
    <row r="99" spans="1:32" x14ac:dyDescent="0.35">
      <c r="A99" s="349"/>
      <c r="B99" s="348">
        <v>11281</v>
      </c>
      <c r="C99" s="348"/>
      <c r="D99" s="348"/>
      <c r="E99" s="289" t="s">
        <v>435</v>
      </c>
      <c r="F99" s="2536">
        <v>4</v>
      </c>
      <c r="G99" s="1138">
        <v>5</v>
      </c>
      <c r="H99" s="2424">
        <v>6</v>
      </c>
      <c r="I99" s="502"/>
      <c r="J99" s="502"/>
      <c r="K99" s="502"/>
      <c r="L99" s="502"/>
      <c r="M99" s="502"/>
      <c r="N99" s="572">
        <v>1.88</v>
      </c>
      <c r="O99" s="853"/>
      <c r="P99" s="572"/>
      <c r="Q99" s="863"/>
      <c r="R99" s="873"/>
      <c r="S99" s="337"/>
      <c r="T99" s="332"/>
      <c r="U99" s="337"/>
      <c r="V99" s="337"/>
      <c r="W99" s="728"/>
      <c r="X99" s="337"/>
      <c r="Y99" s="728"/>
      <c r="Z99" s="2518"/>
      <c r="AE99" s="2461"/>
      <c r="AF99" s="68"/>
    </row>
    <row r="100" spans="1:32" x14ac:dyDescent="0.35">
      <c r="A100" s="349"/>
      <c r="B100" s="1157">
        <v>11281</v>
      </c>
      <c r="C100" s="1157"/>
      <c r="D100" s="348"/>
      <c r="E100" s="837" t="s">
        <v>11631</v>
      </c>
      <c r="F100" s="2536">
        <v>4</v>
      </c>
      <c r="G100" s="1138">
        <v>5</v>
      </c>
      <c r="H100" s="2424">
        <v>6</v>
      </c>
      <c r="I100" s="502"/>
      <c r="J100" s="502"/>
      <c r="K100" s="502"/>
      <c r="L100" s="502"/>
      <c r="M100" s="502"/>
      <c r="N100" s="572"/>
      <c r="O100" s="853"/>
      <c r="P100" s="572"/>
      <c r="Q100" s="863">
        <f>4.6-1.88</f>
        <v>2.7199999999999998</v>
      </c>
      <c r="R100" s="873"/>
      <c r="S100" s="337"/>
      <c r="T100" s="332"/>
      <c r="U100" s="337"/>
      <c r="V100" s="337"/>
      <c r="W100" s="728"/>
      <c r="X100" s="337"/>
      <c r="Y100" s="728"/>
      <c r="Z100" s="2518"/>
      <c r="AE100" s="2461"/>
      <c r="AF100" s="68"/>
    </row>
    <row r="101" spans="1:32" x14ac:dyDescent="0.35">
      <c r="A101" s="349"/>
      <c r="B101" s="1157"/>
      <c r="C101" s="1157"/>
      <c r="D101" s="348"/>
      <c r="E101" s="837" t="s">
        <v>11632</v>
      </c>
      <c r="F101" s="2536" t="s">
        <v>827</v>
      </c>
      <c r="G101" s="2536">
        <v>5</v>
      </c>
      <c r="H101" s="2936">
        <v>6</v>
      </c>
      <c r="I101" s="502"/>
      <c r="J101" s="502"/>
      <c r="K101" s="502"/>
      <c r="L101" s="502"/>
      <c r="M101" s="502"/>
      <c r="N101" s="572"/>
      <c r="O101" s="853"/>
      <c r="P101" s="572"/>
      <c r="Q101" s="863">
        <f>5.641-4.6</f>
        <v>1.0410000000000004</v>
      </c>
      <c r="R101" s="873"/>
      <c r="S101" s="337"/>
      <c r="T101" s="332"/>
      <c r="U101" s="337"/>
      <c r="V101" s="337"/>
      <c r="W101" s="728"/>
      <c r="X101" s="337"/>
      <c r="Y101" s="728"/>
      <c r="Z101" s="2518"/>
      <c r="AE101" s="2461"/>
      <c r="AF101" s="68"/>
    </row>
    <row r="102" spans="1:32" x14ac:dyDescent="0.35">
      <c r="A102" s="349"/>
      <c r="B102" s="1157">
        <v>11281</v>
      </c>
      <c r="C102" s="1157"/>
      <c r="D102" s="348"/>
      <c r="E102" s="837" t="s">
        <v>1274</v>
      </c>
      <c r="F102" s="1138" t="s">
        <v>827</v>
      </c>
      <c r="G102" s="1138">
        <v>5</v>
      </c>
      <c r="H102" s="2536">
        <v>6</v>
      </c>
      <c r="I102" s="502"/>
      <c r="J102" s="502"/>
      <c r="K102" s="502"/>
      <c r="L102" s="502"/>
      <c r="M102" s="502"/>
      <c r="N102" s="572"/>
      <c r="O102" s="853"/>
      <c r="P102" s="572"/>
      <c r="Q102" s="863">
        <f>5.88-5.641</f>
        <v>0.23899999999999988</v>
      </c>
      <c r="R102" s="2867">
        <v>0</v>
      </c>
      <c r="S102" s="337"/>
      <c r="T102" s="332"/>
      <c r="U102" s="337"/>
      <c r="V102" s="337"/>
      <c r="W102" s="728"/>
      <c r="X102" s="337"/>
      <c r="Y102" s="728"/>
      <c r="Z102" s="2518"/>
      <c r="AE102" s="2461"/>
      <c r="AF102" s="68"/>
    </row>
    <row r="103" spans="1:32" ht="30.5" x14ac:dyDescent="0.35">
      <c r="A103" s="349">
        <v>38</v>
      </c>
      <c r="B103" s="1025">
        <v>11281</v>
      </c>
      <c r="C103" s="1025"/>
      <c r="D103" s="2472" t="s">
        <v>6078</v>
      </c>
      <c r="E103" s="288" t="s">
        <v>7970</v>
      </c>
      <c r="F103" s="1138" t="s">
        <v>664</v>
      </c>
      <c r="G103" s="1138">
        <v>5</v>
      </c>
      <c r="H103" s="1138">
        <v>6</v>
      </c>
      <c r="I103" s="501">
        <f>J103+K103+L103</f>
        <v>2.78</v>
      </c>
      <c r="J103" s="501">
        <f>SUM(M103:R103)</f>
        <v>2.78</v>
      </c>
      <c r="K103" s="501"/>
      <c r="L103" s="501"/>
      <c r="M103" s="501"/>
      <c r="N103" s="552"/>
      <c r="O103" s="851"/>
      <c r="P103" s="552"/>
      <c r="Q103" s="860"/>
      <c r="R103" s="870">
        <v>2.78</v>
      </c>
      <c r="S103" s="335"/>
      <c r="T103" s="333"/>
      <c r="U103" s="335"/>
      <c r="V103" s="335"/>
      <c r="W103" s="705"/>
      <c r="X103" s="335"/>
      <c r="Y103" s="705"/>
      <c r="Z103" s="2518"/>
      <c r="AB103" s="3">
        <v>1</v>
      </c>
      <c r="AE103" s="2461"/>
      <c r="AF103" s="68"/>
    </row>
    <row r="104" spans="1:32" ht="60.5" x14ac:dyDescent="0.35">
      <c r="A104" s="349">
        <v>39</v>
      </c>
      <c r="B104" s="1025">
        <v>11281</v>
      </c>
      <c r="C104" s="405" t="s">
        <v>1656</v>
      </c>
      <c r="D104" s="2472" t="s">
        <v>6079</v>
      </c>
      <c r="E104" s="288" t="s">
        <v>8931</v>
      </c>
      <c r="F104" s="1138" t="s">
        <v>664</v>
      </c>
      <c r="G104" s="1138">
        <v>5</v>
      </c>
      <c r="H104" s="1138">
        <v>6</v>
      </c>
      <c r="I104" s="501">
        <f>J104+K104+L104</f>
        <v>1</v>
      </c>
      <c r="J104" s="501">
        <f>SUM(M104:R104)</f>
        <v>1</v>
      </c>
      <c r="K104" s="502"/>
      <c r="L104" s="502"/>
      <c r="M104" s="502"/>
      <c r="N104" s="572"/>
      <c r="O104" s="853"/>
      <c r="P104" s="572"/>
      <c r="Q104" s="863"/>
      <c r="R104" s="870">
        <v>1</v>
      </c>
      <c r="S104" s="337"/>
      <c r="T104" s="332"/>
      <c r="U104" s="337"/>
      <c r="V104" s="337"/>
      <c r="W104" s="728"/>
      <c r="X104" s="337"/>
      <c r="Y104" s="728"/>
      <c r="Z104" s="2518"/>
      <c r="AB104" s="3">
        <v>1</v>
      </c>
      <c r="AE104" s="2461"/>
      <c r="AF104" s="68"/>
    </row>
    <row r="105" spans="1:32" ht="30.5" x14ac:dyDescent="0.35">
      <c r="A105" s="349">
        <v>40</v>
      </c>
      <c r="B105" s="1025">
        <v>11281</v>
      </c>
      <c r="C105" s="405" t="s">
        <v>1656</v>
      </c>
      <c r="D105" s="2472" t="s">
        <v>6080</v>
      </c>
      <c r="E105" s="288" t="s">
        <v>8932</v>
      </c>
      <c r="F105" s="1138" t="s">
        <v>664</v>
      </c>
      <c r="G105" s="1138">
        <v>5</v>
      </c>
      <c r="H105" s="1138">
        <v>6</v>
      </c>
      <c r="I105" s="501">
        <f>J105+K105+L105</f>
        <v>1.1000000000000001</v>
      </c>
      <c r="J105" s="501">
        <f>SUM(M105:R105)</f>
        <v>1.1000000000000001</v>
      </c>
      <c r="K105" s="502"/>
      <c r="L105" s="502"/>
      <c r="M105" s="502"/>
      <c r="N105" s="572"/>
      <c r="O105" s="853"/>
      <c r="P105" s="572"/>
      <c r="Q105" s="863"/>
      <c r="R105" s="870">
        <v>1.1000000000000001</v>
      </c>
      <c r="S105" s="337"/>
      <c r="T105" s="332"/>
      <c r="U105" s="337"/>
      <c r="V105" s="337"/>
      <c r="W105" s="728"/>
      <c r="X105" s="337"/>
      <c r="Y105" s="728"/>
      <c r="Z105" s="2518"/>
      <c r="AB105" s="3">
        <v>1</v>
      </c>
      <c r="AE105" s="2461"/>
      <c r="AF105" s="68"/>
    </row>
    <row r="106" spans="1:32" ht="30" x14ac:dyDescent="0.35">
      <c r="A106" s="349">
        <v>41</v>
      </c>
      <c r="B106" s="1157">
        <v>11282</v>
      </c>
      <c r="C106" s="1157"/>
      <c r="D106" s="348" t="s">
        <v>2904</v>
      </c>
      <c r="E106" s="288" t="s">
        <v>7174</v>
      </c>
      <c r="F106" s="1138"/>
      <c r="G106" s="1138" t="s">
        <v>191</v>
      </c>
      <c r="H106" s="2424" t="s">
        <v>191</v>
      </c>
      <c r="I106" s="501">
        <f>J106+K106+L106</f>
        <v>2.92</v>
      </c>
      <c r="J106" s="501">
        <f>SUM(M106:R106)</f>
        <v>2.92</v>
      </c>
      <c r="K106" s="502"/>
      <c r="L106" s="502"/>
      <c r="M106" s="502"/>
      <c r="N106" s="2705">
        <f>SUM(N107:N110)</f>
        <v>2.4</v>
      </c>
      <c r="O106" s="853"/>
      <c r="P106" s="572"/>
      <c r="Q106" s="860">
        <f>SUM(Q107:Q110)</f>
        <v>0.52</v>
      </c>
      <c r="R106" s="870">
        <f>SUM(R107:R110)</f>
        <v>0</v>
      </c>
      <c r="S106" s="335">
        <v>1</v>
      </c>
      <c r="T106" s="333">
        <v>6.55</v>
      </c>
      <c r="U106" s="335"/>
      <c r="V106" s="335"/>
      <c r="W106" s="705">
        <v>6</v>
      </c>
      <c r="X106" s="333">
        <v>75.77</v>
      </c>
      <c r="Y106" s="705">
        <v>1</v>
      </c>
      <c r="Z106" s="336">
        <v>12</v>
      </c>
      <c r="AB106" s="3">
        <v>1</v>
      </c>
      <c r="AE106" s="2461"/>
      <c r="AF106" s="68"/>
    </row>
    <row r="107" spans="1:32" x14ac:dyDescent="0.35">
      <c r="A107" s="349"/>
      <c r="B107" s="1157">
        <v>11282</v>
      </c>
      <c r="C107" s="1157"/>
      <c r="D107" s="348"/>
      <c r="E107" s="534" t="s">
        <v>526</v>
      </c>
      <c r="F107" s="1138">
        <v>4</v>
      </c>
      <c r="G107" s="1138">
        <v>4</v>
      </c>
      <c r="H107" s="2424">
        <v>6</v>
      </c>
      <c r="I107" s="501"/>
      <c r="J107" s="501"/>
      <c r="K107" s="502"/>
      <c r="L107" s="502"/>
      <c r="M107" s="502"/>
      <c r="N107" s="572">
        <v>0.73</v>
      </c>
      <c r="O107" s="853"/>
      <c r="P107" s="572"/>
      <c r="Q107" s="863"/>
      <c r="R107" s="873"/>
      <c r="S107" s="337"/>
      <c r="T107" s="332"/>
      <c r="U107" s="337"/>
      <c r="V107" s="337"/>
      <c r="W107" s="728"/>
      <c r="X107" s="337"/>
      <c r="Y107" s="728"/>
      <c r="Z107" s="2518"/>
      <c r="AE107" s="2461"/>
      <c r="AF107" s="68"/>
    </row>
    <row r="108" spans="1:32" x14ac:dyDescent="0.35">
      <c r="A108" s="349"/>
      <c r="B108" s="1157">
        <v>11282</v>
      </c>
      <c r="C108" s="1157"/>
      <c r="D108" s="348"/>
      <c r="E108" s="2864" t="s">
        <v>527</v>
      </c>
      <c r="F108" s="1138">
        <v>4</v>
      </c>
      <c r="G108" s="1138">
        <v>4</v>
      </c>
      <c r="H108" s="2424">
        <v>6</v>
      </c>
      <c r="I108" s="501"/>
      <c r="J108" s="501"/>
      <c r="K108" s="502"/>
      <c r="L108" s="502"/>
      <c r="M108" s="502"/>
      <c r="N108" s="2867">
        <f>1.69-0.73</f>
        <v>0.96</v>
      </c>
      <c r="O108" s="853"/>
      <c r="P108" s="572"/>
      <c r="Q108" s="2867">
        <v>0</v>
      </c>
      <c r="R108" s="873"/>
      <c r="S108" s="337"/>
      <c r="T108" s="332"/>
      <c r="U108" s="337"/>
      <c r="V108" s="337"/>
      <c r="W108" s="728"/>
      <c r="X108" s="337"/>
      <c r="Y108" s="728"/>
      <c r="Z108" s="2518"/>
      <c r="AE108" s="2461"/>
      <c r="AF108" s="68"/>
    </row>
    <row r="109" spans="1:32" x14ac:dyDescent="0.35">
      <c r="A109" s="349"/>
      <c r="B109" s="1157"/>
      <c r="C109" s="1157"/>
      <c r="D109" s="348"/>
      <c r="E109" s="534" t="s">
        <v>816</v>
      </c>
      <c r="F109" s="1138">
        <v>4</v>
      </c>
      <c r="G109" s="1138">
        <v>4</v>
      </c>
      <c r="H109" s="2424">
        <v>6</v>
      </c>
      <c r="I109" s="501"/>
      <c r="J109" s="501"/>
      <c r="K109" s="502"/>
      <c r="L109" s="502"/>
      <c r="M109" s="502"/>
      <c r="N109" s="572">
        <f>2.4-1.69</f>
        <v>0.71</v>
      </c>
      <c r="O109" s="853"/>
      <c r="P109" s="572"/>
      <c r="Q109" s="863"/>
      <c r="R109" s="873"/>
      <c r="S109" s="337"/>
      <c r="T109" s="332"/>
      <c r="U109" s="337"/>
      <c r="V109" s="337"/>
      <c r="W109" s="728"/>
      <c r="X109" s="337"/>
      <c r="Y109" s="728"/>
      <c r="Z109" s="2518"/>
      <c r="AE109" s="2461"/>
      <c r="AF109" s="68"/>
    </row>
    <row r="110" spans="1:32" x14ac:dyDescent="0.35">
      <c r="A110" s="349"/>
      <c r="B110" s="1157">
        <v>11282</v>
      </c>
      <c r="C110" s="1157"/>
      <c r="D110" s="348"/>
      <c r="E110" s="837" t="s">
        <v>1468</v>
      </c>
      <c r="F110" s="1138" t="s">
        <v>827</v>
      </c>
      <c r="G110" s="1138">
        <v>4</v>
      </c>
      <c r="H110" s="2936">
        <v>6</v>
      </c>
      <c r="I110" s="501"/>
      <c r="J110" s="501"/>
      <c r="K110" s="502"/>
      <c r="L110" s="502"/>
      <c r="M110" s="502"/>
      <c r="N110" s="572"/>
      <c r="O110" s="853"/>
      <c r="P110" s="572"/>
      <c r="Q110" s="863">
        <f>2.92-2.4</f>
        <v>0.52</v>
      </c>
      <c r="R110" s="2867">
        <v>0</v>
      </c>
      <c r="S110" s="337"/>
      <c r="T110" s="332"/>
      <c r="U110" s="337"/>
      <c r="V110" s="337"/>
      <c r="W110" s="728"/>
      <c r="X110" s="337"/>
      <c r="Y110" s="728"/>
      <c r="Z110" s="2518"/>
      <c r="AE110" s="2461"/>
      <c r="AF110" s="68"/>
    </row>
    <row r="111" spans="1:32" ht="30.5" x14ac:dyDescent="0.35">
      <c r="A111" s="349">
        <v>42</v>
      </c>
      <c r="B111" s="1157">
        <v>11282</v>
      </c>
      <c r="C111" s="1157"/>
      <c r="D111" s="2472" t="s">
        <v>6081</v>
      </c>
      <c r="E111" s="511" t="s">
        <v>7971</v>
      </c>
      <c r="F111" s="1138" t="s">
        <v>827</v>
      </c>
      <c r="G111" s="1138">
        <v>4</v>
      </c>
      <c r="H111" s="1138">
        <v>6</v>
      </c>
      <c r="I111" s="501">
        <f t="shared" ref="I111:I124" si="14">J111+K111+L111</f>
        <v>0.45</v>
      </c>
      <c r="J111" s="501">
        <f t="shared" ref="J111:J124" si="15">SUM(M111:R111)</f>
        <v>0.45</v>
      </c>
      <c r="K111" s="502"/>
      <c r="L111" s="502"/>
      <c r="M111" s="502"/>
      <c r="N111" s="572"/>
      <c r="O111" s="853"/>
      <c r="P111" s="572"/>
      <c r="Q111" s="863"/>
      <c r="R111" s="1865">
        <v>0.45</v>
      </c>
      <c r="S111" s="337"/>
      <c r="T111" s="332"/>
      <c r="U111" s="337"/>
      <c r="V111" s="337"/>
      <c r="W111" s="705">
        <v>1</v>
      </c>
      <c r="X111" s="333">
        <v>10.65</v>
      </c>
      <c r="Y111" s="728"/>
      <c r="Z111" s="2518"/>
      <c r="AB111" s="3">
        <v>1</v>
      </c>
      <c r="AE111" s="2461"/>
      <c r="AF111" s="68"/>
    </row>
    <row r="112" spans="1:32" ht="45.5" x14ac:dyDescent="0.35">
      <c r="A112" s="349">
        <v>43</v>
      </c>
      <c r="B112" s="1025">
        <v>11282</v>
      </c>
      <c r="C112" s="405" t="s">
        <v>1656</v>
      </c>
      <c r="D112" s="2472" t="s">
        <v>6082</v>
      </c>
      <c r="E112" s="288" t="s">
        <v>8933</v>
      </c>
      <c r="F112" s="1138" t="s">
        <v>664</v>
      </c>
      <c r="G112" s="1138">
        <v>5</v>
      </c>
      <c r="H112" s="1138">
        <v>6</v>
      </c>
      <c r="I112" s="501">
        <f t="shared" si="14"/>
        <v>0.9</v>
      </c>
      <c r="J112" s="501">
        <f t="shared" si="15"/>
        <v>0.9</v>
      </c>
      <c r="K112" s="502"/>
      <c r="L112" s="502"/>
      <c r="M112" s="502"/>
      <c r="N112" s="572"/>
      <c r="O112" s="853"/>
      <c r="P112" s="572"/>
      <c r="Q112" s="863"/>
      <c r="R112" s="870">
        <v>0.9</v>
      </c>
      <c r="S112" s="337"/>
      <c r="T112" s="332"/>
      <c r="U112" s="337"/>
      <c r="V112" s="337"/>
      <c r="W112" s="728"/>
      <c r="X112" s="337"/>
      <c r="Y112" s="728"/>
      <c r="Z112" s="2518"/>
      <c r="AB112" s="3">
        <v>1</v>
      </c>
      <c r="AE112" s="2461"/>
      <c r="AF112" s="68"/>
    </row>
    <row r="113" spans="1:32" ht="30.5" x14ac:dyDescent="0.35">
      <c r="A113" s="349">
        <v>44</v>
      </c>
      <c r="B113" s="1025">
        <v>11282</v>
      </c>
      <c r="C113" s="405" t="s">
        <v>1656</v>
      </c>
      <c r="D113" s="2472" t="s">
        <v>6083</v>
      </c>
      <c r="E113" s="288" t="s">
        <v>8934</v>
      </c>
      <c r="F113" s="1138" t="s">
        <v>664</v>
      </c>
      <c r="G113" s="1138">
        <v>5</v>
      </c>
      <c r="H113" s="1138">
        <v>6</v>
      </c>
      <c r="I113" s="501">
        <f t="shared" si="14"/>
        <v>3.1</v>
      </c>
      <c r="J113" s="501">
        <f t="shared" si="15"/>
        <v>3.1</v>
      </c>
      <c r="K113" s="502"/>
      <c r="L113" s="502"/>
      <c r="M113" s="502"/>
      <c r="N113" s="572"/>
      <c r="O113" s="853"/>
      <c r="P113" s="572"/>
      <c r="Q113" s="863"/>
      <c r="R113" s="870">
        <v>3.1</v>
      </c>
      <c r="S113" s="337"/>
      <c r="T113" s="332"/>
      <c r="U113" s="337"/>
      <c r="V113" s="337"/>
      <c r="W113" s="728"/>
      <c r="X113" s="337"/>
      <c r="Y113" s="728"/>
      <c r="Z113" s="2518"/>
      <c r="AB113" s="3">
        <v>1</v>
      </c>
      <c r="AE113" s="2461"/>
      <c r="AF113" s="68"/>
    </row>
    <row r="114" spans="1:32" ht="30" x14ac:dyDescent="0.35">
      <c r="A114" s="349">
        <v>45</v>
      </c>
      <c r="B114" s="1157">
        <v>11283</v>
      </c>
      <c r="C114" s="1157"/>
      <c r="D114" s="348" t="s">
        <v>2905</v>
      </c>
      <c r="E114" s="511" t="s">
        <v>11035</v>
      </c>
      <c r="F114" s="1138"/>
      <c r="G114" s="1138" t="s">
        <v>191</v>
      </c>
      <c r="H114" s="2424" t="s">
        <v>191</v>
      </c>
      <c r="I114" s="501">
        <f>J114+K114+L114</f>
        <v>6.3899999999999988</v>
      </c>
      <c r="J114" s="501">
        <f>SUM(M114:R114)</f>
        <v>6.3259999999999996</v>
      </c>
      <c r="K114" s="501"/>
      <c r="L114" s="552">
        <f>SUM(L115:L122)</f>
        <v>6.3999999999999599E-2</v>
      </c>
      <c r="M114" s="501"/>
      <c r="N114" s="552">
        <f>SUM(N115:N122)</f>
        <v>1.0509999999999995</v>
      </c>
      <c r="O114" s="851"/>
      <c r="P114" s="552"/>
      <c r="Q114" s="860">
        <f>SUM(Q115:Q122)</f>
        <v>5.2750000000000004</v>
      </c>
      <c r="R114" s="870"/>
      <c r="S114" s="335">
        <v>1</v>
      </c>
      <c r="T114" s="333">
        <v>31</v>
      </c>
      <c r="U114" s="335"/>
      <c r="V114" s="335"/>
      <c r="W114" s="716">
        <v>17</v>
      </c>
      <c r="X114" s="333">
        <v>202.65</v>
      </c>
      <c r="Y114" s="716">
        <v>8</v>
      </c>
      <c r="Z114" s="333">
        <v>85.7</v>
      </c>
      <c r="AB114" s="3">
        <v>1</v>
      </c>
      <c r="AE114" s="2461"/>
      <c r="AF114" s="68"/>
    </row>
    <row r="115" spans="1:32" ht="31" x14ac:dyDescent="0.35">
      <c r="A115" s="349"/>
      <c r="B115" s="1157"/>
      <c r="C115" s="1157"/>
      <c r="D115" s="348"/>
      <c r="E115" s="734" t="s">
        <v>10546</v>
      </c>
      <c r="F115" s="1138">
        <v>5</v>
      </c>
      <c r="G115" s="1138">
        <v>5</v>
      </c>
      <c r="H115" s="2424" t="s">
        <v>191</v>
      </c>
      <c r="I115" s="502"/>
      <c r="J115" s="502"/>
      <c r="K115" s="502"/>
      <c r="L115" s="502">
        <v>1.2E-2</v>
      </c>
      <c r="M115" s="502"/>
      <c r="N115" s="552"/>
      <c r="O115" s="851"/>
      <c r="P115" s="552"/>
      <c r="Q115" s="860"/>
      <c r="R115" s="870"/>
      <c r="S115" s="335"/>
      <c r="T115" s="2437"/>
      <c r="U115" s="335"/>
      <c r="V115" s="335"/>
      <c r="W115" s="2682"/>
      <c r="X115" s="2437"/>
      <c r="Y115" s="2682"/>
      <c r="Z115" s="2684"/>
      <c r="AE115" s="2461"/>
      <c r="AF115" s="68"/>
    </row>
    <row r="116" spans="1:32" x14ac:dyDescent="0.35">
      <c r="A116" s="349"/>
      <c r="B116" s="1157">
        <v>11283</v>
      </c>
      <c r="C116" s="1157"/>
      <c r="D116" s="348"/>
      <c r="E116" s="289" t="s">
        <v>10547</v>
      </c>
      <c r="F116" s="1138">
        <v>5</v>
      </c>
      <c r="G116" s="1138">
        <v>5</v>
      </c>
      <c r="H116" s="2424">
        <v>6</v>
      </c>
      <c r="I116" s="502"/>
      <c r="J116" s="502"/>
      <c r="K116" s="502"/>
      <c r="L116" s="502"/>
      <c r="M116" s="502"/>
      <c r="N116" s="502">
        <f>1.011-0.012</f>
        <v>0.99899999999999989</v>
      </c>
      <c r="O116" s="851"/>
      <c r="P116" s="552"/>
      <c r="Q116" s="860"/>
      <c r="R116" s="870"/>
      <c r="S116" s="335"/>
      <c r="T116" s="333"/>
      <c r="U116" s="335"/>
      <c r="V116" s="335"/>
      <c r="W116" s="716"/>
      <c r="X116" s="333"/>
      <c r="Y116" s="716"/>
      <c r="Z116" s="2524"/>
      <c r="AE116" s="2461"/>
      <c r="AF116" s="68"/>
    </row>
    <row r="117" spans="1:32" x14ac:dyDescent="0.35">
      <c r="A117" s="349"/>
      <c r="B117" s="1157">
        <v>11283</v>
      </c>
      <c r="C117" s="1157"/>
      <c r="D117" s="348"/>
      <c r="E117" s="837" t="s">
        <v>10551</v>
      </c>
      <c r="F117" s="1138">
        <v>5</v>
      </c>
      <c r="G117" s="1138">
        <v>5</v>
      </c>
      <c r="H117" s="2424">
        <v>6</v>
      </c>
      <c r="I117" s="502"/>
      <c r="J117" s="502"/>
      <c r="K117" s="502"/>
      <c r="L117" s="502"/>
      <c r="M117" s="502"/>
      <c r="N117" s="552"/>
      <c r="O117" s="851"/>
      <c r="P117" s="552"/>
      <c r="Q117" s="1859">
        <f>3.776-1.011</f>
        <v>2.7649999999999997</v>
      </c>
      <c r="R117" s="870"/>
      <c r="S117" s="335"/>
      <c r="T117" s="333"/>
      <c r="U117" s="335"/>
      <c r="V117" s="335"/>
      <c r="W117" s="716"/>
      <c r="X117" s="333"/>
      <c r="Y117" s="716"/>
      <c r="Z117" s="2524"/>
      <c r="AE117" s="2461"/>
      <c r="AF117" s="68"/>
    </row>
    <row r="118" spans="1:32" x14ac:dyDescent="0.35">
      <c r="A118" s="349"/>
      <c r="B118" s="1157">
        <v>11283</v>
      </c>
      <c r="C118" s="1157"/>
      <c r="D118" s="348"/>
      <c r="E118" s="837" t="s">
        <v>10552</v>
      </c>
      <c r="F118" s="1138" t="s">
        <v>827</v>
      </c>
      <c r="G118" s="1138">
        <v>5</v>
      </c>
      <c r="H118" s="2424">
        <v>6</v>
      </c>
      <c r="I118" s="502"/>
      <c r="J118" s="502"/>
      <c r="K118" s="502"/>
      <c r="L118" s="502"/>
      <c r="M118" s="502"/>
      <c r="N118" s="552"/>
      <c r="O118" s="851"/>
      <c r="P118" s="552"/>
      <c r="Q118" s="1859">
        <f>4.355-3.776</f>
        <v>0.57900000000000063</v>
      </c>
      <c r="R118" s="870"/>
      <c r="S118" s="335"/>
      <c r="T118" s="333"/>
      <c r="U118" s="335"/>
      <c r="V118" s="335"/>
      <c r="W118" s="716"/>
      <c r="X118" s="333"/>
      <c r="Y118" s="716"/>
      <c r="Z118" s="2524"/>
      <c r="AE118" s="2461"/>
      <c r="AF118" s="68"/>
    </row>
    <row r="119" spans="1:32" x14ac:dyDescent="0.35">
      <c r="A119" s="349"/>
      <c r="B119" s="1157">
        <v>11283</v>
      </c>
      <c r="C119" s="1157"/>
      <c r="D119" s="348"/>
      <c r="E119" s="837" t="s">
        <v>10553</v>
      </c>
      <c r="F119" s="1138">
        <v>5</v>
      </c>
      <c r="G119" s="1138">
        <v>5</v>
      </c>
      <c r="H119" s="2424">
        <v>6</v>
      </c>
      <c r="I119" s="502"/>
      <c r="J119" s="502"/>
      <c r="K119" s="502"/>
      <c r="L119" s="502"/>
      <c r="M119" s="502"/>
      <c r="N119" s="552"/>
      <c r="O119" s="851"/>
      <c r="P119" s="552"/>
      <c r="Q119" s="1859">
        <f>5.75-4.355</f>
        <v>1.3949999999999996</v>
      </c>
      <c r="R119" s="870"/>
      <c r="S119" s="335"/>
      <c r="T119" s="333"/>
      <c r="U119" s="335"/>
      <c r="V119" s="335"/>
      <c r="W119" s="716"/>
      <c r="X119" s="333"/>
      <c r="Y119" s="716"/>
      <c r="Z119" s="2524"/>
      <c r="AE119" s="2461"/>
      <c r="AF119" s="68"/>
    </row>
    <row r="120" spans="1:32" x14ac:dyDescent="0.35">
      <c r="A120" s="349"/>
      <c r="B120" s="1157"/>
      <c r="C120" s="1157"/>
      <c r="D120" s="348"/>
      <c r="E120" s="289" t="s">
        <v>10548</v>
      </c>
      <c r="F120" s="1138">
        <v>5</v>
      </c>
      <c r="G120" s="1138">
        <v>5</v>
      </c>
      <c r="H120" s="2424">
        <v>6</v>
      </c>
      <c r="I120" s="502"/>
      <c r="J120" s="502"/>
      <c r="K120" s="502"/>
      <c r="L120" s="502"/>
      <c r="M120" s="502"/>
      <c r="N120" s="502">
        <f>5.802-5.75</f>
        <v>5.1999999999999602E-2</v>
      </c>
      <c r="O120" s="851"/>
      <c r="P120" s="552"/>
      <c r="Q120" s="1859"/>
      <c r="R120" s="870"/>
      <c r="S120" s="335"/>
      <c r="T120" s="333"/>
      <c r="U120" s="335"/>
      <c r="V120" s="335"/>
      <c r="W120" s="716"/>
      <c r="X120" s="333"/>
      <c r="Y120" s="716"/>
      <c r="Z120" s="2524"/>
      <c r="AE120" s="2461"/>
      <c r="AF120" s="68"/>
    </row>
    <row r="121" spans="1:32" x14ac:dyDescent="0.35">
      <c r="A121" s="349"/>
      <c r="B121" s="1157"/>
      <c r="C121" s="1157"/>
      <c r="D121" s="348"/>
      <c r="E121" s="837" t="s">
        <v>10549</v>
      </c>
      <c r="F121" s="1138">
        <v>5</v>
      </c>
      <c r="G121" s="1138">
        <v>5</v>
      </c>
      <c r="H121" s="2424">
        <v>6</v>
      </c>
      <c r="I121" s="502"/>
      <c r="J121" s="502"/>
      <c r="K121" s="502"/>
      <c r="L121" s="502"/>
      <c r="M121" s="502"/>
      <c r="N121" s="552"/>
      <c r="O121" s="851"/>
      <c r="P121" s="552"/>
      <c r="Q121" s="1859">
        <f>6.338-5.802</f>
        <v>0.53600000000000048</v>
      </c>
      <c r="R121" s="870"/>
      <c r="S121" s="335"/>
      <c r="T121" s="333"/>
      <c r="U121" s="335"/>
      <c r="V121" s="335"/>
      <c r="W121" s="716"/>
      <c r="X121" s="333"/>
      <c r="Y121" s="716"/>
      <c r="Z121" s="2524"/>
      <c r="AE121" s="2461"/>
      <c r="AF121" s="68"/>
    </row>
    <row r="122" spans="1:32" ht="31" x14ac:dyDescent="0.35">
      <c r="A122" s="349"/>
      <c r="B122" s="1157">
        <v>11283</v>
      </c>
      <c r="C122" s="1157"/>
      <c r="D122" s="348"/>
      <c r="E122" s="734" t="s">
        <v>10550</v>
      </c>
      <c r="F122" s="1138">
        <v>5</v>
      </c>
      <c r="G122" s="1138">
        <v>5</v>
      </c>
      <c r="H122" s="2424" t="s">
        <v>191</v>
      </c>
      <c r="I122" s="502"/>
      <c r="J122" s="502"/>
      <c r="K122" s="502"/>
      <c r="L122" s="502">
        <f>6.39-6.338</f>
        <v>5.1999999999999602E-2</v>
      </c>
      <c r="M122" s="502"/>
      <c r="N122" s="502"/>
      <c r="O122" s="851"/>
      <c r="P122" s="552"/>
      <c r="Q122" s="860"/>
      <c r="R122" s="870"/>
      <c r="S122" s="335"/>
      <c r="T122" s="333"/>
      <c r="U122" s="335"/>
      <c r="V122" s="335"/>
      <c r="W122" s="716"/>
      <c r="X122" s="333"/>
      <c r="Y122" s="716"/>
      <c r="Z122" s="2524"/>
      <c r="AE122" s="2461"/>
      <c r="AF122" s="68"/>
    </row>
    <row r="123" spans="1:32" ht="30.5" x14ac:dyDescent="0.35">
      <c r="A123" s="349">
        <v>46</v>
      </c>
      <c r="B123" s="1025">
        <v>11283</v>
      </c>
      <c r="C123" s="405" t="s">
        <v>1656</v>
      </c>
      <c r="D123" s="2472" t="s">
        <v>6084</v>
      </c>
      <c r="E123" s="288" t="s">
        <v>8935</v>
      </c>
      <c r="F123" s="1138" t="s">
        <v>664</v>
      </c>
      <c r="G123" s="1138">
        <v>5</v>
      </c>
      <c r="H123" s="1138">
        <v>6</v>
      </c>
      <c r="I123" s="501">
        <f t="shared" si="14"/>
        <v>0.4</v>
      </c>
      <c r="J123" s="501">
        <f t="shared" si="15"/>
        <v>0.4</v>
      </c>
      <c r="K123" s="502"/>
      <c r="L123" s="502"/>
      <c r="M123" s="502"/>
      <c r="N123" s="572"/>
      <c r="O123" s="853"/>
      <c r="P123" s="572"/>
      <c r="Q123" s="863"/>
      <c r="R123" s="870">
        <v>0.4</v>
      </c>
      <c r="S123" s="337"/>
      <c r="T123" s="332"/>
      <c r="U123" s="337"/>
      <c r="V123" s="337"/>
      <c r="W123" s="728"/>
      <c r="X123" s="337"/>
      <c r="Y123" s="728"/>
      <c r="Z123" s="2518"/>
      <c r="AB123" s="3">
        <v>1</v>
      </c>
      <c r="AE123" s="2461"/>
      <c r="AF123" s="68"/>
    </row>
    <row r="124" spans="1:32" ht="30" x14ac:dyDescent="0.35">
      <c r="A124" s="349">
        <v>47</v>
      </c>
      <c r="B124" s="1157">
        <v>11284</v>
      </c>
      <c r="C124" s="1157"/>
      <c r="D124" s="348" t="s">
        <v>2906</v>
      </c>
      <c r="E124" s="290" t="s">
        <v>11486</v>
      </c>
      <c r="F124" s="1138"/>
      <c r="G124" s="1138" t="s">
        <v>191</v>
      </c>
      <c r="H124" s="2424" t="s">
        <v>191</v>
      </c>
      <c r="I124" s="501">
        <f t="shared" si="14"/>
        <v>11.21</v>
      </c>
      <c r="J124" s="2705">
        <f t="shared" si="15"/>
        <v>11.168000000000001</v>
      </c>
      <c r="K124" s="501"/>
      <c r="L124" s="2609">
        <f>SUM(L125:L128)</f>
        <v>4.1999999999999815E-2</v>
      </c>
      <c r="M124" s="501"/>
      <c r="N124" s="2609">
        <f>SUM(N125:N128)</f>
        <v>8.2870000000000008</v>
      </c>
      <c r="O124" s="851"/>
      <c r="P124" s="552"/>
      <c r="Q124" s="860">
        <f>SUM(Q125:Q128)</f>
        <v>2.8810000000000002</v>
      </c>
      <c r="R124" s="870"/>
      <c r="S124" s="335"/>
      <c r="T124" s="333"/>
      <c r="U124" s="335"/>
      <c r="V124" s="335"/>
      <c r="W124" s="2688">
        <v>22</v>
      </c>
      <c r="X124" s="2437">
        <v>288.74</v>
      </c>
      <c r="Y124" s="2688">
        <v>5</v>
      </c>
      <c r="Z124" s="2689">
        <v>50.9</v>
      </c>
      <c r="AB124" s="3">
        <v>1</v>
      </c>
      <c r="AE124" s="2461"/>
      <c r="AF124" s="68"/>
    </row>
    <row r="125" spans="1:32" x14ac:dyDescent="0.35">
      <c r="A125" s="349"/>
      <c r="B125" s="1157">
        <v>11284</v>
      </c>
      <c r="C125" s="1157"/>
      <c r="D125" s="348"/>
      <c r="E125" s="289" t="s">
        <v>11490</v>
      </c>
      <c r="F125" s="1138">
        <v>4</v>
      </c>
      <c r="G125" s="1138">
        <v>4</v>
      </c>
      <c r="H125" s="2424">
        <v>6</v>
      </c>
      <c r="I125" s="502"/>
      <c r="J125" s="502"/>
      <c r="K125" s="502"/>
      <c r="L125" s="502"/>
      <c r="M125" s="502"/>
      <c r="N125" s="2867">
        <v>6.875</v>
      </c>
      <c r="O125" s="853"/>
      <c r="P125" s="1158"/>
      <c r="Q125" s="863"/>
      <c r="R125" s="873"/>
      <c r="S125" s="337"/>
      <c r="T125" s="332"/>
      <c r="U125" s="337"/>
      <c r="V125" s="337"/>
      <c r="W125" s="728"/>
      <c r="X125" s="337"/>
      <c r="Y125" s="728"/>
      <c r="Z125" s="2518"/>
      <c r="AE125" s="2461"/>
      <c r="AF125" s="68"/>
    </row>
    <row r="126" spans="1:32" x14ac:dyDescent="0.35">
      <c r="A126" s="349"/>
      <c r="B126" s="1157">
        <v>11284</v>
      </c>
      <c r="C126" s="1157"/>
      <c r="D126" s="348"/>
      <c r="E126" s="837" t="s">
        <v>11487</v>
      </c>
      <c r="F126" s="1138">
        <v>4</v>
      </c>
      <c r="G126" s="1138">
        <v>4</v>
      </c>
      <c r="H126" s="2424">
        <v>6</v>
      </c>
      <c r="I126" s="502"/>
      <c r="J126" s="502"/>
      <c r="K126" s="502"/>
      <c r="L126" s="502"/>
      <c r="M126" s="502"/>
      <c r="N126" s="572"/>
      <c r="O126" s="853"/>
      <c r="P126" s="572"/>
      <c r="Q126" s="863">
        <f>9.756-6.875</f>
        <v>2.8810000000000002</v>
      </c>
      <c r="R126" s="873"/>
      <c r="S126" s="337"/>
      <c r="T126" s="332"/>
      <c r="U126" s="337"/>
      <c r="V126" s="337"/>
      <c r="W126" s="728"/>
      <c r="X126" s="337"/>
      <c r="Y126" s="728"/>
      <c r="Z126" s="2518"/>
      <c r="AE126" s="2461"/>
      <c r="AF126" s="68"/>
    </row>
    <row r="127" spans="1:32" ht="31" x14ac:dyDescent="0.35">
      <c r="A127" s="349"/>
      <c r="B127" s="1157"/>
      <c r="C127" s="1157"/>
      <c r="D127" s="348"/>
      <c r="E127" s="2910" t="s">
        <v>11488</v>
      </c>
      <c r="F127" s="1138">
        <v>4</v>
      </c>
      <c r="G127" s="1138">
        <v>4</v>
      </c>
      <c r="H127" s="2424" t="s">
        <v>191</v>
      </c>
      <c r="I127" s="502"/>
      <c r="J127" s="502"/>
      <c r="K127" s="502"/>
      <c r="L127" s="2608">
        <f>9.798-9.756</f>
        <v>4.1999999999999815E-2</v>
      </c>
      <c r="M127" s="502"/>
      <c r="N127" s="572"/>
      <c r="O127" s="853"/>
      <c r="P127" s="572"/>
      <c r="Q127" s="863"/>
      <c r="R127" s="873"/>
      <c r="S127" s="337"/>
      <c r="T127" s="332"/>
      <c r="U127" s="337"/>
      <c r="V127" s="337"/>
      <c r="W127" s="728"/>
      <c r="X127" s="337"/>
      <c r="Y127" s="728"/>
      <c r="Z127" s="2518"/>
      <c r="AE127" s="2461"/>
      <c r="AF127" s="68"/>
    </row>
    <row r="128" spans="1:32" x14ac:dyDescent="0.35">
      <c r="A128" s="349"/>
      <c r="B128" s="1157">
        <v>11284</v>
      </c>
      <c r="C128" s="1157"/>
      <c r="D128" s="348"/>
      <c r="E128" s="2868" t="s">
        <v>11489</v>
      </c>
      <c r="F128" s="1138">
        <v>4</v>
      </c>
      <c r="G128" s="1138">
        <v>4</v>
      </c>
      <c r="H128" s="2424">
        <v>6</v>
      </c>
      <c r="I128" s="502"/>
      <c r="J128" s="502"/>
      <c r="K128" s="502"/>
      <c r="L128" s="502"/>
      <c r="M128" s="502"/>
      <c r="N128" s="2867">
        <f>11.21-9.798</f>
        <v>1.4120000000000008</v>
      </c>
      <c r="O128" s="853"/>
      <c r="P128" s="572"/>
      <c r="Q128" s="863"/>
      <c r="R128" s="873"/>
      <c r="S128" s="337"/>
      <c r="T128" s="332"/>
      <c r="U128" s="337"/>
      <c r="V128" s="337"/>
      <c r="W128" s="728"/>
      <c r="X128" s="337"/>
      <c r="Y128" s="728"/>
      <c r="Z128" s="2518"/>
      <c r="AE128" s="2461"/>
      <c r="AF128" s="68"/>
    </row>
    <row r="129" spans="1:32" ht="30.5" x14ac:dyDescent="0.35">
      <c r="A129" s="349">
        <v>48</v>
      </c>
      <c r="B129" s="1157">
        <v>11284</v>
      </c>
      <c r="C129" s="1157"/>
      <c r="D129" s="2472" t="s">
        <v>6085</v>
      </c>
      <c r="E129" s="511" t="s">
        <v>11036</v>
      </c>
      <c r="F129" s="1138"/>
      <c r="G129" s="1138" t="s">
        <v>191</v>
      </c>
      <c r="H129" s="2424" t="s">
        <v>191</v>
      </c>
      <c r="I129" s="501">
        <f>J129+K129+L129</f>
        <v>2.794</v>
      </c>
      <c r="J129" s="501">
        <f>SUM(M129:R129)</f>
        <v>2.794</v>
      </c>
      <c r="K129" s="501"/>
      <c r="L129" s="501"/>
      <c r="M129" s="501"/>
      <c r="N129" s="552">
        <f>SUM(N130:N133)</f>
        <v>0.03</v>
      </c>
      <c r="O129" s="851"/>
      <c r="P129" s="552"/>
      <c r="Q129" s="860">
        <f>SUM(Q130:Q133)</f>
        <v>2.5700000000000003</v>
      </c>
      <c r="R129" s="870">
        <f>SUM(R130:R133)</f>
        <v>0.19399999999999995</v>
      </c>
      <c r="S129" s="335"/>
      <c r="T129" s="333"/>
      <c r="U129" s="335"/>
      <c r="V129" s="335"/>
      <c r="W129" s="716">
        <v>1</v>
      </c>
      <c r="X129" s="333">
        <v>10.02</v>
      </c>
      <c r="Y129" s="2682"/>
      <c r="Z129" s="2437"/>
      <c r="AB129" s="3">
        <v>1</v>
      </c>
      <c r="AE129" s="2461"/>
      <c r="AF129" s="68"/>
    </row>
    <row r="130" spans="1:32" x14ac:dyDescent="0.35">
      <c r="A130" s="349"/>
      <c r="B130" s="1157"/>
      <c r="C130" s="1157"/>
      <c r="D130" s="2472"/>
      <c r="E130" s="289" t="s">
        <v>1592</v>
      </c>
      <c r="F130" s="1138">
        <v>4</v>
      </c>
      <c r="G130" s="1138">
        <v>4</v>
      </c>
      <c r="H130" s="2424">
        <v>6</v>
      </c>
      <c r="I130" s="501"/>
      <c r="J130" s="501"/>
      <c r="K130" s="502"/>
      <c r="L130" s="502"/>
      <c r="M130" s="502"/>
      <c r="N130" s="502">
        <v>0.03</v>
      </c>
      <c r="O130" s="2490"/>
      <c r="P130" s="502"/>
      <c r="Q130" s="1859"/>
      <c r="R130" s="1868"/>
      <c r="S130" s="335"/>
      <c r="T130" s="333"/>
      <c r="U130" s="335"/>
      <c r="V130" s="335"/>
      <c r="W130" s="716"/>
      <c r="X130" s="333"/>
      <c r="Y130" s="2682"/>
      <c r="Z130" s="2684"/>
      <c r="AE130" s="2461"/>
      <c r="AF130" s="68"/>
    </row>
    <row r="131" spans="1:32" x14ac:dyDescent="0.35">
      <c r="A131" s="349"/>
      <c r="B131" s="1157"/>
      <c r="C131" s="1157"/>
      <c r="D131" s="2472"/>
      <c r="E131" s="837" t="s">
        <v>10787</v>
      </c>
      <c r="F131" s="1138">
        <v>4</v>
      </c>
      <c r="G131" s="1138">
        <v>4</v>
      </c>
      <c r="H131" s="2424">
        <v>6</v>
      </c>
      <c r="I131" s="501"/>
      <c r="J131" s="501"/>
      <c r="K131" s="502"/>
      <c r="L131" s="502"/>
      <c r="M131" s="502"/>
      <c r="N131" s="502"/>
      <c r="O131" s="2490"/>
      <c r="P131" s="502"/>
      <c r="Q131" s="1859">
        <f>1.715-0.03</f>
        <v>1.6850000000000001</v>
      </c>
      <c r="R131" s="1868"/>
      <c r="S131" s="335"/>
      <c r="T131" s="333"/>
      <c r="U131" s="335"/>
      <c r="V131" s="335"/>
      <c r="W131" s="716"/>
      <c r="X131" s="333"/>
      <c r="Y131" s="2682"/>
      <c r="Z131" s="2684"/>
      <c r="AE131" s="2461"/>
      <c r="AF131" s="68"/>
    </row>
    <row r="132" spans="1:32" x14ac:dyDescent="0.35">
      <c r="A132" s="349"/>
      <c r="B132" s="1157"/>
      <c r="C132" s="1157"/>
      <c r="D132" s="2472"/>
      <c r="E132" s="837" t="s">
        <v>10788</v>
      </c>
      <c r="F132" s="1138">
        <v>5</v>
      </c>
      <c r="G132" s="1138">
        <v>4</v>
      </c>
      <c r="H132" s="2424">
        <v>6</v>
      </c>
      <c r="I132" s="501"/>
      <c r="J132" s="501"/>
      <c r="K132" s="502"/>
      <c r="L132" s="502"/>
      <c r="M132" s="502"/>
      <c r="N132" s="502"/>
      <c r="O132" s="2490"/>
      <c r="P132" s="502"/>
      <c r="Q132" s="1859">
        <f>2.6-1.715</f>
        <v>0.88500000000000001</v>
      </c>
      <c r="R132" s="1868"/>
      <c r="S132" s="335"/>
      <c r="T132" s="333"/>
      <c r="U132" s="335"/>
      <c r="V132" s="335"/>
      <c r="W132" s="716"/>
      <c r="X132" s="333"/>
      <c r="Y132" s="2682"/>
      <c r="Z132" s="2684"/>
      <c r="AE132" s="2461"/>
      <c r="AF132" s="68"/>
    </row>
    <row r="133" spans="1:32" x14ac:dyDescent="0.35">
      <c r="A133" s="349"/>
      <c r="B133" s="1157"/>
      <c r="C133" s="1157"/>
      <c r="D133" s="2472"/>
      <c r="E133" s="838" t="s">
        <v>10599</v>
      </c>
      <c r="F133" s="1138">
        <v>5</v>
      </c>
      <c r="G133" s="1138">
        <v>4</v>
      </c>
      <c r="H133" s="1138">
        <v>6</v>
      </c>
      <c r="I133" s="501"/>
      <c r="J133" s="501"/>
      <c r="K133" s="502"/>
      <c r="L133" s="502"/>
      <c r="M133" s="502"/>
      <c r="N133" s="502"/>
      <c r="O133" s="2490"/>
      <c r="P133" s="502"/>
      <c r="Q133" s="1859"/>
      <c r="R133" s="1868">
        <f>2.794-2.6</f>
        <v>0.19399999999999995</v>
      </c>
      <c r="S133" s="335"/>
      <c r="T133" s="333"/>
      <c r="U133" s="335"/>
      <c r="V133" s="335"/>
      <c r="W133" s="716"/>
      <c r="X133" s="333"/>
      <c r="Y133" s="2682"/>
      <c r="Z133" s="2684"/>
      <c r="AE133" s="2461"/>
      <c r="AF133" s="68"/>
    </row>
    <row r="134" spans="1:32" ht="45.5" x14ac:dyDescent="0.35">
      <c r="A134" s="349">
        <v>49</v>
      </c>
      <c r="B134" s="1157">
        <v>11284</v>
      </c>
      <c r="C134" s="1157"/>
      <c r="D134" s="2472" t="s">
        <v>6086</v>
      </c>
      <c r="E134" s="511" t="s">
        <v>7972</v>
      </c>
      <c r="F134" s="1138"/>
      <c r="G134" s="1138" t="s">
        <v>191</v>
      </c>
      <c r="H134" s="2424" t="s">
        <v>191</v>
      </c>
      <c r="I134" s="501">
        <f>J134+K134+L134</f>
        <v>0.62</v>
      </c>
      <c r="J134" s="501">
        <f>SUM(M134:R134)</f>
        <v>0.62</v>
      </c>
      <c r="K134" s="501"/>
      <c r="L134" s="501"/>
      <c r="M134" s="501"/>
      <c r="N134" s="552"/>
      <c r="O134" s="851"/>
      <c r="P134" s="552"/>
      <c r="Q134" s="860">
        <f>SUM(Q135:Q136)</f>
        <v>0.3</v>
      </c>
      <c r="R134" s="870">
        <f>SUM(R135:R136)</f>
        <v>0.32</v>
      </c>
      <c r="S134" s="335"/>
      <c r="T134" s="333"/>
      <c r="U134" s="335"/>
      <c r="V134" s="335"/>
      <c r="W134" s="705">
        <v>1</v>
      </c>
      <c r="X134" s="333">
        <v>13</v>
      </c>
      <c r="Y134" s="705"/>
      <c r="Z134" s="336"/>
      <c r="AB134" s="3">
        <v>1</v>
      </c>
      <c r="AE134" s="2461"/>
      <c r="AF134" s="68"/>
    </row>
    <row r="135" spans="1:32" x14ac:dyDescent="0.35">
      <c r="A135" s="349"/>
      <c r="B135" s="1157"/>
      <c r="C135" s="1157"/>
      <c r="D135" s="2472"/>
      <c r="E135" s="837" t="s">
        <v>880</v>
      </c>
      <c r="F135" s="1138">
        <v>5</v>
      </c>
      <c r="G135" s="1138">
        <v>4</v>
      </c>
      <c r="H135" s="2424">
        <v>6</v>
      </c>
      <c r="I135" s="501"/>
      <c r="J135" s="501"/>
      <c r="K135" s="501"/>
      <c r="L135" s="501"/>
      <c r="M135" s="501"/>
      <c r="N135" s="552"/>
      <c r="O135" s="851"/>
      <c r="P135" s="502"/>
      <c r="Q135" s="1859">
        <f>0.3-0</f>
        <v>0.3</v>
      </c>
      <c r="R135" s="1868"/>
      <c r="S135" s="335"/>
      <c r="T135" s="333"/>
      <c r="U135" s="335"/>
      <c r="V135" s="335"/>
      <c r="W135" s="705"/>
      <c r="X135" s="2437"/>
      <c r="Y135" s="705"/>
      <c r="Z135" s="336"/>
      <c r="AE135" s="2461"/>
      <c r="AF135" s="68"/>
    </row>
    <row r="136" spans="1:32" x14ac:dyDescent="0.35">
      <c r="A136" s="349"/>
      <c r="B136" s="1157"/>
      <c r="C136" s="1157"/>
      <c r="D136" s="2472"/>
      <c r="E136" s="838" t="s">
        <v>10602</v>
      </c>
      <c r="F136" s="1138">
        <v>5</v>
      </c>
      <c r="G136" s="1138">
        <v>4</v>
      </c>
      <c r="H136" s="1138">
        <v>6</v>
      </c>
      <c r="I136" s="501"/>
      <c r="J136" s="501"/>
      <c r="K136" s="501"/>
      <c r="L136" s="501"/>
      <c r="M136" s="501"/>
      <c r="N136" s="552"/>
      <c r="O136" s="851"/>
      <c r="P136" s="502"/>
      <c r="Q136" s="1859"/>
      <c r="R136" s="1868">
        <f>0.62-0.3</f>
        <v>0.32</v>
      </c>
      <c r="S136" s="335"/>
      <c r="T136" s="333"/>
      <c r="U136" s="335"/>
      <c r="V136" s="335"/>
      <c r="W136" s="705"/>
      <c r="X136" s="2437"/>
      <c r="Y136" s="705"/>
      <c r="Z136" s="336"/>
      <c r="AE136" s="2461"/>
      <c r="AF136" s="68"/>
    </row>
    <row r="137" spans="1:32" ht="45.5" x14ac:dyDescent="0.35">
      <c r="A137" s="349">
        <v>50</v>
      </c>
      <c r="B137" s="1025">
        <v>11284</v>
      </c>
      <c r="C137" s="405" t="s">
        <v>1656</v>
      </c>
      <c r="D137" s="2472" t="s">
        <v>6087</v>
      </c>
      <c r="E137" s="288" t="s">
        <v>8936</v>
      </c>
      <c r="F137" s="1138" t="s">
        <v>664</v>
      </c>
      <c r="G137" s="1138">
        <v>5</v>
      </c>
      <c r="H137" s="1138">
        <v>6</v>
      </c>
      <c r="I137" s="501">
        <f>J137+K137+L137</f>
        <v>1.5</v>
      </c>
      <c r="J137" s="501">
        <f>SUM(M137:R137)</f>
        <v>1.5</v>
      </c>
      <c r="K137" s="502"/>
      <c r="L137" s="502"/>
      <c r="M137" s="502"/>
      <c r="N137" s="572"/>
      <c r="O137" s="853"/>
      <c r="P137" s="572"/>
      <c r="Q137" s="863"/>
      <c r="R137" s="870">
        <v>1.5</v>
      </c>
      <c r="S137" s="337"/>
      <c r="T137" s="332"/>
      <c r="U137" s="337"/>
      <c r="V137" s="337"/>
      <c r="W137" s="728"/>
      <c r="X137" s="337"/>
      <c r="Y137" s="728"/>
      <c r="Z137" s="2518"/>
      <c r="AB137" s="3">
        <v>1</v>
      </c>
      <c r="AE137" s="2461"/>
      <c r="AF137" s="68"/>
    </row>
    <row r="138" spans="1:32" ht="45.5" x14ac:dyDescent="0.35">
      <c r="A138" s="349">
        <v>51</v>
      </c>
      <c r="B138" s="1025">
        <v>11284</v>
      </c>
      <c r="C138" s="405" t="s">
        <v>1656</v>
      </c>
      <c r="D138" s="2472" t="s">
        <v>6088</v>
      </c>
      <c r="E138" s="288" t="s">
        <v>11448</v>
      </c>
      <c r="F138" s="1138" t="s">
        <v>664</v>
      </c>
      <c r="G138" s="1138">
        <v>5</v>
      </c>
      <c r="H138" s="1138">
        <v>6</v>
      </c>
      <c r="I138" s="501">
        <f>J138+K138+L138</f>
        <v>0.28000000000000003</v>
      </c>
      <c r="J138" s="501">
        <f>SUM(M138:R138)</f>
        <v>0.28000000000000003</v>
      </c>
      <c r="K138" s="502"/>
      <c r="L138" s="502"/>
      <c r="M138" s="502"/>
      <c r="N138" s="572"/>
      <c r="O138" s="853"/>
      <c r="P138" s="572"/>
      <c r="Q138" s="863"/>
      <c r="R138" s="870">
        <v>0.28000000000000003</v>
      </c>
      <c r="S138" s="337"/>
      <c r="T138" s="332"/>
      <c r="U138" s="337"/>
      <c r="V138" s="337"/>
      <c r="W138" s="728"/>
      <c r="X138" s="337"/>
      <c r="Y138" s="728"/>
      <c r="Z138" s="2518"/>
      <c r="AB138" s="3">
        <v>1</v>
      </c>
      <c r="AE138" s="2461"/>
      <c r="AF138" s="68"/>
    </row>
    <row r="139" spans="1:32" ht="30" x14ac:dyDescent="0.35">
      <c r="A139" s="349">
        <v>52</v>
      </c>
      <c r="B139" s="1157">
        <v>11285</v>
      </c>
      <c r="C139" s="1157"/>
      <c r="D139" s="348" t="s">
        <v>1744</v>
      </c>
      <c r="E139" s="288" t="s">
        <v>11467</v>
      </c>
      <c r="F139" s="1138"/>
      <c r="G139" s="1138" t="s">
        <v>191</v>
      </c>
      <c r="H139" s="2424" t="s">
        <v>191</v>
      </c>
      <c r="I139" s="501">
        <f>J139+K139+L139</f>
        <v>11.12</v>
      </c>
      <c r="J139" s="501">
        <f>SUM(M139:R139)</f>
        <v>11.071999999999999</v>
      </c>
      <c r="K139" s="501"/>
      <c r="L139" s="2609">
        <f>SUM(L140:L143)</f>
        <v>4.8000000000000001E-2</v>
      </c>
      <c r="M139" s="501"/>
      <c r="N139" s="2609">
        <f>SUM(N140:N143)</f>
        <v>2.097</v>
      </c>
      <c r="O139" s="851"/>
      <c r="P139" s="552"/>
      <c r="Q139" s="860">
        <f>SUM(Q140:Q143)</f>
        <v>8.9749999999999996</v>
      </c>
      <c r="R139" s="870"/>
      <c r="S139" s="335"/>
      <c r="T139" s="333"/>
      <c r="U139" s="335"/>
      <c r="V139" s="335"/>
      <c r="W139" s="705">
        <v>14</v>
      </c>
      <c r="X139" s="333">
        <v>181.6</v>
      </c>
      <c r="Y139" s="705"/>
      <c r="Z139" s="336"/>
      <c r="AB139" s="3">
        <v>1</v>
      </c>
      <c r="AE139" s="2461"/>
      <c r="AF139" s="68"/>
    </row>
    <row r="140" spans="1:32" ht="31" x14ac:dyDescent="0.35">
      <c r="A140" s="349"/>
      <c r="B140" s="1157">
        <v>11285</v>
      </c>
      <c r="C140" s="1157"/>
      <c r="D140" s="348"/>
      <c r="E140" s="2910" t="s">
        <v>11483</v>
      </c>
      <c r="F140" s="2536">
        <v>4</v>
      </c>
      <c r="G140" s="1138">
        <v>4</v>
      </c>
      <c r="H140" s="2424" t="s">
        <v>191</v>
      </c>
      <c r="I140" s="502"/>
      <c r="J140" s="502"/>
      <c r="K140" s="502"/>
      <c r="L140" s="2867">
        <v>4.8000000000000001E-2</v>
      </c>
      <c r="M140" s="502"/>
      <c r="N140" s="572"/>
      <c r="O140" s="853"/>
      <c r="P140" s="572"/>
      <c r="Q140" s="863"/>
      <c r="R140" s="873"/>
      <c r="S140" s="337"/>
      <c r="T140" s="332"/>
      <c r="U140" s="337"/>
      <c r="V140" s="337"/>
      <c r="W140" s="728"/>
      <c r="X140" s="337"/>
      <c r="Y140" s="728"/>
      <c r="Z140" s="2518"/>
      <c r="AE140" s="2461"/>
      <c r="AF140" s="68"/>
    </row>
    <row r="141" spans="1:32" x14ac:dyDescent="0.35">
      <c r="A141" s="349"/>
      <c r="B141" s="1157"/>
      <c r="C141" s="1157"/>
      <c r="D141" s="348"/>
      <c r="E141" s="2868" t="s">
        <v>11484</v>
      </c>
      <c r="F141" s="2536">
        <v>4</v>
      </c>
      <c r="G141" s="1138">
        <v>4</v>
      </c>
      <c r="H141" s="2424">
        <v>6</v>
      </c>
      <c r="I141" s="502"/>
      <c r="J141" s="502"/>
      <c r="K141" s="502"/>
      <c r="L141" s="502"/>
      <c r="M141" s="502"/>
      <c r="N141" s="2867">
        <f>2.145-0.048</f>
        <v>2.097</v>
      </c>
      <c r="O141" s="853"/>
      <c r="P141" s="572"/>
      <c r="Q141" s="863"/>
      <c r="R141" s="873"/>
      <c r="S141" s="337"/>
      <c r="T141" s="332"/>
      <c r="U141" s="337"/>
      <c r="V141" s="337"/>
      <c r="W141" s="728"/>
      <c r="X141" s="337"/>
      <c r="Y141" s="728"/>
      <c r="Z141" s="2518"/>
      <c r="AE141" s="2461"/>
      <c r="AF141" s="68"/>
    </row>
    <row r="142" spans="1:32" x14ac:dyDescent="0.35">
      <c r="A142" s="349"/>
      <c r="B142" s="1157"/>
      <c r="C142" s="1157"/>
      <c r="D142" s="348"/>
      <c r="E142" s="837" t="s">
        <v>11485</v>
      </c>
      <c r="F142" s="2536">
        <v>5</v>
      </c>
      <c r="G142" s="1138">
        <v>5</v>
      </c>
      <c r="H142" s="2424">
        <v>6</v>
      </c>
      <c r="I142" s="502"/>
      <c r="J142" s="502"/>
      <c r="K142" s="502"/>
      <c r="L142" s="502"/>
      <c r="M142" s="502"/>
      <c r="N142" s="572"/>
      <c r="O142" s="853"/>
      <c r="P142" s="572"/>
      <c r="Q142" s="863">
        <f>9.8-2.145</f>
        <v>7.6550000000000011</v>
      </c>
      <c r="R142" s="873"/>
      <c r="S142" s="337"/>
      <c r="T142" s="332"/>
      <c r="U142" s="337"/>
      <c r="V142" s="337"/>
      <c r="W142" s="728"/>
      <c r="X142" s="337"/>
      <c r="Y142" s="728"/>
      <c r="Z142" s="2518"/>
      <c r="AE142" s="2461"/>
      <c r="AF142" s="68"/>
    </row>
    <row r="143" spans="1:32" x14ac:dyDescent="0.35">
      <c r="A143" s="349"/>
      <c r="B143" s="1157">
        <v>11285</v>
      </c>
      <c r="C143" s="1157"/>
      <c r="D143" s="348"/>
      <c r="E143" s="837" t="s">
        <v>11482</v>
      </c>
      <c r="F143" s="2536" t="s">
        <v>827</v>
      </c>
      <c r="G143" s="1138">
        <v>5</v>
      </c>
      <c r="H143" s="2424">
        <v>6</v>
      </c>
      <c r="I143" s="502"/>
      <c r="J143" s="502"/>
      <c r="K143" s="502"/>
      <c r="L143" s="502"/>
      <c r="M143" s="502"/>
      <c r="N143" s="572"/>
      <c r="O143" s="853"/>
      <c r="P143" s="572"/>
      <c r="Q143" s="863">
        <f>11.12-9.8</f>
        <v>1.3199999999999985</v>
      </c>
      <c r="R143" s="873"/>
      <c r="S143" s="337"/>
      <c r="T143" s="332"/>
      <c r="U143" s="337"/>
      <c r="V143" s="337"/>
      <c r="W143" s="728"/>
      <c r="X143" s="337"/>
      <c r="Y143" s="728"/>
      <c r="Z143" s="2518"/>
      <c r="AE143" s="2461"/>
      <c r="AF143" s="68"/>
    </row>
    <row r="144" spans="1:32" ht="30.5" x14ac:dyDescent="0.35">
      <c r="A144" s="349">
        <v>53</v>
      </c>
      <c r="B144" s="1025">
        <v>11285</v>
      </c>
      <c r="C144" s="405" t="s">
        <v>1656</v>
      </c>
      <c r="D144" s="2472" t="s">
        <v>6089</v>
      </c>
      <c r="E144" s="288" t="s">
        <v>8937</v>
      </c>
      <c r="F144" s="1138" t="s">
        <v>664</v>
      </c>
      <c r="G144" s="1138">
        <v>5</v>
      </c>
      <c r="H144" s="1138">
        <v>6</v>
      </c>
      <c r="I144" s="501">
        <f>J144+K144+L144</f>
        <v>0.6</v>
      </c>
      <c r="J144" s="501">
        <f>SUM(M144:R144)</f>
        <v>0.6</v>
      </c>
      <c r="K144" s="502"/>
      <c r="L144" s="502"/>
      <c r="M144" s="502"/>
      <c r="N144" s="572"/>
      <c r="O144" s="853"/>
      <c r="P144" s="572"/>
      <c r="Q144" s="863"/>
      <c r="R144" s="870">
        <v>0.6</v>
      </c>
      <c r="S144" s="337"/>
      <c r="T144" s="332"/>
      <c r="U144" s="337"/>
      <c r="V144" s="337"/>
      <c r="W144" s="728"/>
      <c r="X144" s="337"/>
      <c r="Y144" s="728"/>
      <c r="Z144" s="2518"/>
      <c r="AB144" s="3">
        <v>1</v>
      </c>
      <c r="AE144" s="2461"/>
      <c r="AF144" s="68"/>
    </row>
    <row r="145" spans="1:32" ht="30.5" x14ac:dyDescent="0.35">
      <c r="A145" s="349">
        <v>54</v>
      </c>
      <c r="B145" s="1025">
        <v>11285</v>
      </c>
      <c r="C145" s="405" t="s">
        <v>1656</v>
      </c>
      <c r="D145" s="2472" t="s">
        <v>6090</v>
      </c>
      <c r="E145" s="511" t="s">
        <v>9290</v>
      </c>
      <c r="F145" s="1138" t="s">
        <v>1490</v>
      </c>
      <c r="G145" s="1138">
        <v>5</v>
      </c>
      <c r="H145" s="1138">
        <v>6</v>
      </c>
      <c r="I145" s="501">
        <f>J145+K145+L145</f>
        <v>0.25</v>
      </c>
      <c r="J145" s="501">
        <f>SUM(M145:R145)</f>
        <v>0.25</v>
      </c>
      <c r="K145" s="502"/>
      <c r="L145" s="502"/>
      <c r="M145" s="502"/>
      <c r="N145" s="572"/>
      <c r="O145" s="853"/>
      <c r="P145" s="572"/>
      <c r="Q145" s="863"/>
      <c r="R145" s="870">
        <v>0.25</v>
      </c>
      <c r="S145" s="337"/>
      <c r="T145" s="332"/>
      <c r="U145" s="337"/>
      <c r="V145" s="337"/>
      <c r="W145" s="728"/>
      <c r="X145" s="337"/>
      <c r="Y145" s="728"/>
      <c r="Z145" s="2518"/>
      <c r="AB145" s="3">
        <v>1</v>
      </c>
      <c r="AE145" s="2461"/>
      <c r="AF145" s="68"/>
    </row>
    <row r="146" spans="1:32" ht="30.5" x14ac:dyDescent="0.35">
      <c r="A146" s="349">
        <v>55</v>
      </c>
      <c r="B146" s="1157">
        <v>11287</v>
      </c>
      <c r="C146" s="1157"/>
      <c r="D146" s="348" t="s">
        <v>1662</v>
      </c>
      <c r="E146" s="288" t="s">
        <v>9585</v>
      </c>
      <c r="F146" s="1138"/>
      <c r="G146" s="1138" t="s">
        <v>191</v>
      </c>
      <c r="H146" s="2424" t="s">
        <v>191</v>
      </c>
      <c r="I146" s="501">
        <f>J146+K146+L146</f>
        <v>7.18</v>
      </c>
      <c r="J146" s="501">
        <f>SUM(M146:R146)</f>
        <v>7.18</v>
      </c>
      <c r="K146" s="501"/>
      <c r="L146" s="501"/>
      <c r="M146" s="501"/>
      <c r="N146" s="552">
        <f>SUM(N147:N148)</f>
        <v>0.59</v>
      </c>
      <c r="O146" s="851"/>
      <c r="P146" s="552"/>
      <c r="Q146" s="860"/>
      <c r="R146" s="870">
        <f>SUM(R147:R148)</f>
        <v>6.59</v>
      </c>
      <c r="S146" s="335"/>
      <c r="T146" s="333"/>
      <c r="U146" s="335"/>
      <c r="V146" s="335"/>
      <c r="W146" s="705">
        <v>3</v>
      </c>
      <c r="X146" s="333">
        <v>37.6</v>
      </c>
      <c r="Y146" s="705"/>
      <c r="Z146" s="336"/>
      <c r="AB146" s="3">
        <v>1</v>
      </c>
      <c r="AE146" s="2461"/>
      <c r="AF146" s="68"/>
    </row>
    <row r="147" spans="1:32" x14ac:dyDescent="0.35">
      <c r="A147" s="349"/>
      <c r="B147" s="1157">
        <v>11287</v>
      </c>
      <c r="C147" s="1157"/>
      <c r="D147" s="348"/>
      <c r="E147" s="289" t="s">
        <v>301</v>
      </c>
      <c r="F147" s="1138" t="s">
        <v>1490</v>
      </c>
      <c r="G147" s="1138">
        <v>5</v>
      </c>
      <c r="H147" s="2424">
        <v>6</v>
      </c>
      <c r="I147" s="502"/>
      <c r="J147" s="502"/>
      <c r="K147" s="502"/>
      <c r="L147" s="502"/>
      <c r="M147" s="502"/>
      <c r="N147" s="572">
        <v>0.59</v>
      </c>
      <c r="O147" s="853"/>
      <c r="P147" s="572"/>
      <c r="Q147" s="863"/>
      <c r="R147" s="873"/>
      <c r="S147" s="337"/>
      <c r="T147" s="332"/>
      <c r="U147" s="337"/>
      <c r="V147" s="337"/>
      <c r="W147" s="728"/>
      <c r="X147" s="337"/>
      <c r="Y147" s="728"/>
      <c r="Z147" s="2518"/>
      <c r="AE147" s="2461"/>
      <c r="AF147" s="68"/>
    </row>
    <row r="148" spans="1:32" x14ac:dyDescent="0.35">
      <c r="A148" s="349"/>
      <c r="B148" s="1157">
        <v>11287</v>
      </c>
      <c r="C148" s="1157"/>
      <c r="D148" s="348"/>
      <c r="E148" s="838" t="s">
        <v>302</v>
      </c>
      <c r="F148" s="1138" t="s">
        <v>1490</v>
      </c>
      <c r="G148" s="1138">
        <v>5</v>
      </c>
      <c r="H148" s="1138">
        <v>6</v>
      </c>
      <c r="I148" s="502"/>
      <c r="J148" s="502"/>
      <c r="K148" s="502"/>
      <c r="L148" s="502"/>
      <c r="M148" s="502"/>
      <c r="N148" s="572"/>
      <c r="O148" s="853"/>
      <c r="P148" s="572"/>
      <c r="Q148" s="863"/>
      <c r="R148" s="873">
        <v>6.59</v>
      </c>
      <c r="S148" s="337"/>
      <c r="T148" s="332"/>
      <c r="U148" s="337"/>
      <c r="V148" s="337"/>
      <c r="W148" s="728"/>
      <c r="X148" s="337"/>
      <c r="Y148" s="728"/>
      <c r="Z148" s="2518"/>
      <c r="AE148" s="2461"/>
      <c r="AF148" s="68"/>
    </row>
    <row r="149" spans="1:32" ht="30.5" x14ac:dyDescent="0.35">
      <c r="A149" s="349">
        <v>56</v>
      </c>
      <c r="B149" s="1157">
        <v>11288</v>
      </c>
      <c r="C149" s="1157"/>
      <c r="D149" s="348" t="s">
        <v>1663</v>
      </c>
      <c r="E149" s="288" t="s">
        <v>9586</v>
      </c>
      <c r="F149" s="1138"/>
      <c r="G149" s="1138" t="s">
        <v>191</v>
      </c>
      <c r="H149" s="2424" t="s">
        <v>191</v>
      </c>
      <c r="I149" s="501">
        <f>J149+K149+L149</f>
        <v>3.15</v>
      </c>
      <c r="J149" s="501">
        <f>SUM(M149:R149)</f>
        <v>3.15</v>
      </c>
      <c r="K149" s="501"/>
      <c r="L149" s="501"/>
      <c r="M149" s="501"/>
      <c r="N149" s="552">
        <f>SUM(N150:N151)</f>
        <v>0.6</v>
      </c>
      <c r="O149" s="851"/>
      <c r="P149" s="552"/>
      <c r="Q149" s="860"/>
      <c r="R149" s="870">
        <f>SUM(R150:R151)</f>
        <v>2.5499999999999998</v>
      </c>
      <c r="S149" s="335"/>
      <c r="T149" s="333"/>
      <c r="U149" s="335"/>
      <c r="V149" s="335"/>
      <c r="W149" s="705">
        <v>3</v>
      </c>
      <c r="X149" s="333">
        <v>20</v>
      </c>
      <c r="Y149" s="705"/>
      <c r="Z149" s="336"/>
      <c r="AB149" s="3">
        <v>1</v>
      </c>
      <c r="AE149" s="2461"/>
      <c r="AF149" s="68"/>
    </row>
    <row r="150" spans="1:32" x14ac:dyDescent="0.35">
      <c r="A150" s="349"/>
      <c r="B150" s="1157">
        <v>11288</v>
      </c>
      <c r="C150" s="1157"/>
      <c r="D150" s="348"/>
      <c r="E150" s="289" t="s">
        <v>365</v>
      </c>
      <c r="F150" s="1138" t="s">
        <v>1490</v>
      </c>
      <c r="G150" s="1138">
        <v>5</v>
      </c>
      <c r="H150" s="2424">
        <v>10</v>
      </c>
      <c r="I150" s="501"/>
      <c r="J150" s="501"/>
      <c r="K150" s="501"/>
      <c r="L150" s="501"/>
      <c r="M150" s="501"/>
      <c r="N150" s="502">
        <v>0.6</v>
      </c>
      <c r="O150" s="851"/>
      <c r="P150" s="552"/>
      <c r="Q150" s="860"/>
      <c r="R150" s="870"/>
      <c r="S150" s="335"/>
      <c r="T150" s="333"/>
      <c r="U150" s="335"/>
      <c r="V150" s="335"/>
      <c r="W150" s="705"/>
      <c r="X150" s="333"/>
      <c r="Y150" s="705"/>
      <c r="Z150" s="336"/>
      <c r="AE150" s="2461"/>
      <c r="AF150" s="68"/>
    </row>
    <row r="151" spans="1:32" x14ac:dyDescent="0.35">
      <c r="A151" s="349"/>
      <c r="B151" s="1157">
        <v>11288</v>
      </c>
      <c r="C151" s="1157"/>
      <c r="D151" s="348"/>
      <c r="E151" s="838" t="s">
        <v>2744</v>
      </c>
      <c r="F151" s="1138" t="s">
        <v>1490</v>
      </c>
      <c r="G151" s="1138">
        <v>5</v>
      </c>
      <c r="H151" s="1138">
        <v>6</v>
      </c>
      <c r="I151" s="501"/>
      <c r="J151" s="501"/>
      <c r="K151" s="501"/>
      <c r="L151" s="501"/>
      <c r="M151" s="501"/>
      <c r="N151" s="552"/>
      <c r="O151" s="851"/>
      <c r="P151" s="552"/>
      <c r="Q151" s="860"/>
      <c r="R151" s="1868">
        <f>3.15-0.6</f>
        <v>2.5499999999999998</v>
      </c>
      <c r="S151" s="335"/>
      <c r="T151" s="333"/>
      <c r="U151" s="335"/>
      <c r="V151" s="335"/>
      <c r="W151" s="705"/>
      <c r="X151" s="333"/>
      <c r="Y151" s="705"/>
      <c r="Z151" s="336"/>
      <c r="AE151" s="2461"/>
      <c r="AF151" s="68"/>
    </row>
    <row r="152" spans="1:32" ht="30" x14ac:dyDescent="0.35">
      <c r="A152" s="349">
        <v>57</v>
      </c>
      <c r="B152" s="1157">
        <v>11289</v>
      </c>
      <c r="C152" s="1157"/>
      <c r="D152" s="348" t="s">
        <v>1664</v>
      </c>
      <c r="E152" s="288" t="s">
        <v>303</v>
      </c>
      <c r="F152" s="1138" t="s">
        <v>664</v>
      </c>
      <c r="G152" s="1138">
        <v>5</v>
      </c>
      <c r="H152" s="1138">
        <v>6</v>
      </c>
      <c r="I152" s="501">
        <f>J152+K152+L152</f>
        <v>4.05</v>
      </c>
      <c r="J152" s="501">
        <f>SUM(M152:R152)</f>
        <v>4.05</v>
      </c>
      <c r="K152" s="501"/>
      <c r="L152" s="501"/>
      <c r="M152" s="501"/>
      <c r="N152" s="552"/>
      <c r="O152" s="851"/>
      <c r="P152" s="552"/>
      <c r="Q152" s="860"/>
      <c r="R152" s="870">
        <v>4.05</v>
      </c>
      <c r="S152" s="335">
        <v>1</v>
      </c>
      <c r="T152" s="333">
        <v>19</v>
      </c>
      <c r="U152" s="335"/>
      <c r="V152" s="335"/>
      <c r="W152" s="705"/>
      <c r="X152" s="335"/>
      <c r="Y152" s="705"/>
      <c r="Z152" s="336"/>
      <c r="AB152" s="3">
        <v>1</v>
      </c>
      <c r="AE152" s="2461"/>
      <c r="AF152" s="68"/>
    </row>
    <row r="153" spans="1:32" ht="30.5" x14ac:dyDescent="0.35">
      <c r="A153" s="349">
        <v>58</v>
      </c>
      <c r="B153" s="1025">
        <v>11289</v>
      </c>
      <c r="C153" s="405" t="s">
        <v>1656</v>
      </c>
      <c r="D153" s="2472" t="s">
        <v>6091</v>
      </c>
      <c r="E153" s="288" t="s">
        <v>8938</v>
      </c>
      <c r="F153" s="1138" t="s">
        <v>664</v>
      </c>
      <c r="G153" s="1138">
        <v>5</v>
      </c>
      <c r="H153" s="1138">
        <v>6</v>
      </c>
      <c r="I153" s="501">
        <f>J153+K153+L153</f>
        <v>0.5</v>
      </c>
      <c r="J153" s="501">
        <f>SUM(M153:R153)</f>
        <v>0.5</v>
      </c>
      <c r="K153" s="502"/>
      <c r="L153" s="502"/>
      <c r="M153" s="502"/>
      <c r="N153" s="572"/>
      <c r="O153" s="853"/>
      <c r="P153" s="572"/>
      <c r="Q153" s="863"/>
      <c r="R153" s="870">
        <v>0.5</v>
      </c>
      <c r="S153" s="337"/>
      <c r="T153" s="332"/>
      <c r="U153" s="337"/>
      <c r="V153" s="337"/>
      <c r="W153" s="728"/>
      <c r="X153" s="337"/>
      <c r="Y153" s="728"/>
      <c r="Z153" s="2518"/>
      <c r="AB153" s="3">
        <v>1</v>
      </c>
      <c r="AE153" s="2461"/>
      <c r="AF153" s="68"/>
    </row>
    <row r="154" spans="1:32" ht="30.5" x14ac:dyDescent="0.35">
      <c r="A154" s="349">
        <v>59</v>
      </c>
      <c r="B154" s="1157">
        <v>11290</v>
      </c>
      <c r="C154" s="1157"/>
      <c r="D154" s="348" t="s">
        <v>2846</v>
      </c>
      <c r="E154" s="290" t="s">
        <v>11546</v>
      </c>
      <c r="F154" s="1138"/>
      <c r="G154" s="1138" t="s">
        <v>191</v>
      </c>
      <c r="H154" s="2424" t="s">
        <v>191</v>
      </c>
      <c r="I154" s="2705">
        <f>J154+K154+L154</f>
        <v>19.951000000000001</v>
      </c>
      <c r="J154" s="2705">
        <f>SUM(M154:R154)</f>
        <v>13.052000000000001</v>
      </c>
      <c r="K154" s="552"/>
      <c r="L154" s="2609">
        <f>SUM(L155:L157)</f>
        <v>6.899</v>
      </c>
      <c r="M154" s="552"/>
      <c r="N154" s="2609">
        <f>SUM(N155:N157)</f>
        <v>8.6030000000000015</v>
      </c>
      <c r="O154" s="851"/>
      <c r="P154" s="552"/>
      <c r="Q154" s="860">
        <f>SUM(Q155:Q157)</f>
        <v>4.4489999999999998</v>
      </c>
      <c r="R154" s="870"/>
      <c r="S154" s="335">
        <v>1</v>
      </c>
      <c r="T154" s="2437">
        <v>30.8</v>
      </c>
      <c r="U154" s="335"/>
      <c r="V154" s="335"/>
      <c r="W154" s="2688">
        <v>22</v>
      </c>
      <c r="X154" s="2437">
        <v>299.2</v>
      </c>
      <c r="Y154" s="2688">
        <v>10</v>
      </c>
      <c r="Z154" s="2689">
        <v>93.3</v>
      </c>
      <c r="AB154" s="3">
        <v>1</v>
      </c>
      <c r="AE154" s="2461"/>
      <c r="AF154" s="68"/>
    </row>
    <row r="155" spans="1:32" ht="62" x14ac:dyDescent="0.35">
      <c r="A155" s="349"/>
      <c r="B155" s="1157">
        <v>11290</v>
      </c>
      <c r="C155" s="1157"/>
      <c r="D155" s="348"/>
      <c r="E155" s="289" t="s">
        <v>11547</v>
      </c>
      <c r="F155" s="1138">
        <v>4</v>
      </c>
      <c r="G155" s="1138">
        <v>4</v>
      </c>
      <c r="H155" s="1138" t="s">
        <v>191</v>
      </c>
      <c r="I155" s="501"/>
      <c r="J155" s="501"/>
      <c r="K155" s="552"/>
      <c r="L155" s="2867">
        <v>6.899</v>
      </c>
      <c r="M155" s="552"/>
      <c r="N155" s="2609"/>
      <c r="O155" s="851"/>
      <c r="P155" s="552"/>
      <c r="Q155" s="860"/>
      <c r="R155" s="870"/>
      <c r="S155" s="335"/>
      <c r="T155" s="333"/>
      <c r="U155" s="335"/>
      <c r="V155" s="335"/>
      <c r="W155" s="705"/>
      <c r="X155" s="335"/>
      <c r="Y155" s="705"/>
      <c r="Z155" s="336"/>
      <c r="AE155" s="2461"/>
      <c r="AF155" s="68"/>
    </row>
    <row r="156" spans="1:32" x14ac:dyDescent="0.35">
      <c r="A156" s="349"/>
      <c r="B156" s="1157">
        <v>11290</v>
      </c>
      <c r="C156" s="1157"/>
      <c r="D156" s="348"/>
      <c r="E156" s="2868" t="s">
        <v>11544</v>
      </c>
      <c r="F156" s="1138">
        <v>4</v>
      </c>
      <c r="G156" s="1138">
        <v>4</v>
      </c>
      <c r="H156" s="2424">
        <v>6</v>
      </c>
      <c r="I156" s="502"/>
      <c r="J156" s="502"/>
      <c r="K156" s="502"/>
      <c r="L156" s="502"/>
      <c r="M156" s="502"/>
      <c r="N156" s="2867">
        <f>15.502-6.899</f>
        <v>8.6030000000000015</v>
      </c>
      <c r="O156" s="853"/>
      <c r="P156" s="572"/>
      <c r="Q156" s="863"/>
      <c r="R156" s="873"/>
      <c r="S156" s="337"/>
      <c r="T156" s="332"/>
      <c r="U156" s="337"/>
      <c r="V156" s="337"/>
      <c r="W156" s="728"/>
      <c r="X156" s="337"/>
      <c r="Y156" s="728"/>
      <c r="Z156" s="2525"/>
      <c r="AE156" s="2461"/>
      <c r="AF156" s="68"/>
    </row>
    <row r="157" spans="1:32" x14ac:dyDescent="0.35">
      <c r="A157" s="349"/>
      <c r="B157" s="1157">
        <v>11290</v>
      </c>
      <c r="C157" s="1157"/>
      <c r="D157" s="348"/>
      <c r="E157" s="837" t="s">
        <v>11545</v>
      </c>
      <c r="F157" s="1138">
        <v>4</v>
      </c>
      <c r="G157" s="1138">
        <v>5</v>
      </c>
      <c r="H157" s="2424">
        <v>6</v>
      </c>
      <c r="I157" s="502"/>
      <c r="J157" s="502"/>
      <c r="K157" s="502"/>
      <c r="L157" s="502"/>
      <c r="M157" s="502"/>
      <c r="N157" s="572"/>
      <c r="O157" s="853"/>
      <c r="P157" s="572"/>
      <c r="Q157" s="863">
        <f>19.951-15.502</f>
        <v>4.4489999999999998</v>
      </c>
      <c r="R157" s="873"/>
      <c r="S157" s="337"/>
      <c r="T157" s="332"/>
      <c r="U157" s="337"/>
      <c r="V157" s="337"/>
      <c r="W157" s="728"/>
      <c r="X157" s="337"/>
      <c r="Y157" s="728"/>
      <c r="Z157" s="2525"/>
      <c r="AE157" s="2461"/>
      <c r="AF157" s="68"/>
    </row>
    <row r="158" spans="1:32" ht="45.5" x14ac:dyDescent="0.35">
      <c r="A158" s="349">
        <v>60</v>
      </c>
      <c r="B158" s="1025">
        <v>11290</v>
      </c>
      <c r="C158" s="1025"/>
      <c r="D158" s="2472" t="s">
        <v>6092</v>
      </c>
      <c r="E158" s="288" t="s">
        <v>7973</v>
      </c>
      <c r="F158" s="1138" t="s">
        <v>1490</v>
      </c>
      <c r="G158" s="1138">
        <v>5</v>
      </c>
      <c r="H158" s="1138">
        <v>6</v>
      </c>
      <c r="I158" s="501">
        <f>J158+K158+L158</f>
        <v>1.1299999999999999</v>
      </c>
      <c r="J158" s="501">
        <f>SUM(M158:R158)</f>
        <v>1.1299999999999999</v>
      </c>
      <c r="K158" s="501"/>
      <c r="L158" s="501"/>
      <c r="M158" s="501"/>
      <c r="N158" s="552"/>
      <c r="O158" s="851"/>
      <c r="P158" s="552"/>
      <c r="Q158" s="860"/>
      <c r="R158" s="870">
        <v>1.1299999999999999</v>
      </c>
      <c r="S158" s="335"/>
      <c r="T158" s="333"/>
      <c r="U158" s="335"/>
      <c r="V158" s="335"/>
      <c r="W158" s="705">
        <v>2</v>
      </c>
      <c r="X158" s="333">
        <v>24</v>
      </c>
      <c r="Y158" s="705"/>
      <c r="Z158" s="2525"/>
      <c r="AB158" s="3">
        <v>1</v>
      </c>
      <c r="AC158" s="3" t="s">
        <v>2570</v>
      </c>
      <c r="AE158" s="2461"/>
      <c r="AF158" s="68"/>
    </row>
    <row r="159" spans="1:32" ht="60.5" x14ac:dyDescent="0.35">
      <c r="A159" s="349">
        <v>61</v>
      </c>
      <c r="B159" s="1025">
        <v>11290</v>
      </c>
      <c r="C159" s="405" t="s">
        <v>1656</v>
      </c>
      <c r="D159" s="2472" t="s">
        <v>6093</v>
      </c>
      <c r="E159" s="288" t="s">
        <v>8939</v>
      </c>
      <c r="F159" s="1138" t="s">
        <v>664</v>
      </c>
      <c r="G159" s="1138">
        <v>5</v>
      </c>
      <c r="H159" s="1138">
        <v>6</v>
      </c>
      <c r="I159" s="501">
        <f>J159+K159+L159</f>
        <v>0.6</v>
      </c>
      <c r="J159" s="501">
        <f>SUM(M159:R159)</f>
        <v>0.6</v>
      </c>
      <c r="K159" s="502"/>
      <c r="L159" s="502"/>
      <c r="M159" s="502"/>
      <c r="N159" s="572"/>
      <c r="O159" s="853"/>
      <c r="P159" s="572"/>
      <c r="Q159" s="863"/>
      <c r="R159" s="870">
        <v>0.6</v>
      </c>
      <c r="S159" s="337"/>
      <c r="T159" s="332"/>
      <c r="U159" s="337"/>
      <c r="V159" s="337"/>
      <c r="W159" s="728"/>
      <c r="X159" s="337"/>
      <c r="Y159" s="728"/>
      <c r="Z159" s="2518"/>
      <c r="AB159" s="3">
        <v>1</v>
      </c>
      <c r="AE159" s="2461"/>
      <c r="AF159" s="68"/>
    </row>
    <row r="160" spans="1:32" ht="30.5" x14ac:dyDescent="0.35">
      <c r="A160" s="349">
        <v>62</v>
      </c>
      <c r="B160" s="1157">
        <v>11291</v>
      </c>
      <c r="C160" s="1157"/>
      <c r="D160" s="348" t="s">
        <v>2847</v>
      </c>
      <c r="E160" s="290" t="s">
        <v>10207</v>
      </c>
      <c r="F160" s="1138"/>
      <c r="G160" s="1138" t="s">
        <v>191</v>
      </c>
      <c r="H160" s="2424" t="s">
        <v>191</v>
      </c>
      <c r="I160" s="501">
        <f>J160+K160+L160</f>
        <v>22.08</v>
      </c>
      <c r="J160" s="501">
        <f>SUM(M160:R160)</f>
        <v>22.08</v>
      </c>
      <c r="K160" s="552"/>
      <c r="L160" s="552"/>
      <c r="M160" s="552"/>
      <c r="N160" s="552">
        <f>SUM(N161:N164)</f>
        <v>9.27</v>
      </c>
      <c r="O160" s="851"/>
      <c r="P160" s="552"/>
      <c r="Q160" s="860">
        <f>SUM(Q161:Q164)</f>
        <v>2.9699999999999998</v>
      </c>
      <c r="R160" s="870">
        <f>SUM(R161:R164)</f>
        <v>9.8399999999999981</v>
      </c>
      <c r="S160" s="335"/>
      <c r="T160" s="333"/>
      <c r="U160" s="335"/>
      <c r="V160" s="335"/>
      <c r="W160" s="705">
        <v>36</v>
      </c>
      <c r="X160" s="333">
        <v>451.3</v>
      </c>
      <c r="Y160" s="705">
        <v>13</v>
      </c>
      <c r="Z160" s="336">
        <v>127</v>
      </c>
      <c r="AB160" s="3">
        <v>1</v>
      </c>
      <c r="AE160" s="2461"/>
      <c r="AF160" s="68"/>
    </row>
    <row r="161" spans="1:32" x14ac:dyDescent="0.35">
      <c r="A161" s="349"/>
      <c r="B161" s="1157">
        <v>11291</v>
      </c>
      <c r="C161" s="1157"/>
      <c r="D161" s="348"/>
      <c r="E161" s="289" t="s">
        <v>1423</v>
      </c>
      <c r="F161" s="1138">
        <v>4</v>
      </c>
      <c r="G161" s="1138">
        <v>4</v>
      </c>
      <c r="H161" s="2424">
        <v>6</v>
      </c>
      <c r="I161" s="502"/>
      <c r="J161" s="502"/>
      <c r="K161" s="502"/>
      <c r="L161" s="502"/>
      <c r="M161" s="502"/>
      <c r="N161" s="572">
        <v>7.8</v>
      </c>
      <c r="O161" s="853"/>
      <c r="P161" s="572"/>
      <c r="Q161" s="863"/>
      <c r="R161" s="873"/>
      <c r="S161" s="337"/>
      <c r="T161" s="332"/>
      <c r="U161" s="337"/>
      <c r="V161" s="337"/>
      <c r="W161" s="728"/>
      <c r="X161" s="337"/>
      <c r="Y161" s="728"/>
      <c r="Z161" s="2518"/>
      <c r="AE161" s="2461"/>
      <c r="AF161" s="68"/>
    </row>
    <row r="162" spans="1:32" x14ac:dyDescent="0.35">
      <c r="A162" s="349"/>
      <c r="B162" s="1157">
        <v>11291</v>
      </c>
      <c r="C162" s="1157"/>
      <c r="D162" s="348"/>
      <c r="E162" s="837" t="s">
        <v>11531</v>
      </c>
      <c r="F162" s="1138">
        <v>4</v>
      </c>
      <c r="G162" s="1138">
        <v>4</v>
      </c>
      <c r="H162" s="2424">
        <v>6</v>
      </c>
      <c r="I162" s="502"/>
      <c r="J162" s="502"/>
      <c r="K162" s="502"/>
      <c r="L162" s="502"/>
      <c r="M162" s="502"/>
      <c r="N162" s="572"/>
      <c r="O162" s="853"/>
      <c r="P162" s="572"/>
      <c r="Q162" s="863">
        <f>10.77-7.8</f>
        <v>2.9699999999999998</v>
      </c>
      <c r="R162" s="873"/>
      <c r="S162" s="337"/>
      <c r="T162" s="332"/>
      <c r="U162" s="337"/>
      <c r="V162" s="337"/>
      <c r="W162" s="728"/>
      <c r="X162" s="337"/>
      <c r="Y162" s="728"/>
      <c r="Z162" s="2518"/>
      <c r="AE162" s="2461"/>
      <c r="AF162" s="68"/>
    </row>
    <row r="163" spans="1:32" x14ac:dyDescent="0.35">
      <c r="A163" s="349"/>
      <c r="B163" s="1157">
        <v>11291</v>
      </c>
      <c r="C163" s="1157"/>
      <c r="D163" s="348"/>
      <c r="E163" s="2868" t="s">
        <v>11532</v>
      </c>
      <c r="F163" s="1138">
        <v>4</v>
      </c>
      <c r="G163" s="1138">
        <v>4</v>
      </c>
      <c r="H163" s="2424">
        <v>6</v>
      </c>
      <c r="I163" s="502"/>
      <c r="J163" s="502"/>
      <c r="K163" s="502"/>
      <c r="L163" s="502"/>
      <c r="M163" s="502"/>
      <c r="N163" s="2867">
        <f>12.24-10.77</f>
        <v>1.4700000000000006</v>
      </c>
      <c r="O163" s="853"/>
      <c r="P163" s="572"/>
      <c r="Q163" s="863"/>
      <c r="R163" s="873"/>
      <c r="S163" s="337"/>
      <c r="T163" s="332"/>
      <c r="U163" s="337"/>
      <c r="V163" s="337"/>
      <c r="W163" s="728"/>
      <c r="X163" s="337"/>
      <c r="Y163" s="728"/>
      <c r="Z163" s="2518"/>
      <c r="AE163" s="2461"/>
      <c r="AF163" s="68"/>
    </row>
    <row r="164" spans="1:32" x14ac:dyDescent="0.35">
      <c r="A164" s="349"/>
      <c r="B164" s="1157">
        <v>11291</v>
      </c>
      <c r="C164" s="1157"/>
      <c r="D164" s="348"/>
      <c r="E164" s="838" t="s">
        <v>11533</v>
      </c>
      <c r="F164" s="1138" t="s">
        <v>1490</v>
      </c>
      <c r="G164" s="1138">
        <v>5</v>
      </c>
      <c r="H164" s="1138">
        <v>6</v>
      </c>
      <c r="I164" s="502"/>
      <c r="J164" s="502"/>
      <c r="K164" s="502"/>
      <c r="L164" s="502"/>
      <c r="M164" s="502"/>
      <c r="N164" s="572"/>
      <c r="O164" s="853"/>
      <c r="P164" s="572"/>
      <c r="Q164" s="863"/>
      <c r="R164" s="873">
        <f>22.08-12.24</f>
        <v>9.8399999999999981</v>
      </c>
      <c r="S164" s="337"/>
      <c r="T164" s="332"/>
      <c r="U164" s="337"/>
      <c r="V164" s="337"/>
      <c r="W164" s="728"/>
      <c r="X164" s="337"/>
      <c r="Y164" s="728"/>
      <c r="Z164" s="2518"/>
      <c r="AE164" s="2461"/>
      <c r="AF164" s="68"/>
    </row>
    <row r="165" spans="1:32" ht="45.5" x14ac:dyDescent="0.35">
      <c r="A165" s="349">
        <v>63</v>
      </c>
      <c r="B165" s="1025">
        <v>11291</v>
      </c>
      <c r="C165" s="1025"/>
      <c r="D165" s="2472" t="s">
        <v>6094</v>
      </c>
      <c r="E165" s="288" t="s">
        <v>10208</v>
      </c>
      <c r="F165" s="1138"/>
      <c r="G165" s="1138" t="s">
        <v>191</v>
      </c>
      <c r="H165" s="2424" t="s">
        <v>191</v>
      </c>
      <c r="I165" s="501">
        <f>J165+K165+L165</f>
        <v>3.7</v>
      </c>
      <c r="J165" s="501">
        <f>SUM(M165:R165)</f>
        <v>3.7</v>
      </c>
      <c r="K165" s="501"/>
      <c r="L165" s="501"/>
      <c r="M165" s="501"/>
      <c r="N165" s="552">
        <f>SUM(N166:N170)</f>
        <v>1.94</v>
      </c>
      <c r="O165" s="851"/>
      <c r="P165" s="552"/>
      <c r="Q165" s="860">
        <f>SUM(Q166:Q170)</f>
        <v>1.76</v>
      </c>
      <c r="R165" s="870"/>
      <c r="S165" s="335"/>
      <c r="T165" s="333"/>
      <c r="U165" s="335"/>
      <c r="V165" s="335"/>
      <c r="W165" s="705">
        <v>10</v>
      </c>
      <c r="X165" s="333">
        <v>118.35</v>
      </c>
      <c r="Y165" s="705">
        <v>3</v>
      </c>
      <c r="Z165" s="336">
        <v>30</v>
      </c>
      <c r="AA165" s="3" t="s">
        <v>2495</v>
      </c>
      <c r="AB165" s="3">
        <v>1</v>
      </c>
      <c r="AE165" s="2461"/>
      <c r="AF165" s="68"/>
    </row>
    <row r="166" spans="1:32" x14ac:dyDescent="0.35">
      <c r="A166" s="349"/>
      <c r="B166" s="1025">
        <v>11291</v>
      </c>
      <c r="C166" s="1025"/>
      <c r="D166" s="348"/>
      <c r="E166" s="289" t="s">
        <v>1332</v>
      </c>
      <c r="F166" s="1138">
        <v>4</v>
      </c>
      <c r="G166" s="1138">
        <v>4</v>
      </c>
      <c r="H166" s="2424">
        <v>6</v>
      </c>
      <c r="I166" s="502"/>
      <c r="J166" s="502"/>
      <c r="K166" s="502"/>
      <c r="L166" s="502"/>
      <c r="M166" s="502"/>
      <c r="N166" s="572">
        <v>0.1</v>
      </c>
      <c r="O166" s="853"/>
      <c r="P166" s="572"/>
      <c r="Q166" s="863"/>
      <c r="R166" s="873"/>
      <c r="S166" s="337"/>
      <c r="T166" s="332"/>
      <c r="U166" s="337"/>
      <c r="V166" s="337"/>
      <c r="W166" s="728"/>
      <c r="X166" s="337"/>
      <c r="Y166" s="728"/>
      <c r="Z166" s="2518"/>
      <c r="AE166" s="2461"/>
      <c r="AF166" s="68"/>
    </row>
    <row r="167" spans="1:32" x14ac:dyDescent="0.35">
      <c r="A167" s="349"/>
      <c r="B167" s="1025">
        <v>11291</v>
      </c>
      <c r="C167" s="1025"/>
      <c r="D167" s="348"/>
      <c r="E167" s="837" t="s">
        <v>2058</v>
      </c>
      <c r="F167" s="1138">
        <v>4</v>
      </c>
      <c r="G167" s="1138">
        <v>4</v>
      </c>
      <c r="H167" s="2424">
        <v>6</v>
      </c>
      <c r="I167" s="502"/>
      <c r="J167" s="502"/>
      <c r="K167" s="502"/>
      <c r="L167" s="502"/>
      <c r="M167" s="502"/>
      <c r="N167" s="572"/>
      <c r="O167" s="853"/>
      <c r="P167" s="572"/>
      <c r="Q167" s="863">
        <v>1.76</v>
      </c>
      <c r="R167" s="873"/>
      <c r="S167" s="337"/>
      <c r="T167" s="332"/>
      <c r="U167" s="337"/>
      <c r="V167" s="337"/>
      <c r="W167" s="728"/>
      <c r="X167" s="337"/>
      <c r="Y167" s="728"/>
      <c r="Z167" s="2518"/>
      <c r="AE167" s="2461"/>
      <c r="AF167" s="68"/>
    </row>
    <row r="168" spans="1:32" x14ac:dyDescent="0.35">
      <c r="A168" s="349"/>
      <c r="B168" s="1025"/>
      <c r="C168" s="1025"/>
      <c r="D168" s="348"/>
      <c r="E168" s="534" t="s">
        <v>11112</v>
      </c>
      <c r="F168" s="337" t="s">
        <v>827</v>
      </c>
      <c r="G168" s="1138">
        <v>4</v>
      </c>
      <c r="H168" s="2424">
        <v>6</v>
      </c>
      <c r="I168" s="502"/>
      <c r="J168" s="502"/>
      <c r="K168" s="502"/>
      <c r="L168" s="502"/>
      <c r="M168" s="502"/>
      <c r="N168" s="572">
        <f>2.26-1.86</f>
        <v>0.39999999999999969</v>
      </c>
      <c r="O168" s="853"/>
      <c r="P168" s="572"/>
      <c r="Q168" s="863"/>
      <c r="R168" s="873"/>
      <c r="S168" s="337"/>
      <c r="T168" s="332"/>
      <c r="U168" s="337"/>
      <c r="V168" s="337"/>
      <c r="W168" s="728"/>
      <c r="X168" s="337"/>
      <c r="Y168" s="728"/>
      <c r="Z168" s="2518"/>
      <c r="AE168" s="2461"/>
      <c r="AF168" s="68"/>
    </row>
    <row r="169" spans="1:32" x14ac:dyDescent="0.35">
      <c r="A169" s="349"/>
      <c r="B169" s="1025"/>
      <c r="C169" s="1025"/>
      <c r="D169" s="348"/>
      <c r="E169" s="534" t="s">
        <v>11113</v>
      </c>
      <c r="F169" s="337">
        <v>5</v>
      </c>
      <c r="G169" s="1138">
        <v>4</v>
      </c>
      <c r="H169" s="2424">
        <v>6</v>
      </c>
      <c r="I169" s="502"/>
      <c r="J169" s="502"/>
      <c r="K169" s="502"/>
      <c r="L169" s="502"/>
      <c r="M169" s="502"/>
      <c r="N169" s="572">
        <f>2.76-2.26</f>
        <v>0.5</v>
      </c>
      <c r="O169" s="853"/>
      <c r="P169" s="572"/>
      <c r="Q169" s="863"/>
      <c r="R169" s="873"/>
      <c r="S169" s="337"/>
      <c r="T169" s="332"/>
      <c r="U169" s="337"/>
      <c r="V169" s="337"/>
      <c r="W169" s="728"/>
      <c r="X169" s="337"/>
      <c r="Y169" s="728"/>
      <c r="Z169" s="2518"/>
      <c r="AE169" s="2461"/>
      <c r="AF169" s="68"/>
    </row>
    <row r="170" spans="1:32" x14ac:dyDescent="0.35">
      <c r="A170" s="349"/>
      <c r="B170" s="1025">
        <v>11291</v>
      </c>
      <c r="C170" s="1025"/>
      <c r="D170" s="348"/>
      <c r="E170" s="534" t="s">
        <v>11114</v>
      </c>
      <c r="F170" s="337" t="s">
        <v>827</v>
      </c>
      <c r="G170" s="1138">
        <v>4</v>
      </c>
      <c r="H170" s="2424">
        <v>6</v>
      </c>
      <c r="I170" s="502"/>
      <c r="J170" s="502"/>
      <c r="K170" s="502"/>
      <c r="L170" s="502"/>
      <c r="M170" s="502"/>
      <c r="N170" s="572">
        <f>3.7-2.76</f>
        <v>0.94000000000000039</v>
      </c>
      <c r="O170" s="853"/>
      <c r="P170" s="572"/>
      <c r="Q170" s="863"/>
      <c r="R170" s="873"/>
      <c r="S170" s="337"/>
      <c r="T170" s="332"/>
      <c r="U170" s="337"/>
      <c r="V170" s="337"/>
      <c r="W170" s="728"/>
      <c r="X170" s="337"/>
      <c r="Y170" s="728"/>
      <c r="Z170" s="2518"/>
      <c r="AE170" s="2461"/>
      <c r="AF170" s="68"/>
    </row>
    <row r="171" spans="1:32" ht="60.5" x14ac:dyDescent="0.35">
      <c r="A171" s="349">
        <v>64</v>
      </c>
      <c r="B171" s="1025">
        <v>11291</v>
      </c>
      <c r="C171" s="405" t="s">
        <v>1656</v>
      </c>
      <c r="D171" s="2472" t="s">
        <v>6095</v>
      </c>
      <c r="E171" s="288" t="s">
        <v>10209</v>
      </c>
      <c r="F171" s="1138" t="s">
        <v>664</v>
      </c>
      <c r="G171" s="1138">
        <v>5</v>
      </c>
      <c r="H171" s="1138">
        <v>6</v>
      </c>
      <c r="I171" s="501">
        <f>J171+K171+L171</f>
        <v>0.3</v>
      </c>
      <c r="J171" s="501">
        <f>SUM(M171:R171)</f>
        <v>0.3</v>
      </c>
      <c r="K171" s="502"/>
      <c r="L171" s="502"/>
      <c r="M171" s="502"/>
      <c r="N171" s="572"/>
      <c r="O171" s="853"/>
      <c r="P171" s="572"/>
      <c r="Q171" s="863"/>
      <c r="R171" s="870">
        <v>0.3</v>
      </c>
      <c r="S171" s="337"/>
      <c r="T171" s="332"/>
      <c r="U171" s="337"/>
      <c r="V171" s="337"/>
      <c r="W171" s="728"/>
      <c r="X171" s="337"/>
      <c r="Y171" s="728"/>
      <c r="Z171" s="2518"/>
      <c r="AB171" s="3">
        <v>1</v>
      </c>
      <c r="AE171" s="2461"/>
      <c r="AF171" s="68"/>
    </row>
    <row r="172" spans="1:32" ht="45.5" x14ac:dyDescent="0.35">
      <c r="A172" s="349">
        <v>65</v>
      </c>
      <c r="B172" s="1025">
        <v>11291</v>
      </c>
      <c r="C172" s="405" t="s">
        <v>1656</v>
      </c>
      <c r="D172" s="2472" t="s">
        <v>6096</v>
      </c>
      <c r="E172" s="288" t="s">
        <v>10210</v>
      </c>
      <c r="F172" s="1138" t="s">
        <v>664</v>
      </c>
      <c r="G172" s="1138">
        <v>5</v>
      </c>
      <c r="H172" s="1138">
        <v>6</v>
      </c>
      <c r="I172" s="501">
        <f>J172+K172+L172</f>
        <v>0.1</v>
      </c>
      <c r="J172" s="501">
        <f>SUM(M172:R172)</f>
        <v>0.1</v>
      </c>
      <c r="K172" s="502"/>
      <c r="L172" s="502"/>
      <c r="M172" s="502"/>
      <c r="N172" s="572"/>
      <c r="O172" s="853"/>
      <c r="P172" s="572"/>
      <c r="Q172" s="863"/>
      <c r="R172" s="870">
        <v>0.1</v>
      </c>
      <c r="S172" s="337"/>
      <c r="T172" s="332"/>
      <c r="U172" s="337"/>
      <c r="V172" s="337"/>
      <c r="W172" s="728"/>
      <c r="X172" s="337"/>
      <c r="Y172" s="728"/>
      <c r="Z172" s="2518"/>
      <c r="AA172" s="1778" t="s">
        <v>3225</v>
      </c>
      <c r="AB172" s="3">
        <v>1</v>
      </c>
      <c r="AE172" s="2461"/>
      <c r="AF172" s="68"/>
    </row>
    <row r="173" spans="1:32" ht="45.5" x14ac:dyDescent="0.35">
      <c r="A173" s="349">
        <v>66</v>
      </c>
      <c r="B173" s="1025">
        <v>11291</v>
      </c>
      <c r="C173" s="405" t="s">
        <v>1656</v>
      </c>
      <c r="D173" s="2472" t="s">
        <v>6097</v>
      </c>
      <c r="E173" s="288" t="s">
        <v>10211</v>
      </c>
      <c r="F173" s="1138" t="s">
        <v>664</v>
      </c>
      <c r="G173" s="1138">
        <v>5</v>
      </c>
      <c r="H173" s="1138">
        <v>6</v>
      </c>
      <c r="I173" s="501">
        <f>J173+K173+L173</f>
        <v>1.1000000000000001</v>
      </c>
      <c r="J173" s="501">
        <f>SUM(M173:R173)</f>
        <v>1.1000000000000001</v>
      </c>
      <c r="K173" s="502"/>
      <c r="L173" s="502"/>
      <c r="M173" s="502"/>
      <c r="N173" s="572"/>
      <c r="O173" s="853"/>
      <c r="P173" s="572"/>
      <c r="Q173" s="863"/>
      <c r="R173" s="870">
        <v>1.1000000000000001</v>
      </c>
      <c r="S173" s="337"/>
      <c r="T173" s="332"/>
      <c r="U173" s="337"/>
      <c r="V173" s="337"/>
      <c r="W173" s="728"/>
      <c r="X173" s="337"/>
      <c r="Y173" s="728"/>
      <c r="Z173" s="2518"/>
      <c r="AB173" s="3">
        <v>1</v>
      </c>
      <c r="AE173" s="2461"/>
      <c r="AF173" s="68"/>
    </row>
    <row r="174" spans="1:32" ht="30.5" x14ac:dyDescent="0.35">
      <c r="A174" s="349">
        <v>67</v>
      </c>
      <c r="B174" s="1157">
        <v>11292</v>
      </c>
      <c r="C174" s="1157"/>
      <c r="D174" s="348" t="s">
        <v>2319</v>
      </c>
      <c r="E174" s="288" t="s">
        <v>7210</v>
      </c>
      <c r="F174" s="1138"/>
      <c r="G174" s="1138" t="s">
        <v>191</v>
      </c>
      <c r="H174" s="2424" t="s">
        <v>191</v>
      </c>
      <c r="I174" s="501">
        <f>J174+K174+L174</f>
        <v>2.2000000000000002</v>
      </c>
      <c r="J174" s="501">
        <f>SUM(M174:R174)</f>
        <v>2.2000000000000002</v>
      </c>
      <c r="K174" s="501"/>
      <c r="L174" s="501"/>
      <c r="M174" s="501"/>
      <c r="N174" s="552">
        <f>SUM(N175:N176)</f>
        <v>1</v>
      </c>
      <c r="O174" s="851"/>
      <c r="P174" s="552"/>
      <c r="Q174" s="860">
        <f>SUM(Q175:Q176)</f>
        <v>1.2</v>
      </c>
      <c r="R174" s="870"/>
      <c r="S174" s="335"/>
      <c r="T174" s="333"/>
      <c r="U174" s="335"/>
      <c r="V174" s="335"/>
      <c r="W174" s="705">
        <v>2</v>
      </c>
      <c r="X174" s="333">
        <v>22.9</v>
      </c>
      <c r="Y174" s="705"/>
      <c r="Z174" s="336"/>
      <c r="AB174" s="3">
        <v>1</v>
      </c>
      <c r="AE174" s="2461"/>
      <c r="AF174" s="68"/>
    </row>
    <row r="175" spans="1:32" x14ac:dyDescent="0.35">
      <c r="A175" s="349"/>
      <c r="B175" s="1157">
        <v>11292</v>
      </c>
      <c r="C175" s="1157"/>
      <c r="D175" s="348"/>
      <c r="E175" s="289" t="s">
        <v>2628</v>
      </c>
      <c r="F175" s="1138">
        <v>5</v>
      </c>
      <c r="G175" s="1138">
        <v>5</v>
      </c>
      <c r="H175" s="2424">
        <v>6</v>
      </c>
      <c r="I175" s="502"/>
      <c r="J175" s="502"/>
      <c r="K175" s="502"/>
      <c r="L175" s="502"/>
      <c r="M175" s="502"/>
      <c r="N175" s="572">
        <v>1</v>
      </c>
      <c r="O175" s="853"/>
      <c r="P175" s="572"/>
      <c r="Q175" s="863"/>
      <c r="R175" s="873"/>
      <c r="S175" s="337"/>
      <c r="T175" s="332"/>
      <c r="U175" s="337"/>
      <c r="V175" s="337"/>
      <c r="W175" s="728"/>
      <c r="X175" s="337"/>
      <c r="Y175" s="728"/>
      <c r="Z175" s="2518"/>
      <c r="AE175" s="2461"/>
      <c r="AF175" s="68"/>
    </row>
    <row r="176" spans="1:32" x14ac:dyDescent="0.35">
      <c r="A176" s="349"/>
      <c r="B176" s="1157">
        <v>11292</v>
      </c>
      <c r="C176" s="1157"/>
      <c r="D176" s="348"/>
      <c r="E176" s="837" t="s">
        <v>1473</v>
      </c>
      <c r="F176" s="1138">
        <v>5</v>
      </c>
      <c r="G176" s="1138">
        <v>5</v>
      </c>
      <c r="H176" s="2424">
        <v>6</v>
      </c>
      <c r="I176" s="502"/>
      <c r="J176" s="502"/>
      <c r="K176" s="502"/>
      <c r="L176" s="502"/>
      <c r="M176" s="502"/>
      <c r="N176" s="572"/>
      <c r="O176" s="853"/>
      <c r="P176" s="572"/>
      <c r="Q176" s="863">
        <v>1.2</v>
      </c>
      <c r="R176" s="873"/>
      <c r="S176" s="337"/>
      <c r="T176" s="332"/>
      <c r="U176" s="337"/>
      <c r="V176" s="337"/>
      <c r="W176" s="728"/>
      <c r="X176" s="337"/>
      <c r="Y176" s="728"/>
      <c r="Z176" s="2518"/>
      <c r="AE176" s="2461"/>
      <c r="AF176" s="68"/>
    </row>
    <row r="177" spans="1:32" ht="45.5" x14ac:dyDescent="0.35">
      <c r="A177" s="349">
        <v>68</v>
      </c>
      <c r="B177" s="1025">
        <v>11292</v>
      </c>
      <c r="C177" s="1025"/>
      <c r="D177" s="2472" t="s">
        <v>6098</v>
      </c>
      <c r="E177" s="288" t="s">
        <v>9195</v>
      </c>
      <c r="F177" s="1138"/>
      <c r="G177" s="1138" t="s">
        <v>191</v>
      </c>
      <c r="H177" s="2424" t="s">
        <v>191</v>
      </c>
      <c r="I177" s="501">
        <f>J177+K177+L177</f>
        <v>2.2999999999999998</v>
      </c>
      <c r="J177" s="501">
        <f>SUM(M177:R177)</f>
        <v>2.2999999999999998</v>
      </c>
      <c r="K177" s="502"/>
      <c r="L177" s="502"/>
      <c r="M177" s="502"/>
      <c r="N177" s="552">
        <f>SUM(N178:N179)</f>
        <v>0.9</v>
      </c>
      <c r="O177" s="851"/>
      <c r="P177" s="552"/>
      <c r="Q177" s="860"/>
      <c r="R177" s="870">
        <f>SUM(R178:R179)</f>
        <v>1.4</v>
      </c>
      <c r="S177" s="335">
        <v>1</v>
      </c>
      <c r="T177" s="333">
        <v>18.600000000000001</v>
      </c>
      <c r="U177" s="335"/>
      <c r="V177" s="335"/>
      <c r="W177" s="705">
        <v>5</v>
      </c>
      <c r="X177" s="333">
        <v>54.9</v>
      </c>
      <c r="Y177" s="705"/>
      <c r="Z177" s="336"/>
      <c r="AB177" s="3">
        <v>1</v>
      </c>
      <c r="AE177" s="2461"/>
      <c r="AF177" s="68"/>
    </row>
    <row r="178" spans="1:32" x14ac:dyDescent="0.35">
      <c r="A178" s="349"/>
      <c r="B178" s="1025">
        <v>11292</v>
      </c>
      <c r="C178" s="1025"/>
      <c r="D178" s="348"/>
      <c r="E178" s="289" t="s">
        <v>282</v>
      </c>
      <c r="F178" s="1138">
        <v>5</v>
      </c>
      <c r="G178" s="1138">
        <v>5</v>
      </c>
      <c r="H178" s="2424">
        <v>6</v>
      </c>
      <c r="I178" s="502"/>
      <c r="J178" s="502"/>
      <c r="K178" s="502"/>
      <c r="L178" s="502"/>
      <c r="M178" s="502"/>
      <c r="N178" s="572">
        <v>0.9</v>
      </c>
      <c r="O178" s="853"/>
      <c r="P178" s="572"/>
      <c r="Q178" s="863"/>
      <c r="R178" s="873"/>
      <c r="S178" s="337"/>
      <c r="T178" s="332"/>
      <c r="U178" s="337"/>
      <c r="V178" s="337"/>
      <c r="W178" s="728"/>
      <c r="X178" s="337"/>
      <c r="Y178" s="728"/>
      <c r="Z178" s="2518"/>
      <c r="AE178" s="2461"/>
      <c r="AF178" s="68"/>
    </row>
    <row r="179" spans="1:32" x14ac:dyDescent="0.35">
      <c r="A179" s="349"/>
      <c r="B179" s="1025">
        <v>11292</v>
      </c>
      <c r="C179" s="1025"/>
      <c r="D179" s="348"/>
      <c r="E179" s="838" t="s">
        <v>1137</v>
      </c>
      <c r="F179" s="1138" t="s">
        <v>664</v>
      </c>
      <c r="G179" s="1138">
        <v>5</v>
      </c>
      <c r="H179" s="1138">
        <v>6</v>
      </c>
      <c r="I179" s="502"/>
      <c r="J179" s="502"/>
      <c r="K179" s="502"/>
      <c r="L179" s="502"/>
      <c r="M179" s="502"/>
      <c r="N179" s="572"/>
      <c r="O179" s="853"/>
      <c r="P179" s="572"/>
      <c r="Q179" s="863"/>
      <c r="R179" s="873">
        <v>1.4</v>
      </c>
      <c r="S179" s="337"/>
      <c r="T179" s="332"/>
      <c r="U179" s="337"/>
      <c r="V179" s="337"/>
      <c r="W179" s="728"/>
      <c r="X179" s="337"/>
      <c r="Y179" s="728"/>
      <c r="Z179" s="2518"/>
      <c r="AE179" s="2461"/>
      <c r="AF179" s="68"/>
    </row>
    <row r="180" spans="1:32" ht="60.5" x14ac:dyDescent="0.35">
      <c r="A180" s="349">
        <v>69</v>
      </c>
      <c r="B180" s="1025">
        <v>11292</v>
      </c>
      <c r="C180" s="405" t="s">
        <v>1656</v>
      </c>
      <c r="D180" s="2472" t="s">
        <v>6099</v>
      </c>
      <c r="E180" s="288" t="s">
        <v>9215</v>
      </c>
      <c r="F180" s="1138" t="s">
        <v>664</v>
      </c>
      <c r="G180" s="1138">
        <v>5</v>
      </c>
      <c r="H180" s="1138">
        <v>6</v>
      </c>
      <c r="I180" s="501">
        <f t="shared" ref="I180:I189" si="16">J180+K180+L180</f>
        <v>0.5</v>
      </c>
      <c r="J180" s="501">
        <f t="shared" ref="J180:J189" si="17">SUM(M180:R180)</f>
        <v>0.5</v>
      </c>
      <c r="K180" s="502"/>
      <c r="L180" s="502"/>
      <c r="M180" s="502"/>
      <c r="N180" s="572"/>
      <c r="O180" s="853"/>
      <c r="P180" s="572"/>
      <c r="Q180" s="863"/>
      <c r="R180" s="870">
        <v>0.5</v>
      </c>
      <c r="S180" s="337"/>
      <c r="T180" s="332"/>
      <c r="U180" s="337"/>
      <c r="V180" s="337"/>
      <c r="W180" s="728"/>
      <c r="X180" s="337"/>
      <c r="Y180" s="728"/>
      <c r="Z180" s="2518"/>
      <c r="AB180" s="3">
        <v>1</v>
      </c>
      <c r="AE180" s="2461"/>
      <c r="AF180" s="68"/>
    </row>
    <row r="181" spans="1:32" ht="45.5" x14ac:dyDescent="0.35">
      <c r="A181" s="349">
        <v>70</v>
      </c>
      <c r="B181" s="1025">
        <v>11292</v>
      </c>
      <c r="C181" s="405" t="s">
        <v>1656</v>
      </c>
      <c r="D181" s="2472" t="s">
        <v>6100</v>
      </c>
      <c r="E181" s="288" t="s">
        <v>9216</v>
      </c>
      <c r="F181" s="1138" t="s">
        <v>664</v>
      </c>
      <c r="G181" s="1138">
        <v>5</v>
      </c>
      <c r="H181" s="1138">
        <v>6</v>
      </c>
      <c r="I181" s="501">
        <f t="shared" si="16"/>
        <v>0.6</v>
      </c>
      <c r="J181" s="501">
        <f t="shared" si="17"/>
        <v>0.6</v>
      </c>
      <c r="K181" s="502"/>
      <c r="L181" s="502"/>
      <c r="M181" s="502"/>
      <c r="N181" s="572"/>
      <c r="O181" s="853"/>
      <c r="P181" s="572"/>
      <c r="Q181" s="863"/>
      <c r="R181" s="870">
        <v>0.6</v>
      </c>
      <c r="S181" s="337"/>
      <c r="T181" s="332"/>
      <c r="U181" s="337"/>
      <c r="V181" s="337"/>
      <c r="W181" s="728"/>
      <c r="X181" s="337"/>
      <c r="Y181" s="728"/>
      <c r="Z181" s="2518"/>
      <c r="AB181" s="3">
        <v>1</v>
      </c>
      <c r="AE181" s="2461"/>
      <c r="AF181" s="68"/>
    </row>
    <row r="182" spans="1:32" ht="30" x14ac:dyDescent="0.35">
      <c r="A182" s="349">
        <v>71</v>
      </c>
      <c r="B182" s="1157">
        <v>11293</v>
      </c>
      <c r="C182" s="1157"/>
      <c r="D182" s="348" t="s">
        <v>2848</v>
      </c>
      <c r="E182" s="2701" t="s">
        <v>11037</v>
      </c>
      <c r="F182" s="1138"/>
      <c r="G182" s="1138" t="s">
        <v>191</v>
      </c>
      <c r="H182" s="2424" t="s">
        <v>191</v>
      </c>
      <c r="I182" s="501">
        <f t="shared" si="16"/>
        <v>5.0759999999999996</v>
      </c>
      <c r="J182" s="501">
        <f t="shared" si="17"/>
        <v>5.0759999999999996</v>
      </c>
      <c r="K182" s="501"/>
      <c r="L182" s="552">
        <f>SUM(L183:L186)</f>
        <v>0</v>
      </c>
      <c r="M182" s="501"/>
      <c r="N182" s="552">
        <f>SUM(N183:N186)</f>
        <v>1.4E-2</v>
      </c>
      <c r="O182" s="851"/>
      <c r="P182" s="552"/>
      <c r="Q182" s="860">
        <f>SUM(Q183:Q186)</f>
        <v>3.2280000000000002</v>
      </c>
      <c r="R182" s="870">
        <f>SUM(R183:R186)</f>
        <v>1.8339999999999996</v>
      </c>
      <c r="S182" s="335"/>
      <c r="T182" s="333"/>
      <c r="U182" s="335"/>
      <c r="V182" s="335"/>
      <c r="W182" s="705">
        <v>7</v>
      </c>
      <c r="X182" s="333">
        <v>75.31</v>
      </c>
      <c r="Y182" s="705">
        <v>4</v>
      </c>
      <c r="Z182" s="336">
        <v>40</v>
      </c>
      <c r="AB182" s="3">
        <v>1</v>
      </c>
      <c r="AE182" s="2461"/>
      <c r="AF182" s="68"/>
    </row>
    <row r="183" spans="1:32" x14ac:dyDescent="0.35">
      <c r="A183" s="349"/>
      <c r="B183" s="1157"/>
      <c r="C183" s="1157"/>
      <c r="D183" s="348"/>
      <c r="E183" s="289" t="s">
        <v>2700</v>
      </c>
      <c r="F183" s="1138">
        <v>5</v>
      </c>
      <c r="G183" s="1138">
        <v>5</v>
      </c>
      <c r="H183" s="2424">
        <v>6</v>
      </c>
      <c r="I183" s="502"/>
      <c r="J183" s="502"/>
      <c r="K183" s="502"/>
      <c r="L183" s="502"/>
      <c r="M183" s="502"/>
      <c r="N183" s="502">
        <v>1.4E-2</v>
      </c>
      <c r="O183" s="2490"/>
      <c r="P183" s="502"/>
      <c r="Q183" s="1859"/>
      <c r="R183" s="1868"/>
      <c r="S183" s="335"/>
      <c r="T183" s="333"/>
      <c r="U183" s="335"/>
      <c r="V183" s="335"/>
      <c r="W183" s="2688"/>
      <c r="X183" s="2437"/>
      <c r="Y183" s="2688"/>
      <c r="Z183" s="2689"/>
      <c r="AE183" s="2461"/>
      <c r="AF183" s="68"/>
    </row>
    <row r="184" spans="1:32" x14ac:dyDescent="0.35">
      <c r="A184" s="349"/>
      <c r="B184" s="1157"/>
      <c r="C184" s="1157"/>
      <c r="D184" s="348"/>
      <c r="E184" s="837" t="s">
        <v>10575</v>
      </c>
      <c r="F184" s="1138">
        <v>5</v>
      </c>
      <c r="G184" s="1138">
        <v>5</v>
      </c>
      <c r="H184" s="2424">
        <v>6</v>
      </c>
      <c r="I184" s="502"/>
      <c r="J184" s="502"/>
      <c r="K184" s="502"/>
      <c r="L184" s="502"/>
      <c r="M184" s="502"/>
      <c r="N184" s="502"/>
      <c r="O184" s="2490"/>
      <c r="P184" s="502"/>
      <c r="Q184" s="1859">
        <f>3.242-0.014</f>
        <v>3.2280000000000002</v>
      </c>
      <c r="R184" s="1868"/>
      <c r="S184" s="335"/>
      <c r="T184" s="333"/>
      <c r="U184" s="335"/>
      <c r="V184" s="335"/>
      <c r="W184" s="2688"/>
      <c r="X184" s="2437"/>
      <c r="Y184" s="2688"/>
      <c r="Z184" s="2689"/>
      <c r="AE184" s="2461"/>
      <c r="AF184" s="68"/>
    </row>
    <row r="185" spans="1:32" x14ac:dyDescent="0.35">
      <c r="A185" s="349"/>
      <c r="B185" s="1157"/>
      <c r="C185" s="1157"/>
      <c r="D185" s="348"/>
      <c r="E185" s="838" t="s">
        <v>10576</v>
      </c>
      <c r="F185" s="1138" t="s">
        <v>827</v>
      </c>
      <c r="G185" s="1138">
        <v>5</v>
      </c>
      <c r="H185" s="1138">
        <v>6</v>
      </c>
      <c r="I185" s="502"/>
      <c r="J185" s="502"/>
      <c r="K185" s="502"/>
      <c r="L185" s="502"/>
      <c r="M185" s="502"/>
      <c r="N185" s="502"/>
      <c r="O185" s="2490"/>
      <c r="P185" s="502"/>
      <c r="Q185" s="1859"/>
      <c r="R185" s="1868">
        <f>4.331-3.242</f>
        <v>1.0890000000000004</v>
      </c>
      <c r="S185" s="335"/>
      <c r="T185" s="333"/>
      <c r="U185" s="335"/>
      <c r="V185" s="335"/>
      <c r="W185" s="2688"/>
      <c r="X185" s="2437"/>
      <c r="Y185" s="2688"/>
      <c r="Z185" s="2689"/>
      <c r="AE185" s="2461"/>
      <c r="AF185" s="68"/>
    </row>
    <row r="186" spans="1:32" x14ac:dyDescent="0.35">
      <c r="A186" s="349"/>
      <c r="B186" s="1157"/>
      <c r="C186" s="1157"/>
      <c r="D186" s="348"/>
      <c r="E186" s="838" t="s">
        <v>10577</v>
      </c>
      <c r="F186" s="1138" t="s">
        <v>1490</v>
      </c>
      <c r="G186" s="1138">
        <v>5</v>
      </c>
      <c r="H186" s="1138">
        <v>6</v>
      </c>
      <c r="I186" s="502"/>
      <c r="J186" s="502"/>
      <c r="K186" s="502"/>
      <c r="L186" s="502"/>
      <c r="M186" s="502"/>
      <c r="N186" s="502"/>
      <c r="O186" s="2490"/>
      <c r="P186" s="502"/>
      <c r="Q186" s="1859"/>
      <c r="R186" s="1868">
        <f>5.076-4.331</f>
        <v>0.74499999999999922</v>
      </c>
      <c r="S186" s="335"/>
      <c r="T186" s="333"/>
      <c r="U186" s="335"/>
      <c r="V186" s="335"/>
      <c r="W186" s="2688"/>
      <c r="X186" s="2437"/>
      <c r="Y186" s="2688"/>
      <c r="Z186" s="2689"/>
      <c r="AE186" s="2461"/>
      <c r="AF186" s="68"/>
    </row>
    <row r="187" spans="1:32" ht="60" x14ac:dyDescent="0.35">
      <c r="A187" s="349">
        <v>72</v>
      </c>
      <c r="B187" s="1025">
        <v>11293</v>
      </c>
      <c r="C187" s="405" t="s">
        <v>1656</v>
      </c>
      <c r="D187" s="2472" t="s">
        <v>6101</v>
      </c>
      <c r="E187" s="2701" t="s">
        <v>11038</v>
      </c>
      <c r="F187" s="1138" t="s">
        <v>664</v>
      </c>
      <c r="G187" s="1138">
        <v>5</v>
      </c>
      <c r="H187" s="1138">
        <v>6</v>
      </c>
      <c r="I187" s="501">
        <f t="shared" si="16"/>
        <v>0.5</v>
      </c>
      <c r="J187" s="501">
        <f t="shared" si="17"/>
        <v>0.5</v>
      </c>
      <c r="K187" s="502"/>
      <c r="L187" s="502"/>
      <c r="M187" s="502"/>
      <c r="N187" s="572"/>
      <c r="O187" s="853"/>
      <c r="P187" s="572"/>
      <c r="Q187" s="863"/>
      <c r="R187" s="870">
        <v>0.5</v>
      </c>
      <c r="S187" s="337"/>
      <c r="T187" s="332"/>
      <c r="U187" s="337"/>
      <c r="V187" s="337"/>
      <c r="W187" s="728"/>
      <c r="X187" s="337"/>
      <c r="Y187" s="728"/>
      <c r="Z187" s="2518"/>
      <c r="AB187" s="3">
        <v>1</v>
      </c>
      <c r="AE187" s="2461"/>
      <c r="AF187" s="68"/>
    </row>
    <row r="188" spans="1:32" ht="60" x14ac:dyDescent="0.35">
      <c r="A188" s="349">
        <v>73</v>
      </c>
      <c r="B188" s="1025">
        <v>11293</v>
      </c>
      <c r="C188" s="405" t="s">
        <v>1656</v>
      </c>
      <c r="D188" s="2472" t="s">
        <v>6102</v>
      </c>
      <c r="E188" s="2701" t="s">
        <v>11039</v>
      </c>
      <c r="F188" s="1138" t="s">
        <v>664</v>
      </c>
      <c r="G188" s="1138">
        <v>5</v>
      </c>
      <c r="H188" s="1138">
        <v>6</v>
      </c>
      <c r="I188" s="501">
        <f t="shared" si="16"/>
        <v>0.5</v>
      </c>
      <c r="J188" s="501">
        <f t="shared" si="17"/>
        <v>0.5</v>
      </c>
      <c r="K188" s="502"/>
      <c r="L188" s="502"/>
      <c r="M188" s="502"/>
      <c r="N188" s="572"/>
      <c r="O188" s="853"/>
      <c r="P188" s="572"/>
      <c r="Q188" s="863"/>
      <c r="R188" s="870">
        <v>0.5</v>
      </c>
      <c r="S188" s="337"/>
      <c r="T188" s="332"/>
      <c r="U188" s="337"/>
      <c r="V188" s="337"/>
      <c r="W188" s="728"/>
      <c r="X188" s="337"/>
      <c r="Y188" s="728"/>
      <c r="Z188" s="2518"/>
      <c r="AB188" s="3">
        <v>1</v>
      </c>
      <c r="AE188" s="2461"/>
      <c r="AF188" s="68"/>
    </row>
    <row r="189" spans="1:32" ht="30.5" x14ac:dyDescent="0.35">
      <c r="A189" s="349">
        <v>74</v>
      </c>
      <c r="B189" s="1157">
        <v>11294</v>
      </c>
      <c r="C189" s="1157"/>
      <c r="D189" s="348" t="s">
        <v>2318</v>
      </c>
      <c r="E189" s="511" t="s">
        <v>11040</v>
      </c>
      <c r="F189" s="1138"/>
      <c r="G189" s="1138" t="s">
        <v>191</v>
      </c>
      <c r="H189" s="2424" t="s">
        <v>191</v>
      </c>
      <c r="I189" s="501">
        <f t="shared" si="16"/>
        <v>6.18</v>
      </c>
      <c r="J189" s="501">
        <f t="shared" si="17"/>
        <v>6.1549999999999994</v>
      </c>
      <c r="K189" s="501"/>
      <c r="L189" s="501">
        <f>SUM(L190:L197)</f>
        <v>2.5000000000000001E-2</v>
      </c>
      <c r="M189" s="501"/>
      <c r="N189" s="552">
        <f>SUM(N190:N197)</f>
        <v>8.3999999999999908E-2</v>
      </c>
      <c r="O189" s="851"/>
      <c r="P189" s="552"/>
      <c r="Q189" s="860">
        <f>SUM(Q190:Q197)</f>
        <v>6.0709999999999997</v>
      </c>
      <c r="R189" s="870"/>
      <c r="S189" s="335">
        <v>2</v>
      </c>
      <c r="T189" s="333">
        <f>36.7+45.74</f>
        <v>82.44</v>
      </c>
      <c r="U189" s="335"/>
      <c r="V189" s="335"/>
      <c r="W189" s="716">
        <v>4</v>
      </c>
      <c r="X189" s="333">
        <v>45.05</v>
      </c>
      <c r="Y189" s="2682"/>
      <c r="Z189" s="2437"/>
      <c r="AB189" s="3">
        <v>1</v>
      </c>
      <c r="AE189" s="2461"/>
      <c r="AF189" s="68"/>
    </row>
    <row r="190" spans="1:32" ht="31" x14ac:dyDescent="0.35">
      <c r="A190" s="349"/>
      <c r="B190" s="1157">
        <v>11294</v>
      </c>
      <c r="C190" s="1157"/>
      <c r="D190" s="348"/>
      <c r="E190" s="734" t="s">
        <v>10561</v>
      </c>
      <c r="F190" s="1138">
        <v>5</v>
      </c>
      <c r="G190" s="1138">
        <v>5</v>
      </c>
      <c r="H190" s="2424" t="s">
        <v>191</v>
      </c>
      <c r="I190" s="502"/>
      <c r="J190" s="502"/>
      <c r="K190" s="502"/>
      <c r="L190" s="502">
        <v>2.5000000000000001E-2</v>
      </c>
      <c r="M190" s="502"/>
      <c r="N190" s="572"/>
      <c r="O190" s="853"/>
      <c r="P190" s="572"/>
      <c r="Q190" s="863"/>
      <c r="R190" s="873"/>
      <c r="S190" s="337"/>
      <c r="T190" s="332"/>
      <c r="U190" s="337"/>
      <c r="V190" s="337"/>
      <c r="W190" s="728"/>
      <c r="X190" s="337"/>
      <c r="Y190" s="728"/>
      <c r="Z190" s="2518"/>
      <c r="AE190" s="2461"/>
      <c r="AF190" s="68"/>
    </row>
    <row r="191" spans="1:32" x14ac:dyDescent="0.35">
      <c r="A191" s="351"/>
      <c r="B191" s="1159"/>
      <c r="C191" s="1159"/>
      <c r="D191" s="348"/>
      <c r="E191" s="1216" t="s">
        <v>10554</v>
      </c>
      <c r="F191" s="1138">
        <v>5</v>
      </c>
      <c r="G191" s="1138">
        <v>5</v>
      </c>
      <c r="H191" s="2424">
        <v>6</v>
      </c>
      <c r="I191" s="782"/>
      <c r="J191" s="782"/>
      <c r="K191" s="782"/>
      <c r="L191" s="782"/>
      <c r="M191" s="782"/>
      <c r="N191" s="679"/>
      <c r="O191" s="1488"/>
      <c r="P191" s="679"/>
      <c r="Q191" s="957">
        <f>0.402-0.025</f>
        <v>0.377</v>
      </c>
      <c r="R191" s="954"/>
      <c r="S191" s="1160"/>
      <c r="T191" s="2521"/>
      <c r="U191" s="1160"/>
      <c r="V191" s="1160"/>
      <c r="W191" s="2522"/>
      <c r="X191" s="1160"/>
      <c r="Y191" s="2522"/>
      <c r="Z191" s="2523"/>
      <c r="AE191" s="2461"/>
      <c r="AF191" s="68"/>
    </row>
    <row r="192" spans="1:32" x14ac:dyDescent="0.35">
      <c r="A192" s="351"/>
      <c r="B192" s="1159"/>
      <c r="C192" s="1159"/>
      <c r="D192" s="348"/>
      <c r="E192" s="289" t="s">
        <v>10555</v>
      </c>
      <c r="F192" s="1138">
        <v>5</v>
      </c>
      <c r="G192" s="1138">
        <v>5</v>
      </c>
      <c r="H192" s="2424">
        <v>6</v>
      </c>
      <c r="I192" s="782"/>
      <c r="J192" s="782"/>
      <c r="K192" s="782"/>
      <c r="L192" s="782"/>
      <c r="M192" s="782"/>
      <c r="N192" s="679">
        <f>0.439-0.402</f>
        <v>3.6999999999999977E-2</v>
      </c>
      <c r="O192" s="1488"/>
      <c r="P192" s="679"/>
      <c r="Q192" s="957"/>
      <c r="R192" s="954"/>
      <c r="S192" s="1160"/>
      <c r="T192" s="2521"/>
      <c r="U192" s="1160"/>
      <c r="V192" s="1160"/>
      <c r="W192" s="2522"/>
      <c r="X192" s="1160"/>
      <c r="Y192" s="2522"/>
      <c r="Z192" s="2523"/>
      <c r="AE192" s="2461"/>
      <c r="AF192" s="68"/>
    </row>
    <row r="193" spans="1:32" x14ac:dyDescent="0.35">
      <c r="A193" s="351"/>
      <c r="B193" s="1159"/>
      <c r="C193" s="1159"/>
      <c r="D193" s="348"/>
      <c r="E193" s="1216" t="s">
        <v>10556</v>
      </c>
      <c r="F193" s="1138">
        <v>5</v>
      </c>
      <c r="G193" s="1138">
        <v>5</v>
      </c>
      <c r="H193" s="2424">
        <v>6</v>
      </c>
      <c r="I193" s="782"/>
      <c r="J193" s="782"/>
      <c r="K193" s="782"/>
      <c r="L193" s="782"/>
      <c r="M193" s="782"/>
      <c r="N193" s="679"/>
      <c r="O193" s="1488"/>
      <c r="P193" s="679"/>
      <c r="Q193" s="957">
        <f>0.558-0.439</f>
        <v>0.11900000000000005</v>
      </c>
      <c r="R193" s="954"/>
      <c r="S193" s="1160"/>
      <c r="T193" s="2521"/>
      <c r="U193" s="1160"/>
      <c r="V193" s="1160"/>
      <c r="W193" s="2522"/>
      <c r="X193" s="1160"/>
      <c r="Y193" s="2522"/>
      <c r="Z193" s="2523"/>
      <c r="AE193" s="2461"/>
      <c r="AF193" s="68"/>
    </row>
    <row r="194" spans="1:32" x14ac:dyDescent="0.35">
      <c r="A194" s="351"/>
      <c r="B194" s="1159"/>
      <c r="C194" s="1159"/>
      <c r="D194" s="348"/>
      <c r="E194" s="289" t="s">
        <v>10557</v>
      </c>
      <c r="F194" s="1138">
        <v>5</v>
      </c>
      <c r="G194" s="1138">
        <v>5</v>
      </c>
      <c r="H194" s="2424">
        <v>6</v>
      </c>
      <c r="I194" s="782"/>
      <c r="J194" s="782"/>
      <c r="K194" s="782"/>
      <c r="L194" s="782"/>
      <c r="M194" s="782"/>
      <c r="N194" s="679">
        <f>0.605-0.558</f>
        <v>4.6999999999999931E-2</v>
      </c>
      <c r="O194" s="1488"/>
      <c r="P194" s="679"/>
      <c r="Q194" s="957"/>
      <c r="R194" s="954"/>
      <c r="S194" s="1160"/>
      <c r="T194" s="2521"/>
      <c r="U194" s="1160"/>
      <c r="V194" s="1160"/>
      <c r="W194" s="2522"/>
      <c r="X194" s="1160"/>
      <c r="Y194" s="2522"/>
      <c r="Z194" s="2523"/>
      <c r="AE194" s="2461"/>
      <c r="AF194" s="68"/>
    </row>
    <row r="195" spans="1:32" x14ac:dyDescent="0.35">
      <c r="A195" s="351"/>
      <c r="B195" s="1159">
        <v>11294</v>
      </c>
      <c r="C195" s="1159"/>
      <c r="D195" s="348"/>
      <c r="E195" s="1216" t="s">
        <v>10558</v>
      </c>
      <c r="F195" s="1138">
        <v>5</v>
      </c>
      <c r="G195" s="1138">
        <v>5</v>
      </c>
      <c r="H195" s="2424">
        <v>6</v>
      </c>
      <c r="I195" s="782"/>
      <c r="J195" s="782"/>
      <c r="K195" s="782"/>
      <c r="L195" s="782"/>
      <c r="M195" s="782"/>
      <c r="N195" s="679"/>
      <c r="O195" s="1488"/>
      <c r="P195" s="679"/>
      <c r="Q195" s="957">
        <f>0.707-0.605</f>
        <v>0.10199999999999998</v>
      </c>
      <c r="R195" s="954"/>
      <c r="S195" s="1160"/>
      <c r="T195" s="2521"/>
      <c r="U195" s="1160"/>
      <c r="V195" s="1160"/>
      <c r="W195" s="2522"/>
      <c r="X195" s="1160"/>
      <c r="Y195" s="2522"/>
      <c r="Z195" s="2523"/>
      <c r="AE195" s="2461"/>
      <c r="AF195" s="68"/>
    </row>
    <row r="196" spans="1:32" x14ac:dyDescent="0.35">
      <c r="A196" s="351"/>
      <c r="B196" s="1159">
        <v>11294</v>
      </c>
      <c r="C196" s="1159"/>
      <c r="D196" s="348"/>
      <c r="E196" s="1216" t="s">
        <v>10559</v>
      </c>
      <c r="F196" s="1138">
        <v>4</v>
      </c>
      <c r="G196" s="1138">
        <v>5</v>
      </c>
      <c r="H196" s="2424">
        <v>6</v>
      </c>
      <c r="I196" s="782"/>
      <c r="J196" s="782"/>
      <c r="K196" s="782"/>
      <c r="L196" s="782"/>
      <c r="M196" s="782"/>
      <c r="N196" s="679"/>
      <c r="O196" s="1488"/>
      <c r="P196" s="679"/>
      <c r="Q196" s="957">
        <f>2.296-0.707</f>
        <v>1.589</v>
      </c>
      <c r="R196" s="954"/>
      <c r="S196" s="1160"/>
      <c r="T196" s="2521"/>
      <c r="U196" s="1160"/>
      <c r="V196" s="1160"/>
      <c r="W196" s="2522"/>
      <c r="X196" s="1160"/>
      <c r="Y196" s="2522"/>
      <c r="Z196" s="2523"/>
      <c r="AE196" s="2461"/>
      <c r="AF196" s="68"/>
    </row>
    <row r="197" spans="1:32" x14ac:dyDescent="0.35">
      <c r="A197" s="351"/>
      <c r="B197" s="1159">
        <v>11294</v>
      </c>
      <c r="C197" s="1159"/>
      <c r="D197" s="348"/>
      <c r="E197" s="1216" t="s">
        <v>10560</v>
      </c>
      <c r="F197" s="1138">
        <v>5</v>
      </c>
      <c r="G197" s="1138">
        <v>5</v>
      </c>
      <c r="H197" s="2424">
        <v>6</v>
      </c>
      <c r="I197" s="782"/>
      <c r="J197" s="782"/>
      <c r="K197" s="782"/>
      <c r="L197" s="782"/>
      <c r="M197" s="782"/>
      <c r="N197" s="679"/>
      <c r="O197" s="1488"/>
      <c r="P197" s="679"/>
      <c r="Q197" s="957">
        <f>6.18-2.296</f>
        <v>3.8839999999999999</v>
      </c>
      <c r="R197" s="954"/>
      <c r="S197" s="1160"/>
      <c r="T197" s="2521"/>
      <c r="U197" s="1160"/>
      <c r="V197" s="1160"/>
      <c r="W197" s="2522"/>
      <c r="X197" s="1160"/>
      <c r="Y197" s="2522"/>
      <c r="Z197" s="2523"/>
      <c r="AE197" s="2461"/>
      <c r="AF197" s="68"/>
    </row>
    <row r="198" spans="1:32" ht="60.5" x14ac:dyDescent="0.35">
      <c r="A198" s="349">
        <v>75</v>
      </c>
      <c r="B198" s="1025">
        <v>11294</v>
      </c>
      <c r="C198" s="405" t="s">
        <v>1656</v>
      </c>
      <c r="D198" s="2472" t="s">
        <v>6103</v>
      </c>
      <c r="E198" s="288" t="s">
        <v>10212</v>
      </c>
      <c r="F198" s="1138" t="s">
        <v>664</v>
      </c>
      <c r="G198" s="1138">
        <v>5</v>
      </c>
      <c r="H198" s="1138">
        <v>6</v>
      </c>
      <c r="I198" s="501">
        <f t="shared" ref="I198:I217" si="18">J198+K198+L198</f>
        <v>1.1000000000000001</v>
      </c>
      <c r="J198" s="501">
        <f t="shared" ref="J198:J217" si="19">SUM(M198:R198)</f>
        <v>1.1000000000000001</v>
      </c>
      <c r="K198" s="502"/>
      <c r="L198" s="502"/>
      <c r="M198" s="502"/>
      <c r="N198" s="572"/>
      <c r="O198" s="853"/>
      <c r="P198" s="572"/>
      <c r="Q198" s="863"/>
      <c r="R198" s="870">
        <v>1.1000000000000001</v>
      </c>
      <c r="S198" s="337"/>
      <c r="T198" s="332"/>
      <c r="U198" s="337"/>
      <c r="V198" s="337"/>
      <c r="W198" s="728"/>
      <c r="X198" s="337"/>
      <c r="Y198" s="728"/>
      <c r="Z198" s="2518"/>
      <c r="AB198" s="3">
        <v>1</v>
      </c>
      <c r="AE198" s="2461"/>
      <c r="AF198" s="68"/>
    </row>
    <row r="199" spans="1:32" ht="45.5" x14ac:dyDescent="0.35">
      <c r="A199" s="349"/>
      <c r="B199" s="1025" t="s">
        <v>40</v>
      </c>
      <c r="C199" s="1025"/>
      <c r="D199" s="348"/>
      <c r="E199" s="1596" t="s">
        <v>37</v>
      </c>
      <c r="F199" s="1138"/>
      <c r="G199" s="1138"/>
      <c r="H199" s="1138"/>
      <c r="I199" s="501"/>
      <c r="J199" s="501"/>
      <c r="K199" s="502"/>
      <c r="L199" s="502"/>
      <c r="M199" s="502"/>
      <c r="N199" s="572"/>
      <c r="O199" s="853"/>
      <c r="P199" s="572"/>
      <c r="Q199" s="863"/>
      <c r="R199" s="870"/>
      <c r="S199" s="337"/>
      <c r="T199" s="332"/>
      <c r="U199" s="337"/>
      <c r="V199" s="337"/>
      <c r="W199" s="728"/>
      <c r="X199" s="337"/>
      <c r="Y199" s="728"/>
      <c r="Z199" s="2518"/>
      <c r="AE199" s="2461"/>
      <c r="AF199" s="68"/>
    </row>
    <row r="200" spans="1:32" ht="45.5" x14ac:dyDescent="0.35">
      <c r="A200" s="349">
        <v>76</v>
      </c>
      <c r="B200" s="1025" t="s">
        <v>40</v>
      </c>
      <c r="C200" s="1025"/>
      <c r="D200" s="2472" t="s">
        <v>6104</v>
      </c>
      <c r="E200" s="288" t="s">
        <v>7974</v>
      </c>
      <c r="F200" s="1138">
        <v>4</v>
      </c>
      <c r="G200" s="1138">
        <v>4</v>
      </c>
      <c r="H200" s="2424">
        <v>6</v>
      </c>
      <c r="I200" s="501">
        <f t="shared" si="18"/>
        <v>3.46</v>
      </c>
      <c r="J200" s="501">
        <f t="shared" si="19"/>
        <v>3.46</v>
      </c>
      <c r="K200" s="502"/>
      <c r="L200" s="502"/>
      <c r="M200" s="502"/>
      <c r="N200" s="1799">
        <v>3.46</v>
      </c>
      <c r="O200" s="853"/>
      <c r="P200" s="572"/>
      <c r="Q200" s="1856"/>
      <c r="R200" s="873"/>
      <c r="S200" s="337"/>
      <c r="T200" s="332"/>
      <c r="U200" s="337"/>
      <c r="V200" s="337"/>
      <c r="W200" s="705">
        <v>5</v>
      </c>
      <c r="X200" s="333">
        <v>82</v>
      </c>
      <c r="Y200" s="705"/>
      <c r="Z200" s="336"/>
      <c r="AB200" s="3">
        <v>1</v>
      </c>
      <c r="AE200" s="2461"/>
      <c r="AF200" s="68"/>
    </row>
    <row r="201" spans="1:32" ht="60.5" x14ac:dyDescent="0.35">
      <c r="A201" s="349">
        <v>77</v>
      </c>
      <c r="B201" s="1025" t="s">
        <v>40</v>
      </c>
      <c r="C201" s="405" t="s">
        <v>1656</v>
      </c>
      <c r="D201" s="2472" t="s">
        <v>6105</v>
      </c>
      <c r="E201" s="288" t="s">
        <v>8940</v>
      </c>
      <c r="F201" s="1138" t="s">
        <v>1490</v>
      </c>
      <c r="G201" s="1138">
        <v>5</v>
      </c>
      <c r="H201" s="1138">
        <v>6</v>
      </c>
      <c r="I201" s="501">
        <f t="shared" si="18"/>
        <v>0.4</v>
      </c>
      <c r="J201" s="501">
        <f t="shared" si="19"/>
        <v>0.4</v>
      </c>
      <c r="K201" s="502"/>
      <c r="L201" s="502"/>
      <c r="M201" s="502"/>
      <c r="N201" s="572"/>
      <c r="O201" s="853"/>
      <c r="P201" s="572"/>
      <c r="Q201" s="863"/>
      <c r="R201" s="870">
        <v>0.4</v>
      </c>
      <c r="S201" s="337"/>
      <c r="T201" s="332"/>
      <c r="U201" s="337"/>
      <c r="V201" s="337"/>
      <c r="W201" s="705">
        <v>1</v>
      </c>
      <c r="X201" s="333">
        <v>10</v>
      </c>
      <c r="Y201" s="728"/>
      <c r="Z201" s="2518"/>
      <c r="AB201" s="3">
        <v>1</v>
      </c>
      <c r="AE201" s="2461"/>
      <c r="AF201" s="68"/>
    </row>
    <row r="202" spans="1:32" ht="45.5" x14ac:dyDescent="0.35">
      <c r="A202" s="349">
        <v>78</v>
      </c>
      <c r="B202" s="1025" t="s">
        <v>40</v>
      </c>
      <c r="C202" s="405" t="s">
        <v>1656</v>
      </c>
      <c r="D202" s="2472" t="s">
        <v>6106</v>
      </c>
      <c r="E202" s="288" t="s">
        <v>8941</v>
      </c>
      <c r="F202" s="1138" t="s">
        <v>1490</v>
      </c>
      <c r="G202" s="1138">
        <v>5</v>
      </c>
      <c r="H202" s="1138">
        <v>6</v>
      </c>
      <c r="I202" s="501">
        <f>J202+K202+L202</f>
        <v>0.25</v>
      </c>
      <c r="J202" s="501">
        <f>SUM(M202:R202)</f>
        <v>0.25</v>
      </c>
      <c r="K202" s="502"/>
      <c r="L202" s="502"/>
      <c r="M202" s="502"/>
      <c r="N202" s="572"/>
      <c r="O202" s="853"/>
      <c r="P202" s="572"/>
      <c r="Q202" s="863"/>
      <c r="R202" s="870">
        <v>0.25</v>
      </c>
      <c r="S202" s="337"/>
      <c r="T202" s="332"/>
      <c r="U202" s="337"/>
      <c r="V202" s="337"/>
      <c r="W202" s="705">
        <v>2</v>
      </c>
      <c r="X202" s="333">
        <v>20</v>
      </c>
      <c r="Y202" s="728"/>
      <c r="Z202" s="2518"/>
      <c r="AB202" s="3">
        <v>1</v>
      </c>
      <c r="AE202" s="2461"/>
      <c r="AF202" s="68"/>
    </row>
    <row r="203" spans="1:32" ht="45.5" x14ac:dyDescent="0.35">
      <c r="A203" s="349"/>
      <c r="B203" s="1025" t="s">
        <v>2922</v>
      </c>
      <c r="C203" s="1025"/>
      <c r="D203" s="348"/>
      <c r="E203" s="1596" t="s">
        <v>10695</v>
      </c>
      <c r="F203" s="1138"/>
      <c r="G203" s="1138"/>
      <c r="H203" s="1138"/>
      <c r="I203" s="501"/>
      <c r="J203" s="501"/>
      <c r="K203" s="502"/>
      <c r="L203" s="502"/>
      <c r="M203" s="502"/>
      <c r="N203" s="572"/>
      <c r="O203" s="853"/>
      <c r="P203" s="572"/>
      <c r="Q203" s="863"/>
      <c r="R203" s="870"/>
      <c r="S203" s="337"/>
      <c r="T203" s="332"/>
      <c r="U203" s="337"/>
      <c r="V203" s="337"/>
      <c r="W203" s="728"/>
      <c r="X203" s="337"/>
      <c r="Y203" s="728"/>
      <c r="Z203" s="2518"/>
      <c r="AE203" s="2461"/>
      <c r="AF203" s="68"/>
    </row>
    <row r="204" spans="1:32" ht="45.5" x14ac:dyDescent="0.35">
      <c r="A204" s="349">
        <v>79</v>
      </c>
      <c r="B204" s="1025" t="s">
        <v>2922</v>
      </c>
      <c r="C204" s="1025"/>
      <c r="D204" s="2472" t="s">
        <v>6107</v>
      </c>
      <c r="E204" s="511" t="s">
        <v>11041</v>
      </c>
      <c r="F204" s="1138" t="s">
        <v>1490</v>
      </c>
      <c r="G204" s="1138">
        <v>5</v>
      </c>
      <c r="H204" s="1138">
        <v>6</v>
      </c>
      <c r="I204" s="501">
        <f t="shared" si="18"/>
        <v>4</v>
      </c>
      <c r="J204" s="501">
        <f t="shared" si="19"/>
        <v>4</v>
      </c>
      <c r="K204" s="501"/>
      <c r="L204" s="501"/>
      <c r="M204" s="501"/>
      <c r="N204" s="552"/>
      <c r="O204" s="851"/>
      <c r="P204" s="552"/>
      <c r="Q204" s="860"/>
      <c r="R204" s="870">
        <v>4</v>
      </c>
      <c r="S204" s="335"/>
      <c r="T204" s="333"/>
      <c r="U204" s="335"/>
      <c r="V204" s="335"/>
      <c r="W204" s="728"/>
      <c r="X204" s="337"/>
      <c r="Y204" s="728"/>
      <c r="Z204" s="2518"/>
      <c r="AB204" s="3">
        <v>1</v>
      </c>
      <c r="AE204" s="2461"/>
      <c r="AF204" s="68"/>
    </row>
    <row r="205" spans="1:32" ht="60.5" x14ac:dyDescent="0.35">
      <c r="A205" s="349">
        <v>80</v>
      </c>
      <c r="B205" s="1025" t="s">
        <v>2922</v>
      </c>
      <c r="C205" s="405" t="s">
        <v>1656</v>
      </c>
      <c r="D205" s="2472" t="s">
        <v>6108</v>
      </c>
      <c r="E205" s="288" t="s">
        <v>10730</v>
      </c>
      <c r="F205" s="1138" t="s">
        <v>664</v>
      </c>
      <c r="G205" s="1138">
        <v>5</v>
      </c>
      <c r="H205" s="1138">
        <v>6</v>
      </c>
      <c r="I205" s="501">
        <f>J205+K205+L205</f>
        <v>0.5</v>
      </c>
      <c r="J205" s="501">
        <f>SUM(M205:R205)</f>
        <v>0.5</v>
      </c>
      <c r="K205" s="502"/>
      <c r="L205" s="502"/>
      <c r="M205" s="502"/>
      <c r="N205" s="572"/>
      <c r="O205" s="853"/>
      <c r="P205" s="572"/>
      <c r="Q205" s="863"/>
      <c r="R205" s="870">
        <v>0.5</v>
      </c>
      <c r="S205" s="337"/>
      <c r="T205" s="332"/>
      <c r="U205" s="337"/>
      <c r="V205" s="337"/>
      <c r="W205" s="728"/>
      <c r="X205" s="337"/>
      <c r="Y205" s="728"/>
      <c r="Z205" s="2518"/>
      <c r="AB205" s="3">
        <v>1</v>
      </c>
      <c r="AE205" s="2461"/>
      <c r="AF205" s="68"/>
    </row>
    <row r="206" spans="1:32" ht="45.5" x14ac:dyDescent="0.35">
      <c r="A206" s="349">
        <v>81</v>
      </c>
      <c r="B206" s="1025" t="s">
        <v>2922</v>
      </c>
      <c r="C206" s="1025"/>
      <c r="D206" s="2472" t="s">
        <v>6109</v>
      </c>
      <c r="E206" s="290" t="s">
        <v>10731</v>
      </c>
      <c r="F206" s="1138" t="s">
        <v>1490</v>
      </c>
      <c r="G206" s="1138">
        <v>5</v>
      </c>
      <c r="H206" s="1138">
        <v>6</v>
      </c>
      <c r="I206" s="501">
        <f t="shared" si="18"/>
        <v>3</v>
      </c>
      <c r="J206" s="501">
        <f t="shared" si="19"/>
        <v>3</v>
      </c>
      <c r="K206" s="502"/>
      <c r="L206" s="502"/>
      <c r="M206" s="502"/>
      <c r="N206" s="572"/>
      <c r="O206" s="853"/>
      <c r="P206" s="572"/>
      <c r="Q206" s="863"/>
      <c r="R206" s="870">
        <v>3</v>
      </c>
      <c r="S206" s="337"/>
      <c r="T206" s="332"/>
      <c r="U206" s="337"/>
      <c r="V206" s="337"/>
      <c r="W206" s="728"/>
      <c r="X206" s="337"/>
      <c r="Y206" s="728"/>
      <c r="Z206" s="2518"/>
      <c r="AB206" s="3">
        <v>1</v>
      </c>
      <c r="AE206" s="2461"/>
      <c r="AF206" s="68"/>
    </row>
    <row r="207" spans="1:32" ht="75.5" x14ac:dyDescent="0.35">
      <c r="A207" s="349">
        <v>82</v>
      </c>
      <c r="B207" s="1025" t="s">
        <v>2922</v>
      </c>
      <c r="C207" s="405" t="s">
        <v>1656</v>
      </c>
      <c r="D207" s="2472" t="s">
        <v>6110</v>
      </c>
      <c r="E207" s="288" t="s">
        <v>10732</v>
      </c>
      <c r="F207" s="1138" t="s">
        <v>664</v>
      </c>
      <c r="G207" s="1138">
        <v>5</v>
      </c>
      <c r="H207" s="1138">
        <v>6</v>
      </c>
      <c r="I207" s="501">
        <f>J207+K207+L207</f>
        <v>0.2</v>
      </c>
      <c r="J207" s="501">
        <f>SUM(M207:R207)</f>
        <v>0.2</v>
      </c>
      <c r="K207" s="502"/>
      <c r="L207" s="502"/>
      <c r="M207" s="502"/>
      <c r="N207" s="572"/>
      <c r="O207" s="853"/>
      <c r="P207" s="572"/>
      <c r="Q207" s="863"/>
      <c r="R207" s="870">
        <v>0.2</v>
      </c>
      <c r="S207" s="337"/>
      <c r="T207" s="332"/>
      <c r="U207" s="337"/>
      <c r="V207" s="337"/>
      <c r="W207" s="728"/>
      <c r="X207" s="337"/>
      <c r="Y207" s="728"/>
      <c r="Z207" s="2518"/>
      <c r="AB207" s="3">
        <v>1</v>
      </c>
      <c r="AE207" s="2461"/>
      <c r="AF207" s="68"/>
    </row>
    <row r="208" spans="1:32" ht="45.5" x14ac:dyDescent="0.35">
      <c r="A208" s="349">
        <v>83</v>
      </c>
      <c r="B208" s="1025" t="s">
        <v>2922</v>
      </c>
      <c r="C208" s="405" t="s">
        <v>1656</v>
      </c>
      <c r="D208" s="2472" t="s">
        <v>6111</v>
      </c>
      <c r="E208" s="288" t="s">
        <v>10733</v>
      </c>
      <c r="F208" s="1138" t="s">
        <v>664</v>
      </c>
      <c r="G208" s="1138">
        <v>5</v>
      </c>
      <c r="H208" s="1138">
        <v>6</v>
      </c>
      <c r="I208" s="501">
        <f t="shared" si="18"/>
        <v>1.8</v>
      </c>
      <c r="J208" s="501">
        <f t="shared" si="19"/>
        <v>1.8</v>
      </c>
      <c r="K208" s="502"/>
      <c r="L208" s="502"/>
      <c r="M208" s="502"/>
      <c r="N208" s="572"/>
      <c r="O208" s="853"/>
      <c r="P208" s="572"/>
      <c r="Q208" s="863"/>
      <c r="R208" s="870">
        <v>1.8</v>
      </c>
      <c r="S208" s="337"/>
      <c r="T208" s="332"/>
      <c r="U208" s="337"/>
      <c r="V208" s="337"/>
      <c r="W208" s="728"/>
      <c r="X208" s="337"/>
      <c r="Y208" s="728"/>
      <c r="Z208" s="2518"/>
      <c r="AB208" s="3">
        <v>1</v>
      </c>
      <c r="AE208" s="2461"/>
      <c r="AF208" s="68"/>
    </row>
    <row r="209" spans="1:32" ht="45.5" x14ac:dyDescent="0.35">
      <c r="A209" s="349">
        <v>84</v>
      </c>
      <c r="B209" s="1025" t="s">
        <v>2922</v>
      </c>
      <c r="C209" s="405" t="s">
        <v>1656</v>
      </c>
      <c r="D209" s="2472" t="s">
        <v>6112</v>
      </c>
      <c r="E209" s="288" t="s">
        <v>10734</v>
      </c>
      <c r="F209" s="1138" t="s">
        <v>664</v>
      </c>
      <c r="G209" s="1138">
        <v>5</v>
      </c>
      <c r="H209" s="1138">
        <v>6</v>
      </c>
      <c r="I209" s="501">
        <f t="shared" si="18"/>
        <v>0.62</v>
      </c>
      <c r="J209" s="501">
        <f t="shared" si="19"/>
        <v>0.62</v>
      </c>
      <c r="K209" s="502"/>
      <c r="L209" s="502"/>
      <c r="M209" s="502"/>
      <c r="N209" s="572"/>
      <c r="O209" s="853"/>
      <c r="P209" s="572"/>
      <c r="Q209" s="863"/>
      <c r="R209" s="870">
        <v>0.62</v>
      </c>
      <c r="S209" s="337"/>
      <c r="T209" s="332"/>
      <c r="U209" s="337"/>
      <c r="V209" s="337"/>
      <c r="W209" s="728"/>
      <c r="X209" s="337"/>
      <c r="Y209" s="728"/>
      <c r="Z209" s="2518"/>
      <c r="AB209" s="3">
        <v>1</v>
      </c>
      <c r="AE209" s="2461"/>
      <c r="AF209" s="68"/>
    </row>
    <row r="210" spans="1:32" ht="45.5" x14ac:dyDescent="0.35">
      <c r="A210" s="349">
        <v>85</v>
      </c>
      <c r="B210" s="1025" t="s">
        <v>2922</v>
      </c>
      <c r="C210" s="405" t="s">
        <v>1656</v>
      </c>
      <c r="D210" s="2472" t="s">
        <v>6113</v>
      </c>
      <c r="E210" s="288" t="s">
        <v>10735</v>
      </c>
      <c r="F210" s="1138" t="s">
        <v>664</v>
      </c>
      <c r="G210" s="1138">
        <v>5</v>
      </c>
      <c r="H210" s="1138">
        <v>6</v>
      </c>
      <c r="I210" s="501">
        <f t="shared" si="18"/>
        <v>3.8</v>
      </c>
      <c r="J210" s="501">
        <f t="shared" si="19"/>
        <v>3.8</v>
      </c>
      <c r="K210" s="502"/>
      <c r="L210" s="502"/>
      <c r="M210" s="502"/>
      <c r="N210" s="572"/>
      <c r="O210" s="853"/>
      <c r="P210" s="572"/>
      <c r="Q210" s="863"/>
      <c r="R210" s="870">
        <v>3.8</v>
      </c>
      <c r="S210" s="337"/>
      <c r="T210" s="332"/>
      <c r="U210" s="337"/>
      <c r="V210" s="337"/>
      <c r="W210" s="728"/>
      <c r="X210" s="337"/>
      <c r="Y210" s="728"/>
      <c r="Z210" s="2518"/>
      <c r="AB210" s="3">
        <v>1</v>
      </c>
      <c r="AE210" s="2461"/>
      <c r="AF210" s="68"/>
    </row>
    <row r="211" spans="1:32" ht="45.5" x14ac:dyDescent="0.35">
      <c r="A211" s="349">
        <v>86</v>
      </c>
      <c r="B211" s="1025" t="s">
        <v>2922</v>
      </c>
      <c r="C211" s="405" t="s">
        <v>1656</v>
      </c>
      <c r="D211" s="2472" t="s">
        <v>6114</v>
      </c>
      <c r="E211" s="288" t="s">
        <v>10736</v>
      </c>
      <c r="F211" s="1138" t="s">
        <v>664</v>
      </c>
      <c r="G211" s="1138">
        <v>5</v>
      </c>
      <c r="H211" s="1138">
        <v>6</v>
      </c>
      <c r="I211" s="501">
        <f t="shared" si="18"/>
        <v>0.5</v>
      </c>
      <c r="J211" s="501">
        <f t="shared" si="19"/>
        <v>0.5</v>
      </c>
      <c r="K211" s="502"/>
      <c r="L211" s="502"/>
      <c r="M211" s="502"/>
      <c r="N211" s="572"/>
      <c r="O211" s="853"/>
      <c r="P211" s="572"/>
      <c r="Q211" s="863"/>
      <c r="R211" s="870">
        <v>0.5</v>
      </c>
      <c r="S211" s="337"/>
      <c r="T211" s="332"/>
      <c r="U211" s="337"/>
      <c r="V211" s="337"/>
      <c r="W211" s="728"/>
      <c r="X211" s="337"/>
      <c r="Y211" s="728"/>
      <c r="Z211" s="2518"/>
      <c r="AB211" s="3">
        <v>1</v>
      </c>
      <c r="AE211" s="2461"/>
      <c r="AF211" s="68"/>
    </row>
    <row r="212" spans="1:32" ht="45.5" x14ac:dyDescent="0.35">
      <c r="A212" s="349">
        <v>87</v>
      </c>
      <c r="B212" s="1025" t="s">
        <v>2922</v>
      </c>
      <c r="C212" s="405" t="s">
        <v>1656</v>
      </c>
      <c r="D212" s="2472" t="s">
        <v>6115</v>
      </c>
      <c r="E212" s="288" t="s">
        <v>10737</v>
      </c>
      <c r="F212" s="1138" t="s">
        <v>664</v>
      </c>
      <c r="G212" s="1138">
        <v>5</v>
      </c>
      <c r="H212" s="1138">
        <v>6</v>
      </c>
      <c r="I212" s="501">
        <f t="shared" si="18"/>
        <v>0.2</v>
      </c>
      <c r="J212" s="501">
        <f t="shared" si="19"/>
        <v>0.2</v>
      </c>
      <c r="K212" s="502"/>
      <c r="L212" s="502"/>
      <c r="M212" s="502"/>
      <c r="N212" s="572"/>
      <c r="O212" s="853"/>
      <c r="P212" s="572"/>
      <c r="Q212" s="863"/>
      <c r="R212" s="870">
        <v>0.2</v>
      </c>
      <c r="S212" s="337"/>
      <c r="T212" s="332"/>
      <c r="U212" s="337"/>
      <c r="V212" s="337"/>
      <c r="W212" s="728"/>
      <c r="X212" s="337"/>
      <c r="Y212" s="728"/>
      <c r="Z212" s="2518"/>
      <c r="AB212" s="3">
        <v>1</v>
      </c>
      <c r="AE212" s="2461"/>
      <c r="AF212" s="68"/>
    </row>
    <row r="213" spans="1:32" ht="75.5" x14ac:dyDescent="0.35">
      <c r="A213" s="349">
        <v>88</v>
      </c>
      <c r="B213" s="1025" t="s">
        <v>2922</v>
      </c>
      <c r="C213" s="1025" t="s">
        <v>2436</v>
      </c>
      <c r="D213" s="2472" t="s">
        <v>6116</v>
      </c>
      <c r="E213" s="511" t="s">
        <v>11042</v>
      </c>
      <c r="F213" s="1138"/>
      <c r="G213" s="1138" t="s">
        <v>191</v>
      </c>
      <c r="H213" s="1138" t="s">
        <v>191</v>
      </c>
      <c r="I213" s="500">
        <f t="shared" si="18"/>
        <v>0.85799999999999998</v>
      </c>
      <c r="J213" s="500">
        <f t="shared" si="19"/>
        <v>0.84299999999999997</v>
      </c>
      <c r="K213" s="831"/>
      <c r="L213" s="500">
        <f>SUM(L214:L215)</f>
        <v>1.4999999999999999E-2</v>
      </c>
      <c r="M213" s="831"/>
      <c r="N213" s="500">
        <f>SUM(N214:N215)</f>
        <v>0.84299999999999997</v>
      </c>
      <c r="O213" s="853"/>
      <c r="P213" s="572"/>
      <c r="Q213" s="863"/>
      <c r="R213" s="870"/>
      <c r="S213" s="337"/>
      <c r="T213" s="332"/>
      <c r="U213" s="337"/>
      <c r="V213" s="337"/>
      <c r="W213" s="154">
        <v>1</v>
      </c>
      <c r="X213" s="55">
        <v>15.17</v>
      </c>
      <c r="Y213" s="728"/>
      <c r="Z213" s="2518"/>
      <c r="AB213" s="3">
        <v>1</v>
      </c>
      <c r="AE213" s="2461"/>
      <c r="AF213" s="68"/>
    </row>
    <row r="214" spans="1:32" ht="31" x14ac:dyDescent="0.35">
      <c r="A214" s="349"/>
      <c r="B214" s="1025"/>
      <c r="C214" s="1025"/>
      <c r="D214" s="2472"/>
      <c r="E214" s="1022" t="s">
        <v>10457</v>
      </c>
      <c r="F214" s="1138">
        <v>4</v>
      </c>
      <c r="G214" s="1138">
        <v>5</v>
      </c>
      <c r="H214" s="1138" t="s">
        <v>191</v>
      </c>
      <c r="I214" s="500"/>
      <c r="J214" s="500"/>
      <c r="K214" s="831"/>
      <c r="L214" s="831">
        <v>1.4999999999999999E-2</v>
      </c>
      <c r="M214" s="831"/>
      <c r="N214" s="500"/>
      <c r="O214" s="853"/>
      <c r="P214" s="572"/>
      <c r="Q214" s="863"/>
      <c r="R214" s="870"/>
      <c r="S214" s="337"/>
      <c r="T214" s="332"/>
      <c r="U214" s="337"/>
      <c r="V214" s="337"/>
      <c r="W214" s="2441"/>
      <c r="X214" s="2530"/>
      <c r="Y214" s="728"/>
      <c r="Z214" s="2518"/>
      <c r="AE214" s="2461"/>
      <c r="AF214" s="68"/>
    </row>
    <row r="215" spans="1:32" x14ac:dyDescent="0.35">
      <c r="A215" s="349"/>
      <c r="B215" s="1025"/>
      <c r="C215" s="1025"/>
      <c r="D215" s="2472"/>
      <c r="E215" s="459" t="s">
        <v>10458</v>
      </c>
      <c r="F215" s="1138">
        <v>4</v>
      </c>
      <c r="G215" s="1138">
        <v>5</v>
      </c>
      <c r="H215" s="1138">
        <v>10</v>
      </c>
      <c r="I215" s="500"/>
      <c r="J215" s="500"/>
      <c r="K215" s="831"/>
      <c r="L215" s="831"/>
      <c r="M215" s="831"/>
      <c r="N215" s="831">
        <f>0.858-0.015</f>
        <v>0.84299999999999997</v>
      </c>
      <c r="O215" s="853"/>
      <c r="P215" s="572"/>
      <c r="Q215" s="863"/>
      <c r="R215" s="870"/>
      <c r="S215" s="337"/>
      <c r="T215" s="332"/>
      <c r="U215" s="337"/>
      <c r="V215" s="337"/>
      <c r="W215" s="2441"/>
      <c r="X215" s="2530"/>
      <c r="Y215" s="728"/>
      <c r="Z215" s="2518"/>
      <c r="AE215" s="2461"/>
      <c r="AF215" s="68"/>
    </row>
    <row r="216" spans="1:32" ht="60.5" x14ac:dyDescent="0.35">
      <c r="A216" s="349"/>
      <c r="B216" s="1025" t="s">
        <v>164</v>
      </c>
      <c r="C216" s="1025"/>
      <c r="D216" s="348"/>
      <c r="E216" s="1596" t="s">
        <v>1115</v>
      </c>
      <c r="F216" s="1138"/>
      <c r="G216" s="1138"/>
      <c r="H216" s="1138"/>
      <c r="I216" s="501"/>
      <c r="J216" s="501"/>
      <c r="K216" s="502"/>
      <c r="L216" s="502"/>
      <c r="M216" s="502"/>
      <c r="N216" s="572"/>
      <c r="O216" s="853"/>
      <c r="P216" s="572"/>
      <c r="Q216" s="863"/>
      <c r="R216" s="870"/>
      <c r="S216" s="337"/>
      <c r="T216" s="332"/>
      <c r="U216" s="337"/>
      <c r="V216" s="337"/>
      <c r="W216" s="728"/>
      <c r="X216" s="337"/>
      <c r="Y216" s="728"/>
      <c r="Z216" s="2518"/>
      <c r="AE216" s="2461"/>
      <c r="AF216" s="68"/>
    </row>
    <row r="217" spans="1:32" ht="75.5" x14ac:dyDescent="0.35">
      <c r="A217" s="349">
        <v>89</v>
      </c>
      <c r="B217" s="1025" t="s">
        <v>164</v>
      </c>
      <c r="C217" s="1025"/>
      <c r="D217" s="2472" t="s">
        <v>6117</v>
      </c>
      <c r="E217" s="288" t="s">
        <v>7975</v>
      </c>
      <c r="F217" s="1138"/>
      <c r="G217" s="1138" t="s">
        <v>191</v>
      </c>
      <c r="H217" s="2424" t="s">
        <v>191</v>
      </c>
      <c r="I217" s="501">
        <f t="shared" si="18"/>
        <v>1.49</v>
      </c>
      <c r="J217" s="501">
        <f t="shared" si="19"/>
        <v>1.49</v>
      </c>
      <c r="K217" s="501"/>
      <c r="L217" s="501"/>
      <c r="M217" s="501"/>
      <c r="N217" s="552">
        <f>SUM(N218:N219)</f>
        <v>0.8</v>
      </c>
      <c r="O217" s="851"/>
      <c r="P217" s="552"/>
      <c r="Q217" s="860"/>
      <c r="R217" s="870">
        <f>SUM(R218:R219)</f>
        <v>0.69</v>
      </c>
      <c r="S217" s="335"/>
      <c r="T217" s="333"/>
      <c r="U217" s="335"/>
      <c r="V217" s="335"/>
      <c r="W217" s="705">
        <v>2</v>
      </c>
      <c r="X217" s="333">
        <v>19.399999999999999</v>
      </c>
      <c r="Y217" s="705">
        <v>2</v>
      </c>
      <c r="Z217" s="336">
        <v>19.399999999999999</v>
      </c>
      <c r="AB217" s="3">
        <v>1</v>
      </c>
      <c r="AE217" s="2461"/>
      <c r="AF217" s="68"/>
    </row>
    <row r="218" spans="1:32" x14ac:dyDescent="0.35">
      <c r="A218" s="349"/>
      <c r="B218" s="1025" t="s">
        <v>164</v>
      </c>
      <c r="C218" s="1025"/>
      <c r="D218" s="348"/>
      <c r="E218" s="289" t="s">
        <v>1966</v>
      </c>
      <c r="F218" s="1138">
        <v>4</v>
      </c>
      <c r="G218" s="1138">
        <v>4</v>
      </c>
      <c r="H218" s="2424">
        <v>6</v>
      </c>
      <c r="I218" s="502"/>
      <c r="J218" s="502"/>
      <c r="K218" s="502"/>
      <c r="L218" s="502"/>
      <c r="M218" s="502"/>
      <c r="N218" s="572">
        <v>0.8</v>
      </c>
      <c r="O218" s="853"/>
      <c r="P218" s="572"/>
      <c r="Q218" s="863"/>
      <c r="R218" s="873"/>
      <c r="S218" s="337"/>
      <c r="T218" s="332"/>
      <c r="U218" s="337"/>
      <c r="V218" s="337"/>
      <c r="W218" s="728"/>
      <c r="X218" s="337"/>
      <c r="Y218" s="728"/>
      <c r="Z218" s="2518"/>
      <c r="AE218" s="2461"/>
      <c r="AF218" s="68"/>
    </row>
    <row r="219" spans="1:32" x14ac:dyDescent="0.35">
      <c r="A219" s="349"/>
      <c r="B219" s="1025" t="s">
        <v>164</v>
      </c>
      <c r="C219" s="1025"/>
      <c r="D219" s="348"/>
      <c r="E219" s="838" t="s">
        <v>1965</v>
      </c>
      <c r="F219" s="1138" t="s">
        <v>827</v>
      </c>
      <c r="G219" s="1138">
        <v>5</v>
      </c>
      <c r="H219" s="1138">
        <v>6</v>
      </c>
      <c r="I219" s="502"/>
      <c r="J219" s="502"/>
      <c r="K219" s="501"/>
      <c r="L219" s="501"/>
      <c r="M219" s="501"/>
      <c r="N219" s="552"/>
      <c r="O219" s="851"/>
      <c r="P219" s="552"/>
      <c r="Q219" s="860"/>
      <c r="R219" s="873">
        <v>0.69</v>
      </c>
      <c r="S219" s="335"/>
      <c r="T219" s="333"/>
      <c r="U219" s="335"/>
      <c r="V219" s="335"/>
      <c r="W219" s="705"/>
      <c r="X219" s="335"/>
      <c r="Y219" s="705"/>
      <c r="Z219" s="336"/>
      <c r="AC219" s="3" t="s">
        <v>2570</v>
      </c>
      <c r="AE219" s="2461"/>
      <c r="AF219" s="68"/>
    </row>
    <row r="220" spans="1:32" ht="90.5" x14ac:dyDescent="0.35">
      <c r="A220" s="349">
        <v>90</v>
      </c>
      <c r="B220" s="1025" t="s">
        <v>164</v>
      </c>
      <c r="C220" s="1025"/>
      <c r="D220" s="2472" t="s">
        <v>6118</v>
      </c>
      <c r="E220" s="288" t="s">
        <v>10213</v>
      </c>
      <c r="F220" s="1138">
        <v>4</v>
      </c>
      <c r="G220" s="1138">
        <v>4</v>
      </c>
      <c r="H220" s="2424">
        <v>6</v>
      </c>
      <c r="I220" s="501">
        <f>J220+K220+L220</f>
        <v>0.56000000000000005</v>
      </c>
      <c r="J220" s="501">
        <f>SUM(M220:R220)</f>
        <v>0.56000000000000005</v>
      </c>
      <c r="K220" s="502"/>
      <c r="L220" s="502"/>
      <c r="M220" s="502"/>
      <c r="N220" s="552">
        <v>0.56000000000000005</v>
      </c>
      <c r="O220" s="853"/>
      <c r="P220" s="572"/>
      <c r="Q220" s="863"/>
      <c r="R220" s="873"/>
      <c r="S220" s="337"/>
      <c r="T220" s="332"/>
      <c r="U220" s="337"/>
      <c r="V220" s="337"/>
      <c r="W220" s="728"/>
      <c r="X220" s="337"/>
      <c r="Y220" s="728"/>
      <c r="Z220" s="2518"/>
      <c r="AB220" s="3">
        <v>1</v>
      </c>
      <c r="AE220" s="2461"/>
      <c r="AF220" s="68"/>
    </row>
    <row r="221" spans="1:32" ht="60.5" x14ac:dyDescent="0.35">
      <c r="A221" s="349">
        <v>91</v>
      </c>
      <c r="B221" s="1025" t="s">
        <v>164</v>
      </c>
      <c r="C221" s="1025"/>
      <c r="D221" s="2472" t="s">
        <v>6119</v>
      </c>
      <c r="E221" s="290" t="s">
        <v>7976</v>
      </c>
      <c r="F221" s="1138">
        <v>4</v>
      </c>
      <c r="G221" s="1138">
        <v>5</v>
      </c>
      <c r="H221" s="2424">
        <v>6</v>
      </c>
      <c r="I221" s="501">
        <f>J221+K221+L221</f>
        <v>1.05</v>
      </c>
      <c r="J221" s="501">
        <f>SUM(M221:R221)</f>
        <v>1.05</v>
      </c>
      <c r="K221" s="502"/>
      <c r="L221" s="502"/>
      <c r="M221" s="502"/>
      <c r="N221" s="552">
        <v>1.05</v>
      </c>
      <c r="O221" s="853"/>
      <c r="P221" s="572"/>
      <c r="Q221" s="863"/>
      <c r="R221" s="873"/>
      <c r="S221" s="337"/>
      <c r="T221" s="332"/>
      <c r="U221" s="337"/>
      <c r="V221" s="337"/>
      <c r="W221" s="705">
        <v>3</v>
      </c>
      <c r="X221" s="333">
        <v>30</v>
      </c>
      <c r="Y221" s="705"/>
      <c r="Z221" s="336"/>
      <c r="AB221" s="3">
        <v>1</v>
      </c>
      <c r="AE221" s="2461"/>
      <c r="AF221" s="68"/>
    </row>
    <row r="222" spans="1:32" ht="60.5" x14ac:dyDescent="0.35">
      <c r="A222" s="349">
        <v>92</v>
      </c>
      <c r="B222" s="1025" t="s">
        <v>164</v>
      </c>
      <c r="C222" s="1025"/>
      <c r="D222" s="2472" t="s">
        <v>6120</v>
      </c>
      <c r="E222" s="550" t="s">
        <v>11043</v>
      </c>
      <c r="F222" s="1138"/>
      <c r="G222" s="1138" t="s">
        <v>191</v>
      </c>
      <c r="H222" s="2424" t="s">
        <v>191</v>
      </c>
      <c r="I222" s="501">
        <f>J222+K222+L222</f>
        <v>2.9</v>
      </c>
      <c r="J222" s="501">
        <f>SUM(M222:R222)</f>
        <v>2.887</v>
      </c>
      <c r="K222" s="502"/>
      <c r="L222" s="501">
        <f>SUM(L223:L226)</f>
        <v>1.2999999999999999E-2</v>
      </c>
      <c r="M222" s="502"/>
      <c r="N222" s="501">
        <f t="shared" ref="N222" si="20">SUM(N223:N226)</f>
        <v>8.9999999999999993E-3</v>
      </c>
      <c r="O222" s="853"/>
      <c r="P222" s="1161"/>
      <c r="Q222" s="860">
        <f t="shared" ref="Q222" si="21">SUM(Q223:Q226)</f>
        <v>2.8780000000000001</v>
      </c>
      <c r="R222" s="2609"/>
      <c r="S222" s="335"/>
      <c r="T222" s="333"/>
      <c r="U222" s="335"/>
      <c r="V222" s="335"/>
      <c r="W222" s="716">
        <v>8</v>
      </c>
      <c r="X222" s="333">
        <v>75.459999999999994</v>
      </c>
      <c r="Y222" s="716">
        <v>0</v>
      </c>
      <c r="Z222" s="333">
        <v>0</v>
      </c>
      <c r="AB222" s="3">
        <v>1</v>
      </c>
      <c r="AE222" s="2461"/>
      <c r="AF222" s="68"/>
    </row>
    <row r="223" spans="1:32" ht="31" x14ac:dyDescent="0.35">
      <c r="A223" s="349"/>
      <c r="B223" s="1025"/>
      <c r="C223" s="1025"/>
      <c r="D223" s="2472"/>
      <c r="E223" s="1022" t="s">
        <v>10563</v>
      </c>
      <c r="F223" s="1138">
        <v>4</v>
      </c>
      <c r="G223" s="1138">
        <v>5</v>
      </c>
      <c r="H223" s="2424" t="s">
        <v>191</v>
      </c>
      <c r="I223" s="501"/>
      <c r="J223" s="501"/>
      <c r="K223" s="502"/>
      <c r="L223" s="502">
        <v>1.2999999999999999E-2</v>
      </c>
      <c r="M223" s="502"/>
      <c r="N223" s="572"/>
      <c r="O223" s="853"/>
      <c r="P223" s="1161"/>
      <c r="Q223" s="860"/>
      <c r="R223" s="870"/>
      <c r="S223" s="335"/>
      <c r="T223" s="333"/>
      <c r="U223" s="335"/>
      <c r="V223" s="335"/>
      <c r="W223" s="2682"/>
      <c r="X223" s="2437"/>
      <c r="Y223" s="2682"/>
      <c r="Z223" s="2684"/>
      <c r="AE223" s="2461"/>
      <c r="AF223" s="68"/>
    </row>
    <row r="224" spans="1:32" x14ac:dyDescent="0.35">
      <c r="A224" s="349"/>
      <c r="B224" s="1025"/>
      <c r="C224" s="1025"/>
      <c r="D224" s="2472"/>
      <c r="E224" s="1022" t="s">
        <v>10597</v>
      </c>
      <c r="F224" s="1138">
        <v>4</v>
      </c>
      <c r="G224" s="1138">
        <v>5</v>
      </c>
      <c r="H224" s="2424">
        <v>6</v>
      </c>
      <c r="I224" s="501"/>
      <c r="J224" s="501"/>
      <c r="K224" s="502"/>
      <c r="L224" s="502"/>
      <c r="M224" s="502"/>
      <c r="N224" s="780">
        <f>0.022-0.013</f>
        <v>8.9999999999999993E-3</v>
      </c>
      <c r="O224" s="853"/>
      <c r="P224" s="1161"/>
      <c r="Q224" s="860"/>
      <c r="R224" s="870"/>
      <c r="S224" s="335"/>
      <c r="T224" s="333"/>
      <c r="U224" s="335"/>
      <c r="V224" s="335"/>
      <c r="W224" s="2682"/>
      <c r="X224" s="2437"/>
      <c r="Y224" s="2682"/>
      <c r="Z224" s="2684"/>
      <c r="AE224" s="2461"/>
      <c r="AF224" s="68"/>
    </row>
    <row r="225" spans="1:32" x14ac:dyDescent="0.35">
      <c r="A225" s="349"/>
      <c r="B225" s="1025" t="s">
        <v>164</v>
      </c>
      <c r="C225" s="1025"/>
      <c r="D225" s="348"/>
      <c r="E225" s="837" t="s">
        <v>10598</v>
      </c>
      <c r="F225" s="1138">
        <v>4</v>
      </c>
      <c r="G225" s="1138">
        <v>5</v>
      </c>
      <c r="H225" s="2424">
        <v>6</v>
      </c>
      <c r="I225" s="502"/>
      <c r="J225" s="502"/>
      <c r="K225" s="502"/>
      <c r="L225" s="502"/>
      <c r="M225" s="502"/>
      <c r="N225" s="572"/>
      <c r="O225" s="853"/>
      <c r="P225" s="572"/>
      <c r="Q225" s="863">
        <f>1.972-0.022</f>
        <v>1.95</v>
      </c>
      <c r="R225" s="873"/>
      <c r="S225" s="337"/>
      <c r="T225" s="332"/>
      <c r="U225" s="337"/>
      <c r="V225" s="337"/>
      <c r="W225" s="728"/>
      <c r="X225" s="337"/>
      <c r="Y225" s="728"/>
      <c r="Z225" s="2518"/>
      <c r="AE225" s="2461"/>
      <c r="AF225" s="68"/>
    </row>
    <row r="226" spans="1:32" x14ac:dyDescent="0.35">
      <c r="A226" s="349"/>
      <c r="B226" s="1025" t="s">
        <v>164</v>
      </c>
      <c r="C226" s="1025"/>
      <c r="D226" s="348"/>
      <c r="E226" s="837" t="s">
        <v>10562</v>
      </c>
      <c r="F226" s="1138" t="s">
        <v>1490</v>
      </c>
      <c r="G226" s="1138">
        <v>5</v>
      </c>
      <c r="H226" s="1138">
        <v>6</v>
      </c>
      <c r="I226" s="502"/>
      <c r="J226" s="502"/>
      <c r="K226" s="502"/>
      <c r="L226" s="502"/>
      <c r="M226" s="502"/>
      <c r="N226" s="572"/>
      <c r="O226" s="853"/>
      <c r="P226" s="572"/>
      <c r="Q226" s="863">
        <f>2.9-1.972</f>
        <v>0.92799999999999994</v>
      </c>
      <c r="R226" s="873"/>
      <c r="S226" s="337"/>
      <c r="T226" s="332"/>
      <c r="U226" s="337"/>
      <c r="V226" s="337"/>
      <c r="W226" s="728"/>
      <c r="X226" s="337"/>
      <c r="Y226" s="728"/>
      <c r="Z226" s="2518"/>
      <c r="AE226" s="2461"/>
      <c r="AF226" s="68"/>
    </row>
    <row r="227" spans="1:32" ht="75.5" x14ac:dyDescent="0.35">
      <c r="A227" s="349">
        <v>93</v>
      </c>
      <c r="B227" s="1025" t="s">
        <v>164</v>
      </c>
      <c r="C227" s="1025"/>
      <c r="D227" s="2472" t="s">
        <v>6121</v>
      </c>
      <c r="E227" s="288" t="s">
        <v>9196</v>
      </c>
      <c r="F227" s="1138"/>
      <c r="G227" s="1138" t="s">
        <v>191</v>
      </c>
      <c r="H227" s="1138" t="s">
        <v>191</v>
      </c>
      <c r="I227" s="501">
        <f t="shared" ref="I227:I243" si="22">J227+K227+L227</f>
        <v>1.28</v>
      </c>
      <c r="J227" s="501">
        <f t="shared" ref="J227:J243" si="23">SUM(M227:R227)</f>
        <v>1.28</v>
      </c>
      <c r="K227" s="501"/>
      <c r="L227" s="501"/>
      <c r="M227" s="501"/>
      <c r="N227" s="552"/>
      <c r="O227" s="851"/>
      <c r="P227" s="552"/>
      <c r="Q227" s="860"/>
      <c r="R227" s="870">
        <f>SUM(R228:R229)</f>
        <v>1.28</v>
      </c>
      <c r="S227" s="335"/>
      <c r="T227" s="333"/>
      <c r="U227" s="337"/>
      <c r="V227" s="337"/>
      <c r="W227" s="705">
        <v>2</v>
      </c>
      <c r="X227" s="335">
        <v>20</v>
      </c>
      <c r="Y227" s="728"/>
      <c r="Z227" s="2518"/>
      <c r="AB227" s="3">
        <v>1</v>
      </c>
      <c r="AE227" s="2461"/>
      <c r="AF227" s="68"/>
    </row>
    <row r="228" spans="1:32" x14ac:dyDescent="0.35">
      <c r="A228" s="349"/>
      <c r="B228" s="1025" t="s">
        <v>164</v>
      </c>
      <c r="C228" s="1025"/>
      <c r="D228" s="348"/>
      <c r="E228" s="838" t="s">
        <v>2128</v>
      </c>
      <c r="F228" s="1138" t="s">
        <v>1490</v>
      </c>
      <c r="G228" s="1138">
        <v>5</v>
      </c>
      <c r="H228" s="1138">
        <v>6</v>
      </c>
      <c r="I228" s="501"/>
      <c r="J228" s="501"/>
      <c r="K228" s="501"/>
      <c r="L228" s="501"/>
      <c r="M228" s="501"/>
      <c r="N228" s="552"/>
      <c r="O228" s="851"/>
      <c r="P228" s="552"/>
      <c r="Q228" s="860"/>
      <c r="R228" s="1868">
        <v>0.52</v>
      </c>
      <c r="S228" s="335"/>
      <c r="T228" s="333"/>
      <c r="U228" s="337"/>
      <c r="V228" s="337"/>
      <c r="W228" s="728"/>
      <c r="X228" s="337"/>
      <c r="Y228" s="728"/>
      <c r="Z228" s="2518"/>
      <c r="AC228" s="3" t="s">
        <v>2570</v>
      </c>
      <c r="AE228" s="2461"/>
      <c r="AF228" s="68"/>
    </row>
    <row r="229" spans="1:32" x14ac:dyDescent="0.35">
      <c r="A229" s="349"/>
      <c r="B229" s="1025" t="s">
        <v>164</v>
      </c>
      <c r="C229" s="1025"/>
      <c r="D229" s="348"/>
      <c r="E229" s="838" t="s">
        <v>3137</v>
      </c>
      <c r="F229" s="1138" t="s">
        <v>664</v>
      </c>
      <c r="G229" s="1138">
        <v>5</v>
      </c>
      <c r="H229" s="1138">
        <v>6</v>
      </c>
      <c r="I229" s="501"/>
      <c r="J229" s="501"/>
      <c r="K229" s="501"/>
      <c r="L229" s="501"/>
      <c r="M229" s="501"/>
      <c r="N229" s="552"/>
      <c r="O229" s="851"/>
      <c r="P229" s="552"/>
      <c r="Q229" s="860"/>
      <c r="R229" s="1868">
        <f>1.28-0.52</f>
        <v>0.76</v>
      </c>
      <c r="S229" s="335"/>
      <c r="T229" s="333"/>
      <c r="U229" s="337"/>
      <c r="V229" s="337"/>
      <c r="W229" s="728"/>
      <c r="X229" s="337"/>
      <c r="Y229" s="728"/>
      <c r="Z229" s="2518"/>
      <c r="AE229" s="2461"/>
      <c r="AF229" s="68"/>
    </row>
    <row r="230" spans="1:32" ht="90.5" x14ac:dyDescent="0.35">
      <c r="A230" s="349">
        <v>94</v>
      </c>
      <c r="B230" s="1025" t="s">
        <v>164</v>
      </c>
      <c r="C230" s="405" t="s">
        <v>1656</v>
      </c>
      <c r="D230" s="2472" t="s">
        <v>6122</v>
      </c>
      <c r="E230" s="288" t="s">
        <v>9217</v>
      </c>
      <c r="F230" s="1138" t="s">
        <v>664</v>
      </c>
      <c r="G230" s="1138">
        <v>5</v>
      </c>
      <c r="H230" s="1138">
        <v>6</v>
      </c>
      <c r="I230" s="501">
        <f>J230+K230+L230</f>
        <v>0.4</v>
      </c>
      <c r="J230" s="501">
        <f>SUM(M230:R230)</f>
        <v>0.4</v>
      </c>
      <c r="K230" s="502"/>
      <c r="L230" s="502"/>
      <c r="M230" s="502"/>
      <c r="N230" s="572"/>
      <c r="O230" s="853"/>
      <c r="P230" s="572"/>
      <c r="Q230" s="863"/>
      <c r="R230" s="870">
        <v>0.4</v>
      </c>
      <c r="S230" s="337"/>
      <c r="T230" s="332"/>
      <c r="U230" s="337"/>
      <c r="V230" s="337"/>
      <c r="W230" s="728"/>
      <c r="X230" s="337"/>
      <c r="Y230" s="728"/>
      <c r="Z230" s="2518"/>
      <c r="AB230" s="3">
        <v>1</v>
      </c>
      <c r="AE230" s="2461"/>
      <c r="AF230" s="68"/>
    </row>
    <row r="231" spans="1:32" ht="60.5" x14ac:dyDescent="0.35">
      <c r="A231" s="349">
        <v>95</v>
      </c>
      <c r="B231" s="1025" t="s">
        <v>164</v>
      </c>
      <c r="C231" s="1025"/>
      <c r="D231" s="2472" t="s">
        <v>6123</v>
      </c>
      <c r="E231" s="511" t="s">
        <v>11548</v>
      </c>
      <c r="F231" s="1138"/>
      <c r="G231" s="1138" t="s">
        <v>191</v>
      </c>
      <c r="H231" s="1138" t="s">
        <v>191</v>
      </c>
      <c r="I231" s="2705">
        <f t="shared" si="22"/>
        <v>1.105</v>
      </c>
      <c r="J231" s="2705">
        <f t="shared" si="23"/>
        <v>1.093</v>
      </c>
      <c r="K231" s="500"/>
      <c r="L231" s="2705">
        <f>SUM(L232:L233)</f>
        <v>1.2E-2</v>
      </c>
      <c r="M231" s="500"/>
      <c r="N231" s="500"/>
      <c r="O231" s="500"/>
      <c r="P231" s="500"/>
      <c r="Q231" s="860">
        <f>SUM(Q232:Q233)</f>
        <v>1.093</v>
      </c>
      <c r="R231" s="2705"/>
      <c r="S231" s="335"/>
      <c r="T231" s="333"/>
      <c r="U231" s="337"/>
      <c r="V231" s="337"/>
      <c r="W231" s="728"/>
      <c r="X231" s="337"/>
      <c r="Y231" s="728"/>
      <c r="Z231" s="2518"/>
      <c r="AB231" s="3">
        <v>1</v>
      </c>
      <c r="AE231" s="2461"/>
      <c r="AF231" s="68"/>
    </row>
    <row r="232" spans="1:32" ht="31" x14ac:dyDescent="0.35">
      <c r="A232" s="349"/>
      <c r="B232" s="1025"/>
      <c r="C232" s="1025"/>
      <c r="D232" s="2472"/>
      <c r="E232" s="2910" t="s">
        <v>10546</v>
      </c>
      <c r="F232" s="1138">
        <v>5</v>
      </c>
      <c r="G232" s="1138">
        <v>5</v>
      </c>
      <c r="H232" s="1138" t="s">
        <v>191</v>
      </c>
      <c r="I232" s="2608"/>
      <c r="J232" s="2608"/>
      <c r="K232" s="831"/>
      <c r="L232" s="2608">
        <v>1.2E-2</v>
      </c>
      <c r="M232" s="831"/>
      <c r="N232" s="831"/>
      <c r="O232" s="831"/>
      <c r="P232" s="831"/>
      <c r="Q232" s="1859"/>
      <c r="R232" s="2608"/>
      <c r="S232" s="1138"/>
      <c r="T232" s="2074"/>
      <c r="U232" s="1138"/>
      <c r="V232" s="1138"/>
      <c r="W232" s="1944"/>
      <c r="X232" s="1138"/>
      <c r="Y232" s="1944"/>
      <c r="Z232" s="70"/>
      <c r="AE232" s="2461"/>
      <c r="AF232" s="68"/>
    </row>
    <row r="233" spans="1:32" x14ac:dyDescent="0.35">
      <c r="A233" s="349"/>
      <c r="B233" s="1025"/>
      <c r="C233" s="1025"/>
      <c r="D233" s="2472"/>
      <c r="E233" s="1216" t="s">
        <v>11549</v>
      </c>
      <c r="F233" s="1138">
        <v>5</v>
      </c>
      <c r="G233" s="1138">
        <v>5</v>
      </c>
      <c r="H233" s="1138">
        <v>6</v>
      </c>
      <c r="I233" s="2608"/>
      <c r="J233" s="2608"/>
      <c r="K233" s="831"/>
      <c r="L233" s="831"/>
      <c r="M233" s="831"/>
      <c r="N233" s="831"/>
      <c r="O233" s="831"/>
      <c r="P233" s="831"/>
      <c r="Q233" s="1859">
        <f>1.105-0.012</f>
        <v>1.093</v>
      </c>
      <c r="R233" s="2608"/>
      <c r="S233" s="1138"/>
      <c r="T233" s="2074"/>
      <c r="U233" s="1138"/>
      <c r="V233" s="1138"/>
      <c r="W233" s="1944"/>
      <c r="X233" s="1138"/>
      <c r="Y233" s="1944"/>
      <c r="Z233" s="70"/>
      <c r="AE233" s="2461"/>
      <c r="AF233" s="68"/>
    </row>
    <row r="234" spans="1:32" ht="60.5" x14ac:dyDescent="0.35">
      <c r="A234" s="349">
        <v>96</v>
      </c>
      <c r="B234" s="1025" t="s">
        <v>164</v>
      </c>
      <c r="C234" s="1025"/>
      <c r="D234" s="2472" t="s">
        <v>6124</v>
      </c>
      <c r="E234" s="290" t="s">
        <v>11550</v>
      </c>
      <c r="F234" s="1138"/>
      <c r="G234" s="1138" t="s">
        <v>191</v>
      </c>
      <c r="H234" s="1138" t="s">
        <v>191</v>
      </c>
      <c r="I234" s="2705">
        <f t="shared" si="22"/>
        <v>2.5070000000000001</v>
      </c>
      <c r="J234" s="2705">
        <f t="shared" si="23"/>
        <v>2.4950000000000001</v>
      </c>
      <c r="K234" s="502"/>
      <c r="L234" s="2705">
        <f>SUM(L235:L237)</f>
        <v>1.2E-2</v>
      </c>
      <c r="M234" s="502"/>
      <c r="N234" s="2705">
        <f>SUM(N235:N237)</f>
        <v>7.5999999999999998E-2</v>
      </c>
      <c r="O234" s="853"/>
      <c r="P234" s="572"/>
      <c r="Q234" s="1856">
        <f>SUM(Q235:Q237)</f>
        <v>2.419</v>
      </c>
      <c r="R234" s="2609"/>
      <c r="S234" s="337"/>
      <c r="T234" s="332"/>
      <c r="U234" s="337"/>
      <c r="V234" s="337"/>
      <c r="W234" s="705">
        <v>1</v>
      </c>
      <c r="X234" s="2437">
        <v>10</v>
      </c>
      <c r="Y234" s="728"/>
      <c r="Z234" s="2518"/>
      <c r="AB234" s="3">
        <v>1</v>
      </c>
      <c r="AC234" s="3" t="s">
        <v>11044</v>
      </c>
      <c r="AE234" s="2461"/>
      <c r="AF234" s="68"/>
    </row>
    <row r="235" spans="1:32" ht="31" x14ac:dyDescent="0.35">
      <c r="A235" s="349"/>
      <c r="B235" s="1025"/>
      <c r="C235" s="1025"/>
      <c r="D235" s="2472"/>
      <c r="E235" s="2910" t="s">
        <v>10546</v>
      </c>
      <c r="F235" s="2687" t="s">
        <v>827</v>
      </c>
      <c r="G235" s="2687">
        <v>5</v>
      </c>
      <c r="H235" s="2687" t="s">
        <v>191</v>
      </c>
      <c r="I235" s="501"/>
      <c r="J235" s="501"/>
      <c r="K235" s="502"/>
      <c r="L235" s="2608">
        <v>1.2E-2</v>
      </c>
      <c r="M235" s="502"/>
      <c r="N235" s="572"/>
      <c r="O235" s="853"/>
      <c r="P235" s="572"/>
      <c r="Q235" s="1856"/>
      <c r="R235" s="2609"/>
      <c r="S235" s="337"/>
      <c r="T235" s="332"/>
      <c r="U235" s="337"/>
      <c r="V235" s="337"/>
      <c r="W235" s="705"/>
      <c r="X235" s="333"/>
      <c r="Y235" s="728"/>
      <c r="Z235" s="2518"/>
      <c r="AE235" s="2461"/>
      <c r="AF235" s="68"/>
    </row>
    <row r="236" spans="1:32" x14ac:dyDescent="0.35">
      <c r="A236" s="349"/>
      <c r="B236" s="1025"/>
      <c r="C236" s="1025"/>
      <c r="D236" s="2472"/>
      <c r="E236" s="2864" t="s">
        <v>11551</v>
      </c>
      <c r="F236" s="2687" t="s">
        <v>827</v>
      </c>
      <c r="G236" s="2687">
        <v>5</v>
      </c>
      <c r="H236" s="2687">
        <v>6</v>
      </c>
      <c r="I236" s="501"/>
      <c r="J236" s="501"/>
      <c r="K236" s="502"/>
      <c r="L236" s="2608"/>
      <c r="M236" s="502"/>
      <c r="N236" s="2867">
        <f>0.088-0.012</f>
        <v>7.5999999999999998E-2</v>
      </c>
      <c r="O236" s="853"/>
      <c r="P236" s="572"/>
      <c r="Q236" s="1856"/>
      <c r="R236" s="2609"/>
      <c r="S236" s="337"/>
      <c r="T236" s="332"/>
      <c r="U236" s="337"/>
      <c r="V236" s="337"/>
      <c r="W236" s="705"/>
      <c r="X236" s="333"/>
      <c r="Y236" s="728"/>
      <c r="Z236" s="2518"/>
      <c r="AE236" s="2461"/>
      <c r="AF236" s="68"/>
    </row>
    <row r="237" spans="1:32" x14ac:dyDescent="0.35">
      <c r="A237" s="349"/>
      <c r="B237" s="1025"/>
      <c r="C237" s="1025"/>
      <c r="D237" s="2472"/>
      <c r="E237" s="1216" t="s">
        <v>11603</v>
      </c>
      <c r="F237" s="1138" t="s">
        <v>827</v>
      </c>
      <c r="G237" s="1138">
        <v>5</v>
      </c>
      <c r="H237" s="1138">
        <v>6</v>
      </c>
      <c r="I237" s="501"/>
      <c r="J237" s="501"/>
      <c r="K237" s="502"/>
      <c r="L237" s="502"/>
      <c r="M237" s="502"/>
      <c r="N237" s="572"/>
      <c r="O237" s="853"/>
      <c r="P237" s="572"/>
      <c r="Q237" s="1856">
        <f>2.507-0.088</f>
        <v>2.419</v>
      </c>
      <c r="R237" s="2609"/>
      <c r="S237" s="337"/>
      <c r="T237" s="332"/>
      <c r="U237" s="337"/>
      <c r="V237" s="337"/>
      <c r="W237" s="705"/>
      <c r="X237" s="333"/>
      <c r="Y237" s="728"/>
      <c r="Z237" s="2518"/>
      <c r="AE237" s="2461"/>
      <c r="AF237" s="68"/>
    </row>
    <row r="238" spans="1:32" ht="90.5" x14ac:dyDescent="0.35">
      <c r="A238" s="349">
        <v>97</v>
      </c>
      <c r="B238" s="1025" t="s">
        <v>164</v>
      </c>
      <c r="C238" s="405" t="s">
        <v>1656</v>
      </c>
      <c r="D238" s="2472" t="s">
        <v>6125</v>
      </c>
      <c r="E238" s="288" t="s">
        <v>8942</v>
      </c>
      <c r="F238" s="1138" t="s">
        <v>664</v>
      </c>
      <c r="G238" s="1138">
        <v>5</v>
      </c>
      <c r="H238" s="1138">
        <v>6</v>
      </c>
      <c r="I238" s="501">
        <f>J238+K238+L238</f>
        <v>1.1000000000000001</v>
      </c>
      <c r="J238" s="501">
        <f>SUM(M238:R238)</f>
        <v>1.1000000000000001</v>
      </c>
      <c r="K238" s="502"/>
      <c r="L238" s="502"/>
      <c r="M238" s="502"/>
      <c r="N238" s="572"/>
      <c r="O238" s="853"/>
      <c r="P238" s="572"/>
      <c r="Q238" s="863"/>
      <c r="R238" s="870">
        <v>1.1000000000000001</v>
      </c>
      <c r="S238" s="337"/>
      <c r="T238" s="332"/>
      <c r="U238" s="337"/>
      <c r="V238" s="337"/>
      <c r="W238" s="728"/>
      <c r="X238" s="337"/>
      <c r="Y238" s="728"/>
      <c r="Z238" s="2518"/>
      <c r="AB238" s="3">
        <v>1</v>
      </c>
      <c r="AE238" s="2461"/>
      <c r="AF238" s="68"/>
    </row>
    <row r="239" spans="1:32" ht="75.5" x14ac:dyDescent="0.35">
      <c r="A239" s="349">
        <v>98</v>
      </c>
      <c r="B239" s="1025" t="s">
        <v>164</v>
      </c>
      <c r="C239" s="405" t="s">
        <v>1656</v>
      </c>
      <c r="D239" s="2472" t="s">
        <v>6126</v>
      </c>
      <c r="E239" s="288" t="s">
        <v>9291</v>
      </c>
      <c r="F239" s="1138" t="s">
        <v>664</v>
      </c>
      <c r="G239" s="1138">
        <v>5</v>
      </c>
      <c r="H239" s="1138">
        <v>6</v>
      </c>
      <c r="I239" s="501">
        <f t="shared" si="22"/>
        <v>0.3</v>
      </c>
      <c r="J239" s="501">
        <f t="shared" si="23"/>
        <v>0.3</v>
      </c>
      <c r="K239" s="502"/>
      <c r="L239" s="502"/>
      <c r="M239" s="502"/>
      <c r="N239" s="572"/>
      <c r="O239" s="853"/>
      <c r="P239" s="572"/>
      <c r="Q239" s="863"/>
      <c r="R239" s="870">
        <v>0.3</v>
      </c>
      <c r="S239" s="337"/>
      <c r="T239" s="332"/>
      <c r="U239" s="337"/>
      <c r="V239" s="337"/>
      <c r="W239" s="728"/>
      <c r="X239" s="337"/>
      <c r="Y239" s="728"/>
      <c r="Z239" s="2518"/>
      <c r="AB239" s="3">
        <v>1</v>
      </c>
      <c r="AE239" s="2461"/>
      <c r="AF239" s="68"/>
    </row>
    <row r="240" spans="1:32" ht="60.5" x14ac:dyDescent="0.35">
      <c r="A240" s="349">
        <v>99</v>
      </c>
      <c r="B240" s="1025" t="s">
        <v>164</v>
      </c>
      <c r="C240" s="405" t="s">
        <v>1656</v>
      </c>
      <c r="D240" s="2472" t="s">
        <v>6127</v>
      </c>
      <c r="E240" s="511" t="s">
        <v>9292</v>
      </c>
      <c r="F240" s="1138" t="s">
        <v>664</v>
      </c>
      <c r="G240" s="1138">
        <v>5</v>
      </c>
      <c r="H240" s="1138">
        <v>6</v>
      </c>
      <c r="I240" s="501">
        <f t="shared" si="22"/>
        <v>0.3</v>
      </c>
      <c r="J240" s="501">
        <f t="shared" si="23"/>
        <v>0.3</v>
      </c>
      <c r="K240" s="502"/>
      <c r="L240" s="502"/>
      <c r="M240" s="502"/>
      <c r="N240" s="572"/>
      <c r="O240" s="853"/>
      <c r="P240" s="572"/>
      <c r="Q240" s="863"/>
      <c r="R240" s="870">
        <v>0.3</v>
      </c>
      <c r="S240" s="337"/>
      <c r="T240" s="332"/>
      <c r="U240" s="337"/>
      <c r="V240" s="337"/>
      <c r="W240" s="728"/>
      <c r="X240" s="337"/>
      <c r="Y240" s="728"/>
      <c r="Z240" s="2518"/>
      <c r="AB240" s="3">
        <v>1</v>
      </c>
      <c r="AE240" s="2461"/>
      <c r="AF240" s="68"/>
    </row>
    <row r="241" spans="1:32" ht="75.5" x14ac:dyDescent="0.35">
      <c r="A241" s="349">
        <v>100</v>
      </c>
      <c r="B241" s="1025" t="s">
        <v>164</v>
      </c>
      <c r="C241" s="1025"/>
      <c r="D241" s="2472" t="s">
        <v>6128</v>
      </c>
      <c r="E241" s="511" t="s">
        <v>9329</v>
      </c>
      <c r="F241" s="1138" t="s">
        <v>664</v>
      </c>
      <c r="G241" s="1138">
        <v>5</v>
      </c>
      <c r="H241" s="2424">
        <v>6</v>
      </c>
      <c r="I241" s="501">
        <f t="shared" si="22"/>
        <v>0.1</v>
      </c>
      <c r="J241" s="501">
        <f t="shared" si="23"/>
        <v>0.1</v>
      </c>
      <c r="K241" s="502"/>
      <c r="L241" s="502"/>
      <c r="M241" s="502"/>
      <c r="N241" s="501">
        <v>0.1</v>
      </c>
      <c r="O241" s="853"/>
      <c r="P241" s="572"/>
      <c r="Q241" s="863"/>
      <c r="R241" s="870"/>
      <c r="S241" s="337"/>
      <c r="T241" s="332"/>
      <c r="U241" s="337"/>
      <c r="V241" s="337"/>
      <c r="W241" s="728"/>
      <c r="X241" s="337"/>
      <c r="Y241" s="728"/>
      <c r="Z241" s="2518"/>
      <c r="AB241" s="3">
        <v>1</v>
      </c>
      <c r="AE241" s="2461"/>
      <c r="AF241" s="68"/>
    </row>
    <row r="242" spans="1:32" ht="30.5" x14ac:dyDescent="0.35">
      <c r="A242" s="349"/>
      <c r="B242" s="1025" t="s">
        <v>1823</v>
      </c>
      <c r="C242" s="1025"/>
      <c r="D242" s="348"/>
      <c r="E242" s="1582" t="s">
        <v>849</v>
      </c>
      <c r="F242" s="1138"/>
      <c r="G242" s="1138"/>
      <c r="H242" s="1138"/>
      <c r="I242" s="501"/>
      <c r="J242" s="501"/>
      <c r="K242" s="502"/>
      <c r="L242" s="502"/>
      <c r="M242" s="502"/>
      <c r="N242" s="572"/>
      <c r="O242" s="853"/>
      <c r="P242" s="572"/>
      <c r="Q242" s="863"/>
      <c r="R242" s="870"/>
      <c r="S242" s="337"/>
      <c r="T242" s="332"/>
      <c r="U242" s="337"/>
      <c r="V242" s="337"/>
      <c r="W242" s="728"/>
      <c r="X242" s="337"/>
      <c r="Y242" s="728"/>
      <c r="Z242" s="2518"/>
      <c r="AE242" s="2461"/>
      <c r="AF242" s="68"/>
    </row>
    <row r="243" spans="1:32" ht="30.5" x14ac:dyDescent="0.35">
      <c r="A243" s="349">
        <v>101</v>
      </c>
      <c r="B243" s="1025" t="s">
        <v>1823</v>
      </c>
      <c r="C243" s="1025"/>
      <c r="D243" s="2472" t="s">
        <v>6129</v>
      </c>
      <c r="E243" s="290" t="s">
        <v>7977</v>
      </c>
      <c r="F243" s="2573"/>
      <c r="G243" s="1138" t="s">
        <v>191</v>
      </c>
      <c r="H243" s="2424" t="s">
        <v>191</v>
      </c>
      <c r="I243" s="501">
        <f t="shared" si="22"/>
        <v>4.3600000000000003</v>
      </c>
      <c r="J243" s="501">
        <f t="shared" si="23"/>
        <v>4.3600000000000003</v>
      </c>
      <c r="K243" s="502"/>
      <c r="L243" s="502"/>
      <c r="M243" s="502"/>
      <c r="N243" s="1799">
        <f>SUM(N244:N246)</f>
        <v>1.65</v>
      </c>
      <c r="O243" s="851"/>
      <c r="P243" s="780"/>
      <c r="Q243" s="863"/>
      <c r="R243" s="870">
        <f>SUM(R244:R246)</f>
        <v>2.7100000000000004</v>
      </c>
      <c r="S243" s="337"/>
      <c r="T243" s="332"/>
      <c r="U243" s="337"/>
      <c r="V243" s="337"/>
      <c r="W243" s="705">
        <v>4</v>
      </c>
      <c r="X243" s="333">
        <v>50.73</v>
      </c>
      <c r="Y243" s="728"/>
      <c r="Z243" s="2518"/>
      <c r="AB243" s="3">
        <v>1</v>
      </c>
      <c r="AE243" s="2461"/>
      <c r="AF243" s="68"/>
    </row>
    <row r="244" spans="1:32" x14ac:dyDescent="0.35">
      <c r="A244" s="349"/>
      <c r="B244" s="1025" t="s">
        <v>1823</v>
      </c>
      <c r="C244" s="1025"/>
      <c r="D244" s="348"/>
      <c r="E244" s="534" t="s">
        <v>2932</v>
      </c>
      <c r="F244" s="1138">
        <v>5</v>
      </c>
      <c r="G244" s="1138">
        <v>5</v>
      </c>
      <c r="H244" s="2424">
        <v>6</v>
      </c>
      <c r="I244" s="502"/>
      <c r="J244" s="502"/>
      <c r="K244" s="502"/>
      <c r="L244" s="502"/>
      <c r="M244" s="502"/>
      <c r="N244" s="572">
        <v>1.65</v>
      </c>
      <c r="O244" s="853"/>
      <c r="P244" s="780"/>
      <c r="Q244" s="863"/>
      <c r="R244" s="873"/>
      <c r="S244" s="337"/>
      <c r="T244" s="332"/>
      <c r="U244" s="337"/>
      <c r="V244" s="337"/>
      <c r="W244" s="728"/>
      <c r="X244" s="337"/>
      <c r="Y244" s="728"/>
      <c r="Z244" s="2518"/>
      <c r="AE244" s="2461"/>
      <c r="AF244" s="68"/>
    </row>
    <row r="245" spans="1:32" x14ac:dyDescent="0.35">
      <c r="A245" s="349"/>
      <c r="B245" s="1025" t="s">
        <v>1823</v>
      </c>
      <c r="C245" s="1025"/>
      <c r="D245" s="348"/>
      <c r="E245" s="838" t="s">
        <v>1913</v>
      </c>
      <c r="F245" s="1138" t="s">
        <v>827</v>
      </c>
      <c r="G245" s="1138">
        <v>5</v>
      </c>
      <c r="H245" s="1138">
        <v>6</v>
      </c>
      <c r="I245" s="502"/>
      <c r="J245" s="502"/>
      <c r="K245" s="502"/>
      <c r="L245" s="502"/>
      <c r="M245" s="502"/>
      <c r="N245" s="572"/>
      <c r="O245" s="853"/>
      <c r="P245" s="780"/>
      <c r="Q245" s="863"/>
      <c r="R245" s="873">
        <f>4-1.65</f>
        <v>2.35</v>
      </c>
      <c r="S245" s="337"/>
      <c r="T245" s="332"/>
      <c r="U245" s="337"/>
      <c r="V245" s="337"/>
      <c r="W245" s="728"/>
      <c r="X245" s="337"/>
      <c r="Y245" s="728"/>
      <c r="Z245" s="2518"/>
      <c r="AE245" s="2461"/>
      <c r="AF245" s="68"/>
    </row>
    <row r="246" spans="1:32" x14ac:dyDescent="0.35">
      <c r="A246" s="349"/>
      <c r="B246" s="1025" t="s">
        <v>1823</v>
      </c>
      <c r="C246" s="1025"/>
      <c r="D246" s="348"/>
      <c r="E246" s="838" t="s">
        <v>1914</v>
      </c>
      <c r="F246" s="1138" t="s">
        <v>827</v>
      </c>
      <c r="G246" s="1138">
        <v>5</v>
      </c>
      <c r="H246" s="1138">
        <v>6</v>
      </c>
      <c r="I246" s="502"/>
      <c r="J246" s="502"/>
      <c r="K246" s="502"/>
      <c r="L246" s="502"/>
      <c r="M246" s="502"/>
      <c r="N246" s="572"/>
      <c r="O246" s="853"/>
      <c r="P246" s="572"/>
      <c r="Q246" s="863"/>
      <c r="R246" s="873">
        <f>4.36-4</f>
        <v>0.36000000000000032</v>
      </c>
      <c r="S246" s="337"/>
      <c r="T246" s="332"/>
      <c r="U246" s="337"/>
      <c r="V246" s="337"/>
      <c r="W246" s="728"/>
      <c r="X246" s="337"/>
      <c r="Y246" s="728"/>
      <c r="Z246" s="2518"/>
      <c r="AE246" s="2461"/>
      <c r="AF246" s="68"/>
    </row>
    <row r="247" spans="1:32" ht="30.5" x14ac:dyDescent="0.35">
      <c r="A247" s="349">
        <v>102</v>
      </c>
      <c r="B247" s="1025" t="s">
        <v>1823</v>
      </c>
      <c r="C247" s="1025"/>
      <c r="D247" s="2472" t="s">
        <v>6130</v>
      </c>
      <c r="E247" s="290" t="s">
        <v>7978</v>
      </c>
      <c r="F247" s="1138"/>
      <c r="G247" s="1138" t="s">
        <v>191</v>
      </c>
      <c r="H247" s="1138" t="s">
        <v>191</v>
      </c>
      <c r="I247" s="501">
        <f t="shared" ref="I247:I257" si="24">J247+K247+L247</f>
        <v>2.8</v>
      </c>
      <c r="J247" s="501">
        <f t="shared" ref="J247:J257" si="25">SUM(M247:R247)</f>
        <v>2.8</v>
      </c>
      <c r="K247" s="502"/>
      <c r="L247" s="502"/>
      <c r="M247" s="502"/>
      <c r="N247" s="572"/>
      <c r="O247" s="853"/>
      <c r="P247" s="572"/>
      <c r="Q247" s="863"/>
      <c r="R247" s="870">
        <f>SUM(R248:R249)</f>
        <v>2.8</v>
      </c>
      <c r="S247" s="337"/>
      <c r="T247" s="332"/>
      <c r="U247" s="337"/>
      <c r="V247" s="337"/>
      <c r="W247" s="705">
        <v>5</v>
      </c>
      <c r="X247" s="335">
        <v>50.75</v>
      </c>
      <c r="Y247" s="728"/>
      <c r="Z247" s="2518"/>
      <c r="AB247" s="3">
        <v>1</v>
      </c>
      <c r="AE247" s="2461"/>
      <c r="AF247" s="68"/>
    </row>
    <row r="248" spans="1:32" x14ac:dyDescent="0.35">
      <c r="A248" s="349"/>
      <c r="B248" s="1025" t="s">
        <v>1823</v>
      </c>
      <c r="C248" s="1025"/>
      <c r="D248" s="348"/>
      <c r="E248" s="838" t="s">
        <v>3437</v>
      </c>
      <c r="F248" s="1138" t="s">
        <v>827</v>
      </c>
      <c r="G248" s="1138">
        <v>5</v>
      </c>
      <c r="H248" s="1138">
        <v>6</v>
      </c>
      <c r="I248" s="501"/>
      <c r="J248" s="501"/>
      <c r="K248" s="502"/>
      <c r="L248" s="502"/>
      <c r="M248" s="502"/>
      <c r="N248" s="572"/>
      <c r="O248" s="853"/>
      <c r="P248" s="572"/>
      <c r="Q248" s="863"/>
      <c r="R248" s="1868">
        <v>1.8</v>
      </c>
      <c r="S248" s="337"/>
      <c r="T248" s="332"/>
      <c r="U248" s="337"/>
      <c r="V248" s="337"/>
      <c r="W248" s="728"/>
      <c r="X248" s="337"/>
      <c r="Y248" s="728"/>
      <c r="Z248" s="2518"/>
      <c r="AE248" s="2461"/>
      <c r="AF248" s="68"/>
    </row>
    <row r="249" spans="1:32" x14ac:dyDescent="0.35">
      <c r="A249" s="349"/>
      <c r="B249" s="1025" t="s">
        <v>1823</v>
      </c>
      <c r="C249" s="1025"/>
      <c r="D249" s="348"/>
      <c r="E249" s="838" t="s">
        <v>158</v>
      </c>
      <c r="F249" s="1138" t="s">
        <v>1490</v>
      </c>
      <c r="G249" s="1138">
        <v>5</v>
      </c>
      <c r="H249" s="1138">
        <v>6</v>
      </c>
      <c r="I249" s="501"/>
      <c r="J249" s="501"/>
      <c r="K249" s="502"/>
      <c r="L249" s="502"/>
      <c r="M249" s="502"/>
      <c r="N249" s="572"/>
      <c r="O249" s="853"/>
      <c r="P249" s="572"/>
      <c r="Q249" s="863"/>
      <c r="R249" s="1868">
        <v>1</v>
      </c>
      <c r="S249" s="337"/>
      <c r="T249" s="332"/>
      <c r="U249" s="337"/>
      <c r="V249" s="337"/>
      <c r="W249" s="728"/>
      <c r="X249" s="337"/>
      <c r="Y249" s="728"/>
      <c r="Z249" s="2518"/>
      <c r="AE249" s="2461"/>
      <c r="AF249" s="68"/>
    </row>
    <row r="250" spans="1:32" ht="45.5" x14ac:dyDescent="0.35">
      <c r="A250" s="349">
        <v>103</v>
      </c>
      <c r="B250" s="1025" t="s">
        <v>1823</v>
      </c>
      <c r="C250" s="405" t="s">
        <v>1656</v>
      </c>
      <c r="D250" s="2472" t="s">
        <v>6131</v>
      </c>
      <c r="E250" s="288" t="s">
        <v>8943</v>
      </c>
      <c r="F250" s="1138" t="s">
        <v>664</v>
      </c>
      <c r="G250" s="1138">
        <v>5</v>
      </c>
      <c r="H250" s="1138">
        <v>6</v>
      </c>
      <c r="I250" s="501">
        <f>J250+K250+L250</f>
        <v>0.4</v>
      </c>
      <c r="J250" s="501">
        <f>SUM(M250:R250)</f>
        <v>0.4</v>
      </c>
      <c r="K250" s="502"/>
      <c r="L250" s="502"/>
      <c r="M250" s="502"/>
      <c r="N250" s="572"/>
      <c r="O250" s="853"/>
      <c r="P250" s="572"/>
      <c r="Q250" s="863"/>
      <c r="R250" s="870">
        <v>0.4</v>
      </c>
      <c r="S250" s="337"/>
      <c r="T250" s="332"/>
      <c r="U250" s="337"/>
      <c r="V250" s="337"/>
      <c r="W250" s="728"/>
      <c r="X250" s="337"/>
      <c r="Y250" s="728"/>
      <c r="Z250" s="2518"/>
      <c r="AB250" s="3">
        <v>1</v>
      </c>
      <c r="AE250" s="2461"/>
      <c r="AF250" s="68"/>
    </row>
    <row r="251" spans="1:32" ht="30.5" x14ac:dyDescent="0.35">
      <c r="A251" s="349">
        <v>104</v>
      </c>
      <c r="B251" s="1025" t="s">
        <v>1823</v>
      </c>
      <c r="C251" s="1025"/>
      <c r="D251" s="2472" t="s">
        <v>6132</v>
      </c>
      <c r="E251" s="288" t="s">
        <v>7979</v>
      </c>
      <c r="F251" s="1138">
        <v>4</v>
      </c>
      <c r="G251" s="1138">
        <v>5</v>
      </c>
      <c r="H251" s="2424">
        <v>6</v>
      </c>
      <c r="I251" s="501">
        <f t="shared" si="24"/>
        <v>0.33</v>
      </c>
      <c r="J251" s="501">
        <f t="shared" si="25"/>
        <v>0.33</v>
      </c>
      <c r="K251" s="501"/>
      <c r="L251" s="501"/>
      <c r="M251" s="501"/>
      <c r="N251" s="552">
        <v>0.33</v>
      </c>
      <c r="O251" s="851"/>
      <c r="P251" s="552"/>
      <c r="Q251" s="860"/>
      <c r="R251" s="870"/>
      <c r="S251" s="335"/>
      <c r="T251" s="333"/>
      <c r="U251" s="335"/>
      <c r="V251" s="335"/>
      <c r="W251" s="705">
        <v>1</v>
      </c>
      <c r="X251" s="333">
        <v>10.9</v>
      </c>
      <c r="Y251" s="705"/>
      <c r="Z251" s="336"/>
      <c r="AB251" s="3">
        <v>1</v>
      </c>
      <c r="AE251" s="2461"/>
      <c r="AF251" s="68"/>
    </row>
    <row r="252" spans="1:32" ht="45.5" x14ac:dyDescent="0.35">
      <c r="A252" s="349">
        <v>105</v>
      </c>
      <c r="B252" s="1025" t="s">
        <v>1823</v>
      </c>
      <c r="C252" s="1025"/>
      <c r="D252" s="2472" t="s">
        <v>6133</v>
      </c>
      <c r="E252" s="290" t="s">
        <v>7980</v>
      </c>
      <c r="F252" s="1138" t="s">
        <v>1490</v>
      </c>
      <c r="G252" s="1138">
        <v>5</v>
      </c>
      <c r="H252" s="2424">
        <v>6</v>
      </c>
      <c r="I252" s="501">
        <f t="shared" si="24"/>
        <v>0.35</v>
      </c>
      <c r="J252" s="501">
        <f t="shared" si="25"/>
        <v>0.35</v>
      </c>
      <c r="K252" s="502"/>
      <c r="L252" s="502"/>
      <c r="M252" s="502"/>
      <c r="N252" s="501">
        <v>0.35</v>
      </c>
      <c r="O252" s="853"/>
      <c r="P252" s="572"/>
      <c r="Q252" s="863"/>
      <c r="R252" s="870"/>
      <c r="S252" s="337"/>
      <c r="T252" s="332"/>
      <c r="U252" s="337"/>
      <c r="V252" s="337"/>
      <c r="W252" s="728"/>
      <c r="X252" s="337"/>
      <c r="Y252" s="728"/>
      <c r="Z252" s="2518"/>
      <c r="AB252" s="3">
        <v>1</v>
      </c>
      <c r="AE252" s="2461"/>
      <c r="AF252" s="68"/>
    </row>
    <row r="253" spans="1:32" ht="30.5" x14ac:dyDescent="0.35">
      <c r="A253" s="349">
        <v>106</v>
      </c>
      <c r="B253" s="1025" t="s">
        <v>1823</v>
      </c>
      <c r="C253" s="405" t="s">
        <v>1656</v>
      </c>
      <c r="D253" s="2472" t="s">
        <v>6134</v>
      </c>
      <c r="E253" s="288" t="s">
        <v>10214</v>
      </c>
      <c r="F253" s="1138" t="s">
        <v>664</v>
      </c>
      <c r="G253" s="1138">
        <v>5</v>
      </c>
      <c r="H253" s="1138">
        <v>6</v>
      </c>
      <c r="I253" s="501">
        <f t="shared" si="24"/>
        <v>0.8</v>
      </c>
      <c r="J253" s="501">
        <f t="shared" si="25"/>
        <v>0.8</v>
      </c>
      <c r="K253" s="502"/>
      <c r="L253" s="502"/>
      <c r="M253" s="502"/>
      <c r="N253" s="572"/>
      <c r="O253" s="853"/>
      <c r="P253" s="572"/>
      <c r="Q253" s="863"/>
      <c r="R253" s="870">
        <v>0.8</v>
      </c>
      <c r="S253" s="337"/>
      <c r="T253" s="332"/>
      <c r="U253" s="337"/>
      <c r="V253" s="337"/>
      <c r="W253" s="728"/>
      <c r="X253" s="337"/>
      <c r="Y253" s="728"/>
      <c r="Z253" s="2518"/>
      <c r="AB253" s="3">
        <v>1</v>
      </c>
      <c r="AE253" s="2461"/>
      <c r="AF253" s="68"/>
    </row>
    <row r="254" spans="1:32" ht="30.5" x14ac:dyDescent="0.35">
      <c r="A254" s="349">
        <v>107</v>
      </c>
      <c r="B254" s="1025" t="s">
        <v>1823</v>
      </c>
      <c r="C254" s="405" t="s">
        <v>1656</v>
      </c>
      <c r="D254" s="2472" t="s">
        <v>6135</v>
      </c>
      <c r="E254" s="288" t="s">
        <v>8944</v>
      </c>
      <c r="F254" s="1138" t="s">
        <v>664</v>
      </c>
      <c r="G254" s="1138">
        <v>5</v>
      </c>
      <c r="H254" s="1138">
        <v>6</v>
      </c>
      <c r="I254" s="501">
        <f t="shared" si="24"/>
        <v>0.05</v>
      </c>
      <c r="J254" s="501">
        <f t="shared" si="25"/>
        <v>0.05</v>
      </c>
      <c r="K254" s="502"/>
      <c r="L254" s="502"/>
      <c r="M254" s="502"/>
      <c r="N254" s="572"/>
      <c r="O254" s="853"/>
      <c r="P254" s="572"/>
      <c r="Q254" s="863"/>
      <c r="R254" s="870">
        <v>0.05</v>
      </c>
      <c r="S254" s="337"/>
      <c r="T254" s="332"/>
      <c r="U254" s="337"/>
      <c r="V254" s="337"/>
      <c r="W254" s="728"/>
      <c r="X254" s="337"/>
      <c r="Y254" s="728"/>
      <c r="Z254" s="2518"/>
      <c r="AB254" s="3">
        <v>1</v>
      </c>
      <c r="AE254" s="2461"/>
      <c r="AF254" s="68"/>
    </row>
    <row r="255" spans="1:32" ht="45.5" x14ac:dyDescent="0.35">
      <c r="A255" s="349">
        <v>108</v>
      </c>
      <c r="B255" s="1025" t="s">
        <v>1823</v>
      </c>
      <c r="C255" s="1025"/>
      <c r="D255" s="2472" t="s">
        <v>6136</v>
      </c>
      <c r="E255" s="511" t="s">
        <v>9330</v>
      </c>
      <c r="F255" s="1138" t="s">
        <v>664</v>
      </c>
      <c r="G255" s="1138">
        <v>5</v>
      </c>
      <c r="H255" s="2424">
        <v>6</v>
      </c>
      <c r="I255" s="501">
        <f t="shared" si="24"/>
        <v>0.05</v>
      </c>
      <c r="J255" s="501">
        <f t="shared" si="25"/>
        <v>0.05</v>
      </c>
      <c r="K255" s="502"/>
      <c r="L255" s="502"/>
      <c r="M255" s="502"/>
      <c r="N255" s="501">
        <v>0.05</v>
      </c>
      <c r="O255" s="853"/>
      <c r="P255" s="572"/>
      <c r="Q255" s="863"/>
      <c r="R255" s="870"/>
      <c r="S255" s="337"/>
      <c r="T255" s="332"/>
      <c r="U255" s="337"/>
      <c r="V255" s="337"/>
      <c r="W255" s="728"/>
      <c r="X255" s="337"/>
      <c r="Y255" s="728"/>
      <c r="Z255" s="2518"/>
      <c r="AB255" s="3">
        <v>1</v>
      </c>
      <c r="AE255" s="2461"/>
      <c r="AF255" s="68"/>
    </row>
    <row r="256" spans="1:32" ht="30.5" x14ac:dyDescent="0.35">
      <c r="A256" s="351"/>
      <c r="B256" s="1065" t="s">
        <v>2165</v>
      </c>
      <c r="C256" s="1065"/>
      <c r="D256" s="352"/>
      <c r="E256" s="1582" t="s">
        <v>3166</v>
      </c>
      <c r="F256" s="2425"/>
      <c r="G256" s="2425"/>
      <c r="H256" s="2425"/>
      <c r="I256" s="501"/>
      <c r="J256" s="501"/>
      <c r="K256" s="782"/>
      <c r="L256" s="782"/>
      <c r="M256" s="782"/>
      <c r="N256" s="679"/>
      <c r="O256" s="1488"/>
      <c r="P256" s="679"/>
      <c r="Q256" s="957"/>
      <c r="R256" s="871"/>
      <c r="S256" s="1160"/>
      <c r="T256" s="2521"/>
      <c r="U256" s="1160"/>
      <c r="V256" s="1160"/>
      <c r="W256" s="2522"/>
      <c r="X256" s="1160"/>
      <c r="Y256" s="2522"/>
      <c r="Z256" s="2523"/>
      <c r="AE256" s="2461"/>
      <c r="AF256" s="68"/>
    </row>
    <row r="257" spans="1:32" ht="45.5" x14ac:dyDescent="0.35">
      <c r="A257" s="351">
        <v>109</v>
      </c>
      <c r="B257" s="1065" t="s">
        <v>2165</v>
      </c>
      <c r="C257" s="1065"/>
      <c r="D257" s="2472" t="s">
        <v>6137</v>
      </c>
      <c r="E257" s="512" t="s">
        <v>11597</v>
      </c>
      <c r="F257" s="1138"/>
      <c r="G257" s="1138" t="s">
        <v>191</v>
      </c>
      <c r="H257" s="1138" t="s">
        <v>191</v>
      </c>
      <c r="I257" s="2705">
        <f t="shared" si="24"/>
        <v>1.8480000000000003</v>
      </c>
      <c r="J257" s="2705">
        <f t="shared" si="25"/>
        <v>1.8360000000000003</v>
      </c>
      <c r="K257" s="782"/>
      <c r="L257" s="2947">
        <f>SUM(L258:L261)</f>
        <v>1.2E-2</v>
      </c>
      <c r="M257" s="2948"/>
      <c r="N257" s="2947">
        <f>SUM(N258:N261)</f>
        <v>1.8360000000000003</v>
      </c>
      <c r="O257" s="1488"/>
      <c r="P257" s="679"/>
      <c r="Q257" s="957"/>
      <c r="R257" s="871"/>
      <c r="S257" s="335">
        <v>1</v>
      </c>
      <c r="T257" s="2437">
        <v>9.9</v>
      </c>
      <c r="U257" s="1160"/>
      <c r="V257" s="1160"/>
      <c r="W257" s="2688">
        <v>5</v>
      </c>
      <c r="X257" s="2437">
        <v>60.3</v>
      </c>
      <c r="Y257" s="2943">
        <v>0</v>
      </c>
      <c r="Z257" s="2944">
        <v>0</v>
      </c>
      <c r="AA257" s="3" t="s">
        <v>7346</v>
      </c>
      <c r="AB257" s="3">
        <v>1</v>
      </c>
      <c r="AE257" s="2461"/>
      <c r="AF257" s="68"/>
    </row>
    <row r="258" spans="1:32" ht="31" x14ac:dyDescent="0.35">
      <c r="A258" s="351"/>
      <c r="B258" s="1065"/>
      <c r="C258" s="1065"/>
      <c r="D258" s="2472"/>
      <c r="E258" s="2910" t="s">
        <v>10546</v>
      </c>
      <c r="F258" s="2425">
        <v>5</v>
      </c>
      <c r="G258" s="2425">
        <v>5</v>
      </c>
      <c r="H258" s="2687" t="s">
        <v>191</v>
      </c>
      <c r="I258" s="501"/>
      <c r="J258" s="501"/>
      <c r="K258" s="782"/>
      <c r="L258" s="2948">
        <v>1.2E-2</v>
      </c>
      <c r="M258" s="2948"/>
      <c r="N258" s="2947"/>
      <c r="O258" s="1488"/>
      <c r="P258" s="679"/>
      <c r="Q258" s="957"/>
      <c r="R258" s="871"/>
      <c r="S258" s="335"/>
      <c r="T258" s="2437"/>
      <c r="U258" s="1160"/>
      <c r="V258" s="1160"/>
      <c r="W258" s="2688"/>
      <c r="X258" s="2437"/>
      <c r="Y258" s="2943"/>
      <c r="Z258" s="2944"/>
      <c r="AE258" s="2461"/>
      <c r="AF258" s="68"/>
    </row>
    <row r="259" spans="1:32" x14ac:dyDescent="0.35">
      <c r="A259" s="351"/>
      <c r="B259" s="1065"/>
      <c r="C259" s="1065"/>
      <c r="D259" s="2472"/>
      <c r="E259" s="2945" t="s">
        <v>11598</v>
      </c>
      <c r="F259" s="2946">
        <v>5</v>
      </c>
      <c r="G259" s="2425">
        <v>5</v>
      </c>
      <c r="H259" s="2424">
        <v>6</v>
      </c>
      <c r="I259" s="501"/>
      <c r="J259" s="501"/>
      <c r="K259" s="782"/>
      <c r="L259" s="2948"/>
      <c r="M259" s="2948"/>
      <c r="N259" s="2948">
        <f>0.632-0.012</f>
        <v>0.62</v>
      </c>
      <c r="O259" s="1488"/>
      <c r="P259" s="679"/>
      <c r="Q259" s="957"/>
      <c r="R259" s="871"/>
      <c r="S259" s="335"/>
      <c r="T259" s="2437"/>
      <c r="U259" s="1160"/>
      <c r="V259" s="1160"/>
      <c r="W259" s="2688"/>
      <c r="X259" s="2437"/>
      <c r="Y259" s="2943"/>
      <c r="Z259" s="2944"/>
      <c r="AE259" s="2461"/>
      <c r="AF259" s="68"/>
    </row>
    <row r="260" spans="1:32" x14ac:dyDescent="0.35">
      <c r="A260" s="351"/>
      <c r="B260" s="1065"/>
      <c r="C260" s="1065"/>
      <c r="D260" s="2472"/>
      <c r="E260" s="2945" t="s">
        <v>11599</v>
      </c>
      <c r="F260" s="2425">
        <v>4</v>
      </c>
      <c r="G260" s="2425">
        <v>5</v>
      </c>
      <c r="H260" s="2424">
        <v>6</v>
      </c>
      <c r="I260" s="501"/>
      <c r="J260" s="501"/>
      <c r="K260" s="782"/>
      <c r="L260" s="2948"/>
      <c r="M260" s="2948"/>
      <c r="N260" s="2948">
        <f>1.644-0.632</f>
        <v>1.012</v>
      </c>
      <c r="O260" s="1488"/>
      <c r="P260" s="679"/>
      <c r="Q260" s="957"/>
      <c r="R260" s="871"/>
      <c r="S260" s="335"/>
      <c r="T260" s="2437"/>
      <c r="U260" s="1160"/>
      <c r="V260" s="1160"/>
      <c r="W260" s="2688"/>
      <c r="X260" s="2437"/>
      <c r="Y260" s="2943"/>
      <c r="Z260" s="2944"/>
      <c r="AE260" s="2461"/>
      <c r="AF260" s="68"/>
    </row>
    <row r="261" spans="1:32" x14ac:dyDescent="0.35">
      <c r="A261" s="351"/>
      <c r="B261" s="1065"/>
      <c r="C261" s="1065"/>
      <c r="D261" s="2472"/>
      <c r="E261" s="2945" t="s">
        <v>11600</v>
      </c>
      <c r="F261" s="2946" t="s">
        <v>827</v>
      </c>
      <c r="G261" s="2425">
        <v>5</v>
      </c>
      <c r="H261" s="2424">
        <v>6</v>
      </c>
      <c r="I261" s="501"/>
      <c r="J261" s="501"/>
      <c r="K261" s="782"/>
      <c r="L261" s="2948"/>
      <c r="M261" s="2948"/>
      <c r="N261" s="2948">
        <f>1.848-1.644</f>
        <v>0.20400000000000018</v>
      </c>
      <c r="O261" s="1488"/>
      <c r="P261" s="679"/>
      <c r="Q261" s="957"/>
      <c r="R261" s="871"/>
      <c r="S261" s="335"/>
      <c r="T261" s="2437"/>
      <c r="U261" s="1160"/>
      <c r="V261" s="1160"/>
      <c r="W261" s="2688"/>
      <c r="X261" s="2437"/>
      <c r="Y261" s="2943"/>
      <c r="Z261" s="2944"/>
      <c r="AE261" s="2461"/>
      <c r="AF261" s="68"/>
    </row>
    <row r="262" spans="1:32" ht="60.5" x14ac:dyDescent="0.35">
      <c r="A262" s="349">
        <v>110</v>
      </c>
      <c r="B262" s="1025" t="s">
        <v>1823</v>
      </c>
      <c r="C262" s="405" t="s">
        <v>1656</v>
      </c>
      <c r="D262" s="2472" t="s">
        <v>6138</v>
      </c>
      <c r="E262" s="288" t="s">
        <v>8945</v>
      </c>
      <c r="F262" s="1138" t="s">
        <v>1490</v>
      </c>
      <c r="G262" s="1138">
        <v>5</v>
      </c>
      <c r="H262" s="1138">
        <v>6</v>
      </c>
      <c r="I262" s="501">
        <f>J262+K262+L262</f>
        <v>0.4</v>
      </c>
      <c r="J262" s="501">
        <f>SUM(M262:R262)</f>
        <v>0.4</v>
      </c>
      <c r="K262" s="502"/>
      <c r="L262" s="502"/>
      <c r="M262" s="502"/>
      <c r="N262" s="572"/>
      <c r="O262" s="853"/>
      <c r="P262" s="572"/>
      <c r="Q262" s="863"/>
      <c r="R262" s="870">
        <v>0.4</v>
      </c>
      <c r="S262" s="337"/>
      <c r="T262" s="332"/>
      <c r="U262" s="337"/>
      <c r="V262" s="337"/>
      <c r="W262" s="728"/>
      <c r="X262" s="337"/>
      <c r="Y262" s="728"/>
      <c r="Z262" s="2518"/>
      <c r="AB262" s="3">
        <v>1</v>
      </c>
      <c r="AE262" s="2461"/>
      <c r="AF262" s="68"/>
    </row>
  </sheetData>
  <autoFilter ref="A29:AB262"/>
  <mergeCells count="35">
    <mergeCell ref="A2:Z2"/>
    <mergeCell ref="A3:Z3"/>
    <mergeCell ref="A5:A8"/>
    <mergeCell ref="D5:D8"/>
    <mergeCell ref="E5:E8"/>
    <mergeCell ref="B5:B8"/>
    <mergeCell ref="V7:V8"/>
    <mergeCell ref="Y6:Z6"/>
    <mergeCell ref="H5:H8"/>
    <mergeCell ref="T7:T8"/>
    <mergeCell ref="W7:W8"/>
    <mergeCell ref="X7:X8"/>
    <mergeCell ref="I6:I8"/>
    <mergeCell ref="N6:N8"/>
    <mergeCell ref="J6:J8"/>
    <mergeCell ref="K6:K8"/>
    <mergeCell ref="Z7:Z8"/>
    <mergeCell ref="Y7:Y8"/>
    <mergeCell ref="W5:Z5"/>
    <mergeCell ref="S5:V5"/>
    <mergeCell ref="U6:V6"/>
    <mergeCell ref="S7:S8"/>
    <mergeCell ref="W6:X6"/>
    <mergeCell ref="U7:U8"/>
    <mergeCell ref="P6:P8"/>
    <mergeCell ref="Q6:Q8"/>
    <mergeCell ref="S6:T6"/>
    <mergeCell ref="F5:F8"/>
    <mergeCell ref="G5:G8"/>
    <mergeCell ref="I5:L5"/>
    <mergeCell ref="M5:R5"/>
    <mergeCell ref="L6:L8"/>
    <mergeCell ref="M6:M8"/>
    <mergeCell ref="O6:O8"/>
    <mergeCell ref="R6:R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Roman,обычный"&amp;10Славгородское ДРСУ-129&amp;R&amp;"Times New Roman,обычный"&amp;10&amp;P</oddFooter>
  </headerFooter>
  <rowBreaks count="3" manualBreakCount="3">
    <brk id="53" max="24" man="1"/>
    <brk id="133" max="24" man="1"/>
    <brk id="173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T399"/>
  <sheetViews>
    <sheetView workbookViewId="0">
      <pane xSplit="5" ySplit="10" topLeftCell="F14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RowHeight="16" x14ac:dyDescent="0.4"/>
  <cols>
    <col min="1" max="1" width="4.4140625" customWidth="1"/>
    <col min="2" max="3" width="7.25" hidden="1" customWidth="1"/>
    <col min="4" max="4" width="7.6640625" customWidth="1"/>
    <col min="5" max="5" width="43.33203125" style="63" customWidth="1"/>
    <col min="6" max="6" width="6.75" style="64" customWidth="1"/>
    <col min="7" max="8" width="7.08203125" style="64" customWidth="1"/>
    <col min="9" max="9" width="7.25" style="64" customWidth="1"/>
    <col min="10" max="10" width="6.75" style="64" customWidth="1"/>
    <col min="11" max="13" width="6.6640625" style="64" customWidth="1"/>
    <col min="14" max="14" width="6.75" style="64" customWidth="1"/>
    <col min="15" max="15" width="6.6640625" style="64" customWidth="1"/>
    <col min="16" max="16" width="6.58203125" style="64" customWidth="1"/>
    <col min="17" max="18" width="6.6640625" style="64" customWidth="1"/>
    <col min="19" max="19" width="4.58203125" style="64" customWidth="1"/>
    <col min="20" max="20" width="7.25" style="64" customWidth="1"/>
    <col min="21" max="21" width="4.4140625" style="64" customWidth="1"/>
    <col min="22" max="22" width="5.58203125" style="64" customWidth="1"/>
    <col min="23" max="23" width="4.58203125" style="64" customWidth="1"/>
    <col min="24" max="24" width="7.6640625" style="64" customWidth="1"/>
    <col min="25" max="25" width="4.33203125" style="64" customWidth="1"/>
    <col min="26" max="26" width="7.6640625" style="64" customWidth="1"/>
    <col min="37" max="37" width="19.9140625" customWidth="1"/>
  </cols>
  <sheetData>
    <row r="1" spans="1:46" ht="15.5" x14ac:dyDescent="0.35">
      <c r="A1" s="1"/>
      <c r="B1" s="1"/>
      <c r="C1" s="1"/>
      <c r="D1" s="4"/>
      <c r="E1" s="69"/>
      <c r="F1" s="6"/>
      <c r="G1" s="6"/>
      <c r="H1" s="6"/>
      <c r="I1" s="85"/>
      <c r="J1" s="85"/>
      <c r="K1" s="85"/>
      <c r="L1" s="85"/>
      <c r="M1" s="85"/>
      <c r="N1" s="85"/>
      <c r="O1" s="85"/>
      <c r="P1" s="85"/>
      <c r="Q1" s="85"/>
      <c r="R1" s="85"/>
      <c r="S1" s="6"/>
      <c r="T1" s="6"/>
      <c r="U1" s="6"/>
      <c r="V1" s="6"/>
      <c r="W1" s="6"/>
      <c r="X1" s="6"/>
      <c r="Y1" s="6"/>
      <c r="Z1" s="6"/>
    </row>
    <row r="2" spans="1:46" ht="20" x14ac:dyDescent="0.25">
      <c r="A2" s="3125" t="s">
        <v>10632</v>
      </c>
      <c r="B2" s="3125"/>
      <c r="C2" s="3125"/>
      <c r="D2" s="3125"/>
      <c r="E2" s="3125"/>
      <c r="F2" s="3125"/>
      <c r="G2" s="3125"/>
      <c r="H2" s="3125"/>
      <c r="I2" s="3125"/>
      <c r="J2" s="3125"/>
      <c r="K2" s="3125"/>
      <c r="L2" s="3125"/>
      <c r="M2" s="3125"/>
      <c r="N2" s="3125"/>
      <c r="O2" s="3125"/>
      <c r="P2" s="3125"/>
      <c r="Q2" s="3125"/>
      <c r="R2" s="3125"/>
      <c r="S2" s="3125"/>
      <c r="T2" s="3125"/>
      <c r="U2" s="3125"/>
      <c r="V2" s="3125"/>
      <c r="W2" s="3125"/>
      <c r="X2" s="3125"/>
      <c r="Y2" s="3125"/>
      <c r="Z2" s="3125"/>
    </row>
    <row r="3" spans="1:46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46" thickBot="1" x14ac:dyDescent="0.4">
      <c r="A4" s="3"/>
      <c r="B4" s="3"/>
      <c r="C4" s="3"/>
      <c r="D4" s="5"/>
      <c r="E4" s="33"/>
      <c r="F4" s="7"/>
      <c r="G4" s="7"/>
      <c r="H4" s="7"/>
      <c r="I4" s="2038"/>
      <c r="J4" s="2038"/>
      <c r="K4" s="2038"/>
      <c r="L4" s="2038"/>
      <c r="M4" s="2038"/>
      <c r="N4" s="2038"/>
      <c r="O4" s="2038"/>
      <c r="P4" s="2038"/>
      <c r="Q4" s="2038"/>
      <c r="R4" s="2038"/>
      <c r="S4" s="83"/>
      <c r="T4" s="83"/>
      <c r="U4" s="83"/>
      <c r="V4" s="83"/>
      <c r="W4" s="83"/>
      <c r="X4" s="83"/>
      <c r="Y4" s="83"/>
      <c r="Z4" s="7"/>
    </row>
    <row r="5" spans="1:46" ht="15.75" customHeight="1" x14ac:dyDescent="0.3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46" ht="34.5" customHeight="1" x14ac:dyDescent="0.2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46" ht="15.75" customHeight="1" x14ac:dyDescent="0.2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46" ht="15.5" thickBot="1" x14ac:dyDescent="0.3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4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46" ht="16.5" thickBot="1" x14ac:dyDescent="0.45">
      <c r="A10" s="102"/>
      <c r="B10" s="1493"/>
      <c r="C10" s="1493"/>
      <c r="D10" s="1494"/>
      <c r="E10" s="472" t="s">
        <v>2392</v>
      </c>
      <c r="F10" s="472"/>
      <c r="G10" s="472"/>
      <c r="H10" s="472"/>
      <c r="I10" s="786">
        <f>J10+K10+L10</f>
        <v>287.29500000000002</v>
      </c>
      <c r="J10" s="786">
        <f>M10+N10+O10+P10+Q10+R10</f>
        <v>283.28899999999999</v>
      </c>
      <c r="K10" s="786">
        <f t="shared" ref="K10:R10" si="0">K11+K12+K13+K14</f>
        <v>2.0950000000000002</v>
      </c>
      <c r="L10" s="786">
        <f t="shared" si="0"/>
        <v>1.911</v>
      </c>
      <c r="M10" s="1382">
        <f t="shared" si="0"/>
        <v>0.46799999999999997</v>
      </c>
      <c r="N10" s="786">
        <f t="shared" si="0"/>
        <v>121.521</v>
      </c>
      <c r="O10" s="786">
        <f t="shared" si="0"/>
        <v>0</v>
      </c>
      <c r="P10" s="786">
        <f t="shared" si="0"/>
        <v>0</v>
      </c>
      <c r="Q10" s="1499">
        <f t="shared" si="0"/>
        <v>96.449999999999989</v>
      </c>
      <c r="R10" s="1496">
        <f t="shared" si="0"/>
        <v>64.850000000000009</v>
      </c>
      <c r="S10" s="103">
        <f>SUM(S30:S945)</f>
        <v>18</v>
      </c>
      <c r="T10" s="1495">
        <f t="shared" ref="T10:Z10" si="1">SUM(T30:T945)</f>
        <v>549.13</v>
      </c>
      <c r="U10" s="103">
        <f t="shared" si="1"/>
        <v>0</v>
      </c>
      <c r="V10" s="1495">
        <f t="shared" si="1"/>
        <v>0</v>
      </c>
      <c r="W10" s="103">
        <f t="shared" si="1"/>
        <v>414</v>
      </c>
      <c r="X10" s="1495">
        <f t="shared" si="1"/>
        <v>5606.1</v>
      </c>
      <c r="Y10" s="103">
        <f t="shared" si="1"/>
        <v>113</v>
      </c>
      <c r="Z10" s="1662">
        <f t="shared" si="1"/>
        <v>1197.5</v>
      </c>
      <c r="AA10" s="63"/>
      <c r="AB10" s="103">
        <f>SUM(AB30:AB240)</f>
        <v>117</v>
      </c>
      <c r="AC10" s="63"/>
      <c r="AD10" s="63"/>
      <c r="AE10" s="63"/>
      <c r="AF10" s="63"/>
      <c r="AG10" s="63"/>
      <c r="AH10" s="63"/>
      <c r="AI10" s="63"/>
      <c r="AJ10" s="63"/>
      <c r="AK10" s="2150" t="s">
        <v>11226</v>
      </c>
      <c r="AL10" s="43"/>
      <c r="AM10" s="2812" t="s">
        <v>11227</v>
      </c>
      <c r="AN10" s="63"/>
      <c r="AO10" s="63"/>
      <c r="AP10" s="63"/>
      <c r="AQ10" s="63"/>
      <c r="AR10" s="63"/>
      <c r="AS10" s="63"/>
      <c r="AT10" s="63"/>
    </row>
    <row r="11" spans="1:46" ht="15" x14ac:dyDescent="0.3">
      <c r="A11" s="182"/>
      <c r="B11" s="992"/>
      <c r="C11" s="992"/>
      <c r="D11" s="183"/>
      <c r="E11" s="1264" t="s">
        <v>909</v>
      </c>
      <c r="F11" s="1245">
        <v>3</v>
      </c>
      <c r="G11" s="1245"/>
      <c r="H11" s="1245"/>
      <c r="I11" s="1501"/>
      <c r="J11" s="1501"/>
      <c r="K11" s="1501"/>
      <c r="L11" s="1501"/>
      <c r="M11" s="1402"/>
      <c r="N11" s="1501"/>
      <c r="O11" s="1501"/>
      <c r="P11" s="1501"/>
      <c r="Q11" s="1330"/>
      <c r="R11" s="1331"/>
      <c r="S11" s="186"/>
      <c r="T11" s="186"/>
      <c r="U11" s="186"/>
      <c r="V11" s="186"/>
      <c r="W11" s="186"/>
      <c r="X11" s="454"/>
      <c r="Y11" s="186"/>
      <c r="Z11" s="1726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46" ht="15.5" x14ac:dyDescent="0.35">
      <c r="A12" s="445"/>
      <c r="B12" s="1028"/>
      <c r="C12" s="1028"/>
      <c r="D12" s="528"/>
      <c r="E12" s="640"/>
      <c r="F12" s="1249">
        <v>4</v>
      </c>
      <c r="G12" s="1249"/>
      <c r="H12" s="1249"/>
      <c r="I12" s="1281">
        <f t="shared" ref="I12:I20" si="2">J12+K12+L12</f>
        <v>138.30799999999999</v>
      </c>
      <c r="J12" s="1250">
        <f t="shared" ref="J12:J20" si="3">R12+Q12+P12+O12+N12+M12</f>
        <v>134.35299999999998</v>
      </c>
      <c r="K12" s="1502">
        <f>SUMIF(F30:F861,4,K30:K861)</f>
        <v>2.0950000000000002</v>
      </c>
      <c r="L12" s="1502">
        <f>SUMIF(F30:F861,4,L30:L861)</f>
        <v>1.86</v>
      </c>
      <c r="M12" s="1402">
        <f>SUMIF(F30:F861,4,M30:M861)</f>
        <v>0.46799999999999997</v>
      </c>
      <c r="N12" s="1502">
        <f>SUMIF(F30:F861,4,N30:N861)</f>
        <v>86.272000000000006</v>
      </c>
      <c r="O12" s="1502">
        <f>SUMIF(F30:F861,4,O30:O861)</f>
        <v>0</v>
      </c>
      <c r="P12" s="1502">
        <f>SUMIF(F30:F861,4,P30:P861)</f>
        <v>0</v>
      </c>
      <c r="Q12" s="1326">
        <f>SUMIF(F30:F861,4,Q30:Q861)</f>
        <v>47.613</v>
      </c>
      <c r="R12" s="1327">
        <f>SUMIF(F30:F861,4,R30:R861)</f>
        <v>0</v>
      </c>
      <c r="S12" s="529"/>
      <c r="T12" s="529"/>
      <c r="U12" s="529"/>
      <c r="V12" s="529"/>
      <c r="W12" s="529"/>
      <c r="X12" s="530"/>
      <c r="Y12" s="529"/>
      <c r="Z12" s="1682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46" ht="15" x14ac:dyDescent="0.3">
      <c r="A13" s="445"/>
      <c r="B13" s="1028"/>
      <c r="C13" s="1028"/>
      <c r="D13" s="528"/>
      <c r="E13" s="640"/>
      <c r="F13" s="1249">
        <v>5</v>
      </c>
      <c r="G13" s="1249"/>
      <c r="H13" s="1249"/>
      <c r="I13" s="1281">
        <f t="shared" si="2"/>
        <v>63.63</v>
      </c>
      <c r="J13" s="1250">
        <f t="shared" si="3"/>
        <v>63.63</v>
      </c>
      <c r="K13" s="1502">
        <f>SUMIF(F30:F861,5,K30:K861)</f>
        <v>0</v>
      </c>
      <c r="L13" s="1502">
        <f>SUMIF(F30:F861,5,L30:L861)</f>
        <v>0</v>
      </c>
      <c r="M13" s="1402">
        <f>SUMIF(F30:F861,5,M30:M861)</f>
        <v>0</v>
      </c>
      <c r="N13" s="1502">
        <f>SUMIF(F30:F861,5,N30:N861)</f>
        <v>34.649000000000001</v>
      </c>
      <c r="O13" s="1502">
        <f>SUMIF(F30:F861,5,O30:O861)</f>
        <v>0</v>
      </c>
      <c r="P13" s="1502">
        <f>SUMIF(F30:F861,5,P30:P861)</f>
        <v>0</v>
      </c>
      <c r="Q13" s="1326">
        <f>SUMIF(F30:F861,5,Q30:Q861)</f>
        <v>27.731000000000002</v>
      </c>
      <c r="R13" s="1327">
        <f>SUMIF(F30:F861,5,R30:R861)</f>
        <v>1.25</v>
      </c>
      <c r="S13" s="529"/>
      <c r="T13" s="529"/>
      <c r="U13" s="529"/>
      <c r="V13" s="529"/>
      <c r="W13" s="529"/>
      <c r="X13" s="530"/>
      <c r="Y13" s="529"/>
      <c r="Z13" s="1682"/>
      <c r="AD13" s="2777" t="s">
        <v>11126</v>
      </c>
      <c r="AE13" s="2776"/>
      <c r="AF13" s="2778">
        <v>79</v>
      </c>
      <c r="AG13" s="2783">
        <f>M12+N12+O12</f>
        <v>86.740000000000009</v>
      </c>
      <c r="AH13" s="2783">
        <f>M13+N13+O13</f>
        <v>34.649000000000001</v>
      </c>
      <c r="AI13" s="2784">
        <f>M14+N14+O14</f>
        <v>0.60000000000000009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46" ht="15.5" x14ac:dyDescent="0.35">
      <c r="A14" s="445"/>
      <c r="B14" s="1028"/>
      <c r="C14" s="1028"/>
      <c r="D14" s="528"/>
      <c r="E14" s="640"/>
      <c r="F14" s="1249" t="s">
        <v>448</v>
      </c>
      <c r="G14" s="1249"/>
      <c r="H14" s="1249"/>
      <c r="I14" s="1250">
        <f t="shared" si="2"/>
        <v>85.357000000000014</v>
      </c>
      <c r="J14" s="1250">
        <f t="shared" si="3"/>
        <v>85.306000000000012</v>
      </c>
      <c r="K14" s="1250">
        <f>K15+K16+K17</f>
        <v>0</v>
      </c>
      <c r="L14" s="1250">
        <f>L15+L16+L17</f>
        <v>5.1000000000000018E-2</v>
      </c>
      <c r="M14" s="1250">
        <f t="shared" ref="M14:R14" si="4">M15+M16+M17</f>
        <v>0</v>
      </c>
      <c r="N14" s="1250">
        <f t="shared" si="4"/>
        <v>0.60000000000000009</v>
      </c>
      <c r="O14" s="1251">
        <f t="shared" si="4"/>
        <v>0</v>
      </c>
      <c r="P14" s="1317">
        <f t="shared" si="4"/>
        <v>0</v>
      </c>
      <c r="Q14" s="1252">
        <f t="shared" si="4"/>
        <v>21.106000000000002</v>
      </c>
      <c r="R14" s="1256">
        <f t="shared" si="4"/>
        <v>63.600000000000009</v>
      </c>
      <c r="S14" s="529"/>
      <c r="T14" s="529"/>
      <c r="U14" s="529"/>
      <c r="V14" s="529"/>
      <c r="W14" s="529"/>
      <c r="X14" s="530"/>
      <c r="Y14" s="529"/>
      <c r="Z14" s="1682"/>
      <c r="AD14" s="2777" t="s">
        <v>11127</v>
      </c>
      <c r="AE14" s="2776"/>
      <c r="AF14" s="2778">
        <v>80</v>
      </c>
      <c r="AG14" s="2785">
        <f>P12+Q12</f>
        <v>47.613</v>
      </c>
      <c r="AH14" s="2785">
        <f>P13+Q13</f>
        <v>27.731000000000002</v>
      </c>
      <c r="AI14" s="2786">
        <f>P14+Q14</f>
        <v>21.106000000000002</v>
      </c>
      <c r="AK14" s="2815" t="s">
        <v>11230</v>
      </c>
      <c r="AL14" s="2579">
        <f>SUMIFS(M30:M950,F30:F950,4,G30:G950,3)</f>
        <v>0</v>
      </c>
      <c r="AM14" s="2817"/>
    </row>
    <row r="15" spans="1:46" ht="15.5" x14ac:dyDescent="0.35">
      <c r="A15" s="445"/>
      <c r="B15" s="1028"/>
      <c r="C15" s="1028"/>
      <c r="D15" s="528"/>
      <c r="E15" s="640"/>
      <c r="F15" s="1253" t="s">
        <v>827</v>
      </c>
      <c r="G15" s="1249"/>
      <c r="H15" s="1249"/>
      <c r="I15" s="1318">
        <f t="shared" si="2"/>
        <v>25.512000000000004</v>
      </c>
      <c r="J15" s="1318">
        <f t="shared" si="3"/>
        <v>25.512000000000004</v>
      </c>
      <c r="K15" s="1318">
        <f>SUMIF(F30:F937,"=6а",K30:K937)</f>
        <v>0</v>
      </c>
      <c r="L15" s="1318">
        <f>SUMIF(F30:F937,"=6а",L30:L937)</f>
        <v>0</v>
      </c>
      <c r="M15" s="1318">
        <f>SUMIF(F30:F937,"=6а",M30:M937)</f>
        <v>0</v>
      </c>
      <c r="N15" s="1318">
        <f>SUMIF(F30:F937,"=6а",N30:N937)</f>
        <v>0.60000000000000009</v>
      </c>
      <c r="O15" s="1319">
        <f>SUMIF(F30:F937,"=6а",O30:O937)</f>
        <v>0</v>
      </c>
      <c r="P15" s="1320">
        <f>SUMIF(F30:F937,"=6а",P30:P937)</f>
        <v>0</v>
      </c>
      <c r="Q15" s="1321">
        <f>SUMIF(F30:F937,"=6а",Q30:Q937)</f>
        <v>18.376000000000001</v>
      </c>
      <c r="R15" s="1322">
        <f>SUMIF(F30:F937,"=6а",R30:R937)</f>
        <v>6.5360000000000014</v>
      </c>
      <c r="S15" s="529"/>
      <c r="T15" s="529"/>
      <c r="U15" s="529"/>
      <c r="V15" s="529"/>
      <c r="W15" s="529"/>
      <c r="X15" s="530"/>
      <c r="Y15" s="529"/>
      <c r="Z15" s="1682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1.25</v>
      </c>
      <c r="AI15" s="2788">
        <f>R14</f>
        <v>63.600000000000009</v>
      </c>
      <c r="AK15" s="2815" t="s">
        <v>11231</v>
      </c>
      <c r="AL15" s="2579">
        <f>SUMIFS(N30:N950,F30:F950,4,G30:G950,3)</f>
        <v>0</v>
      </c>
      <c r="AM15" s="2817"/>
    </row>
    <row r="16" spans="1:46" ht="15.5" x14ac:dyDescent="0.35">
      <c r="A16" s="445"/>
      <c r="B16" s="1028"/>
      <c r="C16" s="1028"/>
      <c r="D16" s="528"/>
      <c r="E16" s="1265"/>
      <c r="F16" s="1254" t="s">
        <v>1490</v>
      </c>
      <c r="G16" s="1249"/>
      <c r="H16" s="1249"/>
      <c r="I16" s="1318">
        <f t="shared" si="2"/>
        <v>10.01</v>
      </c>
      <c r="J16" s="1318">
        <f t="shared" si="3"/>
        <v>10.01</v>
      </c>
      <c r="K16" s="1318">
        <f>SUMIF(F30:F938,"=6б",K30:K938)</f>
        <v>0</v>
      </c>
      <c r="L16" s="1318">
        <f>SUMIF(F30:F938,"=6б",L30:L938)</f>
        <v>0</v>
      </c>
      <c r="M16" s="1318">
        <f>SUMIF(F30:F938,"=6б",M30:M938)</f>
        <v>0</v>
      </c>
      <c r="N16" s="1318">
        <f>SUMIF(F30:F938,"=6б",N30:N938)</f>
        <v>0</v>
      </c>
      <c r="O16" s="1319">
        <f>SUMIF(F30:F938,"=6б",O30:O938)</f>
        <v>0</v>
      </c>
      <c r="P16" s="1320">
        <f>SUMIF(F30:F938,"=6б",P30:P938)</f>
        <v>0</v>
      </c>
      <c r="Q16" s="1321">
        <f>SUMIF(F30:F938,"=6б",Q30:Q938)</f>
        <v>2.73</v>
      </c>
      <c r="R16" s="1322">
        <f>SUMIF(F30:F938,"=6б",R30:R938)</f>
        <v>7.2799999999999994</v>
      </c>
      <c r="S16" s="529"/>
      <c r="T16" s="529"/>
      <c r="U16" s="529"/>
      <c r="V16" s="529"/>
      <c r="W16" s="529"/>
      <c r="X16" s="530"/>
      <c r="Y16" s="529"/>
      <c r="Z16" s="1682"/>
      <c r="AK16" s="2815" t="s">
        <v>11232</v>
      </c>
      <c r="AL16" s="2579">
        <f>SUMIFS(O30:O950,F30:F950,4,G30:G950,3)</f>
        <v>0</v>
      </c>
      <c r="AM16" s="2817"/>
    </row>
    <row r="17" spans="1:39" ht="15.5" x14ac:dyDescent="0.35">
      <c r="A17" s="445"/>
      <c r="B17" s="1028"/>
      <c r="C17" s="1028"/>
      <c r="D17" s="528"/>
      <c r="E17" s="1265"/>
      <c r="F17" s="2271" t="s">
        <v>449</v>
      </c>
      <c r="G17" s="1249"/>
      <c r="H17" s="1249"/>
      <c r="I17" s="2272">
        <f t="shared" si="2"/>
        <v>49.835000000000008</v>
      </c>
      <c r="J17" s="2272">
        <f t="shared" si="3"/>
        <v>49.784000000000006</v>
      </c>
      <c r="K17" s="2272">
        <f>SUMIF(F30:F939,"=б/к",K30:K939)</f>
        <v>0</v>
      </c>
      <c r="L17" s="2272">
        <f>SUMIF(F30:F939,"=б/к",L30:L939)</f>
        <v>5.1000000000000018E-2</v>
      </c>
      <c r="M17" s="2272">
        <f>SUMIF(F30:F939,"=б/к",M30:M939)</f>
        <v>0</v>
      </c>
      <c r="N17" s="2272">
        <f>SUMIF(F30:F939,"=б/к",N30:N939)</f>
        <v>0</v>
      </c>
      <c r="O17" s="2272">
        <f>SUMIF(F30:F939,"=б/к",O30:O939)</f>
        <v>0</v>
      </c>
      <c r="P17" s="2272">
        <f>SUMIF(F30:F939,"=б/к",P30:P939)</f>
        <v>0</v>
      </c>
      <c r="Q17" s="2273">
        <f>SUMIF(F30:F939,"=б/к",Q30:Q939)</f>
        <v>0</v>
      </c>
      <c r="R17" s="2274">
        <f>SUMIF(F30:F939,"=б/к",R30:R939)</f>
        <v>49.784000000000006</v>
      </c>
      <c r="S17" s="529"/>
      <c r="T17" s="529"/>
      <c r="U17" s="529"/>
      <c r="V17" s="529"/>
      <c r="W17" s="529"/>
      <c r="X17" s="530"/>
      <c r="Y17" s="529"/>
      <c r="Z17" s="1682"/>
      <c r="AK17" s="2815" t="s">
        <v>11233</v>
      </c>
      <c r="AL17" s="2579">
        <f>SUMIFS(P30:P950,F30:F950,4,G30:G950,3)+SUMIFS(Q30:Q950,F30:F950,4,G30:G950,3)</f>
        <v>0</v>
      </c>
      <c r="AM17" s="2817"/>
    </row>
    <row r="18" spans="1:39" ht="15.5" x14ac:dyDescent="0.35">
      <c r="A18" s="445"/>
      <c r="B18" s="1028"/>
      <c r="C18" s="1028"/>
      <c r="D18" s="528"/>
      <c r="E18" s="1266"/>
      <c r="F18" s="1266" t="s">
        <v>3303</v>
      </c>
      <c r="G18" s="1241">
        <v>3</v>
      </c>
      <c r="H18" s="2415"/>
      <c r="I18" s="1503">
        <f t="shared" si="2"/>
        <v>0</v>
      </c>
      <c r="J18" s="1503">
        <f t="shared" si="3"/>
        <v>0</v>
      </c>
      <c r="K18" s="1503">
        <f>SUMIF(G30:G861,3,K30:K861)</f>
        <v>0</v>
      </c>
      <c r="L18" s="1503">
        <f>SUMIF(G30:G861,3,L30:L861)</f>
        <v>0</v>
      </c>
      <c r="M18" s="1503">
        <f>SUMIF(G30:G861,3,M30:M861)</f>
        <v>0</v>
      </c>
      <c r="N18" s="1503">
        <f>SUMIF(G30:G861,3,N30:N861)</f>
        <v>0</v>
      </c>
      <c r="O18" s="1503">
        <f>SUMIF(G30:G861,3,O30:O861)</f>
        <v>0</v>
      </c>
      <c r="P18" s="1503">
        <f>SUMIF(G30:G861,3,P30:P861)</f>
        <v>0</v>
      </c>
      <c r="Q18" s="1409">
        <f>SUMIF(G30:G861,3,Q30:Q861)</f>
        <v>0</v>
      </c>
      <c r="R18" s="1410">
        <f>SUMIF(G30:G861,3,R30:R861)</f>
        <v>0</v>
      </c>
      <c r="S18" s="529"/>
      <c r="T18" s="529"/>
      <c r="U18" s="529"/>
      <c r="V18" s="529"/>
      <c r="W18" s="529"/>
      <c r="X18" s="530"/>
      <c r="Y18" s="529"/>
      <c r="Z18" s="1682"/>
      <c r="AK18" s="2815" t="s">
        <v>910</v>
      </c>
      <c r="AL18" s="2579">
        <f>SUMIFS(R30:R950,F30:F950,4,G30:G950,3)</f>
        <v>0</v>
      </c>
      <c r="AM18" s="2817"/>
    </row>
    <row r="19" spans="1:39" ht="15" x14ac:dyDescent="0.3">
      <c r="A19" s="445"/>
      <c r="B19" s="1028"/>
      <c r="C19" s="1028"/>
      <c r="D19" s="528"/>
      <c r="E19" s="98"/>
      <c r="F19" s="1240"/>
      <c r="G19" s="1241">
        <v>4</v>
      </c>
      <c r="H19" s="2415"/>
      <c r="I19" s="1503">
        <f t="shared" si="2"/>
        <v>126.113</v>
      </c>
      <c r="J19" s="1503">
        <f t="shared" si="3"/>
        <v>122.158</v>
      </c>
      <c r="K19" s="1503">
        <f>SUMIF(G30:G861,4,K30:K861)</f>
        <v>2.0950000000000002</v>
      </c>
      <c r="L19" s="1503">
        <f>SUMIF(G30:G861,4,L30:L861)</f>
        <v>1.86</v>
      </c>
      <c r="M19" s="1503">
        <f>SUMIF(G30:G861,4,M30:M861)</f>
        <v>0.46799999999999997</v>
      </c>
      <c r="N19" s="1503">
        <f>SUMIF(G30:G861,4,N30:N861)</f>
        <v>77.938999999999993</v>
      </c>
      <c r="O19" s="1503">
        <f>SUMIF(G30:G861,4,O30:O861)</f>
        <v>0</v>
      </c>
      <c r="P19" s="1503">
        <f>SUMIF(G30:G861,4,P30:P861)</f>
        <v>0</v>
      </c>
      <c r="Q19" s="1409">
        <f>SUMIF(G30:G861,4,Q30:Q861)</f>
        <v>43.750999999999998</v>
      </c>
      <c r="R19" s="1410">
        <f>SUMIF(G30:G861,4,R30:R861)</f>
        <v>0</v>
      </c>
      <c r="S19" s="529"/>
      <c r="T19" s="529"/>
      <c r="U19" s="529"/>
      <c r="V19" s="529"/>
      <c r="W19" s="529"/>
      <c r="X19" s="530"/>
      <c r="Y19" s="529"/>
      <c r="Z19" s="1682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ht="15.5" x14ac:dyDescent="0.35">
      <c r="A20" s="448"/>
      <c r="B20" s="1069"/>
      <c r="C20" s="1069"/>
      <c r="D20" s="531"/>
      <c r="E20" s="319"/>
      <c r="F20" s="1258"/>
      <c r="G20" s="1259">
        <v>5</v>
      </c>
      <c r="H20" s="2416"/>
      <c r="I20" s="1503">
        <f t="shared" si="2"/>
        <v>161.18200000000002</v>
      </c>
      <c r="J20" s="1503">
        <f t="shared" si="3"/>
        <v>161.13100000000003</v>
      </c>
      <c r="K20" s="1504">
        <f>SUMIF(G30:G861,5,K30:K861)</f>
        <v>0</v>
      </c>
      <c r="L20" s="1504">
        <f>SUMIF(G30:G861,5,L30:L861)</f>
        <v>5.1000000000000018E-2</v>
      </c>
      <c r="M20" s="1504">
        <f>SUMIF(G30:G861,5,M30:M861)</f>
        <v>0</v>
      </c>
      <c r="N20" s="1504">
        <f>SUMIF(G30:G861,5,N30:N861)</f>
        <v>43.581999999999994</v>
      </c>
      <c r="O20" s="1504">
        <f>SUMIF(G30:G861,5,O30:O861)</f>
        <v>0</v>
      </c>
      <c r="P20" s="1504">
        <f>SUMIF(G30:G861,5,P30:P861)</f>
        <v>0</v>
      </c>
      <c r="Q20" s="1415">
        <f>SUMIF(G30:G861,5,Q30:Q861)</f>
        <v>52.699000000000012</v>
      </c>
      <c r="R20" s="1416">
        <f>SUMIF(G30:G861,5,R30:R861)</f>
        <v>64.850000000000009</v>
      </c>
      <c r="S20" s="532"/>
      <c r="T20" s="532"/>
      <c r="U20" s="532"/>
      <c r="V20" s="532"/>
      <c r="W20" s="532"/>
      <c r="X20" s="533"/>
      <c r="Y20" s="532"/>
      <c r="Z20" s="1727"/>
      <c r="AK20" s="2815" t="s">
        <v>11230</v>
      </c>
      <c r="AL20" s="2579">
        <f>SUMIFS(M30:M950,F30:F950,5,G30:G950,3)</f>
        <v>0</v>
      </c>
      <c r="AM20" s="2817"/>
    </row>
    <row r="21" spans="1:39" ht="15.5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SUMIFS(N30:N950,F30:F950,5,G30:G950,3)</f>
        <v>0</v>
      </c>
      <c r="AM21" s="2817"/>
    </row>
    <row r="22" spans="1:39" ht="15.5" x14ac:dyDescent="0.35">
      <c r="A22" s="285"/>
      <c r="B22" s="993"/>
      <c r="C22" s="993"/>
      <c r="D22" s="538">
        <f>SUMIF(C30:C869,"=сад",AB30:AB869)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SUMIF(C30:C869,"=сад",K30:K869)</f>
        <v>0</v>
      </c>
      <c r="L22" s="2247">
        <f>SUMIF(C30:C869,"=сад",L30:L869)</f>
        <v>0</v>
      </c>
      <c r="M22" s="2247">
        <f>SUMIF(C30:C869,"=сад",M30:M869)</f>
        <v>0</v>
      </c>
      <c r="N22" s="2247">
        <f>SUMIF(C30:C869,"=сад",N30:N869)</f>
        <v>0</v>
      </c>
      <c r="O22" s="2248">
        <f>SUMIF(C30:C869,"=сад",O30:O869)</f>
        <v>0</v>
      </c>
      <c r="P22" s="2247">
        <f>SUMIF(C30:C869,"=сад",P30:P869)</f>
        <v>0</v>
      </c>
      <c r="Q22" s="2249">
        <f>SUMIF(C30:C869,"=сад",Q30:Q869)</f>
        <v>0</v>
      </c>
      <c r="R22" s="2250">
        <f>SUMIF(C30:C869,"=сад",R30:R869)</f>
        <v>0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SUMIFS(O30:O950,F30:F950,5,G30:G950,3)</f>
        <v>0</v>
      </c>
      <c r="AM22" s="2817"/>
    </row>
    <row r="23" spans="1:39" ht="15.5" x14ac:dyDescent="0.35">
      <c r="A23" s="285"/>
      <c r="B23" s="993"/>
      <c r="C23" s="993"/>
      <c r="D23" s="538">
        <f>SUMIF(C30:C870,"=индив",AB30:AB870)</f>
        <v>5</v>
      </c>
      <c r="E23" s="2241" t="s">
        <v>2762</v>
      </c>
      <c r="F23" s="98"/>
      <c r="G23" s="226"/>
      <c r="H23" s="226"/>
      <c r="I23" s="2247">
        <f>J23+K23+L23</f>
        <v>2.577</v>
      </c>
      <c r="J23" s="2247">
        <f>R23+Q23+P23+O23+N23+M23</f>
        <v>2.577</v>
      </c>
      <c r="K23" s="2247">
        <f>SUMIF(C30:C870,"=индив",K30:K870)</f>
        <v>0</v>
      </c>
      <c r="L23" s="2247">
        <f>SUMIF(C30:C870,"=индив",L30:L870)</f>
        <v>0</v>
      </c>
      <c r="M23" s="2247">
        <f>SUMIF(C30:C870,"=индив",M30:M870)</f>
        <v>0</v>
      </c>
      <c r="N23" s="2247">
        <f>SUMIF(C30:C870,"=индив",N30:N870)</f>
        <v>0</v>
      </c>
      <c r="O23" s="2248">
        <f>SUMIF(C30:C870,"=индив",O30:O870)</f>
        <v>0</v>
      </c>
      <c r="P23" s="2247">
        <f>SUMIF(C30:C870,"=индив",P30:P870)</f>
        <v>0</v>
      </c>
      <c r="Q23" s="2249">
        <f>SUMIF(C30:C870,"=индив",Q30:Q870)</f>
        <v>0.377</v>
      </c>
      <c r="R23" s="2250">
        <f>SUMIF(C30:C870,"=индив",R30:R870)</f>
        <v>2.2000000000000002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SUMIFS(P30:P950,F30:F950,5,G30:G950,3)+SUMIFS(Q30:Q950,F30:F950,5,G30:G950,3)</f>
        <v>0</v>
      </c>
      <c r="AM23" s="2817"/>
    </row>
    <row r="24" spans="1:39" ht="15.5" x14ac:dyDescent="0.35">
      <c r="A24" s="285"/>
      <c r="B24" s="993"/>
      <c r="C24" s="993"/>
      <c r="D24" s="538">
        <f>SUMIF(C30:C871,"=кладб",AB30:AB871)</f>
        <v>51</v>
      </c>
      <c r="E24" s="2241" t="s">
        <v>2761</v>
      </c>
      <c r="F24" s="98"/>
      <c r="G24" s="226"/>
      <c r="H24" s="226"/>
      <c r="I24" s="2247">
        <f>J24+K24+L24</f>
        <v>39.860000000000007</v>
      </c>
      <c r="J24" s="2247">
        <f>R24+Q24+P24+O24+N24+M24</f>
        <v>39.860000000000007</v>
      </c>
      <c r="K24" s="2247">
        <f>SUMIF(C30:C871,"=кладб",K30:K871)</f>
        <v>0</v>
      </c>
      <c r="L24" s="2247">
        <f>SUMIF(C30:C871,"=кладб",L30:L871)</f>
        <v>0</v>
      </c>
      <c r="M24" s="2247">
        <f>SUMIF(C30:C871,"=кладб",M30:M871)</f>
        <v>0</v>
      </c>
      <c r="N24" s="2247">
        <f>SUMIF(C30:C871,"=кладб",N30:N871)</f>
        <v>1.2</v>
      </c>
      <c r="O24" s="2248">
        <f>SUMIF(C30:C871,"=кладб",O30:O871)</f>
        <v>0</v>
      </c>
      <c r="P24" s="2247">
        <f>SUMIF(C30:C871,"=кладб",P30:P871)</f>
        <v>0</v>
      </c>
      <c r="Q24" s="2249">
        <f>SUMIF(C30:C871,"=кладб",Q30:Q871)</f>
        <v>0.6</v>
      </c>
      <c r="R24" s="2250">
        <f>SUMIF(C30:C871,"=кладб",R30:R871)</f>
        <v>38.06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SUMIFS(R30:R950,F30:F950,5,G30:G950,3)</f>
        <v>0</v>
      </c>
      <c r="AM24" s="2817"/>
    </row>
    <row r="25" spans="1:39" ht="15.5" x14ac:dyDescent="0.35">
      <c r="A25" s="387"/>
      <c r="B25" s="994"/>
      <c r="C25" s="994"/>
      <c r="D25" s="538">
        <f>SUMIF(C30:C872,"=прир",AB30:AB872)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SUMIF(C30:C872,"=прир",K30:K872)</f>
        <v>0</v>
      </c>
      <c r="L25" s="2259">
        <f>SUMIF(C30:C872,"=прир",L30:L872)</f>
        <v>0</v>
      </c>
      <c r="M25" s="2259">
        <f>SUMIF(C30:C872,"=прир",M30:M872)</f>
        <v>0</v>
      </c>
      <c r="N25" s="2259">
        <f>SUMIF(C30:C872,"=прир",N30:N872)</f>
        <v>0</v>
      </c>
      <c r="O25" s="2260">
        <f>SUMIF(C30:C872,"=прир",O30:O872)</f>
        <v>0</v>
      </c>
      <c r="P25" s="2259">
        <f>SUMIF(C30:C872,"=прир",P30:P872)</f>
        <v>0</v>
      </c>
      <c r="Q25" s="2261">
        <f>SUMIF(C30:C872,"=прир",Q30:Q872)</f>
        <v>0</v>
      </c>
      <c r="R25" s="2262">
        <f>SUMIF(C30:C872,"=прир",R30:R872)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ht="15.5" x14ac:dyDescent="0.35">
      <c r="A26" s="387"/>
      <c r="B26" s="994"/>
      <c r="C26" s="994"/>
      <c r="D26" s="538">
        <f>SUMIF(C30:C873,"=ист",AB30:AB873)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SUMIF(C30:C873,"=ист",K30:K873)</f>
        <v>0</v>
      </c>
      <c r="L26" s="2259">
        <f>SUMIF(C30:C873,"=ист",L30:L873)</f>
        <v>0</v>
      </c>
      <c r="M26" s="2259">
        <f>SUMIF(C30:C873,"=ист",M30:M873)</f>
        <v>0</v>
      </c>
      <c r="N26" s="2259">
        <f>SUMIF(C30:C873,"=ист",N30:N873)</f>
        <v>0</v>
      </c>
      <c r="O26" s="2260">
        <f>SUMIF(C30:C873,"=ист",O30:O873)</f>
        <v>0</v>
      </c>
      <c r="P26" s="2259">
        <f>SUMIF(C30:C873,"=ист",P30:P873)</f>
        <v>0</v>
      </c>
      <c r="Q26" s="2261">
        <f>SUMIF(C30:C873,"=ист",Q30:Q873)</f>
        <v>0</v>
      </c>
      <c r="R26" s="2262">
        <f>SUMIF(C30:C873,"=ист",R30:R873)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SUMIFS(M30:M950,F30:F950,"6а",G30:G950,3)+SUMIFS(M30:M950,F30:F950,"6б",G30:G950,3)+SUMIFS(M30:M950,F30:F950,"б/к",G30:G950,3)</f>
        <v>0</v>
      </c>
      <c r="AM26" s="2817"/>
    </row>
    <row r="27" spans="1:39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SUMIFS(N30:N950,F30:F950,"6а",G30:G950,3)+SUMIFS(N30:N950,F30:F950,"6б",G30:G950,3)+SUMIFS(N30:N950,F30:F950,"б/к",G30:G950,3)</f>
        <v>0</v>
      </c>
      <c r="AM27" s="2817"/>
    </row>
    <row r="28" spans="1:39" thickBot="1" x14ac:dyDescent="0.4">
      <c r="A28" s="450"/>
      <c r="B28" s="995"/>
      <c r="C28" s="995"/>
      <c r="D28" s="462"/>
      <c r="E28" s="451"/>
      <c r="F28" s="451"/>
      <c r="G28" s="451"/>
      <c r="H28" s="451"/>
      <c r="I28" s="2324">
        <f t="shared" ref="I28:R28" si="5">SUBTOTAL(9,I30:I374)</f>
        <v>287.2949999999999</v>
      </c>
      <c r="J28" s="2324">
        <f t="shared" si="5"/>
        <v>283.28899999999993</v>
      </c>
      <c r="K28" s="2324">
        <f t="shared" si="5"/>
        <v>4.1900000000000004</v>
      </c>
      <c r="L28" s="2324">
        <f t="shared" si="5"/>
        <v>3.8220000000000005</v>
      </c>
      <c r="M28" s="2324">
        <f t="shared" si="5"/>
        <v>0.93599999999999994</v>
      </c>
      <c r="N28" s="2324">
        <f t="shared" si="5"/>
        <v>208.20800000000003</v>
      </c>
      <c r="O28" s="2324">
        <f t="shared" si="5"/>
        <v>0</v>
      </c>
      <c r="P28" s="2324">
        <f t="shared" si="5"/>
        <v>0</v>
      </c>
      <c r="Q28" s="2324">
        <f t="shared" si="5"/>
        <v>175.33600000000001</v>
      </c>
      <c r="R28" s="2324">
        <f t="shared" si="5"/>
        <v>79.16500000000002</v>
      </c>
      <c r="S28" s="480"/>
      <c r="T28" s="480"/>
      <c r="U28" s="480"/>
      <c r="V28" s="480"/>
      <c r="W28" s="480"/>
      <c r="X28" s="479"/>
      <c r="Y28" s="480"/>
      <c r="Z28" s="1684"/>
      <c r="AB28" s="2334">
        <f>SUBTOTAL(9,AB30:AB374)</f>
        <v>117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SUMIFS(O30:O950,F30:F950,"6а",G30:G950,3)+SUMIFS(O30:O950,F30:F950,"6б",G30:G950,3)+SUMIFS(O30:O950,F30:F950,"б/к",G30:G950,3)</f>
        <v>0</v>
      </c>
      <c r="AM28" s="2817"/>
    </row>
    <row r="29" spans="1:39" ht="15.5" x14ac:dyDescent="0.35">
      <c r="A29" s="140"/>
      <c r="B29" s="1070"/>
      <c r="C29" s="1070"/>
      <c r="D29" s="461"/>
      <c r="E29" s="1453" t="s">
        <v>2871</v>
      </c>
      <c r="F29" s="22"/>
      <c r="G29" s="22"/>
      <c r="H29" s="22"/>
      <c r="I29" s="483"/>
      <c r="J29" s="483"/>
      <c r="K29" s="483"/>
      <c r="L29" s="483"/>
      <c r="M29" s="546"/>
      <c r="N29" s="484"/>
      <c r="O29" s="485"/>
      <c r="P29" s="483"/>
      <c r="Q29" s="1500"/>
      <c r="R29" s="1497"/>
      <c r="S29" s="22"/>
      <c r="T29" s="257"/>
      <c r="U29" s="22"/>
      <c r="V29" s="22"/>
      <c r="W29" s="22"/>
      <c r="X29" s="22"/>
      <c r="Y29" s="22"/>
      <c r="Z29" s="1728"/>
      <c r="AD29" s="2578" t="s">
        <v>7180</v>
      </c>
      <c r="AE29" s="2579">
        <f>SUMIFS(M30:M884,F30:F884,3,G30:G884,3)+SUMIFS(N30:N884,F30:F884,3,G30:G884,3)+SUMIFS(O30:O884,F30:F884,3,G30:G884,3)+SUMIFS(P30:P884,F30:F884,3,G30:G884,3)+SUMIFS(Q30:Q884,F30:F884,3,G30:G884,3)+SUMIFS(R30:R884,F30:F884,3,G30:G884,3)</f>
        <v>0</v>
      </c>
      <c r="AF29" s="2579">
        <f>SUMIFS(M30:M884,F30:F884,4,G30:G884,3)+SUMIFS(N30:N884,F30:F884,4,G30:G884,3)+SUMIFS(O30:O884,F30:F884,4,G30:G884,3)+SUMIFS(P30:P884,F30:F884,4,G30:G884,3)+SUMIFS(Q30:Q884,F30:F884,4,G30:G884,3)+SUMIFS(R30:R884,F30:F884,4,G30:G884,3)</f>
        <v>0</v>
      </c>
      <c r="AG29" s="2579">
        <f>SUMIFS(M30:M884,F30:F884,5,G30:G884,3)+SUMIFS(N30:N884,F30:F884,5,G30:G884,3)+SUMIFS(O30:O884,F30:F884,5,G30:G884,3)+SUMIFS(P30:P884,F30:F884,5,G30:G884,3)+SUMIFS(Q30:Q884,F30:F884,5,G30:G884,3)+SUMIFS(R30:R884,F30:F884,5,G30:G884,3)</f>
        <v>0</v>
      </c>
      <c r="AH29" s="2579">
        <f>SUMIFS(M30:M884,F30:F884,"6а",G30:G884,3)+SUMIFS(N30:N884,F30:F884,"6а",G30:G884,3)+SUMIFS(O30:O884,F30:F884,"6а",G30:G884,3)+SUMIFS(P30:P884,F30:F884,"6а",G30:G884,3)+SUMIFS(Q30:Q884,F30:F884,"6а",G30:G884,3)+SUMIFS(R30:R884,F30:F884,"6а",G30:G884,3)</f>
        <v>0</v>
      </c>
      <c r="AI29" s="2579">
        <f>SUMIFS(M30:M884,F30:F884,"6б",G30:G884,3)+SUMIFS(N30:N884,F30:F884,"6б",G30:G884,3)+SUMIFS(O30:O884,F30:F884,"6б",G30:G884,3)+SUMIFS(P30:P884,F30:F884,"6б",G30:G884,3)+SUMIFS(Q30:Q884,F30:F884,"6б",G30:G884,3)+SUMIFS(R30:R884,F30:F884,"6б",G30:G884,3)</f>
        <v>0</v>
      </c>
      <c r="AJ29" s="2580">
        <f>SUMIFS(M30:M884,F30:F884,"б/к",G30:G884,3)+SUMIFS(N30:N884,F30:F884,"б/к",G30:G884,3)+SUMIFS(O30:O884,F30:F884,"б/к",G30:G884,3)+SUMIFS(P30:P884,F30:F884,"б/к",G30:G884,3)+SUMIFS(Q30:Q884,F30:F884,"б/к",G30:G884,3)+SUMIFS(R30:R884,F30:F884,"б/к",G30:G884,3)</f>
        <v>0</v>
      </c>
      <c r="AK29" s="2815" t="s">
        <v>11233</v>
      </c>
      <c r="AL29" s="2579">
        <f>SUMIFS(P30:P950,F30:F950,"6а",G30:G950,3)+SUMIFS(Q30:Q950,F30:F950,"6а",G30:G950,3)+SUMIFS(P30:P950,F30:F950,"6б",G30:G950,3)+SUMIFS(Q30:Q950,F30:F950,"6б",G30:G950,3)+SUMIFS(P30:P950,F30:F950,"б/к",G30:G950,3)+SUMIFS(Q30:Q950,F30:F950,"б/к",G30:G950,3)</f>
        <v>0</v>
      </c>
      <c r="AM29" s="2817"/>
    </row>
    <row r="30" spans="1:39" ht="30" x14ac:dyDescent="0.35">
      <c r="A30" s="294">
        <v>1</v>
      </c>
      <c r="B30" s="293">
        <v>11351</v>
      </c>
      <c r="C30" s="293"/>
      <c r="D30" s="348" t="s">
        <v>2953</v>
      </c>
      <c r="E30" s="516" t="s">
        <v>7175</v>
      </c>
      <c r="F30" s="2289"/>
      <c r="G30" s="2289" t="s">
        <v>191</v>
      </c>
      <c r="H30" s="2289" t="s">
        <v>191</v>
      </c>
      <c r="I30" s="518">
        <f>J30+K30+L30</f>
        <v>9.0500000000000007</v>
      </c>
      <c r="J30" s="518">
        <f>SUM(M30:R30)</f>
        <v>8.2850000000000001</v>
      </c>
      <c r="K30" s="518">
        <f>SUM(K31:K34)</f>
        <v>0.76500000000000001</v>
      </c>
      <c r="L30" s="518"/>
      <c r="M30" s="518"/>
      <c r="N30" s="2011">
        <f>SUM(N31:N34)</f>
        <v>6.5350000000000001</v>
      </c>
      <c r="O30" s="2012"/>
      <c r="P30" s="518"/>
      <c r="Q30" s="2013">
        <f>SUM(Q31:Q34)</f>
        <v>1.7500000000000009</v>
      </c>
      <c r="R30" s="2014"/>
      <c r="S30" s="39">
        <v>1</v>
      </c>
      <c r="T30" s="279">
        <v>30.2</v>
      </c>
      <c r="U30" s="39"/>
      <c r="V30" s="39"/>
      <c r="W30" s="42">
        <v>21</v>
      </c>
      <c r="X30" s="279">
        <v>298.64999999999998</v>
      </c>
      <c r="Y30" s="42">
        <v>6</v>
      </c>
      <c r="Z30" s="2015">
        <v>60</v>
      </c>
      <c r="AA30" s="3"/>
      <c r="AB30">
        <v>1</v>
      </c>
      <c r="AD30" s="2578" t="s">
        <v>7181</v>
      </c>
      <c r="AE30" s="2579">
        <f>SUMIFS(M30:M884,F30:F884,3,G30:G884,4)+SUMIFS(N30:N884,F30:F884,3,G30:G884,4)+SUMIFS(O30:O884,F30:F884,3,G30:G884,4)+SUMIFS(P30:P884,F30:F884,3,G30:G884,4)+SUMIFS(Q30:Q884,F30:F884,3,G30:G884,4)+SUMIFS(R30:R884,F30:F884,3,G30:G884,4)</f>
        <v>0</v>
      </c>
      <c r="AF30" s="2579">
        <f>SUMIFS(M30:M884,F30:F884,4,G30:G884,4)+SUMIFS(N30:N884,F30:F884,4,G30:G884,4)+SUMIFS(O30:O884,F30:F884,4,G30:G884,4)+SUMIFS(P30:P884,F30:F884,4,G30:G884,4)+SUMIFS(Q30:Q884,F30:F884,4,G30:G884,4)+SUMIFS(R30:R884,F30:F884,4,G30:G884,4)</f>
        <v>122.15799999999999</v>
      </c>
      <c r="AG30" s="2579">
        <f>SUMIFS(M30:M884,F30:F884,5,G30:G884,4)+SUMIFS(N30:N884,F30:F884,5,G30:G884,4)+SUMIFS(O30:O884,F30:F884,5,G30:G884,4)+SUMIFS(P30:P884,F30:F884,5,G30:G884,4)+SUMIFS(Q30:Q884,F30:F884,5,G30:G884,4)+SUMIFS(R30:R884,F30:F884,5,G30:G884,4)</f>
        <v>0</v>
      </c>
      <c r="AH30" s="2579">
        <f>SUMIFS(M30:M884,F30:F884,"6а",G30:G884,4)+SUMIFS(N30:N884,F30:F884,"6а",G30:G884,4)+SUMIFS(O30:O884,F30:F884,"6а",G30:G884,4)+SUMIFS(P30:P884,F30:F884,"6а",G30:G884,4)+SUMIFS(Q30:Q884,F30:F884,"6а",G30:G884,4)+SUMIFS(R30:R884,F30:F884,"6а",G30:G884,4)</f>
        <v>0</v>
      </c>
      <c r="AI30" s="2579">
        <f>SUMIFS(M30:M884,F30:F884,"6б",G30:G884,4)+SUMIFS(N30:N884,F30:F884,"6б",G30:G884,4)+SUMIFS(O30:O884,F30:F884,"6б",G30:G884,4)+SUMIFS(P30:P884,F30:F884,"6б",G30:G884,4)+SUMIFS(Q30:Q884,F30:F884,"6б",G30:G884,4)+SUMIFS(R30:R884,F30:F884,"6б",G30:G884,4)</f>
        <v>0</v>
      </c>
      <c r="AJ30" s="2580">
        <f>SUMIFS(M30:M884,F30:F884,"б/к",G30:G884,4)+SUMIFS(N30:N884,F30:F884,"б/к",G30:G884,4)+SUMIFS(O30:O884,F30:F884,"б/к",G30:G884,4)+SUMIFS(P30:P884,F30:F884,"б/к",G30:G884,4)+SUMIFS(Q30:Q884,F30:F884,"б/к",G30:G884,4)+SUMIFS(R30:R884,F30:F884,"б/к",G30:G884,4)</f>
        <v>0</v>
      </c>
      <c r="AK30" s="2815" t="s">
        <v>910</v>
      </c>
      <c r="AL30" s="2579">
        <f>SUMIFS(R30:R950,F30:F950,"6а",G30:G950,3)+SUMIFS(R30:R950,F30:F950,"6б",G30:G950,3)+SUMIFS(R30:R950,F30:F950,"б/к",G30:G950,3)</f>
        <v>0</v>
      </c>
      <c r="AM30" s="2817"/>
    </row>
    <row r="31" spans="1:39" ht="46.5" x14ac:dyDescent="0.35">
      <c r="A31" s="295"/>
      <c r="B31" s="293">
        <v>11351</v>
      </c>
      <c r="C31" s="293"/>
      <c r="D31" s="348"/>
      <c r="E31" s="519" t="s">
        <v>9888</v>
      </c>
      <c r="F31" s="166">
        <v>4</v>
      </c>
      <c r="G31" s="40">
        <v>4</v>
      </c>
      <c r="H31" s="40" t="s">
        <v>191</v>
      </c>
      <c r="I31" s="518" t="s">
        <v>2031</v>
      </c>
      <c r="J31" s="518"/>
      <c r="K31" s="524">
        <v>0.76500000000000001</v>
      </c>
      <c r="L31" s="518"/>
      <c r="M31" s="518"/>
      <c r="N31" s="2011"/>
      <c r="O31" s="2012"/>
      <c r="P31" s="518"/>
      <c r="Q31" s="2016"/>
      <c r="R31" s="2014"/>
      <c r="S31" s="42"/>
      <c r="T31" s="281"/>
      <c r="U31" s="42"/>
      <c r="V31" s="42"/>
      <c r="W31" s="42"/>
      <c r="X31" s="281"/>
      <c r="Y31" s="42"/>
      <c r="Z31" s="2015"/>
      <c r="AA31" s="3"/>
      <c r="AD31" s="2581" t="s">
        <v>7182</v>
      </c>
      <c r="AE31" s="2582">
        <f>SUMIFS(M30:M884,F30:F884,3,G30:G884,5)+SUMIFS(N30:N884,F30:F884,3,G30:G884,5)+SUMIFS(O30:O884,F30:F884,3,G30:G884,5)+SUMIFS(P30:P884,F30:F884,3,G30:G884,5)+SUMIFS(Q30:Q884,F30:F884,3,G30:G884,5)+SUMIFS(R30:R884,F30:F884,3,G30:G884,5)</f>
        <v>0</v>
      </c>
      <c r="AF31" s="2582">
        <f>SUMIFS(M30:M884,F30:F884,4,G30:G884,5)+SUMIFS(N30:N884,F30:F884,4,G30:G884,5)+SUMIFS(O30:O884,F30:F884,4,G30:G884,5)+SUMIFS(P30:P884,F30:F884,4,G30:G884,5)+SUMIFS(Q30:Q884,F30:F884,4,G30:G884,5)+SUMIFS(R30:R884,F30:F884,4,G30:G884,5)</f>
        <v>12.194999999999999</v>
      </c>
      <c r="AG31" s="2582">
        <f>SUMIFS(M30:M884,F30:F884,5,G30:G884,5)+SUMIFS(N30:N884,F30:F884,5,G30:G884,5)+SUMIFS(O30:O884,F30:F884,5,G30:G884,5)+SUMIFS(P30:P884,F30:F884,5,G30:G884,5)+SUMIFS(Q30:Q884,F30:F884,5,G30:G884,5)+SUMIFS(R30:R884,F30:F884,5,G30:G884,5)</f>
        <v>63.63</v>
      </c>
      <c r="AH31" s="2582">
        <f>SUMIFS(M30:M884,F30:F884,"6а",G30:G884,5)+SUMIFS(N30:N884,F30:F884,"6а",G30:G884,5)+SUMIFS(O30:O884,F30:F884,"6а",G30:G884,5)+SUMIFS(P30:P884,F30:F884,"6а",G30:G884,5)+SUMIFS(Q30:Q884,F30:F884,"6а",G30:G884,5)+SUMIFS(R30:R884,F30:F884,"6а",G30:G884,5)</f>
        <v>25.512000000000004</v>
      </c>
      <c r="AI31" s="2582">
        <f>SUMIFS(M30:M884,F30:F884,"6б",G30:G884,5)+SUMIFS(N30:N884,F30:F884,"6б",G30:G884,5)+SUMIFS(O30:O884,F30:F884,"6б",G30:G884,5)+SUMIFS(P30:P884,F30:F884,"6б",G30:G884,5)+SUMIFS(Q30:Q884,F30:F884,"6б",G30:G884,5)+SUMIFS(R30:R884,F30:F884,"6б",G30:G884,5)</f>
        <v>10.01</v>
      </c>
      <c r="AJ31" s="2583">
        <f>SUMIFS(M30:M884,F30:F884,"б/к",G30:G884,5)+SUMIFS(N30:N884,F30:F884,"б/к",G30:G884,5)+SUMIFS(O30:O884,F30:F884,"б/к",G30:G884,5)+SUMIFS(P30:P884,F30:F884,"б/к",G30:G884,5)+SUMIFS(Q30:Q884,F30:F884,"б/к",G30:G884,5)+SUMIFS(R30:R884,F30:F884,"б/к",G30:G884,5)</f>
        <v>49.784000000000006</v>
      </c>
      <c r="AK31" s="2815"/>
      <c r="AL31" s="2579"/>
      <c r="AM31" s="2817"/>
    </row>
    <row r="32" spans="1:39" ht="46.5" x14ac:dyDescent="0.35">
      <c r="A32" s="295"/>
      <c r="B32" s="293">
        <v>11351</v>
      </c>
      <c r="C32" s="293"/>
      <c r="D32" s="348"/>
      <c r="E32" s="519" t="s">
        <v>9889</v>
      </c>
      <c r="F32" s="166"/>
      <c r="G32" s="40" t="s">
        <v>191</v>
      </c>
      <c r="H32" s="40" t="s">
        <v>191</v>
      </c>
      <c r="I32" s="518"/>
      <c r="J32" s="518"/>
      <c r="K32" s="524"/>
      <c r="L32" s="518"/>
      <c r="M32" s="518"/>
      <c r="N32" s="2011"/>
      <c r="O32" s="2012"/>
      <c r="P32" s="518"/>
      <c r="Q32" s="2016"/>
      <c r="R32" s="2014"/>
      <c r="S32" s="42"/>
      <c r="T32" s="281"/>
      <c r="U32" s="42"/>
      <c r="V32" s="42"/>
      <c r="W32" s="42"/>
      <c r="X32" s="281"/>
      <c r="Y32" s="42"/>
      <c r="Z32" s="2015"/>
      <c r="AA32" s="3"/>
      <c r="AE32" s="1572"/>
      <c r="AI32" s="2584" t="s">
        <v>7183</v>
      </c>
      <c r="AJ32" s="2585">
        <f>SUMIF(AB30:AB884,"=1",J30:J884)</f>
        <v>283.28899999999993</v>
      </c>
      <c r="AK32" s="2818" t="s">
        <v>11235</v>
      </c>
      <c r="AL32" s="2821">
        <f>AL34+AL40+AL46</f>
        <v>122.15799999999999</v>
      </c>
      <c r="AM32" s="2820">
        <f>AL32-J19</f>
        <v>0</v>
      </c>
    </row>
    <row r="33" spans="1:39" ht="15.5" x14ac:dyDescent="0.35">
      <c r="A33" s="295"/>
      <c r="B33" s="293">
        <v>11351</v>
      </c>
      <c r="C33" s="293"/>
      <c r="D33" s="348"/>
      <c r="E33" s="519" t="s">
        <v>1378</v>
      </c>
      <c r="F33" s="2289">
        <v>4</v>
      </c>
      <c r="G33" s="2289">
        <v>4</v>
      </c>
      <c r="H33" s="2289">
        <v>6</v>
      </c>
      <c r="I33" s="518"/>
      <c r="J33" s="518"/>
      <c r="K33" s="524"/>
      <c r="L33" s="518"/>
      <c r="M33" s="518"/>
      <c r="N33" s="2017">
        <f>7.3-0.765</f>
        <v>6.5350000000000001</v>
      </c>
      <c r="O33" s="2012"/>
      <c r="P33" s="518"/>
      <c r="Q33" s="2016"/>
      <c r="R33" s="2014"/>
      <c r="S33" s="42"/>
      <c r="T33" s="281"/>
      <c r="U33" s="42"/>
      <c r="V33" s="42"/>
      <c r="W33" s="42"/>
      <c r="X33" s="281"/>
      <c r="Y33" s="42"/>
      <c r="Z33" s="2015"/>
      <c r="AA33" s="3"/>
      <c r="AE33" s="1572"/>
      <c r="AJ33" s="2585">
        <f>SUM(AE29:AJ31)-AJ32</f>
        <v>0</v>
      </c>
      <c r="AK33" s="2815" t="s">
        <v>11229</v>
      </c>
      <c r="AL33" s="2579"/>
      <c r="AM33" s="2817"/>
    </row>
    <row r="34" spans="1:39" ht="15.5" x14ac:dyDescent="0.35">
      <c r="A34" s="295"/>
      <c r="B34" s="293">
        <v>11351</v>
      </c>
      <c r="C34" s="293"/>
      <c r="D34" s="348"/>
      <c r="E34" s="2004" t="s">
        <v>2954</v>
      </c>
      <c r="F34" s="2289">
        <v>4</v>
      </c>
      <c r="G34" s="2289">
        <v>4</v>
      </c>
      <c r="H34" s="2289">
        <v>6</v>
      </c>
      <c r="I34" s="518"/>
      <c r="J34" s="518"/>
      <c r="K34" s="524"/>
      <c r="L34" s="518"/>
      <c r="M34" s="518"/>
      <c r="N34" s="2011"/>
      <c r="O34" s="2012"/>
      <c r="P34" s="518"/>
      <c r="Q34" s="2018">
        <f>9.05-7.3</f>
        <v>1.7500000000000009</v>
      </c>
      <c r="R34" s="2014"/>
      <c r="S34" s="42"/>
      <c r="T34" s="281"/>
      <c r="U34" s="42"/>
      <c r="V34" s="42"/>
      <c r="W34" s="42"/>
      <c r="X34" s="281"/>
      <c r="Y34" s="42"/>
      <c r="Z34" s="2015"/>
      <c r="AA34" s="3"/>
      <c r="AK34" s="2818" t="s">
        <v>7184</v>
      </c>
      <c r="AL34" s="2821">
        <f>AL35+AL36+AL37+AL38+AL39</f>
        <v>122.15799999999999</v>
      </c>
      <c r="AM34" s="2820">
        <f>AL34-AF30</f>
        <v>0</v>
      </c>
    </row>
    <row r="35" spans="1:39" ht="90" x14ac:dyDescent="0.35">
      <c r="A35" s="295">
        <v>2</v>
      </c>
      <c r="B35" s="293">
        <v>11351</v>
      </c>
      <c r="C35" s="293" t="s">
        <v>1657</v>
      </c>
      <c r="D35" s="2472" t="s">
        <v>6139</v>
      </c>
      <c r="E35" s="516" t="s">
        <v>10215</v>
      </c>
      <c r="F35" s="166" t="s">
        <v>1490</v>
      </c>
      <c r="G35" s="40">
        <v>5</v>
      </c>
      <c r="H35" s="40">
        <v>6</v>
      </c>
      <c r="I35" s="518">
        <f>J35+K35+L35</f>
        <v>0.7</v>
      </c>
      <c r="J35" s="518">
        <f>SUM(M35:R35)</f>
        <v>0.7</v>
      </c>
      <c r="K35" s="524"/>
      <c r="L35" s="518"/>
      <c r="M35" s="518"/>
      <c r="N35" s="2011"/>
      <c r="O35" s="2012"/>
      <c r="P35" s="518"/>
      <c r="Q35" s="2016"/>
      <c r="R35" s="2014">
        <v>0.7</v>
      </c>
      <c r="S35" s="42"/>
      <c r="T35" s="281"/>
      <c r="U35" s="42"/>
      <c r="V35" s="42"/>
      <c r="W35" s="42"/>
      <c r="X35" s="281"/>
      <c r="Y35" s="42"/>
      <c r="Z35" s="2015"/>
      <c r="AA35" s="3"/>
      <c r="AB35">
        <v>1</v>
      </c>
      <c r="AE35" s="2461">
        <f t="shared" ref="AE35:AE47" si="6">SUMIF(D35,"=П",AB35)</f>
        <v>0</v>
      </c>
      <c r="AF35" s="2462"/>
      <c r="AK35" s="2815" t="s">
        <v>11230</v>
      </c>
      <c r="AL35" s="2579">
        <f>SUMIFS(M30:M950,F30:F950,4,G30:G950,4)</f>
        <v>0.46799999999999997</v>
      </c>
      <c r="AM35" s="2817"/>
    </row>
    <row r="36" spans="1:39" ht="90" x14ac:dyDescent="0.35">
      <c r="A36" s="295">
        <v>3</v>
      </c>
      <c r="B36" s="293">
        <v>11351</v>
      </c>
      <c r="C36" s="293" t="s">
        <v>1657</v>
      </c>
      <c r="D36" s="2472" t="s">
        <v>6140</v>
      </c>
      <c r="E36" s="516" t="s">
        <v>10216</v>
      </c>
      <c r="F36" s="166" t="s">
        <v>1490</v>
      </c>
      <c r="G36" s="2323">
        <v>5</v>
      </c>
      <c r="H36" s="40">
        <v>6</v>
      </c>
      <c r="I36" s="518">
        <f>J36+K36+L36</f>
        <v>0.3</v>
      </c>
      <c r="J36" s="518">
        <f>SUM(M36:R36)</f>
        <v>0.3</v>
      </c>
      <c r="K36" s="524"/>
      <c r="L36" s="518"/>
      <c r="M36" s="518"/>
      <c r="N36" s="2011"/>
      <c r="O36" s="2012"/>
      <c r="P36" s="518"/>
      <c r="Q36" s="2016"/>
      <c r="R36" s="2014">
        <v>0.3</v>
      </c>
      <c r="S36" s="42"/>
      <c r="T36" s="281"/>
      <c r="U36" s="42"/>
      <c r="V36" s="42"/>
      <c r="W36" s="42"/>
      <c r="X36" s="281"/>
      <c r="Y36" s="42"/>
      <c r="Z36" s="2015"/>
      <c r="AA36" s="3"/>
      <c r="AB36">
        <v>1</v>
      </c>
      <c r="AE36" s="2461">
        <f t="shared" si="6"/>
        <v>0</v>
      </c>
      <c r="AF36" s="68"/>
      <c r="AK36" s="2815" t="s">
        <v>11231</v>
      </c>
      <c r="AL36" s="2579">
        <f>SUMIFS(N30:N950,F30:F950,4,G30:G950,4)</f>
        <v>77.938999999999993</v>
      </c>
      <c r="AM36" s="2817"/>
    </row>
    <row r="37" spans="1:39" ht="45" x14ac:dyDescent="0.35">
      <c r="A37" s="295">
        <v>4</v>
      </c>
      <c r="B37" s="293">
        <v>11351</v>
      </c>
      <c r="C37" s="358" t="s">
        <v>1656</v>
      </c>
      <c r="D37" s="2472" t="s">
        <v>6141</v>
      </c>
      <c r="E37" s="1999" t="s">
        <v>8946</v>
      </c>
      <c r="F37" s="2289" t="s">
        <v>664</v>
      </c>
      <c r="G37" s="2289">
        <v>5</v>
      </c>
      <c r="H37" s="40">
        <v>6</v>
      </c>
      <c r="I37" s="297">
        <f>J37+K37+L37</f>
        <v>0.3</v>
      </c>
      <c r="J37" s="297">
        <f>SUM(M37:R37)</f>
        <v>0.3</v>
      </c>
      <c r="K37" s="524"/>
      <c r="L37" s="518"/>
      <c r="M37" s="518"/>
      <c r="N37" s="2011"/>
      <c r="O37" s="2012"/>
      <c r="P37" s="518"/>
      <c r="Q37" s="2016"/>
      <c r="R37" s="2014">
        <v>0.3</v>
      </c>
      <c r="S37" s="42"/>
      <c r="T37" s="281"/>
      <c r="U37" s="42"/>
      <c r="V37" s="42"/>
      <c r="W37" s="42"/>
      <c r="X37" s="281"/>
      <c r="Y37" s="42"/>
      <c r="Z37" s="2015"/>
      <c r="AA37" s="3"/>
      <c r="AB37">
        <v>1</v>
      </c>
      <c r="AE37" s="2461">
        <f t="shared" si="6"/>
        <v>0</v>
      </c>
      <c r="AF37" s="68"/>
      <c r="AK37" s="2815" t="s">
        <v>11232</v>
      </c>
      <c r="AL37" s="2579">
        <f>SUMIFS(O30:O950,F30:F950,4,G30:G950,4)</f>
        <v>0</v>
      </c>
      <c r="AM37" s="2817"/>
    </row>
    <row r="38" spans="1:39" ht="60" x14ac:dyDescent="0.35">
      <c r="A38" s="295">
        <v>5</v>
      </c>
      <c r="B38" s="999">
        <v>11351</v>
      </c>
      <c r="C38" s="999" t="s">
        <v>1656</v>
      </c>
      <c r="D38" s="2472" t="s">
        <v>6142</v>
      </c>
      <c r="E38" s="1999" t="s">
        <v>8947</v>
      </c>
      <c r="F38" s="2289" t="s">
        <v>664</v>
      </c>
      <c r="G38" s="41">
        <v>5</v>
      </c>
      <c r="H38" s="40">
        <v>6</v>
      </c>
      <c r="I38" s="297">
        <f>J38+K38+L38</f>
        <v>1.5</v>
      </c>
      <c r="J38" s="297">
        <f>SUM(M38:R38)</f>
        <v>1.5</v>
      </c>
      <c r="K38" s="576"/>
      <c r="L38" s="576"/>
      <c r="M38" s="576"/>
      <c r="N38" s="576"/>
      <c r="O38" s="576"/>
      <c r="P38" s="576"/>
      <c r="Q38" s="2023"/>
      <c r="R38" s="2014">
        <v>1.5</v>
      </c>
      <c r="S38" s="93"/>
      <c r="T38" s="2021"/>
      <c r="U38" s="93"/>
      <c r="V38" s="93"/>
      <c r="W38" s="93"/>
      <c r="X38" s="2021"/>
      <c r="Y38" s="93"/>
      <c r="Z38" s="2024"/>
      <c r="AA38" s="3"/>
      <c r="AB38">
        <v>1</v>
      </c>
      <c r="AE38" s="2461">
        <f t="shared" si="6"/>
        <v>0</v>
      </c>
      <c r="AF38" s="68"/>
      <c r="AK38" s="2815" t="s">
        <v>11233</v>
      </c>
      <c r="AL38" s="2579">
        <f>SUMIFS(P30:P950,F30:F950,4,G30:G950,4)+SUMIFS(Q30:Q950,F30:F950,4,G30:G950,4)</f>
        <v>43.750999999999998</v>
      </c>
      <c r="AM38" s="2817"/>
    </row>
    <row r="39" spans="1:39" ht="45" x14ac:dyDescent="0.35">
      <c r="A39" s="295">
        <v>6</v>
      </c>
      <c r="B39" s="293">
        <v>11353</v>
      </c>
      <c r="C39" s="293"/>
      <c r="D39" s="348" t="s">
        <v>2955</v>
      </c>
      <c r="E39" s="516" t="s">
        <v>11322</v>
      </c>
      <c r="F39" s="2289"/>
      <c r="G39" s="41" t="s">
        <v>191</v>
      </c>
      <c r="H39" s="2289" t="s">
        <v>191</v>
      </c>
      <c r="I39" s="518">
        <f>J39+K39+L39</f>
        <v>13.94</v>
      </c>
      <c r="J39" s="518">
        <f>SUM(M39:R39)</f>
        <v>12.61</v>
      </c>
      <c r="K39" s="518">
        <f>SUM(K40:K44)</f>
        <v>1.33</v>
      </c>
      <c r="L39" s="518"/>
      <c r="M39" s="518"/>
      <c r="N39" s="2011">
        <f>SUM(N40:N44)</f>
        <v>8.9969999999999999</v>
      </c>
      <c r="O39" s="2012"/>
      <c r="P39" s="518"/>
      <c r="Q39" s="2013">
        <f>SUM(Q40:Q44)</f>
        <v>3.6129999999999995</v>
      </c>
      <c r="R39" s="2014"/>
      <c r="S39" s="39"/>
      <c r="T39" s="279"/>
      <c r="U39" s="39"/>
      <c r="V39" s="39"/>
      <c r="W39" s="42">
        <v>19</v>
      </c>
      <c r="X39" s="279">
        <v>264.94</v>
      </c>
      <c r="Y39" s="42">
        <v>5</v>
      </c>
      <c r="Z39" s="2015">
        <v>55.5</v>
      </c>
      <c r="AA39" s="3"/>
      <c r="AB39">
        <v>1</v>
      </c>
      <c r="AE39" s="2461">
        <f t="shared" si="6"/>
        <v>0</v>
      </c>
      <c r="AF39" s="68"/>
      <c r="AK39" s="2815" t="s">
        <v>910</v>
      </c>
      <c r="AL39" s="2579">
        <f>SUMIFS(R30:R950,F30:F950,4,G30:G950,4)</f>
        <v>0</v>
      </c>
      <c r="AM39" s="2817"/>
    </row>
    <row r="40" spans="1:39" ht="46.5" x14ac:dyDescent="0.35">
      <c r="A40" s="295"/>
      <c r="B40" s="293">
        <v>11353</v>
      </c>
      <c r="C40" s="293"/>
      <c r="D40" s="348"/>
      <c r="E40" s="519" t="s">
        <v>9890</v>
      </c>
      <c r="F40" s="2289">
        <v>4</v>
      </c>
      <c r="G40" s="41">
        <v>4</v>
      </c>
      <c r="H40" s="41" t="s">
        <v>191</v>
      </c>
      <c r="I40" s="518"/>
      <c r="J40" s="518"/>
      <c r="K40" s="524">
        <v>1.33</v>
      </c>
      <c r="L40" s="518"/>
      <c r="M40" s="518"/>
      <c r="N40" s="2011"/>
      <c r="O40" s="2012"/>
      <c r="P40" s="518"/>
      <c r="Q40" s="2016"/>
      <c r="R40" s="2014"/>
      <c r="S40" s="39"/>
      <c r="T40" s="279"/>
      <c r="U40" s="39"/>
      <c r="V40" s="39"/>
      <c r="W40" s="42"/>
      <c r="X40" s="279"/>
      <c r="Y40" s="42"/>
      <c r="Z40" s="2015"/>
      <c r="AA40" s="3"/>
      <c r="AE40" s="2461">
        <f t="shared" si="6"/>
        <v>0</v>
      </c>
      <c r="AF40" s="68"/>
      <c r="AK40" s="2818" t="s">
        <v>7185</v>
      </c>
      <c r="AL40" s="2821">
        <f>AL41+AL42+AL43+AL44+AL45</f>
        <v>0</v>
      </c>
      <c r="AM40" s="2820">
        <f>AL40-AG30</f>
        <v>0</v>
      </c>
    </row>
    <row r="41" spans="1:39" ht="46.5" x14ac:dyDescent="0.35">
      <c r="A41" s="295"/>
      <c r="B41" s="293">
        <v>11353</v>
      </c>
      <c r="C41" s="293"/>
      <c r="D41" s="348"/>
      <c r="E41" s="519" t="s">
        <v>9891</v>
      </c>
      <c r="F41" s="2289"/>
      <c r="G41" s="41" t="s">
        <v>191</v>
      </c>
      <c r="H41" s="41" t="s">
        <v>191</v>
      </c>
      <c r="I41" s="518"/>
      <c r="J41" s="518"/>
      <c r="K41" s="524"/>
      <c r="L41" s="518"/>
      <c r="M41" s="518"/>
      <c r="N41" s="2011"/>
      <c r="O41" s="2012"/>
      <c r="P41" s="518"/>
      <c r="Q41" s="2016"/>
      <c r="R41" s="2014"/>
      <c r="S41" s="39"/>
      <c r="T41" s="279"/>
      <c r="U41" s="39"/>
      <c r="V41" s="39"/>
      <c r="W41" s="42"/>
      <c r="X41" s="279"/>
      <c r="Y41" s="42"/>
      <c r="Z41" s="2015"/>
      <c r="AA41" s="3"/>
      <c r="AE41" s="2461">
        <f t="shared" si="6"/>
        <v>0</v>
      </c>
      <c r="AF41" s="68"/>
      <c r="AK41" s="2815" t="s">
        <v>11230</v>
      </c>
      <c r="AL41" s="2579">
        <f>SUMIFS(M30:M950,F30:F950,5,G30:G950,4)</f>
        <v>0</v>
      </c>
      <c r="AM41" s="2817"/>
    </row>
    <row r="42" spans="1:39" ht="15.5" x14ac:dyDescent="0.35">
      <c r="A42" s="295"/>
      <c r="B42" s="293"/>
      <c r="C42" s="293"/>
      <c r="D42" s="348"/>
      <c r="E42" s="519" t="s">
        <v>144</v>
      </c>
      <c r="F42" s="2289">
        <v>4</v>
      </c>
      <c r="G42" s="41">
        <v>4</v>
      </c>
      <c r="H42" s="41">
        <v>6</v>
      </c>
      <c r="I42" s="524"/>
      <c r="J42" s="524"/>
      <c r="K42" s="524"/>
      <c r="L42" s="524"/>
      <c r="M42" s="524"/>
      <c r="N42" s="2017">
        <f>6-1.33</f>
        <v>4.67</v>
      </c>
      <c r="O42" s="2012"/>
      <c r="P42" s="518"/>
      <c r="Q42" s="2016"/>
      <c r="R42" s="2014"/>
      <c r="S42" s="39"/>
      <c r="T42" s="279"/>
      <c r="U42" s="39"/>
      <c r="V42" s="39"/>
      <c r="W42" s="42"/>
      <c r="X42" s="279"/>
      <c r="Y42" s="42"/>
      <c r="Z42" s="2015"/>
      <c r="AA42" s="3"/>
      <c r="AE42" s="2461">
        <f t="shared" si="6"/>
        <v>0</v>
      </c>
      <c r="AF42" s="68"/>
      <c r="AK42" s="2815" t="s">
        <v>11231</v>
      </c>
      <c r="AL42" s="2579">
        <f>SUMIFS(N30:N950,F30:F950,5,G30:G950,4)</f>
        <v>0</v>
      </c>
      <c r="AM42" s="2817"/>
    </row>
    <row r="43" spans="1:39" ht="15.5" x14ac:dyDescent="0.35">
      <c r="A43" s="295"/>
      <c r="B43" s="293">
        <v>11353</v>
      </c>
      <c r="C43" s="293"/>
      <c r="D43" s="348"/>
      <c r="E43" s="519" t="s">
        <v>143</v>
      </c>
      <c r="F43" s="2289">
        <v>4</v>
      </c>
      <c r="G43" s="41">
        <v>4</v>
      </c>
      <c r="H43" s="2289">
        <v>10</v>
      </c>
      <c r="I43" s="524"/>
      <c r="J43" s="524"/>
      <c r="K43" s="524"/>
      <c r="L43" s="524"/>
      <c r="M43" s="524"/>
      <c r="N43" s="2017">
        <f>10.327-6</f>
        <v>4.327</v>
      </c>
      <c r="O43" s="2022"/>
      <c r="P43" s="524"/>
      <c r="Q43" s="2018"/>
      <c r="R43" s="2014"/>
      <c r="S43" s="42"/>
      <c r="T43" s="281"/>
      <c r="U43" s="42"/>
      <c r="V43" s="42"/>
      <c r="W43" s="42"/>
      <c r="X43" s="279"/>
      <c r="Y43" s="42"/>
      <c r="Z43" s="2015"/>
      <c r="AA43" s="3"/>
      <c r="AE43" s="2461">
        <f t="shared" si="6"/>
        <v>0</v>
      </c>
      <c r="AF43" s="68"/>
      <c r="AK43" s="2815" t="s">
        <v>11232</v>
      </c>
      <c r="AL43" s="2579">
        <f>SUMIFS(O30:O950,F30:F950,5,G30:G950,4)</f>
        <v>0</v>
      </c>
      <c r="AM43" s="2817"/>
    </row>
    <row r="44" spans="1:39" ht="15.5" x14ac:dyDescent="0.35">
      <c r="A44" s="295"/>
      <c r="B44" s="293">
        <v>11353</v>
      </c>
      <c r="C44" s="293"/>
      <c r="D44" s="348"/>
      <c r="E44" s="2004" t="s">
        <v>3175</v>
      </c>
      <c r="F44" s="2289">
        <v>4</v>
      </c>
      <c r="G44" s="41">
        <v>4</v>
      </c>
      <c r="H44" s="2289">
        <v>6</v>
      </c>
      <c r="I44" s="518"/>
      <c r="J44" s="518"/>
      <c r="K44" s="518"/>
      <c r="L44" s="518"/>
      <c r="M44" s="518"/>
      <c r="N44" s="2017"/>
      <c r="O44" s="2022"/>
      <c r="P44" s="524"/>
      <c r="Q44" s="2018">
        <f>13.94-10.327</f>
        <v>3.6129999999999995</v>
      </c>
      <c r="R44" s="2014"/>
      <c r="S44" s="42"/>
      <c r="T44" s="281"/>
      <c r="U44" s="42"/>
      <c r="V44" s="42"/>
      <c r="W44" s="42"/>
      <c r="X44" s="279"/>
      <c r="Y44" s="42"/>
      <c r="Z44" s="2015"/>
      <c r="AA44" s="3"/>
      <c r="AE44" s="2461">
        <f t="shared" si="6"/>
        <v>0</v>
      </c>
      <c r="AF44" s="68"/>
      <c r="AK44" s="2815" t="s">
        <v>11233</v>
      </c>
      <c r="AL44" s="2579">
        <f>SUMIFS(P30:P950,F30:F950,5,G30:G950,4)+SUMIFS(Q30:Q950,F30:F950,5,G30:G950,4)</f>
        <v>0</v>
      </c>
      <c r="AM44" s="2817"/>
    </row>
    <row r="45" spans="1:39" ht="60" x14ac:dyDescent="0.35">
      <c r="A45" s="295">
        <v>7</v>
      </c>
      <c r="B45" s="293">
        <v>11353</v>
      </c>
      <c r="C45" s="293"/>
      <c r="D45" s="2472" t="s">
        <v>6143</v>
      </c>
      <c r="E45" s="2037" t="s">
        <v>11436</v>
      </c>
      <c r="F45" s="2289">
        <v>4</v>
      </c>
      <c r="G45" s="41">
        <v>4</v>
      </c>
      <c r="H45" s="2289">
        <v>6</v>
      </c>
      <c r="I45" s="518">
        <f>J45+K45+L45</f>
        <v>7.5999999999999998E-2</v>
      </c>
      <c r="J45" s="518">
        <f>SUM(M45:R45)</f>
        <v>7.5999999999999998E-2</v>
      </c>
      <c r="K45" s="518"/>
      <c r="L45" s="518"/>
      <c r="M45" s="518"/>
      <c r="N45" s="2011">
        <v>7.5999999999999998E-2</v>
      </c>
      <c r="O45" s="2022"/>
      <c r="P45" s="524"/>
      <c r="Q45" s="2018"/>
      <c r="R45" s="2014"/>
      <c r="S45" s="42">
        <v>1</v>
      </c>
      <c r="T45" s="281">
        <v>18.899999999999999</v>
      </c>
      <c r="U45" s="42"/>
      <c r="V45" s="42"/>
      <c r="W45" s="42"/>
      <c r="X45" s="279"/>
      <c r="Y45" s="42"/>
      <c r="Z45" s="2015"/>
      <c r="AA45" s="3"/>
      <c r="AB45">
        <v>1</v>
      </c>
      <c r="AE45" s="2461">
        <f t="shared" si="6"/>
        <v>0</v>
      </c>
      <c r="AF45" s="68"/>
      <c r="AK45" s="2815" t="s">
        <v>910</v>
      </c>
      <c r="AL45" s="2579">
        <f>SUMIFS(R30:R950,F30:F950,5,G30:G950,4)</f>
        <v>0</v>
      </c>
      <c r="AM45" s="2817"/>
    </row>
    <row r="46" spans="1:39" ht="60" x14ac:dyDescent="0.35">
      <c r="A46" s="441">
        <v>8</v>
      </c>
      <c r="B46" s="293">
        <v>11353</v>
      </c>
      <c r="C46" s="358" t="s">
        <v>1656</v>
      </c>
      <c r="D46" s="2472" t="s">
        <v>6144</v>
      </c>
      <c r="E46" s="1999" t="s">
        <v>11437</v>
      </c>
      <c r="F46" s="2289" t="s">
        <v>664</v>
      </c>
      <c r="G46" s="2289">
        <v>5</v>
      </c>
      <c r="H46" s="40">
        <v>6</v>
      </c>
      <c r="I46" s="297">
        <f>J46+K46+L46</f>
        <v>0.3</v>
      </c>
      <c r="J46" s="297">
        <f>SUM(M46:R46)</f>
        <v>0.3</v>
      </c>
      <c r="K46" s="518"/>
      <c r="L46" s="518"/>
      <c r="M46" s="518"/>
      <c r="N46" s="2011"/>
      <c r="O46" s="2012"/>
      <c r="P46" s="518"/>
      <c r="Q46" s="2013"/>
      <c r="R46" s="2014">
        <v>0.3</v>
      </c>
      <c r="S46" s="42"/>
      <c r="T46" s="281"/>
      <c r="U46" s="42"/>
      <c r="V46" s="42"/>
      <c r="W46" s="42"/>
      <c r="X46" s="279"/>
      <c r="Y46" s="42"/>
      <c r="Z46" s="2015"/>
      <c r="AA46" s="3"/>
      <c r="AB46">
        <v>1</v>
      </c>
      <c r="AE46" s="2461">
        <f t="shared" si="6"/>
        <v>0</v>
      </c>
      <c r="AF46" s="68"/>
      <c r="AK46" s="2818" t="s">
        <v>11234</v>
      </c>
      <c r="AL46" s="2821">
        <f>AL47+AL48+AL49+AL50+AL51</f>
        <v>0</v>
      </c>
      <c r="AM46" s="2820">
        <f>AL46-AH30-AI30-AJ30</f>
        <v>0</v>
      </c>
    </row>
    <row r="47" spans="1:39" ht="60" x14ac:dyDescent="0.35">
      <c r="A47" s="295">
        <v>9</v>
      </c>
      <c r="B47" s="293">
        <v>11353</v>
      </c>
      <c r="C47" s="358" t="s">
        <v>1656</v>
      </c>
      <c r="D47" s="2472" t="s">
        <v>6145</v>
      </c>
      <c r="E47" s="1999" t="s">
        <v>11438</v>
      </c>
      <c r="F47" s="166" t="s">
        <v>664</v>
      </c>
      <c r="G47" s="2289">
        <v>5</v>
      </c>
      <c r="H47" s="40">
        <v>6</v>
      </c>
      <c r="I47" s="297">
        <f>J47+K47+L47</f>
        <v>2.7</v>
      </c>
      <c r="J47" s="297">
        <f>SUM(M47:R47)</f>
        <v>2.7</v>
      </c>
      <c r="K47" s="524"/>
      <c r="L47" s="518"/>
      <c r="M47" s="518"/>
      <c r="N47" s="2011"/>
      <c r="O47" s="2012"/>
      <c r="P47" s="518"/>
      <c r="Q47" s="2016"/>
      <c r="R47" s="2014">
        <v>2.7</v>
      </c>
      <c r="S47" s="42"/>
      <c r="T47" s="281"/>
      <c r="U47" s="42"/>
      <c r="V47" s="42"/>
      <c r="W47" s="42"/>
      <c r="X47" s="281"/>
      <c r="Y47" s="42"/>
      <c r="Z47" s="2015"/>
      <c r="AA47" s="3"/>
      <c r="AB47">
        <v>1</v>
      </c>
      <c r="AE47" s="2461">
        <f t="shared" si="6"/>
        <v>0</v>
      </c>
      <c r="AF47" s="68"/>
      <c r="AK47" s="2815" t="s">
        <v>11230</v>
      </c>
      <c r="AL47" s="2579">
        <f>SUMIFS(M30:M950,F30:F950,"6а",G30:G950,4)+SUMIFS(M30:M950,F30:F950,"6б",G30:G950,4)+SUMIFS(M30:M950,F30:F950,"б/к",G30:G950,4)</f>
        <v>0</v>
      </c>
      <c r="AM47" s="2817"/>
    </row>
    <row r="48" spans="1:39" ht="30" x14ac:dyDescent="0.35">
      <c r="A48" s="441">
        <v>10</v>
      </c>
      <c r="B48" s="293">
        <v>11354</v>
      </c>
      <c r="C48" s="293"/>
      <c r="D48" s="348" t="s">
        <v>984</v>
      </c>
      <c r="E48" s="1999" t="s">
        <v>11045</v>
      </c>
      <c r="F48" s="2289"/>
      <c r="G48" s="41" t="s">
        <v>191</v>
      </c>
      <c r="H48" s="2289" t="s">
        <v>191</v>
      </c>
      <c r="I48" s="518">
        <f>J48+K48+L48</f>
        <v>33.587000000000003</v>
      </c>
      <c r="J48" s="518">
        <f>SUM(M48:R48)</f>
        <v>33.587000000000003</v>
      </c>
      <c r="K48" s="518"/>
      <c r="L48" s="518"/>
      <c r="M48" s="518"/>
      <c r="N48" s="2011">
        <f>SUM(N49:N50)</f>
        <v>29.257999999999999</v>
      </c>
      <c r="O48" s="2012"/>
      <c r="P48" s="518"/>
      <c r="Q48" s="2013">
        <f>SUM(Q49:Q50)</f>
        <v>4.3290000000000042</v>
      </c>
      <c r="R48" s="2014"/>
      <c r="S48" s="39">
        <v>3</v>
      </c>
      <c r="T48" s="2451">
        <f>24.8+18.6+18.8</f>
        <v>62.2</v>
      </c>
      <c r="U48" s="39"/>
      <c r="V48" s="39"/>
      <c r="W48" s="110">
        <v>54</v>
      </c>
      <c r="X48" s="2451">
        <v>760.54</v>
      </c>
      <c r="Y48" s="110">
        <v>12</v>
      </c>
      <c r="Z48" s="2015">
        <v>122</v>
      </c>
      <c r="AB48">
        <v>1</v>
      </c>
      <c r="AK48" s="2815" t="s">
        <v>11231</v>
      </c>
      <c r="AL48" s="2579">
        <f>SUMIFS(N30:N950,F30:F950,"6а",G30:G950,4)+SUMIFS(N30:N950,F30:F950,"6б",G30:G950,4)+SUMIFS(N30:N950,F30:F950,"б/к",G30:G950,4)</f>
        <v>0</v>
      </c>
      <c r="AM48" s="2817"/>
    </row>
    <row r="49" spans="1:39" ht="15.5" x14ac:dyDescent="0.35">
      <c r="A49" s="295"/>
      <c r="B49" s="293">
        <v>11354</v>
      </c>
      <c r="C49" s="293"/>
      <c r="D49" s="348"/>
      <c r="E49" s="523" t="s">
        <v>11046</v>
      </c>
      <c r="F49" s="2289">
        <v>4</v>
      </c>
      <c r="G49" s="41">
        <v>4</v>
      </c>
      <c r="H49" s="2289">
        <v>6</v>
      </c>
      <c r="I49" s="576"/>
      <c r="J49" s="576"/>
      <c r="K49" s="576"/>
      <c r="L49" s="576"/>
      <c r="M49" s="576"/>
      <c r="N49" s="2017">
        <v>29.257999999999999</v>
      </c>
      <c r="O49" s="576"/>
      <c r="P49" s="576"/>
      <c r="Q49" s="2023"/>
      <c r="R49" s="2020"/>
      <c r="S49" s="93"/>
      <c r="T49" s="2021"/>
      <c r="U49" s="93"/>
      <c r="V49" s="93"/>
      <c r="W49" s="93"/>
      <c r="X49" s="2021"/>
      <c r="Y49" s="93"/>
      <c r="Z49" s="2024"/>
      <c r="AK49" s="2815" t="s">
        <v>11232</v>
      </c>
      <c r="AL49" s="2579">
        <f>SUMIFS(O30:O950,F30:F950,"6а",G30:G950,4)+SUMIFS(O30:O950,F30:F950,"6б",G30:G950,4)+SUMIFS(O30:O950,F30:F950,"б/к",G30:G950,4)</f>
        <v>0</v>
      </c>
      <c r="AM49" s="2817"/>
    </row>
    <row r="50" spans="1:39" ht="15.5" x14ac:dyDescent="0.35">
      <c r="A50" s="295"/>
      <c r="B50" s="293">
        <v>11354</v>
      </c>
      <c r="C50" s="293"/>
      <c r="D50" s="348"/>
      <c r="E50" s="2004" t="s">
        <v>11047</v>
      </c>
      <c r="F50" s="2289">
        <v>4</v>
      </c>
      <c r="G50" s="41">
        <v>4</v>
      </c>
      <c r="H50" s="2289">
        <v>6</v>
      </c>
      <c r="I50" s="576"/>
      <c r="J50" s="576"/>
      <c r="K50" s="576"/>
      <c r="L50" s="576"/>
      <c r="M50" s="576"/>
      <c r="N50" s="576"/>
      <c r="O50" s="576"/>
      <c r="P50" s="576"/>
      <c r="Q50" s="2023">
        <f>33.587-29.258</f>
        <v>4.3290000000000042</v>
      </c>
      <c r="R50" s="2020"/>
      <c r="S50" s="93"/>
      <c r="T50" s="2021"/>
      <c r="U50" s="93"/>
      <c r="V50" s="93"/>
      <c r="W50" s="93"/>
      <c r="X50" s="2021"/>
      <c r="Y50" s="93"/>
      <c r="Z50" s="2024"/>
      <c r="AK50" s="2815" t="s">
        <v>11233</v>
      </c>
      <c r="AL50" s="2579">
        <f>SUMIFS(P30:P950,F30:F950,"6а",G30:G950,4)+SUMIFS(Q30:Q950,F30:F950,"6а",G30:G950,4)+SUMIFS(P30:P950,F30:F950,"6б",G30:G950,4)+SUMIFS(Q30:Q950,F30:F950,"6б",G30:G950,4)+SUMIFS(O30:O950,F30:F950,"б/к",G30:G950,4)+SUMIFS(P30:P950,F30:F950,"б/к",G30:G950,4)+SUMIFS(Q30:Q950,F30:F950,"б/к",G30:G950,4)</f>
        <v>0</v>
      </c>
      <c r="AM50" s="2817"/>
    </row>
    <row r="51" spans="1:39" ht="45" x14ac:dyDescent="0.35">
      <c r="A51" s="295">
        <v>11</v>
      </c>
      <c r="B51" s="293">
        <v>11354</v>
      </c>
      <c r="C51" s="293" t="s">
        <v>1657</v>
      </c>
      <c r="D51" s="2472" t="s">
        <v>6146</v>
      </c>
      <c r="E51" s="516" t="s">
        <v>10217</v>
      </c>
      <c r="F51" s="166" t="s">
        <v>827</v>
      </c>
      <c r="G51" s="93">
        <v>5</v>
      </c>
      <c r="H51" s="40">
        <v>6</v>
      </c>
      <c r="I51" s="577">
        <f t="shared" ref="I51:I59" si="7">J51+K51+L51</f>
        <v>0.7</v>
      </c>
      <c r="J51" s="577">
        <f t="shared" ref="J51:J59" si="8">SUM(M51:R51)</f>
        <v>0.7</v>
      </c>
      <c r="K51" s="576"/>
      <c r="L51" s="576"/>
      <c r="M51" s="576"/>
      <c r="N51" s="576"/>
      <c r="O51" s="576"/>
      <c r="P51" s="576"/>
      <c r="Q51" s="2023"/>
      <c r="R51" s="2014">
        <v>0.7</v>
      </c>
      <c r="S51" s="93"/>
      <c r="T51" s="2021"/>
      <c r="U51" s="93"/>
      <c r="V51" s="93"/>
      <c r="W51" s="93"/>
      <c r="X51" s="2021"/>
      <c r="Y51" s="93"/>
      <c r="Z51" s="2024"/>
      <c r="AA51" s="3"/>
      <c r="AB51">
        <v>1</v>
      </c>
      <c r="AE51" s="2461">
        <f t="shared" ref="AE51:AE82" si="9">SUMIF(D51,"=П",AB51)</f>
        <v>0</v>
      </c>
      <c r="AF51" s="68"/>
      <c r="AK51" s="2815" t="s">
        <v>910</v>
      </c>
      <c r="AL51" s="2579">
        <f>SUMIFS(R30:R950,F30:F950,"6а",G30:G950,4)+SUMIFS(R30:R950,F30:F950,"6б",G30:G950,4)+SUMIFS(R30:R950,F30:F950,"б/к",G30:G950,4)</f>
        <v>0</v>
      </c>
      <c r="AM51" s="2817"/>
    </row>
    <row r="52" spans="1:39" ht="30" x14ac:dyDescent="0.35">
      <c r="A52" s="295">
        <v>12</v>
      </c>
      <c r="B52" s="293">
        <v>11354</v>
      </c>
      <c r="C52" s="293"/>
      <c r="D52" s="2472" t="s">
        <v>6147</v>
      </c>
      <c r="E52" s="516" t="s">
        <v>9331</v>
      </c>
      <c r="F52" s="166" t="s">
        <v>827</v>
      </c>
      <c r="G52" s="93">
        <v>5</v>
      </c>
      <c r="H52" s="2289">
        <v>6</v>
      </c>
      <c r="I52" s="577">
        <f t="shared" si="7"/>
        <v>0.4</v>
      </c>
      <c r="J52" s="577">
        <f t="shared" si="8"/>
        <v>0.4</v>
      </c>
      <c r="K52" s="576"/>
      <c r="L52" s="576"/>
      <c r="M52" s="576"/>
      <c r="N52" s="577">
        <v>0.4</v>
      </c>
      <c r="O52" s="576"/>
      <c r="P52" s="576"/>
      <c r="Q52" s="2023"/>
      <c r="R52" s="2020"/>
      <c r="S52" s="93"/>
      <c r="T52" s="2021"/>
      <c r="U52" s="93"/>
      <c r="V52" s="93"/>
      <c r="W52" s="93"/>
      <c r="X52" s="2021"/>
      <c r="Y52" s="93"/>
      <c r="Z52" s="2024"/>
      <c r="AA52" s="3"/>
      <c r="AB52">
        <v>1</v>
      </c>
      <c r="AE52" s="2461">
        <f t="shared" si="9"/>
        <v>0</v>
      </c>
      <c r="AF52" s="68"/>
      <c r="AK52" s="2815"/>
      <c r="AL52" s="2579"/>
      <c r="AM52" s="2817"/>
    </row>
    <row r="53" spans="1:39" ht="30" x14ac:dyDescent="0.35">
      <c r="A53" s="295">
        <v>13</v>
      </c>
      <c r="B53" s="365">
        <v>11354</v>
      </c>
      <c r="C53" s="365" t="s">
        <v>1656</v>
      </c>
      <c r="D53" s="2472" t="s">
        <v>6148</v>
      </c>
      <c r="E53" s="1956" t="s">
        <v>9293</v>
      </c>
      <c r="F53" s="2290" t="s">
        <v>664</v>
      </c>
      <c r="G53" s="93">
        <v>5</v>
      </c>
      <c r="H53" s="40">
        <v>6</v>
      </c>
      <c r="I53" s="702">
        <f t="shared" si="7"/>
        <v>0.1</v>
      </c>
      <c r="J53" s="702">
        <f t="shared" si="8"/>
        <v>0.1</v>
      </c>
      <c r="K53" s="2151"/>
      <c r="L53" s="2151"/>
      <c r="M53" s="2151"/>
      <c r="N53" s="2151"/>
      <c r="O53" s="2151"/>
      <c r="P53" s="2151"/>
      <c r="Q53" s="2151"/>
      <c r="R53" s="2152">
        <v>0.1</v>
      </c>
      <c r="S53" s="2153"/>
      <c r="T53" s="2153"/>
      <c r="U53" s="2153"/>
      <c r="V53" s="2153"/>
      <c r="W53" s="2153"/>
      <c r="X53" s="2153"/>
      <c r="Y53" s="2153"/>
      <c r="Z53" s="2153"/>
      <c r="AB53">
        <v>1</v>
      </c>
      <c r="AE53" s="2461">
        <f t="shared" si="9"/>
        <v>0</v>
      </c>
      <c r="AF53" s="68"/>
      <c r="AK53" s="2818" t="s">
        <v>11236</v>
      </c>
      <c r="AL53" s="2821">
        <f>AL55+AL61+AL67</f>
        <v>161.13100000000003</v>
      </c>
      <c r="AM53" s="2820">
        <f>AL53-J20</f>
        <v>0</v>
      </c>
    </row>
    <row r="54" spans="1:39" ht="45" x14ac:dyDescent="0.35">
      <c r="A54" s="295">
        <v>14</v>
      </c>
      <c r="B54" s="293">
        <v>11354</v>
      </c>
      <c r="C54" s="293"/>
      <c r="D54" s="2472" t="s">
        <v>6149</v>
      </c>
      <c r="E54" s="516" t="s">
        <v>7981</v>
      </c>
      <c r="F54" s="166" t="s">
        <v>827</v>
      </c>
      <c r="G54" s="93">
        <v>5</v>
      </c>
      <c r="H54" s="2289">
        <v>6</v>
      </c>
      <c r="I54" s="577">
        <f t="shared" si="7"/>
        <v>0.61</v>
      </c>
      <c r="J54" s="577">
        <f t="shared" si="8"/>
        <v>0.61</v>
      </c>
      <c r="K54" s="576"/>
      <c r="L54" s="576"/>
      <c r="M54" s="576"/>
      <c r="N54" s="576"/>
      <c r="O54" s="576"/>
      <c r="P54" s="576"/>
      <c r="Q54" s="2025">
        <v>0.61</v>
      </c>
      <c r="R54" s="2020"/>
      <c r="S54" s="93"/>
      <c r="T54" s="2021"/>
      <c r="U54" s="93"/>
      <c r="V54" s="93"/>
      <c r="W54" s="93"/>
      <c r="X54" s="2021"/>
      <c r="Y54" s="93"/>
      <c r="Z54" s="2024"/>
      <c r="AA54" s="3"/>
      <c r="AB54">
        <v>1</v>
      </c>
      <c r="AE54" s="2461">
        <f t="shared" si="9"/>
        <v>0</v>
      </c>
      <c r="AF54" s="68"/>
      <c r="AK54" s="2815" t="s">
        <v>11229</v>
      </c>
      <c r="AL54" s="2579"/>
      <c r="AM54" s="2817"/>
    </row>
    <row r="55" spans="1:39" ht="30" x14ac:dyDescent="0.35">
      <c r="A55" s="295">
        <v>15</v>
      </c>
      <c r="B55" s="293">
        <v>11354</v>
      </c>
      <c r="C55" s="358" t="s">
        <v>1656</v>
      </c>
      <c r="D55" s="2472" t="s">
        <v>6150</v>
      </c>
      <c r="E55" s="1999" t="s">
        <v>8948</v>
      </c>
      <c r="F55" s="2289" t="s">
        <v>664</v>
      </c>
      <c r="G55" s="2289">
        <v>5</v>
      </c>
      <c r="H55" s="40">
        <v>6</v>
      </c>
      <c r="I55" s="297">
        <f t="shared" si="7"/>
        <v>0.25</v>
      </c>
      <c r="J55" s="297">
        <f t="shared" si="8"/>
        <v>0.25</v>
      </c>
      <c r="K55" s="518"/>
      <c r="L55" s="518"/>
      <c r="M55" s="518"/>
      <c r="N55" s="2017"/>
      <c r="O55" s="2022"/>
      <c r="P55" s="524"/>
      <c r="Q55" s="2018"/>
      <c r="R55" s="2014">
        <v>0.25</v>
      </c>
      <c r="S55" s="42"/>
      <c r="T55" s="281"/>
      <c r="U55" s="42"/>
      <c r="V55" s="42"/>
      <c r="W55" s="42"/>
      <c r="X55" s="279"/>
      <c r="Y55" s="42"/>
      <c r="Z55" s="2015"/>
      <c r="AA55" s="3"/>
      <c r="AB55">
        <v>1</v>
      </c>
      <c r="AE55" s="2461">
        <f t="shared" si="9"/>
        <v>0</v>
      </c>
      <c r="AF55" s="68"/>
      <c r="AK55" s="2818" t="s">
        <v>7184</v>
      </c>
      <c r="AL55" s="2821">
        <f>AL56+AL57+AL58+AL59+AL60</f>
        <v>12.194999999999999</v>
      </c>
      <c r="AM55" s="2820">
        <f>AL55-AF31</f>
        <v>0</v>
      </c>
    </row>
    <row r="56" spans="1:39" ht="30" x14ac:dyDescent="0.35">
      <c r="A56" s="295">
        <v>16</v>
      </c>
      <c r="B56" s="293">
        <v>11354</v>
      </c>
      <c r="C56" s="358"/>
      <c r="D56" s="2472" t="s">
        <v>6151</v>
      </c>
      <c r="E56" s="2037" t="s">
        <v>7982</v>
      </c>
      <c r="F56" s="2289" t="s">
        <v>664</v>
      </c>
      <c r="G56" s="2289">
        <v>5</v>
      </c>
      <c r="H56" s="40">
        <v>6</v>
      </c>
      <c r="I56" s="297">
        <f t="shared" si="7"/>
        <v>0.05</v>
      </c>
      <c r="J56" s="297">
        <f t="shared" si="8"/>
        <v>0.05</v>
      </c>
      <c r="K56" s="518"/>
      <c r="L56" s="518"/>
      <c r="M56" s="518"/>
      <c r="N56" s="2011"/>
      <c r="O56" s="2022"/>
      <c r="P56" s="524"/>
      <c r="Q56" s="2018"/>
      <c r="R56" s="2014">
        <v>0.05</v>
      </c>
      <c r="S56" s="42"/>
      <c r="T56" s="281"/>
      <c r="U56" s="42"/>
      <c r="V56" s="42"/>
      <c r="W56" s="42"/>
      <c r="X56" s="279"/>
      <c r="Y56" s="42"/>
      <c r="Z56" s="2015"/>
      <c r="AA56" s="3"/>
      <c r="AB56">
        <v>1</v>
      </c>
      <c r="AE56" s="2461">
        <f t="shared" si="9"/>
        <v>0</v>
      </c>
      <c r="AF56" s="68"/>
      <c r="AK56" s="2815" t="s">
        <v>11230</v>
      </c>
      <c r="AL56" s="2579">
        <f>SUMIFS(M30:M950,F30:F950,4,G30:G950,5)</f>
        <v>0</v>
      </c>
      <c r="AM56" s="2817"/>
    </row>
    <row r="57" spans="1:39" ht="30" x14ac:dyDescent="0.35">
      <c r="A57" s="295">
        <v>17</v>
      </c>
      <c r="B57" s="293">
        <v>11354</v>
      </c>
      <c r="C57" s="358" t="s">
        <v>1656</v>
      </c>
      <c r="D57" s="2472" t="s">
        <v>6152</v>
      </c>
      <c r="E57" s="1999" t="s">
        <v>8949</v>
      </c>
      <c r="F57" s="2289" t="s">
        <v>664</v>
      </c>
      <c r="G57" s="2289">
        <v>5</v>
      </c>
      <c r="H57" s="40">
        <v>6</v>
      </c>
      <c r="I57" s="297">
        <f t="shared" si="7"/>
        <v>0.1</v>
      </c>
      <c r="J57" s="297">
        <f t="shared" si="8"/>
        <v>0.1</v>
      </c>
      <c r="K57" s="518"/>
      <c r="L57" s="518"/>
      <c r="M57" s="518"/>
      <c r="N57" s="2011"/>
      <c r="O57" s="2022"/>
      <c r="P57" s="524"/>
      <c r="Q57" s="2018"/>
      <c r="R57" s="2014">
        <v>0.1</v>
      </c>
      <c r="S57" s="42"/>
      <c r="T57" s="281"/>
      <c r="U57" s="42"/>
      <c r="V57" s="42"/>
      <c r="W57" s="42"/>
      <c r="X57" s="279"/>
      <c r="Y57" s="42"/>
      <c r="Z57" s="2015"/>
      <c r="AA57" s="3"/>
      <c r="AB57">
        <v>1</v>
      </c>
      <c r="AE57" s="2461">
        <f t="shared" si="9"/>
        <v>0</v>
      </c>
      <c r="AF57" s="68"/>
      <c r="AK57" s="2815" t="s">
        <v>11231</v>
      </c>
      <c r="AL57" s="2579">
        <f>SUMIFS(N30:N950,F30:F950,4,G30:G950,5)</f>
        <v>8.3329999999999984</v>
      </c>
      <c r="AM57" s="2817"/>
    </row>
    <row r="58" spans="1:39" ht="45" x14ac:dyDescent="0.35">
      <c r="A58" s="295">
        <v>18</v>
      </c>
      <c r="B58" s="293">
        <v>11354</v>
      </c>
      <c r="C58" s="358" t="s">
        <v>1656</v>
      </c>
      <c r="D58" s="2472" t="s">
        <v>6153</v>
      </c>
      <c r="E58" s="1999" t="s">
        <v>8950</v>
      </c>
      <c r="F58" s="2289" t="s">
        <v>664</v>
      </c>
      <c r="G58" s="2289">
        <v>5</v>
      </c>
      <c r="H58" s="40">
        <v>6</v>
      </c>
      <c r="I58" s="297">
        <f t="shared" si="7"/>
        <v>0.1</v>
      </c>
      <c r="J58" s="297">
        <f t="shared" si="8"/>
        <v>0.1</v>
      </c>
      <c r="K58" s="518"/>
      <c r="L58" s="518"/>
      <c r="M58" s="518"/>
      <c r="N58" s="2011"/>
      <c r="O58" s="2022"/>
      <c r="P58" s="524"/>
      <c r="Q58" s="2018"/>
      <c r="R58" s="2014">
        <v>0.1</v>
      </c>
      <c r="S58" s="42"/>
      <c r="T58" s="281"/>
      <c r="U58" s="42"/>
      <c r="V58" s="42"/>
      <c r="W58" s="42"/>
      <c r="X58" s="279"/>
      <c r="Y58" s="42"/>
      <c r="Z58" s="2015"/>
      <c r="AA58" s="3"/>
      <c r="AB58">
        <v>1</v>
      </c>
      <c r="AE58" s="2461">
        <f t="shared" si="9"/>
        <v>0</v>
      </c>
      <c r="AF58" s="68"/>
      <c r="AK58" s="2815" t="s">
        <v>11232</v>
      </c>
      <c r="AL58" s="2579">
        <f>SUMIFS(O30:O950,F30:F950,4,G30:G950,5)</f>
        <v>0</v>
      </c>
      <c r="AM58" s="2817"/>
    </row>
    <row r="59" spans="1:39" ht="30" x14ac:dyDescent="0.35">
      <c r="A59" s="295">
        <v>19</v>
      </c>
      <c r="B59" s="999">
        <v>11354</v>
      </c>
      <c r="C59" s="999"/>
      <c r="D59" s="2472" t="s">
        <v>6154</v>
      </c>
      <c r="E59" s="516" t="s">
        <v>7983</v>
      </c>
      <c r="F59" s="2289"/>
      <c r="G59" s="41" t="s">
        <v>191</v>
      </c>
      <c r="H59" s="2289" t="s">
        <v>191</v>
      </c>
      <c r="I59" s="518">
        <f t="shared" si="7"/>
        <v>4.5</v>
      </c>
      <c r="J59" s="518">
        <f t="shared" si="8"/>
        <v>4.5</v>
      </c>
      <c r="K59" s="576"/>
      <c r="L59" s="576"/>
      <c r="M59" s="576"/>
      <c r="N59" s="2011">
        <f>SUM(N60:N62)</f>
        <v>1.6</v>
      </c>
      <c r="O59" s="576"/>
      <c r="P59" s="576"/>
      <c r="Q59" s="2013">
        <f>SUM(Q60:Q62)</f>
        <v>2.2999999999999998</v>
      </c>
      <c r="R59" s="2014">
        <f>SUM(R60:R62)</f>
        <v>0.60000000000000009</v>
      </c>
      <c r="S59" s="93"/>
      <c r="T59" s="2021"/>
      <c r="U59" s="93"/>
      <c r="V59" s="93"/>
      <c r="W59" s="42">
        <v>3</v>
      </c>
      <c r="X59" s="279">
        <v>51.3</v>
      </c>
      <c r="Y59" s="42"/>
      <c r="Z59" s="2015"/>
      <c r="AA59" s="3"/>
      <c r="AB59">
        <v>1</v>
      </c>
      <c r="AE59" s="2461">
        <f t="shared" si="9"/>
        <v>0</v>
      </c>
      <c r="AF59" s="68"/>
      <c r="AK59" s="2815" t="s">
        <v>11233</v>
      </c>
      <c r="AL59" s="2579">
        <f>SUMIFS(P30:P950,F30:F950,4,G30:G950,5)+SUMIFS(Q30:Q950,F30:F950,4,G30:G950,5)</f>
        <v>3.8620000000000001</v>
      </c>
      <c r="AM59" s="2817"/>
    </row>
    <row r="60" spans="1:39" ht="15.5" x14ac:dyDescent="0.35">
      <c r="A60" s="525"/>
      <c r="B60" s="999">
        <v>11354</v>
      </c>
      <c r="C60" s="999"/>
      <c r="D60" s="348"/>
      <c r="E60" s="519" t="s">
        <v>3285</v>
      </c>
      <c r="F60" s="2289">
        <v>5</v>
      </c>
      <c r="G60" s="93">
        <v>5</v>
      </c>
      <c r="H60" s="2289">
        <v>6</v>
      </c>
      <c r="I60" s="576"/>
      <c r="J60" s="576"/>
      <c r="K60" s="576"/>
      <c r="L60" s="576"/>
      <c r="M60" s="576"/>
      <c r="N60" s="2017">
        <v>1.6</v>
      </c>
      <c r="O60" s="576"/>
      <c r="P60" s="576"/>
      <c r="Q60" s="1813"/>
      <c r="R60" s="2020"/>
      <c r="S60" s="93"/>
      <c r="T60" s="2021"/>
      <c r="U60" s="93"/>
      <c r="V60" s="93"/>
      <c r="W60" s="93"/>
      <c r="X60" s="2021"/>
      <c r="Y60" s="93"/>
      <c r="Z60" s="2024"/>
      <c r="AA60" s="3"/>
      <c r="AE60" s="2461">
        <f t="shared" si="9"/>
        <v>0</v>
      </c>
      <c r="AF60" s="68"/>
      <c r="AK60" s="2815" t="s">
        <v>910</v>
      </c>
      <c r="AL60" s="2579">
        <f>SUMIFS(R30:R950,F30:F950,4,G30:G950,5)</f>
        <v>0</v>
      </c>
      <c r="AM60" s="2817"/>
    </row>
    <row r="61" spans="1:39" ht="15.5" x14ac:dyDescent="0.35">
      <c r="A61" s="525"/>
      <c r="B61" s="999">
        <v>11354</v>
      </c>
      <c r="C61" s="999"/>
      <c r="D61" s="348"/>
      <c r="E61" s="2004" t="s">
        <v>1856</v>
      </c>
      <c r="F61" s="2289">
        <v>5</v>
      </c>
      <c r="G61" s="93">
        <v>5</v>
      </c>
      <c r="H61" s="2289">
        <v>6</v>
      </c>
      <c r="I61" s="576"/>
      <c r="J61" s="576"/>
      <c r="K61" s="576"/>
      <c r="L61" s="576"/>
      <c r="M61" s="576"/>
      <c r="N61" s="576"/>
      <c r="O61" s="576"/>
      <c r="P61" s="576"/>
      <c r="Q61" s="2018">
        <f>3.9-1.6</f>
        <v>2.2999999999999998</v>
      </c>
      <c r="R61" s="2020"/>
      <c r="S61" s="93"/>
      <c r="T61" s="2021"/>
      <c r="U61" s="93"/>
      <c r="V61" s="93"/>
      <c r="W61" s="93"/>
      <c r="X61" s="2021"/>
      <c r="Y61" s="93"/>
      <c r="Z61" s="2024"/>
      <c r="AA61" s="3"/>
      <c r="AE61" s="2461">
        <f t="shared" si="9"/>
        <v>0</v>
      </c>
      <c r="AF61" s="68"/>
      <c r="AK61" s="2818" t="s">
        <v>7185</v>
      </c>
      <c r="AL61" s="2821">
        <f>AL62+AL63+AL64+AL65+AL66</f>
        <v>63.63</v>
      </c>
      <c r="AM61" s="2820">
        <f>AL61-AG31</f>
        <v>0</v>
      </c>
    </row>
    <row r="62" spans="1:39" ht="15.5" x14ac:dyDescent="0.35">
      <c r="A62" s="525"/>
      <c r="B62" s="999">
        <v>11354</v>
      </c>
      <c r="C62" s="999"/>
      <c r="D62" s="348"/>
      <c r="E62" s="2005" t="s">
        <v>854</v>
      </c>
      <c r="F62" s="2290" t="s">
        <v>664</v>
      </c>
      <c r="G62" s="93">
        <v>5</v>
      </c>
      <c r="H62" s="40">
        <v>6</v>
      </c>
      <c r="I62" s="576"/>
      <c r="J62" s="576"/>
      <c r="K62" s="576"/>
      <c r="L62" s="576"/>
      <c r="M62" s="576"/>
      <c r="N62" s="576"/>
      <c r="O62" s="576"/>
      <c r="P62" s="576"/>
      <c r="Q62" s="2018"/>
      <c r="R62" s="2019">
        <f>4.5-3.9</f>
        <v>0.60000000000000009</v>
      </c>
      <c r="S62" s="93"/>
      <c r="T62" s="2021"/>
      <c r="U62" s="93"/>
      <c r="V62" s="93"/>
      <c r="W62" s="93"/>
      <c r="X62" s="2021"/>
      <c r="Y62" s="93"/>
      <c r="Z62" s="2024"/>
      <c r="AA62" s="3"/>
      <c r="AE62" s="2461">
        <f t="shared" si="9"/>
        <v>0</v>
      </c>
      <c r="AF62" s="68"/>
      <c r="AK62" s="2815" t="s">
        <v>11230</v>
      </c>
      <c r="AL62" s="2579">
        <f>SUMIFS(M30:M950,F30:F950,5,G30:G950,5)</f>
        <v>0</v>
      </c>
      <c r="AM62" s="2817"/>
    </row>
    <row r="63" spans="1:39" ht="30" x14ac:dyDescent="0.35">
      <c r="A63" s="441">
        <v>20</v>
      </c>
      <c r="B63" s="293">
        <v>11354</v>
      </c>
      <c r="C63" s="358" t="s">
        <v>1656</v>
      </c>
      <c r="D63" s="2472" t="s">
        <v>6155</v>
      </c>
      <c r="E63" s="1999" t="s">
        <v>8951</v>
      </c>
      <c r="F63" s="166" t="s">
        <v>664</v>
      </c>
      <c r="G63" s="2289">
        <v>5</v>
      </c>
      <c r="H63" s="40">
        <v>6</v>
      </c>
      <c r="I63" s="297">
        <f>J63+K63+L63</f>
        <v>1.1000000000000001</v>
      </c>
      <c r="J63" s="297">
        <f>SUM(M63:R63)</f>
        <v>1.1000000000000001</v>
      </c>
      <c r="K63" s="524"/>
      <c r="L63" s="518"/>
      <c r="M63" s="518"/>
      <c r="N63" s="2017"/>
      <c r="O63" s="2012"/>
      <c r="P63" s="518"/>
      <c r="Q63" s="2016"/>
      <c r="R63" s="2014">
        <v>1.1000000000000001</v>
      </c>
      <c r="S63" s="42"/>
      <c r="T63" s="281"/>
      <c r="U63" s="42"/>
      <c r="V63" s="42"/>
      <c r="W63" s="42"/>
      <c r="X63" s="281"/>
      <c r="Y63" s="42"/>
      <c r="Z63" s="2015"/>
      <c r="AA63" s="3"/>
      <c r="AB63">
        <v>1</v>
      </c>
      <c r="AE63" s="2461">
        <f t="shared" si="9"/>
        <v>0</v>
      </c>
      <c r="AF63" s="68"/>
      <c r="AK63" s="2815" t="s">
        <v>11231</v>
      </c>
      <c r="AL63" s="2579">
        <f>SUMIFS(N30:N950,F30:F950,5,G30:G950,5)</f>
        <v>34.649000000000001</v>
      </c>
      <c r="AM63" s="2817"/>
    </row>
    <row r="64" spans="1:39" ht="30" x14ac:dyDescent="0.35">
      <c r="A64" s="441">
        <v>21</v>
      </c>
      <c r="B64" s="293">
        <v>11354</v>
      </c>
      <c r="C64" s="358" t="s">
        <v>1656</v>
      </c>
      <c r="D64" s="2472" t="s">
        <v>6156</v>
      </c>
      <c r="E64" s="1999" t="s">
        <v>8952</v>
      </c>
      <c r="F64" s="166" t="s">
        <v>664</v>
      </c>
      <c r="G64" s="2289">
        <v>5</v>
      </c>
      <c r="H64" s="40">
        <v>6</v>
      </c>
      <c r="I64" s="297">
        <f>J64+K64+L64</f>
        <v>1</v>
      </c>
      <c r="J64" s="297">
        <f>SUM(M64:R64)</f>
        <v>1</v>
      </c>
      <c r="K64" s="524"/>
      <c r="L64" s="518"/>
      <c r="M64" s="518"/>
      <c r="N64" s="2011"/>
      <c r="O64" s="2012"/>
      <c r="P64" s="518"/>
      <c r="Q64" s="2018"/>
      <c r="R64" s="2014">
        <v>1</v>
      </c>
      <c r="S64" s="42"/>
      <c r="T64" s="281"/>
      <c r="U64" s="42"/>
      <c r="V64" s="42"/>
      <c r="W64" s="42"/>
      <c r="X64" s="281"/>
      <c r="Y64" s="42"/>
      <c r="Z64" s="2015"/>
      <c r="AA64" s="3"/>
      <c r="AB64">
        <v>1</v>
      </c>
      <c r="AE64" s="2461">
        <f t="shared" si="9"/>
        <v>0</v>
      </c>
      <c r="AF64" s="68"/>
      <c r="AK64" s="2815" t="s">
        <v>11232</v>
      </c>
      <c r="AL64" s="2579">
        <f>SUMIFS(O30:O950,F30:F950,5,G30:G950,5)</f>
        <v>0</v>
      </c>
      <c r="AM64" s="2817"/>
    </row>
    <row r="65" spans="1:39" ht="30" x14ac:dyDescent="0.35">
      <c r="A65" s="295">
        <v>22</v>
      </c>
      <c r="B65" s="999">
        <v>11354</v>
      </c>
      <c r="C65" s="999"/>
      <c r="D65" s="2472" t="s">
        <v>6157</v>
      </c>
      <c r="E65" s="516" t="s">
        <v>7984</v>
      </c>
      <c r="F65" s="2289"/>
      <c r="G65" s="41" t="s">
        <v>191</v>
      </c>
      <c r="H65" s="2289" t="s">
        <v>191</v>
      </c>
      <c r="I65" s="518">
        <f>J65+K65+L65</f>
        <v>3.2</v>
      </c>
      <c r="J65" s="518">
        <f>SUM(M65:R65)</f>
        <v>3.2</v>
      </c>
      <c r="K65" s="518"/>
      <c r="L65" s="518"/>
      <c r="M65" s="518"/>
      <c r="N65" s="2017"/>
      <c r="O65" s="2022"/>
      <c r="P65" s="524"/>
      <c r="Q65" s="2016">
        <f>SUM(Q66:Q67)</f>
        <v>2.5</v>
      </c>
      <c r="R65" s="2026">
        <f>SUM(R66:R67)</f>
        <v>0.70000000000000018</v>
      </c>
      <c r="S65" s="39"/>
      <c r="T65" s="279"/>
      <c r="U65" s="39"/>
      <c r="V65" s="39"/>
      <c r="W65" s="42">
        <v>4</v>
      </c>
      <c r="X65" s="279">
        <v>42.9</v>
      </c>
      <c r="Y65" s="42"/>
      <c r="Z65" s="2015"/>
      <c r="AA65" s="3"/>
      <c r="AB65">
        <v>1</v>
      </c>
      <c r="AE65" s="2461">
        <f t="shared" si="9"/>
        <v>0</v>
      </c>
      <c r="AF65" s="68"/>
      <c r="AK65" s="2815" t="s">
        <v>11233</v>
      </c>
      <c r="AL65" s="2579">
        <f>SUMIFS(P30:P950,F30:F950,5,G30:G950,5)+SUMIFS(Q30:Q950,F30:F950,5,G30:G950,5)</f>
        <v>27.731000000000002</v>
      </c>
      <c r="AM65" s="2817"/>
    </row>
    <row r="66" spans="1:39" ht="15.5" x14ac:dyDescent="0.35">
      <c r="A66" s="525"/>
      <c r="B66" s="999">
        <v>11354</v>
      </c>
      <c r="C66" s="999"/>
      <c r="D66" s="348"/>
      <c r="E66" s="2004" t="s">
        <v>3284</v>
      </c>
      <c r="F66" s="166" t="s">
        <v>827</v>
      </c>
      <c r="G66" s="93">
        <v>5</v>
      </c>
      <c r="H66" s="2289">
        <v>6</v>
      </c>
      <c r="I66" s="576"/>
      <c r="J66" s="576"/>
      <c r="K66" s="576"/>
      <c r="L66" s="576"/>
      <c r="M66" s="576"/>
      <c r="N66" s="576"/>
      <c r="O66" s="576"/>
      <c r="P66" s="576"/>
      <c r="Q66" s="2018">
        <v>2.5</v>
      </c>
      <c r="R66" s="2014"/>
      <c r="S66" s="93"/>
      <c r="T66" s="2021"/>
      <c r="U66" s="93"/>
      <c r="V66" s="93"/>
      <c r="W66" s="93"/>
      <c r="X66" s="2021"/>
      <c r="Y66" s="93"/>
      <c r="Z66" s="2024"/>
      <c r="AA66" s="3"/>
      <c r="AE66" s="2461">
        <f t="shared" si="9"/>
        <v>0</v>
      </c>
      <c r="AF66" s="68"/>
      <c r="AK66" s="2815" t="s">
        <v>910</v>
      </c>
      <c r="AL66" s="2579">
        <f>SUMIFS(R30:R950,F30:F950,5,G30:G950,5)</f>
        <v>1.25</v>
      </c>
      <c r="AM66" s="2817"/>
    </row>
    <row r="67" spans="1:39" ht="15.5" x14ac:dyDescent="0.35">
      <c r="A67" s="525"/>
      <c r="B67" s="999">
        <v>11354</v>
      </c>
      <c r="C67" s="999"/>
      <c r="D67" s="348"/>
      <c r="E67" s="2005" t="s">
        <v>2048</v>
      </c>
      <c r="F67" s="2290" t="s">
        <v>664</v>
      </c>
      <c r="G67" s="93">
        <v>5</v>
      </c>
      <c r="H67" s="40">
        <v>6</v>
      </c>
      <c r="I67" s="576"/>
      <c r="J67" s="576"/>
      <c r="K67" s="576"/>
      <c r="L67" s="576"/>
      <c r="M67" s="576"/>
      <c r="N67" s="576"/>
      <c r="O67" s="576"/>
      <c r="P67" s="576"/>
      <c r="Q67" s="2018"/>
      <c r="R67" s="2019">
        <f>3.2-2.5</f>
        <v>0.70000000000000018</v>
      </c>
      <c r="S67" s="93"/>
      <c r="T67" s="2021"/>
      <c r="U67" s="93"/>
      <c r="V67" s="93"/>
      <c r="W67" s="93"/>
      <c r="X67" s="2021"/>
      <c r="Y67" s="93"/>
      <c r="Z67" s="2024"/>
      <c r="AA67" s="3"/>
      <c r="AE67" s="2461">
        <f t="shared" si="9"/>
        <v>0</v>
      </c>
      <c r="AF67" s="68"/>
      <c r="AK67" s="2818" t="s">
        <v>11234</v>
      </c>
      <c r="AL67" s="2821">
        <f>AL68+AL69+AL70+AL71+AL72</f>
        <v>85.306000000000012</v>
      </c>
      <c r="AM67" s="2820">
        <f>AL67-AH31-AI31-AJ31</f>
        <v>0</v>
      </c>
    </row>
    <row r="68" spans="1:39" ht="45" x14ac:dyDescent="0.35">
      <c r="A68" s="295">
        <v>23</v>
      </c>
      <c r="B68" s="999">
        <v>11354</v>
      </c>
      <c r="C68" s="999" t="s">
        <v>1656</v>
      </c>
      <c r="D68" s="2472" t="s">
        <v>6158</v>
      </c>
      <c r="E68" s="1999" t="s">
        <v>8953</v>
      </c>
      <c r="F68" s="2289" t="s">
        <v>664</v>
      </c>
      <c r="G68" s="2289">
        <v>5</v>
      </c>
      <c r="H68" s="40">
        <v>6</v>
      </c>
      <c r="I68" s="297">
        <f>J68+K68+L68</f>
        <v>0.1</v>
      </c>
      <c r="J68" s="297">
        <f>SUM(M68:R68)</f>
        <v>0.1</v>
      </c>
      <c r="K68" s="518"/>
      <c r="L68" s="518"/>
      <c r="M68" s="518"/>
      <c r="N68" s="2011"/>
      <c r="O68" s="2022"/>
      <c r="P68" s="524"/>
      <c r="Q68" s="2018"/>
      <c r="R68" s="2014">
        <v>0.1</v>
      </c>
      <c r="S68" s="42"/>
      <c r="T68" s="281"/>
      <c r="U68" s="42"/>
      <c r="V68" s="42"/>
      <c r="W68" s="42"/>
      <c r="X68" s="279"/>
      <c r="Y68" s="42"/>
      <c r="Z68" s="2015"/>
      <c r="AB68">
        <v>1</v>
      </c>
      <c r="AE68" s="2461">
        <f t="shared" si="9"/>
        <v>0</v>
      </c>
      <c r="AF68" s="68"/>
      <c r="AK68" s="2815" t="s">
        <v>11230</v>
      </c>
      <c r="AL68" s="2579">
        <f>SUMIFS(M30:M950,F30:F950,"6а",G30:G950,5)+SUMIFS(M30:M950,F30:F950,"6б",G30:G950,5)+SUMIFS(M30:M950,F30:F950,"б/к",G30:G950,5)</f>
        <v>0</v>
      </c>
      <c r="AM68" s="2817"/>
    </row>
    <row r="69" spans="1:39" ht="45" x14ac:dyDescent="0.35">
      <c r="A69" s="693">
        <v>24</v>
      </c>
      <c r="B69" s="365">
        <v>11354</v>
      </c>
      <c r="C69" s="365" t="s">
        <v>1656</v>
      </c>
      <c r="D69" s="2472" t="s">
        <v>6159</v>
      </c>
      <c r="E69" s="1786" t="s">
        <v>8954</v>
      </c>
      <c r="F69" s="2290" t="s">
        <v>664</v>
      </c>
      <c r="G69" s="93">
        <v>5</v>
      </c>
      <c r="H69" s="40">
        <v>6</v>
      </c>
      <c r="I69" s="702">
        <f>J69+K69+L69</f>
        <v>0.56000000000000005</v>
      </c>
      <c r="J69" s="702">
        <f>SUM(M69:R69)</f>
        <v>0.56000000000000005</v>
      </c>
      <c r="K69" s="2151"/>
      <c r="L69" s="2151"/>
      <c r="M69" s="2151"/>
      <c r="N69" s="2151"/>
      <c r="O69" s="2151"/>
      <c r="P69" s="2151"/>
      <c r="Q69" s="2151"/>
      <c r="R69" s="2152">
        <v>0.56000000000000005</v>
      </c>
      <c r="S69" s="2153"/>
      <c r="T69" s="2153"/>
      <c r="U69" s="2153"/>
      <c r="V69" s="2153"/>
      <c r="W69" s="2153"/>
      <c r="X69" s="2153"/>
      <c r="Y69" s="2153"/>
      <c r="Z69" s="2153"/>
      <c r="AB69">
        <v>1</v>
      </c>
      <c r="AE69" s="2461">
        <f t="shared" si="9"/>
        <v>0</v>
      </c>
      <c r="AF69" s="68"/>
      <c r="AK69" s="2815" t="s">
        <v>11231</v>
      </c>
      <c r="AL69" s="2579">
        <f>SUMIFS(N30:N950,F30:F950,"6а",G30:G950,5)+SUMIFS(N30:N950,F30:F950,"6б",G30:G950,5)+SUMIFS(N30:N950,F30:F950,"б/к",G30:G950,5)</f>
        <v>0.60000000000000009</v>
      </c>
      <c r="AM69" s="2817"/>
    </row>
    <row r="70" spans="1:39" ht="30" x14ac:dyDescent="0.35">
      <c r="A70" s="295">
        <v>25</v>
      </c>
      <c r="B70" s="293">
        <v>11355</v>
      </c>
      <c r="C70" s="293"/>
      <c r="D70" s="348" t="s">
        <v>240</v>
      </c>
      <c r="E70" s="516" t="s">
        <v>1732</v>
      </c>
      <c r="F70" s="93"/>
      <c r="G70" s="93" t="s">
        <v>191</v>
      </c>
      <c r="H70" s="2289" t="s">
        <v>191</v>
      </c>
      <c r="I70" s="518">
        <f>J70+K70+L70</f>
        <v>14.339999999999998</v>
      </c>
      <c r="J70" s="518">
        <f>SUM(M70:R70)</f>
        <v>14.339999999999998</v>
      </c>
      <c r="K70" s="577"/>
      <c r="L70" s="577"/>
      <c r="M70" s="1389">
        <f>SUM(M71:M76)</f>
        <v>0.46799999999999997</v>
      </c>
      <c r="N70" s="2011">
        <f>SUM(N71:N76)</f>
        <v>2.6529999999999991</v>
      </c>
      <c r="O70" s="577"/>
      <c r="P70" s="577"/>
      <c r="Q70" s="2013">
        <f>SUM(Q71:Q76)</f>
        <v>11.218999999999999</v>
      </c>
      <c r="R70" s="2020"/>
      <c r="S70" s="93"/>
      <c r="T70" s="2021"/>
      <c r="U70" s="93"/>
      <c r="V70" s="93"/>
      <c r="W70" s="105">
        <v>40</v>
      </c>
      <c r="X70" s="2027">
        <v>582.6</v>
      </c>
      <c r="Y70" s="105">
        <v>9</v>
      </c>
      <c r="Z70" s="2015">
        <v>101.55</v>
      </c>
      <c r="AA70" s="3"/>
      <c r="AB70">
        <v>1</v>
      </c>
      <c r="AE70" s="2461">
        <f t="shared" si="9"/>
        <v>0</v>
      </c>
      <c r="AF70" s="68"/>
      <c r="AK70" s="2815" t="s">
        <v>11232</v>
      </c>
      <c r="AL70" s="2579">
        <f>SUMIFS(O30:O950,F30:F950,"6а",G30:G950,5)+SUMIFS(O30:O950,F30:F950,"6б",G30:G950,5)+SUMIFS(O30:O950,F30:F950,"б/к",G30:G950,5)</f>
        <v>0</v>
      </c>
      <c r="AM70" s="2817"/>
    </row>
    <row r="71" spans="1:39" ht="15.5" x14ac:dyDescent="0.35">
      <c r="A71" s="295"/>
      <c r="B71" s="293">
        <v>11355</v>
      </c>
      <c r="C71" s="293"/>
      <c r="D71" s="348"/>
      <c r="E71" s="519" t="s">
        <v>3164</v>
      </c>
      <c r="F71" s="93">
        <v>4</v>
      </c>
      <c r="G71" s="93">
        <v>4</v>
      </c>
      <c r="H71" s="2289">
        <v>6</v>
      </c>
      <c r="I71" s="576"/>
      <c r="J71" s="576"/>
      <c r="K71" s="576"/>
      <c r="L71" s="576"/>
      <c r="M71" s="576"/>
      <c r="N71" s="576">
        <v>1.1000000000000001</v>
      </c>
      <c r="O71" s="576"/>
      <c r="P71" s="576"/>
      <c r="Q71" s="2023"/>
      <c r="R71" s="2020"/>
      <c r="S71" s="93"/>
      <c r="T71" s="2021"/>
      <c r="U71" s="93"/>
      <c r="V71" s="93"/>
      <c r="W71" s="93"/>
      <c r="X71" s="2021"/>
      <c r="Y71" s="93"/>
      <c r="Z71" s="2024"/>
      <c r="AA71" s="3"/>
      <c r="AE71" s="2461">
        <f t="shared" si="9"/>
        <v>0</v>
      </c>
      <c r="AF71" s="68"/>
      <c r="AK71" s="2815" t="s">
        <v>11233</v>
      </c>
      <c r="AL71" s="2579">
        <f>SUMIFS(P30:P950,F30:F950,"6а",G30:G950,5)+SUMIFS(Q30:Q950,F30:F950,"6а",G30:G950,5)+SUMIFS(P30:P950,F30:F950,"6б",G30:G950,5)+SUMIFS(Q30:Q950,F30:F950,"6б",G30:G950,5)+SUMIFS(P30:P950,F30:F950,"б/к",G30:G950,5)+SUMIFS(Q30:Q950,F30:F950,"б/к",G30:G950,5)</f>
        <v>21.106000000000002</v>
      </c>
      <c r="AM71" s="2817"/>
    </row>
    <row r="72" spans="1:39" ht="15.5" x14ac:dyDescent="0.35">
      <c r="A72" s="295"/>
      <c r="B72" s="293"/>
      <c r="C72" s="293"/>
      <c r="D72" s="348"/>
      <c r="E72" s="1399" t="s">
        <v>2203</v>
      </c>
      <c r="F72" s="93">
        <v>4</v>
      </c>
      <c r="G72" s="93">
        <v>4</v>
      </c>
      <c r="H72" s="93">
        <v>10</v>
      </c>
      <c r="I72" s="576"/>
      <c r="J72" s="576"/>
      <c r="K72" s="576"/>
      <c r="L72" s="576"/>
      <c r="M72" s="1948">
        <f>1.568-1.1</f>
        <v>0.46799999999999997</v>
      </c>
      <c r="N72" s="576"/>
      <c r="O72" s="576"/>
      <c r="P72" s="576"/>
      <c r="Q72" s="2023"/>
      <c r="R72" s="2020"/>
      <c r="S72" s="93"/>
      <c r="T72" s="2021"/>
      <c r="U72" s="93"/>
      <c r="V72" s="93"/>
      <c r="W72" s="93"/>
      <c r="X72" s="2021"/>
      <c r="Y72" s="93"/>
      <c r="Z72" s="2024"/>
      <c r="AA72" s="3"/>
      <c r="AE72" s="2461">
        <f t="shared" si="9"/>
        <v>0</v>
      </c>
      <c r="AF72" s="68"/>
      <c r="AK72" s="2815" t="s">
        <v>910</v>
      </c>
      <c r="AL72" s="2579">
        <f>SUMIFS(R30:R950,F30:F950,"6а",G30:G950,5)+SUMIFS(R30:R950,F30:F950,"6б",G30:G950,5)+SUMIFS(R30:R950,F30:F950,"б/к",G30:G950,5)</f>
        <v>63.600000000000009</v>
      </c>
      <c r="AM72" s="2817"/>
    </row>
    <row r="73" spans="1:39" ht="15.5" x14ac:dyDescent="0.35">
      <c r="A73" s="295"/>
      <c r="B73" s="293"/>
      <c r="C73" s="293"/>
      <c r="D73" s="348"/>
      <c r="E73" s="2004" t="s">
        <v>2204</v>
      </c>
      <c r="F73" s="93">
        <v>4</v>
      </c>
      <c r="G73" s="93">
        <v>4</v>
      </c>
      <c r="H73" s="2289">
        <v>6</v>
      </c>
      <c r="I73" s="576"/>
      <c r="J73" s="576"/>
      <c r="K73" s="576"/>
      <c r="L73" s="576"/>
      <c r="M73" s="576"/>
      <c r="N73" s="576"/>
      <c r="O73" s="576"/>
      <c r="P73" s="576"/>
      <c r="Q73" s="2023">
        <f>4.36-1.568</f>
        <v>2.7920000000000003</v>
      </c>
      <c r="R73" s="2020"/>
      <c r="S73" s="93"/>
      <c r="T73" s="2021"/>
      <c r="U73" s="93"/>
      <c r="V73" s="93"/>
      <c r="W73" s="93"/>
      <c r="X73" s="2021"/>
      <c r="Y73" s="93"/>
      <c r="Z73" s="2024"/>
      <c r="AA73" s="3"/>
      <c r="AE73" s="2461">
        <f t="shared" si="9"/>
        <v>0</v>
      </c>
      <c r="AF73" s="68"/>
      <c r="AK73" s="2815"/>
      <c r="AL73" s="2579"/>
      <c r="AM73" s="2817"/>
    </row>
    <row r="74" spans="1:39" ht="15.5" x14ac:dyDescent="0.35">
      <c r="A74" s="295"/>
      <c r="B74" s="293"/>
      <c r="C74" s="293"/>
      <c r="D74" s="348"/>
      <c r="E74" s="519" t="s">
        <v>2825</v>
      </c>
      <c r="F74" s="93">
        <v>4</v>
      </c>
      <c r="G74" s="93">
        <v>4</v>
      </c>
      <c r="H74" s="2289">
        <v>6</v>
      </c>
      <c r="I74" s="576"/>
      <c r="J74" s="576"/>
      <c r="K74" s="576"/>
      <c r="L74" s="576"/>
      <c r="M74" s="576"/>
      <c r="N74" s="576">
        <f>5.36-4.36</f>
        <v>1</v>
      </c>
      <c r="O74" s="576"/>
      <c r="P74" s="576"/>
      <c r="Q74" s="2023"/>
      <c r="R74" s="2020"/>
      <c r="S74" s="93"/>
      <c r="T74" s="2021"/>
      <c r="U74" s="93"/>
      <c r="V74" s="93"/>
      <c r="W74" s="93"/>
      <c r="X74" s="2021"/>
      <c r="Y74" s="93"/>
      <c r="Z74" s="2024"/>
      <c r="AA74" s="3"/>
      <c r="AE74" s="2461">
        <f t="shared" si="9"/>
        <v>0</v>
      </c>
      <c r="AF74" s="68"/>
      <c r="AK74" s="2822" t="s">
        <v>11237</v>
      </c>
      <c r="AL74" s="2823">
        <f>AL11+AL32+AL53</f>
        <v>283.28899999999999</v>
      </c>
      <c r="AM74" s="2824">
        <f>AL74-J10</f>
        <v>0</v>
      </c>
    </row>
    <row r="75" spans="1:39" ht="15.5" x14ac:dyDescent="0.35">
      <c r="A75" s="525"/>
      <c r="B75" s="293">
        <v>11355</v>
      </c>
      <c r="C75" s="293"/>
      <c r="D75" s="348"/>
      <c r="E75" s="2004" t="s">
        <v>945</v>
      </c>
      <c r="F75" s="93">
        <v>4</v>
      </c>
      <c r="G75" s="93">
        <v>4</v>
      </c>
      <c r="H75" s="2289">
        <v>6</v>
      </c>
      <c r="I75" s="576"/>
      <c r="J75" s="576"/>
      <c r="K75" s="576"/>
      <c r="L75" s="576"/>
      <c r="M75" s="576"/>
      <c r="N75" s="576"/>
      <c r="O75" s="576"/>
      <c r="P75" s="576"/>
      <c r="Q75" s="2023">
        <f>13.787-5.36</f>
        <v>8.4269999999999996</v>
      </c>
      <c r="R75" s="2020"/>
      <c r="S75" s="93"/>
      <c r="T75" s="2021"/>
      <c r="U75" s="93"/>
      <c r="V75" s="93"/>
      <c r="W75" s="93"/>
      <c r="X75" s="2021"/>
      <c r="Y75" s="93"/>
      <c r="Z75" s="2024"/>
      <c r="AA75" s="3"/>
      <c r="AE75" s="2461">
        <f t="shared" si="9"/>
        <v>0</v>
      </c>
      <c r="AF75" s="68"/>
      <c r="AK75" s="2825" t="s">
        <v>11238</v>
      </c>
      <c r="AL75" s="2826">
        <f>AL34+AL55+AL13</f>
        <v>134.35299999999998</v>
      </c>
      <c r="AM75" s="2827">
        <f>AL75-J12</f>
        <v>0</v>
      </c>
    </row>
    <row r="76" spans="1:39" ht="15.5" x14ac:dyDescent="0.35">
      <c r="A76" s="525"/>
      <c r="B76" s="293">
        <v>11355</v>
      </c>
      <c r="C76" s="293"/>
      <c r="D76" s="348"/>
      <c r="E76" s="519" t="s">
        <v>241</v>
      </c>
      <c r="F76" s="93">
        <v>4</v>
      </c>
      <c r="G76" s="93">
        <v>4</v>
      </c>
      <c r="H76" s="2289">
        <v>6</v>
      </c>
      <c r="I76" s="576"/>
      <c r="J76" s="576"/>
      <c r="K76" s="576"/>
      <c r="L76" s="576"/>
      <c r="M76" s="576"/>
      <c r="N76" s="576">
        <f>14.34-13.787</f>
        <v>0.55299999999999905</v>
      </c>
      <c r="O76" s="576"/>
      <c r="P76" s="576"/>
      <c r="Q76" s="2023"/>
      <c r="R76" s="2020"/>
      <c r="S76" s="93"/>
      <c r="T76" s="2021"/>
      <c r="U76" s="93"/>
      <c r="V76" s="93"/>
      <c r="W76" s="93"/>
      <c r="X76" s="2021"/>
      <c r="Y76" s="93"/>
      <c r="Z76" s="2024"/>
      <c r="AA76" s="3"/>
      <c r="AE76" s="2461">
        <f t="shared" si="9"/>
        <v>0</v>
      </c>
      <c r="AF76" s="68"/>
      <c r="AK76" s="2828" t="s">
        <v>11239</v>
      </c>
      <c r="AL76" s="2826">
        <f>AL19+AL40+AL61</f>
        <v>63.63</v>
      </c>
      <c r="AM76" s="2827">
        <f>AL76-J13</f>
        <v>0</v>
      </c>
    </row>
    <row r="77" spans="1:39" ht="30" x14ac:dyDescent="0.35">
      <c r="A77" s="693">
        <v>26</v>
      </c>
      <c r="B77" s="365">
        <v>11355</v>
      </c>
      <c r="C77" s="365" t="s">
        <v>1656</v>
      </c>
      <c r="D77" s="2472" t="s">
        <v>6160</v>
      </c>
      <c r="E77" s="1786" t="s">
        <v>8955</v>
      </c>
      <c r="F77" s="2290" t="s">
        <v>664</v>
      </c>
      <c r="G77" s="93">
        <v>5</v>
      </c>
      <c r="H77" s="40">
        <v>6</v>
      </c>
      <c r="I77" s="702">
        <f>J77+K77+L77</f>
        <v>0.25</v>
      </c>
      <c r="J77" s="702">
        <f>SUM(M77:R77)</f>
        <v>0.25</v>
      </c>
      <c r="K77" s="2151"/>
      <c r="L77" s="2151"/>
      <c r="M77" s="2151"/>
      <c r="N77" s="2151"/>
      <c r="O77" s="2151"/>
      <c r="P77" s="2151"/>
      <c r="Q77" s="2151"/>
      <c r="R77" s="2152">
        <v>0.25</v>
      </c>
      <c r="S77" s="2153"/>
      <c r="T77" s="2153"/>
      <c r="U77" s="2153"/>
      <c r="V77" s="2153"/>
      <c r="W77" s="2153"/>
      <c r="X77" s="2153"/>
      <c r="Y77" s="2153"/>
      <c r="Z77" s="2153"/>
      <c r="AB77">
        <v>1</v>
      </c>
      <c r="AE77" s="2461">
        <f t="shared" si="9"/>
        <v>0</v>
      </c>
      <c r="AF77" s="68"/>
      <c r="AK77" s="2828" t="s">
        <v>11240</v>
      </c>
      <c r="AL77" s="2826">
        <f>AL25+AL46+AL67</f>
        <v>85.306000000000012</v>
      </c>
      <c r="AM77" s="2827">
        <f>AL77-J14</f>
        <v>0</v>
      </c>
    </row>
    <row r="78" spans="1:39" ht="30" x14ac:dyDescent="0.35">
      <c r="A78" s="693">
        <v>27</v>
      </c>
      <c r="B78" s="365">
        <v>11355</v>
      </c>
      <c r="C78" s="365" t="s">
        <v>1656</v>
      </c>
      <c r="D78" s="2472" t="s">
        <v>6161</v>
      </c>
      <c r="E78" s="1999" t="s">
        <v>9294</v>
      </c>
      <c r="F78" s="2289" t="s">
        <v>664</v>
      </c>
      <c r="G78" s="2289">
        <v>5</v>
      </c>
      <c r="H78" s="40">
        <v>6</v>
      </c>
      <c r="I78" s="297">
        <f>J78+K78+L78</f>
        <v>0.1</v>
      </c>
      <c r="J78" s="297">
        <f>SUM(M78:R78)</f>
        <v>0.1</v>
      </c>
      <c r="K78" s="576"/>
      <c r="L78" s="576"/>
      <c r="M78" s="576"/>
      <c r="N78" s="576"/>
      <c r="O78" s="576"/>
      <c r="P78" s="576"/>
      <c r="Q78" s="2023"/>
      <c r="R78" s="2014">
        <v>0.1</v>
      </c>
      <c r="S78" s="93"/>
      <c r="T78" s="2021"/>
      <c r="U78" s="93"/>
      <c r="V78" s="93"/>
      <c r="W78" s="93"/>
      <c r="X78" s="2021"/>
      <c r="Y78" s="93"/>
      <c r="Z78" s="2024"/>
      <c r="AA78" s="3"/>
      <c r="AB78">
        <v>1</v>
      </c>
      <c r="AE78" s="2461">
        <f t="shared" si="9"/>
        <v>0</v>
      </c>
      <c r="AF78" s="68"/>
    </row>
    <row r="79" spans="1:39" ht="30" x14ac:dyDescent="0.35">
      <c r="A79" s="693">
        <v>28</v>
      </c>
      <c r="B79" s="999">
        <v>11355</v>
      </c>
      <c r="C79" s="999" t="s">
        <v>1656</v>
      </c>
      <c r="D79" s="2472" t="s">
        <v>6162</v>
      </c>
      <c r="E79" s="1999" t="s">
        <v>8956</v>
      </c>
      <c r="F79" s="2289" t="s">
        <v>664</v>
      </c>
      <c r="G79" s="2289">
        <v>5</v>
      </c>
      <c r="H79" s="40">
        <v>6</v>
      </c>
      <c r="I79" s="297">
        <f>J79+K79+L79</f>
        <v>0.1</v>
      </c>
      <c r="J79" s="297">
        <f>SUM(M79:R79)</f>
        <v>0.1</v>
      </c>
      <c r="K79" s="576"/>
      <c r="L79" s="576"/>
      <c r="M79" s="576"/>
      <c r="N79" s="576"/>
      <c r="O79" s="576"/>
      <c r="P79" s="576"/>
      <c r="Q79" s="2023"/>
      <c r="R79" s="2014">
        <v>0.1</v>
      </c>
      <c r="S79" s="93"/>
      <c r="T79" s="2021"/>
      <c r="U79" s="93"/>
      <c r="V79" s="93"/>
      <c r="W79" s="93"/>
      <c r="X79" s="2021"/>
      <c r="Y79" s="93"/>
      <c r="Z79" s="2024"/>
      <c r="AA79" s="3"/>
      <c r="AB79">
        <v>1</v>
      </c>
      <c r="AE79" s="2461">
        <f t="shared" si="9"/>
        <v>0</v>
      </c>
      <c r="AF79" s="68"/>
    </row>
    <row r="80" spans="1:39" ht="30" x14ac:dyDescent="0.35">
      <c r="A80" s="693">
        <v>29</v>
      </c>
      <c r="B80" s="293">
        <v>11356</v>
      </c>
      <c r="C80" s="293"/>
      <c r="D80" s="348" t="s">
        <v>1264</v>
      </c>
      <c r="E80" s="516" t="s">
        <v>1086</v>
      </c>
      <c r="F80" s="2289"/>
      <c r="G80" s="41" t="s">
        <v>191</v>
      </c>
      <c r="H80" s="2289" t="s">
        <v>191</v>
      </c>
      <c r="I80" s="518">
        <f>J80+K80+L80</f>
        <v>5.2</v>
      </c>
      <c r="J80" s="518">
        <f>SUM(M80:R80)</f>
        <v>5.2</v>
      </c>
      <c r="K80" s="518"/>
      <c r="L80" s="518"/>
      <c r="M80" s="518"/>
      <c r="N80" s="2011">
        <f>SUM(N81:N82)</f>
        <v>4.8499999999999996</v>
      </c>
      <c r="O80" s="2012"/>
      <c r="P80" s="518"/>
      <c r="Q80" s="2013">
        <f>SUM(Q81:Q82)</f>
        <v>0.35000000000000053</v>
      </c>
      <c r="R80" s="2014"/>
      <c r="S80" s="39"/>
      <c r="T80" s="279"/>
      <c r="U80" s="39"/>
      <c r="V80" s="39"/>
      <c r="W80" s="42">
        <v>11</v>
      </c>
      <c r="X80" s="279">
        <v>144.19999999999999</v>
      </c>
      <c r="Y80" s="42">
        <v>5</v>
      </c>
      <c r="Z80" s="2015">
        <v>50</v>
      </c>
      <c r="AA80" s="3"/>
      <c r="AB80">
        <v>1</v>
      </c>
      <c r="AE80" s="2461">
        <f t="shared" si="9"/>
        <v>0</v>
      </c>
      <c r="AF80" s="68"/>
    </row>
    <row r="81" spans="1:32" ht="15.5" x14ac:dyDescent="0.35">
      <c r="A81" s="295"/>
      <c r="B81" s="293">
        <v>11356</v>
      </c>
      <c r="C81" s="293"/>
      <c r="D81" s="348"/>
      <c r="E81" s="519" t="s">
        <v>2445</v>
      </c>
      <c r="F81" s="2289">
        <v>5</v>
      </c>
      <c r="G81" s="41">
        <v>5</v>
      </c>
      <c r="H81" s="2289">
        <v>6</v>
      </c>
      <c r="I81" s="576"/>
      <c r="J81" s="576"/>
      <c r="K81" s="576"/>
      <c r="L81" s="576"/>
      <c r="M81" s="576"/>
      <c r="N81" s="2017">
        <v>4.8499999999999996</v>
      </c>
      <c r="O81" s="576"/>
      <c r="P81" s="576"/>
      <c r="Q81" s="2023"/>
      <c r="R81" s="2020"/>
      <c r="S81" s="93"/>
      <c r="T81" s="2021"/>
      <c r="U81" s="93"/>
      <c r="V81" s="93"/>
      <c r="W81" s="93"/>
      <c r="X81" s="2021"/>
      <c r="Y81" s="93"/>
      <c r="Z81" s="2024"/>
      <c r="AA81" s="3"/>
      <c r="AE81" s="2461">
        <f t="shared" si="9"/>
        <v>0</v>
      </c>
      <c r="AF81" s="68"/>
    </row>
    <row r="82" spans="1:32" ht="15.5" x14ac:dyDescent="0.35">
      <c r="A82" s="295"/>
      <c r="B82" s="293">
        <v>11356</v>
      </c>
      <c r="C82" s="293"/>
      <c r="D82" s="348"/>
      <c r="E82" s="2004" t="s">
        <v>438</v>
      </c>
      <c r="F82" s="166" t="s">
        <v>827</v>
      </c>
      <c r="G82" s="41">
        <v>5</v>
      </c>
      <c r="H82" s="2289">
        <v>6</v>
      </c>
      <c r="I82" s="576"/>
      <c r="J82" s="576"/>
      <c r="K82" s="576"/>
      <c r="L82" s="576"/>
      <c r="M82" s="576"/>
      <c r="N82" s="576"/>
      <c r="O82" s="576"/>
      <c r="P82" s="576"/>
      <c r="Q82" s="2023">
        <f>5.2-4.85</f>
        <v>0.35000000000000053</v>
      </c>
      <c r="R82" s="2020"/>
      <c r="S82" s="93"/>
      <c r="T82" s="2021"/>
      <c r="U82" s="93"/>
      <c r="V82" s="93"/>
      <c r="W82" s="93"/>
      <c r="X82" s="2021"/>
      <c r="Y82" s="93"/>
      <c r="Z82" s="2024"/>
      <c r="AA82" s="3"/>
      <c r="AE82" s="2461">
        <f t="shared" si="9"/>
        <v>0</v>
      </c>
      <c r="AF82" s="68"/>
    </row>
    <row r="83" spans="1:32" ht="30" x14ac:dyDescent="0.35">
      <c r="A83" s="295">
        <v>30</v>
      </c>
      <c r="B83" s="999">
        <v>11356</v>
      </c>
      <c r="C83" s="999"/>
      <c r="D83" s="2472" t="s">
        <v>6163</v>
      </c>
      <c r="E83" s="1999" t="s">
        <v>7985</v>
      </c>
      <c r="F83" s="2289">
        <v>5</v>
      </c>
      <c r="G83" s="41">
        <v>5</v>
      </c>
      <c r="H83" s="2289">
        <v>6</v>
      </c>
      <c r="I83" s="518">
        <f>J83+K83+L83</f>
        <v>1.4870000000000001</v>
      </c>
      <c r="J83" s="518">
        <f>SUM(M83:R83)</f>
        <v>1.4870000000000001</v>
      </c>
      <c r="K83" s="518"/>
      <c r="L83" s="518"/>
      <c r="M83" s="518"/>
      <c r="N83" s="2011"/>
      <c r="O83" s="2012"/>
      <c r="P83" s="518"/>
      <c r="Q83" s="2016">
        <v>1.4870000000000001</v>
      </c>
      <c r="R83" s="2014"/>
      <c r="S83" s="39"/>
      <c r="T83" s="279"/>
      <c r="U83" s="39"/>
      <c r="V83" s="39"/>
      <c r="W83" s="42">
        <v>1</v>
      </c>
      <c r="X83" s="279">
        <v>20.5</v>
      </c>
      <c r="Y83" s="42"/>
      <c r="Z83" s="2015"/>
      <c r="AA83" s="3"/>
      <c r="AB83">
        <v>1</v>
      </c>
      <c r="AE83" s="2461">
        <f t="shared" ref="AE83:AE114" si="10">SUMIF(D83,"=П",AB83)</f>
        <v>0</v>
      </c>
      <c r="AF83" s="68"/>
    </row>
    <row r="84" spans="1:32" ht="45" x14ac:dyDescent="0.35">
      <c r="A84" s="441">
        <v>31</v>
      </c>
      <c r="B84" s="293">
        <v>11356</v>
      </c>
      <c r="C84" s="358" t="s">
        <v>1656</v>
      </c>
      <c r="D84" s="2472" t="s">
        <v>6164</v>
      </c>
      <c r="E84" s="1999" t="s">
        <v>8957</v>
      </c>
      <c r="F84" s="2289" t="s">
        <v>664</v>
      </c>
      <c r="G84" s="2289">
        <v>5</v>
      </c>
      <c r="H84" s="40">
        <v>6</v>
      </c>
      <c r="I84" s="297">
        <f>J84+K84+L84</f>
        <v>0.8</v>
      </c>
      <c r="J84" s="297">
        <f>SUM(M84:R84)</f>
        <v>0.8</v>
      </c>
      <c r="K84" s="518"/>
      <c r="L84" s="518"/>
      <c r="M84" s="518"/>
      <c r="N84" s="2011"/>
      <c r="O84" s="2012"/>
      <c r="P84" s="518"/>
      <c r="Q84" s="2013"/>
      <c r="R84" s="2014">
        <v>0.8</v>
      </c>
      <c r="S84" s="39"/>
      <c r="T84" s="279"/>
      <c r="U84" s="39"/>
      <c r="V84" s="39"/>
      <c r="W84" s="42"/>
      <c r="X84" s="279"/>
      <c r="Y84" s="42"/>
      <c r="Z84" s="2015"/>
      <c r="AA84" s="3"/>
      <c r="AB84">
        <v>1</v>
      </c>
      <c r="AE84" s="2461">
        <f t="shared" si="10"/>
        <v>0</v>
      </c>
      <c r="AF84" s="68"/>
    </row>
    <row r="85" spans="1:32" ht="39.5" x14ac:dyDescent="0.35">
      <c r="A85" s="295">
        <v>32</v>
      </c>
      <c r="B85" s="293">
        <v>11357</v>
      </c>
      <c r="C85" s="293"/>
      <c r="D85" s="348" t="s">
        <v>242</v>
      </c>
      <c r="E85" s="516" t="s">
        <v>2371</v>
      </c>
      <c r="F85" s="93"/>
      <c r="G85" s="93" t="s">
        <v>191</v>
      </c>
      <c r="H85" s="2289" t="s">
        <v>191</v>
      </c>
      <c r="I85" s="518">
        <f>J85+K85+L85</f>
        <v>17.670000000000002</v>
      </c>
      <c r="J85" s="518">
        <f>SUM(M85:R85)</f>
        <v>17.670000000000002</v>
      </c>
      <c r="K85" s="577"/>
      <c r="L85" s="577"/>
      <c r="M85" s="577"/>
      <c r="N85" s="2011">
        <f>SUM(N86:N93)</f>
        <v>3.2139999999999995</v>
      </c>
      <c r="O85" s="577"/>
      <c r="P85" s="577"/>
      <c r="Q85" s="2013">
        <f>SUM(Q86:Q93)</f>
        <v>14.456000000000003</v>
      </c>
      <c r="R85" s="2014"/>
      <c r="S85" s="105">
        <v>2</v>
      </c>
      <c r="T85" s="2027">
        <v>88.7</v>
      </c>
      <c r="U85" s="93"/>
      <c r="V85" s="93"/>
      <c r="W85" s="105">
        <v>24</v>
      </c>
      <c r="X85" s="2027">
        <v>322.5</v>
      </c>
      <c r="Y85" s="105">
        <v>7</v>
      </c>
      <c r="Z85" s="2015">
        <v>70.400000000000006</v>
      </c>
      <c r="AA85" s="2452" t="s">
        <v>3697</v>
      </c>
      <c r="AB85">
        <v>1</v>
      </c>
      <c r="AE85" s="2461">
        <f t="shared" si="10"/>
        <v>0</v>
      </c>
      <c r="AF85" s="68"/>
    </row>
    <row r="86" spans="1:32" ht="15.5" x14ac:dyDescent="0.35">
      <c r="A86" s="295"/>
      <c r="B86" s="293">
        <v>11357</v>
      </c>
      <c r="C86" s="293"/>
      <c r="D86" s="348"/>
      <c r="E86" s="519" t="s">
        <v>3284</v>
      </c>
      <c r="F86" s="93">
        <v>4</v>
      </c>
      <c r="G86" s="93">
        <v>4</v>
      </c>
      <c r="H86" s="2289">
        <v>6</v>
      </c>
      <c r="I86" s="576"/>
      <c r="J86" s="576"/>
      <c r="K86" s="576"/>
      <c r="L86" s="576"/>
      <c r="M86" s="576"/>
      <c r="N86" s="576">
        <v>2.5</v>
      </c>
      <c r="O86" s="576"/>
      <c r="P86" s="576"/>
      <c r="Q86" s="2023"/>
      <c r="R86" s="2020"/>
      <c r="S86" s="93"/>
      <c r="T86" s="2021"/>
      <c r="U86" s="93"/>
      <c r="V86" s="93"/>
      <c r="W86" s="93"/>
      <c r="X86" s="2021"/>
      <c r="Y86" s="93"/>
      <c r="Z86" s="2024"/>
      <c r="AA86" s="3"/>
      <c r="AE86" s="2461">
        <f t="shared" si="10"/>
        <v>0</v>
      </c>
      <c r="AF86" s="68"/>
    </row>
    <row r="87" spans="1:32" ht="15.5" x14ac:dyDescent="0.35">
      <c r="A87" s="295"/>
      <c r="B87" s="293"/>
      <c r="C87" s="293"/>
      <c r="D87" s="348"/>
      <c r="E87" s="2004" t="s">
        <v>941</v>
      </c>
      <c r="F87" s="93">
        <v>4</v>
      </c>
      <c r="G87" s="93">
        <v>4</v>
      </c>
      <c r="H87" s="2289">
        <v>6</v>
      </c>
      <c r="I87" s="576"/>
      <c r="J87" s="576"/>
      <c r="K87" s="576"/>
      <c r="L87" s="576"/>
      <c r="M87" s="576"/>
      <c r="N87" s="576"/>
      <c r="O87" s="576"/>
      <c r="P87" s="576"/>
      <c r="Q87" s="2023">
        <f>7.95-2.5</f>
        <v>5.45</v>
      </c>
      <c r="R87" s="2020"/>
      <c r="S87" s="93"/>
      <c r="T87" s="2021"/>
      <c r="U87" s="93"/>
      <c r="V87" s="93"/>
      <c r="W87" s="93"/>
      <c r="X87" s="2021"/>
      <c r="Y87" s="93"/>
      <c r="Z87" s="2024"/>
      <c r="AA87" s="3"/>
      <c r="AE87" s="2461">
        <f t="shared" si="10"/>
        <v>0</v>
      </c>
      <c r="AF87" s="68"/>
    </row>
    <row r="88" spans="1:32" ht="15.5" x14ac:dyDescent="0.35">
      <c r="A88" s="295"/>
      <c r="B88" s="293"/>
      <c r="C88" s="293"/>
      <c r="D88" s="348"/>
      <c r="E88" s="519" t="s">
        <v>942</v>
      </c>
      <c r="F88" s="93">
        <v>4</v>
      </c>
      <c r="G88" s="93">
        <v>4</v>
      </c>
      <c r="H88" s="2289">
        <v>6</v>
      </c>
      <c r="I88" s="576"/>
      <c r="J88" s="576"/>
      <c r="K88" s="576"/>
      <c r="L88" s="576"/>
      <c r="M88" s="576"/>
      <c r="N88" s="576">
        <f>8.375-7.95</f>
        <v>0.42499999999999982</v>
      </c>
      <c r="O88" s="576"/>
      <c r="P88" s="576"/>
      <c r="Q88" s="2023"/>
      <c r="R88" s="2020"/>
      <c r="S88" s="93"/>
      <c r="T88" s="2021"/>
      <c r="U88" s="93"/>
      <c r="V88" s="93"/>
      <c r="W88" s="93"/>
      <c r="X88" s="2021"/>
      <c r="Y88" s="93"/>
      <c r="Z88" s="2024"/>
      <c r="AA88" s="3"/>
      <c r="AE88" s="2461">
        <f t="shared" si="10"/>
        <v>0</v>
      </c>
      <c r="AF88" s="68"/>
    </row>
    <row r="89" spans="1:32" ht="15.5" x14ac:dyDescent="0.35">
      <c r="A89" s="295"/>
      <c r="B89" s="293"/>
      <c r="C89" s="293"/>
      <c r="D89" s="348"/>
      <c r="E89" s="2004" t="s">
        <v>943</v>
      </c>
      <c r="F89" s="93">
        <v>4</v>
      </c>
      <c r="G89" s="93">
        <v>4</v>
      </c>
      <c r="H89" s="2289">
        <v>6</v>
      </c>
      <c r="I89" s="576"/>
      <c r="J89" s="576"/>
      <c r="K89" s="576"/>
      <c r="L89" s="576"/>
      <c r="M89" s="576"/>
      <c r="N89" s="576"/>
      <c r="O89" s="576"/>
      <c r="P89" s="576"/>
      <c r="Q89" s="2023">
        <f>8.85-8.375</f>
        <v>0.47499999999999964</v>
      </c>
      <c r="R89" s="2020"/>
      <c r="S89" s="93"/>
      <c r="T89" s="2021"/>
      <c r="U89" s="93"/>
      <c r="V89" s="93"/>
      <c r="W89" s="93"/>
      <c r="X89" s="2021"/>
      <c r="Y89" s="93"/>
      <c r="Z89" s="2024"/>
      <c r="AA89" s="3"/>
      <c r="AE89" s="2461">
        <f t="shared" si="10"/>
        <v>0</v>
      </c>
      <c r="AF89" s="68"/>
    </row>
    <row r="90" spans="1:32" ht="15.5" x14ac:dyDescent="0.35">
      <c r="A90" s="295"/>
      <c r="B90" s="293"/>
      <c r="C90" s="293"/>
      <c r="D90" s="348"/>
      <c r="E90" s="519" t="s">
        <v>944</v>
      </c>
      <c r="F90" s="93">
        <v>4</v>
      </c>
      <c r="G90" s="93">
        <v>4</v>
      </c>
      <c r="H90" s="2289">
        <v>6</v>
      </c>
      <c r="I90" s="576"/>
      <c r="J90" s="576"/>
      <c r="K90" s="576"/>
      <c r="L90" s="576"/>
      <c r="M90" s="576"/>
      <c r="N90" s="576">
        <f>8.937-8.85</f>
        <v>8.6999999999999744E-2</v>
      </c>
      <c r="O90" s="576"/>
      <c r="P90" s="576"/>
      <c r="Q90" s="2023"/>
      <c r="R90" s="2020"/>
      <c r="S90" s="93"/>
      <c r="T90" s="2021"/>
      <c r="U90" s="93"/>
      <c r="V90" s="93"/>
      <c r="W90" s="93"/>
      <c r="X90" s="2021"/>
      <c r="Y90" s="93"/>
      <c r="Z90" s="2024"/>
      <c r="AA90" s="3"/>
      <c r="AE90" s="2461">
        <f t="shared" si="10"/>
        <v>0</v>
      </c>
      <c r="AF90" s="68"/>
    </row>
    <row r="91" spans="1:32" ht="15.5" x14ac:dyDescent="0.35">
      <c r="A91" s="295"/>
      <c r="B91" s="293">
        <v>11357</v>
      </c>
      <c r="C91" s="293"/>
      <c r="D91" s="348"/>
      <c r="E91" s="2004" t="s">
        <v>307</v>
      </c>
      <c r="F91" s="93">
        <v>4</v>
      </c>
      <c r="G91" s="93">
        <v>4</v>
      </c>
      <c r="H91" s="2289">
        <v>6</v>
      </c>
      <c r="I91" s="576"/>
      <c r="J91" s="576"/>
      <c r="K91" s="576"/>
      <c r="L91" s="576"/>
      <c r="M91" s="576"/>
      <c r="N91" s="576"/>
      <c r="O91" s="576"/>
      <c r="P91" s="576"/>
      <c r="Q91" s="2023">
        <f>15.88-8.937</f>
        <v>6.9430000000000014</v>
      </c>
      <c r="R91" s="2020"/>
      <c r="S91" s="93"/>
      <c r="T91" s="2021"/>
      <c r="U91" s="93"/>
      <c r="V91" s="93"/>
      <c r="W91" s="93"/>
      <c r="X91" s="2021"/>
      <c r="Y91" s="93"/>
      <c r="Z91" s="2024"/>
      <c r="AA91" s="3" t="s">
        <v>2553</v>
      </c>
      <c r="AE91" s="2461">
        <f t="shared" si="10"/>
        <v>0</v>
      </c>
      <c r="AF91" s="68"/>
    </row>
    <row r="92" spans="1:32" ht="15.5" x14ac:dyDescent="0.35">
      <c r="A92" s="525"/>
      <c r="B92" s="293">
        <v>11357</v>
      </c>
      <c r="C92" s="293"/>
      <c r="D92" s="348"/>
      <c r="E92" s="519" t="s">
        <v>243</v>
      </c>
      <c r="F92" s="93">
        <v>4</v>
      </c>
      <c r="G92" s="93">
        <v>4</v>
      </c>
      <c r="H92" s="2289">
        <v>6</v>
      </c>
      <c r="I92" s="576"/>
      <c r="J92" s="576"/>
      <c r="K92" s="576"/>
      <c r="L92" s="576"/>
      <c r="M92" s="576"/>
      <c r="N92" s="576">
        <f>16.082-15.88</f>
        <v>0.20199999999999996</v>
      </c>
      <c r="O92" s="576"/>
      <c r="P92" s="576"/>
      <c r="Q92" s="2023"/>
      <c r="R92" s="2020"/>
      <c r="S92" s="93"/>
      <c r="T92" s="2021"/>
      <c r="U92" s="93"/>
      <c r="V92" s="93"/>
      <c r="W92" s="93"/>
      <c r="X92" s="2021"/>
      <c r="Y92" s="93"/>
      <c r="Z92" s="2024"/>
      <c r="AA92" s="3"/>
      <c r="AE92" s="2461">
        <f t="shared" si="10"/>
        <v>0</v>
      </c>
      <c r="AF92" s="68"/>
    </row>
    <row r="93" spans="1:32" ht="15.5" x14ac:dyDescent="0.35">
      <c r="A93" s="525"/>
      <c r="B93" s="293">
        <v>11357</v>
      </c>
      <c r="C93" s="293"/>
      <c r="D93" s="348"/>
      <c r="E93" s="2004" t="s">
        <v>1008</v>
      </c>
      <c r="F93" s="93">
        <v>4</v>
      </c>
      <c r="G93" s="93">
        <v>4</v>
      </c>
      <c r="H93" s="2289">
        <v>6</v>
      </c>
      <c r="I93" s="576"/>
      <c r="J93" s="576"/>
      <c r="K93" s="576"/>
      <c r="L93" s="576"/>
      <c r="M93" s="576"/>
      <c r="N93" s="576"/>
      <c r="O93" s="576"/>
      <c r="P93" s="576"/>
      <c r="Q93" s="2023">
        <f>17.67-16.082</f>
        <v>1.588000000000001</v>
      </c>
      <c r="R93" s="2020"/>
      <c r="S93" s="93"/>
      <c r="T93" s="2021"/>
      <c r="U93" s="93"/>
      <c r="V93" s="93"/>
      <c r="W93" s="93"/>
      <c r="X93" s="2021"/>
      <c r="Y93" s="93"/>
      <c r="Z93" s="2024"/>
      <c r="AA93" s="3"/>
      <c r="AE93" s="2461">
        <f t="shared" si="10"/>
        <v>0</v>
      </c>
      <c r="AF93" s="68"/>
    </row>
    <row r="94" spans="1:32" ht="45" x14ac:dyDescent="0.35">
      <c r="A94" s="295">
        <v>33</v>
      </c>
      <c r="B94" s="999">
        <v>11357</v>
      </c>
      <c r="C94" s="999"/>
      <c r="D94" s="2472" t="s">
        <v>6165</v>
      </c>
      <c r="E94" s="516" t="s">
        <v>7986</v>
      </c>
      <c r="F94" s="2289">
        <v>5</v>
      </c>
      <c r="G94" s="41">
        <v>5</v>
      </c>
      <c r="H94" s="2289">
        <v>6</v>
      </c>
      <c r="I94" s="518">
        <f t="shared" ref="I94:I103" si="11">J94+K94+L94</f>
        <v>0.76800000000000002</v>
      </c>
      <c r="J94" s="518">
        <f t="shared" ref="J94:J103" si="12">SUM(M94:R94)</f>
        <v>0.76800000000000002</v>
      </c>
      <c r="K94" s="576"/>
      <c r="L94" s="576"/>
      <c r="M94" s="576"/>
      <c r="N94" s="2011">
        <v>0.76800000000000002</v>
      </c>
      <c r="O94" s="576"/>
      <c r="P94" s="576"/>
      <c r="Q94" s="1813"/>
      <c r="R94" s="2020"/>
      <c r="S94" s="93"/>
      <c r="T94" s="2021"/>
      <c r="U94" s="93"/>
      <c r="V94" s="93"/>
      <c r="W94" s="42">
        <v>2</v>
      </c>
      <c r="X94" s="279">
        <v>25.4</v>
      </c>
      <c r="Y94" s="42"/>
      <c r="Z94" s="2015"/>
      <c r="AA94" s="3"/>
      <c r="AB94">
        <v>1</v>
      </c>
      <c r="AE94" s="2461">
        <f t="shared" si="10"/>
        <v>0</v>
      </c>
      <c r="AF94" s="68"/>
    </row>
    <row r="95" spans="1:32" ht="60" x14ac:dyDescent="0.35">
      <c r="A95" s="295">
        <v>34</v>
      </c>
      <c r="B95" s="293">
        <v>11357</v>
      </c>
      <c r="C95" s="358" t="s">
        <v>1656</v>
      </c>
      <c r="D95" s="2472" t="s">
        <v>6166</v>
      </c>
      <c r="E95" s="1999" t="s">
        <v>8958</v>
      </c>
      <c r="F95" s="2289" t="s">
        <v>664</v>
      </c>
      <c r="G95" s="2289">
        <v>5</v>
      </c>
      <c r="H95" s="40">
        <v>6</v>
      </c>
      <c r="I95" s="297">
        <f>J95+K95+L95</f>
        <v>0.7</v>
      </c>
      <c r="J95" s="297">
        <f>SUM(M95:R95)</f>
        <v>0.7</v>
      </c>
      <c r="K95" s="518"/>
      <c r="L95" s="518"/>
      <c r="M95" s="518"/>
      <c r="N95" s="2011"/>
      <c r="O95" s="2012"/>
      <c r="P95" s="518"/>
      <c r="Q95" s="2013"/>
      <c r="R95" s="2014">
        <v>0.7</v>
      </c>
      <c r="S95" s="39"/>
      <c r="T95" s="279"/>
      <c r="U95" s="39"/>
      <c r="V95" s="39"/>
      <c r="W95" s="42"/>
      <c r="X95" s="279"/>
      <c r="Y95" s="42"/>
      <c r="Z95" s="2015"/>
      <c r="AA95" s="3"/>
      <c r="AB95">
        <v>1</v>
      </c>
      <c r="AE95" s="2461">
        <f t="shared" si="10"/>
        <v>0</v>
      </c>
      <c r="AF95" s="68"/>
    </row>
    <row r="96" spans="1:32" ht="45" x14ac:dyDescent="0.35">
      <c r="A96" s="295">
        <v>35</v>
      </c>
      <c r="B96" s="293">
        <v>11357</v>
      </c>
      <c r="C96" s="293"/>
      <c r="D96" s="2472" t="s">
        <v>6167</v>
      </c>
      <c r="E96" s="516" t="s">
        <v>7987</v>
      </c>
      <c r="F96" s="166" t="s">
        <v>1490</v>
      </c>
      <c r="G96" s="93">
        <v>5</v>
      </c>
      <c r="H96" s="40">
        <v>6</v>
      </c>
      <c r="I96" s="577">
        <f t="shared" si="11"/>
        <v>0.8</v>
      </c>
      <c r="J96" s="577">
        <f t="shared" si="12"/>
        <v>0.8</v>
      </c>
      <c r="K96" s="576"/>
      <c r="L96" s="576"/>
      <c r="M96" s="576"/>
      <c r="N96" s="576"/>
      <c r="O96" s="576"/>
      <c r="P96" s="576"/>
      <c r="Q96" s="2023"/>
      <c r="R96" s="2014">
        <v>0.8</v>
      </c>
      <c r="S96" s="93"/>
      <c r="T96" s="2021"/>
      <c r="U96" s="93"/>
      <c r="V96" s="93"/>
      <c r="W96" s="105">
        <v>1</v>
      </c>
      <c r="X96" s="2027">
        <v>10.1</v>
      </c>
      <c r="Y96" s="93"/>
      <c r="Z96" s="2024"/>
      <c r="AA96" s="3"/>
      <c r="AB96">
        <v>1</v>
      </c>
      <c r="AE96" s="2461">
        <f t="shared" si="10"/>
        <v>0</v>
      </c>
      <c r="AF96" s="68"/>
    </row>
    <row r="97" spans="1:32" ht="45" x14ac:dyDescent="0.35">
      <c r="A97" s="295">
        <v>36</v>
      </c>
      <c r="B97" s="999">
        <v>11357</v>
      </c>
      <c r="C97" s="999"/>
      <c r="D97" s="2472" t="s">
        <v>6168</v>
      </c>
      <c r="E97" s="516" t="s">
        <v>7988</v>
      </c>
      <c r="F97" s="2289">
        <v>5</v>
      </c>
      <c r="G97" s="41">
        <v>5</v>
      </c>
      <c r="H97" s="2289">
        <v>6</v>
      </c>
      <c r="I97" s="518">
        <f t="shared" si="11"/>
        <v>1.81</v>
      </c>
      <c r="J97" s="518">
        <f t="shared" si="12"/>
        <v>1.81</v>
      </c>
      <c r="K97" s="576"/>
      <c r="L97" s="576"/>
      <c r="M97" s="576"/>
      <c r="N97" s="2011">
        <v>1.81</v>
      </c>
      <c r="O97" s="576"/>
      <c r="P97" s="576"/>
      <c r="Q97" s="1813"/>
      <c r="R97" s="2020"/>
      <c r="S97" s="93"/>
      <c r="T97" s="2021"/>
      <c r="U97" s="93"/>
      <c r="V97" s="93"/>
      <c r="W97" s="42">
        <v>12</v>
      </c>
      <c r="X97" s="279">
        <v>151.85</v>
      </c>
      <c r="Y97" s="42">
        <v>2</v>
      </c>
      <c r="Z97" s="2015">
        <v>20.3</v>
      </c>
      <c r="AA97" s="3"/>
      <c r="AB97">
        <v>1</v>
      </c>
      <c r="AE97" s="2461">
        <f t="shared" si="10"/>
        <v>0</v>
      </c>
      <c r="AF97" s="68"/>
    </row>
    <row r="98" spans="1:32" ht="60" x14ac:dyDescent="0.35">
      <c r="A98" s="295">
        <v>37</v>
      </c>
      <c r="B98" s="999">
        <v>11357</v>
      </c>
      <c r="C98" s="999"/>
      <c r="D98" s="2472" t="s">
        <v>6169</v>
      </c>
      <c r="E98" s="516" t="s">
        <v>7989</v>
      </c>
      <c r="F98" s="2289">
        <v>5</v>
      </c>
      <c r="G98" s="41">
        <v>5</v>
      </c>
      <c r="H98" s="2289">
        <v>6</v>
      </c>
      <c r="I98" s="577">
        <f>J98+K98+L98</f>
        <v>0.57999999999999996</v>
      </c>
      <c r="J98" s="577">
        <f>SUM(M98:R98)</f>
        <v>0.57999999999999996</v>
      </c>
      <c r="K98" s="576"/>
      <c r="L98" s="576"/>
      <c r="M98" s="576"/>
      <c r="N98" s="2011">
        <v>0.57999999999999996</v>
      </c>
      <c r="O98" s="576"/>
      <c r="P98" s="576"/>
      <c r="Q98" s="1813"/>
      <c r="R98" s="2020"/>
      <c r="S98" s="93"/>
      <c r="T98" s="2021"/>
      <c r="U98" s="93"/>
      <c r="V98" s="93"/>
      <c r="W98" s="40"/>
      <c r="X98" s="2028"/>
      <c r="Y98" s="40"/>
      <c r="Z98" s="2024"/>
      <c r="AA98" s="3"/>
      <c r="AB98">
        <v>1</v>
      </c>
      <c r="AE98" s="2461">
        <f t="shared" si="10"/>
        <v>0</v>
      </c>
      <c r="AF98" s="68"/>
    </row>
    <row r="99" spans="1:32" ht="75" x14ac:dyDescent="0.35">
      <c r="A99" s="295">
        <v>38</v>
      </c>
      <c r="B99" s="293">
        <v>11357</v>
      </c>
      <c r="C99" s="358" t="s">
        <v>1656</v>
      </c>
      <c r="D99" s="2472" t="s">
        <v>6170</v>
      </c>
      <c r="E99" s="1999" t="s">
        <v>8959</v>
      </c>
      <c r="F99" s="166" t="s">
        <v>664</v>
      </c>
      <c r="G99" s="2289">
        <v>5</v>
      </c>
      <c r="H99" s="40">
        <v>6</v>
      </c>
      <c r="I99" s="297">
        <f>J99+K99+L99</f>
        <v>0.3</v>
      </c>
      <c r="J99" s="297">
        <f>SUM(M99:R99)</f>
        <v>0.3</v>
      </c>
      <c r="K99" s="524"/>
      <c r="L99" s="518"/>
      <c r="M99" s="518"/>
      <c r="N99" s="2017"/>
      <c r="O99" s="2012"/>
      <c r="P99" s="518"/>
      <c r="Q99" s="2016"/>
      <c r="R99" s="2014">
        <v>0.3</v>
      </c>
      <c r="S99" s="42"/>
      <c r="T99" s="281"/>
      <c r="U99" s="42"/>
      <c r="V99" s="42"/>
      <c r="W99" s="42"/>
      <c r="X99" s="281"/>
      <c r="Y99" s="42"/>
      <c r="Z99" s="2015"/>
      <c r="AA99" s="3"/>
      <c r="AB99">
        <v>1</v>
      </c>
      <c r="AE99" s="2461">
        <f t="shared" si="10"/>
        <v>0</v>
      </c>
      <c r="AF99" s="68"/>
    </row>
    <row r="100" spans="1:32" ht="45" x14ac:dyDescent="0.35">
      <c r="A100" s="295">
        <v>39</v>
      </c>
      <c r="B100" s="999">
        <v>11357</v>
      </c>
      <c r="C100" s="999"/>
      <c r="D100" s="2472" t="s">
        <v>6171</v>
      </c>
      <c r="E100" s="516" t="s">
        <v>7990</v>
      </c>
      <c r="F100" s="2289">
        <v>5</v>
      </c>
      <c r="G100" s="41">
        <v>5</v>
      </c>
      <c r="H100" s="2289">
        <v>6</v>
      </c>
      <c r="I100" s="577">
        <f t="shared" si="11"/>
        <v>0.94</v>
      </c>
      <c r="J100" s="577">
        <f t="shared" si="12"/>
        <v>0.94</v>
      </c>
      <c r="K100" s="576"/>
      <c r="L100" s="576"/>
      <c r="M100" s="576"/>
      <c r="N100" s="2011">
        <v>0.94</v>
      </c>
      <c r="O100" s="576"/>
      <c r="P100" s="576"/>
      <c r="Q100" s="1813"/>
      <c r="R100" s="2020"/>
      <c r="S100" s="93"/>
      <c r="T100" s="2021"/>
      <c r="U100" s="93"/>
      <c r="V100" s="93"/>
      <c r="W100" s="40"/>
      <c r="X100" s="2028"/>
      <c r="Y100" s="40"/>
      <c r="Z100" s="2024"/>
      <c r="AA100" s="3"/>
      <c r="AB100">
        <v>1</v>
      </c>
      <c r="AE100" s="2461">
        <f t="shared" si="10"/>
        <v>0</v>
      </c>
      <c r="AF100" s="68"/>
    </row>
    <row r="101" spans="1:32" ht="60" x14ac:dyDescent="0.35">
      <c r="A101" s="295">
        <v>40</v>
      </c>
      <c r="B101" s="293">
        <v>11357</v>
      </c>
      <c r="C101" s="358" t="s">
        <v>1656</v>
      </c>
      <c r="D101" s="2472" t="s">
        <v>6172</v>
      </c>
      <c r="E101" s="1999" t="s">
        <v>8960</v>
      </c>
      <c r="F101" s="2289" t="s">
        <v>664</v>
      </c>
      <c r="G101" s="2289">
        <v>5</v>
      </c>
      <c r="H101" s="40">
        <v>6</v>
      </c>
      <c r="I101" s="297">
        <f t="shared" si="11"/>
        <v>0.6</v>
      </c>
      <c r="J101" s="297">
        <f>SUM(M101:R101)</f>
        <v>0.6</v>
      </c>
      <c r="K101" s="518"/>
      <c r="L101" s="518"/>
      <c r="M101" s="518"/>
      <c r="N101" s="2017"/>
      <c r="O101" s="2022"/>
      <c r="P101" s="524"/>
      <c r="Q101" s="2018"/>
      <c r="R101" s="2014">
        <v>0.6</v>
      </c>
      <c r="S101" s="42"/>
      <c r="T101" s="281"/>
      <c r="U101" s="42"/>
      <c r="V101" s="42"/>
      <c r="W101" s="42"/>
      <c r="X101" s="279"/>
      <c r="Y101" s="42"/>
      <c r="Z101" s="2015"/>
      <c r="AA101" s="3"/>
      <c r="AB101">
        <v>1</v>
      </c>
      <c r="AE101" s="2461">
        <f t="shared" si="10"/>
        <v>0</v>
      </c>
      <c r="AF101" s="68"/>
    </row>
    <row r="102" spans="1:32" ht="30" x14ac:dyDescent="0.35">
      <c r="A102" s="295">
        <v>41</v>
      </c>
      <c r="B102" s="293">
        <v>11358</v>
      </c>
      <c r="C102" s="293"/>
      <c r="D102" s="348" t="s">
        <v>1265</v>
      </c>
      <c r="E102" s="516" t="s">
        <v>1814</v>
      </c>
      <c r="F102" s="2289">
        <v>5</v>
      </c>
      <c r="G102" s="2289">
        <v>5</v>
      </c>
      <c r="H102" s="2289">
        <v>6</v>
      </c>
      <c r="I102" s="518">
        <f t="shared" si="11"/>
        <v>3.25</v>
      </c>
      <c r="J102" s="518">
        <f t="shared" si="12"/>
        <v>3.25</v>
      </c>
      <c r="K102" s="518"/>
      <c r="L102" s="518"/>
      <c r="M102" s="518"/>
      <c r="N102" s="2011"/>
      <c r="O102" s="2012"/>
      <c r="P102" s="518"/>
      <c r="Q102" s="2016">
        <v>3.25</v>
      </c>
      <c r="R102" s="2014"/>
      <c r="S102" s="39"/>
      <c r="T102" s="279"/>
      <c r="U102" s="39"/>
      <c r="V102" s="39"/>
      <c r="W102" s="42">
        <v>15</v>
      </c>
      <c r="X102" s="279">
        <v>223.1</v>
      </c>
      <c r="Y102" s="42">
        <v>2</v>
      </c>
      <c r="Z102" s="2015">
        <v>20</v>
      </c>
      <c r="AA102" s="3"/>
      <c r="AB102">
        <v>1</v>
      </c>
      <c r="AE102" s="2461">
        <f t="shared" si="10"/>
        <v>0</v>
      </c>
      <c r="AF102" s="68"/>
    </row>
    <row r="103" spans="1:32" ht="30" x14ac:dyDescent="0.35">
      <c r="A103" s="295">
        <v>42</v>
      </c>
      <c r="B103" s="293">
        <v>11359</v>
      </c>
      <c r="C103" s="293"/>
      <c r="D103" s="348" t="s">
        <v>2937</v>
      </c>
      <c r="E103" s="516" t="s">
        <v>2057</v>
      </c>
      <c r="F103" s="2289"/>
      <c r="G103" s="41" t="s">
        <v>191</v>
      </c>
      <c r="H103" s="2289" t="s">
        <v>191</v>
      </c>
      <c r="I103" s="518">
        <f t="shared" si="11"/>
        <v>16.690000000000001</v>
      </c>
      <c r="J103" s="518">
        <f t="shared" si="12"/>
        <v>14.830000000000002</v>
      </c>
      <c r="K103" s="518"/>
      <c r="L103" s="518">
        <f>SUM(L104:L107)</f>
        <v>1.86</v>
      </c>
      <c r="M103" s="518"/>
      <c r="N103" s="2011">
        <f>SUM(N104:N107)</f>
        <v>12.860000000000001</v>
      </c>
      <c r="O103" s="2012"/>
      <c r="P103" s="518"/>
      <c r="Q103" s="2013">
        <f>SUM(Q104:Q108)</f>
        <v>1.9700000000000006</v>
      </c>
      <c r="R103" s="2014"/>
      <c r="S103" s="39">
        <v>1</v>
      </c>
      <c r="T103" s="279">
        <v>126.9</v>
      </c>
      <c r="U103" s="39"/>
      <c r="V103" s="39"/>
      <c r="W103" s="42">
        <v>31</v>
      </c>
      <c r="X103" s="279">
        <v>429.55</v>
      </c>
      <c r="Y103" s="42">
        <v>10</v>
      </c>
      <c r="Z103" s="2015">
        <v>100</v>
      </c>
      <c r="AA103" s="3"/>
      <c r="AB103">
        <v>1</v>
      </c>
      <c r="AE103" s="2461">
        <f t="shared" si="10"/>
        <v>0</v>
      </c>
      <c r="AF103" s="68"/>
    </row>
    <row r="104" spans="1:32" ht="31" x14ac:dyDescent="0.35">
      <c r="A104" s="295"/>
      <c r="B104" s="293">
        <v>11359</v>
      </c>
      <c r="C104" s="293"/>
      <c r="D104" s="348"/>
      <c r="E104" s="519" t="s">
        <v>2049</v>
      </c>
      <c r="F104" s="2289">
        <v>4</v>
      </c>
      <c r="G104" s="41">
        <v>4</v>
      </c>
      <c r="H104" s="41" t="s">
        <v>191</v>
      </c>
      <c r="I104" s="518"/>
      <c r="J104" s="518"/>
      <c r="K104" s="518"/>
      <c r="L104" s="524">
        <v>1.86</v>
      </c>
      <c r="M104" s="518"/>
      <c r="N104" s="2017"/>
      <c r="O104" s="2012"/>
      <c r="P104" s="518"/>
      <c r="Q104" s="2016"/>
      <c r="R104" s="2014"/>
      <c r="S104" s="39"/>
      <c r="T104" s="279"/>
      <c r="U104" s="39"/>
      <c r="V104" s="39"/>
      <c r="W104" s="42"/>
      <c r="X104" s="279"/>
      <c r="Y104" s="42"/>
      <c r="Z104" s="2015"/>
      <c r="AA104" s="3"/>
      <c r="AE104" s="2461">
        <f t="shared" si="10"/>
        <v>0</v>
      </c>
      <c r="AF104" s="68"/>
    </row>
    <row r="105" spans="1:32" ht="46.5" x14ac:dyDescent="0.35">
      <c r="A105" s="295"/>
      <c r="B105" s="293">
        <v>11359</v>
      </c>
      <c r="C105" s="293"/>
      <c r="D105" s="348"/>
      <c r="E105" s="519" t="s">
        <v>9892</v>
      </c>
      <c r="F105" s="2289"/>
      <c r="G105" s="41" t="s">
        <v>191</v>
      </c>
      <c r="H105" s="41" t="s">
        <v>191</v>
      </c>
      <c r="I105" s="518"/>
      <c r="J105" s="518"/>
      <c r="K105" s="518"/>
      <c r="L105" s="524"/>
      <c r="M105" s="518"/>
      <c r="N105" s="2017"/>
      <c r="O105" s="2012"/>
      <c r="P105" s="518"/>
      <c r="Q105" s="2016"/>
      <c r="R105" s="2014"/>
      <c r="S105" s="39"/>
      <c r="T105" s="279"/>
      <c r="U105" s="39"/>
      <c r="V105" s="39"/>
      <c r="W105" s="42"/>
      <c r="X105" s="279"/>
      <c r="Y105" s="42"/>
      <c r="Z105" s="2015"/>
      <c r="AA105" s="3"/>
      <c r="AE105" s="2461">
        <f t="shared" si="10"/>
        <v>0</v>
      </c>
      <c r="AF105" s="68"/>
    </row>
    <row r="106" spans="1:32" ht="15.5" x14ac:dyDescent="0.35">
      <c r="A106" s="295"/>
      <c r="B106" s="293">
        <v>11359</v>
      </c>
      <c r="C106" s="293"/>
      <c r="D106" s="348"/>
      <c r="E106" s="519" t="s">
        <v>439</v>
      </c>
      <c r="F106" s="2289">
        <v>4</v>
      </c>
      <c r="G106" s="41">
        <v>4</v>
      </c>
      <c r="H106" s="2289">
        <v>6</v>
      </c>
      <c r="I106" s="518"/>
      <c r="J106" s="518"/>
      <c r="K106" s="518"/>
      <c r="L106" s="518"/>
      <c r="M106" s="518"/>
      <c r="N106" s="2017">
        <f>14.72-1.86</f>
        <v>12.860000000000001</v>
      </c>
      <c r="O106" s="2022"/>
      <c r="P106" s="524"/>
      <c r="Q106" s="2018"/>
      <c r="R106" s="2014"/>
      <c r="S106" s="42"/>
      <c r="T106" s="281"/>
      <c r="U106" s="42"/>
      <c r="V106" s="42"/>
      <c r="W106" s="42"/>
      <c r="X106" s="279"/>
      <c r="Y106" s="42"/>
      <c r="Z106" s="2015"/>
      <c r="AA106" s="3"/>
      <c r="AE106" s="2461">
        <f t="shared" si="10"/>
        <v>0</v>
      </c>
      <c r="AF106" s="68"/>
    </row>
    <row r="107" spans="1:32" ht="15.5" x14ac:dyDescent="0.35">
      <c r="A107" s="295"/>
      <c r="B107" s="293">
        <v>11359</v>
      </c>
      <c r="C107" s="293"/>
      <c r="D107" s="348"/>
      <c r="E107" s="2004" t="s">
        <v>1561</v>
      </c>
      <c r="F107" s="2289">
        <v>4</v>
      </c>
      <c r="G107" s="41">
        <v>4</v>
      </c>
      <c r="H107" s="2289">
        <v>6</v>
      </c>
      <c r="I107" s="518"/>
      <c r="J107" s="518"/>
      <c r="K107" s="518"/>
      <c r="L107" s="518"/>
      <c r="M107" s="518"/>
      <c r="N107" s="2017"/>
      <c r="O107" s="2022"/>
      <c r="P107" s="524"/>
      <c r="Q107" s="2018">
        <f>16.69-14.72</f>
        <v>1.9700000000000006</v>
      </c>
      <c r="R107" s="2014"/>
      <c r="S107" s="42"/>
      <c r="T107" s="281"/>
      <c r="U107" s="42"/>
      <c r="V107" s="42"/>
      <c r="W107" s="42"/>
      <c r="X107" s="279"/>
      <c r="Y107" s="42"/>
      <c r="Z107" s="2015"/>
      <c r="AA107" s="3"/>
      <c r="AE107" s="2461">
        <f t="shared" si="10"/>
        <v>0</v>
      </c>
      <c r="AF107" s="68"/>
    </row>
    <row r="108" spans="1:32" ht="60" x14ac:dyDescent="0.35">
      <c r="A108" s="295">
        <v>43</v>
      </c>
      <c r="B108" s="293">
        <v>11359</v>
      </c>
      <c r="C108" s="293"/>
      <c r="D108" s="2472" t="s">
        <v>6173</v>
      </c>
      <c r="E108" s="516" t="s">
        <v>9893</v>
      </c>
      <c r="F108" s="2289">
        <v>4</v>
      </c>
      <c r="G108" s="41">
        <v>4</v>
      </c>
      <c r="H108" s="2289">
        <v>6</v>
      </c>
      <c r="I108" s="518">
        <f>J108+K108+L108</f>
        <v>0.08</v>
      </c>
      <c r="J108" s="518">
        <f>SUM(M108:R108)</f>
        <v>0.08</v>
      </c>
      <c r="K108" s="518"/>
      <c r="L108" s="518"/>
      <c r="M108" s="518"/>
      <c r="N108" s="2011">
        <v>0.08</v>
      </c>
      <c r="O108" s="2022"/>
      <c r="P108" s="524"/>
      <c r="Q108" s="2018"/>
      <c r="R108" s="2014"/>
      <c r="S108" s="42">
        <v>1</v>
      </c>
      <c r="T108" s="281">
        <v>46</v>
      </c>
      <c r="U108" s="42"/>
      <c r="V108" s="42"/>
      <c r="W108" s="42"/>
      <c r="X108" s="279"/>
      <c r="Y108" s="42"/>
      <c r="Z108" s="2015"/>
      <c r="AA108" s="3"/>
      <c r="AB108">
        <v>1</v>
      </c>
      <c r="AE108" s="2461">
        <f t="shared" si="10"/>
        <v>0</v>
      </c>
      <c r="AF108" s="68"/>
    </row>
    <row r="109" spans="1:32" ht="46.5" x14ac:dyDescent="0.35">
      <c r="A109" s="295"/>
      <c r="B109" s="293">
        <v>11359</v>
      </c>
      <c r="C109" s="293"/>
      <c r="D109" s="348"/>
      <c r="E109" s="519" t="s">
        <v>9894</v>
      </c>
      <c r="F109" s="2289"/>
      <c r="G109" s="41" t="s">
        <v>191</v>
      </c>
      <c r="H109" s="41" t="s">
        <v>191</v>
      </c>
      <c r="I109" s="518"/>
      <c r="J109" s="518"/>
      <c r="K109" s="518"/>
      <c r="L109" s="518"/>
      <c r="M109" s="518"/>
      <c r="N109" s="2011"/>
      <c r="O109" s="2022"/>
      <c r="P109" s="524"/>
      <c r="Q109" s="2018"/>
      <c r="R109" s="2014"/>
      <c r="S109" s="42"/>
      <c r="T109" s="281"/>
      <c r="U109" s="42"/>
      <c r="V109" s="42"/>
      <c r="W109" s="42"/>
      <c r="X109" s="279"/>
      <c r="Y109" s="42"/>
      <c r="Z109" s="2015"/>
      <c r="AA109" s="3"/>
      <c r="AE109" s="2461">
        <f t="shared" si="10"/>
        <v>0</v>
      </c>
      <c r="AF109" s="68"/>
    </row>
    <row r="110" spans="1:32" ht="45" x14ac:dyDescent="0.35">
      <c r="A110" s="441">
        <v>44</v>
      </c>
      <c r="B110" s="293">
        <v>11359</v>
      </c>
      <c r="C110" s="358" t="s">
        <v>1656</v>
      </c>
      <c r="D110" s="2472" t="s">
        <v>6174</v>
      </c>
      <c r="E110" s="1999" t="s">
        <v>8961</v>
      </c>
      <c r="F110" s="93" t="s">
        <v>664</v>
      </c>
      <c r="G110" s="2289">
        <v>5</v>
      </c>
      <c r="H110" s="40">
        <v>6</v>
      </c>
      <c r="I110" s="297">
        <f>J110+K110+L110</f>
        <v>0.3</v>
      </c>
      <c r="J110" s="297">
        <f>SUM(M110:R110)</f>
        <v>0.3</v>
      </c>
      <c r="K110" s="576"/>
      <c r="L110" s="576"/>
      <c r="M110" s="576"/>
      <c r="N110" s="2017"/>
      <c r="O110" s="576"/>
      <c r="P110" s="576"/>
      <c r="Q110" s="2023"/>
      <c r="R110" s="2096">
        <v>0.3</v>
      </c>
      <c r="S110" s="93"/>
      <c r="T110" s="2021"/>
      <c r="U110" s="93"/>
      <c r="V110" s="93"/>
      <c r="W110" s="93"/>
      <c r="X110" s="2021"/>
      <c r="Y110" s="93"/>
      <c r="Z110" s="2024"/>
      <c r="AA110" s="3"/>
      <c r="AB110">
        <v>1</v>
      </c>
      <c r="AE110" s="2461">
        <f t="shared" si="10"/>
        <v>0</v>
      </c>
      <c r="AF110" s="68"/>
    </row>
    <row r="111" spans="1:32" ht="60" x14ac:dyDescent="0.35">
      <c r="A111" s="441">
        <v>45</v>
      </c>
      <c r="B111" s="293">
        <v>11359</v>
      </c>
      <c r="C111" s="358" t="s">
        <v>1656</v>
      </c>
      <c r="D111" s="2472" t="s">
        <v>6175</v>
      </c>
      <c r="E111" s="1999" t="s">
        <v>8962</v>
      </c>
      <c r="F111" s="93" t="s">
        <v>664</v>
      </c>
      <c r="G111" s="2289">
        <v>5</v>
      </c>
      <c r="H111" s="40">
        <v>6</v>
      </c>
      <c r="I111" s="297">
        <f>J111+K111+L111</f>
        <v>4</v>
      </c>
      <c r="J111" s="297">
        <f>SUM(M111:R111)</f>
        <v>4</v>
      </c>
      <c r="K111" s="576"/>
      <c r="L111" s="576"/>
      <c r="M111" s="576"/>
      <c r="N111" s="576"/>
      <c r="O111" s="576"/>
      <c r="P111" s="576"/>
      <c r="Q111" s="2023"/>
      <c r="R111" s="2014">
        <v>4</v>
      </c>
      <c r="S111" s="93"/>
      <c r="T111" s="2021"/>
      <c r="U111" s="93"/>
      <c r="V111" s="93"/>
      <c r="W111" s="93"/>
      <c r="X111" s="2021"/>
      <c r="Y111" s="93"/>
      <c r="Z111" s="2024"/>
      <c r="AA111" s="3"/>
      <c r="AB111">
        <v>1</v>
      </c>
      <c r="AE111" s="2461">
        <f t="shared" si="10"/>
        <v>0</v>
      </c>
      <c r="AF111" s="68"/>
    </row>
    <row r="112" spans="1:32" ht="75" x14ac:dyDescent="0.35">
      <c r="A112" s="295">
        <v>46</v>
      </c>
      <c r="B112" s="999">
        <v>11359</v>
      </c>
      <c r="C112" s="999"/>
      <c r="D112" s="2472" t="s">
        <v>6176</v>
      </c>
      <c r="E112" s="516" t="s">
        <v>7395</v>
      </c>
      <c r="F112" s="2289">
        <v>4</v>
      </c>
      <c r="G112" s="41">
        <v>5</v>
      </c>
      <c r="H112" s="2289">
        <v>6</v>
      </c>
      <c r="I112" s="518">
        <f>J112+K112+L112</f>
        <v>1.06</v>
      </c>
      <c r="J112" s="518">
        <f>SUM(M112:R112)</f>
        <v>1.06</v>
      </c>
      <c r="K112" s="576"/>
      <c r="L112" s="576"/>
      <c r="M112" s="576"/>
      <c r="N112" s="2011">
        <v>1.06</v>
      </c>
      <c r="O112" s="576"/>
      <c r="P112" s="576"/>
      <c r="Q112" s="1813"/>
      <c r="R112" s="2020"/>
      <c r="S112" s="93"/>
      <c r="T112" s="2021"/>
      <c r="U112" s="93"/>
      <c r="V112" s="93"/>
      <c r="W112" s="42">
        <v>4</v>
      </c>
      <c r="X112" s="279">
        <v>53.6</v>
      </c>
      <c r="Y112" s="42">
        <v>2</v>
      </c>
      <c r="Z112" s="2015">
        <v>20</v>
      </c>
      <c r="AA112" s="3"/>
      <c r="AB112">
        <v>1</v>
      </c>
      <c r="AE112" s="2461">
        <f t="shared" si="10"/>
        <v>0</v>
      </c>
      <c r="AF112" s="68"/>
    </row>
    <row r="113" spans="1:32" ht="46.5" x14ac:dyDescent="0.35">
      <c r="A113" s="295"/>
      <c r="B113" s="999">
        <v>11359</v>
      </c>
      <c r="C113" s="999"/>
      <c r="D113" s="348"/>
      <c r="E113" s="519" t="s">
        <v>9895</v>
      </c>
      <c r="F113" s="2289"/>
      <c r="G113" s="41" t="s">
        <v>191</v>
      </c>
      <c r="H113" s="41" t="s">
        <v>191</v>
      </c>
      <c r="I113" s="518"/>
      <c r="J113" s="518"/>
      <c r="K113" s="576"/>
      <c r="L113" s="576"/>
      <c r="M113" s="576"/>
      <c r="N113" s="2011"/>
      <c r="O113" s="576"/>
      <c r="P113" s="576"/>
      <c r="Q113" s="1813"/>
      <c r="R113" s="2020"/>
      <c r="S113" s="93"/>
      <c r="T113" s="2021"/>
      <c r="U113" s="93"/>
      <c r="V113" s="93"/>
      <c r="W113" s="42"/>
      <c r="X113" s="279"/>
      <c r="Y113" s="42"/>
      <c r="Z113" s="2015"/>
      <c r="AA113" s="3"/>
      <c r="AE113" s="2461">
        <f t="shared" si="10"/>
        <v>0</v>
      </c>
      <c r="AF113" s="68"/>
    </row>
    <row r="114" spans="1:32" ht="45" x14ac:dyDescent="0.35">
      <c r="A114" s="295">
        <v>47</v>
      </c>
      <c r="B114" s="999">
        <v>11359</v>
      </c>
      <c r="C114" s="999"/>
      <c r="D114" s="2472" t="s">
        <v>6177</v>
      </c>
      <c r="E114" s="1999" t="s">
        <v>7991</v>
      </c>
      <c r="F114" s="2290"/>
      <c r="G114" s="41" t="s">
        <v>191</v>
      </c>
      <c r="H114" s="2289" t="s">
        <v>191</v>
      </c>
      <c r="I114" s="518">
        <f>J114+K114+L114</f>
        <v>2</v>
      </c>
      <c r="J114" s="518">
        <f>SUM(M114:R114)</f>
        <v>2</v>
      </c>
      <c r="K114" s="576"/>
      <c r="L114" s="576"/>
      <c r="M114" s="576"/>
      <c r="N114" s="2029">
        <f>SUM(N116:N117)</f>
        <v>0.9</v>
      </c>
      <c r="O114" s="576"/>
      <c r="P114" s="576"/>
      <c r="Q114" s="2016"/>
      <c r="R114" s="2026">
        <f>SUM(R116:R117)</f>
        <v>1.1000000000000001</v>
      </c>
      <c r="S114" s="93"/>
      <c r="T114" s="2021"/>
      <c r="U114" s="93"/>
      <c r="V114" s="93"/>
      <c r="W114" s="42">
        <v>2</v>
      </c>
      <c r="X114" s="279">
        <v>17.399999999999999</v>
      </c>
      <c r="Y114" s="42">
        <v>1</v>
      </c>
      <c r="Z114" s="2015">
        <v>10</v>
      </c>
      <c r="AA114" s="3"/>
      <c r="AB114">
        <v>1</v>
      </c>
      <c r="AE114" s="2461">
        <f t="shared" si="10"/>
        <v>0</v>
      </c>
      <c r="AF114" s="68"/>
    </row>
    <row r="115" spans="1:32" ht="46.5" x14ac:dyDescent="0.35">
      <c r="A115" s="295"/>
      <c r="B115" s="999">
        <v>11359</v>
      </c>
      <c r="C115" s="999"/>
      <c r="D115" s="348"/>
      <c r="E115" s="519" t="s">
        <v>9896</v>
      </c>
      <c r="F115" s="2289"/>
      <c r="G115" s="41" t="s">
        <v>191</v>
      </c>
      <c r="H115" s="41" t="s">
        <v>191</v>
      </c>
      <c r="I115" s="518"/>
      <c r="J115" s="518"/>
      <c r="K115" s="576"/>
      <c r="L115" s="576"/>
      <c r="M115" s="576"/>
      <c r="N115" s="2029"/>
      <c r="O115" s="576"/>
      <c r="P115" s="576"/>
      <c r="Q115" s="2016"/>
      <c r="R115" s="2026"/>
      <c r="S115" s="93"/>
      <c r="T115" s="2021"/>
      <c r="U115" s="93"/>
      <c r="V115" s="93"/>
      <c r="W115" s="42"/>
      <c r="X115" s="279"/>
      <c r="Y115" s="42"/>
      <c r="Z115" s="2015"/>
      <c r="AA115" s="3"/>
      <c r="AE115" s="2461">
        <f t="shared" ref="AE115:AE146" si="13">SUMIF(D115,"=П",AB115)</f>
        <v>0</v>
      </c>
      <c r="AF115" s="68"/>
    </row>
    <row r="116" spans="1:32" ht="15.5" x14ac:dyDescent="0.35">
      <c r="A116" s="525"/>
      <c r="B116" s="999">
        <v>11359</v>
      </c>
      <c r="C116" s="999"/>
      <c r="D116" s="348"/>
      <c r="E116" s="519" t="s">
        <v>282</v>
      </c>
      <c r="F116" s="166">
        <v>4</v>
      </c>
      <c r="G116" s="93">
        <v>5</v>
      </c>
      <c r="H116" s="2289">
        <v>6</v>
      </c>
      <c r="I116" s="576"/>
      <c r="J116" s="576"/>
      <c r="K116" s="576"/>
      <c r="L116" s="576"/>
      <c r="M116" s="576"/>
      <c r="N116" s="2017">
        <v>0.9</v>
      </c>
      <c r="O116" s="576"/>
      <c r="P116" s="576"/>
      <c r="Q116" s="1813"/>
      <c r="R116" s="2020"/>
      <c r="S116" s="93"/>
      <c r="T116" s="2021"/>
      <c r="U116" s="93"/>
      <c r="V116" s="93"/>
      <c r="W116" s="93"/>
      <c r="X116" s="2021"/>
      <c r="Y116" s="93"/>
      <c r="Z116" s="2024"/>
      <c r="AA116" s="3"/>
      <c r="AE116" s="2461">
        <f t="shared" si="13"/>
        <v>0</v>
      </c>
      <c r="AF116" s="68"/>
    </row>
    <row r="117" spans="1:32" ht="15.5" x14ac:dyDescent="0.35">
      <c r="A117" s="525"/>
      <c r="B117" s="999">
        <v>11359</v>
      </c>
      <c r="C117" s="999"/>
      <c r="D117" s="348"/>
      <c r="E117" s="2005" t="s">
        <v>576</v>
      </c>
      <c r="F117" s="2290" t="s">
        <v>664</v>
      </c>
      <c r="G117" s="93">
        <v>5</v>
      </c>
      <c r="H117" s="40">
        <v>6</v>
      </c>
      <c r="I117" s="576"/>
      <c r="J117" s="576"/>
      <c r="K117" s="576"/>
      <c r="L117" s="576"/>
      <c r="M117" s="576"/>
      <c r="N117" s="576"/>
      <c r="O117" s="576"/>
      <c r="P117" s="576"/>
      <c r="Q117" s="2018"/>
      <c r="R117" s="2019">
        <f>2-0.9</f>
        <v>1.1000000000000001</v>
      </c>
      <c r="S117" s="93"/>
      <c r="T117" s="2021"/>
      <c r="U117" s="93"/>
      <c r="V117" s="93"/>
      <c r="W117" s="93"/>
      <c r="X117" s="2021"/>
      <c r="Y117" s="93"/>
      <c r="Z117" s="2024"/>
      <c r="AA117" s="3"/>
      <c r="AE117" s="2461">
        <f t="shared" si="13"/>
        <v>0</v>
      </c>
      <c r="AF117" s="68"/>
    </row>
    <row r="118" spans="1:32" ht="60" x14ac:dyDescent="0.35">
      <c r="A118" s="441">
        <v>48</v>
      </c>
      <c r="B118" s="293">
        <v>11359</v>
      </c>
      <c r="C118" s="358" t="s">
        <v>1656</v>
      </c>
      <c r="D118" s="2472" t="s">
        <v>6178</v>
      </c>
      <c r="E118" s="1999" t="s">
        <v>8963</v>
      </c>
      <c r="F118" s="2290" t="s">
        <v>664</v>
      </c>
      <c r="G118" s="93">
        <v>5</v>
      </c>
      <c r="H118" s="40">
        <v>6</v>
      </c>
      <c r="I118" s="702">
        <f t="shared" ref="I118:I124" si="14">J118+K118+L118</f>
        <v>1</v>
      </c>
      <c r="J118" s="702">
        <f t="shared" ref="J118:J124" si="15">SUM(M118:R118)</f>
        <v>1</v>
      </c>
      <c r="K118" s="2151"/>
      <c r="L118" s="2151"/>
      <c r="M118" s="2151"/>
      <c r="N118" s="2151"/>
      <c r="O118" s="2151"/>
      <c r="P118" s="2151"/>
      <c r="Q118" s="2151"/>
      <c r="R118" s="2152">
        <v>1</v>
      </c>
      <c r="S118" s="2153"/>
      <c r="T118" s="2153"/>
      <c r="U118" s="2153"/>
      <c r="V118" s="2153"/>
      <c r="W118" s="2153"/>
      <c r="X118" s="2153"/>
      <c r="Y118" s="2153"/>
      <c r="Z118" s="2153"/>
      <c r="AB118">
        <v>1</v>
      </c>
      <c r="AE118" s="2461">
        <f t="shared" si="13"/>
        <v>0</v>
      </c>
      <c r="AF118" s="68"/>
    </row>
    <row r="119" spans="1:32" ht="45" x14ac:dyDescent="0.35">
      <c r="A119" s="693">
        <v>49</v>
      </c>
      <c r="B119" s="365">
        <v>11359</v>
      </c>
      <c r="C119" s="365" t="s">
        <v>1656</v>
      </c>
      <c r="D119" s="2472" t="s">
        <v>6179</v>
      </c>
      <c r="E119" s="1786" t="s">
        <v>8964</v>
      </c>
      <c r="F119" s="2290" t="s">
        <v>664</v>
      </c>
      <c r="G119" s="93">
        <v>5</v>
      </c>
      <c r="H119" s="40">
        <v>6</v>
      </c>
      <c r="I119" s="702">
        <f t="shared" si="14"/>
        <v>0.3</v>
      </c>
      <c r="J119" s="702">
        <f t="shared" si="15"/>
        <v>0.3</v>
      </c>
      <c r="K119" s="2151"/>
      <c r="L119" s="2151"/>
      <c r="M119" s="2151"/>
      <c r="N119" s="2151"/>
      <c r="O119" s="2151"/>
      <c r="P119" s="2151"/>
      <c r="Q119" s="2151"/>
      <c r="R119" s="2152">
        <v>0.3</v>
      </c>
      <c r="S119" s="2153"/>
      <c r="T119" s="2153"/>
      <c r="U119" s="2153"/>
      <c r="V119" s="2153"/>
      <c r="W119" s="2153"/>
      <c r="X119" s="2153"/>
      <c r="Y119" s="2153"/>
      <c r="Z119" s="2153"/>
      <c r="AB119">
        <v>1</v>
      </c>
      <c r="AE119" s="2461">
        <f t="shared" si="13"/>
        <v>0</v>
      </c>
      <c r="AF119" s="68"/>
    </row>
    <row r="120" spans="1:32" ht="30" x14ac:dyDescent="0.35">
      <c r="A120" s="441">
        <v>50</v>
      </c>
      <c r="B120" s="293">
        <v>11360</v>
      </c>
      <c r="C120" s="293"/>
      <c r="D120" s="348" t="s">
        <v>1389</v>
      </c>
      <c r="E120" s="1999" t="s">
        <v>1937</v>
      </c>
      <c r="F120" s="2289">
        <v>4</v>
      </c>
      <c r="G120" s="2289">
        <v>5</v>
      </c>
      <c r="H120" s="2289">
        <v>6</v>
      </c>
      <c r="I120" s="518">
        <f t="shared" si="14"/>
        <v>5.09</v>
      </c>
      <c r="J120" s="518">
        <f t="shared" si="15"/>
        <v>5.09</v>
      </c>
      <c r="K120" s="518"/>
      <c r="L120" s="518"/>
      <c r="M120" s="518"/>
      <c r="N120" s="2011">
        <v>5.09</v>
      </c>
      <c r="O120" s="2012"/>
      <c r="P120" s="518"/>
      <c r="Q120" s="2016"/>
      <c r="R120" s="2014"/>
      <c r="S120" s="39">
        <v>1</v>
      </c>
      <c r="T120" s="279">
        <v>36.700000000000003</v>
      </c>
      <c r="U120" s="39"/>
      <c r="V120" s="39"/>
      <c r="W120" s="42">
        <v>10</v>
      </c>
      <c r="X120" s="279">
        <v>146.69999999999999</v>
      </c>
      <c r="Y120" s="42">
        <v>3</v>
      </c>
      <c r="Z120" s="2015">
        <v>30.35</v>
      </c>
      <c r="AA120" s="3"/>
      <c r="AB120">
        <v>1</v>
      </c>
      <c r="AE120" s="2461">
        <f t="shared" si="13"/>
        <v>0</v>
      </c>
      <c r="AF120" s="68"/>
    </row>
    <row r="121" spans="1:32" ht="30" x14ac:dyDescent="0.35">
      <c r="A121" s="693">
        <v>51</v>
      </c>
      <c r="B121" s="365">
        <v>11360</v>
      </c>
      <c r="C121" s="365" t="s">
        <v>1656</v>
      </c>
      <c r="D121" s="2472" t="s">
        <v>6180</v>
      </c>
      <c r="E121" s="1956" t="s">
        <v>8965</v>
      </c>
      <c r="F121" s="2290" t="s">
        <v>664</v>
      </c>
      <c r="G121" s="93">
        <v>5</v>
      </c>
      <c r="H121" s="40">
        <v>6</v>
      </c>
      <c r="I121" s="702">
        <f t="shared" si="14"/>
        <v>0.5</v>
      </c>
      <c r="J121" s="702">
        <f t="shared" si="15"/>
        <v>0.5</v>
      </c>
      <c r="K121" s="2151"/>
      <c r="L121" s="2151"/>
      <c r="M121" s="2151"/>
      <c r="N121" s="2151"/>
      <c r="O121" s="2151"/>
      <c r="P121" s="2151"/>
      <c r="Q121" s="2151"/>
      <c r="R121" s="2152">
        <v>0.5</v>
      </c>
      <c r="S121" s="2153"/>
      <c r="T121" s="2153"/>
      <c r="U121" s="2153"/>
      <c r="V121" s="2153"/>
      <c r="W121" s="2153"/>
      <c r="X121" s="2153"/>
      <c r="Y121" s="2153"/>
      <c r="Z121" s="2153"/>
      <c r="AB121">
        <v>1</v>
      </c>
      <c r="AE121" s="2461">
        <f t="shared" si="13"/>
        <v>0</v>
      </c>
      <c r="AF121" s="68"/>
    </row>
    <row r="122" spans="1:32" ht="30" x14ac:dyDescent="0.35">
      <c r="A122" s="441">
        <v>52</v>
      </c>
      <c r="B122" s="999">
        <v>11360</v>
      </c>
      <c r="C122" s="999" t="s">
        <v>1656</v>
      </c>
      <c r="D122" s="2472" t="s">
        <v>6181</v>
      </c>
      <c r="E122" s="1999" t="s">
        <v>9295</v>
      </c>
      <c r="F122" s="2289" t="s">
        <v>664</v>
      </c>
      <c r="G122" s="92">
        <v>5</v>
      </c>
      <c r="H122" s="40">
        <v>6</v>
      </c>
      <c r="I122" s="297">
        <f t="shared" si="14"/>
        <v>0.7</v>
      </c>
      <c r="J122" s="297">
        <f t="shared" si="15"/>
        <v>0.7</v>
      </c>
      <c r="K122" s="518"/>
      <c r="L122" s="518"/>
      <c r="M122" s="518"/>
      <c r="N122" s="2011"/>
      <c r="O122" s="2012"/>
      <c r="P122" s="518"/>
      <c r="Q122" s="2016"/>
      <c r="R122" s="2014">
        <v>0.7</v>
      </c>
      <c r="S122" s="39"/>
      <c r="T122" s="279"/>
      <c r="U122" s="39"/>
      <c r="V122" s="39"/>
      <c r="W122" s="42"/>
      <c r="X122" s="279"/>
      <c r="Y122" s="42"/>
      <c r="Z122" s="2015"/>
      <c r="AA122" s="3"/>
      <c r="AB122">
        <v>1</v>
      </c>
      <c r="AE122" s="2461">
        <f t="shared" si="13"/>
        <v>0</v>
      </c>
      <c r="AF122" s="68"/>
    </row>
    <row r="123" spans="1:32" ht="30" x14ac:dyDescent="0.35">
      <c r="A123" s="693">
        <v>53</v>
      </c>
      <c r="B123" s="293">
        <v>11362</v>
      </c>
      <c r="C123" s="293"/>
      <c r="D123" s="348" t="s">
        <v>1390</v>
      </c>
      <c r="E123" s="516" t="s">
        <v>2107</v>
      </c>
      <c r="F123" s="2289">
        <v>5</v>
      </c>
      <c r="G123" s="2289">
        <v>5</v>
      </c>
      <c r="H123" s="2289">
        <v>6</v>
      </c>
      <c r="I123" s="518">
        <f t="shared" si="14"/>
        <v>2.82</v>
      </c>
      <c r="J123" s="518">
        <f t="shared" si="15"/>
        <v>2.82</v>
      </c>
      <c r="K123" s="518"/>
      <c r="L123" s="518"/>
      <c r="M123" s="518"/>
      <c r="N123" s="2011">
        <v>2.82</v>
      </c>
      <c r="O123" s="2012"/>
      <c r="P123" s="518"/>
      <c r="Q123" s="2016"/>
      <c r="R123" s="2014"/>
      <c r="S123" s="39"/>
      <c r="T123" s="279"/>
      <c r="U123" s="39"/>
      <c r="V123" s="39"/>
      <c r="W123" s="42">
        <v>4</v>
      </c>
      <c r="X123" s="279">
        <v>54.1</v>
      </c>
      <c r="Y123" s="42"/>
      <c r="Z123" s="2015"/>
      <c r="AA123" s="3"/>
      <c r="AB123">
        <v>1</v>
      </c>
      <c r="AE123" s="2461">
        <f t="shared" si="13"/>
        <v>0</v>
      </c>
      <c r="AF123" s="68"/>
    </row>
    <row r="124" spans="1:32" ht="30" x14ac:dyDescent="0.35">
      <c r="A124" s="441">
        <v>54</v>
      </c>
      <c r="B124" s="293">
        <v>11363</v>
      </c>
      <c r="C124" s="293"/>
      <c r="D124" s="348" t="s">
        <v>1391</v>
      </c>
      <c r="E124" s="516" t="s">
        <v>9588</v>
      </c>
      <c r="F124" s="2289"/>
      <c r="G124" s="41" t="s">
        <v>191</v>
      </c>
      <c r="H124" s="2289" t="s">
        <v>191</v>
      </c>
      <c r="I124" s="518">
        <f t="shared" si="14"/>
        <v>12.54</v>
      </c>
      <c r="J124" s="518">
        <f t="shared" si="15"/>
        <v>12.54</v>
      </c>
      <c r="K124" s="518"/>
      <c r="L124" s="518"/>
      <c r="M124" s="518"/>
      <c r="N124" s="2011">
        <f>SUM(N125:N128)</f>
        <v>6.1259999999999994</v>
      </c>
      <c r="O124" s="2012"/>
      <c r="P124" s="518"/>
      <c r="Q124" s="2013">
        <f>SUM(Q125:Q128)</f>
        <v>6.4139999999999997</v>
      </c>
      <c r="R124" s="2014"/>
      <c r="S124" s="39">
        <v>2</v>
      </c>
      <c r="T124" s="2451">
        <f>30.6+9.53</f>
        <v>40.130000000000003</v>
      </c>
      <c r="U124" s="226"/>
      <c r="V124" s="226"/>
      <c r="W124" s="110">
        <v>33</v>
      </c>
      <c r="X124" s="2451">
        <v>435.78</v>
      </c>
      <c r="Y124" s="110">
        <v>19</v>
      </c>
      <c r="Z124" s="2015">
        <v>231.5</v>
      </c>
      <c r="AA124" s="3"/>
      <c r="AB124">
        <v>1</v>
      </c>
      <c r="AE124" s="2461">
        <f t="shared" si="13"/>
        <v>0</v>
      </c>
      <c r="AF124" s="68"/>
    </row>
    <row r="125" spans="1:32" ht="15.5" x14ac:dyDescent="0.35">
      <c r="A125" s="525"/>
      <c r="B125" s="293">
        <v>11363</v>
      </c>
      <c r="C125" s="293"/>
      <c r="D125" s="348"/>
      <c r="E125" s="519" t="s">
        <v>6799</v>
      </c>
      <c r="F125" s="2289">
        <v>4</v>
      </c>
      <c r="G125" s="41">
        <v>4</v>
      </c>
      <c r="H125" s="2289">
        <v>6</v>
      </c>
      <c r="I125" s="518"/>
      <c r="J125" s="518"/>
      <c r="K125" s="518"/>
      <c r="L125" s="518"/>
      <c r="M125" s="518"/>
      <c r="N125" s="2017">
        <v>0.17899999999999999</v>
      </c>
      <c r="O125" s="2022"/>
      <c r="P125" s="524"/>
      <c r="Q125" s="2018"/>
      <c r="R125" s="2014"/>
      <c r="S125" s="42"/>
      <c r="T125" s="281"/>
      <c r="U125" s="42"/>
      <c r="V125" s="42"/>
      <c r="W125" s="42"/>
      <c r="X125" s="279"/>
      <c r="Y125" s="42"/>
      <c r="Z125" s="2015"/>
      <c r="AA125" s="3"/>
      <c r="AE125" s="2461">
        <f t="shared" si="13"/>
        <v>0</v>
      </c>
      <c r="AF125" s="68"/>
    </row>
    <row r="126" spans="1:32" ht="15.5" x14ac:dyDescent="0.35">
      <c r="A126" s="525"/>
      <c r="B126" s="293">
        <v>11363</v>
      </c>
      <c r="C126" s="293"/>
      <c r="D126" s="348"/>
      <c r="E126" s="2004" t="s">
        <v>6800</v>
      </c>
      <c r="F126" s="2289">
        <v>4</v>
      </c>
      <c r="G126" s="41">
        <v>4</v>
      </c>
      <c r="H126" s="2289">
        <v>6</v>
      </c>
      <c r="I126" s="518"/>
      <c r="J126" s="518"/>
      <c r="K126" s="518"/>
      <c r="L126" s="518"/>
      <c r="M126" s="518"/>
      <c r="N126" s="2017"/>
      <c r="O126" s="2022"/>
      <c r="P126" s="524"/>
      <c r="Q126" s="2018">
        <f>2.438-0.179</f>
        <v>2.2590000000000003</v>
      </c>
      <c r="R126" s="2014"/>
      <c r="S126" s="42"/>
      <c r="T126" s="281"/>
      <c r="U126" s="42"/>
      <c r="V126" s="42"/>
      <c r="W126" s="42"/>
      <c r="X126" s="279"/>
      <c r="Y126" s="42"/>
      <c r="Z126" s="2015"/>
      <c r="AA126" s="3"/>
      <c r="AE126" s="2461">
        <f t="shared" si="13"/>
        <v>0</v>
      </c>
      <c r="AF126" s="68"/>
    </row>
    <row r="127" spans="1:32" ht="15.5" x14ac:dyDescent="0.35">
      <c r="A127" s="525"/>
      <c r="B127" s="293">
        <v>11363</v>
      </c>
      <c r="C127" s="293"/>
      <c r="D127" s="348"/>
      <c r="E127" s="519" t="s">
        <v>6801</v>
      </c>
      <c r="F127" s="2289">
        <v>4</v>
      </c>
      <c r="G127" s="41">
        <v>4</v>
      </c>
      <c r="H127" s="2289">
        <v>6</v>
      </c>
      <c r="I127" s="576"/>
      <c r="J127" s="576"/>
      <c r="K127" s="576"/>
      <c r="L127" s="576"/>
      <c r="M127" s="576"/>
      <c r="N127" s="2017">
        <f>8.385-2.438</f>
        <v>5.9469999999999992</v>
      </c>
      <c r="O127" s="576"/>
      <c r="P127" s="576"/>
      <c r="Q127" s="1813"/>
      <c r="R127" s="2020"/>
      <c r="S127" s="93"/>
      <c r="T127" s="2021"/>
      <c r="U127" s="93"/>
      <c r="V127" s="93"/>
      <c r="W127" s="93"/>
      <c r="X127" s="2021"/>
      <c r="Y127" s="93"/>
      <c r="Z127" s="2024"/>
      <c r="AA127" s="3"/>
      <c r="AE127" s="2461">
        <f t="shared" si="13"/>
        <v>0</v>
      </c>
      <c r="AF127" s="68"/>
    </row>
    <row r="128" spans="1:32" ht="15.5" x14ac:dyDescent="0.35">
      <c r="A128" s="525"/>
      <c r="B128" s="293">
        <v>11363</v>
      </c>
      <c r="C128" s="293"/>
      <c r="D128" s="348"/>
      <c r="E128" s="2004" t="s">
        <v>6802</v>
      </c>
      <c r="F128" s="2289">
        <v>4</v>
      </c>
      <c r="G128" s="41">
        <v>4</v>
      </c>
      <c r="H128" s="2289">
        <v>6</v>
      </c>
      <c r="I128" s="576"/>
      <c r="J128" s="576"/>
      <c r="K128" s="576"/>
      <c r="L128" s="576"/>
      <c r="M128" s="576"/>
      <c r="N128" s="576"/>
      <c r="O128" s="576"/>
      <c r="P128" s="576"/>
      <c r="Q128" s="2018">
        <f>12.54-8.385</f>
        <v>4.1549999999999994</v>
      </c>
      <c r="R128" s="2020"/>
      <c r="S128" s="93"/>
      <c r="T128" s="2021"/>
      <c r="U128" s="93"/>
      <c r="V128" s="93"/>
      <c r="W128" s="93"/>
      <c r="X128" s="2021"/>
      <c r="Y128" s="93"/>
      <c r="Z128" s="2024"/>
      <c r="AA128" s="3" t="s">
        <v>1560</v>
      </c>
      <c r="AE128" s="2461">
        <f t="shared" si="13"/>
        <v>0</v>
      </c>
      <c r="AF128" s="68"/>
    </row>
    <row r="129" spans="1:32" ht="45" x14ac:dyDescent="0.35">
      <c r="A129" s="441">
        <v>55</v>
      </c>
      <c r="B129" s="999">
        <v>11363</v>
      </c>
      <c r="C129" s="999" t="s">
        <v>1656</v>
      </c>
      <c r="D129" s="2472" t="s">
        <v>6182</v>
      </c>
      <c r="E129" s="1999" t="s">
        <v>9589</v>
      </c>
      <c r="F129" s="2289" t="s">
        <v>827</v>
      </c>
      <c r="G129" s="92">
        <v>5</v>
      </c>
      <c r="H129" s="40">
        <v>6</v>
      </c>
      <c r="I129" s="297">
        <f>J129+K129+L129</f>
        <v>2</v>
      </c>
      <c r="J129" s="297">
        <f>SUM(M129:R129)</f>
        <v>2</v>
      </c>
      <c r="K129" s="576"/>
      <c r="L129" s="576"/>
      <c r="M129" s="576"/>
      <c r="N129" s="576"/>
      <c r="O129" s="576"/>
      <c r="P129" s="576"/>
      <c r="Q129" s="2023"/>
      <c r="R129" s="2014">
        <v>2</v>
      </c>
      <c r="S129" s="93"/>
      <c r="T129" s="2021"/>
      <c r="U129" s="93"/>
      <c r="V129" s="93"/>
      <c r="W129" s="105">
        <v>1</v>
      </c>
      <c r="X129" s="2027">
        <v>10</v>
      </c>
      <c r="Y129" s="93"/>
      <c r="Z129" s="2024"/>
      <c r="AA129" s="3"/>
      <c r="AB129">
        <v>1</v>
      </c>
      <c r="AC129" t="s">
        <v>2570</v>
      </c>
      <c r="AE129" s="2461">
        <f t="shared" si="13"/>
        <v>0</v>
      </c>
      <c r="AF129" s="68"/>
    </row>
    <row r="130" spans="1:32" ht="45" x14ac:dyDescent="0.35">
      <c r="A130" s="441">
        <v>56</v>
      </c>
      <c r="B130" s="999">
        <v>11363</v>
      </c>
      <c r="C130" s="999" t="s">
        <v>1656</v>
      </c>
      <c r="D130" s="2472" t="s">
        <v>6183</v>
      </c>
      <c r="E130" s="1999" t="s">
        <v>9590</v>
      </c>
      <c r="F130" s="2289" t="s">
        <v>664</v>
      </c>
      <c r="G130" s="92">
        <v>5</v>
      </c>
      <c r="H130" s="40">
        <v>6</v>
      </c>
      <c r="I130" s="297">
        <f>J130+K130+L130</f>
        <v>0.3</v>
      </c>
      <c r="J130" s="297">
        <f>SUM(M130:R130)</f>
        <v>0.3</v>
      </c>
      <c r="K130" s="576"/>
      <c r="L130" s="576"/>
      <c r="M130" s="2151"/>
      <c r="N130" s="2151"/>
      <c r="O130" s="2151"/>
      <c r="P130" s="2151"/>
      <c r="Q130" s="2151"/>
      <c r="R130" s="2014">
        <v>0.3</v>
      </c>
      <c r="S130" s="2153"/>
      <c r="T130" s="2153"/>
      <c r="U130" s="2153"/>
      <c r="V130" s="2153"/>
      <c r="W130" s="2153"/>
      <c r="X130" s="2153"/>
      <c r="Y130" s="2153"/>
      <c r="Z130" s="2024"/>
      <c r="AA130" s="3"/>
      <c r="AB130">
        <v>1</v>
      </c>
      <c r="AE130" s="2461">
        <f t="shared" si="13"/>
        <v>0</v>
      </c>
      <c r="AF130" s="68"/>
    </row>
    <row r="131" spans="1:32" ht="30" x14ac:dyDescent="0.35">
      <c r="A131" s="441">
        <v>57</v>
      </c>
      <c r="B131" s="293">
        <v>11364</v>
      </c>
      <c r="C131" s="293"/>
      <c r="D131" s="348" t="s">
        <v>1392</v>
      </c>
      <c r="E131" s="516" t="s">
        <v>10218</v>
      </c>
      <c r="F131" s="166" t="s">
        <v>827</v>
      </c>
      <c r="G131" s="2289">
        <v>5</v>
      </c>
      <c r="H131" s="2289">
        <v>6</v>
      </c>
      <c r="I131" s="518">
        <f>J131+K131+L131</f>
        <v>3.9249999999999998</v>
      </c>
      <c r="J131" s="518">
        <f>SUM(M131:R131)</f>
        <v>3.9249999999999998</v>
      </c>
      <c r="K131" s="518"/>
      <c r="L131" s="518"/>
      <c r="M131" s="518"/>
      <c r="N131" s="2011"/>
      <c r="O131" s="2012"/>
      <c r="P131" s="518"/>
      <c r="Q131" s="2016">
        <v>3.9249999999999998</v>
      </c>
      <c r="R131" s="2014"/>
      <c r="S131" s="39"/>
      <c r="T131" s="279"/>
      <c r="U131" s="39"/>
      <c r="V131" s="39"/>
      <c r="W131" s="42">
        <v>2</v>
      </c>
      <c r="X131" s="279">
        <v>31.2</v>
      </c>
      <c r="Y131" s="42"/>
      <c r="Z131" s="2015"/>
      <c r="AA131" s="3"/>
      <c r="AB131">
        <v>1</v>
      </c>
      <c r="AE131" s="2461">
        <f t="shared" si="13"/>
        <v>0</v>
      </c>
      <c r="AF131" s="68"/>
    </row>
    <row r="132" spans="1:32" ht="45" x14ac:dyDescent="0.35">
      <c r="A132" s="441">
        <v>58</v>
      </c>
      <c r="B132" s="293">
        <v>11365</v>
      </c>
      <c r="C132" s="293"/>
      <c r="D132" s="348" t="s">
        <v>2866</v>
      </c>
      <c r="E132" s="516" t="s">
        <v>9591</v>
      </c>
      <c r="F132" s="2289">
        <v>5</v>
      </c>
      <c r="G132" s="41">
        <v>5</v>
      </c>
      <c r="H132" s="2289">
        <v>6</v>
      </c>
      <c r="I132" s="518">
        <f>J132+K132+L132</f>
        <v>3.8149999999999999</v>
      </c>
      <c r="J132" s="518">
        <f>SUM(M132:R132)</f>
        <v>3.8149999999999999</v>
      </c>
      <c r="K132" s="518"/>
      <c r="L132" s="518"/>
      <c r="M132" s="518"/>
      <c r="N132" s="2011"/>
      <c r="O132" s="2012"/>
      <c r="P132" s="518"/>
      <c r="Q132" s="2016">
        <v>3.8149999999999999</v>
      </c>
      <c r="R132" s="2014"/>
      <c r="S132" s="39"/>
      <c r="T132" s="279"/>
      <c r="U132" s="39"/>
      <c r="V132" s="39"/>
      <c r="W132" s="42">
        <v>6</v>
      </c>
      <c r="X132" s="279">
        <v>78.349999999999994</v>
      </c>
      <c r="Y132" s="42"/>
      <c r="Z132" s="2015"/>
      <c r="AA132" s="3"/>
      <c r="AB132">
        <v>1</v>
      </c>
      <c r="AE132" s="2461">
        <f t="shared" si="13"/>
        <v>0</v>
      </c>
      <c r="AF132" s="68"/>
    </row>
    <row r="133" spans="1:32" ht="30" x14ac:dyDescent="0.35">
      <c r="A133" s="441">
        <v>59</v>
      </c>
      <c r="B133" s="293">
        <v>11366</v>
      </c>
      <c r="C133" s="293"/>
      <c r="D133" s="348" t="s">
        <v>1393</v>
      </c>
      <c r="E133" s="516" t="s">
        <v>10219</v>
      </c>
      <c r="F133" s="2289"/>
      <c r="G133" s="41" t="s">
        <v>191</v>
      </c>
      <c r="H133" s="2289" t="s">
        <v>191</v>
      </c>
      <c r="I133" s="518">
        <f>J133+K133+L133</f>
        <v>3.9449999999999998</v>
      </c>
      <c r="J133" s="518">
        <f>SUM(M133:R133)</f>
        <v>3.9449999999999998</v>
      </c>
      <c r="K133" s="518"/>
      <c r="L133" s="518"/>
      <c r="M133" s="518"/>
      <c r="N133" s="2011">
        <f>SUM(N134:N137)</f>
        <v>8.2999999999999838E-2</v>
      </c>
      <c r="O133" s="2012"/>
      <c r="P133" s="518"/>
      <c r="Q133" s="2016">
        <f>SUM(Q134:Q137)</f>
        <v>3.8620000000000001</v>
      </c>
      <c r="R133" s="2026"/>
      <c r="S133" s="39">
        <v>1</v>
      </c>
      <c r="T133" s="279">
        <v>27.8</v>
      </c>
      <c r="U133" s="39"/>
      <c r="V133" s="39"/>
      <c r="W133" s="42">
        <v>12</v>
      </c>
      <c r="X133" s="279">
        <v>172.34</v>
      </c>
      <c r="Y133" s="42">
        <v>4</v>
      </c>
      <c r="Z133" s="2015">
        <v>45</v>
      </c>
      <c r="AA133" s="3"/>
      <c r="AB133">
        <v>1</v>
      </c>
      <c r="AE133" s="2461">
        <f t="shared" si="13"/>
        <v>0</v>
      </c>
      <c r="AF133" s="68"/>
    </row>
    <row r="134" spans="1:32" ht="15.5" x14ac:dyDescent="0.35">
      <c r="A134" s="525"/>
      <c r="B134" s="293">
        <v>11366</v>
      </c>
      <c r="C134" s="293"/>
      <c r="D134" s="348"/>
      <c r="E134" s="2006" t="s">
        <v>3415</v>
      </c>
      <c r="F134" s="2289">
        <v>4</v>
      </c>
      <c r="G134" s="41">
        <v>5</v>
      </c>
      <c r="H134" s="2289">
        <v>6</v>
      </c>
      <c r="I134" s="518"/>
      <c r="J134" s="518"/>
      <c r="K134" s="518"/>
      <c r="L134" s="518"/>
      <c r="M134" s="518"/>
      <c r="N134" s="2017">
        <v>1.4999999999999999E-2</v>
      </c>
      <c r="O134" s="2022"/>
      <c r="P134" s="524"/>
      <c r="Q134" s="2018"/>
      <c r="R134" s="2019"/>
      <c r="S134" s="42"/>
      <c r="T134" s="281"/>
      <c r="U134" s="42"/>
      <c r="V134" s="42"/>
      <c r="W134" s="42"/>
      <c r="X134" s="279"/>
      <c r="Y134" s="42"/>
      <c r="Z134" s="2015"/>
      <c r="AA134" s="3"/>
      <c r="AE134" s="2461">
        <f t="shared" si="13"/>
        <v>0</v>
      </c>
      <c r="AF134" s="68"/>
    </row>
    <row r="135" spans="1:32" ht="15.5" x14ac:dyDescent="0.35">
      <c r="A135" s="525"/>
      <c r="B135" s="293">
        <v>11366</v>
      </c>
      <c r="C135" s="293"/>
      <c r="D135" s="348"/>
      <c r="E135" s="2004" t="s">
        <v>3416</v>
      </c>
      <c r="F135" s="2289">
        <v>4</v>
      </c>
      <c r="G135" s="41">
        <v>5</v>
      </c>
      <c r="H135" s="2289">
        <v>6</v>
      </c>
      <c r="I135" s="518"/>
      <c r="J135" s="518"/>
      <c r="K135" s="518"/>
      <c r="L135" s="518"/>
      <c r="M135" s="518"/>
      <c r="N135" s="2017"/>
      <c r="O135" s="2022"/>
      <c r="P135" s="524"/>
      <c r="Q135" s="2018">
        <f>1.842-0.015</f>
        <v>1.8270000000000002</v>
      </c>
      <c r="R135" s="2014"/>
      <c r="S135" s="42"/>
      <c r="T135" s="281"/>
      <c r="U135" s="42"/>
      <c r="V135" s="42"/>
      <c r="W135" s="42"/>
      <c r="X135" s="279"/>
      <c r="Y135" s="42"/>
      <c r="Z135" s="2015"/>
      <c r="AA135" s="3"/>
      <c r="AE135" s="2461">
        <f t="shared" si="13"/>
        <v>0</v>
      </c>
      <c r="AF135" s="68"/>
    </row>
    <row r="136" spans="1:32" ht="15.5" x14ac:dyDescent="0.35">
      <c r="A136" s="525"/>
      <c r="B136" s="293">
        <v>11366</v>
      </c>
      <c r="C136" s="293"/>
      <c r="D136" s="348"/>
      <c r="E136" s="2006" t="s">
        <v>289</v>
      </c>
      <c r="F136" s="2289">
        <v>4</v>
      </c>
      <c r="G136" s="41">
        <v>5</v>
      </c>
      <c r="H136" s="2289">
        <v>6</v>
      </c>
      <c r="I136" s="518"/>
      <c r="J136" s="518"/>
      <c r="K136" s="518"/>
      <c r="L136" s="518"/>
      <c r="M136" s="518"/>
      <c r="N136" s="2017">
        <f>1.91-1.842</f>
        <v>6.7999999999999838E-2</v>
      </c>
      <c r="O136" s="2022"/>
      <c r="P136" s="524"/>
      <c r="Q136" s="2018"/>
      <c r="R136" s="2014"/>
      <c r="S136" s="42"/>
      <c r="T136" s="281"/>
      <c r="U136" s="42"/>
      <c r="V136" s="42"/>
      <c r="W136" s="42"/>
      <c r="X136" s="279"/>
      <c r="Y136" s="42"/>
      <c r="Z136" s="2015"/>
      <c r="AA136" s="3"/>
      <c r="AE136" s="2461">
        <f t="shared" si="13"/>
        <v>0</v>
      </c>
      <c r="AF136" s="68"/>
    </row>
    <row r="137" spans="1:32" ht="15.5" x14ac:dyDescent="0.35">
      <c r="A137" s="525"/>
      <c r="B137" s="293">
        <v>11366</v>
      </c>
      <c r="C137" s="293"/>
      <c r="D137" s="348"/>
      <c r="E137" s="2004" t="s">
        <v>290</v>
      </c>
      <c r="F137" s="2289">
        <v>4</v>
      </c>
      <c r="G137" s="41">
        <v>5</v>
      </c>
      <c r="H137" s="2289">
        <v>6</v>
      </c>
      <c r="I137" s="576"/>
      <c r="J137" s="576"/>
      <c r="K137" s="576"/>
      <c r="L137" s="576"/>
      <c r="M137" s="576"/>
      <c r="N137" s="2017"/>
      <c r="O137" s="576"/>
      <c r="P137" s="576"/>
      <c r="Q137" s="2018">
        <f>3.945-1.91</f>
        <v>2.0350000000000001</v>
      </c>
      <c r="R137" s="2019"/>
      <c r="S137" s="93"/>
      <c r="T137" s="2021"/>
      <c r="U137" s="93"/>
      <c r="V137" s="93"/>
      <c r="W137" s="93"/>
      <c r="X137" s="2021"/>
      <c r="Y137" s="93"/>
      <c r="Z137" s="2024"/>
      <c r="AA137" s="3"/>
      <c r="AE137" s="2461">
        <f t="shared" si="13"/>
        <v>0</v>
      </c>
      <c r="AF137" s="68"/>
    </row>
    <row r="138" spans="1:32" ht="45" x14ac:dyDescent="0.35">
      <c r="A138" s="2035">
        <v>60</v>
      </c>
      <c r="B138" s="293">
        <v>11366</v>
      </c>
      <c r="C138" s="293"/>
      <c r="D138" s="2472" t="s">
        <v>6184</v>
      </c>
      <c r="E138" s="2037" t="s">
        <v>10220</v>
      </c>
      <c r="F138" s="2290" t="s">
        <v>664</v>
      </c>
      <c r="G138" s="2574">
        <v>5</v>
      </c>
      <c r="H138" s="40">
        <v>6</v>
      </c>
      <c r="I138" s="2030">
        <f>J138+K138+L138</f>
        <v>0.6</v>
      </c>
      <c r="J138" s="2030">
        <f>SUM(M138:R138)</f>
        <v>0.6</v>
      </c>
      <c r="K138" s="2031"/>
      <c r="L138" s="2031"/>
      <c r="M138" s="2031"/>
      <c r="N138" s="2031"/>
      <c r="O138" s="2031"/>
      <c r="P138" s="2031"/>
      <c r="Q138" s="2023"/>
      <c r="R138" s="2026">
        <v>0.6</v>
      </c>
      <c r="S138" s="2007"/>
      <c r="T138" s="2032"/>
      <c r="U138" s="2007"/>
      <c r="V138" s="2007"/>
      <c r="W138" s="2007"/>
      <c r="X138" s="2032"/>
      <c r="Y138" s="2007"/>
      <c r="Z138" s="2033"/>
      <c r="AA138" s="3"/>
      <c r="AB138">
        <v>1</v>
      </c>
      <c r="AC138" s="62" t="s">
        <v>2736</v>
      </c>
      <c r="AD138" s="353">
        <v>37602</v>
      </c>
      <c r="AE138" s="2461">
        <f t="shared" si="13"/>
        <v>0</v>
      </c>
      <c r="AF138" s="68"/>
    </row>
    <row r="139" spans="1:32" ht="30" x14ac:dyDescent="0.35">
      <c r="A139" s="295">
        <v>61</v>
      </c>
      <c r="B139" s="293">
        <v>11367</v>
      </c>
      <c r="C139" s="293"/>
      <c r="D139" s="348" t="s">
        <v>1394</v>
      </c>
      <c r="E139" s="516" t="s">
        <v>291</v>
      </c>
      <c r="F139" s="166" t="s">
        <v>827</v>
      </c>
      <c r="G139" s="2289">
        <v>5</v>
      </c>
      <c r="H139" s="2289">
        <v>6</v>
      </c>
      <c r="I139" s="518">
        <f>J139+K139+L139</f>
        <v>2.23</v>
      </c>
      <c r="J139" s="518">
        <f>SUM(M139:R139)</f>
        <v>2.23</v>
      </c>
      <c r="K139" s="518"/>
      <c r="L139" s="518"/>
      <c r="M139" s="518"/>
      <c r="N139" s="2011"/>
      <c r="O139" s="2012"/>
      <c r="P139" s="518"/>
      <c r="Q139" s="2016">
        <v>2.23</v>
      </c>
      <c r="R139" s="2014"/>
      <c r="S139" s="39"/>
      <c r="T139" s="279"/>
      <c r="U139" s="39"/>
      <c r="V139" s="39"/>
      <c r="W139" s="42">
        <v>3</v>
      </c>
      <c r="X139" s="279">
        <v>59.4</v>
      </c>
      <c r="Y139" s="42"/>
      <c r="Z139" s="2015"/>
      <c r="AA139" s="3"/>
      <c r="AB139">
        <v>1</v>
      </c>
      <c r="AE139" s="2461">
        <f t="shared" si="13"/>
        <v>0</v>
      </c>
      <c r="AF139" s="68"/>
    </row>
    <row r="140" spans="1:32" ht="30" x14ac:dyDescent="0.35">
      <c r="A140" s="2035">
        <v>62</v>
      </c>
      <c r="B140" s="999">
        <v>11367</v>
      </c>
      <c r="C140" s="999" t="s">
        <v>1656</v>
      </c>
      <c r="D140" s="2472" t="s">
        <v>6185</v>
      </c>
      <c r="E140" s="1999" t="s">
        <v>8966</v>
      </c>
      <c r="F140" s="2289" t="s">
        <v>664</v>
      </c>
      <c r="G140" s="2289">
        <v>5</v>
      </c>
      <c r="H140" s="40">
        <v>6</v>
      </c>
      <c r="I140" s="297">
        <f>J140+K140+L140</f>
        <v>1.8</v>
      </c>
      <c r="J140" s="297">
        <f>SUM(M140:R140)</f>
        <v>1.8</v>
      </c>
      <c r="K140" s="518"/>
      <c r="L140" s="518"/>
      <c r="M140" s="518"/>
      <c r="N140" s="2017"/>
      <c r="O140" s="2022"/>
      <c r="P140" s="524"/>
      <c r="Q140" s="2016"/>
      <c r="R140" s="2014">
        <v>1.8</v>
      </c>
      <c r="S140" s="39"/>
      <c r="T140" s="279"/>
      <c r="U140" s="39"/>
      <c r="V140" s="39"/>
      <c r="W140" s="42"/>
      <c r="X140" s="279"/>
      <c r="Y140" s="42"/>
      <c r="Z140" s="2015"/>
      <c r="AA140" s="3"/>
      <c r="AB140">
        <v>1</v>
      </c>
      <c r="AE140" s="2461">
        <f t="shared" si="13"/>
        <v>0</v>
      </c>
      <c r="AF140" s="68"/>
    </row>
    <row r="141" spans="1:32" ht="30" x14ac:dyDescent="0.35">
      <c r="A141" s="295">
        <v>63</v>
      </c>
      <c r="B141" s="999">
        <v>11367</v>
      </c>
      <c r="C141" s="999" t="s">
        <v>1656</v>
      </c>
      <c r="D141" s="2472" t="s">
        <v>6186</v>
      </c>
      <c r="E141" s="1999" t="s">
        <v>8967</v>
      </c>
      <c r="F141" s="2289" t="s">
        <v>664</v>
      </c>
      <c r="G141" s="2289">
        <v>5</v>
      </c>
      <c r="H141" s="40">
        <v>6</v>
      </c>
      <c r="I141" s="297">
        <f>J141+K141+L141</f>
        <v>0.35</v>
      </c>
      <c r="J141" s="297">
        <f>SUM(M141:R141)</f>
        <v>0.35</v>
      </c>
      <c r="K141" s="576"/>
      <c r="L141" s="576"/>
      <c r="M141" s="576"/>
      <c r="N141" s="576"/>
      <c r="O141" s="576"/>
      <c r="P141" s="576"/>
      <c r="Q141" s="2018"/>
      <c r="R141" s="2014">
        <v>0.35</v>
      </c>
      <c r="S141" s="93"/>
      <c r="T141" s="2021"/>
      <c r="U141" s="93"/>
      <c r="V141" s="93"/>
      <c r="W141" s="93"/>
      <c r="X141" s="2021"/>
      <c r="Y141" s="93"/>
      <c r="Z141" s="2024"/>
      <c r="AA141" s="3"/>
      <c r="AB141">
        <v>1</v>
      </c>
      <c r="AE141" s="2461">
        <f t="shared" si="13"/>
        <v>0</v>
      </c>
      <c r="AF141" s="68"/>
    </row>
    <row r="142" spans="1:32" ht="30" x14ac:dyDescent="0.35">
      <c r="A142" s="2035">
        <v>64</v>
      </c>
      <c r="B142" s="293">
        <v>11368</v>
      </c>
      <c r="C142" s="293"/>
      <c r="D142" s="348" t="s">
        <v>1600</v>
      </c>
      <c r="E142" s="1999" t="s">
        <v>9592</v>
      </c>
      <c r="F142" s="2289"/>
      <c r="G142" s="41" t="s">
        <v>191</v>
      </c>
      <c r="H142" s="2289" t="s">
        <v>191</v>
      </c>
      <c r="I142" s="518">
        <f>J142+K142+L142</f>
        <v>3.05</v>
      </c>
      <c r="J142" s="518">
        <f>SUM(M142:R142)</f>
        <v>3.05</v>
      </c>
      <c r="K142" s="518"/>
      <c r="L142" s="518"/>
      <c r="M142" s="518"/>
      <c r="N142" s="2011">
        <f>SUM(N143:N145)</f>
        <v>1.65</v>
      </c>
      <c r="O142" s="2012"/>
      <c r="P142" s="518"/>
      <c r="Q142" s="2013">
        <f>SUM(Q143:Q145)</f>
        <v>0.45000000000000018</v>
      </c>
      <c r="R142" s="2014">
        <f>SUM(R143:R145)</f>
        <v>0.94999999999999973</v>
      </c>
      <c r="S142" s="39"/>
      <c r="T142" s="279"/>
      <c r="U142" s="39"/>
      <c r="V142" s="39"/>
      <c r="W142" s="110">
        <f>4-1</f>
        <v>3</v>
      </c>
      <c r="X142" s="2761">
        <f>45.75-10.15</f>
        <v>35.6</v>
      </c>
      <c r="Y142" s="42"/>
      <c r="Z142" s="2015"/>
      <c r="AA142" s="3"/>
      <c r="AB142">
        <v>1</v>
      </c>
      <c r="AE142" s="2461">
        <f t="shared" si="13"/>
        <v>0</v>
      </c>
      <c r="AF142" s="68"/>
    </row>
    <row r="143" spans="1:32" ht="15.5" x14ac:dyDescent="0.35">
      <c r="A143" s="525"/>
      <c r="B143" s="293">
        <v>11368</v>
      </c>
      <c r="C143" s="293"/>
      <c r="D143" s="348"/>
      <c r="E143" s="519" t="s">
        <v>2932</v>
      </c>
      <c r="F143" s="2289">
        <v>5</v>
      </c>
      <c r="G143" s="41">
        <v>5</v>
      </c>
      <c r="H143" s="2289">
        <v>6</v>
      </c>
      <c r="I143" s="518"/>
      <c r="J143" s="518"/>
      <c r="K143" s="518"/>
      <c r="L143" s="518"/>
      <c r="M143" s="518"/>
      <c r="N143" s="2017">
        <v>1.65</v>
      </c>
      <c r="O143" s="2022"/>
      <c r="P143" s="524"/>
      <c r="Q143" s="2018"/>
      <c r="R143" s="2020"/>
      <c r="S143" s="93"/>
      <c r="T143" s="2021"/>
      <c r="U143" s="93"/>
      <c r="V143" s="93"/>
      <c r="W143" s="41"/>
      <c r="X143" s="2028"/>
      <c r="Y143" s="93"/>
      <c r="Z143" s="2024"/>
      <c r="AA143" s="3"/>
      <c r="AE143" s="2461">
        <f t="shared" si="13"/>
        <v>0</v>
      </c>
      <c r="AF143" s="68"/>
    </row>
    <row r="144" spans="1:32" ht="15.5" x14ac:dyDescent="0.35">
      <c r="A144" s="525"/>
      <c r="B144" s="293">
        <v>11368</v>
      </c>
      <c r="C144" s="293"/>
      <c r="D144" s="348"/>
      <c r="E144" s="2004" t="s">
        <v>1601</v>
      </c>
      <c r="F144" s="2289">
        <v>5</v>
      </c>
      <c r="G144" s="41">
        <v>5</v>
      </c>
      <c r="H144" s="2289">
        <v>6</v>
      </c>
      <c r="I144" s="518"/>
      <c r="J144" s="518"/>
      <c r="K144" s="518"/>
      <c r="L144" s="518"/>
      <c r="M144" s="518"/>
      <c r="N144" s="2017"/>
      <c r="O144" s="2022"/>
      <c r="P144" s="524"/>
      <c r="Q144" s="2018">
        <f>2.1-1.65</f>
        <v>0.45000000000000018</v>
      </c>
      <c r="R144" s="2020"/>
      <c r="S144" s="93"/>
      <c r="T144" s="2021"/>
      <c r="U144" s="93"/>
      <c r="V144" s="93"/>
      <c r="W144" s="41"/>
      <c r="X144" s="2028"/>
      <c r="Y144" s="93"/>
      <c r="Z144" s="2024"/>
      <c r="AA144" s="3"/>
      <c r="AE144" s="2461">
        <f t="shared" si="13"/>
        <v>0</v>
      </c>
      <c r="AF144" s="68"/>
    </row>
    <row r="145" spans="1:32" ht="15.5" x14ac:dyDescent="0.35">
      <c r="A145" s="525"/>
      <c r="B145" s="293">
        <v>11368</v>
      </c>
      <c r="C145" s="293"/>
      <c r="D145" s="348"/>
      <c r="E145" s="2005" t="s">
        <v>440</v>
      </c>
      <c r="F145" s="2290" t="s">
        <v>664</v>
      </c>
      <c r="G145" s="41">
        <v>5</v>
      </c>
      <c r="H145" s="40">
        <v>6</v>
      </c>
      <c r="I145" s="518"/>
      <c r="J145" s="518"/>
      <c r="K145" s="518"/>
      <c r="L145" s="518"/>
      <c r="M145" s="518"/>
      <c r="N145" s="2017"/>
      <c r="O145" s="2022"/>
      <c r="P145" s="524"/>
      <c r="Q145" s="2018"/>
      <c r="R145" s="2019">
        <f>3.05-2.1</f>
        <v>0.94999999999999973</v>
      </c>
      <c r="S145" s="93"/>
      <c r="T145" s="2021"/>
      <c r="U145" s="93"/>
      <c r="V145" s="93"/>
      <c r="W145" s="41"/>
      <c r="X145" s="2028"/>
      <c r="Y145" s="93"/>
      <c r="Z145" s="2024"/>
      <c r="AA145" s="3"/>
      <c r="AE145" s="2461">
        <f t="shared" si="13"/>
        <v>0</v>
      </c>
      <c r="AF145" s="68"/>
    </row>
    <row r="146" spans="1:32" ht="45" x14ac:dyDescent="0.35">
      <c r="A146" s="295">
        <v>65</v>
      </c>
      <c r="B146" s="293">
        <v>11368</v>
      </c>
      <c r="C146" s="293"/>
      <c r="D146" s="2472" t="s">
        <v>6187</v>
      </c>
      <c r="E146" s="1999" t="s">
        <v>10221</v>
      </c>
      <c r="F146" s="2289">
        <v>5</v>
      </c>
      <c r="G146" s="41">
        <v>5</v>
      </c>
      <c r="H146" s="2289">
        <v>6</v>
      </c>
      <c r="I146" s="577">
        <f>J146+K146+L146</f>
        <v>1.06</v>
      </c>
      <c r="J146" s="577">
        <f>SUM(M146:R146)</f>
        <v>1.06</v>
      </c>
      <c r="K146" s="576"/>
      <c r="L146" s="576"/>
      <c r="M146" s="576"/>
      <c r="N146" s="2011">
        <v>1.06</v>
      </c>
      <c r="O146" s="576"/>
      <c r="P146" s="576"/>
      <c r="Q146" s="1813"/>
      <c r="R146" s="2020"/>
      <c r="S146" s="93"/>
      <c r="T146" s="2021"/>
      <c r="U146" s="93"/>
      <c r="V146" s="93"/>
      <c r="W146" s="39">
        <v>2</v>
      </c>
      <c r="X146" s="279">
        <v>20.3</v>
      </c>
      <c r="Y146" s="93"/>
      <c r="Z146" s="2024"/>
      <c r="AA146" s="3"/>
      <c r="AB146">
        <v>1</v>
      </c>
      <c r="AE146" s="2461">
        <f t="shared" si="13"/>
        <v>0</v>
      </c>
      <c r="AF146" s="68"/>
    </row>
    <row r="147" spans="1:32" ht="45" x14ac:dyDescent="0.35">
      <c r="A147" s="441">
        <v>66</v>
      </c>
      <c r="B147" s="999">
        <v>11368</v>
      </c>
      <c r="C147" s="999" t="s">
        <v>1656</v>
      </c>
      <c r="D147" s="2472" t="s">
        <v>6188</v>
      </c>
      <c r="E147" s="1999" t="s">
        <v>10222</v>
      </c>
      <c r="F147" s="2289" t="s">
        <v>664</v>
      </c>
      <c r="G147" s="2289">
        <v>5</v>
      </c>
      <c r="H147" s="40">
        <v>6</v>
      </c>
      <c r="I147" s="297">
        <f>J147+K147+L147</f>
        <v>0.28000000000000003</v>
      </c>
      <c r="J147" s="297">
        <f>SUM(M147:R147)</f>
        <v>0.28000000000000003</v>
      </c>
      <c r="K147" s="576"/>
      <c r="L147" s="576"/>
      <c r="M147" s="576"/>
      <c r="N147" s="576"/>
      <c r="O147" s="576"/>
      <c r="P147" s="576"/>
      <c r="Q147" s="2023"/>
      <c r="R147" s="2014">
        <v>0.28000000000000003</v>
      </c>
      <c r="S147" s="93"/>
      <c r="T147" s="2021"/>
      <c r="U147" s="93"/>
      <c r="V147" s="93"/>
      <c r="W147" s="93"/>
      <c r="X147" s="2021"/>
      <c r="Y147" s="93"/>
      <c r="Z147" s="2024"/>
      <c r="AA147" s="3"/>
      <c r="AB147">
        <v>1</v>
      </c>
      <c r="AE147" s="2461">
        <f t="shared" ref="AE147:AE178" si="16">SUMIF(D147,"=П",AB147)</f>
        <v>0</v>
      </c>
      <c r="AF147" s="68"/>
    </row>
    <row r="148" spans="1:32" ht="30" x14ac:dyDescent="0.35">
      <c r="A148" s="295">
        <v>67</v>
      </c>
      <c r="B148" s="293">
        <v>11369</v>
      </c>
      <c r="C148" s="293"/>
      <c r="D148" s="348" t="s">
        <v>464</v>
      </c>
      <c r="E148" s="516" t="s">
        <v>7176</v>
      </c>
      <c r="F148" s="2289">
        <v>5</v>
      </c>
      <c r="G148" s="2289">
        <v>5</v>
      </c>
      <c r="H148" s="2289">
        <v>6</v>
      </c>
      <c r="I148" s="518">
        <f>J148+K148+L148</f>
        <v>3.82</v>
      </c>
      <c r="J148" s="518">
        <f>SUM(M148:R148)</f>
        <v>3.82</v>
      </c>
      <c r="K148" s="518"/>
      <c r="L148" s="518"/>
      <c r="M148" s="518"/>
      <c r="N148" s="2011">
        <v>3.82</v>
      </c>
      <c r="O148" s="2012"/>
      <c r="P148" s="518"/>
      <c r="Q148" s="2016"/>
      <c r="R148" s="2014"/>
      <c r="S148" s="39"/>
      <c r="T148" s="279"/>
      <c r="U148" s="39"/>
      <c r="V148" s="39"/>
      <c r="W148" s="42">
        <v>4</v>
      </c>
      <c r="X148" s="279">
        <v>55</v>
      </c>
      <c r="Y148" s="42"/>
      <c r="Z148" s="2015"/>
      <c r="AA148" s="3"/>
      <c r="AB148">
        <v>1</v>
      </c>
      <c r="AE148" s="2461">
        <f t="shared" si="16"/>
        <v>0</v>
      </c>
      <c r="AF148" s="68"/>
    </row>
    <row r="149" spans="1:32" ht="45" x14ac:dyDescent="0.35">
      <c r="A149" s="441">
        <v>68</v>
      </c>
      <c r="B149" s="365">
        <v>11369</v>
      </c>
      <c r="C149" s="365" t="s">
        <v>1656</v>
      </c>
      <c r="D149" s="2472" t="s">
        <v>6189</v>
      </c>
      <c r="E149" s="1786" t="s">
        <v>8968</v>
      </c>
      <c r="F149" s="2290" t="s">
        <v>664</v>
      </c>
      <c r="G149" s="93">
        <v>5</v>
      </c>
      <c r="H149" s="40">
        <v>6</v>
      </c>
      <c r="I149" s="702">
        <f>J149+K149+L149</f>
        <v>0.5</v>
      </c>
      <c r="J149" s="702">
        <f>SUM(M149:R149)</f>
        <v>0.5</v>
      </c>
      <c r="K149" s="2151"/>
      <c r="L149" s="2151"/>
      <c r="M149" s="2151"/>
      <c r="N149" s="2151"/>
      <c r="O149" s="2151"/>
      <c r="P149" s="2151"/>
      <c r="Q149" s="2151"/>
      <c r="R149" s="2152">
        <v>0.5</v>
      </c>
      <c r="S149" s="2153"/>
      <c r="T149" s="2153"/>
      <c r="U149" s="2153"/>
      <c r="V149" s="2153"/>
      <c r="W149" s="2153"/>
      <c r="X149" s="2153"/>
      <c r="Y149" s="2153"/>
      <c r="Z149" s="2153"/>
      <c r="AB149">
        <v>1</v>
      </c>
      <c r="AE149" s="2461">
        <f t="shared" si="16"/>
        <v>0</v>
      </c>
      <c r="AF149" s="68"/>
    </row>
    <row r="150" spans="1:32" ht="30" x14ac:dyDescent="0.35">
      <c r="A150" s="295">
        <v>69</v>
      </c>
      <c r="B150" s="293">
        <v>11370</v>
      </c>
      <c r="C150" s="293"/>
      <c r="D150" s="348" t="s">
        <v>292</v>
      </c>
      <c r="E150" s="516" t="s">
        <v>10223</v>
      </c>
      <c r="F150" s="2289"/>
      <c r="G150" s="41" t="s">
        <v>191</v>
      </c>
      <c r="H150" s="2289" t="s">
        <v>191</v>
      </c>
      <c r="I150" s="518">
        <f>J150+K150+L150</f>
        <v>1.67</v>
      </c>
      <c r="J150" s="518">
        <f>SUM(M150:R150)</f>
        <v>1.67</v>
      </c>
      <c r="K150" s="518"/>
      <c r="L150" s="518"/>
      <c r="M150" s="518"/>
      <c r="N150" s="2011">
        <f>SUM(N151:N152)</f>
        <v>0.83599999999999997</v>
      </c>
      <c r="O150" s="2012"/>
      <c r="P150" s="518"/>
      <c r="Q150" s="2013">
        <f>SUM(Q151:Q152)</f>
        <v>0.83399999999999996</v>
      </c>
      <c r="R150" s="2014"/>
      <c r="S150" s="39"/>
      <c r="T150" s="279"/>
      <c r="U150" s="39"/>
      <c r="V150" s="39"/>
      <c r="W150" s="42">
        <v>3</v>
      </c>
      <c r="X150" s="279">
        <v>40.85</v>
      </c>
      <c r="Y150" s="42"/>
      <c r="Z150" s="2015"/>
      <c r="AA150" s="3"/>
      <c r="AB150">
        <v>1</v>
      </c>
      <c r="AE150" s="2461">
        <f t="shared" si="16"/>
        <v>0</v>
      </c>
      <c r="AF150" s="68"/>
    </row>
    <row r="151" spans="1:32" ht="15.5" x14ac:dyDescent="0.35">
      <c r="A151" s="295"/>
      <c r="B151" s="293">
        <v>11370</v>
      </c>
      <c r="C151" s="293"/>
      <c r="D151" s="348"/>
      <c r="E151" s="2004" t="s">
        <v>1234</v>
      </c>
      <c r="F151" s="2289">
        <v>5</v>
      </c>
      <c r="G151" s="41">
        <v>5</v>
      </c>
      <c r="H151" s="2289">
        <v>6</v>
      </c>
      <c r="I151" s="518"/>
      <c r="J151" s="518"/>
      <c r="K151" s="518"/>
      <c r="L151" s="518"/>
      <c r="M151" s="518"/>
      <c r="N151" s="2017"/>
      <c r="O151" s="2022"/>
      <c r="P151" s="524"/>
      <c r="Q151" s="2018">
        <v>0.83399999999999996</v>
      </c>
      <c r="R151" s="2014"/>
      <c r="S151" s="39"/>
      <c r="T151" s="279"/>
      <c r="U151" s="39"/>
      <c r="V151" s="39"/>
      <c r="W151" s="42"/>
      <c r="X151" s="279"/>
      <c r="Y151" s="42"/>
      <c r="Z151" s="2015"/>
      <c r="AA151" s="3"/>
      <c r="AE151" s="2461">
        <f t="shared" si="16"/>
        <v>0</v>
      </c>
      <c r="AF151" s="68"/>
    </row>
    <row r="152" spans="1:32" ht="15.5" x14ac:dyDescent="0.35">
      <c r="A152" s="525"/>
      <c r="B152" s="293">
        <v>11370</v>
      </c>
      <c r="C152" s="293"/>
      <c r="D152" s="348"/>
      <c r="E152" s="519" t="s">
        <v>685</v>
      </c>
      <c r="F152" s="2289">
        <v>5</v>
      </c>
      <c r="G152" s="41">
        <v>5</v>
      </c>
      <c r="H152" s="2289">
        <v>6</v>
      </c>
      <c r="I152" s="518"/>
      <c r="J152" s="518"/>
      <c r="K152" s="518"/>
      <c r="L152" s="518"/>
      <c r="M152" s="518"/>
      <c r="N152" s="2017">
        <f>1.67-0.834</f>
        <v>0.83599999999999997</v>
      </c>
      <c r="O152" s="2022"/>
      <c r="P152" s="524"/>
      <c r="Q152" s="2018"/>
      <c r="R152" s="2014"/>
      <c r="S152" s="42"/>
      <c r="T152" s="281"/>
      <c r="U152" s="42"/>
      <c r="V152" s="42"/>
      <c r="W152" s="42"/>
      <c r="X152" s="279"/>
      <c r="Y152" s="42"/>
      <c r="Z152" s="2015"/>
      <c r="AA152" s="3"/>
      <c r="AE152" s="2461">
        <f t="shared" si="16"/>
        <v>0</v>
      </c>
      <c r="AF152" s="68"/>
    </row>
    <row r="153" spans="1:32" ht="45" x14ac:dyDescent="0.35">
      <c r="A153" s="295">
        <v>70</v>
      </c>
      <c r="B153" s="293">
        <v>11371</v>
      </c>
      <c r="C153" s="293"/>
      <c r="D153" s="348" t="s">
        <v>465</v>
      </c>
      <c r="E153" s="1999" t="s">
        <v>11048</v>
      </c>
      <c r="F153" s="2289">
        <v>5</v>
      </c>
      <c r="G153" s="2289">
        <v>5</v>
      </c>
      <c r="H153" s="2289">
        <v>6</v>
      </c>
      <c r="I153" s="518">
        <f>J153+K153+L153</f>
        <v>1.47</v>
      </c>
      <c r="J153" s="518">
        <f>SUM(M153:R153)</f>
        <v>1.47</v>
      </c>
      <c r="K153" s="518"/>
      <c r="L153" s="518"/>
      <c r="M153" s="518"/>
      <c r="N153" s="2011"/>
      <c r="O153" s="2012"/>
      <c r="P153" s="518"/>
      <c r="Q153" s="2016">
        <v>1.47</v>
      </c>
      <c r="R153" s="2014"/>
      <c r="S153" s="39"/>
      <c r="T153" s="279"/>
      <c r="U153" s="39"/>
      <c r="V153" s="39"/>
      <c r="W153" s="42">
        <v>8</v>
      </c>
      <c r="X153" s="279">
        <v>80.2</v>
      </c>
      <c r="Y153" s="42">
        <v>4</v>
      </c>
      <c r="Z153" s="2015">
        <v>40.6</v>
      </c>
      <c r="AA153" s="3"/>
      <c r="AB153">
        <v>1</v>
      </c>
      <c r="AE153" s="2461">
        <f t="shared" si="16"/>
        <v>0</v>
      </c>
      <c r="AF153" s="68"/>
    </row>
    <row r="154" spans="1:32" ht="30" x14ac:dyDescent="0.35">
      <c r="A154" s="295">
        <v>71</v>
      </c>
      <c r="B154" s="293">
        <v>11372</v>
      </c>
      <c r="C154" s="293"/>
      <c r="D154" s="348" t="s">
        <v>1360</v>
      </c>
      <c r="E154" s="516" t="s">
        <v>7177</v>
      </c>
      <c r="F154" s="166" t="s">
        <v>827</v>
      </c>
      <c r="G154" s="41">
        <v>5</v>
      </c>
      <c r="H154" s="40">
        <v>6</v>
      </c>
      <c r="I154" s="518">
        <f>J154+K154+L154</f>
        <v>1.2</v>
      </c>
      <c r="J154" s="518">
        <f>SUM(M154:R154)</f>
        <v>1.2</v>
      </c>
      <c r="K154" s="518"/>
      <c r="L154" s="518"/>
      <c r="M154" s="518"/>
      <c r="N154" s="2011"/>
      <c r="O154" s="2012"/>
      <c r="P154" s="518"/>
      <c r="Q154" s="2016"/>
      <c r="R154" s="2014">
        <v>1.2</v>
      </c>
      <c r="S154" s="39"/>
      <c r="T154" s="279"/>
      <c r="U154" s="39"/>
      <c r="V154" s="39"/>
      <c r="W154" s="42">
        <v>1</v>
      </c>
      <c r="X154" s="279">
        <v>9</v>
      </c>
      <c r="Y154" s="42"/>
      <c r="Z154" s="2015"/>
      <c r="AA154" s="3"/>
      <c r="AB154">
        <v>1</v>
      </c>
      <c r="AE154" s="2461">
        <f t="shared" si="16"/>
        <v>0</v>
      </c>
      <c r="AF154" s="68"/>
    </row>
    <row r="155" spans="1:32" ht="30" x14ac:dyDescent="0.35">
      <c r="A155" s="295">
        <v>72</v>
      </c>
      <c r="B155" s="293">
        <v>11373</v>
      </c>
      <c r="C155" s="293"/>
      <c r="D155" s="348" t="s">
        <v>1361</v>
      </c>
      <c r="E155" s="516" t="s">
        <v>9593</v>
      </c>
      <c r="F155" s="2290"/>
      <c r="G155" s="41" t="s">
        <v>191</v>
      </c>
      <c r="H155" s="40" t="s">
        <v>191</v>
      </c>
      <c r="I155" s="518">
        <f>J155+K155+L155</f>
        <v>1.7499999999999998</v>
      </c>
      <c r="J155" s="518">
        <f>SUM(M155:R155)</f>
        <v>1.6989999999999998</v>
      </c>
      <c r="K155" s="518"/>
      <c r="L155" s="518">
        <f>SUM(L156:L158)</f>
        <v>5.1000000000000018E-2</v>
      </c>
      <c r="M155" s="518"/>
      <c r="N155" s="2011"/>
      <c r="O155" s="2012"/>
      <c r="P155" s="518"/>
      <c r="Q155" s="2016"/>
      <c r="R155" s="2014">
        <f>SUM(R156:R158)</f>
        <v>1.6989999999999998</v>
      </c>
      <c r="S155" s="39"/>
      <c r="T155" s="279"/>
      <c r="U155" s="39"/>
      <c r="V155" s="39"/>
      <c r="W155" s="42">
        <v>2</v>
      </c>
      <c r="X155" s="279">
        <v>25.2</v>
      </c>
      <c r="Y155" s="42"/>
      <c r="Z155" s="2015"/>
      <c r="AA155" s="3"/>
      <c r="AB155">
        <v>1</v>
      </c>
      <c r="AE155" s="2461">
        <f t="shared" si="16"/>
        <v>0</v>
      </c>
      <c r="AF155" s="68"/>
    </row>
    <row r="156" spans="1:32" ht="15.5" x14ac:dyDescent="0.35">
      <c r="A156" s="525"/>
      <c r="B156" s="293">
        <v>11373</v>
      </c>
      <c r="C156" s="293"/>
      <c r="D156" s="348"/>
      <c r="E156" s="2005" t="s">
        <v>1235</v>
      </c>
      <c r="F156" s="2290" t="s">
        <v>664</v>
      </c>
      <c r="G156" s="41">
        <v>5</v>
      </c>
      <c r="H156" s="40">
        <v>6</v>
      </c>
      <c r="I156" s="518"/>
      <c r="J156" s="518"/>
      <c r="K156" s="518"/>
      <c r="L156" s="518"/>
      <c r="M156" s="518"/>
      <c r="N156" s="2017"/>
      <c r="O156" s="2022"/>
      <c r="P156" s="524"/>
      <c r="Q156" s="2018"/>
      <c r="R156" s="2019">
        <v>0.17199999999999999</v>
      </c>
      <c r="S156" s="42"/>
      <c r="T156" s="281"/>
      <c r="U156" s="42"/>
      <c r="V156" s="42"/>
      <c r="W156" s="42"/>
      <c r="X156" s="279"/>
      <c r="Y156" s="42"/>
      <c r="Z156" s="2015"/>
      <c r="AA156" s="3"/>
      <c r="AE156" s="2461">
        <f t="shared" si="16"/>
        <v>0</v>
      </c>
      <c r="AF156" s="68"/>
    </row>
    <row r="157" spans="1:32" ht="62" x14ac:dyDescent="0.35">
      <c r="A157" s="525"/>
      <c r="B157" s="293">
        <v>11373</v>
      </c>
      <c r="C157" s="293"/>
      <c r="D157" s="348"/>
      <c r="E157" s="519" t="s">
        <v>9382</v>
      </c>
      <c r="F157" s="2290" t="s">
        <v>664</v>
      </c>
      <c r="G157" s="41">
        <v>5</v>
      </c>
      <c r="H157" s="41" t="s">
        <v>191</v>
      </c>
      <c r="I157" s="518"/>
      <c r="J157" s="518"/>
      <c r="K157" s="518"/>
      <c r="L157" s="524">
        <f>0.223-0.172</f>
        <v>5.1000000000000018E-2</v>
      </c>
      <c r="M157" s="518"/>
      <c r="N157" s="2017"/>
      <c r="O157" s="2022"/>
      <c r="P157" s="524"/>
      <c r="Q157" s="2018"/>
      <c r="R157" s="2019"/>
      <c r="S157" s="42"/>
      <c r="T157" s="281"/>
      <c r="U157" s="42"/>
      <c r="V157" s="42"/>
      <c r="W157" s="42"/>
      <c r="X157" s="279"/>
      <c r="Y157" s="42"/>
      <c r="Z157" s="2015"/>
      <c r="AA157" s="3"/>
      <c r="AE157" s="2461">
        <f t="shared" si="16"/>
        <v>0</v>
      </c>
      <c r="AF157" s="68"/>
    </row>
    <row r="158" spans="1:32" ht="15.5" x14ac:dyDescent="0.35">
      <c r="A158" s="525"/>
      <c r="B158" s="293">
        <v>11373</v>
      </c>
      <c r="C158" s="293"/>
      <c r="D158" s="348"/>
      <c r="E158" s="2008" t="s">
        <v>686</v>
      </c>
      <c r="F158" s="2290" t="s">
        <v>664</v>
      </c>
      <c r="G158" s="41">
        <v>5</v>
      </c>
      <c r="H158" s="40">
        <v>6</v>
      </c>
      <c r="I158" s="576"/>
      <c r="J158" s="576"/>
      <c r="K158" s="576"/>
      <c r="L158" s="576"/>
      <c r="M158" s="576"/>
      <c r="N158" s="2017"/>
      <c r="O158" s="576"/>
      <c r="P158" s="576"/>
      <c r="Q158" s="1813"/>
      <c r="R158" s="2019">
        <f>1.75-0.223</f>
        <v>1.5269999999999999</v>
      </c>
      <c r="S158" s="93"/>
      <c r="T158" s="2021"/>
      <c r="U158" s="93"/>
      <c r="V158" s="93"/>
      <c r="W158" s="93"/>
      <c r="X158" s="2021"/>
      <c r="Y158" s="93"/>
      <c r="Z158" s="2024"/>
      <c r="AA158" s="3"/>
      <c r="AE158" s="2461">
        <f t="shared" si="16"/>
        <v>0</v>
      </c>
      <c r="AF158" s="68"/>
    </row>
    <row r="159" spans="1:32" ht="45" x14ac:dyDescent="0.35">
      <c r="A159" s="441">
        <v>73</v>
      </c>
      <c r="B159" s="999">
        <v>11373</v>
      </c>
      <c r="C159" s="999" t="s">
        <v>1656</v>
      </c>
      <c r="D159" s="2472" t="s">
        <v>6190</v>
      </c>
      <c r="E159" s="1999" t="s">
        <v>9594</v>
      </c>
      <c r="F159" s="2289" t="s">
        <v>664</v>
      </c>
      <c r="G159" s="2289">
        <v>5</v>
      </c>
      <c r="H159" s="40">
        <v>6</v>
      </c>
      <c r="I159" s="297">
        <f>J159+K159+L159</f>
        <v>1.2</v>
      </c>
      <c r="J159" s="297">
        <f>SUM(M159:R159)</f>
        <v>1.2</v>
      </c>
      <c r="K159" s="576"/>
      <c r="L159" s="576"/>
      <c r="M159" s="577"/>
      <c r="N159" s="2011"/>
      <c r="O159" s="577"/>
      <c r="P159" s="577"/>
      <c r="Q159" s="2013"/>
      <c r="R159" s="2014">
        <v>1.2</v>
      </c>
      <c r="S159" s="93"/>
      <c r="T159" s="2021"/>
      <c r="U159" s="93"/>
      <c r="V159" s="93"/>
      <c r="W159" s="105"/>
      <c r="X159" s="2027"/>
      <c r="Y159" s="105"/>
      <c r="Z159" s="2015"/>
      <c r="AA159" s="3"/>
      <c r="AB159">
        <v>1</v>
      </c>
      <c r="AE159" s="2461">
        <f t="shared" si="16"/>
        <v>0</v>
      </c>
      <c r="AF159" s="68"/>
    </row>
    <row r="160" spans="1:32" ht="30" x14ac:dyDescent="0.35">
      <c r="A160" s="295">
        <v>74</v>
      </c>
      <c r="B160" s="293">
        <v>11374</v>
      </c>
      <c r="C160" s="293"/>
      <c r="D160" s="348" t="s">
        <v>687</v>
      </c>
      <c r="E160" s="516" t="s">
        <v>11511</v>
      </c>
      <c r="F160" s="2289"/>
      <c r="G160" s="41" t="s">
        <v>191</v>
      </c>
      <c r="H160" s="2289" t="s">
        <v>191</v>
      </c>
      <c r="I160" s="518">
        <f>J160+K160+L160</f>
        <v>2.5499999999999998</v>
      </c>
      <c r="J160" s="2897">
        <f>SUM(M160:R160)</f>
        <v>2.5499999999999998</v>
      </c>
      <c r="K160" s="518"/>
      <c r="L160" s="518"/>
      <c r="M160" s="518"/>
      <c r="N160" s="2897">
        <f>SUM(N161:N163)</f>
        <v>1.25</v>
      </c>
      <c r="O160" s="2012"/>
      <c r="P160" s="518"/>
      <c r="Q160" s="2016"/>
      <c r="R160" s="2014">
        <f>SUM(R161:R163)</f>
        <v>1.2999999999999998</v>
      </c>
      <c r="S160" s="39"/>
      <c r="T160" s="279"/>
      <c r="U160" s="39"/>
      <c r="V160" s="39"/>
      <c r="W160" s="42">
        <v>2</v>
      </c>
      <c r="X160" s="279">
        <v>19.350000000000001</v>
      </c>
      <c r="Y160" s="42"/>
      <c r="Z160" s="2015"/>
      <c r="AA160" s="3"/>
      <c r="AB160">
        <v>1</v>
      </c>
      <c r="AE160" s="2461">
        <f t="shared" si="16"/>
        <v>0</v>
      </c>
      <c r="AF160" s="68"/>
    </row>
    <row r="161" spans="1:32" ht="15.5" x14ac:dyDescent="0.35">
      <c r="A161" s="525"/>
      <c r="B161" s="293">
        <v>11374</v>
      </c>
      <c r="C161" s="293"/>
      <c r="D161" s="348"/>
      <c r="E161" s="519" t="s">
        <v>11510</v>
      </c>
      <c r="F161" s="2289">
        <v>5</v>
      </c>
      <c r="G161" s="41">
        <v>5</v>
      </c>
      <c r="H161" s="2289">
        <v>6</v>
      </c>
      <c r="I161" s="518"/>
      <c r="J161" s="518"/>
      <c r="K161" s="518"/>
      <c r="L161" s="518"/>
      <c r="M161" s="518"/>
      <c r="N161" s="2915">
        <v>1.25</v>
      </c>
      <c r="O161" s="2022"/>
      <c r="P161" s="524"/>
      <c r="Q161" s="2018"/>
      <c r="R161" s="2020"/>
      <c r="S161" s="93"/>
      <c r="T161" s="2021"/>
      <c r="U161" s="93"/>
      <c r="V161" s="93"/>
      <c r="W161" s="41"/>
      <c r="X161" s="2028"/>
      <c r="Y161" s="93"/>
      <c r="Z161" s="2024"/>
      <c r="AA161" s="3"/>
      <c r="AE161" s="2461">
        <f t="shared" si="16"/>
        <v>0</v>
      </c>
      <c r="AF161" s="68"/>
    </row>
    <row r="162" spans="1:32" ht="15.5" x14ac:dyDescent="0.35">
      <c r="A162" s="525"/>
      <c r="B162" s="293">
        <v>11374</v>
      </c>
      <c r="C162" s="293"/>
      <c r="D162" s="348"/>
      <c r="E162" s="2005" t="s">
        <v>11512</v>
      </c>
      <c r="F162" s="2290" t="s">
        <v>664</v>
      </c>
      <c r="G162" s="41">
        <v>5</v>
      </c>
      <c r="H162" s="40">
        <v>6</v>
      </c>
      <c r="I162" s="518"/>
      <c r="J162" s="518"/>
      <c r="K162" s="518"/>
      <c r="L162" s="518"/>
      <c r="M162" s="518"/>
      <c r="N162" s="2915"/>
      <c r="O162" s="2022"/>
      <c r="P162" s="524"/>
      <c r="Q162" s="2018"/>
      <c r="R162" s="2019">
        <f>2.55-1.25</f>
        <v>1.2999999999999998</v>
      </c>
      <c r="S162" s="93"/>
      <c r="T162" s="2021"/>
      <c r="U162" s="93"/>
      <c r="V162" s="93"/>
      <c r="W162" s="41"/>
      <c r="X162" s="2028"/>
      <c r="Y162" s="93"/>
      <c r="Z162" s="2024"/>
      <c r="AA162" s="3"/>
      <c r="AE162" s="2461">
        <f t="shared" si="16"/>
        <v>0</v>
      </c>
      <c r="AF162" s="68"/>
    </row>
    <row r="163" spans="1:32" ht="15.5" x14ac:dyDescent="0.35">
      <c r="A163" s="525"/>
      <c r="B163" s="293">
        <v>11374</v>
      </c>
      <c r="C163" s="293"/>
      <c r="D163" s="348"/>
      <c r="E163" s="519"/>
      <c r="F163" s="2289">
        <v>5</v>
      </c>
      <c r="G163" s="41">
        <v>5</v>
      </c>
      <c r="H163" s="2289">
        <v>6</v>
      </c>
      <c r="I163" s="518"/>
      <c r="J163" s="518"/>
      <c r="K163" s="518"/>
      <c r="L163" s="518"/>
      <c r="M163" s="518"/>
      <c r="N163" s="2915">
        <v>0</v>
      </c>
      <c r="O163" s="2022"/>
      <c r="P163" s="524"/>
      <c r="Q163" s="2018"/>
      <c r="R163" s="2019"/>
      <c r="S163" s="93"/>
      <c r="T163" s="2021"/>
      <c r="U163" s="93"/>
      <c r="V163" s="93"/>
      <c r="W163" s="41"/>
      <c r="X163" s="2028"/>
      <c r="Y163" s="93"/>
      <c r="Z163" s="2024"/>
      <c r="AA163" s="3"/>
      <c r="AE163" s="2461">
        <f t="shared" si="16"/>
        <v>0</v>
      </c>
      <c r="AF163" s="68"/>
    </row>
    <row r="164" spans="1:32" ht="45" x14ac:dyDescent="0.35">
      <c r="A164" s="441">
        <v>75</v>
      </c>
      <c r="B164" s="293">
        <v>11374</v>
      </c>
      <c r="C164" s="358" t="s">
        <v>1656</v>
      </c>
      <c r="D164" s="2472" t="s">
        <v>6191</v>
      </c>
      <c r="E164" s="1999" t="s">
        <v>8969</v>
      </c>
      <c r="F164" s="166" t="s">
        <v>664</v>
      </c>
      <c r="G164" s="2289">
        <v>5</v>
      </c>
      <c r="H164" s="40">
        <v>6</v>
      </c>
      <c r="I164" s="297">
        <f>J164+K164+L164</f>
        <v>1.23</v>
      </c>
      <c r="J164" s="297">
        <f>SUM(M164:R164)</f>
        <v>1.23</v>
      </c>
      <c r="K164" s="524"/>
      <c r="L164" s="518"/>
      <c r="M164" s="518"/>
      <c r="N164" s="2011"/>
      <c r="O164" s="2012"/>
      <c r="P164" s="518"/>
      <c r="Q164" s="2016"/>
      <c r="R164" s="2014">
        <v>1.23</v>
      </c>
      <c r="S164" s="42"/>
      <c r="T164" s="281"/>
      <c r="U164" s="42"/>
      <c r="V164" s="42"/>
      <c r="W164" s="42"/>
      <c r="X164" s="281"/>
      <c r="Y164" s="42"/>
      <c r="Z164" s="2015"/>
      <c r="AA164" s="3"/>
      <c r="AB164">
        <v>1</v>
      </c>
      <c r="AE164" s="2461">
        <f t="shared" si="16"/>
        <v>0</v>
      </c>
      <c r="AF164" s="68"/>
    </row>
    <row r="165" spans="1:32" ht="30" x14ac:dyDescent="0.35">
      <c r="A165" s="295">
        <v>76</v>
      </c>
      <c r="B165" s="293">
        <v>11375</v>
      </c>
      <c r="C165" s="293"/>
      <c r="D165" s="348" t="s">
        <v>1469</v>
      </c>
      <c r="E165" s="516" t="s">
        <v>9515</v>
      </c>
      <c r="F165" s="2289"/>
      <c r="G165" s="41" t="s">
        <v>191</v>
      </c>
      <c r="H165" s="2289" t="s">
        <v>191</v>
      </c>
      <c r="I165" s="518">
        <f>J165+K165+L165</f>
        <v>3.5</v>
      </c>
      <c r="J165" s="518">
        <f>SUM(M165:R165)</f>
        <v>3.5</v>
      </c>
      <c r="K165" s="518"/>
      <c r="L165" s="518"/>
      <c r="M165" s="518"/>
      <c r="N165" s="2011">
        <f>SUM(N166:N167)</f>
        <v>0.21</v>
      </c>
      <c r="O165" s="2012"/>
      <c r="P165" s="518"/>
      <c r="Q165" s="2013">
        <f>SUM(Q166:Q167)</f>
        <v>3.29</v>
      </c>
      <c r="R165" s="2014"/>
      <c r="S165" s="39"/>
      <c r="T165" s="279"/>
      <c r="U165" s="39"/>
      <c r="V165" s="39"/>
      <c r="W165" s="42">
        <v>2</v>
      </c>
      <c r="X165" s="279">
        <v>20.2</v>
      </c>
      <c r="Y165" s="42"/>
      <c r="Z165" s="2015"/>
      <c r="AA165" s="3"/>
      <c r="AB165">
        <v>1</v>
      </c>
      <c r="AE165" s="2461">
        <f t="shared" si="16"/>
        <v>0</v>
      </c>
      <c r="AF165" s="68"/>
    </row>
    <row r="166" spans="1:32" ht="15.5" x14ac:dyDescent="0.35">
      <c r="A166" s="525"/>
      <c r="B166" s="293">
        <v>11375</v>
      </c>
      <c r="C166" s="293"/>
      <c r="D166" s="348"/>
      <c r="E166" s="519" t="s">
        <v>2629</v>
      </c>
      <c r="F166" s="2289">
        <v>5</v>
      </c>
      <c r="G166" s="41">
        <v>5</v>
      </c>
      <c r="H166" s="2289">
        <v>6</v>
      </c>
      <c r="I166" s="518"/>
      <c r="J166" s="518"/>
      <c r="K166" s="518"/>
      <c r="L166" s="518"/>
      <c r="M166" s="518"/>
      <c r="N166" s="2017">
        <v>0.21</v>
      </c>
      <c r="O166" s="2022"/>
      <c r="P166" s="524"/>
      <c r="Q166" s="2018"/>
      <c r="R166" s="2020"/>
      <c r="S166" s="93"/>
      <c r="T166" s="2021"/>
      <c r="U166" s="93"/>
      <c r="V166" s="93"/>
      <c r="W166" s="41"/>
      <c r="X166" s="2028"/>
      <c r="Y166" s="93"/>
      <c r="Z166" s="2024"/>
      <c r="AA166" s="3"/>
      <c r="AE166" s="2461">
        <f t="shared" si="16"/>
        <v>0</v>
      </c>
      <c r="AF166" s="68"/>
    </row>
    <row r="167" spans="1:32" ht="15.5" x14ac:dyDescent="0.35">
      <c r="A167" s="525"/>
      <c r="B167" s="293">
        <v>11375</v>
      </c>
      <c r="C167" s="293"/>
      <c r="D167" s="348"/>
      <c r="E167" s="2004" t="s">
        <v>3163</v>
      </c>
      <c r="F167" s="2289">
        <v>5</v>
      </c>
      <c r="G167" s="41">
        <v>5</v>
      </c>
      <c r="H167" s="2289">
        <v>6</v>
      </c>
      <c r="I167" s="518"/>
      <c r="J167" s="518"/>
      <c r="K167" s="518"/>
      <c r="L167" s="518"/>
      <c r="M167" s="518"/>
      <c r="N167" s="2017"/>
      <c r="O167" s="2022"/>
      <c r="P167" s="524"/>
      <c r="Q167" s="2018">
        <f>3.5-0.21</f>
        <v>3.29</v>
      </c>
      <c r="R167" s="2020"/>
      <c r="S167" s="93"/>
      <c r="T167" s="2021"/>
      <c r="U167" s="93"/>
      <c r="V167" s="93"/>
      <c r="W167" s="41"/>
      <c r="X167" s="2028"/>
      <c r="Y167" s="93"/>
      <c r="Z167" s="2024"/>
      <c r="AA167" s="3"/>
      <c r="AE167" s="2461">
        <f t="shared" si="16"/>
        <v>0</v>
      </c>
      <c r="AF167" s="68"/>
    </row>
    <row r="168" spans="1:32" ht="30" x14ac:dyDescent="0.35">
      <c r="A168" s="295">
        <v>77</v>
      </c>
      <c r="B168" s="293">
        <v>11376</v>
      </c>
      <c r="C168" s="293"/>
      <c r="D168" s="348" t="s">
        <v>1598</v>
      </c>
      <c r="E168" s="516" t="s">
        <v>2333</v>
      </c>
      <c r="F168" s="2289"/>
      <c r="G168" s="41" t="s">
        <v>191</v>
      </c>
      <c r="H168" s="2289" t="s">
        <v>191</v>
      </c>
      <c r="I168" s="518">
        <f>J168+K168+L168</f>
        <v>4.2300000000000004</v>
      </c>
      <c r="J168" s="518">
        <f>SUM(M168:R168)</f>
        <v>4.2300000000000004</v>
      </c>
      <c r="K168" s="518"/>
      <c r="L168" s="518"/>
      <c r="M168" s="518"/>
      <c r="N168" s="2011">
        <f>SUM(N169:N171)</f>
        <v>0.23</v>
      </c>
      <c r="O168" s="2012"/>
      <c r="P168" s="518"/>
      <c r="Q168" s="2013">
        <f>SUM(Q169:Q171)</f>
        <v>2.27</v>
      </c>
      <c r="R168" s="2014">
        <f>SUM(R169:R171)</f>
        <v>1.7300000000000004</v>
      </c>
      <c r="S168" s="39">
        <v>1</v>
      </c>
      <c r="T168" s="279">
        <v>27.7</v>
      </c>
      <c r="U168" s="39"/>
      <c r="V168" s="39"/>
      <c r="W168" s="42">
        <v>3</v>
      </c>
      <c r="X168" s="279">
        <v>30.45</v>
      </c>
      <c r="Y168" s="42">
        <v>2</v>
      </c>
      <c r="Z168" s="2015">
        <v>20.3</v>
      </c>
      <c r="AA168" s="3"/>
      <c r="AB168">
        <v>1</v>
      </c>
      <c r="AE168" s="2461">
        <f t="shared" si="16"/>
        <v>0</v>
      </c>
      <c r="AF168" s="68"/>
    </row>
    <row r="169" spans="1:32" ht="15.5" x14ac:dyDescent="0.35">
      <c r="A169" s="525"/>
      <c r="B169" s="293">
        <v>11376</v>
      </c>
      <c r="C169" s="293"/>
      <c r="D169" s="348"/>
      <c r="E169" s="519" t="s">
        <v>1298</v>
      </c>
      <c r="F169" s="2289">
        <v>5</v>
      </c>
      <c r="G169" s="41">
        <v>5</v>
      </c>
      <c r="H169" s="2289">
        <v>6</v>
      </c>
      <c r="I169" s="518"/>
      <c r="J169" s="518"/>
      <c r="K169" s="518"/>
      <c r="L169" s="518"/>
      <c r="M169" s="518"/>
      <c r="N169" s="2017">
        <v>0.23</v>
      </c>
      <c r="O169" s="2022"/>
      <c r="P169" s="524"/>
      <c r="Q169" s="2018"/>
      <c r="R169" s="2020"/>
      <c r="S169" s="93"/>
      <c r="T169" s="2021"/>
      <c r="U169" s="93"/>
      <c r="V169" s="93"/>
      <c r="W169" s="41"/>
      <c r="X169" s="2028"/>
      <c r="Y169" s="93"/>
      <c r="Z169" s="2024"/>
      <c r="AA169" s="3"/>
      <c r="AE169" s="2461">
        <f t="shared" si="16"/>
        <v>0</v>
      </c>
      <c r="AF169" s="68"/>
    </row>
    <row r="170" spans="1:32" ht="15.5" x14ac:dyDescent="0.35">
      <c r="A170" s="525"/>
      <c r="B170" s="293">
        <v>11376</v>
      </c>
      <c r="C170" s="293"/>
      <c r="D170" s="348"/>
      <c r="E170" s="2004" t="s">
        <v>351</v>
      </c>
      <c r="F170" s="2289">
        <v>5</v>
      </c>
      <c r="G170" s="41">
        <v>5</v>
      </c>
      <c r="H170" s="2289">
        <v>6</v>
      </c>
      <c r="I170" s="518"/>
      <c r="J170" s="518"/>
      <c r="K170" s="518"/>
      <c r="L170" s="518"/>
      <c r="M170" s="518"/>
      <c r="N170" s="2017"/>
      <c r="O170" s="2022"/>
      <c r="P170" s="524"/>
      <c r="Q170" s="2018">
        <f>2.5-0.23</f>
        <v>2.27</v>
      </c>
      <c r="R170" s="2020"/>
      <c r="S170" s="93"/>
      <c r="T170" s="2021"/>
      <c r="U170" s="93"/>
      <c r="V170" s="93"/>
      <c r="W170" s="41"/>
      <c r="X170" s="2028"/>
      <c r="Y170" s="93"/>
      <c r="Z170" s="2024"/>
      <c r="AA170" s="3"/>
      <c r="AE170" s="2461">
        <f t="shared" si="16"/>
        <v>0</v>
      </c>
      <c r="AF170" s="68"/>
    </row>
    <row r="171" spans="1:32" ht="15.5" x14ac:dyDescent="0.35">
      <c r="A171" s="525"/>
      <c r="B171" s="293">
        <v>11376</v>
      </c>
      <c r="C171" s="293"/>
      <c r="D171" s="348"/>
      <c r="E171" s="2005" t="s">
        <v>2622</v>
      </c>
      <c r="F171" s="2289" t="s">
        <v>827</v>
      </c>
      <c r="G171" s="41">
        <v>5</v>
      </c>
      <c r="H171" s="40">
        <v>6</v>
      </c>
      <c r="I171" s="518"/>
      <c r="J171" s="518"/>
      <c r="K171" s="518"/>
      <c r="L171" s="518"/>
      <c r="M171" s="518"/>
      <c r="N171" s="2017"/>
      <c r="O171" s="2022"/>
      <c r="P171" s="524"/>
      <c r="Q171" s="2018"/>
      <c r="R171" s="2019">
        <f>4.23-2.5</f>
        <v>1.7300000000000004</v>
      </c>
      <c r="S171" s="93"/>
      <c r="T171" s="2021"/>
      <c r="U171" s="93"/>
      <c r="V171" s="93"/>
      <c r="W171" s="41"/>
      <c r="X171" s="2028"/>
      <c r="Y171" s="93"/>
      <c r="Z171" s="2024"/>
      <c r="AA171" s="3"/>
      <c r="AE171" s="2461">
        <f t="shared" si="16"/>
        <v>0</v>
      </c>
      <c r="AF171" s="68"/>
    </row>
    <row r="172" spans="1:32" ht="45.5" x14ac:dyDescent="0.35">
      <c r="A172" s="693">
        <v>78</v>
      </c>
      <c r="B172" s="365">
        <v>11376</v>
      </c>
      <c r="C172" s="365" t="s">
        <v>1656</v>
      </c>
      <c r="D172" s="2472" t="s">
        <v>6192</v>
      </c>
      <c r="E172" s="511" t="s">
        <v>8970</v>
      </c>
      <c r="F172" s="2290"/>
      <c r="G172" s="93" t="s">
        <v>191</v>
      </c>
      <c r="H172" s="2289" t="s">
        <v>191</v>
      </c>
      <c r="I172" s="1924">
        <f>J172+K172+L172</f>
        <v>2.2000000000000002</v>
      </c>
      <c r="J172" s="1924">
        <f>SUM(M172:R172)</f>
        <v>2.2000000000000002</v>
      </c>
      <c r="K172" s="576"/>
      <c r="L172" s="576"/>
      <c r="M172" s="576"/>
      <c r="N172" s="576"/>
      <c r="O172" s="576"/>
      <c r="P172" s="576"/>
      <c r="Q172" s="2097">
        <f>SUM(Q173:Q174)</f>
        <v>0.6</v>
      </c>
      <c r="R172" s="2096">
        <f>SUM(R173:R174)</f>
        <v>1.6</v>
      </c>
      <c r="S172" s="2153"/>
      <c r="T172" s="2153"/>
      <c r="U172" s="2153"/>
      <c r="V172" s="2153"/>
      <c r="W172" s="2153"/>
      <c r="X172" s="2153"/>
      <c r="Y172" s="2153"/>
      <c r="Z172" s="2153"/>
      <c r="AB172">
        <v>1</v>
      </c>
      <c r="AE172" s="2461">
        <f t="shared" si="16"/>
        <v>0</v>
      </c>
      <c r="AF172" s="68"/>
    </row>
    <row r="173" spans="1:32" ht="15.5" x14ac:dyDescent="0.35">
      <c r="A173" s="2233"/>
      <c r="B173" s="365">
        <v>11376</v>
      </c>
      <c r="C173" s="365"/>
      <c r="D173" s="348"/>
      <c r="E173" s="2234" t="s">
        <v>365</v>
      </c>
      <c r="F173" s="166" t="s">
        <v>1490</v>
      </c>
      <c r="G173" s="93">
        <v>5</v>
      </c>
      <c r="H173" s="2289">
        <v>6</v>
      </c>
      <c r="I173" s="93"/>
      <c r="J173" s="93"/>
      <c r="K173" s="576"/>
      <c r="L173" s="576"/>
      <c r="M173" s="576"/>
      <c r="N173" s="576"/>
      <c r="O173" s="576"/>
      <c r="P173" s="576"/>
      <c r="Q173" s="1813">
        <v>0.6</v>
      </c>
      <c r="R173" s="2020"/>
      <c r="S173" s="2153"/>
      <c r="T173" s="2153"/>
      <c r="U173" s="2153"/>
      <c r="V173" s="2153"/>
      <c r="W173" s="2153"/>
      <c r="X173" s="2153"/>
      <c r="Y173" s="2153"/>
      <c r="Z173" s="2153"/>
      <c r="AE173" s="2461">
        <f t="shared" si="16"/>
        <v>0</v>
      </c>
      <c r="AF173" s="68"/>
    </row>
    <row r="174" spans="1:32" ht="15.5" x14ac:dyDescent="0.35">
      <c r="A174" s="2233"/>
      <c r="B174" s="365">
        <v>11376</v>
      </c>
      <c r="C174" s="365"/>
      <c r="D174" s="348"/>
      <c r="E174" s="2054" t="s">
        <v>2334</v>
      </c>
      <c r="F174" s="2290" t="s">
        <v>664</v>
      </c>
      <c r="G174" s="93">
        <v>5</v>
      </c>
      <c r="H174" s="40">
        <v>6</v>
      </c>
      <c r="I174" s="93"/>
      <c r="J174" s="93"/>
      <c r="K174" s="576"/>
      <c r="L174" s="576"/>
      <c r="M174" s="576"/>
      <c r="N174" s="576"/>
      <c r="O174" s="576"/>
      <c r="P174" s="576"/>
      <c r="Q174" s="576"/>
      <c r="R174" s="2020">
        <f>2.2-0.6</f>
        <v>1.6</v>
      </c>
      <c r="S174" s="2153"/>
      <c r="T174" s="2153"/>
      <c r="U174" s="2153"/>
      <c r="V174" s="2153"/>
      <c r="W174" s="2153"/>
      <c r="X174" s="2153"/>
      <c r="Y174" s="2153"/>
      <c r="Z174" s="2153"/>
      <c r="AE174" s="2461">
        <f t="shared" si="16"/>
        <v>0</v>
      </c>
      <c r="AF174" s="68"/>
    </row>
    <row r="175" spans="1:32" ht="30" x14ac:dyDescent="0.35">
      <c r="A175" s="295">
        <v>79</v>
      </c>
      <c r="B175" s="293">
        <v>11377</v>
      </c>
      <c r="C175" s="293"/>
      <c r="D175" s="348" t="s">
        <v>1362</v>
      </c>
      <c r="E175" s="516" t="s">
        <v>9587</v>
      </c>
      <c r="F175" s="166" t="s">
        <v>1490</v>
      </c>
      <c r="G175" s="2289">
        <v>5</v>
      </c>
      <c r="H175" s="40">
        <v>6</v>
      </c>
      <c r="I175" s="518">
        <f>J175+K175+L175</f>
        <v>3.3</v>
      </c>
      <c r="J175" s="518">
        <f>SUM(M175:R175)</f>
        <v>3.3</v>
      </c>
      <c r="K175" s="518"/>
      <c r="L175" s="518"/>
      <c r="M175" s="518"/>
      <c r="N175" s="2011"/>
      <c r="O175" s="2012"/>
      <c r="P175" s="518"/>
      <c r="Q175" s="2016"/>
      <c r="R175" s="2014">
        <v>3.3</v>
      </c>
      <c r="S175" s="39"/>
      <c r="T175" s="279"/>
      <c r="U175" s="39"/>
      <c r="V175" s="39"/>
      <c r="W175" s="42">
        <v>2</v>
      </c>
      <c r="X175" s="279">
        <v>14</v>
      </c>
      <c r="Y175" s="42"/>
      <c r="Z175" s="2015"/>
      <c r="AA175" s="3"/>
      <c r="AB175">
        <v>1</v>
      </c>
      <c r="AE175" s="2461">
        <f t="shared" si="16"/>
        <v>0</v>
      </c>
      <c r="AF175" s="68"/>
    </row>
    <row r="176" spans="1:32" ht="30" x14ac:dyDescent="0.35">
      <c r="A176" s="295">
        <v>80</v>
      </c>
      <c r="B176" s="293">
        <v>11378</v>
      </c>
      <c r="C176" s="293"/>
      <c r="D176" s="348" t="s">
        <v>1542</v>
      </c>
      <c r="E176" s="516" t="s">
        <v>7178</v>
      </c>
      <c r="F176" s="2289">
        <v>5</v>
      </c>
      <c r="G176" s="41">
        <v>5</v>
      </c>
      <c r="H176" s="2289">
        <v>6</v>
      </c>
      <c r="I176" s="518">
        <f>J176+K176+L176</f>
        <v>3.49</v>
      </c>
      <c r="J176" s="518">
        <f>SUM(M176:R176)</f>
        <v>3.49</v>
      </c>
      <c r="K176" s="518"/>
      <c r="L176" s="518"/>
      <c r="M176" s="518"/>
      <c r="N176" s="2011">
        <v>3.49</v>
      </c>
      <c r="O176" s="2012"/>
      <c r="P176" s="518"/>
      <c r="Q176" s="2016"/>
      <c r="R176" s="2014"/>
      <c r="S176" s="39"/>
      <c r="T176" s="279"/>
      <c r="U176" s="39"/>
      <c r="V176" s="39"/>
      <c r="W176" s="42">
        <v>7</v>
      </c>
      <c r="X176" s="279">
        <v>93.7</v>
      </c>
      <c r="Y176" s="42">
        <v>3</v>
      </c>
      <c r="Z176" s="2015">
        <v>30</v>
      </c>
      <c r="AA176" s="3"/>
      <c r="AB176">
        <v>1</v>
      </c>
      <c r="AE176" s="2461">
        <f t="shared" si="16"/>
        <v>0</v>
      </c>
      <c r="AF176" s="68"/>
    </row>
    <row r="177" spans="1:32" ht="30" x14ac:dyDescent="0.35">
      <c r="A177" s="295">
        <v>81</v>
      </c>
      <c r="B177" s="293">
        <v>11379</v>
      </c>
      <c r="C177" s="293"/>
      <c r="D177" s="348" t="s">
        <v>1543</v>
      </c>
      <c r="E177" s="1999" t="s">
        <v>10224</v>
      </c>
      <c r="F177" s="2289"/>
      <c r="G177" s="41" t="s">
        <v>191</v>
      </c>
      <c r="H177" s="2289" t="s">
        <v>191</v>
      </c>
      <c r="I177" s="518">
        <f>J177+K177+L177</f>
        <v>2.2999999999999998</v>
      </c>
      <c r="J177" s="518">
        <f>SUM(M177:R177)</f>
        <v>2.2999999999999998</v>
      </c>
      <c r="K177" s="518"/>
      <c r="L177" s="518"/>
      <c r="M177" s="518"/>
      <c r="N177" s="2011">
        <f>SUM(N178:N180)</f>
        <v>0.2</v>
      </c>
      <c r="O177" s="2012"/>
      <c r="P177" s="518"/>
      <c r="Q177" s="2013">
        <f>SUM(Q178:Q180)</f>
        <v>0.49999999999999978</v>
      </c>
      <c r="R177" s="2014">
        <f>SUM(R178:R180)</f>
        <v>1.6</v>
      </c>
      <c r="S177" s="39"/>
      <c r="T177" s="279"/>
      <c r="U177" s="39"/>
      <c r="V177" s="39"/>
      <c r="W177" s="42">
        <v>2</v>
      </c>
      <c r="X177" s="279">
        <v>34</v>
      </c>
      <c r="Y177" s="42"/>
      <c r="Z177" s="2015"/>
      <c r="AA177" s="3"/>
      <c r="AB177">
        <v>1</v>
      </c>
      <c r="AE177" s="2461">
        <f t="shared" si="16"/>
        <v>0</v>
      </c>
      <c r="AF177" s="68"/>
    </row>
    <row r="178" spans="1:32" ht="15.5" x14ac:dyDescent="0.35">
      <c r="A178" s="295"/>
      <c r="B178" s="293">
        <v>11379</v>
      </c>
      <c r="C178" s="293"/>
      <c r="D178" s="348"/>
      <c r="E178" s="519" t="s">
        <v>1795</v>
      </c>
      <c r="F178" s="166" t="s">
        <v>827</v>
      </c>
      <c r="G178" s="41">
        <v>5</v>
      </c>
      <c r="H178" s="2289">
        <v>6</v>
      </c>
      <c r="I178" s="518"/>
      <c r="J178" s="518"/>
      <c r="K178" s="518"/>
      <c r="L178" s="524"/>
      <c r="M178" s="518"/>
      <c r="N178" s="2017">
        <v>0.2</v>
      </c>
      <c r="O178" s="2012"/>
      <c r="P178" s="518"/>
      <c r="Q178" s="2016"/>
      <c r="R178" s="2014"/>
      <c r="S178" s="39"/>
      <c r="T178" s="279"/>
      <c r="U178" s="39"/>
      <c r="V178" s="39"/>
      <c r="W178" s="42"/>
      <c r="X178" s="279"/>
      <c r="Y178" s="42"/>
      <c r="Z178" s="2015"/>
      <c r="AA178" s="3"/>
      <c r="AE178" s="2461">
        <f t="shared" si="16"/>
        <v>0</v>
      </c>
      <c r="AF178" s="68"/>
    </row>
    <row r="179" spans="1:32" ht="15.5" x14ac:dyDescent="0.35">
      <c r="A179" s="295"/>
      <c r="B179" s="293">
        <v>11379</v>
      </c>
      <c r="C179" s="293"/>
      <c r="D179" s="348"/>
      <c r="E179" s="2008" t="s">
        <v>352</v>
      </c>
      <c r="F179" s="2290" t="s">
        <v>664</v>
      </c>
      <c r="G179" s="41">
        <v>5</v>
      </c>
      <c r="H179" s="40">
        <v>6</v>
      </c>
      <c r="I179" s="518"/>
      <c r="J179" s="518"/>
      <c r="K179" s="518"/>
      <c r="L179" s="518"/>
      <c r="M179" s="518"/>
      <c r="N179" s="2017"/>
      <c r="O179" s="2022"/>
      <c r="P179" s="524"/>
      <c r="Q179" s="2018"/>
      <c r="R179" s="2019">
        <f>1.8-0.2</f>
        <v>1.6</v>
      </c>
      <c r="S179" s="39"/>
      <c r="T179" s="279"/>
      <c r="U179" s="39"/>
      <c r="V179" s="39"/>
      <c r="W179" s="42"/>
      <c r="X179" s="279"/>
      <c r="Y179" s="42"/>
      <c r="Z179" s="2015"/>
      <c r="AA179" s="3"/>
      <c r="AE179" s="2461">
        <f t="shared" ref="AE179:AE203" si="17">SUMIF(D179,"=П",AB179)</f>
        <v>0</v>
      </c>
      <c r="AF179" s="68"/>
    </row>
    <row r="180" spans="1:32" ht="15.5" x14ac:dyDescent="0.35">
      <c r="A180" s="525"/>
      <c r="B180" s="293">
        <v>11379</v>
      </c>
      <c r="C180" s="293"/>
      <c r="D180" s="348"/>
      <c r="E180" s="2009" t="s">
        <v>1810</v>
      </c>
      <c r="F180" s="166" t="s">
        <v>827</v>
      </c>
      <c r="G180" s="41">
        <v>5</v>
      </c>
      <c r="H180" s="2289">
        <v>6</v>
      </c>
      <c r="I180" s="518"/>
      <c r="J180" s="518"/>
      <c r="K180" s="518"/>
      <c r="L180" s="518"/>
      <c r="M180" s="518"/>
      <c r="N180" s="2017"/>
      <c r="O180" s="2022"/>
      <c r="P180" s="524"/>
      <c r="Q180" s="2018">
        <f>2.3-1.8</f>
        <v>0.49999999999999978</v>
      </c>
      <c r="R180" s="2019"/>
      <c r="S180" s="42"/>
      <c r="T180" s="281"/>
      <c r="U180" s="42"/>
      <c r="V180" s="42"/>
      <c r="W180" s="42"/>
      <c r="X180" s="279"/>
      <c r="Y180" s="42"/>
      <c r="Z180" s="2015"/>
      <c r="AA180" s="3"/>
      <c r="AE180" s="2461">
        <f t="shared" si="17"/>
        <v>0</v>
      </c>
      <c r="AF180" s="68"/>
    </row>
    <row r="181" spans="1:32" ht="30" x14ac:dyDescent="0.35">
      <c r="A181" s="295">
        <v>82</v>
      </c>
      <c r="B181" s="293">
        <v>11380</v>
      </c>
      <c r="C181" s="293"/>
      <c r="D181" s="348" t="s">
        <v>1544</v>
      </c>
      <c r="E181" s="516" t="s">
        <v>7179</v>
      </c>
      <c r="F181" s="2290" t="s">
        <v>664</v>
      </c>
      <c r="G181" s="2289">
        <v>5</v>
      </c>
      <c r="H181" s="40">
        <v>6</v>
      </c>
      <c r="I181" s="518">
        <f>J181+K181+L181</f>
        <v>2.2999999999999998</v>
      </c>
      <c r="J181" s="518">
        <f>SUM(M181:R181)</f>
        <v>2.2999999999999998</v>
      </c>
      <c r="K181" s="518"/>
      <c r="L181" s="518"/>
      <c r="M181" s="518"/>
      <c r="N181" s="2011"/>
      <c r="O181" s="2012"/>
      <c r="P181" s="518"/>
      <c r="Q181" s="2016"/>
      <c r="R181" s="2014">
        <v>2.2999999999999998</v>
      </c>
      <c r="S181" s="39"/>
      <c r="T181" s="279"/>
      <c r="U181" s="39"/>
      <c r="V181" s="39"/>
      <c r="W181" s="42">
        <v>1</v>
      </c>
      <c r="X181" s="279">
        <v>10.1</v>
      </c>
      <c r="Y181" s="42"/>
      <c r="Z181" s="2015"/>
      <c r="AA181" s="3"/>
      <c r="AB181">
        <v>1</v>
      </c>
      <c r="AE181" s="2461">
        <f t="shared" si="17"/>
        <v>0</v>
      </c>
      <c r="AF181" s="68"/>
    </row>
    <row r="182" spans="1:32" ht="45.5" x14ac:dyDescent="0.35">
      <c r="A182" s="295"/>
      <c r="B182" s="999" t="s">
        <v>2921</v>
      </c>
      <c r="C182" s="999"/>
      <c r="D182" s="348"/>
      <c r="E182" s="1596" t="s">
        <v>3379</v>
      </c>
      <c r="F182" s="2289"/>
      <c r="G182" s="41"/>
      <c r="H182" s="41"/>
      <c r="I182" s="518"/>
      <c r="J182" s="518"/>
      <c r="K182" s="576"/>
      <c r="L182" s="576"/>
      <c r="M182" s="576"/>
      <c r="N182" s="576"/>
      <c r="O182" s="576"/>
      <c r="P182" s="576"/>
      <c r="Q182" s="1813"/>
      <c r="R182" s="2014"/>
      <c r="S182" s="93"/>
      <c r="T182" s="2021"/>
      <c r="U182" s="93"/>
      <c r="V182" s="93"/>
      <c r="W182" s="93"/>
      <c r="X182" s="2021"/>
      <c r="Y182" s="93"/>
      <c r="Z182" s="2024"/>
      <c r="AA182" s="3"/>
      <c r="AE182" s="2461">
        <f t="shared" si="17"/>
        <v>0</v>
      </c>
      <c r="AF182" s="68"/>
    </row>
    <row r="183" spans="1:32" ht="45" x14ac:dyDescent="0.35">
      <c r="A183" s="295">
        <v>83</v>
      </c>
      <c r="B183" s="999" t="s">
        <v>2921</v>
      </c>
      <c r="C183" s="999"/>
      <c r="D183" s="2472" t="s">
        <v>6193</v>
      </c>
      <c r="E183" s="1999" t="s">
        <v>9383</v>
      </c>
      <c r="F183" s="2289">
        <v>4</v>
      </c>
      <c r="G183" s="41">
        <v>4</v>
      </c>
      <c r="H183" s="2289">
        <v>6</v>
      </c>
      <c r="I183" s="518">
        <f>J183+K183+L183</f>
        <v>8.14</v>
      </c>
      <c r="J183" s="518">
        <f>SUM(M183:R183)</f>
        <v>8.14</v>
      </c>
      <c r="K183" s="518"/>
      <c r="L183" s="518"/>
      <c r="M183" s="518"/>
      <c r="N183" s="2011">
        <v>8.14</v>
      </c>
      <c r="O183" s="2012"/>
      <c r="P183" s="518"/>
      <c r="Q183" s="2016"/>
      <c r="R183" s="2014"/>
      <c r="S183" s="39">
        <v>1</v>
      </c>
      <c r="T183" s="279">
        <v>6.3</v>
      </c>
      <c r="U183" s="39"/>
      <c r="V183" s="39"/>
      <c r="W183" s="42">
        <v>14</v>
      </c>
      <c r="X183" s="279">
        <v>172.95</v>
      </c>
      <c r="Y183" s="42">
        <v>7</v>
      </c>
      <c r="Z183" s="2015">
        <v>70</v>
      </c>
      <c r="AA183" s="3"/>
      <c r="AB183">
        <v>1</v>
      </c>
      <c r="AE183" s="2461">
        <f t="shared" si="17"/>
        <v>0</v>
      </c>
      <c r="AF183" s="68"/>
    </row>
    <row r="184" spans="1:32" ht="60" x14ac:dyDescent="0.35">
      <c r="A184" s="295">
        <v>84</v>
      </c>
      <c r="B184" s="999" t="s">
        <v>2921</v>
      </c>
      <c r="C184" s="999"/>
      <c r="D184" s="2472" t="s">
        <v>6194</v>
      </c>
      <c r="E184" s="516" t="s">
        <v>9384</v>
      </c>
      <c r="F184" s="2289"/>
      <c r="G184" s="41" t="s">
        <v>191</v>
      </c>
      <c r="H184" s="2289" t="s">
        <v>191</v>
      </c>
      <c r="I184" s="518">
        <f>J184+K184+L184</f>
        <v>2.02</v>
      </c>
      <c r="J184" s="518">
        <f>SUM(M184:R184)</f>
        <v>2.02</v>
      </c>
      <c r="K184" s="518"/>
      <c r="L184" s="518"/>
      <c r="M184" s="576"/>
      <c r="N184" s="2011">
        <f>SUM(N185:N186)</f>
        <v>1.4950000000000001</v>
      </c>
      <c r="O184" s="2012"/>
      <c r="P184" s="518"/>
      <c r="Q184" s="2013">
        <f>SUM(Q185:Q186)</f>
        <v>0.52499999999999991</v>
      </c>
      <c r="R184" s="2014"/>
      <c r="S184" s="39">
        <v>1</v>
      </c>
      <c r="T184" s="279">
        <v>9.5</v>
      </c>
      <c r="U184" s="93"/>
      <c r="V184" s="93"/>
      <c r="W184" s="42">
        <v>1</v>
      </c>
      <c r="X184" s="279">
        <v>15.2</v>
      </c>
      <c r="Y184" s="42"/>
      <c r="Z184" s="2015"/>
      <c r="AA184" s="3"/>
      <c r="AB184">
        <v>1</v>
      </c>
      <c r="AE184" s="2461">
        <f t="shared" si="17"/>
        <v>0</v>
      </c>
      <c r="AF184" s="68"/>
    </row>
    <row r="185" spans="1:32" ht="15.5" x14ac:dyDescent="0.35">
      <c r="A185" s="525"/>
      <c r="B185" s="999" t="s">
        <v>2921</v>
      </c>
      <c r="C185" s="999"/>
      <c r="D185" s="348"/>
      <c r="E185" s="519" t="s">
        <v>2286</v>
      </c>
      <c r="F185" s="2289">
        <v>5</v>
      </c>
      <c r="G185" s="41">
        <v>5</v>
      </c>
      <c r="H185" s="2289">
        <v>6</v>
      </c>
      <c r="I185" s="518"/>
      <c r="J185" s="518"/>
      <c r="K185" s="518"/>
      <c r="L185" s="518"/>
      <c r="M185" s="518"/>
      <c r="N185" s="2017">
        <v>1.4950000000000001</v>
      </c>
      <c r="O185" s="2022"/>
      <c r="P185" s="524"/>
      <c r="Q185" s="2018"/>
      <c r="R185" s="2014"/>
      <c r="S185" s="93"/>
      <c r="T185" s="2021"/>
      <c r="U185" s="93"/>
      <c r="V185" s="93"/>
      <c r="W185" s="93"/>
      <c r="X185" s="2021"/>
      <c r="Y185" s="93"/>
      <c r="Z185" s="2024"/>
      <c r="AA185" s="3" t="s">
        <v>177</v>
      </c>
      <c r="AE185" s="2461">
        <f t="shared" si="17"/>
        <v>0</v>
      </c>
      <c r="AF185" s="68"/>
    </row>
    <row r="186" spans="1:32" ht="15.5" x14ac:dyDescent="0.35">
      <c r="A186" s="525"/>
      <c r="B186" s="999" t="s">
        <v>2921</v>
      </c>
      <c r="C186" s="999"/>
      <c r="D186" s="348"/>
      <c r="E186" s="2004" t="s">
        <v>2864</v>
      </c>
      <c r="F186" s="2289">
        <v>5</v>
      </c>
      <c r="G186" s="41">
        <v>5</v>
      </c>
      <c r="H186" s="2289">
        <v>6</v>
      </c>
      <c r="I186" s="518"/>
      <c r="J186" s="518"/>
      <c r="K186" s="518"/>
      <c r="L186" s="518"/>
      <c r="M186" s="518"/>
      <c r="N186" s="2017"/>
      <c r="O186" s="2022"/>
      <c r="P186" s="524"/>
      <c r="Q186" s="2018">
        <f>2.02-1.495</f>
        <v>0.52499999999999991</v>
      </c>
      <c r="R186" s="2019"/>
      <c r="S186" s="93"/>
      <c r="T186" s="2021"/>
      <c r="U186" s="93"/>
      <c r="V186" s="93"/>
      <c r="W186" s="93"/>
      <c r="X186" s="2021"/>
      <c r="Y186" s="93"/>
      <c r="Z186" s="2024"/>
      <c r="AA186" s="3"/>
      <c r="AE186" s="2461">
        <f t="shared" si="17"/>
        <v>0</v>
      </c>
      <c r="AF186" s="68"/>
    </row>
    <row r="187" spans="1:32" ht="75" x14ac:dyDescent="0.35">
      <c r="A187" s="441">
        <v>85</v>
      </c>
      <c r="B187" s="293" t="s">
        <v>2921</v>
      </c>
      <c r="C187" s="358" t="s">
        <v>1656</v>
      </c>
      <c r="D187" s="2472" t="s">
        <v>6195</v>
      </c>
      <c r="E187" s="1999" t="s">
        <v>9385</v>
      </c>
      <c r="F187" s="2289" t="s">
        <v>664</v>
      </c>
      <c r="G187" s="2289">
        <v>5</v>
      </c>
      <c r="H187" s="40">
        <v>6</v>
      </c>
      <c r="I187" s="297">
        <f>J187+K187+L187</f>
        <v>0.3</v>
      </c>
      <c r="J187" s="297">
        <f>SUM(M187:R187)</f>
        <v>0.3</v>
      </c>
      <c r="K187" s="518"/>
      <c r="L187" s="518"/>
      <c r="M187" s="518"/>
      <c r="N187" s="2011"/>
      <c r="O187" s="2022"/>
      <c r="P187" s="524"/>
      <c r="Q187" s="2018"/>
      <c r="R187" s="2014">
        <v>0.3</v>
      </c>
      <c r="S187" s="42"/>
      <c r="T187" s="281"/>
      <c r="U187" s="42"/>
      <c r="V187" s="42"/>
      <c r="W187" s="42"/>
      <c r="X187" s="279"/>
      <c r="Y187" s="42"/>
      <c r="Z187" s="2015"/>
      <c r="AA187" s="3"/>
      <c r="AB187">
        <v>1</v>
      </c>
      <c r="AE187" s="2461">
        <f t="shared" si="17"/>
        <v>0</v>
      </c>
      <c r="AF187" s="68"/>
    </row>
    <row r="188" spans="1:32" ht="60" x14ac:dyDescent="0.35">
      <c r="A188" s="295">
        <v>86</v>
      </c>
      <c r="B188" s="999" t="s">
        <v>2921</v>
      </c>
      <c r="C188" s="999"/>
      <c r="D188" s="2472" t="s">
        <v>6196</v>
      </c>
      <c r="E188" s="516" t="s">
        <v>9386</v>
      </c>
      <c r="F188" s="2290"/>
      <c r="G188" s="41" t="s">
        <v>191</v>
      </c>
      <c r="H188" s="2289" t="s">
        <v>191</v>
      </c>
      <c r="I188" s="518">
        <f>J188+K188+L188</f>
        <v>1.83</v>
      </c>
      <c r="J188" s="518">
        <f>SUM(M188:R188)</f>
        <v>1.83</v>
      </c>
      <c r="K188" s="518"/>
      <c r="L188" s="518"/>
      <c r="M188" s="576"/>
      <c r="N188" s="576"/>
      <c r="O188" s="576"/>
      <c r="P188" s="576"/>
      <c r="Q188" s="2016">
        <f>SUM(Q189:Q190)</f>
        <v>1.1299999999999999</v>
      </c>
      <c r="R188" s="2026">
        <f>SUM(R189:R190)</f>
        <v>0.70000000000000018</v>
      </c>
      <c r="S188" s="93"/>
      <c r="T188" s="2021"/>
      <c r="U188" s="93"/>
      <c r="V188" s="93"/>
      <c r="W188" s="42">
        <v>1</v>
      </c>
      <c r="X188" s="279">
        <v>15.6</v>
      </c>
      <c r="Y188" s="42"/>
      <c r="Z188" s="2015"/>
      <c r="AA188" s="3"/>
      <c r="AB188">
        <v>1</v>
      </c>
      <c r="AE188" s="2461">
        <f t="shared" si="17"/>
        <v>0</v>
      </c>
      <c r="AF188" s="68"/>
    </row>
    <row r="189" spans="1:32" ht="15.5" x14ac:dyDescent="0.35">
      <c r="A189" s="525"/>
      <c r="B189" s="999" t="s">
        <v>2921</v>
      </c>
      <c r="C189" s="999"/>
      <c r="D189" s="348"/>
      <c r="E189" s="2004" t="s">
        <v>2285</v>
      </c>
      <c r="F189" s="166" t="s">
        <v>1490</v>
      </c>
      <c r="G189" s="41">
        <v>5</v>
      </c>
      <c r="H189" s="2289">
        <v>6</v>
      </c>
      <c r="I189" s="518"/>
      <c r="J189" s="518"/>
      <c r="K189" s="518"/>
      <c r="L189" s="518"/>
      <c r="M189" s="518"/>
      <c r="N189" s="2017"/>
      <c r="O189" s="2022"/>
      <c r="P189" s="576"/>
      <c r="Q189" s="2018">
        <v>1.1299999999999999</v>
      </c>
      <c r="R189" s="2014"/>
      <c r="S189" s="93"/>
      <c r="T189" s="2021"/>
      <c r="U189" s="93"/>
      <c r="V189" s="93"/>
      <c r="W189" s="93"/>
      <c r="X189" s="2021"/>
      <c r="Y189" s="93"/>
      <c r="Z189" s="2024"/>
      <c r="AA189" s="3"/>
      <c r="AE189" s="2461">
        <f t="shared" si="17"/>
        <v>0</v>
      </c>
      <c r="AF189" s="68"/>
    </row>
    <row r="190" spans="1:32" ht="15.5" x14ac:dyDescent="0.35">
      <c r="A190" s="525"/>
      <c r="B190" s="999" t="s">
        <v>2921</v>
      </c>
      <c r="C190" s="999"/>
      <c r="D190" s="348"/>
      <c r="E190" s="2005" t="s">
        <v>694</v>
      </c>
      <c r="F190" s="2290" t="s">
        <v>664</v>
      </c>
      <c r="G190" s="41">
        <v>5</v>
      </c>
      <c r="H190" s="40">
        <v>6</v>
      </c>
      <c r="I190" s="518"/>
      <c r="J190" s="518"/>
      <c r="K190" s="518"/>
      <c r="L190" s="518"/>
      <c r="M190" s="518"/>
      <c r="N190" s="2017"/>
      <c r="O190" s="2022"/>
      <c r="P190" s="576"/>
      <c r="Q190" s="1813"/>
      <c r="R190" s="2019">
        <f>1.83-1.13</f>
        <v>0.70000000000000018</v>
      </c>
      <c r="S190" s="93"/>
      <c r="T190" s="2021"/>
      <c r="U190" s="93"/>
      <c r="V190" s="93"/>
      <c r="W190" s="93"/>
      <c r="X190" s="2021"/>
      <c r="Y190" s="93"/>
      <c r="Z190" s="2024"/>
      <c r="AA190" s="3" t="s">
        <v>176</v>
      </c>
      <c r="AE190" s="2461">
        <f t="shared" si="17"/>
        <v>0</v>
      </c>
      <c r="AF190" s="68"/>
    </row>
    <row r="191" spans="1:32" ht="75" x14ac:dyDescent="0.35">
      <c r="A191" s="441">
        <v>87</v>
      </c>
      <c r="B191" s="293" t="s">
        <v>2921</v>
      </c>
      <c r="C191" s="358" t="s">
        <v>1656</v>
      </c>
      <c r="D191" s="2472" t="s">
        <v>6197</v>
      </c>
      <c r="E191" s="1999" t="s">
        <v>9387</v>
      </c>
      <c r="F191" s="2289" t="s">
        <v>664</v>
      </c>
      <c r="G191" s="2289">
        <v>5</v>
      </c>
      <c r="H191" s="40">
        <v>6</v>
      </c>
      <c r="I191" s="297">
        <f>J191+K191+L191</f>
        <v>1.9</v>
      </c>
      <c r="J191" s="297">
        <f>SUM(M191:R191)</f>
        <v>1.9</v>
      </c>
      <c r="K191" s="518"/>
      <c r="L191" s="518"/>
      <c r="M191" s="518"/>
      <c r="N191" s="2017"/>
      <c r="O191" s="2022"/>
      <c r="P191" s="524"/>
      <c r="Q191" s="2018"/>
      <c r="R191" s="2014">
        <v>1.9</v>
      </c>
      <c r="S191" s="42"/>
      <c r="T191" s="281"/>
      <c r="U191" s="42"/>
      <c r="V191" s="42"/>
      <c r="W191" s="42"/>
      <c r="X191" s="279"/>
      <c r="Y191" s="42"/>
      <c r="Z191" s="2015"/>
      <c r="AA191" s="3"/>
      <c r="AB191">
        <v>1</v>
      </c>
      <c r="AE191" s="2461">
        <f t="shared" si="17"/>
        <v>0</v>
      </c>
      <c r="AF191" s="68"/>
    </row>
    <row r="192" spans="1:32" ht="60" x14ac:dyDescent="0.35">
      <c r="A192" s="295">
        <v>88</v>
      </c>
      <c r="B192" s="999" t="s">
        <v>2921</v>
      </c>
      <c r="C192" s="999"/>
      <c r="D192" s="2472" t="s">
        <v>6198</v>
      </c>
      <c r="E192" s="516" t="s">
        <v>11499</v>
      </c>
      <c r="F192" s="2290" t="s">
        <v>664</v>
      </c>
      <c r="G192" s="41">
        <v>5</v>
      </c>
      <c r="H192" s="40">
        <v>6</v>
      </c>
      <c r="I192" s="2897">
        <f>J192+K192+L192</f>
        <v>0.625</v>
      </c>
      <c r="J192" s="2897">
        <f>SUM(M192:R192)</f>
        <v>0.625</v>
      </c>
      <c r="K192" s="518"/>
      <c r="L192" s="518"/>
      <c r="M192" s="518"/>
      <c r="N192" s="2011"/>
      <c r="O192" s="2012"/>
      <c r="P192" s="518"/>
      <c r="Q192" s="2016"/>
      <c r="R192" s="2014">
        <v>0.625</v>
      </c>
      <c r="S192" s="39"/>
      <c r="T192" s="279"/>
      <c r="U192" s="39"/>
      <c r="V192" s="39"/>
      <c r="W192" s="42"/>
      <c r="X192" s="279"/>
      <c r="Y192" s="42"/>
      <c r="Z192" s="2015"/>
      <c r="AA192" s="3"/>
      <c r="AB192">
        <v>1</v>
      </c>
      <c r="AE192" s="2461">
        <f t="shared" si="17"/>
        <v>0</v>
      </c>
      <c r="AF192" s="68"/>
    </row>
    <row r="193" spans="1:32" ht="60" x14ac:dyDescent="0.35">
      <c r="A193" s="441">
        <v>89</v>
      </c>
      <c r="B193" s="999" t="s">
        <v>2921</v>
      </c>
      <c r="C193" s="999"/>
      <c r="D193" s="2472" t="s">
        <v>6199</v>
      </c>
      <c r="E193" s="516" t="s">
        <v>7992</v>
      </c>
      <c r="F193" s="2290" t="s">
        <v>664</v>
      </c>
      <c r="G193" s="41">
        <v>5</v>
      </c>
      <c r="H193" s="40">
        <v>6</v>
      </c>
      <c r="I193" s="518">
        <f>J193+K193+L193</f>
        <v>1</v>
      </c>
      <c r="J193" s="518">
        <f>SUM(M193:R193)</f>
        <v>1</v>
      </c>
      <c r="K193" s="518"/>
      <c r="L193" s="518"/>
      <c r="M193" s="518"/>
      <c r="N193" s="2011"/>
      <c r="O193" s="2012"/>
      <c r="P193" s="518"/>
      <c r="Q193" s="2016"/>
      <c r="R193" s="2014">
        <v>1</v>
      </c>
      <c r="S193" s="39"/>
      <c r="T193" s="279"/>
      <c r="U193" s="39"/>
      <c r="V193" s="39"/>
      <c r="W193" s="42"/>
      <c r="X193" s="279"/>
      <c r="Y193" s="42"/>
      <c r="Z193" s="2015"/>
      <c r="AA193" s="3"/>
      <c r="AB193">
        <v>1</v>
      </c>
      <c r="AE193" s="2461">
        <f t="shared" si="17"/>
        <v>0</v>
      </c>
      <c r="AF193" s="68"/>
    </row>
    <row r="194" spans="1:32" ht="45" x14ac:dyDescent="0.35">
      <c r="A194" s="295">
        <v>90</v>
      </c>
      <c r="B194" s="999" t="s">
        <v>2921</v>
      </c>
      <c r="C194" s="999"/>
      <c r="D194" s="2472" t="s">
        <v>6200</v>
      </c>
      <c r="E194" s="1999" t="s">
        <v>7993</v>
      </c>
      <c r="F194" s="2289"/>
      <c r="G194" s="41" t="s">
        <v>191</v>
      </c>
      <c r="H194" s="2289" t="s">
        <v>191</v>
      </c>
      <c r="I194" s="518">
        <f>J194+K194+L194</f>
        <v>1.76</v>
      </c>
      <c r="J194" s="518">
        <f>SUM(M194:R194)</f>
        <v>1.76</v>
      </c>
      <c r="K194" s="518"/>
      <c r="L194" s="518"/>
      <c r="M194" s="518"/>
      <c r="N194" s="2011">
        <f>SUM(N195:N197)</f>
        <v>8.9999999999999941E-2</v>
      </c>
      <c r="O194" s="2012"/>
      <c r="P194" s="518"/>
      <c r="Q194" s="2016">
        <f>SUM(Q195:Q197)</f>
        <v>1.6700000000000002</v>
      </c>
      <c r="R194" s="2014"/>
      <c r="S194" s="39"/>
      <c r="T194" s="279"/>
      <c r="U194" s="39"/>
      <c r="V194" s="39"/>
      <c r="W194" s="42">
        <v>4</v>
      </c>
      <c r="X194" s="279">
        <v>59.1</v>
      </c>
      <c r="Y194" s="42"/>
      <c r="Z194" s="2015"/>
      <c r="AA194" s="3"/>
      <c r="AB194">
        <v>1</v>
      </c>
      <c r="AE194" s="2461">
        <f t="shared" si="17"/>
        <v>0</v>
      </c>
      <c r="AF194" s="68"/>
    </row>
    <row r="195" spans="1:32" ht="15.5" x14ac:dyDescent="0.35">
      <c r="A195" s="295"/>
      <c r="B195" s="999" t="s">
        <v>2921</v>
      </c>
      <c r="C195" s="999"/>
      <c r="D195" s="348"/>
      <c r="E195" s="519" t="s">
        <v>363</v>
      </c>
      <c r="F195" s="2289">
        <v>5</v>
      </c>
      <c r="G195" s="41">
        <v>5</v>
      </c>
      <c r="H195" s="2289">
        <v>6</v>
      </c>
      <c r="I195" s="524"/>
      <c r="J195" s="524"/>
      <c r="K195" s="524"/>
      <c r="L195" s="524"/>
      <c r="M195" s="524"/>
      <c r="N195" s="2017">
        <v>3.1E-2</v>
      </c>
      <c r="O195" s="2022"/>
      <c r="P195" s="524"/>
      <c r="Q195" s="2018"/>
      <c r="R195" s="2014"/>
      <c r="S195" s="39"/>
      <c r="T195" s="279"/>
      <c r="U195" s="39"/>
      <c r="V195" s="39"/>
      <c r="W195" s="42"/>
      <c r="X195" s="279"/>
      <c r="Y195" s="42"/>
      <c r="Z195" s="2015"/>
      <c r="AA195" s="3"/>
      <c r="AE195" s="2461">
        <f t="shared" si="17"/>
        <v>0</v>
      </c>
      <c r="AF195" s="68"/>
    </row>
    <row r="196" spans="1:32" ht="15.5" x14ac:dyDescent="0.35">
      <c r="A196" s="295"/>
      <c r="B196" s="999" t="s">
        <v>2921</v>
      </c>
      <c r="C196" s="999"/>
      <c r="D196" s="348"/>
      <c r="E196" s="2004" t="s">
        <v>3446</v>
      </c>
      <c r="F196" s="2289">
        <v>5</v>
      </c>
      <c r="G196" s="41">
        <v>5</v>
      </c>
      <c r="H196" s="2289">
        <v>6</v>
      </c>
      <c r="I196" s="524"/>
      <c r="J196" s="524"/>
      <c r="K196" s="524"/>
      <c r="L196" s="524"/>
      <c r="M196" s="524"/>
      <c r="N196" s="2017"/>
      <c r="O196" s="2022"/>
      <c r="P196" s="524"/>
      <c r="Q196" s="2018">
        <f>1.701-0.031</f>
        <v>1.6700000000000002</v>
      </c>
      <c r="R196" s="2014"/>
      <c r="S196" s="39"/>
      <c r="T196" s="279"/>
      <c r="U196" s="39"/>
      <c r="V196" s="39"/>
      <c r="W196" s="42"/>
      <c r="X196" s="279"/>
      <c r="Y196" s="42"/>
      <c r="Z196" s="2015"/>
      <c r="AA196" s="3"/>
      <c r="AE196" s="2461">
        <f t="shared" si="17"/>
        <v>0</v>
      </c>
      <c r="AF196" s="68"/>
    </row>
    <row r="197" spans="1:32" ht="15.5" x14ac:dyDescent="0.35">
      <c r="A197" s="295"/>
      <c r="B197" s="999" t="s">
        <v>2921</v>
      </c>
      <c r="C197" s="999"/>
      <c r="D197" s="348"/>
      <c r="E197" s="519" t="s">
        <v>3445</v>
      </c>
      <c r="F197" s="2289">
        <v>5</v>
      </c>
      <c r="G197" s="41">
        <v>5</v>
      </c>
      <c r="H197" s="2289">
        <v>6</v>
      </c>
      <c r="I197" s="524"/>
      <c r="J197" s="524"/>
      <c r="K197" s="524"/>
      <c r="L197" s="524"/>
      <c r="M197" s="524"/>
      <c r="N197" s="2017">
        <f>1.76-1.701</f>
        <v>5.8999999999999941E-2</v>
      </c>
      <c r="O197" s="2022"/>
      <c r="P197" s="524"/>
      <c r="Q197" s="2018"/>
      <c r="R197" s="2014"/>
      <c r="S197" s="39"/>
      <c r="T197" s="279"/>
      <c r="U197" s="39"/>
      <c r="V197" s="39"/>
      <c r="W197" s="42"/>
      <c r="X197" s="279"/>
      <c r="Y197" s="42"/>
      <c r="Z197" s="2015"/>
      <c r="AA197" s="3"/>
      <c r="AE197" s="2461">
        <f t="shared" si="17"/>
        <v>0</v>
      </c>
      <c r="AF197" s="68"/>
    </row>
    <row r="198" spans="1:32" ht="45" x14ac:dyDescent="0.35">
      <c r="A198" s="441">
        <v>91</v>
      </c>
      <c r="B198" s="999" t="s">
        <v>2921</v>
      </c>
      <c r="C198" s="999"/>
      <c r="D198" s="2472" t="s">
        <v>6201</v>
      </c>
      <c r="E198" s="516" t="s">
        <v>7994</v>
      </c>
      <c r="F198" s="166"/>
      <c r="G198" s="41" t="s">
        <v>191</v>
      </c>
      <c r="H198" s="2289" t="s">
        <v>191</v>
      </c>
      <c r="I198" s="518">
        <v>1.18</v>
      </c>
      <c r="J198" s="518">
        <f>SUM(M198:R198)</f>
        <v>1.18</v>
      </c>
      <c r="K198" s="518"/>
      <c r="L198" s="518"/>
      <c r="M198" s="518"/>
      <c r="N198" s="2011"/>
      <c r="O198" s="2012"/>
      <c r="P198" s="518"/>
      <c r="Q198" s="2016">
        <f>SUM(Q199:Q200)</f>
        <v>1</v>
      </c>
      <c r="R198" s="2026">
        <f>SUM(R199:R200)</f>
        <v>0.17999999999999994</v>
      </c>
      <c r="S198" s="39"/>
      <c r="T198" s="279"/>
      <c r="U198" s="39"/>
      <c r="V198" s="39"/>
      <c r="W198" s="42">
        <v>3</v>
      </c>
      <c r="X198" s="279">
        <v>53.9</v>
      </c>
      <c r="Y198" s="42"/>
      <c r="Z198" s="2015"/>
      <c r="AA198" s="3"/>
      <c r="AB198">
        <v>1</v>
      </c>
      <c r="AE198" s="2461">
        <f t="shared" si="17"/>
        <v>0</v>
      </c>
      <c r="AF198" s="68"/>
    </row>
    <row r="199" spans="1:32" ht="15.5" x14ac:dyDescent="0.35">
      <c r="A199" s="295"/>
      <c r="B199" s="999" t="s">
        <v>2921</v>
      </c>
      <c r="C199" s="999"/>
      <c r="D199" s="348"/>
      <c r="E199" s="2004" t="s">
        <v>2628</v>
      </c>
      <c r="F199" s="166" t="s">
        <v>1490</v>
      </c>
      <c r="G199" s="41">
        <v>5</v>
      </c>
      <c r="H199" s="2289">
        <v>6</v>
      </c>
      <c r="I199" s="518"/>
      <c r="J199" s="518"/>
      <c r="K199" s="518"/>
      <c r="L199" s="518"/>
      <c r="M199" s="518"/>
      <c r="N199" s="2011"/>
      <c r="O199" s="2012"/>
      <c r="P199" s="518"/>
      <c r="Q199" s="2018">
        <v>1</v>
      </c>
      <c r="R199" s="2034"/>
      <c r="S199" s="39"/>
      <c r="T199" s="279"/>
      <c r="U199" s="39"/>
      <c r="V199" s="39"/>
      <c r="W199" s="42"/>
      <c r="X199" s="279"/>
      <c r="Y199" s="42"/>
      <c r="Z199" s="2015"/>
      <c r="AA199" s="3"/>
      <c r="AE199" s="2461">
        <f t="shared" si="17"/>
        <v>0</v>
      </c>
      <c r="AF199" s="68"/>
    </row>
    <row r="200" spans="1:32" ht="15.5" x14ac:dyDescent="0.35">
      <c r="A200" s="295"/>
      <c r="B200" s="999" t="s">
        <v>2921</v>
      </c>
      <c r="C200" s="999"/>
      <c r="D200" s="348"/>
      <c r="E200" s="2005" t="s">
        <v>730</v>
      </c>
      <c r="F200" s="166" t="s">
        <v>1490</v>
      </c>
      <c r="G200" s="41">
        <v>5</v>
      </c>
      <c r="H200" s="40">
        <v>6</v>
      </c>
      <c r="I200" s="518"/>
      <c r="J200" s="518"/>
      <c r="K200" s="518"/>
      <c r="L200" s="518"/>
      <c r="M200" s="518"/>
      <c r="N200" s="2011"/>
      <c r="O200" s="2012"/>
      <c r="P200" s="518"/>
      <c r="Q200" s="2018"/>
      <c r="R200" s="2034">
        <f>1.18-1</f>
        <v>0.17999999999999994</v>
      </c>
      <c r="S200" s="39"/>
      <c r="T200" s="279"/>
      <c r="U200" s="39"/>
      <c r="V200" s="39"/>
      <c r="W200" s="42"/>
      <c r="X200" s="279"/>
      <c r="Y200" s="42"/>
      <c r="Z200" s="2015"/>
      <c r="AA200" s="3"/>
      <c r="AE200" s="2461">
        <f t="shared" si="17"/>
        <v>0</v>
      </c>
      <c r="AF200" s="68"/>
    </row>
    <row r="201" spans="1:32" ht="60" x14ac:dyDescent="0.35">
      <c r="A201" s="441">
        <v>92</v>
      </c>
      <c r="B201" s="999" t="s">
        <v>2921</v>
      </c>
      <c r="C201" s="999" t="s">
        <v>1656</v>
      </c>
      <c r="D201" s="2472" t="s">
        <v>6202</v>
      </c>
      <c r="E201" s="1999" t="s">
        <v>8971</v>
      </c>
      <c r="F201" s="2289" t="s">
        <v>664</v>
      </c>
      <c r="G201" s="41">
        <v>5</v>
      </c>
      <c r="H201" s="40">
        <v>6</v>
      </c>
      <c r="I201" s="297">
        <f>J201+K201+L201</f>
        <v>0.35</v>
      </c>
      <c r="J201" s="297">
        <f>SUM(M201:R201)</f>
        <v>0.35</v>
      </c>
      <c r="K201" s="576"/>
      <c r="L201" s="576"/>
      <c r="M201" s="518"/>
      <c r="N201" s="2011"/>
      <c r="O201" s="2012"/>
      <c r="P201" s="518"/>
      <c r="Q201" s="2013"/>
      <c r="R201" s="2014">
        <v>0.35</v>
      </c>
      <c r="S201" s="39"/>
      <c r="T201" s="279"/>
      <c r="U201" s="39"/>
      <c r="V201" s="39"/>
      <c r="W201" s="42"/>
      <c r="X201" s="279"/>
      <c r="Y201" s="42"/>
      <c r="Z201" s="2015"/>
      <c r="AA201" s="3"/>
      <c r="AB201">
        <v>1</v>
      </c>
      <c r="AE201" s="2461">
        <f t="shared" si="17"/>
        <v>0</v>
      </c>
      <c r="AF201" s="68"/>
    </row>
    <row r="202" spans="1:32" ht="45" x14ac:dyDescent="0.35">
      <c r="A202" s="295">
        <v>93</v>
      </c>
      <c r="B202" s="999" t="s">
        <v>2921</v>
      </c>
      <c r="C202" s="999"/>
      <c r="D202" s="2472" t="s">
        <v>6203</v>
      </c>
      <c r="E202" s="516" t="s">
        <v>7995</v>
      </c>
      <c r="F202" s="2289"/>
      <c r="G202" s="41" t="s">
        <v>191</v>
      </c>
      <c r="H202" s="2289" t="s">
        <v>191</v>
      </c>
      <c r="I202" s="518">
        <f>J202+K202+L202</f>
        <v>8.27</v>
      </c>
      <c r="J202" s="518">
        <f>SUM(M202:R202)</f>
        <v>8.27</v>
      </c>
      <c r="K202" s="518"/>
      <c r="L202" s="518"/>
      <c r="M202" s="518"/>
      <c r="N202" s="2897">
        <f>SUM(N203:N206)</f>
        <v>3.65</v>
      </c>
      <c r="O202" s="2012"/>
      <c r="P202" s="518"/>
      <c r="Q202" s="2013">
        <f>SUM(Q203:Q206)</f>
        <v>4.6199999999999992</v>
      </c>
      <c r="R202" s="2014"/>
      <c r="S202" s="39"/>
      <c r="T202" s="279"/>
      <c r="U202" s="39"/>
      <c r="V202" s="39"/>
      <c r="W202" s="42">
        <v>23</v>
      </c>
      <c r="X202" s="279">
        <v>284.60000000000002</v>
      </c>
      <c r="Y202" s="42">
        <v>6</v>
      </c>
      <c r="Z202" s="2015">
        <v>60</v>
      </c>
      <c r="AA202" s="3"/>
      <c r="AB202">
        <v>1</v>
      </c>
      <c r="AE202" s="2461">
        <f t="shared" si="17"/>
        <v>0</v>
      </c>
      <c r="AF202" s="68"/>
    </row>
    <row r="203" spans="1:32" ht="15.5" x14ac:dyDescent="0.35">
      <c r="A203" s="295"/>
      <c r="B203" s="999" t="s">
        <v>2921</v>
      </c>
      <c r="C203" s="999"/>
      <c r="D203" s="348"/>
      <c r="E203" s="523" t="s">
        <v>11049</v>
      </c>
      <c r="F203" s="2289">
        <v>5</v>
      </c>
      <c r="G203" s="41">
        <v>5</v>
      </c>
      <c r="H203" s="2289">
        <v>6</v>
      </c>
      <c r="I203" s="518"/>
      <c r="J203" s="518"/>
      <c r="K203" s="518"/>
      <c r="L203" s="518"/>
      <c r="M203" s="518"/>
      <c r="N203" s="2017">
        <v>3.65</v>
      </c>
      <c r="O203" s="2022"/>
      <c r="P203" s="524"/>
      <c r="Q203" s="2018"/>
      <c r="R203" s="2014"/>
      <c r="S203" s="42"/>
      <c r="T203" s="281"/>
      <c r="U203" s="42"/>
      <c r="V203" s="42"/>
      <c r="W203" s="42"/>
      <c r="X203" s="279"/>
      <c r="Y203" s="42"/>
      <c r="Z203" s="2015"/>
      <c r="AA203" s="3"/>
      <c r="AE203" s="2461">
        <f t="shared" si="17"/>
        <v>0</v>
      </c>
      <c r="AF203" s="68"/>
    </row>
    <row r="204" spans="1:32" s="2714" customFormat="1" ht="15.5" x14ac:dyDescent="0.35">
      <c r="A204" s="295"/>
      <c r="B204" s="999"/>
      <c r="C204" s="999"/>
      <c r="D204" s="348"/>
      <c r="E204" s="2004" t="s">
        <v>11589</v>
      </c>
      <c r="F204" s="2289">
        <v>5</v>
      </c>
      <c r="G204" s="41">
        <v>5</v>
      </c>
      <c r="H204" s="2289">
        <v>6</v>
      </c>
      <c r="I204" s="518"/>
      <c r="J204" s="518"/>
      <c r="K204" s="518"/>
      <c r="L204" s="518"/>
      <c r="M204" s="518"/>
      <c r="N204" s="2017"/>
      <c r="O204" s="2022"/>
      <c r="P204" s="524"/>
      <c r="Q204" s="2018">
        <f>4.055-3.65</f>
        <v>0.4049999999999998</v>
      </c>
      <c r="R204" s="2014"/>
      <c r="S204" s="42"/>
      <c r="T204" s="281"/>
      <c r="U204" s="42"/>
      <c r="V204" s="42"/>
      <c r="W204" s="42"/>
      <c r="X204" s="279"/>
      <c r="Y204" s="42"/>
      <c r="Z204" s="2015"/>
      <c r="AA204" s="3"/>
      <c r="AE204" s="2461"/>
      <c r="AF204" s="68"/>
    </row>
    <row r="205" spans="1:32" s="2714" customFormat="1" ht="15.5" x14ac:dyDescent="0.35">
      <c r="A205" s="295"/>
      <c r="B205" s="999"/>
      <c r="C205" s="999"/>
      <c r="D205" s="348"/>
      <c r="E205" s="2920" t="s">
        <v>11050</v>
      </c>
      <c r="F205" s="2289">
        <v>5</v>
      </c>
      <c r="G205" s="41">
        <v>5</v>
      </c>
      <c r="H205" s="2289">
        <v>6</v>
      </c>
      <c r="I205" s="518"/>
      <c r="J205" s="518"/>
      <c r="K205" s="518"/>
      <c r="L205" s="518"/>
      <c r="M205" s="518"/>
      <c r="N205" s="2915">
        <v>0</v>
      </c>
      <c r="O205" s="2022"/>
      <c r="P205" s="524"/>
      <c r="Q205" s="2018">
        <f>4.42-4.055</f>
        <v>0.36500000000000021</v>
      </c>
      <c r="R205" s="2014"/>
      <c r="S205" s="42"/>
      <c r="T205" s="281"/>
      <c r="U205" s="42"/>
      <c r="V205" s="42"/>
      <c r="W205" s="42"/>
      <c r="X205" s="279"/>
      <c r="Y205" s="42"/>
      <c r="Z205" s="2015"/>
      <c r="AA205" s="3"/>
      <c r="AE205" s="2461"/>
      <c r="AF205" s="68"/>
    </row>
    <row r="206" spans="1:32" ht="15.5" x14ac:dyDescent="0.35">
      <c r="A206" s="295"/>
      <c r="B206" s="999" t="s">
        <v>2921</v>
      </c>
      <c r="C206" s="999"/>
      <c r="D206" s="348"/>
      <c r="E206" s="2004" t="s">
        <v>597</v>
      </c>
      <c r="F206" s="2289">
        <v>5</v>
      </c>
      <c r="G206" s="41">
        <v>5</v>
      </c>
      <c r="H206" s="2289">
        <v>6</v>
      </c>
      <c r="I206" s="518"/>
      <c r="J206" s="518"/>
      <c r="K206" s="518"/>
      <c r="L206" s="518"/>
      <c r="M206" s="518"/>
      <c r="N206" s="2017"/>
      <c r="O206" s="2022"/>
      <c r="P206" s="524"/>
      <c r="Q206" s="2018">
        <f>8.27-4.42</f>
        <v>3.8499999999999996</v>
      </c>
      <c r="R206" s="2014"/>
      <c r="S206" s="42"/>
      <c r="T206" s="281"/>
      <c r="U206" s="42"/>
      <c r="V206" s="42"/>
      <c r="W206" s="42"/>
      <c r="X206" s="279"/>
      <c r="Y206" s="42"/>
      <c r="Z206" s="2015"/>
      <c r="AA206" s="3"/>
      <c r="AE206" s="2461">
        <f t="shared" ref="AE206:AE240" si="18">SUMIF(D206,"=П",AB206)</f>
        <v>0</v>
      </c>
      <c r="AF206" s="68"/>
    </row>
    <row r="207" spans="1:32" ht="60" x14ac:dyDescent="0.35">
      <c r="A207" s="441">
        <v>94</v>
      </c>
      <c r="B207" s="999" t="s">
        <v>2921</v>
      </c>
      <c r="C207" s="999" t="s">
        <v>1656</v>
      </c>
      <c r="D207" s="2472" t="s">
        <v>6204</v>
      </c>
      <c r="E207" s="1999" t="s">
        <v>8972</v>
      </c>
      <c r="F207" s="2289" t="s">
        <v>664</v>
      </c>
      <c r="G207" s="2289">
        <v>5</v>
      </c>
      <c r="H207" s="40">
        <v>6</v>
      </c>
      <c r="I207" s="297">
        <f t="shared" ref="I207:I212" si="19">J207+K207+L207</f>
        <v>0.5</v>
      </c>
      <c r="J207" s="297">
        <f t="shared" ref="J207:J212" si="20">SUM(M207:R207)</f>
        <v>0.5</v>
      </c>
      <c r="K207" s="518"/>
      <c r="L207" s="518"/>
      <c r="M207" s="576"/>
      <c r="N207" s="576"/>
      <c r="O207" s="576"/>
      <c r="P207" s="576"/>
      <c r="Q207" s="2018"/>
      <c r="R207" s="2014">
        <v>0.5</v>
      </c>
      <c r="S207" s="93"/>
      <c r="T207" s="2021"/>
      <c r="U207" s="93"/>
      <c r="V207" s="93"/>
      <c r="W207" s="93"/>
      <c r="X207" s="2021"/>
      <c r="Y207" s="93"/>
      <c r="Z207" s="2024"/>
      <c r="AA207" s="3"/>
      <c r="AB207">
        <v>1</v>
      </c>
      <c r="AE207" s="2461">
        <f t="shared" si="18"/>
        <v>0</v>
      </c>
      <c r="AF207" s="68"/>
    </row>
    <row r="208" spans="1:32" ht="60" x14ac:dyDescent="0.35">
      <c r="A208" s="693">
        <v>95</v>
      </c>
      <c r="B208" s="365" t="s">
        <v>2921</v>
      </c>
      <c r="C208" s="365" t="s">
        <v>1656</v>
      </c>
      <c r="D208" s="2472" t="s">
        <v>6205</v>
      </c>
      <c r="E208" s="1786" t="s">
        <v>8973</v>
      </c>
      <c r="F208" s="2290" t="s">
        <v>664</v>
      </c>
      <c r="G208" s="93">
        <v>5</v>
      </c>
      <c r="H208" s="40">
        <v>6</v>
      </c>
      <c r="I208" s="702">
        <f t="shared" si="19"/>
        <v>0.5</v>
      </c>
      <c r="J208" s="702">
        <f t="shared" si="20"/>
        <v>0.5</v>
      </c>
      <c r="K208" s="2151"/>
      <c r="L208" s="2151"/>
      <c r="M208" s="2151"/>
      <c r="N208" s="2151"/>
      <c r="O208" s="2151"/>
      <c r="P208" s="2151"/>
      <c r="Q208" s="2151"/>
      <c r="R208" s="2152">
        <v>0.5</v>
      </c>
      <c r="S208" s="2153"/>
      <c r="T208" s="2153"/>
      <c r="U208" s="2153"/>
      <c r="V208" s="2153"/>
      <c r="W208" s="2153"/>
      <c r="X208" s="2153"/>
      <c r="Y208" s="2153"/>
      <c r="Z208" s="2153"/>
      <c r="AB208">
        <v>1</v>
      </c>
      <c r="AE208" s="2461">
        <f t="shared" si="18"/>
        <v>0</v>
      </c>
      <c r="AF208" s="68"/>
    </row>
    <row r="209" spans="1:32" ht="45" x14ac:dyDescent="0.35">
      <c r="A209" s="441">
        <v>96</v>
      </c>
      <c r="B209" s="999" t="s">
        <v>2921</v>
      </c>
      <c r="C209" s="999"/>
      <c r="D209" s="2472" t="s">
        <v>6206</v>
      </c>
      <c r="E209" s="516" t="s">
        <v>9388</v>
      </c>
      <c r="F209" s="2289">
        <v>5</v>
      </c>
      <c r="G209" s="41">
        <v>5</v>
      </c>
      <c r="H209" s="2289">
        <v>6</v>
      </c>
      <c r="I209" s="518">
        <f t="shared" si="19"/>
        <v>2.4</v>
      </c>
      <c r="J209" s="518">
        <f t="shared" si="20"/>
        <v>2.4</v>
      </c>
      <c r="K209" s="518"/>
      <c r="L209" s="518"/>
      <c r="M209" s="518"/>
      <c r="N209" s="2011">
        <v>2.4</v>
      </c>
      <c r="O209" s="2012"/>
      <c r="P209" s="518"/>
      <c r="Q209" s="2016"/>
      <c r="R209" s="2014"/>
      <c r="S209" s="39">
        <v>1</v>
      </c>
      <c r="T209" s="279">
        <v>9.6</v>
      </c>
      <c r="U209" s="39"/>
      <c r="V209" s="39"/>
      <c r="W209" s="42">
        <v>2</v>
      </c>
      <c r="X209" s="279">
        <v>20.3</v>
      </c>
      <c r="Y209" s="42"/>
      <c r="Z209" s="2015"/>
      <c r="AA209" s="3"/>
      <c r="AB209">
        <v>1</v>
      </c>
      <c r="AE209" s="2461">
        <f t="shared" si="18"/>
        <v>0</v>
      </c>
      <c r="AF209" s="68"/>
    </row>
    <row r="210" spans="1:32" ht="75" x14ac:dyDescent="0.35">
      <c r="A210" s="693">
        <v>97</v>
      </c>
      <c r="B210" s="999" t="s">
        <v>2921</v>
      </c>
      <c r="C210" s="999" t="s">
        <v>1656</v>
      </c>
      <c r="D210" s="2472" t="s">
        <v>6207</v>
      </c>
      <c r="E210" s="1999" t="s">
        <v>9389</v>
      </c>
      <c r="F210" s="2289">
        <v>4</v>
      </c>
      <c r="G210" s="2289">
        <v>5</v>
      </c>
      <c r="H210" s="2289">
        <v>6</v>
      </c>
      <c r="I210" s="297">
        <f t="shared" si="19"/>
        <v>1.2</v>
      </c>
      <c r="J210" s="297">
        <f t="shared" si="20"/>
        <v>1.2</v>
      </c>
      <c r="K210" s="518"/>
      <c r="L210" s="518"/>
      <c r="M210" s="576"/>
      <c r="N210" s="2011">
        <v>1.2</v>
      </c>
      <c r="O210" s="576"/>
      <c r="P210" s="576"/>
      <c r="Q210" s="1813"/>
      <c r="R210" s="2014"/>
      <c r="S210" s="93"/>
      <c r="T210" s="2021"/>
      <c r="U210" s="93"/>
      <c r="V210" s="93"/>
      <c r="W210" s="93"/>
      <c r="X210" s="2021"/>
      <c r="Y210" s="93"/>
      <c r="Z210" s="2024"/>
      <c r="AA210" s="3"/>
      <c r="AB210">
        <v>1</v>
      </c>
      <c r="AE210" s="2461">
        <f t="shared" si="18"/>
        <v>0</v>
      </c>
      <c r="AF210" s="68"/>
    </row>
    <row r="211" spans="1:32" ht="60" x14ac:dyDescent="0.35">
      <c r="A211" s="441">
        <v>98</v>
      </c>
      <c r="B211" s="293" t="s">
        <v>2921</v>
      </c>
      <c r="C211" s="358" t="s">
        <v>1656</v>
      </c>
      <c r="D211" s="2472" t="s">
        <v>6208</v>
      </c>
      <c r="E211" s="1999" t="s">
        <v>9390</v>
      </c>
      <c r="F211" s="166" t="s">
        <v>664</v>
      </c>
      <c r="G211" s="2289">
        <v>5</v>
      </c>
      <c r="H211" s="40">
        <v>6</v>
      </c>
      <c r="I211" s="297">
        <f t="shared" si="19"/>
        <v>0.33</v>
      </c>
      <c r="J211" s="297">
        <f t="shared" si="20"/>
        <v>0.33</v>
      </c>
      <c r="K211" s="524"/>
      <c r="L211" s="518"/>
      <c r="M211" s="518"/>
      <c r="N211" s="2011"/>
      <c r="O211" s="2012"/>
      <c r="P211" s="518"/>
      <c r="Q211" s="2016"/>
      <c r="R211" s="2014">
        <v>0.33</v>
      </c>
      <c r="S211" s="42"/>
      <c r="T211" s="281"/>
      <c r="U211" s="42"/>
      <c r="V211" s="42"/>
      <c r="W211" s="42"/>
      <c r="X211" s="281"/>
      <c r="Y211" s="42"/>
      <c r="Z211" s="2015"/>
      <c r="AA211" s="3"/>
      <c r="AB211">
        <v>1</v>
      </c>
      <c r="AE211" s="2461">
        <f t="shared" si="18"/>
        <v>0</v>
      </c>
      <c r="AF211" s="68"/>
    </row>
    <row r="212" spans="1:32" ht="45" x14ac:dyDescent="0.35">
      <c r="A212" s="693">
        <v>99</v>
      </c>
      <c r="B212" s="999" t="s">
        <v>2921</v>
      </c>
      <c r="C212" s="999"/>
      <c r="D212" s="2472" t="s">
        <v>6209</v>
      </c>
      <c r="E212" s="516" t="s">
        <v>7996</v>
      </c>
      <c r="F212" s="166"/>
      <c r="G212" s="41" t="s">
        <v>191</v>
      </c>
      <c r="H212" s="2289" t="s">
        <v>191</v>
      </c>
      <c r="I212" s="518">
        <f t="shared" si="19"/>
        <v>3.2</v>
      </c>
      <c r="J212" s="518">
        <f t="shared" si="20"/>
        <v>3.2</v>
      </c>
      <c r="K212" s="518"/>
      <c r="L212" s="518"/>
      <c r="M212" s="518"/>
      <c r="N212" s="2011"/>
      <c r="O212" s="2012"/>
      <c r="P212" s="518"/>
      <c r="Q212" s="2016">
        <f>SUM(Q213:Q215)</f>
        <v>1.75</v>
      </c>
      <c r="R212" s="2026">
        <f>SUM(R213:R215)</f>
        <v>1.4500000000000002</v>
      </c>
      <c r="S212" s="39"/>
      <c r="T212" s="279"/>
      <c r="U212" s="39"/>
      <c r="V212" s="39"/>
      <c r="W212" s="42"/>
      <c r="X212" s="279"/>
      <c r="Y212" s="42"/>
      <c r="Z212" s="2015"/>
      <c r="AA212" s="3"/>
      <c r="AB212">
        <v>1</v>
      </c>
      <c r="AC212" s="2331" t="s">
        <v>2219</v>
      </c>
      <c r="AD212" s="1784">
        <v>33827</v>
      </c>
      <c r="AE212" s="2461">
        <f t="shared" si="18"/>
        <v>0</v>
      </c>
      <c r="AF212" s="68"/>
    </row>
    <row r="213" spans="1:32" ht="15.5" x14ac:dyDescent="0.35">
      <c r="A213" s="525"/>
      <c r="B213" s="999" t="s">
        <v>2921</v>
      </c>
      <c r="C213" s="999"/>
      <c r="D213" s="348"/>
      <c r="E213" s="2004" t="s">
        <v>2394</v>
      </c>
      <c r="F213" s="93">
        <v>5</v>
      </c>
      <c r="G213" s="93">
        <v>5</v>
      </c>
      <c r="H213" s="2289">
        <v>6</v>
      </c>
      <c r="I213" s="576"/>
      <c r="J213" s="576"/>
      <c r="K213" s="576"/>
      <c r="L213" s="576"/>
      <c r="M213" s="576"/>
      <c r="N213" s="576"/>
      <c r="O213" s="576"/>
      <c r="P213" s="576"/>
      <c r="Q213" s="2018">
        <v>1.75</v>
      </c>
      <c r="R213" s="2020"/>
      <c r="S213" s="93"/>
      <c r="T213" s="2021"/>
      <c r="U213" s="93"/>
      <c r="V213" s="93"/>
      <c r="W213" s="93"/>
      <c r="X213" s="2021"/>
      <c r="Y213" s="93"/>
      <c r="Z213" s="2024"/>
      <c r="AA213" s="3"/>
      <c r="AE213" s="2461">
        <f t="shared" si="18"/>
        <v>0</v>
      </c>
      <c r="AF213" s="68"/>
    </row>
    <row r="214" spans="1:32" ht="15.5" x14ac:dyDescent="0.35">
      <c r="A214" s="525"/>
      <c r="B214" s="999"/>
      <c r="C214" s="999"/>
      <c r="D214" s="348"/>
      <c r="E214" s="2005" t="s">
        <v>2348</v>
      </c>
      <c r="F214" s="93">
        <v>5</v>
      </c>
      <c r="G214" s="93">
        <v>5</v>
      </c>
      <c r="H214" s="40">
        <v>6</v>
      </c>
      <c r="I214" s="576"/>
      <c r="J214" s="576"/>
      <c r="K214" s="576"/>
      <c r="L214" s="576"/>
      <c r="M214" s="576"/>
      <c r="N214" s="576"/>
      <c r="O214" s="576"/>
      <c r="P214" s="576"/>
      <c r="Q214" s="2018"/>
      <c r="R214" s="2020">
        <f>3-1.75</f>
        <v>1.25</v>
      </c>
      <c r="S214" s="93"/>
      <c r="T214" s="2021"/>
      <c r="U214" s="93"/>
      <c r="V214" s="93"/>
      <c r="W214" s="93"/>
      <c r="X214" s="2021"/>
      <c r="Y214" s="93"/>
      <c r="Z214" s="2024"/>
      <c r="AA214" s="3"/>
      <c r="AC214" t="s">
        <v>2570</v>
      </c>
      <c r="AE214" s="2461">
        <f t="shared" si="18"/>
        <v>0</v>
      </c>
      <c r="AF214" s="68"/>
    </row>
    <row r="215" spans="1:32" ht="15.5" x14ac:dyDescent="0.35">
      <c r="A215" s="525"/>
      <c r="B215" s="999" t="s">
        <v>2921</v>
      </c>
      <c r="C215" s="999"/>
      <c r="D215" s="348"/>
      <c r="E215" s="2005" t="s">
        <v>613</v>
      </c>
      <c r="F215" s="93" t="s">
        <v>827</v>
      </c>
      <c r="G215" s="93">
        <v>5</v>
      </c>
      <c r="H215" s="40">
        <v>6</v>
      </c>
      <c r="I215" s="576"/>
      <c r="J215" s="576"/>
      <c r="K215" s="576"/>
      <c r="L215" s="576"/>
      <c r="M215" s="576"/>
      <c r="N215" s="576"/>
      <c r="O215" s="576"/>
      <c r="P215" s="576"/>
      <c r="Q215" s="2018"/>
      <c r="R215" s="2019">
        <f>3.2-3</f>
        <v>0.20000000000000018</v>
      </c>
      <c r="S215" s="93"/>
      <c r="T215" s="2021"/>
      <c r="U215" s="93"/>
      <c r="V215" s="93"/>
      <c r="W215" s="93"/>
      <c r="X215" s="2021"/>
      <c r="Y215" s="93"/>
      <c r="Z215" s="2024"/>
      <c r="AA215" s="3"/>
      <c r="AC215" t="s">
        <v>2570</v>
      </c>
      <c r="AE215" s="2461">
        <f t="shared" si="18"/>
        <v>0</v>
      </c>
      <c r="AF215" s="68"/>
    </row>
    <row r="216" spans="1:32" ht="45" x14ac:dyDescent="0.35">
      <c r="A216" s="295">
        <v>100</v>
      </c>
      <c r="B216" s="999" t="s">
        <v>2921</v>
      </c>
      <c r="C216" s="999"/>
      <c r="D216" s="2472" t="s">
        <v>6210</v>
      </c>
      <c r="E216" s="516" t="s">
        <v>7997</v>
      </c>
      <c r="F216" s="166"/>
      <c r="G216" s="41" t="s">
        <v>191</v>
      </c>
      <c r="H216" s="2289" t="s">
        <v>191</v>
      </c>
      <c r="I216" s="518">
        <f>J216+K216+L216</f>
        <v>1.29</v>
      </c>
      <c r="J216" s="518">
        <f>SUM(M216:R216)</f>
        <v>1.29</v>
      </c>
      <c r="K216" s="518"/>
      <c r="L216" s="518"/>
      <c r="M216" s="518"/>
      <c r="N216" s="2011"/>
      <c r="O216" s="2012"/>
      <c r="P216" s="518"/>
      <c r="Q216" s="2016">
        <f>SUM(Q217:Q218)</f>
        <v>1</v>
      </c>
      <c r="R216" s="2026">
        <f>SUM(R217:R218)</f>
        <v>0.29000000000000004</v>
      </c>
      <c r="S216" s="39"/>
      <c r="T216" s="279"/>
      <c r="U216" s="39"/>
      <c r="V216" s="39"/>
      <c r="W216" s="42">
        <v>1</v>
      </c>
      <c r="X216" s="279">
        <v>15.5</v>
      </c>
      <c r="Y216" s="42"/>
      <c r="Z216" s="2015"/>
      <c r="AA216" s="3"/>
      <c r="AB216">
        <v>1</v>
      </c>
      <c r="AE216" s="2461">
        <f t="shared" si="18"/>
        <v>0</v>
      </c>
      <c r="AF216" s="68"/>
    </row>
    <row r="217" spans="1:32" ht="15.5" x14ac:dyDescent="0.35">
      <c r="A217" s="525"/>
      <c r="B217" s="999" t="s">
        <v>2921</v>
      </c>
      <c r="C217" s="999"/>
      <c r="D217" s="348"/>
      <c r="E217" s="2004" t="s">
        <v>2628</v>
      </c>
      <c r="F217" s="166" t="s">
        <v>827</v>
      </c>
      <c r="G217" s="41">
        <v>5</v>
      </c>
      <c r="H217" s="2289">
        <v>6</v>
      </c>
      <c r="I217" s="518"/>
      <c r="J217" s="518"/>
      <c r="K217" s="518"/>
      <c r="L217" s="518"/>
      <c r="M217" s="518"/>
      <c r="N217" s="2017"/>
      <c r="O217" s="2022"/>
      <c r="P217" s="524"/>
      <c r="Q217" s="2018">
        <v>1</v>
      </c>
      <c r="R217" s="2014"/>
      <c r="S217" s="39"/>
      <c r="T217" s="279"/>
      <c r="U217" s="39"/>
      <c r="V217" s="39"/>
      <c r="W217" s="42"/>
      <c r="X217" s="279"/>
      <c r="Y217" s="42"/>
      <c r="Z217" s="2015"/>
      <c r="AA217" s="3"/>
      <c r="AE217" s="2461">
        <f t="shared" si="18"/>
        <v>0</v>
      </c>
      <c r="AF217" s="68"/>
    </row>
    <row r="218" spans="1:32" ht="15.5" x14ac:dyDescent="0.35">
      <c r="A218" s="525"/>
      <c r="B218" s="999" t="s">
        <v>2921</v>
      </c>
      <c r="C218" s="999"/>
      <c r="D218" s="348"/>
      <c r="E218" s="2005" t="s">
        <v>1811</v>
      </c>
      <c r="F218" s="166" t="s">
        <v>827</v>
      </c>
      <c r="G218" s="41">
        <v>5</v>
      </c>
      <c r="H218" s="40">
        <v>6</v>
      </c>
      <c r="I218" s="518"/>
      <c r="J218" s="518"/>
      <c r="K218" s="518"/>
      <c r="L218" s="518"/>
      <c r="M218" s="518"/>
      <c r="N218" s="2017"/>
      <c r="O218" s="2022"/>
      <c r="P218" s="524"/>
      <c r="Q218" s="2018"/>
      <c r="R218" s="2019">
        <f>1.29-1</f>
        <v>0.29000000000000004</v>
      </c>
      <c r="S218" s="42"/>
      <c r="T218" s="281"/>
      <c r="U218" s="42"/>
      <c r="V218" s="42"/>
      <c r="W218" s="42"/>
      <c r="X218" s="279"/>
      <c r="Y218" s="42"/>
      <c r="Z218" s="2015"/>
      <c r="AA218" s="3"/>
      <c r="AE218" s="2461">
        <f t="shared" si="18"/>
        <v>0</v>
      </c>
      <c r="AF218" s="68"/>
    </row>
    <row r="219" spans="1:32" ht="75.5" x14ac:dyDescent="0.35">
      <c r="A219" s="693">
        <v>101</v>
      </c>
      <c r="B219" s="365" t="s">
        <v>2921</v>
      </c>
      <c r="C219" s="365" t="s">
        <v>1656</v>
      </c>
      <c r="D219" s="2472" t="s">
        <v>6211</v>
      </c>
      <c r="E219" s="511" t="s">
        <v>8974</v>
      </c>
      <c r="F219" s="2290" t="s">
        <v>664</v>
      </c>
      <c r="G219" s="93">
        <v>5</v>
      </c>
      <c r="H219" s="40">
        <v>6</v>
      </c>
      <c r="I219" s="702">
        <f>J219+K219+L219</f>
        <v>0.4</v>
      </c>
      <c r="J219" s="702">
        <f>SUM(M219:R219)</f>
        <v>0.4</v>
      </c>
      <c r="K219" s="2151"/>
      <c r="L219" s="2151"/>
      <c r="M219" s="2151"/>
      <c r="N219" s="2151"/>
      <c r="O219" s="2151"/>
      <c r="P219" s="2151"/>
      <c r="Q219" s="2151"/>
      <c r="R219" s="2152">
        <v>0.4</v>
      </c>
      <c r="S219" s="2153"/>
      <c r="T219" s="2153"/>
      <c r="U219" s="2153"/>
      <c r="V219" s="2153"/>
      <c r="W219" s="2153"/>
      <c r="X219" s="2153"/>
      <c r="Y219" s="2153"/>
      <c r="Z219" s="2153"/>
      <c r="AB219">
        <v>1</v>
      </c>
      <c r="AE219" s="2461">
        <f t="shared" si="18"/>
        <v>0</v>
      </c>
      <c r="AF219" s="68"/>
    </row>
    <row r="220" spans="1:32" ht="90" x14ac:dyDescent="0.35">
      <c r="A220" s="295">
        <v>102</v>
      </c>
      <c r="B220" s="999" t="s">
        <v>2921</v>
      </c>
      <c r="C220" s="293" t="s">
        <v>1657</v>
      </c>
      <c r="D220" s="2472" t="s">
        <v>6212</v>
      </c>
      <c r="E220" s="1999" t="s">
        <v>10225</v>
      </c>
      <c r="F220" s="166" t="s">
        <v>827</v>
      </c>
      <c r="G220" s="41">
        <v>5</v>
      </c>
      <c r="H220" s="2289">
        <v>6</v>
      </c>
      <c r="I220" s="518">
        <f>J220+K220+L220</f>
        <v>0.377</v>
      </c>
      <c r="J220" s="518">
        <f>SUM(M220:R220)</f>
        <v>0.377</v>
      </c>
      <c r="K220" s="576"/>
      <c r="L220" s="576"/>
      <c r="M220" s="576"/>
      <c r="N220" s="576"/>
      <c r="O220" s="576"/>
      <c r="P220" s="576"/>
      <c r="Q220" s="2097">
        <v>0.377</v>
      </c>
      <c r="R220" s="2014"/>
      <c r="S220" s="93"/>
      <c r="T220" s="2021"/>
      <c r="U220" s="93"/>
      <c r="V220" s="93"/>
      <c r="W220" s="93"/>
      <c r="X220" s="2021"/>
      <c r="Y220" s="93"/>
      <c r="Z220" s="2024"/>
      <c r="AA220" s="3"/>
      <c r="AB220">
        <v>1</v>
      </c>
      <c r="AE220" s="2461">
        <f t="shared" si="18"/>
        <v>0</v>
      </c>
      <c r="AF220" s="68"/>
    </row>
    <row r="221" spans="1:32" ht="46.5" x14ac:dyDescent="0.35">
      <c r="A221" s="295"/>
      <c r="B221" s="999" t="s">
        <v>2921</v>
      </c>
      <c r="C221" s="999"/>
      <c r="D221" s="348"/>
      <c r="E221" s="523" t="s">
        <v>9886</v>
      </c>
      <c r="F221" s="2289"/>
      <c r="G221" s="41" t="s">
        <v>191</v>
      </c>
      <c r="H221" s="41" t="s">
        <v>191</v>
      </c>
      <c r="I221" s="518"/>
      <c r="J221" s="518"/>
      <c r="K221" s="576"/>
      <c r="L221" s="576"/>
      <c r="M221" s="576"/>
      <c r="N221" s="576"/>
      <c r="O221" s="576"/>
      <c r="P221" s="576"/>
      <c r="Q221" s="1813"/>
      <c r="R221" s="2014"/>
      <c r="S221" s="93"/>
      <c r="T221" s="2021"/>
      <c r="U221" s="93"/>
      <c r="V221" s="93"/>
      <c r="W221" s="93"/>
      <c r="X221" s="2021"/>
      <c r="Y221" s="93"/>
      <c r="Z221" s="2024"/>
      <c r="AA221" s="3"/>
      <c r="AE221" s="2461">
        <f t="shared" si="18"/>
        <v>0</v>
      </c>
      <c r="AF221" s="68"/>
    </row>
    <row r="222" spans="1:32" ht="45" x14ac:dyDescent="0.35">
      <c r="A222" s="693">
        <v>103</v>
      </c>
      <c r="B222" s="365" t="s">
        <v>2921</v>
      </c>
      <c r="C222" s="365" t="s">
        <v>1656</v>
      </c>
      <c r="D222" s="2472" t="s">
        <v>6213</v>
      </c>
      <c r="E222" s="1786" t="s">
        <v>10226</v>
      </c>
      <c r="F222" s="2290" t="s">
        <v>664</v>
      </c>
      <c r="G222" s="93">
        <v>5</v>
      </c>
      <c r="H222" s="40">
        <v>6</v>
      </c>
      <c r="I222" s="702">
        <f t="shared" ref="I222:I227" si="21">J222+K222+L222</f>
        <v>0.2</v>
      </c>
      <c r="J222" s="702">
        <f t="shared" ref="J222:J227" si="22">SUM(M222:R222)</f>
        <v>0.2</v>
      </c>
      <c r="K222" s="2151"/>
      <c r="L222" s="2151"/>
      <c r="M222" s="2151"/>
      <c r="N222" s="2151"/>
      <c r="O222" s="2151"/>
      <c r="P222" s="2151"/>
      <c r="Q222" s="2151"/>
      <c r="R222" s="2152">
        <v>0.2</v>
      </c>
      <c r="S222" s="2153"/>
      <c r="T222" s="2153"/>
      <c r="U222" s="2153"/>
      <c r="V222" s="2153"/>
      <c r="W222" s="2153"/>
      <c r="X222" s="2153"/>
      <c r="Y222" s="2153"/>
      <c r="Z222" s="2153"/>
      <c r="AB222">
        <v>1</v>
      </c>
      <c r="AE222" s="2461">
        <f t="shared" si="18"/>
        <v>0</v>
      </c>
      <c r="AF222" s="68"/>
    </row>
    <row r="223" spans="1:32" ht="45" x14ac:dyDescent="0.35">
      <c r="A223" s="295">
        <v>104</v>
      </c>
      <c r="B223" s="365" t="s">
        <v>2921</v>
      </c>
      <c r="C223" s="999"/>
      <c r="D223" s="2472" t="s">
        <v>6214</v>
      </c>
      <c r="E223" s="516" t="s">
        <v>7998</v>
      </c>
      <c r="F223" s="2289">
        <v>5</v>
      </c>
      <c r="G223" s="41">
        <v>5</v>
      </c>
      <c r="H223" s="2289">
        <v>6</v>
      </c>
      <c r="I223" s="518">
        <f t="shared" si="21"/>
        <v>1.1000000000000001</v>
      </c>
      <c r="J223" s="518">
        <f t="shared" si="22"/>
        <v>1.1000000000000001</v>
      </c>
      <c r="K223" s="576"/>
      <c r="L223" s="576"/>
      <c r="M223" s="576"/>
      <c r="N223" s="2011">
        <v>1.1000000000000001</v>
      </c>
      <c r="O223" s="576"/>
      <c r="P223" s="576"/>
      <c r="Q223" s="1813"/>
      <c r="R223" s="2020"/>
      <c r="S223" s="93"/>
      <c r="T223" s="2021"/>
      <c r="U223" s="93"/>
      <c r="V223" s="93"/>
      <c r="W223" s="42"/>
      <c r="X223" s="279"/>
      <c r="Y223" s="42"/>
      <c r="Z223" s="2015"/>
      <c r="AA223" s="3"/>
      <c r="AB223">
        <v>1</v>
      </c>
      <c r="AE223" s="2461">
        <f t="shared" si="18"/>
        <v>0</v>
      </c>
      <c r="AF223" s="68"/>
    </row>
    <row r="224" spans="1:32" ht="75" x14ac:dyDescent="0.35">
      <c r="A224" s="693">
        <v>105</v>
      </c>
      <c r="B224" s="293" t="s">
        <v>2921</v>
      </c>
      <c r="C224" s="358" t="s">
        <v>1656</v>
      </c>
      <c r="D224" s="2472" t="s">
        <v>6215</v>
      </c>
      <c r="E224" s="1999" t="s">
        <v>9218</v>
      </c>
      <c r="F224" s="166" t="s">
        <v>664</v>
      </c>
      <c r="G224" s="2289">
        <v>5</v>
      </c>
      <c r="H224" s="40">
        <v>6</v>
      </c>
      <c r="I224" s="297">
        <f t="shared" si="21"/>
        <v>2.2000000000000002</v>
      </c>
      <c r="J224" s="297">
        <f t="shared" si="22"/>
        <v>2.2000000000000002</v>
      </c>
      <c r="K224" s="524"/>
      <c r="L224" s="518"/>
      <c r="M224" s="518"/>
      <c r="N224" s="2011"/>
      <c r="O224" s="2012"/>
      <c r="P224" s="518"/>
      <c r="Q224" s="2016"/>
      <c r="R224" s="2014">
        <v>2.2000000000000002</v>
      </c>
      <c r="S224" s="42"/>
      <c r="T224" s="281"/>
      <c r="U224" s="42"/>
      <c r="V224" s="42"/>
      <c r="W224" s="42"/>
      <c r="X224" s="281"/>
      <c r="Y224" s="42"/>
      <c r="Z224" s="2015"/>
      <c r="AA224" s="3"/>
      <c r="AB224">
        <v>1</v>
      </c>
      <c r="AE224" s="2461">
        <f t="shared" si="18"/>
        <v>0</v>
      </c>
      <c r="AF224" s="68"/>
    </row>
    <row r="225" spans="1:32" ht="45" x14ac:dyDescent="0.35">
      <c r="A225" s="295">
        <v>106</v>
      </c>
      <c r="B225" s="365" t="s">
        <v>2921</v>
      </c>
      <c r="C225" s="293"/>
      <c r="D225" s="2472" t="s">
        <v>6216</v>
      </c>
      <c r="E225" s="516" t="s">
        <v>7999</v>
      </c>
      <c r="F225" s="166" t="s">
        <v>827</v>
      </c>
      <c r="G225" s="41">
        <v>5</v>
      </c>
      <c r="H225" s="2289">
        <v>6</v>
      </c>
      <c r="I225" s="518">
        <f t="shared" si="21"/>
        <v>0.4</v>
      </c>
      <c r="J225" s="518">
        <f t="shared" si="22"/>
        <v>0.4</v>
      </c>
      <c r="K225" s="524"/>
      <c r="L225" s="518"/>
      <c r="M225" s="518"/>
      <c r="N225" s="2011"/>
      <c r="O225" s="2012"/>
      <c r="P225" s="518"/>
      <c r="Q225" s="2016">
        <v>0.4</v>
      </c>
      <c r="R225" s="2014"/>
      <c r="S225" s="42"/>
      <c r="T225" s="281"/>
      <c r="U225" s="42"/>
      <c r="V225" s="42"/>
      <c r="W225" s="42"/>
      <c r="X225" s="279"/>
      <c r="Y225" s="42"/>
      <c r="Z225" s="2015"/>
      <c r="AA225" s="3"/>
      <c r="AB225">
        <v>1</v>
      </c>
      <c r="AE225" s="2461">
        <f t="shared" si="18"/>
        <v>0</v>
      </c>
      <c r="AF225" s="68"/>
    </row>
    <row r="226" spans="1:32" ht="45" x14ac:dyDescent="0.35">
      <c r="A226" s="693">
        <v>107</v>
      </c>
      <c r="B226" s="293" t="s">
        <v>2921</v>
      </c>
      <c r="C226" s="358" t="s">
        <v>1656</v>
      </c>
      <c r="D226" s="2472" t="s">
        <v>6217</v>
      </c>
      <c r="E226" s="1999" t="s">
        <v>8975</v>
      </c>
      <c r="F226" s="2289" t="s">
        <v>664</v>
      </c>
      <c r="G226" s="2289">
        <v>5</v>
      </c>
      <c r="H226" s="40">
        <v>6</v>
      </c>
      <c r="I226" s="297">
        <f t="shared" si="21"/>
        <v>0.8</v>
      </c>
      <c r="J226" s="297">
        <f t="shared" si="22"/>
        <v>0.8</v>
      </c>
      <c r="K226" s="518"/>
      <c r="L226" s="518"/>
      <c r="M226" s="518"/>
      <c r="N226" s="2011"/>
      <c r="O226" s="2012"/>
      <c r="P226" s="518"/>
      <c r="Q226" s="2013"/>
      <c r="R226" s="2014">
        <v>0.8</v>
      </c>
      <c r="S226" s="39"/>
      <c r="T226" s="279"/>
      <c r="U226" s="39"/>
      <c r="V226" s="39"/>
      <c r="W226" s="42"/>
      <c r="X226" s="279"/>
      <c r="Y226" s="42"/>
      <c r="Z226" s="2015"/>
      <c r="AA226" s="3"/>
      <c r="AB226">
        <v>1</v>
      </c>
      <c r="AE226" s="2461">
        <f t="shared" si="18"/>
        <v>0</v>
      </c>
      <c r="AF226" s="68"/>
    </row>
    <row r="227" spans="1:32" ht="45" x14ac:dyDescent="0.35">
      <c r="A227" s="295">
        <v>108</v>
      </c>
      <c r="B227" s="365" t="s">
        <v>2921</v>
      </c>
      <c r="C227" s="358" t="s">
        <v>1656</v>
      </c>
      <c r="D227" s="2472" t="s">
        <v>6218</v>
      </c>
      <c r="E227" s="1999" t="s">
        <v>8976</v>
      </c>
      <c r="F227" s="166" t="s">
        <v>664</v>
      </c>
      <c r="G227" s="2289">
        <v>5</v>
      </c>
      <c r="H227" s="40">
        <v>6</v>
      </c>
      <c r="I227" s="297">
        <f t="shared" si="21"/>
        <v>0.1</v>
      </c>
      <c r="J227" s="297">
        <f t="shared" si="22"/>
        <v>0.1</v>
      </c>
      <c r="K227" s="524"/>
      <c r="L227" s="518"/>
      <c r="M227" s="518"/>
      <c r="N227" s="2011"/>
      <c r="O227" s="2012"/>
      <c r="P227" s="518"/>
      <c r="Q227" s="2016"/>
      <c r="R227" s="2014">
        <v>0.1</v>
      </c>
      <c r="S227" s="42"/>
      <c r="T227" s="281"/>
      <c r="U227" s="42"/>
      <c r="V227" s="42"/>
      <c r="W227" s="42"/>
      <c r="X227" s="281"/>
      <c r="Y227" s="42"/>
      <c r="Z227" s="2015"/>
      <c r="AA227" s="3"/>
      <c r="AB227">
        <v>1</v>
      </c>
      <c r="AE227" s="2461">
        <f t="shared" si="18"/>
        <v>0</v>
      </c>
      <c r="AF227" s="68"/>
    </row>
    <row r="228" spans="1:32" ht="30" x14ac:dyDescent="0.35">
      <c r="A228" s="295"/>
      <c r="B228" s="293" t="s">
        <v>2164</v>
      </c>
      <c r="C228" s="293"/>
      <c r="D228" s="348"/>
      <c r="E228" s="2010" t="s">
        <v>2989</v>
      </c>
      <c r="F228" s="2289"/>
      <c r="G228" s="41"/>
      <c r="H228" s="41"/>
      <c r="I228" s="518"/>
      <c r="J228" s="518"/>
      <c r="K228" s="518"/>
      <c r="L228" s="518"/>
      <c r="M228" s="518"/>
      <c r="N228" s="2011"/>
      <c r="O228" s="2012"/>
      <c r="P228" s="518"/>
      <c r="Q228" s="2016"/>
      <c r="R228" s="2014"/>
      <c r="S228" s="39"/>
      <c r="T228" s="279"/>
      <c r="U228" s="39"/>
      <c r="V228" s="39"/>
      <c r="W228" s="42"/>
      <c r="X228" s="279"/>
      <c r="Y228" s="42"/>
      <c r="Z228" s="2015"/>
      <c r="AA228" s="3"/>
      <c r="AE228" s="2461">
        <f t="shared" si="18"/>
        <v>0</v>
      </c>
      <c r="AF228" s="68"/>
    </row>
    <row r="229" spans="1:32" ht="30" x14ac:dyDescent="0.35">
      <c r="A229" s="295">
        <v>109</v>
      </c>
      <c r="B229" s="999" t="s">
        <v>2164</v>
      </c>
      <c r="C229" s="999"/>
      <c r="D229" s="2472" t="s">
        <v>6219</v>
      </c>
      <c r="E229" s="516" t="s">
        <v>8000</v>
      </c>
      <c r="F229" s="166"/>
      <c r="G229" s="41" t="s">
        <v>191</v>
      </c>
      <c r="H229" s="2289" t="s">
        <v>191</v>
      </c>
      <c r="I229" s="518">
        <f>J229+K229+L229</f>
        <v>6.9</v>
      </c>
      <c r="J229" s="518">
        <f>SUM(M229:R229)</f>
        <v>6.9</v>
      </c>
      <c r="K229" s="518"/>
      <c r="L229" s="518"/>
      <c r="M229" s="518"/>
      <c r="N229" s="2011"/>
      <c r="O229" s="2012"/>
      <c r="P229" s="518"/>
      <c r="Q229" s="2016">
        <f>SUM(Q231:Q232)</f>
        <v>6.484</v>
      </c>
      <c r="R229" s="2026">
        <f>SUM(R231:R232)</f>
        <v>0.41600000000000037</v>
      </c>
      <c r="S229" s="39"/>
      <c r="T229" s="279"/>
      <c r="U229" s="39"/>
      <c r="V229" s="39"/>
      <c r="W229" s="42">
        <v>8</v>
      </c>
      <c r="X229" s="279">
        <v>94</v>
      </c>
      <c r="Y229" s="42">
        <v>4</v>
      </c>
      <c r="Z229" s="2015">
        <v>40</v>
      </c>
      <c r="AA229" s="3"/>
      <c r="AB229">
        <v>1</v>
      </c>
      <c r="AE229" s="2461">
        <f t="shared" si="18"/>
        <v>0</v>
      </c>
      <c r="AF229" s="68"/>
    </row>
    <row r="230" spans="1:32" ht="46.5" x14ac:dyDescent="0.35">
      <c r="A230" s="295"/>
      <c r="B230" s="999" t="s">
        <v>2164</v>
      </c>
      <c r="C230" s="999"/>
      <c r="D230" s="348"/>
      <c r="E230" s="519" t="s">
        <v>9887</v>
      </c>
      <c r="F230" s="2289"/>
      <c r="G230" s="41" t="s">
        <v>191</v>
      </c>
      <c r="H230" s="41" t="s">
        <v>191</v>
      </c>
      <c r="I230" s="518"/>
      <c r="J230" s="518"/>
      <c r="K230" s="518"/>
      <c r="L230" s="518"/>
      <c r="M230" s="518"/>
      <c r="N230" s="2011"/>
      <c r="O230" s="2012"/>
      <c r="P230" s="518"/>
      <c r="Q230" s="2016"/>
      <c r="R230" s="2026"/>
      <c r="S230" s="39"/>
      <c r="T230" s="279"/>
      <c r="U230" s="39"/>
      <c r="V230" s="39"/>
      <c r="W230" s="42"/>
      <c r="X230" s="279"/>
      <c r="Y230" s="42"/>
      <c r="Z230" s="2015"/>
      <c r="AA230" s="3"/>
      <c r="AE230" s="2461">
        <f t="shared" si="18"/>
        <v>0</v>
      </c>
      <c r="AF230" s="68"/>
    </row>
    <row r="231" spans="1:32" ht="15.5" x14ac:dyDescent="0.35">
      <c r="A231" s="525"/>
      <c r="B231" s="999" t="s">
        <v>2164</v>
      </c>
      <c r="C231" s="999"/>
      <c r="D231" s="348"/>
      <c r="E231" s="2004" t="s">
        <v>2301</v>
      </c>
      <c r="F231" s="166" t="s">
        <v>827</v>
      </c>
      <c r="G231" s="41">
        <v>5</v>
      </c>
      <c r="H231" s="2289">
        <v>6</v>
      </c>
      <c r="I231" s="576"/>
      <c r="J231" s="576"/>
      <c r="K231" s="576"/>
      <c r="L231" s="576"/>
      <c r="M231" s="576"/>
      <c r="N231" s="576"/>
      <c r="O231" s="576"/>
      <c r="P231" s="576"/>
      <c r="Q231" s="2018">
        <v>6.484</v>
      </c>
      <c r="R231" s="2020"/>
      <c r="S231" s="93"/>
      <c r="T231" s="2021"/>
      <c r="U231" s="93"/>
      <c r="V231" s="93"/>
      <c r="W231" s="93"/>
      <c r="X231" s="2021"/>
      <c r="Y231" s="93"/>
      <c r="Z231" s="2024"/>
      <c r="AA231" s="3"/>
      <c r="AE231" s="2461">
        <f t="shared" si="18"/>
        <v>0</v>
      </c>
      <c r="AF231" s="68"/>
    </row>
    <row r="232" spans="1:32" ht="15.5" x14ac:dyDescent="0.35">
      <c r="A232" s="525"/>
      <c r="B232" s="999" t="s">
        <v>2164</v>
      </c>
      <c r="C232" s="999"/>
      <c r="D232" s="348"/>
      <c r="E232" s="2005" t="s">
        <v>2302</v>
      </c>
      <c r="F232" s="166" t="s">
        <v>827</v>
      </c>
      <c r="G232" s="41">
        <v>5</v>
      </c>
      <c r="H232" s="40">
        <v>6</v>
      </c>
      <c r="I232" s="576"/>
      <c r="J232" s="576"/>
      <c r="K232" s="576"/>
      <c r="L232" s="576"/>
      <c r="M232" s="576"/>
      <c r="N232" s="576"/>
      <c r="O232" s="576"/>
      <c r="P232" s="576"/>
      <c r="Q232" s="1813"/>
      <c r="R232" s="2019">
        <f>6.9-6.484</f>
        <v>0.41600000000000037</v>
      </c>
      <c r="S232" s="93"/>
      <c r="T232" s="2021"/>
      <c r="U232" s="93"/>
      <c r="V232" s="93"/>
      <c r="W232" s="93"/>
      <c r="X232" s="2021"/>
      <c r="Y232" s="93"/>
      <c r="Z232" s="2024"/>
      <c r="AA232" s="3"/>
      <c r="AE232" s="2461">
        <f t="shared" si="18"/>
        <v>0</v>
      </c>
      <c r="AF232" s="68"/>
    </row>
    <row r="233" spans="1:32" ht="45" x14ac:dyDescent="0.35">
      <c r="A233" s="441">
        <v>110</v>
      </c>
      <c r="B233" s="293" t="s">
        <v>2164</v>
      </c>
      <c r="C233" s="358" t="s">
        <v>1656</v>
      </c>
      <c r="D233" s="2472" t="s">
        <v>6220</v>
      </c>
      <c r="E233" s="1999" t="s">
        <v>8977</v>
      </c>
      <c r="F233" s="2289" t="s">
        <v>664</v>
      </c>
      <c r="G233" s="2289">
        <v>5</v>
      </c>
      <c r="H233" s="40">
        <v>6</v>
      </c>
      <c r="I233" s="297">
        <f t="shared" ref="I233:I240" si="23">J233+K233+L233</f>
        <v>0.8</v>
      </c>
      <c r="J233" s="297">
        <f t="shared" ref="J233:J240" si="24">SUM(M233:R233)</f>
        <v>0.8</v>
      </c>
      <c r="K233" s="518"/>
      <c r="L233" s="518"/>
      <c r="M233" s="518"/>
      <c r="N233" s="2017"/>
      <c r="O233" s="2022"/>
      <c r="P233" s="524"/>
      <c r="Q233" s="2018"/>
      <c r="R233" s="2014">
        <v>0.8</v>
      </c>
      <c r="S233" s="42"/>
      <c r="T233" s="281"/>
      <c r="U233" s="42"/>
      <c r="V233" s="42"/>
      <c r="W233" s="42"/>
      <c r="X233" s="279"/>
      <c r="Y233" s="42"/>
      <c r="Z233" s="2027"/>
      <c r="AA233" s="3"/>
      <c r="AB233">
        <v>1</v>
      </c>
      <c r="AE233" s="2461">
        <f t="shared" si="18"/>
        <v>0</v>
      </c>
      <c r="AF233" s="68"/>
    </row>
    <row r="234" spans="1:32" ht="30" x14ac:dyDescent="0.35">
      <c r="A234" s="295">
        <v>111</v>
      </c>
      <c r="B234" s="999" t="s">
        <v>2164</v>
      </c>
      <c r="C234" s="999"/>
      <c r="D234" s="2472" t="s">
        <v>6221</v>
      </c>
      <c r="E234" s="516" t="s">
        <v>8001</v>
      </c>
      <c r="F234" s="166" t="s">
        <v>1490</v>
      </c>
      <c r="G234" s="41">
        <v>5</v>
      </c>
      <c r="H234" s="40">
        <v>6</v>
      </c>
      <c r="I234" s="518">
        <f t="shared" si="23"/>
        <v>0.8</v>
      </c>
      <c r="J234" s="518">
        <f t="shared" si="24"/>
        <v>0.8</v>
      </c>
      <c r="K234" s="576"/>
      <c r="L234" s="576"/>
      <c r="M234" s="576"/>
      <c r="N234" s="576"/>
      <c r="O234" s="576"/>
      <c r="P234" s="576"/>
      <c r="Q234" s="1813"/>
      <c r="R234" s="2014">
        <v>0.8</v>
      </c>
      <c r="S234" s="93"/>
      <c r="T234" s="2021"/>
      <c r="U234" s="93"/>
      <c r="V234" s="93"/>
      <c r="W234" s="93"/>
      <c r="X234" s="2021"/>
      <c r="Y234" s="93"/>
      <c r="Z234" s="2024"/>
      <c r="AA234" s="3"/>
      <c r="AB234">
        <v>1</v>
      </c>
      <c r="AE234" s="2461">
        <f t="shared" si="18"/>
        <v>0</v>
      </c>
      <c r="AF234" s="68"/>
    </row>
    <row r="235" spans="1:32" ht="45" x14ac:dyDescent="0.35">
      <c r="A235" s="441">
        <v>112</v>
      </c>
      <c r="B235" s="365" t="s">
        <v>2164</v>
      </c>
      <c r="C235" s="365" t="s">
        <v>1656</v>
      </c>
      <c r="D235" s="2472" t="s">
        <v>6222</v>
      </c>
      <c r="E235" s="1786" t="s">
        <v>8978</v>
      </c>
      <c r="F235" s="2290" t="s">
        <v>664</v>
      </c>
      <c r="G235" s="93">
        <v>5</v>
      </c>
      <c r="H235" s="40">
        <v>6</v>
      </c>
      <c r="I235" s="702">
        <f t="shared" si="23"/>
        <v>0.46</v>
      </c>
      <c r="J235" s="702">
        <f t="shared" si="24"/>
        <v>0.46</v>
      </c>
      <c r="K235" s="2151"/>
      <c r="L235" s="2151"/>
      <c r="M235" s="2151"/>
      <c r="N235" s="2151"/>
      <c r="O235" s="2151"/>
      <c r="P235" s="2151"/>
      <c r="Q235" s="2151"/>
      <c r="R235" s="2152">
        <v>0.46</v>
      </c>
      <c r="S235" s="2153"/>
      <c r="T235" s="2153"/>
      <c r="U235" s="2153"/>
      <c r="V235" s="2153"/>
      <c r="W235" s="2153"/>
      <c r="X235" s="2153"/>
      <c r="Y235" s="2153"/>
      <c r="Z235" s="2153"/>
      <c r="AB235">
        <v>1</v>
      </c>
      <c r="AE235" s="2461">
        <f t="shared" si="18"/>
        <v>0</v>
      </c>
      <c r="AF235" s="68"/>
    </row>
    <row r="236" spans="1:32" ht="45" x14ac:dyDescent="0.35">
      <c r="A236" s="295">
        <v>113</v>
      </c>
      <c r="B236" s="365" t="s">
        <v>2164</v>
      </c>
      <c r="C236" s="365" t="s">
        <v>1656</v>
      </c>
      <c r="D236" s="2472" t="s">
        <v>6223</v>
      </c>
      <c r="E236" s="1786" t="s">
        <v>8979</v>
      </c>
      <c r="F236" s="2290" t="s">
        <v>664</v>
      </c>
      <c r="G236" s="93">
        <v>5</v>
      </c>
      <c r="H236" s="40">
        <v>6</v>
      </c>
      <c r="I236" s="702">
        <f t="shared" si="23"/>
        <v>0.45</v>
      </c>
      <c r="J236" s="702">
        <f t="shared" si="24"/>
        <v>0.45</v>
      </c>
      <c r="K236" s="2151"/>
      <c r="L236" s="2151"/>
      <c r="M236" s="2151"/>
      <c r="N236" s="2151"/>
      <c r="O236" s="2151"/>
      <c r="P236" s="2151"/>
      <c r="Q236" s="2151"/>
      <c r="R236" s="2152">
        <v>0.45</v>
      </c>
      <c r="S236" s="2153"/>
      <c r="T236" s="2153"/>
      <c r="U236" s="2153"/>
      <c r="V236" s="2153"/>
      <c r="W236" s="2153"/>
      <c r="X236" s="2153"/>
      <c r="Y236" s="2153"/>
      <c r="Z236" s="2153"/>
      <c r="AB236">
        <v>1</v>
      </c>
      <c r="AE236" s="2461">
        <f t="shared" si="18"/>
        <v>0</v>
      </c>
      <c r="AF236" s="68"/>
    </row>
    <row r="237" spans="1:32" ht="45" x14ac:dyDescent="0.35">
      <c r="A237" s="441">
        <v>114</v>
      </c>
      <c r="B237" s="999" t="s">
        <v>2164</v>
      </c>
      <c r="C237" s="999" t="s">
        <v>1656</v>
      </c>
      <c r="D237" s="2472" t="s">
        <v>6224</v>
      </c>
      <c r="E237" s="1999" t="s">
        <v>8980</v>
      </c>
      <c r="F237" s="2289" t="s">
        <v>664</v>
      </c>
      <c r="G237" s="41">
        <v>5</v>
      </c>
      <c r="H237" s="40">
        <v>6</v>
      </c>
      <c r="I237" s="297">
        <f t="shared" si="23"/>
        <v>1.6</v>
      </c>
      <c r="J237" s="297">
        <f t="shared" si="24"/>
        <v>1.6</v>
      </c>
      <c r="K237" s="518"/>
      <c r="L237" s="518"/>
      <c r="M237" s="576"/>
      <c r="N237" s="576"/>
      <c r="O237" s="576"/>
      <c r="P237" s="576"/>
      <c r="Q237" s="2023"/>
      <c r="R237" s="2014">
        <v>1.6</v>
      </c>
      <c r="S237" s="93"/>
      <c r="T237" s="2021"/>
      <c r="U237" s="93"/>
      <c r="V237" s="93"/>
      <c r="W237" s="93"/>
      <c r="X237" s="2021"/>
      <c r="Y237" s="93"/>
      <c r="Z237" s="2024"/>
      <c r="AA237" s="3"/>
      <c r="AB237">
        <v>1</v>
      </c>
      <c r="AE237" s="2461">
        <f t="shared" si="18"/>
        <v>0</v>
      </c>
      <c r="AF237" s="68"/>
    </row>
    <row r="238" spans="1:32" ht="30" x14ac:dyDescent="0.35">
      <c r="A238" s="295">
        <v>115</v>
      </c>
      <c r="B238" s="999" t="s">
        <v>2164</v>
      </c>
      <c r="C238" s="999"/>
      <c r="D238" s="2472" t="s">
        <v>6225</v>
      </c>
      <c r="E238" s="516" t="s">
        <v>8002</v>
      </c>
      <c r="F238" s="166" t="s">
        <v>1490</v>
      </c>
      <c r="G238" s="41">
        <v>5</v>
      </c>
      <c r="H238" s="40">
        <v>6</v>
      </c>
      <c r="I238" s="518">
        <f t="shared" si="23"/>
        <v>1.2</v>
      </c>
      <c r="J238" s="518">
        <f t="shared" si="24"/>
        <v>1.2</v>
      </c>
      <c r="K238" s="518"/>
      <c r="L238" s="518"/>
      <c r="M238" s="518"/>
      <c r="N238" s="2011"/>
      <c r="O238" s="2012"/>
      <c r="P238" s="518"/>
      <c r="Q238" s="2016"/>
      <c r="R238" s="2014">
        <v>1.2</v>
      </c>
      <c r="S238" s="39">
        <v>1</v>
      </c>
      <c r="T238" s="279">
        <v>18.5</v>
      </c>
      <c r="U238" s="39"/>
      <c r="V238" s="39"/>
      <c r="W238" s="42"/>
      <c r="X238" s="279"/>
      <c r="Y238" s="42"/>
      <c r="Z238" s="2015"/>
      <c r="AA238" s="3"/>
      <c r="AB238">
        <v>1</v>
      </c>
      <c r="AE238" s="2461">
        <f t="shared" si="18"/>
        <v>0</v>
      </c>
      <c r="AF238" s="68"/>
    </row>
    <row r="239" spans="1:32" ht="30" x14ac:dyDescent="0.35">
      <c r="A239" s="441">
        <v>116</v>
      </c>
      <c r="B239" s="293" t="s">
        <v>2164</v>
      </c>
      <c r="C239" s="358" t="s">
        <v>1656</v>
      </c>
      <c r="D239" s="2472" t="s">
        <v>6226</v>
      </c>
      <c r="E239" s="1999" t="s">
        <v>8981</v>
      </c>
      <c r="F239" s="2289" t="s">
        <v>664</v>
      </c>
      <c r="G239" s="2289">
        <v>5</v>
      </c>
      <c r="H239" s="40">
        <v>6</v>
      </c>
      <c r="I239" s="297">
        <f t="shared" si="23"/>
        <v>0.15</v>
      </c>
      <c r="J239" s="297">
        <f t="shared" si="24"/>
        <v>0.15</v>
      </c>
      <c r="K239" s="524"/>
      <c r="L239" s="518"/>
      <c r="M239" s="518"/>
      <c r="N239" s="2011"/>
      <c r="O239" s="2012"/>
      <c r="P239" s="518"/>
      <c r="Q239" s="2016"/>
      <c r="R239" s="2014">
        <v>0.15</v>
      </c>
      <c r="S239" s="39"/>
      <c r="T239" s="279"/>
      <c r="U239" s="39"/>
      <c r="V239" s="39"/>
      <c r="W239" s="42"/>
      <c r="X239" s="279"/>
      <c r="Y239" s="42"/>
      <c r="Z239" s="2015"/>
      <c r="AA239" s="3"/>
      <c r="AB239">
        <v>1</v>
      </c>
      <c r="AE239" s="2461">
        <f t="shared" si="18"/>
        <v>0</v>
      </c>
      <c r="AF239" s="68"/>
    </row>
    <row r="240" spans="1:32" ht="45" x14ac:dyDescent="0.35">
      <c r="A240" s="295">
        <v>117</v>
      </c>
      <c r="B240" s="999" t="s">
        <v>2164</v>
      </c>
      <c r="C240" s="293" t="s">
        <v>1657</v>
      </c>
      <c r="D240" s="2472" t="s">
        <v>6227</v>
      </c>
      <c r="E240" s="516" t="s">
        <v>10227</v>
      </c>
      <c r="F240" s="2290" t="s">
        <v>664</v>
      </c>
      <c r="G240" s="41">
        <v>5</v>
      </c>
      <c r="H240" s="40">
        <v>6</v>
      </c>
      <c r="I240" s="518">
        <f t="shared" si="23"/>
        <v>0.5</v>
      </c>
      <c r="J240" s="518">
        <f t="shared" si="24"/>
        <v>0.5</v>
      </c>
      <c r="K240" s="576"/>
      <c r="L240" s="576"/>
      <c r="M240" s="576"/>
      <c r="N240" s="576"/>
      <c r="O240" s="576"/>
      <c r="P240" s="576"/>
      <c r="Q240" s="1813"/>
      <c r="R240" s="2014">
        <v>0.5</v>
      </c>
      <c r="S240" s="93"/>
      <c r="T240" s="2021"/>
      <c r="U240" s="93"/>
      <c r="V240" s="93"/>
      <c r="W240" s="93"/>
      <c r="X240" s="2021"/>
      <c r="Y240" s="93"/>
      <c r="Z240" s="2024"/>
      <c r="AA240" s="3"/>
      <c r="AB240">
        <v>1</v>
      </c>
      <c r="AE240" s="2461">
        <f t="shared" si="18"/>
        <v>0</v>
      </c>
      <c r="AF240" s="68"/>
    </row>
    <row r="241" spans="1:26" x14ac:dyDescent="0.4">
      <c r="A241" s="2154"/>
      <c r="B241" s="2154"/>
      <c r="C241" s="2154"/>
      <c r="D241" s="2154"/>
      <c r="E241" s="2155"/>
      <c r="F241" s="2156"/>
      <c r="G241" s="2156"/>
      <c r="H241" s="2156"/>
      <c r="I241" s="2156"/>
      <c r="J241" s="2156"/>
      <c r="K241" s="2156"/>
      <c r="L241" s="2156"/>
      <c r="M241" s="2156"/>
      <c r="N241" s="2156"/>
      <c r="O241" s="2156"/>
      <c r="P241" s="2156"/>
      <c r="Q241" s="2156"/>
      <c r="R241" s="2156"/>
      <c r="S241" s="2156"/>
      <c r="T241" s="2156"/>
      <c r="U241" s="2156"/>
      <c r="V241" s="2156"/>
      <c r="W241" s="2156"/>
      <c r="X241" s="2156"/>
      <c r="Y241" s="2156"/>
      <c r="Z241" s="2156"/>
    </row>
    <row r="242" spans="1:26" x14ac:dyDescent="0.4">
      <c r="A242" s="2036"/>
      <c r="B242" s="2036"/>
      <c r="C242" s="2036"/>
      <c r="D242" s="2036"/>
      <c r="E242" s="535"/>
    </row>
    <row r="243" spans="1:26" x14ac:dyDescent="0.4">
      <c r="A243" s="2036"/>
      <c r="B243" s="2036"/>
      <c r="C243" s="2036"/>
      <c r="D243" s="2036"/>
      <c r="E243" s="535"/>
    </row>
    <row r="244" spans="1:26" x14ac:dyDescent="0.4">
      <c r="A244" s="2036"/>
      <c r="B244" s="2036"/>
      <c r="C244" s="2036"/>
      <c r="D244" s="2036"/>
      <c r="E244" s="535"/>
    </row>
    <row r="245" spans="1:26" x14ac:dyDescent="0.4">
      <c r="A245" s="2036"/>
      <c r="B245" s="2036"/>
      <c r="C245" s="2036"/>
      <c r="D245" s="2036"/>
      <c r="E245" s="535"/>
    </row>
    <row r="246" spans="1:26" x14ac:dyDescent="0.4">
      <c r="A246" s="2036"/>
      <c r="B246" s="2036"/>
      <c r="C246" s="2036"/>
      <c r="D246" s="2036"/>
      <c r="E246" s="535"/>
    </row>
    <row r="247" spans="1:26" x14ac:dyDescent="0.4">
      <c r="A247" s="2036"/>
      <c r="B247" s="2036"/>
      <c r="C247" s="2036"/>
      <c r="D247" s="2036"/>
      <c r="E247" s="535"/>
    </row>
    <row r="248" spans="1:26" x14ac:dyDescent="0.4">
      <c r="A248" s="2036"/>
      <c r="B248" s="2036"/>
      <c r="C248" s="2036"/>
      <c r="D248" s="2036"/>
      <c r="E248" s="535"/>
    </row>
    <row r="249" spans="1:26" x14ac:dyDescent="0.4">
      <c r="A249" s="2036"/>
      <c r="B249" s="2036"/>
      <c r="C249" s="2036"/>
      <c r="D249" s="2036"/>
      <c r="E249" s="535"/>
    </row>
    <row r="250" spans="1:26" x14ac:dyDescent="0.4">
      <c r="A250" s="2036"/>
      <c r="B250" s="2036"/>
      <c r="C250" s="2036"/>
      <c r="D250" s="2036"/>
      <c r="E250" s="535"/>
    </row>
    <row r="251" spans="1:26" x14ac:dyDescent="0.4">
      <c r="A251" s="2036"/>
      <c r="B251" s="2036"/>
      <c r="C251" s="2036"/>
      <c r="D251" s="2036"/>
      <c r="E251" s="535"/>
    </row>
    <row r="252" spans="1:26" x14ac:dyDescent="0.4">
      <c r="A252" s="2036"/>
      <c r="B252" s="2036"/>
      <c r="C252" s="2036"/>
      <c r="D252" s="2036"/>
      <c r="E252" s="535"/>
    </row>
    <row r="253" spans="1:26" x14ac:dyDescent="0.4">
      <c r="A253" s="2036"/>
      <c r="B253" s="2036"/>
      <c r="C253" s="2036"/>
      <c r="D253" s="2036"/>
      <c r="E253" s="535"/>
    </row>
    <row r="254" spans="1:26" x14ac:dyDescent="0.4">
      <c r="A254" s="2036"/>
      <c r="B254" s="2036"/>
      <c r="C254" s="2036"/>
      <c r="D254" s="2036"/>
      <c r="E254" s="535"/>
    </row>
    <row r="255" spans="1:26" x14ac:dyDescent="0.4">
      <c r="A255" s="2036"/>
      <c r="B255" s="2036"/>
      <c r="C255" s="2036"/>
      <c r="D255" s="2036"/>
      <c r="E255" s="535"/>
    </row>
    <row r="256" spans="1:26" x14ac:dyDescent="0.4">
      <c r="A256" s="2036"/>
      <c r="B256" s="2036"/>
      <c r="C256" s="2036"/>
      <c r="D256" s="2036"/>
      <c r="E256" s="535"/>
    </row>
    <row r="257" spans="1:5" x14ac:dyDescent="0.4">
      <c r="A257" s="2036"/>
      <c r="B257" s="2036"/>
      <c r="C257" s="2036"/>
      <c r="D257" s="2036"/>
      <c r="E257" s="535"/>
    </row>
    <row r="258" spans="1:5" x14ac:dyDescent="0.4">
      <c r="A258" s="2036"/>
      <c r="B258" s="2036"/>
      <c r="C258" s="2036"/>
      <c r="D258" s="2036"/>
      <c r="E258" s="535"/>
    </row>
    <row r="259" spans="1:5" x14ac:dyDescent="0.4">
      <c r="A259" s="2036"/>
      <c r="B259" s="2036"/>
      <c r="C259" s="2036"/>
      <c r="D259" s="2036"/>
      <c r="E259" s="535"/>
    </row>
    <row r="260" spans="1:5" x14ac:dyDescent="0.4">
      <c r="A260" s="2036"/>
      <c r="B260" s="2036"/>
      <c r="C260" s="2036"/>
      <c r="D260" s="2036"/>
      <c r="E260" s="535"/>
    </row>
    <row r="261" spans="1:5" x14ac:dyDescent="0.4">
      <c r="A261" s="2036"/>
      <c r="B261" s="2036"/>
      <c r="C261" s="2036"/>
      <c r="D261" s="2036"/>
      <c r="E261" s="535"/>
    </row>
    <row r="262" spans="1:5" x14ac:dyDescent="0.4">
      <c r="A262" s="2036"/>
      <c r="B262" s="2036"/>
      <c r="C262" s="2036"/>
      <c r="D262" s="2036"/>
      <c r="E262" s="535"/>
    </row>
    <row r="263" spans="1:5" x14ac:dyDescent="0.4">
      <c r="A263" s="2036"/>
      <c r="B263" s="2036"/>
      <c r="C263" s="2036"/>
      <c r="D263" s="2036"/>
      <c r="E263" s="535"/>
    </row>
    <row r="264" spans="1:5" x14ac:dyDescent="0.4">
      <c r="A264" s="1579"/>
      <c r="B264" s="1579"/>
      <c r="C264" s="1579"/>
      <c r="D264" s="1579"/>
      <c r="E264" s="535"/>
    </row>
    <row r="265" spans="1:5" x14ac:dyDescent="0.4">
      <c r="A265" s="1579"/>
      <c r="B265" s="1579"/>
      <c r="C265" s="1579"/>
      <c r="D265" s="1579"/>
      <c r="E265" s="535"/>
    </row>
    <row r="266" spans="1:5" x14ac:dyDescent="0.4">
      <c r="A266" s="1579"/>
      <c r="B266" s="1579"/>
      <c r="C266" s="1579"/>
      <c r="D266" s="1579"/>
      <c r="E266" s="535"/>
    </row>
    <row r="267" spans="1:5" x14ac:dyDescent="0.4">
      <c r="A267" s="1579"/>
      <c r="B267" s="1579"/>
      <c r="C267" s="1579"/>
      <c r="D267" s="1579"/>
      <c r="E267" s="535"/>
    </row>
    <row r="268" spans="1:5" x14ac:dyDescent="0.4">
      <c r="A268" s="1579"/>
      <c r="B268" s="1579"/>
      <c r="C268" s="1579"/>
      <c r="D268" s="1579"/>
      <c r="E268" s="535"/>
    </row>
    <row r="269" spans="1:5" x14ac:dyDescent="0.4">
      <c r="A269" s="1579"/>
      <c r="B269" s="1579"/>
      <c r="C269" s="1579"/>
      <c r="D269" s="1579"/>
      <c r="E269" s="535"/>
    </row>
    <row r="270" spans="1:5" x14ac:dyDescent="0.4">
      <c r="A270" s="1579"/>
      <c r="B270" s="1579"/>
      <c r="C270" s="1579"/>
      <c r="D270" s="1579"/>
      <c r="E270" s="535"/>
    </row>
    <row r="271" spans="1:5" x14ac:dyDescent="0.4">
      <c r="A271" s="1579"/>
      <c r="B271" s="1579"/>
      <c r="C271" s="1579"/>
      <c r="D271" s="1579"/>
      <c r="E271" s="535"/>
    </row>
    <row r="272" spans="1:5" x14ac:dyDescent="0.4">
      <c r="A272" s="1579"/>
      <c r="B272" s="1579"/>
      <c r="C272" s="1579"/>
      <c r="D272" s="1579"/>
      <c r="E272" s="535"/>
    </row>
    <row r="273" spans="1:5" x14ac:dyDescent="0.4">
      <c r="A273" s="1579"/>
      <c r="B273" s="1579"/>
      <c r="C273" s="1579"/>
      <c r="D273" s="1579"/>
      <c r="E273" s="535"/>
    </row>
    <row r="274" spans="1:5" x14ac:dyDescent="0.4">
      <c r="A274" s="1579"/>
      <c r="B274" s="1579"/>
      <c r="C274" s="1579"/>
      <c r="D274" s="1579"/>
      <c r="E274" s="535"/>
    </row>
    <row r="275" spans="1:5" x14ac:dyDescent="0.4">
      <c r="A275" s="1579"/>
      <c r="B275" s="1579"/>
      <c r="C275" s="1579"/>
      <c r="D275" s="1579"/>
      <c r="E275" s="535"/>
    </row>
    <row r="276" spans="1:5" x14ac:dyDescent="0.4">
      <c r="A276" s="1579"/>
      <c r="B276" s="1579"/>
      <c r="C276" s="1579"/>
      <c r="D276" s="1579"/>
      <c r="E276" s="535"/>
    </row>
    <row r="277" spans="1:5" x14ac:dyDescent="0.4">
      <c r="A277" s="1579"/>
      <c r="B277" s="1579"/>
      <c r="C277" s="1579"/>
      <c r="D277" s="1579"/>
      <c r="E277" s="535"/>
    </row>
    <row r="278" spans="1:5" x14ac:dyDescent="0.4">
      <c r="A278" s="1579"/>
      <c r="B278" s="1579"/>
      <c r="C278" s="1579"/>
      <c r="D278" s="1579"/>
      <c r="E278" s="535"/>
    </row>
    <row r="279" spans="1:5" x14ac:dyDescent="0.4">
      <c r="A279" s="1579"/>
      <c r="B279" s="1579"/>
      <c r="C279" s="1579"/>
      <c r="D279" s="1579"/>
      <c r="E279" s="535"/>
    </row>
    <row r="280" spans="1:5" x14ac:dyDescent="0.4">
      <c r="A280" s="1579"/>
      <c r="B280" s="1579"/>
      <c r="C280" s="1579"/>
      <c r="D280" s="1579"/>
      <c r="E280" s="535"/>
    </row>
    <row r="281" spans="1:5" x14ac:dyDescent="0.4">
      <c r="A281" s="1579"/>
      <c r="B281" s="1579"/>
      <c r="C281" s="1579"/>
      <c r="D281" s="1579"/>
      <c r="E281" s="535"/>
    </row>
    <row r="282" spans="1:5" x14ac:dyDescent="0.4">
      <c r="A282" s="1579"/>
      <c r="B282" s="1579"/>
      <c r="C282" s="1579"/>
      <c r="D282" s="1579"/>
      <c r="E282" s="535"/>
    </row>
    <row r="283" spans="1:5" x14ac:dyDescent="0.4">
      <c r="A283" s="1579"/>
      <c r="B283" s="1579"/>
      <c r="C283" s="1579"/>
      <c r="D283" s="1579"/>
      <c r="E283" s="535"/>
    </row>
    <row r="284" spans="1:5" x14ac:dyDescent="0.4">
      <c r="A284" s="1579"/>
      <c r="B284" s="1579"/>
      <c r="C284" s="1579"/>
      <c r="D284" s="1579"/>
      <c r="E284" s="535"/>
    </row>
    <row r="285" spans="1:5" x14ac:dyDescent="0.4">
      <c r="A285" s="1579"/>
      <c r="B285" s="1579"/>
      <c r="C285" s="1579"/>
      <c r="D285" s="1579"/>
      <c r="E285" s="535"/>
    </row>
    <row r="286" spans="1:5" x14ac:dyDescent="0.4">
      <c r="A286" s="1579"/>
      <c r="B286" s="1579"/>
      <c r="C286" s="1579"/>
      <c r="D286" s="1579"/>
      <c r="E286" s="535"/>
    </row>
    <row r="287" spans="1:5" x14ac:dyDescent="0.4">
      <c r="A287" s="1579"/>
      <c r="B287" s="1579"/>
      <c r="C287" s="1579"/>
      <c r="D287" s="1579"/>
      <c r="E287" s="535"/>
    </row>
    <row r="288" spans="1:5" x14ac:dyDescent="0.4">
      <c r="A288" s="1579"/>
      <c r="B288" s="1579"/>
      <c r="C288" s="1579"/>
      <c r="D288" s="1579"/>
      <c r="E288" s="535"/>
    </row>
    <row r="289" spans="1:5" x14ac:dyDescent="0.4">
      <c r="A289" s="1579"/>
      <c r="B289" s="1579"/>
      <c r="C289" s="1579"/>
      <c r="D289" s="1579"/>
      <c r="E289" s="535"/>
    </row>
    <row r="290" spans="1:5" x14ac:dyDescent="0.4">
      <c r="A290" s="1579"/>
      <c r="B290" s="1579"/>
      <c r="C290" s="1579"/>
      <c r="D290" s="1579"/>
      <c r="E290" s="535"/>
    </row>
    <row r="291" spans="1:5" x14ac:dyDescent="0.4">
      <c r="A291" s="1579"/>
      <c r="B291" s="1579"/>
      <c r="C291" s="1579"/>
      <c r="D291" s="1579"/>
      <c r="E291" s="535"/>
    </row>
    <row r="292" spans="1:5" x14ac:dyDescent="0.4">
      <c r="A292" s="1579"/>
      <c r="B292" s="1579"/>
      <c r="C292" s="1579"/>
      <c r="D292" s="1579"/>
      <c r="E292" s="535"/>
    </row>
    <row r="293" spans="1:5" x14ac:dyDescent="0.4">
      <c r="A293" s="1579"/>
      <c r="B293" s="1579"/>
      <c r="C293" s="1579"/>
      <c r="D293" s="1579"/>
      <c r="E293" s="535"/>
    </row>
    <row r="294" spans="1:5" x14ac:dyDescent="0.4">
      <c r="A294" s="1579"/>
      <c r="B294" s="1579"/>
      <c r="C294" s="1579"/>
      <c r="D294" s="1579"/>
      <c r="E294" s="535"/>
    </row>
    <row r="295" spans="1:5" x14ac:dyDescent="0.4">
      <c r="A295" s="1579"/>
      <c r="B295" s="1579"/>
      <c r="C295" s="1579"/>
      <c r="D295" s="1579"/>
      <c r="E295" s="535"/>
    </row>
    <row r="296" spans="1:5" x14ac:dyDescent="0.4">
      <c r="A296" s="1579"/>
      <c r="B296" s="1579"/>
      <c r="C296" s="1579"/>
      <c r="D296" s="1579"/>
      <c r="E296" s="535"/>
    </row>
    <row r="297" spans="1:5" x14ac:dyDescent="0.4">
      <c r="A297" s="1579"/>
      <c r="B297" s="1579"/>
      <c r="C297" s="1579"/>
      <c r="D297" s="1579"/>
      <c r="E297" s="535"/>
    </row>
    <row r="298" spans="1:5" x14ac:dyDescent="0.4">
      <c r="A298" s="1579"/>
      <c r="B298" s="1579"/>
      <c r="C298" s="1579"/>
      <c r="D298" s="1579"/>
      <c r="E298" s="535"/>
    </row>
    <row r="299" spans="1:5" x14ac:dyDescent="0.4">
      <c r="A299" s="1579"/>
      <c r="B299" s="1579"/>
      <c r="C299" s="1579"/>
      <c r="D299" s="1579"/>
      <c r="E299" s="535"/>
    </row>
    <row r="300" spans="1:5" x14ac:dyDescent="0.4">
      <c r="A300" s="1579"/>
      <c r="B300" s="1579"/>
      <c r="C300" s="1579"/>
      <c r="D300" s="1579"/>
      <c r="E300" s="535"/>
    </row>
    <row r="301" spans="1:5" x14ac:dyDescent="0.4">
      <c r="A301" s="1579"/>
      <c r="B301" s="1579"/>
      <c r="C301" s="1579"/>
      <c r="D301" s="1579"/>
      <c r="E301" s="535"/>
    </row>
    <row r="302" spans="1:5" x14ac:dyDescent="0.4">
      <c r="A302" s="1579"/>
      <c r="B302" s="1579"/>
      <c r="C302" s="1579"/>
      <c r="D302" s="1579"/>
      <c r="E302" s="535"/>
    </row>
    <row r="303" spans="1:5" x14ac:dyDescent="0.4">
      <c r="A303" s="1579"/>
      <c r="B303" s="1579"/>
      <c r="C303" s="1579"/>
      <c r="D303" s="1579"/>
      <c r="E303" s="535"/>
    </row>
    <row r="304" spans="1:5" x14ac:dyDescent="0.4">
      <c r="A304" s="1579"/>
      <c r="B304" s="1579"/>
      <c r="C304" s="1579"/>
      <c r="D304" s="1579"/>
      <c r="E304" s="535"/>
    </row>
    <row r="305" spans="1:5" x14ac:dyDescent="0.4">
      <c r="A305" s="1579"/>
      <c r="B305" s="1579"/>
      <c r="C305" s="1579"/>
      <c r="D305" s="1579"/>
      <c r="E305" s="535"/>
    </row>
    <row r="306" spans="1:5" x14ac:dyDescent="0.4">
      <c r="A306" s="1579"/>
      <c r="B306" s="1579"/>
      <c r="C306" s="1579"/>
      <c r="D306" s="1579"/>
      <c r="E306" s="535"/>
    </row>
    <row r="307" spans="1:5" x14ac:dyDescent="0.4">
      <c r="A307" s="1579"/>
      <c r="B307" s="1579"/>
      <c r="C307" s="1579"/>
      <c r="D307" s="1579"/>
      <c r="E307" s="535"/>
    </row>
    <row r="308" spans="1:5" x14ac:dyDescent="0.4">
      <c r="A308" s="1579"/>
      <c r="B308" s="1579"/>
      <c r="C308" s="1579"/>
      <c r="D308" s="1579"/>
      <c r="E308" s="535"/>
    </row>
    <row r="309" spans="1:5" x14ac:dyDescent="0.4">
      <c r="A309" s="1579"/>
      <c r="B309" s="1579"/>
      <c r="C309" s="1579"/>
      <c r="D309" s="1579"/>
      <c r="E309" s="535"/>
    </row>
    <row r="310" spans="1:5" x14ac:dyDescent="0.4">
      <c r="A310" s="1579"/>
      <c r="B310" s="1579"/>
      <c r="C310" s="1579"/>
      <c r="D310" s="1579"/>
      <c r="E310" s="535"/>
    </row>
    <row r="311" spans="1:5" x14ac:dyDescent="0.4">
      <c r="A311" s="1579"/>
      <c r="B311" s="1579"/>
      <c r="C311" s="1579"/>
      <c r="D311" s="1579"/>
      <c r="E311" s="535"/>
    </row>
    <row r="312" spans="1:5" x14ac:dyDescent="0.4">
      <c r="A312" s="1579"/>
      <c r="B312" s="1579"/>
      <c r="C312" s="1579"/>
      <c r="D312" s="1579"/>
      <c r="E312" s="535"/>
    </row>
    <row r="313" spans="1:5" x14ac:dyDescent="0.4">
      <c r="A313" s="1579"/>
      <c r="B313" s="1579"/>
      <c r="C313" s="1579"/>
      <c r="D313" s="1579"/>
      <c r="E313" s="535"/>
    </row>
    <row r="314" spans="1:5" x14ac:dyDescent="0.4">
      <c r="A314" s="1579"/>
      <c r="B314" s="1579"/>
      <c r="C314" s="1579"/>
      <c r="D314" s="1579"/>
      <c r="E314" s="535"/>
    </row>
    <row r="315" spans="1:5" x14ac:dyDescent="0.4">
      <c r="A315" s="1579"/>
      <c r="B315" s="1579"/>
      <c r="C315" s="1579"/>
      <c r="D315" s="1579"/>
      <c r="E315" s="535"/>
    </row>
    <row r="316" spans="1:5" x14ac:dyDescent="0.4">
      <c r="A316" s="1579"/>
      <c r="B316" s="1579"/>
      <c r="C316" s="1579"/>
      <c r="D316" s="1579"/>
      <c r="E316" s="535"/>
    </row>
    <row r="317" spans="1:5" x14ac:dyDescent="0.4">
      <c r="A317" s="1579"/>
      <c r="B317" s="1579"/>
      <c r="C317" s="1579"/>
      <c r="D317" s="1579"/>
      <c r="E317" s="535"/>
    </row>
    <row r="318" spans="1:5" x14ac:dyDescent="0.4">
      <c r="A318" s="1579"/>
      <c r="B318" s="1579"/>
      <c r="C318" s="1579"/>
      <c r="D318" s="1579"/>
      <c r="E318" s="535"/>
    </row>
    <row r="319" spans="1:5" x14ac:dyDescent="0.4">
      <c r="A319" s="1579"/>
      <c r="B319" s="1579"/>
      <c r="C319" s="1579"/>
      <c r="D319" s="1579"/>
      <c r="E319" s="535"/>
    </row>
    <row r="320" spans="1:5" x14ac:dyDescent="0.4">
      <c r="A320" s="1579"/>
      <c r="B320" s="1579"/>
      <c r="C320" s="1579"/>
      <c r="D320" s="1579"/>
      <c r="E320" s="535"/>
    </row>
    <row r="321" spans="1:5" x14ac:dyDescent="0.4">
      <c r="A321" s="1579"/>
      <c r="B321" s="1579"/>
      <c r="C321" s="1579"/>
      <c r="D321" s="1579"/>
      <c r="E321" s="535"/>
    </row>
    <row r="322" spans="1:5" x14ac:dyDescent="0.4">
      <c r="A322" s="1579"/>
      <c r="B322" s="1579"/>
      <c r="C322" s="1579"/>
      <c r="D322" s="1579"/>
      <c r="E322" s="535"/>
    </row>
    <row r="323" spans="1:5" x14ac:dyDescent="0.4">
      <c r="A323" s="1579"/>
      <c r="B323" s="1579"/>
      <c r="C323" s="1579"/>
      <c r="D323" s="1579"/>
      <c r="E323" s="535"/>
    </row>
    <row r="324" spans="1:5" x14ac:dyDescent="0.4">
      <c r="A324" s="1579"/>
      <c r="B324" s="1579"/>
      <c r="C324" s="1579"/>
      <c r="D324" s="1579"/>
      <c r="E324" s="535"/>
    </row>
    <row r="325" spans="1:5" x14ac:dyDescent="0.4">
      <c r="A325" s="1579"/>
      <c r="B325" s="1579"/>
      <c r="C325" s="1579"/>
      <c r="D325" s="1579"/>
      <c r="E325" s="535"/>
    </row>
    <row r="326" spans="1:5" x14ac:dyDescent="0.4">
      <c r="A326" s="1579"/>
      <c r="B326" s="1579"/>
      <c r="C326" s="1579"/>
      <c r="D326" s="1579"/>
      <c r="E326" s="535"/>
    </row>
    <row r="327" spans="1:5" x14ac:dyDescent="0.4">
      <c r="A327" s="1579"/>
      <c r="B327" s="1579"/>
      <c r="C327" s="1579"/>
      <c r="D327" s="1579"/>
      <c r="E327" s="535"/>
    </row>
    <row r="328" spans="1:5" x14ac:dyDescent="0.4">
      <c r="A328" s="1579"/>
      <c r="B328" s="1579"/>
      <c r="C328" s="1579"/>
      <c r="D328" s="1579"/>
      <c r="E328" s="535"/>
    </row>
    <row r="329" spans="1:5" x14ac:dyDescent="0.4">
      <c r="A329" s="1579"/>
      <c r="B329" s="1579"/>
      <c r="C329" s="1579"/>
      <c r="D329" s="1579"/>
      <c r="E329" s="535"/>
    </row>
    <row r="330" spans="1:5" x14ac:dyDescent="0.4">
      <c r="A330" s="1579"/>
      <c r="B330" s="1579"/>
      <c r="C330" s="1579"/>
      <c r="D330" s="1579"/>
      <c r="E330" s="535"/>
    </row>
    <row r="331" spans="1:5" x14ac:dyDescent="0.4">
      <c r="A331" s="1579"/>
      <c r="B331" s="1579"/>
      <c r="C331" s="1579"/>
      <c r="D331" s="1579"/>
      <c r="E331" s="535"/>
    </row>
    <row r="332" spans="1:5" x14ac:dyDescent="0.4">
      <c r="A332" s="1579"/>
      <c r="B332" s="1579"/>
      <c r="C332" s="1579"/>
      <c r="D332" s="1579"/>
      <c r="E332" s="535"/>
    </row>
    <row r="333" spans="1:5" x14ac:dyDescent="0.4">
      <c r="A333" s="1579"/>
      <c r="B333" s="1579"/>
      <c r="C333" s="1579"/>
      <c r="D333" s="1579"/>
      <c r="E333" s="535"/>
    </row>
    <row r="334" spans="1:5" x14ac:dyDescent="0.4">
      <c r="A334" s="1579"/>
      <c r="B334" s="1579"/>
      <c r="C334" s="1579"/>
      <c r="D334" s="1579"/>
      <c r="E334" s="535"/>
    </row>
    <row r="335" spans="1:5" x14ac:dyDescent="0.4">
      <c r="A335" s="1579"/>
      <c r="B335" s="1579"/>
      <c r="C335" s="1579"/>
      <c r="D335" s="1579"/>
    </row>
    <row r="336" spans="1:5" x14ac:dyDescent="0.4">
      <c r="A336" s="1579"/>
      <c r="B336" s="1579"/>
      <c r="C336" s="1579"/>
      <c r="D336" s="1579"/>
    </row>
    <row r="337" spans="1:4" x14ac:dyDescent="0.4">
      <c r="A337" s="1579"/>
      <c r="B337" s="1579"/>
      <c r="C337" s="1579"/>
      <c r="D337" s="1579"/>
    </row>
    <row r="338" spans="1:4" x14ac:dyDescent="0.4">
      <c r="A338" s="1579"/>
      <c r="B338" s="1579"/>
      <c r="C338" s="1579"/>
      <c r="D338" s="1579"/>
    </row>
    <row r="339" spans="1:4" x14ac:dyDescent="0.4">
      <c r="A339" s="1579"/>
      <c r="B339" s="1579"/>
      <c r="C339" s="1579"/>
      <c r="D339" s="1579"/>
    </row>
    <row r="340" spans="1:4" x14ac:dyDescent="0.4">
      <c r="A340" s="1579"/>
      <c r="B340" s="1579"/>
      <c r="C340" s="1579"/>
      <c r="D340" s="1579"/>
    </row>
    <row r="341" spans="1:4" x14ac:dyDescent="0.4">
      <c r="A341" s="1579"/>
      <c r="B341" s="1579"/>
      <c r="C341" s="1579"/>
      <c r="D341" s="1579"/>
    </row>
    <row r="342" spans="1:4" x14ac:dyDescent="0.4">
      <c r="A342" s="1579"/>
      <c r="B342" s="1579"/>
      <c r="C342" s="1579"/>
      <c r="D342" s="1579"/>
    </row>
    <row r="343" spans="1:4" x14ac:dyDescent="0.4">
      <c r="A343" s="1579"/>
      <c r="B343" s="1579"/>
      <c r="C343" s="1579"/>
      <c r="D343" s="1579"/>
    </row>
    <row r="344" spans="1:4" x14ac:dyDescent="0.4">
      <c r="A344" s="1579"/>
      <c r="B344" s="1579"/>
      <c r="C344" s="1579"/>
      <c r="D344" s="1579"/>
    </row>
    <row r="345" spans="1:4" x14ac:dyDescent="0.4">
      <c r="A345" s="1579"/>
      <c r="B345" s="1579"/>
      <c r="C345" s="1579"/>
      <c r="D345" s="1579"/>
    </row>
    <row r="346" spans="1:4" x14ac:dyDescent="0.4">
      <c r="A346" s="1579"/>
      <c r="B346" s="1579"/>
      <c r="C346" s="1579"/>
      <c r="D346" s="1579"/>
    </row>
    <row r="347" spans="1:4" x14ac:dyDescent="0.4">
      <c r="A347" s="1579"/>
      <c r="B347" s="1579"/>
      <c r="C347" s="1579"/>
      <c r="D347" s="1579"/>
    </row>
    <row r="348" spans="1:4" x14ac:dyDescent="0.4">
      <c r="A348" s="1579"/>
      <c r="B348" s="1579"/>
      <c r="C348" s="1579"/>
      <c r="D348" s="1579"/>
    </row>
    <row r="349" spans="1:4" x14ac:dyDescent="0.4">
      <c r="A349" s="1579"/>
      <c r="B349" s="1579"/>
      <c r="C349" s="1579"/>
      <c r="D349" s="1579"/>
    </row>
    <row r="350" spans="1:4" x14ac:dyDescent="0.4">
      <c r="A350" s="1579"/>
      <c r="B350" s="1579"/>
      <c r="C350" s="1579"/>
      <c r="D350" s="1579"/>
    </row>
    <row r="351" spans="1:4" x14ac:dyDescent="0.4">
      <c r="A351" s="1579"/>
      <c r="B351" s="1579"/>
      <c r="C351" s="1579"/>
      <c r="D351" s="1579"/>
    </row>
    <row r="352" spans="1:4" x14ac:dyDescent="0.4">
      <c r="A352" s="1579"/>
      <c r="B352" s="1579"/>
      <c r="C352" s="1579"/>
      <c r="D352" s="1579"/>
    </row>
    <row r="353" spans="1:4" x14ac:dyDescent="0.4">
      <c r="A353" s="1579"/>
      <c r="B353" s="1579"/>
      <c r="C353" s="1579"/>
      <c r="D353" s="1579"/>
    </row>
    <row r="364" spans="1:4" x14ac:dyDescent="0.4">
      <c r="A364" s="1579"/>
      <c r="B364" s="1579"/>
      <c r="C364" s="1579"/>
      <c r="D364" s="1579"/>
    </row>
    <row r="365" spans="1:4" x14ac:dyDescent="0.4">
      <c r="A365" s="1579"/>
      <c r="B365" s="1579"/>
      <c r="C365" s="1579"/>
      <c r="D365" s="1579"/>
    </row>
    <row r="366" spans="1:4" x14ac:dyDescent="0.4">
      <c r="A366" s="1579"/>
      <c r="B366" s="1579"/>
      <c r="C366" s="1579"/>
      <c r="D366" s="1579"/>
    </row>
    <row r="367" spans="1:4" x14ac:dyDescent="0.4">
      <c r="A367" s="1579"/>
      <c r="B367" s="1579"/>
      <c r="C367" s="1579"/>
      <c r="D367" s="1579"/>
    </row>
    <row r="368" spans="1:4" x14ac:dyDescent="0.4">
      <c r="A368" s="1579"/>
      <c r="B368" s="1579"/>
      <c r="C368" s="1579"/>
      <c r="D368" s="1579"/>
    </row>
    <row r="369" spans="1:4" x14ac:dyDescent="0.4">
      <c r="A369" s="1579"/>
      <c r="B369" s="1579"/>
      <c r="C369" s="1579"/>
      <c r="D369" s="1579"/>
    </row>
    <row r="370" spans="1:4" x14ac:dyDescent="0.4">
      <c r="A370" s="1579"/>
      <c r="B370" s="1579"/>
      <c r="C370" s="1579"/>
      <c r="D370" s="1579"/>
    </row>
    <row r="371" spans="1:4" x14ac:dyDescent="0.4">
      <c r="A371" s="1579"/>
      <c r="B371" s="1579"/>
      <c r="C371" s="1579"/>
      <c r="D371" s="1579"/>
    </row>
    <row r="372" spans="1:4" x14ac:dyDescent="0.4">
      <c r="A372" s="1579"/>
      <c r="B372" s="1579"/>
      <c r="C372" s="1579"/>
      <c r="D372" s="1579"/>
    </row>
    <row r="373" spans="1:4" x14ac:dyDescent="0.4">
      <c r="A373" s="1579"/>
      <c r="B373" s="1579"/>
      <c r="C373" s="1579"/>
      <c r="D373" s="1579"/>
    </row>
    <row r="374" spans="1:4" x14ac:dyDescent="0.4">
      <c r="A374" s="1579"/>
      <c r="B374" s="1579"/>
      <c r="C374" s="1579"/>
      <c r="D374" s="1579"/>
    </row>
    <row r="375" spans="1:4" x14ac:dyDescent="0.4">
      <c r="A375" s="1579"/>
      <c r="B375" s="1579"/>
      <c r="C375" s="1579"/>
      <c r="D375" s="1579"/>
    </row>
    <row r="376" spans="1:4" x14ac:dyDescent="0.4">
      <c r="A376" s="1579"/>
      <c r="B376" s="1579"/>
      <c r="C376" s="1579"/>
      <c r="D376" s="1579"/>
    </row>
    <row r="377" spans="1:4" x14ac:dyDescent="0.4">
      <c r="A377" s="1579"/>
      <c r="B377" s="1579"/>
      <c r="C377" s="1579"/>
      <c r="D377" s="1579"/>
    </row>
    <row r="379" spans="1:4" x14ac:dyDescent="0.4">
      <c r="A379" s="1579"/>
      <c r="B379" s="1579"/>
      <c r="C379" s="1579"/>
      <c r="D379" s="1579"/>
    </row>
    <row r="380" spans="1:4" x14ac:dyDescent="0.4">
      <c r="A380" s="1579"/>
      <c r="B380" s="1579"/>
      <c r="C380" s="1579"/>
      <c r="D380" s="1579"/>
    </row>
    <row r="381" spans="1:4" x14ac:dyDescent="0.4">
      <c r="A381" s="1579"/>
      <c r="B381" s="1579"/>
      <c r="C381" s="1579"/>
      <c r="D381" s="1579"/>
    </row>
    <row r="382" spans="1:4" x14ac:dyDescent="0.4">
      <c r="A382" s="1579"/>
      <c r="B382" s="1579"/>
      <c r="C382" s="1579"/>
      <c r="D382" s="1579"/>
    </row>
    <row r="383" spans="1:4" x14ac:dyDescent="0.4">
      <c r="A383" s="1579"/>
      <c r="B383" s="1579"/>
      <c r="C383" s="1579"/>
      <c r="D383" s="1579"/>
    </row>
    <row r="384" spans="1:4" x14ac:dyDescent="0.4">
      <c r="A384" s="1579"/>
      <c r="B384" s="1579"/>
      <c r="C384" s="1579"/>
      <c r="D384" s="1579"/>
    </row>
    <row r="385" spans="1:4" x14ac:dyDescent="0.4">
      <c r="A385" s="1579"/>
      <c r="B385" s="1579"/>
      <c r="C385" s="1579"/>
      <c r="D385" s="1579"/>
    </row>
    <row r="386" spans="1:4" x14ac:dyDescent="0.4">
      <c r="A386" s="1579"/>
      <c r="B386" s="1579"/>
      <c r="C386" s="1579"/>
      <c r="D386" s="1579"/>
    </row>
    <row r="387" spans="1:4" x14ac:dyDescent="0.4">
      <c r="A387" s="1579"/>
      <c r="B387" s="1579"/>
      <c r="C387" s="1579"/>
      <c r="D387" s="1579"/>
    </row>
    <row r="388" spans="1:4" x14ac:dyDescent="0.4">
      <c r="A388" s="1579"/>
      <c r="B388" s="1579"/>
      <c r="C388" s="1579"/>
      <c r="D388" s="1579"/>
    </row>
    <row r="389" spans="1:4" x14ac:dyDescent="0.4">
      <c r="A389" s="1579"/>
      <c r="B389" s="1579"/>
      <c r="C389" s="1579"/>
      <c r="D389" s="1579"/>
    </row>
    <row r="390" spans="1:4" x14ac:dyDescent="0.4">
      <c r="A390" s="1579"/>
      <c r="B390" s="1579"/>
      <c r="C390" s="1579"/>
      <c r="D390" s="1579"/>
    </row>
    <row r="391" spans="1:4" x14ac:dyDescent="0.4">
      <c r="A391" s="1579"/>
      <c r="B391" s="1579"/>
      <c r="C391" s="1579"/>
      <c r="D391" s="1579"/>
    </row>
    <row r="392" spans="1:4" x14ac:dyDescent="0.4">
      <c r="A392" s="1579"/>
      <c r="B392" s="1579"/>
      <c r="C392" s="1579"/>
      <c r="D392" s="1579"/>
    </row>
    <row r="393" spans="1:4" x14ac:dyDescent="0.4">
      <c r="A393" s="1579"/>
      <c r="B393" s="1579"/>
      <c r="C393" s="1579"/>
      <c r="D393" s="1579"/>
    </row>
    <row r="394" spans="1:4" x14ac:dyDescent="0.4">
      <c r="A394" s="1579"/>
      <c r="B394" s="1579"/>
      <c r="C394" s="1579"/>
      <c r="D394" s="1579"/>
    </row>
    <row r="395" spans="1:4" x14ac:dyDescent="0.4">
      <c r="A395" s="1579"/>
      <c r="B395" s="1579"/>
      <c r="C395" s="1579"/>
      <c r="D395" s="1579"/>
    </row>
    <row r="396" spans="1:4" x14ac:dyDescent="0.4">
      <c r="A396" s="1579"/>
      <c r="B396" s="1579"/>
      <c r="C396" s="1579"/>
      <c r="D396" s="1579"/>
    </row>
    <row r="397" spans="1:4" x14ac:dyDescent="0.4">
      <c r="A397" s="1579"/>
      <c r="B397" s="1579"/>
      <c r="C397" s="1579"/>
      <c r="D397" s="1579"/>
    </row>
    <row r="398" spans="1:4" x14ac:dyDescent="0.4">
      <c r="A398" s="1579"/>
      <c r="B398" s="1579"/>
      <c r="C398" s="1579"/>
      <c r="D398" s="1579"/>
    </row>
    <row r="399" spans="1:4" x14ac:dyDescent="0.4">
      <c r="A399" s="1579"/>
      <c r="B399" s="1579"/>
      <c r="C399" s="1579"/>
      <c r="D399" s="1579"/>
    </row>
  </sheetData>
  <autoFilter ref="A29:AB240"/>
  <mergeCells count="35">
    <mergeCell ref="Y7:Y8"/>
    <mergeCell ref="Z7:Z8"/>
    <mergeCell ref="W7:W8"/>
    <mergeCell ref="X7:X8"/>
    <mergeCell ref="Q6:Q8"/>
    <mergeCell ref="Y6:Z6"/>
    <mergeCell ref="U7:U8"/>
    <mergeCell ref="V7:V8"/>
    <mergeCell ref="T7:T8"/>
    <mergeCell ref="A2:Z2"/>
    <mergeCell ref="A3:Z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W6:X6"/>
    <mergeCell ref="W5:Z5"/>
    <mergeCell ref="I6:I8"/>
    <mergeCell ref="H5:H8"/>
    <mergeCell ref="O6:O8"/>
    <mergeCell ref="P6:P8"/>
    <mergeCell ref="S5:V5"/>
    <mergeCell ref="U6:V6"/>
    <mergeCell ref="J6:J8"/>
    <mergeCell ref="K6:K8"/>
    <mergeCell ref="S7:S8"/>
    <mergeCell ref="L6:L8"/>
    <mergeCell ref="M6:M8"/>
  </mergeCells>
  <phoneticPr fontId="0" type="noConversion"/>
  <printOptions horizontalCentered="1"/>
  <pageMargins left="0.39370078740157483" right="0.39370078740157483" top="0.68" bottom="0.39370078740157483" header="0.51181102362204722" footer="0.19685039370078741"/>
  <pageSetup paperSize="9" scale="57" fitToHeight="0" orientation="landscape" r:id="rId1"/>
  <headerFooter alignWithMargins="0">
    <oddFooter>&amp;L&amp;"Times New Roman,обычный"&amp;10Хотимское ДРСУ-216&amp;R&amp;"Times New Roman,обычный"&amp;10&amp;P</oddFooter>
  </headerFooter>
  <rowBreaks count="6" manualBreakCount="6">
    <brk id="38" max="24" man="1"/>
    <brk id="69" max="24" man="1"/>
    <brk id="102" max="24" man="1"/>
    <brk id="171" max="24" man="1"/>
    <brk id="200" max="24" man="1"/>
    <brk id="22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M421"/>
  <sheetViews>
    <sheetView tabSelected="1" zoomScale="90" zoomScaleNormal="90" workbookViewId="0">
      <pane xSplit="5" ySplit="10" topLeftCell="F11" activePane="bottomRight" state="frozen"/>
      <selection activeCell="V129" sqref="V129"/>
      <selection pane="topRight" activeCell="V129" sqref="V129"/>
      <selection pane="bottomLeft" activeCell="V129" sqref="V129"/>
      <selection pane="bottomRight" activeCell="H5" sqref="H5:H8"/>
    </sheetView>
  </sheetViews>
  <sheetFormatPr defaultRowHeight="16" x14ac:dyDescent="0.25"/>
  <cols>
    <col min="1" max="1" width="4.4140625" customWidth="1"/>
    <col min="2" max="3" width="7.25" hidden="1" customWidth="1"/>
    <col min="4" max="4" width="7.33203125" customWidth="1"/>
    <col min="5" max="5" width="43.4140625" customWidth="1"/>
    <col min="6" max="6" width="6.75" customWidth="1"/>
    <col min="7" max="8" width="7.25" customWidth="1"/>
    <col min="9" max="9" width="6.75" customWidth="1"/>
    <col min="10" max="10" width="6.9140625" customWidth="1"/>
    <col min="11" max="12" width="6.75" customWidth="1"/>
    <col min="13" max="13" width="6.9140625" customWidth="1"/>
    <col min="14" max="18" width="6.75" customWidth="1"/>
    <col min="19" max="19" width="4.4140625" customWidth="1"/>
    <col min="20" max="20" width="6.25" customWidth="1"/>
    <col min="21" max="21" width="4.4140625" customWidth="1"/>
    <col min="22" max="22" width="5.6640625" customWidth="1"/>
    <col min="23" max="23" width="4.4140625" style="37" customWidth="1"/>
    <col min="24" max="24" width="7.9140625" style="37" customWidth="1"/>
    <col min="25" max="25" width="4.58203125" style="37" customWidth="1"/>
    <col min="26" max="26" width="7.75" style="37" customWidth="1"/>
    <col min="30" max="30" width="11" bestFit="1" customWidth="1"/>
    <col min="37" max="37" width="21.6640625" customWidth="1"/>
  </cols>
  <sheetData>
    <row r="1" spans="1:39" ht="15.5" x14ac:dyDescent="0.35">
      <c r="A1" s="1"/>
      <c r="B1" s="1"/>
      <c r="C1" s="1"/>
      <c r="D1" s="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6"/>
      <c r="X1" s="6"/>
      <c r="Y1" s="6"/>
      <c r="Z1" s="6"/>
    </row>
    <row r="2" spans="1:39" ht="20" x14ac:dyDescent="0.25">
      <c r="A2" s="3084" t="s">
        <v>10616</v>
      </c>
      <c r="B2" s="3084"/>
      <c r="C2" s="3084"/>
      <c r="D2" s="3084"/>
      <c r="E2" s="3084"/>
      <c r="F2" s="3084"/>
      <c r="G2" s="3084"/>
      <c r="H2" s="3084"/>
      <c r="I2" s="3084"/>
      <c r="J2" s="3084"/>
      <c r="K2" s="3084"/>
      <c r="L2" s="3084"/>
      <c r="M2" s="3084"/>
      <c r="N2" s="3084"/>
      <c r="O2" s="3084"/>
      <c r="P2" s="3084"/>
      <c r="Q2" s="3084"/>
      <c r="R2" s="3084"/>
      <c r="S2" s="3084"/>
      <c r="T2" s="3084"/>
      <c r="U2" s="3084"/>
      <c r="V2" s="3084"/>
      <c r="W2" s="3084"/>
      <c r="X2" s="3084"/>
      <c r="Y2" s="3084"/>
      <c r="Z2" s="3084"/>
    </row>
    <row r="3" spans="1:39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8.5" thickBot="1" x14ac:dyDescent="0.45">
      <c r="A4" s="26"/>
      <c r="B4" s="26"/>
      <c r="C4" s="26"/>
      <c r="D4" s="36"/>
      <c r="E4" s="28"/>
      <c r="F4" s="26"/>
      <c r="G4" s="230"/>
      <c r="H4" s="230"/>
      <c r="I4" s="1788"/>
      <c r="J4" s="1788"/>
      <c r="K4" s="26"/>
      <c r="L4" s="26"/>
      <c r="M4" s="26"/>
      <c r="N4" s="26"/>
      <c r="O4" s="26"/>
      <c r="P4" s="26"/>
      <c r="Q4" s="3"/>
      <c r="R4" s="1798"/>
      <c r="S4" s="3"/>
      <c r="T4" s="3"/>
      <c r="U4" s="3"/>
      <c r="V4" s="3"/>
      <c r="W4" s="7"/>
      <c r="X4" s="7"/>
      <c r="Y4" s="7"/>
      <c r="Z4" s="7"/>
    </row>
    <row r="5" spans="1:39" ht="15.75" customHeight="1" x14ac:dyDescent="0.3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8.25" customHeight="1" x14ac:dyDescent="0.2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" customHeight="1" x14ac:dyDescent="0.2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5.75" customHeight="1" thickBot="1" x14ac:dyDescent="0.3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s="5" customFormat="1" ht="15.75" customHeight="1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s="43" customFormat="1" ht="15.5" thickBot="1" x14ac:dyDescent="0.35">
      <c r="A10" s="450"/>
      <c r="B10" s="1267"/>
      <c r="C10" s="1267"/>
      <c r="D10" s="462"/>
      <c r="E10" s="1207" t="s">
        <v>2392</v>
      </c>
      <c r="F10" s="1207"/>
      <c r="G10" s="1207"/>
      <c r="H10" s="1207"/>
      <c r="I10" s="803">
        <f>J10+K10+L10</f>
        <v>495.87400000000002</v>
      </c>
      <c r="J10" s="803">
        <f>M10+N10+O10+P10+Q10+R10</f>
        <v>487.40800000000002</v>
      </c>
      <c r="K10" s="803">
        <f t="shared" ref="K10:R10" si="0">K11+K12+K13+K14</f>
        <v>3.214</v>
      </c>
      <c r="L10" s="803">
        <f t="shared" si="0"/>
        <v>5.251999999999998</v>
      </c>
      <c r="M10" s="803">
        <f t="shared" si="0"/>
        <v>0</v>
      </c>
      <c r="N10" s="803">
        <f t="shared" si="0"/>
        <v>206.91900000000004</v>
      </c>
      <c r="O10" s="613">
        <f t="shared" si="0"/>
        <v>2.6850000000000001</v>
      </c>
      <c r="P10" s="803">
        <f t="shared" si="0"/>
        <v>0</v>
      </c>
      <c r="Q10" s="930">
        <f>Q11+Q12+Q13+Q14</f>
        <v>132.28999999999996</v>
      </c>
      <c r="R10" s="923">
        <f t="shared" si="0"/>
        <v>145.51400000000001</v>
      </c>
      <c r="S10" s="1608">
        <f>SUM(S30:S956)</f>
        <v>21</v>
      </c>
      <c r="T10" s="1460">
        <f t="shared" ref="T10:Z10" si="1">SUM(T30:T956)</f>
        <v>633.25</v>
      </c>
      <c r="U10" s="1608">
        <f t="shared" si="1"/>
        <v>0</v>
      </c>
      <c r="V10" s="1460">
        <f t="shared" si="1"/>
        <v>0</v>
      </c>
      <c r="W10" s="1608">
        <f t="shared" si="1"/>
        <v>809</v>
      </c>
      <c r="X10" s="1460">
        <f t="shared" si="1"/>
        <v>10251.239999999998</v>
      </c>
      <c r="Y10" s="1608">
        <f t="shared" si="1"/>
        <v>194</v>
      </c>
      <c r="Z10" s="1460">
        <f t="shared" si="1"/>
        <v>2215.6</v>
      </c>
      <c r="AB10" s="1268">
        <f>SUM(AB30:AB962)</f>
        <v>188</v>
      </c>
      <c r="AK10" s="2150" t="s">
        <v>11226</v>
      </c>
      <c r="AM10" s="2812" t="s">
        <v>11227</v>
      </c>
    </row>
    <row r="11" spans="1:39" ht="15.5" x14ac:dyDescent="0.35">
      <c r="A11" s="182"/>
      <c r="B11" s="992"/>
      <c r="C11" s="992"/>
      <c r="D11" s="183"/>
      <c r="E11" s="1264" t="s">
        <v>909</v>
      </c>
      <c r="F11" s="1245">
        <v>3</v>
      </c>
      <c r="G11" s="1245"/>
      <c r="H11" s="1245"/>
      <c r="I11" s="1246"/>
      <c r="J11" s="1246"/>
      <c r="K11" s="1246"/>
      <c r="L11" s="1246"/>
      <c r="M11" s="1246"/>
      <c r="N11" s="1246"/>
      <c r="O11" s="1247"/>
      <c r="P11" s="1246"/>
      <c r="Q11" s="1248"/>
      <c r="R11" s="1255"/>
      <c r="S11" s="261"/>
      <c r="T11" s="261"/>
      <c r="U11" s="261"/>
      <c r="V11" s="261"/>
      <c r="W11" s="261"/>
      <c r="X11" s="261"/>
      <c r="Y11" s="261"/>
      <c r="Z11" s="261"/>
      <c r="AA11" s="3"/>
      <c r="AB11" s="3"/>
      <c r="AD11" s="2782" t="s">
        <v>11132</v>
      </c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32.314</v>
      </c>
      <c r="AM11" s="2814">
        <f>AL11-J18</f>
        <v>0</v>
      </c>
    </row>
    <row r="12" spans="1:39" ht="15.5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250">
        <f t="shared" ref="I12:I20" si="2">J12+K12+L12</f>
        <v>240.017</v>
      </c>
      <c r="J12" s="1250">
        <f t="shared" ref="J12:J20" si="3">R12+Q12+P12+O12+N12+M12</f>
        <v>232.536</v>
      </c>
      <c r="K12" s="1250">
        <f>SUMIF(F30:F909,4,K30:K909)</f>
        <v>3.214</v>
      </c>
      <c r="L12" s="1250">
        <f>SUMIF(F30:F909,4,L30:L909)</f>
        <v>4.2669999999999977</v>
      </c>
      <c r="M12" s="1250">
        <f>SUMIF(F30:F909,4,M30:M909)</f>
        <v>0</v>
      </c>
      <c r="N12" s="1250">
        <f>SUMIF(F30:F909,4,N30:N909)</f>
        <v>165.91100000000003</v>
      </c>
      <c r="O12" s="1251">
        <f>SUMIF(F30:F909,4,O30:O909)</f>
        <v>0.23499999999999999</v>
      </c>
      <c r="P12" s="1250">
        <f>SUMIF(F30:F909,4,P30:P909)</f>
        <v>0</v>
      </c>
      <c r="Q12" s="1252">
        <f>SUMIF(F30:F909,4,Q30:Q909)</f>
        <v>66.389999999999986</v>
      </c>
      <c r="R12" s="1256">
        <f>SUMIF(F30:F909,4,R30:R909)</f>
        <v>0</v>
      </c>
      <c r="S12" s="275"/>
      <c r="T12" s="275"/>
      <c r="U12" s="275"/>
      <c r="V12" s="275"/>
      <c r="W12" s="275"/>
      <c r="X12" s="275"/>
      <c r="Y12" s="275"/>
      <c r="Z12" s="275"/>
      <c r="AA12" s="3"/>
      <c r="AB12" s="3"/>
      <c r="AD12" s="2777" t="s">
        <v>11125</v>
      </c>
      <c r="AF12" s="2778"/>
      <c r="AK12" s="2815" t="s">
        <v>11229</v>
      </c>
      <c r="AL12" s="2816"/>
      <c r="AM12" s="2817"/>
    </row>
    <row r="13" spans="1:39" ht="15.5" x14ac:dyDescent="0.35">
      <c r="A13" s="285"/>
      <c r="B13" s="993"/>
      <c r="C13" s="993"/>
      <c r="D13" s="274"/>
      <c r="E13" s="640"/>
      <c r="F13" s="1249">
        <v>5</v>
      </c>
      <c r="G13" s="1249"/>
      <c r="H13" s="1249"/>
      <c r="I13" s="1250">
        <f t="shared" si="2"/>
        <v>95.111999999999981</v>
      </c>
      <c r="J13" s="1250">
        <f t="shared" si="3"/>
        <v>94.560999999999979</v>
      </c>
      <c r="K13" s="1250">
        <f>SUMIF(F30:F909,5,K30:K909)</f>
        <v>0</v>
      </c>
      <c r="L13" s="1250">
        <f>SUMIF(F30:F909,5,L30:L909)</f>
        <v>0.55099999999999993</v>
      </c>
      <c r="M13" s="1250">
        <f>SUMIF(F30:F909,5,M30:M909)</f>
        <v>0</v>
      </c>
      <c r="N13" s="1250">
        <f>SUMIF(F30:F909,5,N30:N909)</f>
        <v>31.208999999999993</v>
      </c>
      <c r="O13" s="1251">
        <f>SUMIF(F30:F909,5,O30:O909)</f>
        <v>0</v>
      </c>
      <c r="P13" s="1250">
        <f>SUMIF(F30:F909,5,P30:P909)</f>
        <v>0</v>
      </c>
      <c r="Q13" s="1252">
        <f>SUMIF(F30:F909,5,Q30:Q909)</f>
        <v>61.161999999999985</v>
      </c>
      <c r="R13" s="1256">
        <f>SUMIF(F30:F909,5,R30:R909)</f>
        <v>2.19</v>
      </c>
      <c r="S13" s="275"/>
      <c r="T13" s="275"/>
      <c r="U13" s="275"/>
      <c r="V13" s="275"/>
      <c r="W13" s="275"/>
      <c r="X13" s="275"/>
      <c r="Y13" s="275"/>
      <c r="Z13" s="275"/>
      <c r="AA13" s="3"/>
      <c r="AB13" s="3"/>
      <c r="AD13" s="2777" t="s">
        <v>11126</v>
      </c>
      <c r="AF13" s="2778">
        <v>79</v>
      </c>
      <c r="AG13" s="2783">
        <f>M12+N12+O12</f>
        <v>166.14600000000004</v>
      </c>
      <c r="AH13" s="2783">
        <f>M13+N13+O13</f>
        <v>31.208999999999993</v>
      </c>
      <c r="AI13" s="2784">
        <f>M14+N14+O14</f>
        <v>12.248999999999999</v>
      </c>
      <c r="AK13" s="2818" t="s">
        <v>7184</v>
      </c>
      <c r="AL13" s="2819">
        <f>AL14+AL15+AL16+AL17+AL18</f>
        <v>32.314</v>
      </c>
      <c r="AM13" s="2820">
        <f>AL13-AF29</f>
        <v>0</v>
      </c>
    </row>
    <row r="14" spans="1:39" ht="15.5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 t="shared" si="2"/>
        <v>160.745</v>
      </c>
      <c r="J14" s="1250">
        <f t="shared" si="3"/>
        <v>160.31100000000001</v>
      </c>
      <c r="K14" s="1250">
        <f>K15+K16+K17</f>
        <v>0</v>
      </c>
      <c r="L14" s="1250">
        <f>L15+L16+L17</f>
        <v>0.43399999999999994</v>
      </c>
      <c r="M14" s="1250">
        <f t="shared" ref="M14:R14" si="4">M15+M16+M17</f>
        <v>0</v>
      </c>
      <c r="N14" s="1250">
        <f t="shared" si="4"/>
        <v>9.7989999999999977</v>
      </c>
      <c r="O14" s="1251">
        <f t="shared" si="4"/>
        <v>2.4500000000000002</v>
      </c>
      <c r="P14" s="1317">
        <f t="shared" si="4"/>
        <v>0</v>
      </c>
      <c r="Q14" s="1252">
        <f t="shared" si="4"/>
        <v>4.7380000000000004</v>
      </c>
      <c r="R14" s="1256">
        <f t="shared" si="4"/>
        <v>143.32400000000001</v>
      </c>
      <c r="S14" s="275"/>
      <c r="T14" s="275"/>
      <c r="U14" s="275"/>
      <c r="V14" s="275"/>
      <c r="W14" s="275"/>
      <c r="X14" s="275"/>
      <c r="Y14" s="275"/>
      <c r="Z14" s="275"/>
      <c r="AA14" s="3"/>
      <c r="AB14" s="3"/>
      <c r="AD14" s="2777" t="s">
        <v>11127</v>
      </c>
      <c r="AF14" s="2778">
        <v>80</v>
      </c>
      <c r="AG14" s="2785">
        <f>P12+Q12</f>
        <v>66.389999999999986</v>
      </c>
      <c r="AH14" s="2785">
        <f>P13+Q13</f>
        <v>61.161999999999985</v>
      </c>
      <c r="AI14" s="2786">
        <f>P14+Q14</f>
        <v>4.7380000000000004</v>
      </c>
      <c r="AK14" s="2815" t="s">
        <v>11230</v>
      </c>
      <c r="AL14" s="2579">
        <f>SUMIFS(M30:M954,F30:F954,4,G30:G954,3)</f>
        <v>0</v>
      </c>
      <c r="AM14" s="2817"/>
    </row>
    <row r="15" spans="1:39" ht="15.5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 t="shared" si="2"/>
        <v>52.961999999999989</v>
      </c>
      <c r="J15" s="1318">
        <f t="shared" si="3"/>
        <v>52.676999999999992</v>
      </c>
      <c r="K15" s="1318">
        <f>SUMIF(F30:F949,"=6а",K30:K949)</f>
        <v>0</v>
      </c>
      <c r="L15" s="1318">
        <f>SUMIF(F30:F949,"=6а",L30:L949)</f>
        <v>0.28499999999999998</v>
      </c>
      <c r="M15" s="1318">
        <f>SUMIF(F30:F949,"=6а",M30:M949)</f>
        <v>0</v>
      </c>
      <c r="N15" s="1318">
        <f>SUMIF(F30:F949,"=6а",N30:N949)</f>
        <v>8.2349999999999977</v>
      </c>
      <c r="O15" s="1319">
        <f>SUMIF(F30:F949,"=6а",O30:O949)</f>
        <v>1.35</v>
      </c>
      <c r="P15" s="1320">
        <f>SUMIF(F30:F949,"=6а",P30:P949)</f>
        <v>0</v>
      </c>
      <c r="Q15" s="1321">
        <f>SUMIF(F30:F949,"=6а",Q30:Q949)</f>
        <v>4.4380000000000006</v>
      </c>
      <c r="R15" s="1322">
        <f>SUMIF(F30:F949,"=6а",R30:R949)</f>
        <v>38.653999999999989</v>
      </c>
      <c r="S15" s="275"/>
      <c r="T15" s="275"/>
      <c r="U15" s="275"/>
      <c r="V15" s="275"/>
      <c r="W15" s="275"/>
      <c r="X15" s="275"/>
      <c r="Y15" s="275"/>
      <c r="Z15" s="275"/>
      <c r="AA15" s="3"/>
      <c r="AB15" s="3"/>
      <c r="AD15" s="2777" t="s">
        <v>11128</v>
      </c>
      <c r="AF15" s="2778">
        <v>81</v>
      </c>
      <c r="AG15" s="2787">
        <f>R12</f>
        <v>0</v>
      </c>
      <c r="AH15" s="2787">
        <f>R13</f>
        <v>2.19</v>
      </c>
      <c r="AI15" s="2788">
        <f>R14</f>
        <v>143.32400000000001</v>
      </c>
      <c r="AK15" s="2815" t="s">
        <v>11231</v>
      </c>
      <c r="AL15" s="2579">
        <f>SUMIFS(N30:N954,F30:F954,4,G30:G954,3)</f>
        <v>27.911000000000001</v>
      </c>
      <c r="AM15" s="2817"/>
    </row>
    <row r="16" spans="1:39" ht="15.5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 t="shared" si="2"/>
        <v>31.866000000000003</v>
      </c>
      <c r="J16" s="1318">
        <f t="shared" si="3"/>
        <v>31.817000000000004</v>
      </c>
      <c r="K16" s="1318">
        <f>SUMIF(F30:F950,"=6б",K30:K950)</f>
        <v>0</v>
      </c>
      <c r="L16" s="1318">
        <f>SUMIF(F30:F950,"=6б",L30:L950)</f>
        <v>4.9000000000000002E-2</v>
      </c>
      <c r="M16" s="1318">
        <f>SUMIF(F30:F950,"=6б",M30:M950)</f>
        <v>0</v>
      </c>
      <c r="N16" s="1318">
        <f>SUMIF(F30:F950,"=6б",N30:N950)</f>
        <v>1.5640000000000001</v>
      </c>
      <c r="O16" s="1319">
        <f>SUMIF(F30:F950,"=6б",O30:O950)</f>
        <v>1.1000000000000001</v>
      </c>
      <c r="P16" s="1320">
        <f>SUMIF(F30:F950,"=6б",P30:P950)</f>
        <v>0</v>
      </c>
      <c r="Q16" s="1321">
        <f>SUMIF(F30:F950,"=6б",Q30:Q950)</f>
        <v>0.3</v>
      </c>
      <c r="R16" s="1322">
        <f>SUMIF(F30:F950,"=6б",R30:R950)</f>
        <v>28.853000000000002</v>
      </c>
      <c r="S16" s="275"/>
      <c r="T16" s="275"/>
      <c r="U16" s="275"/>
      <c r="V16" s="275"/>
      <c r="W16" s="275"/>
      <c r="X16" s="275"/>
      <c r="Y16" s="275"/>
      <c r="Z16" s="275"/>
      <c r="AA16" s="3"/>
      <c r="AB16" s="3"/>
      <c r="AK16" s="2815" t="s">
        <v>11232</v>
      </c>
      <c r="AL16" s="2579">
        <f>SUMIFS(O30:O954,F30:F954,4,G30:G954,3)</f>
        <v>0</v>
      </c>
      <c r="AM16" s="2817"/>
    </row>
    <row r="17" spans="1:39" ht="15.5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93">
        <f t="shared" si="2"/>
        <v>75.917000000000002</v>
      </c>
      <c r="J17" s="2272">
        <f t="shared" si="3"/>
        <v>75.817000000000007</v>
      </c>
      <c r="K17" s="2272">
        <f>SUMIF(F30:F951,"=б/к",K30:K951)</f>
        <v>0</v>
      </c>
      <c r="L17" s="2272">
        <f>SUMIF(F30:F951,"=б/к",L30:L951)</f>
        <v>0.1</v>
      </c>
      <c r="M17" s="2272">
        <f>SUMIF(F30:F951,"=б/к",M30:M951)</f>
        <v>0</v>
      </c>
      <c r="N17" s="2272">
        <f>SUMIF(F30:F951,"=б/к",N30:N951)</f>
        <v>0</v>
      </c>
      <c r="O17" s="2272">
        <f>SUMIF(F30:F951,"=б/к",O30:O951)</f>
        <v>0</v>
      </c>
      <c r="P17" s="2272">
        <f>SUMIF(F30:F951,"=б/к",P30:P951)</f>
        <v>0</v>
      </c>
      <c r="Q17" s="2273">
        <f>SUMIF(F30:F951,"=б/к",Q30:Q951)</f>
        <v>0</v>
      </c>
      <c r="R17" s="2292">
        <f>SUMIF(F30:F951,"=б/к",R30:R951)</f>
        <v>75.817000000000007</v>
      </c>
      <c r="S17" s="275"/>
      <c r="T17" s="275"/>
      <c r="U17" s="275"/>
      <c r="V17" s="275"/>
      <c r="W17" s="275"/>
      <c r="X17" s="275"/>
      <c r="Y17" s="275"/>
      <c r="Z17" s="275"/>
      <c r="AA17" s="3"/>
      <c r="AB17" s="3"/>
      <c r="AK17" s="2815" t="s">
        <v>11233</v>
      </c>
      <c r="AL17" s="2579">
        <f>SUMIFS(P30:P954,F30:F954,4,G30:G954,3)+SUMIFS(Q30:Q954,F30:F954,4,G30:G954,3)</f>
        <v>4.4029999999999987</v>
      </c>
      <c r="AM17" s="2817"/>
    </row>
    <row r="18" spans="1:39" ht="15.5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242">
        <f t="shared" si="2"/>
        <v>36.533000000000001</v>
      </c>
      <c r="J18" s="1242">
        <f t="shared" si="3"/>
        <v>32.314</v>
      </c>
      <c r="K18" s="1242">
        <f>SUMIF(G30:G909,3,K30:K909)</f>
        <v>3.214</v>
      </c>
      <c r="L18" s="1242">
        <f>SUMIF(G30:G909,3,L30:L909)</f>
        <v>1.004999999999999</v>
      </c>
      <c r="M18" s="1242">
        <f>SUMIF(G30:G909,3,M30:M909)</f>
        <v>0</v>
      </c>
      <c r="N18" s="1242">
        <f>SUMIF(G30:G909,3,N30:N909)</f>
        <v>27.911000000000001</v>
      </c>
      <c r="O18" s="1243">
        <f>SUMIF(G30:G909,3,O30:O909)</f>
        <v>0</v>
      </c>
      <c r="P18" s="1242">
        <f>SUMIF(G30:G909,3,P30:P909)</f>
        <v>0</v>
      </c>
      <c r="Q18" s="1244">
        <f>SUMIF(G30:G909,3,Q30:Q909)</f>
        <v>4.4029999999999987</v>
      </c>
      <c r="R18" s="1257">
        <f>SUMIF(G30:G909,3,R30:R909)</f>
        <v>0</v>
      </c>
      <c r="S18" s="275"/>
      <c r="T18" s="275"/>
      <c r="U18" s="275"/>
      <c r="V18" s="275"/>
      <c r="W18" s="275"/>
      <c r="X18" s="275"/>
      <c r="Y18" s="275"/>
      <c r="Z18" s="275"/>
      <c r="AA18" s="3"/>
      <c r="AB18" s="3"/>
      <c r="AK18" s="2815" t="s">
        <v>910</v>
      </c>
      <c r="AL18" s="2579">
        <f>SUMIFS(R30:R954,F30:F954,4,G30:G954,3)</f>
        <v>0</v>
      </c>
      <c r="AM18" s="2817"/>
    </row>
    <row r="19" spans="1:39" ht="15.5" x14ac:dyDescent="0.35">
      <c r="A19" s="285"/>
      <c r="B19" s="993"/>
      <c r="C19" s="993"/>
      <c r="D19" s="274"/>
      <c r="E19" s="98"/>
      <c r="F19" s="1240"/>
      <c r="G19" s="1241">
        <v>4</v>
      </c>
      <c r="H19" s="1241"/>
      <c r="I19" s="1242">
        <f t="shared" si="2"/>
        <v>107.702</v>
      </c>
      <c r="J19" s="1242">
        <f t="shared" si="3"/>
        <v>106.98699999999999</v>
      </c>
      <c r="K19" s="1242">
        <f>SUMIF(G30:G909,4,K30:K909)</f>
        <v>0</v>
      </c>
      <c r="L19" s="1242">
        <f>SUMIF(G30:G909,4,L30:L909)</f>
        <v>0.71500000000000008</v>
      </c>
      <c r="M19" s="1242">
        <f>SUMIF(G30:G909,4,M30:M909)</f>
        <v>0</v>
      </c>
      <c r="N19" s="1242">
        <f>SUMIF(G30:G909,4,N30:N909)</f>
        <v>75.413999999999987</v>
      </c>
      <c r="O19" s="1243">
        <f>SUMIF(G30:G909,4,O30:O909)</f>
        <v>0</v>
      </c>
      <c r="P19" s="1242">
        <f>SUMIF(G30:G909,4,P30:P909)</f>
        <v>0</v>
      </c>
      <c r="Q19" s="1244">
        <f>SUMIF(G30:G909,4,Q30:Q909)</f>
        <v>31.573</v>
      </c>
      <c r="R19" s="1257">
        <f>SUMIF(G30:G909,4,R30:R909)</f>
        <v>0</v>
      </c>
      <c r="S19" s="275"/>
      <c r="T19" s="275"/>
      <c r="U19" s="275"/>
      <c r="V19" s="275"/>
      <c r="W19" s="275"/>
      <c r="X19" s="275"/>
      <c r="Y19" s="275"/>
      <c r="Z19" s="275"/>
      <c r="AA19" s="3"/>
      <c r="AB19" s="3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ht="15.5" x14ac:dyDescent="0.35">
      <c r="A20" s="285"/>
      <c r="B20" s="993"/>
      <c r="C20" s="993"/>
      <c r="D20" s="274"/>
      <c r="E20" s="98"/>
      <c r="F20" s="1240"/>
      <c r="G20" s="1241">
        <v>5</v>
      </c>
      <c r="H20" s="1241"/>
      <c r="I20" s="1242">
        <f t="shared" si="2"/>
        <v>351.63900000000007</v>
      </c>
      <c r="J20" s="1242">
        <f t="shared" si="3"/>
        <v>348.10700000000008</v>
      </c>
      <c r="K20" s="1242">
        <f>SUMIF(G30:G909,5,K30:K909)</f>
        <v>0</v>
      </c>
      <c r="L20" s="1242">
        <f>SUMIF(G30:G909,5,L30:L909)</f>
        <v>3.532</v>
      </c>
      <c r="M20" s="1242">
        <f>SUMIF(G30:G909,5,M30:M909)</f>
        <v>0</v>
      </c>
      <c r="N20" s="1242">
        <f>SUMIF(G30:G909,5,N30:N909)</f>
        <v>103.59400000000002</v>
      </c>
      <c r="O20" s="1243">
        <f>SUMIF(G30:G909,5,O30:O909)</f>
        <v>2.6850000000000001</v>
      </c>
      <c r="P20" s="1242">
        <f>SUMIF(G30:G909,5,P30:P909)</f>
        <v>0</v>
      </c>
      <c r="Q20" s="1244">
        <f>SUMIF(G30:G909,5,Q30:Q909)</f>
        <v>96.313999999999993</v>
      </c>
      <c r="R20" s="1257">
        <f>SUMIF(G30:G909,5,R30:R909)</f>
        <v>145.51400000000004</v>
      </c>
      <c r="S20" s="275"/>
      <c r="T20" s="275"/>
      <c r="U20" s="275"/>
      <c r="V20" s="275"/>
      <c r="W20" s="275"/>
      <c r="X20" s="275"/>
      <c r="Y20" s="275"/>
      <c r="Z20" s="275"/>
      <c r="AA20" s="3"/>
      <c r="AB20" s="3"/>
      <c r="AK20" s="2815" t="s">
        <v>11230</v>
      </c>
      <c r="AL20" s="2579">
        <f>SUMIFS(M30:M954,F30:F954,5,G30:G954,3)</f>
        <v>0</v>
      </c>
      <c r="AM20" s="2817"/>
    </row>
    <row r="21" spans="1:39" ht="15.5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275"/>
      <c r="AA21" s="3"/>
      <c r="AB21" s="3"/>
      <c r="AK21" s="2815" t="s">
        <v>11231</v>
      </c>
      <c r="AL21" s="2579">
        <f>SUMIFS(N30:N954,F30:F954,5,G30:G954,3)</f>
        <v>0</v>
      </c>
      <c r="AM21" s="2817"/>
    </row>
    <row r="22" spans="1:39" ht="15.5" x14ac:dyDescent="0.35">
      <c r="A22" s="285"/>
      <c r="B22" s="993"/>
      <c r="C22" s="993"/>
      <c r="D22" s="538">
        <f>SUMIF(C30:C879,"=сад",AB30:AB879)</f>
        <v>2</v>
      </c>
      <c r="E22" s="2241" t="s">
        <v>2763</v>
      </c>
      <c r="F22" s="98"/>
      <c r="G22" s="226"/>
      <c r="H22" s="226"/>
      <c r="I22" s="2247">
        <f>J22+K22+L22</f>
        <v>1.2000000000000002</v>
      </c>
      <c r="J22" s="2247">
        <f>R22+Q22+P22+O22+N22+M22</f>
        <v>1.2000000000000002</v>
      </c>
      <c r="K22" s="2247">
        <f>SUMIF(C30:C879,"=сад",K30:K879)</f>
        <v>0</v>
      </c>
      <c r="L22" s="2247">
        <f>SUMIF(C30:C879,"=сад",L30:L879)</f>
        <v>0</v>
      </c>
      <c r="M22" s="2247">
        <f>SUMIF(C30:C879,"=сад",M30:M879)</f>
        <v>0</v>
      </c>
      <c r="N22" s="2247">
        <f>SUMIF(C30:C879,"=сад",N30:N879)</f>
        <v>0.4</v>
      </c>
      <c r="O22" s="2248">
        <f>SUMIF(C30:C879,"=сад",O30:O879)</f>
        <v>0</v>
      </c>
      <c r="P22" s="2247">
        <f>SUMIF(C30:C879,"=сад",P30:P879)</f>
        <v>0</v>
      </c>
      <c r="Q22" s="2249">
        <f>SUMIF(C30:C879,"=сад",Q30:Q879)</f>
        <v>0</v>
      </c>
      <c r="R22" s="2250">
        <f>SUMIF(C30:C879,"=сад",R30:R879)</f>
        <v>0.8</v>
      </c>
      <c r="S22" s="275"/>
      <c r="T22" s="275"/>
      <c r="U22" s="275"/>
      <c r="V22" s="275"/>
      <c r="W22" s="275"/>
      <c r="X22" s="275"/>
      <c r="Y22" s="275"/>
      <c r="Z22" s="275"/>
      <c r="AA22" s="3"/>
      <c r="AB22" s="3"/>
      <c r="AK22" s="2815" t="s">
        <v>11232</v>
      </c>
      <c r="AL22" s="2579">
        <f>SUMIFS(O30:O954,F30:F954,5,G30:G954,3)</f>
        <v>0</v>
      </c>
      <c r="AM22" s="2817"/>
    </row>
    <row r="23" spans="1:39" ht="15.5" x14ac:dyDescent="0.35">
      <c r="A23" s="285"/>
      <c r="B23" s="993"/>
      <c r="C23" s="993"/>
      <c r="D23" s="538">
        <f>SUMIF(C30:C880,"=индив",AB30:AB880)</f>
        <v>3</v>
      </c>
      <c r="E23" s="2241" t="s">
        <v>2762</v>
      </c>
      <c r="F23" s="98"/>
      <c r="G23" s="226"/>
      <c r="H23" s="226"/>
      <c r="I23" s="2247">
        <f>J23+K23+L23</f>
        <v>1.4500000000000002</v>
      </c>
      <c r="J23" s="2247">
        <f>R23+Q23+P23+O23+N23+M23</f>
        <v>1.4500000000000002</v>
      </c>
      <c r="K23" s="2247">
        <f>SUMIF(C30:C880,"=индив",K30:K880)</f>
        <v>0</v>
      </c>
      <c r="L23" s="2247">
        <f>SUMIF(C30:C880,"=индив",L30:L880)</f>
        <v>0</v>
      </c>
      <c r="M23" s="2247">
        <f>SUMIF(C30:C880,"=индив",M30:M880)</f>
        <v>0</v>
      </c>
      <c r="N23" s="2247">
        <f>SUMIF(C30:C880,"=индив",N30:N880)</f>
        <v>0</v>
      </c>
      <c r="O23" s="2248">
        <f>SUMIF(C30:C880,"=индив",O30:O880)</f>
        <v>0</v>
      </c>
      <c r="P23" s="2247">
        <f>SUMIF(C30:C880,"=индив",P30:P880)</f>
        <v>0</v>
      </c>
      <c r="Q23" s="2249">
        <f>SUMIF(C30:C880,"=индив",Q30:Q880)</f>
        <v>0</v>
      </c>
      <c r="R23" s="2250">
        <f>SUMIF(C30:C880,"=индив",R30:R880)</f>
        <v>1.4500000000000002</v>
      </c>
      <c r="S23" s="275"/>
      <c r="T23" s="275"/>
      <c r="U23" s="275"/>
      <c r="V23" s="275"/>
      <c r="W23" s="275"/>
      <c r="X23" s="275"/>
      <c r="Y23" s="275"/>
      <c r="Z23" s="275"/>
      <c r="AA23" s="3"/>
      <c r="AB23" s="3"/>
      <c r="AK23" s="2815" t="s">
        <v>11233</v>
      </c>
      <c r="AL23" s="2579">
        <f>SUMIFS(P30:P954,F30:F954,5,G30:G954,3)+SUMIFS(Q30:Q954,F30:F954,5,G30:G954,3)</f>
        <v>0</v>
      </c>
      <c r="AM23" s="2817"/>
    </row>
    <row r="24" spans="1:39" ht="15.5" x14ac:dyDescent="0.35">
      <c r="A24" s="285"/>
      <c r="B24" s="993"/>
      <c r="C24" s="993"/>
      <c r="D24" s="538">
        <f>SUMIF(C30:C881,"=кладб",AB30:AB881)</f>
        <v>65</v>
      </c>
      <c r="E24" s="2241" t="s">
        <v>2761</v>
      </c>
      <c r="F24" s="98"/>
      <c r="G24" s="226"/>
      <c r="H24" s="226"/>
      <c r="I24" s="2247">
        <f>J24+K24+L24</f>
        <v>33.705000000000005</v>
      </c>
      <c r="J24" s="2247">
        <f>R24+Q24+P24+O24+N24+M24</f>
        <v>33.605000000000004</v>
      </c>
      <c r="K24" s="2247">
        <f>SUMIF(C30:C881,"=кладб",K30:K881)</f>
        <v>0</v>
      </c>
      <c r="L24" s="2247">
        <f>SUMIF(C30:C881,"=кладб",L30:L881)</f>
        <v>0.1</v>
      </c>
      <c r="M24" s="2247">
        <f>SUMIF(C30:C881,"=кладб",M30:M881)</f>
        <v>0</v>
      </c>
      <c r="N24" s="2247">
        <f>SUMIF(C30:C881,"=кладб",N30:N881)</f>
        <v>0.82000000000000006</v>
      </c>
      <c r="O24" s="2248">
        <f>SUMIF(C30:C881,"=кладб",O30:O881)</f>
        <v>1.55</v>
      </c>
      <c r="P24" s="2247">
        <f>SUMIF(C30:C881,"=кладб",P30:P881)</f>
        <v>0</v>
      </c>
      <c r="Q24" s="2249">
        <f>SUMIF(C30:C881,"=кладб",Q30:Q881)</f>
        <v>0.8</v>
      </c>
      <c r="R24" s="2250">
        <f>SUMIF(C30:C881,"=кладб",R30:R881)</f>
        <v>30.435000000000002</v>
      </c>
      <c r="S24" s="275"/>
      <c r="T24" s="275"/>
      <c r="U24" s="275"/>
      <c r="V24" s="275"/>
      <c r="W24" s="275"/>
      <c r="X24" s="275"/>
      <c r="Y24" s="275"/>
      <c r="Z24" s="275"/>
      <c r="AA24" s="3"/>
      <c r="AB24" s="3"/>
      <c r="AK24" s="2815" t="s">
        <v>910</v>
      </c>
      <c r="AL24" s="2579">
        <f>SUMIFS(R30:R954,F30:F954,5,G30:G954,3)</f>
        <v>0</v>
      </c>
      <c r="AM24" s="2817"/>
    </row>
    <row r="25" spans="1:39" ht="15.5" x14ac:dyDescent="0.35">
      <c r="A25" s="387"/>
      <c r="B25" s="994"/>
      <c r="C25" s="994"/>
      <c r="D25" s="538">
        <f>SUMIF(C30:C882,"=прир",AB30:AB882)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SUMIF(C30:C882,"=прир",K30:K882)</f>
        <v>0</v>
      </c>
      <c r="L25" s="2259">
        <f>SUMIF(C30:C882,"=прир",L30:L882)</f>
        <v>0</v>
      </c>
      <c r="M25" s="2259">
        <f>SUMIF(C30:C882,"=прир",M30:M882)</f>
        <v>0</v>
      </c>
      <c r="N25" s="2259">
        <f>SUMIF(C30:C882,"=прир",N30:N882)</f>
        <v>0</v>
      </c>
      <c r="O25" s="2260">
        <f>SUMIF(C30:C882,"=прир",O30:O882)</f>
        <v>0</v>
      </c>
      <c r="P25" s="2259">
        <f>SUMIF(C30:C882,"=прир",P30:P882)</f>
        <v>0</v>
      </c>
      <c r="Q25" s="2261">
        <f>SUMIF(C30:C882,"=прир",Q30:Q882)</f>
        <v>0</v>
      </c>
      <c r="R25" s="2262">
        <f>SUMIF(C30:C882,"=прир",R30:R882)</f>
        <v>0</v>
      </c>
      <c r="S25" s="404"/>
      <c r="T25" s="404"/>
      <c r="U25" s="404"/>
      <c r="V25" s="404"/>
      <c r="W25" s="404"/>
      <c r="X25" s="404"/>
      <c r="Y25" s="404"/>
      <c r="Z25" s="404"/>
      <c r="AA25" s="3"/>
      <c r="AB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ht="15.5" x14ac:dyDescent="0.35">
      <c r="A26" s="387"/>
      <c r="B26" s="994"/>
      <c r="C26" s="994"/>
      <c r="D26" s="538">
        <f>SUMIF(C30:C883,"=ист",AB30:AB883)</f>
        <v>1</v>
      </c>
      <c r="E26" s="2241" t="s">
        <v>1628</v>
      </c>
      <c r="F26" s="319"/>
      <c r="G26" s="2258"/>
      <c r="H26" s="2258"/>
      <c r="I26" s="2259">
        <f>J26+K26+L26</f>
        <v>0.9</v>
      </c>
      <c r="J26" s="2259">
        <f>R26+Q26+P26+O26+N26+M26</f>
        <v>0.9</v>
      </c>
      <c r="K26" s="2259">
        <f>SUMIF(C30:C883,"=ист",K30:K883)</f>
        <v>0</v>
      </c>
      <c r="L26" s="2259">
        <f>SUMIF(C30:C883,"=ист",L30:L883)</f>
        <v>0</v>
      </c>
      <c r="M26" s="2259">
        <f>SUMIF(C30:C883,"=ист",M30:M883)</f>
        <v>0</v>
      </c>
      <c r="N26" s="2259">
        <f>SUMIF(C30:C883,"=ист",N30:N883)</f>
        <v>0</v>
      </c>
      <c r="O26" s="2260">
        <f>SUMIF(C30:C883,"=ист",O30:O883)</f>
        <v>0.9</v>
      </c>
      <c r="P26" s="2259">
        <f>SUMIF(C30:C883,"=ист",P30:P883)</f>
        <v>0</v>
      </c>
      <c r="Q26" s="2261">
        <f>SUMIF(C30:C883,"=ист",Q30:Q883)</f>
        <v>0</v>
      </c>
      <c r="R26" s="2262">
        <f>SUMIF(C30:C883,"=ист",R30:R883)</f>
        <v>0</v>
      </c>
      <c r="S26" s="404"/>
      <c r="T26" s="404"/>
      <c r="U26" s="404"/>
      <c r="V26" s="404"/>
      <c r="W26" s="404"/>
      <c r="X26" s="404"/>
      <c r="Y26" s="404"/>
      <c r="Z26" s="404"/>
      <c r="AA26" s="3"/>
      <c r="AB26" s="3"/>
      <c r="AK26" s="2815" t="s">
        <v>11230</v>
      </c>
      <c r="AL26" s="2579">
        <f>SUMIFS(M30:M954,F30:F954,"6а",G30:G954,3)+SUMIFS(M30:M954,F30:F954,"6б",G30:G954,3)+SUMIFS(M30:M954,F30:F954,"б/к",G30:G954,3)</f>
        <v>0</v>
      </c>
      <c r="AM26" s="2817"/>
    </row>
    <row r="27" spans="1:39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278"/>
      <c r="AA27" s="3"/>
      <c r="AB27" s="3"/>
      <c r="AK27" s="2815" t="s">
        <v>11231</v>
      </c>
      <c r="AL27" s="2579">
        <f>SUMIFS(N30:N954,F30:F954,"6а",G30:G954,3)+SUMIFS(N30:N954,F30:F954,"6б",G30:G954,3)+SUMIFS(N30:N954,F30:F954,"б/к",G30:G954,3)</f>
        <v>0</v>
      </c>
      <c r="AM27" s="2817"/>
    </row>
    <row r="28" spans="1:39" thickBot="1" x14ac:dyDescent="0.4">
      <c r="A28" s="450"/>
      <c r="B28" s="995"/>
      <c r="C28" s="995"/>
      <c r="D28" s="462"/>
      <c r="E28" s="451"/>
      <c r="F28" s="451"/>
      <c r="G28" s="451"/>
      <c r="H28" s="451"/>
      <c r="I28" s="2325">
        <f t="shared" ref="I28:R28" si="5">SUBTOTAL(9,I30:I422)</f>
        <v>495.87399999999991</v>
      </c>
      <c r="J28" s="2325">
        <f t="shared" si="5"/>
        <v>487.4079999999999</v>
      </c>
      <c r="K28" s="2325">
        <f t="shared" si="5"/>
        <v>6.4280000000000008</v>
      </c>
      <c r="L28" s="2325">
        <f t="shared" si="5"/>
        <v>10.503999999999994</v>
      </c>
      <c r="M28" s="2325">
        <f t="shared" si="5"/>
        <v>0</v>
      </c>
      <c r="N28" s="2325">
        <f t="shared" si="5"/>
        <v>350.26700000000005</v>
      </c>
      <c r="O28" s="2325">
        <f t="shared" si="5"/>
        <v>4.0199999999999996</v>
      </c>
      <c r="P28" s="2325">
        <f t="shared" si="5"/>
        <v>0</v>
      </c>
      <c r="Q28" s="2325">
        <f t="shared" si="5"/>
        <v>245.655</v>
      </c>
      <c r="R28" s="2325">
        <f t="shared" si="5"/>
        <v>213.45800000000003</v>
      </c>
      <c r="S28" s="452"/>
      <c r="T28" s="452"/>
      <c r="U28" s="452"/>
      <c r="V28" s="452"/>
      <c r="W28" s="452"/>
      <c r="X28" s="452"/>
      <c r="Y28" s="452"/>
      <c r="Z28" s="452"/>
      <c r="AA28" s="2264"/>
      <c r="AB28" s="2322">
        <f>SUBTOTAL(9,AB30:AB422)</f>
        <v>188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SUMIFS(O30:O954,F30:F954,"6а",G30:G954,3)+SUMIFS(O30:O954,F30:F954,"6б",G30:G954,3)+SUMIFS(O30:O954,F30:F954,"б/к",G30:G954,3)</f>
        <v>0</v>
      </c>
      <c r="AM28" s="2817"/>
    </row>
    <row r="29" spans="1:39" ht="15.5" x14ac:dyDescent="0.35">
      <c r="A29" s="52"/>
      <c r="B29" s="996"/>
      <c r="C29" s="996"/>
      <c r="D29" s="53"/>
      <c r="E29" s="476" t="s">
        <v>2871</v>
      </c>
      <c r="F29" s="1001"/>
      <c r="G29" s="1001"/>
      <c r="H29" s="1001"/>
      <c r="I29" s="617"/>
      <c r="J29" s="617"/>
      <c r="K29" s="296"/>
      <c r="L29" s="296"/>
      <c r="M29" s="296"/>
      <c r="N29" s="296"/>
      <c r="O29" s="616"/>
      <c r="P29" s="296"/>
      <c r="Q29" s="931"/>
      <c r="R29" s="924"/>
      <c r="S29" s="24"/>
      <c r="T29" s="232"/>
      <c r="U29" s="24"/>
      <c r="V29" s="24"/>
      <c r="W29" s="24"/>
      <c r="X29" s="24"/>
      <c r="Y29" s="24"/>
      <c r="Z29" s="24"/>
      <c r="AA29" s="3"/>
      <c r="AB29" s="3"/>
      <c r="AD29" s="2578" t="s">
        <v>7180</v>
      </c>
      <c r="AE29" s="2579">
        <f>SUMIFS(M30:M924,F30:F924,3,G30:G924,3)+SUMIFS(N30:N924,F30:F924,3,G30:G924,3)+SUMIFS(O30:O924,F30:F924,3,G30:G924,3)+SUMIFS(P30:P924,F30:F924,3,G30:G924,3)+SUMIFS(Q30:Q924,F30:F924,3,G30:G924,3)+SUMIFS(R30:R924,F30:F924,3,G30:G924,3)</f>
        <v>0</v>
      </c>
      <c r="AF29" s="2579">
        <f>SUMIFS(M30:M924,F30:F924,4,G30:G924,3)+SUMIFS(N30:N924,F30:F924,4,G30:G924,3)+SUMIFS(O30:O924,F30:F924,4,G30:G924,3)+SUMIFS(P30:P924,F30:F924,4,G30:G924,3)+SUMIFS(Q30:Q924,F30:F924,4,G30:G924,3)+SUMIFS(R30:R924,F30:F924,4,G30:G924,3)</f>
        <v>32.314</v>
      </c>
      <c r="AG29" s="2579">
        <f>SUMIFS(M30:M924,F30:F924,5,G30:G924,3)+SUMIFS(N30:N924,F30:F924,5,G30:G924,3)+SUMIFS(O30:O924,F30:F924,5,G30:G924,3)+SUMIFS(P30:P924,F30:F924,5,G30:G924,3)+SUMIFS(Q30:Q924,F30:F924,5,G30:G924,3)+SUMIFS(R30:R924,F30:F924,5,G30:G924,3)</f>
        <v>0</v>
      </c>
      <c r="AH29" s="2579">
        <f>SUMIFS(M30:M924,F30:F924,"6а",G30:G924,3)+SUMIFS(N30:N924,F30:F924,"6а",G30:G924,3)+SUMIFS(O30:O924,F30:F924,"6а",G30:G924,3)+SUMIFS(P30:P924,F30:F924,"6а",G30:G924,3)+SUMIFS(Q30:Q924,F30:F924,"6а",G30:G924,3)+SUMIFS(R30:R924,F30:F924,"6а",G30:G924,3)</f>
        <v>0</v>
      </c>
      <c r="AI29" s="2579">
        <f>SUMIFS(M30:M924,F30:F924,"6б",G30:G924,3)+SUMIFS(N30:N924,F30:F924,"6б",G30:G924,3)+SUMIFS(O30:O924,F30:F924,"6б",G30:G924,3)+SUMIFS(P30:P924,F30:F924,"6б",G30:G924,3)+SUMIFS(Q30:Q924,F30:F924,"6б",G30:G924,3)+SUMIFS(R30:R924,F30:F924,"6б",G30:G924,3)</f>
        <v>0</v>
      </c>
      <c r="AJ29" s="2580">
        <f>SUMIFS(M30:M924,F30:F924,"б/к",G30:G924,3)+SUMIFS(N30:N924,F30:F924,"б/к",G30:G924,3)+SUMIFS(O30:O924,F30:F924,"б/к",G30:G924,3)+SUMIFS(P30:P924,F30:F924,"б/к",G30:G924,3)+SUMIFS(Q30:Q924,F30:F924,"б/к",G30:G924,3)+SUMIFS(R30:R924,F30:F924,"б/к",G30:G924,3)</f>
        <v>0</v>
      </c>
      <c r="AK29" s="2815" t="s">
        <v>11233</v>
      </c>
      <c r="AL29" s="2579">
        <f>SUMIFS(P30:P954,F30:F954,"6а",G30:G954,3)+SUMIFS(Q30:Q954,F30:F954,"6а",G30:G954,3)+SUMIFS(P30:P954,F30:F954,"6б",G30:G954,3)+SUMIFS(Q30:Q954,F30:F954,"6б",G30:G954,3)+SUMIFS(P30:P954,F30:F954,"б/к",G30:G954,3)+SUMIFS(Q30:Q954,F30:F954,"б/к",G30:G954,3)</f>
        <v>0</v>
      </c>
      <c r="AM29" s="2817"/>
    </row>
    <row r="30" spans="1:39" ht="45.5" x14ac:dyDescent="0.35">
      <c r="A30" s="294">
        <v>1</v>
      </c>
      <c r="B30" s="997">
        <v>10000</v>
      </c>
      <c r="C30" s="997"/>
      <c r="D30" s="56" t="s">
        <v>1779</v>
      </c>
      <c r="E30" s="288" t="s">
        <v>9597</v>
      </c>
      <c r="F30" s="1138"/>
      <c r="G30" s="1944" t="s">
        <v>191</v>
      </c>
      <c r="H30" s="1944" t="s">
        <v>191</v>
      </c>
      <c r="I30" s="297">
        <f>J30+K30+L30</f>
        <v>23.209</v>
      </c>
      <c r="J30" s="297">
        <f>SUM(M30:R30)</f>
        <v>21.220000000000002</v>
      </c>
      <c r="K30" s="297">
        <f>SUM(K31:K36)</f>
        <v>0.98399999999999999</v>
      </c>
      <c r="L30" s="297">
        <f>SUM(L31:L36)</f>
        <v>1.004999999999999</v>
      </c>
      <c r="M30" s="297"/>
      <c r="N30" s="297">
        <f>SUM(N31:N36)</f>
        <v>16.817000000000004</v>
      </c>
      <c r="O30" s="619"/>
      <c r="P30" s="297"/>
      <c r="Q30" s="932">
        <f>SUM(Q31:Q36)</f>
        <v>4.4029999999999987</v>
      </c>
      <c r="R30" s="925"/>
      <c r="S30" s="15">
        <v>3</v>
      </c>
      <c r="T30" s="233">
        <f>18+12+60</f>
        <v>90</v>
      </c>
      <c r="U30" s="15"/>
      <c r="V30" s="15"/>
      <c r="W30" s="17">
        <v>46</v>
      </c>
      <c r="X30" s="233">
        <v>685.8</v>
      </c>
      <c r="Y30" s="17">
        <v>26</v>
      </c>
      <c r="Z30" s="250">
        <v>331</v>
      </c>
      <c r="AA30" s="3"/>
      <c r="AB30" s="3">
        <v>1</v>
      </c>
      <c r="AD30" s="2578" t="s">
        <v>7181</v>
      </c>
      <c r="AE30" s="2579">
        <f>SUMIFS(M30:M924,F30:F924,3,G30:G924,4)+SUMIFS(N30:N924,F30:F924,3,G30:G924,4)+SUMIFS(O30:O924,F30:F924,3,G30:G924,4)+SUMIFS(P30:P924,F30:F924,3,G30:G924,4)+SUMIFS(Q30:Q924,F30:F924,3,G30:G924,4)+SUMIFS(R30:R924,F30:F924,3,G30:G924,4)</f>
        <v>0</v>
      </c>
      <c r="AF30" s="2579">
        <f>SUMIFS(M30:M924,F30:F924,4,G30:G924,4)+SUMIFS(N30:N924,F30:F924,4,G30:G924,4)+SUMIFS(O30:O924,F30:F924,4,G30:G924,4)+SUMIFS(P30:P924,F30:F924,4,G30:G924,4)+SUMIFS(Q30:Q924,F30:F924,4,G30:G924,4)+SUMIFS(R30:R924,F30:F924,4,G30:G924,4)</f>
        <v>106.90700000000001</v>
      </c>
      <c r="AG30" s="2579">
        <f>SUMIFS(M30:M924,F30:F924,5,G30:G924,4)+SUMIFS(N30:N924,F30:F924,5,G30:G924,4)+SUMIFS(O30:O924,F30:F924,5,G30:G924,4)+SUMIFS(P30:P924,F30:F924,5,G30:G924,4)+SUMIFS(Q30:Q924,F30:F924,5,G30:G924,4)+SUMIFS(R30:R924,F30:F924,5,G30:G924,4)</f>
        <v>7.9999999999998295E-2</v>
      </c>
      <c r="AH30" s="2579">
        <f>SUMIFS(M30:M924,F30:F924,"6а",G30:G924,4)+SUMIFS(N30:N924,F30:F924,"6а",G30:G924,4)+SUMIFS(O30:O924,F30:F924,"6а",G30:G924,4)+SUMIFS(P30:P924,F30:F924,"6а",G30:G924,4)+SUMIFS(Q30:Q924,F30:F924,"6а",G30:G924,4)+SUMIFS(R30:R924,F30:F924,"6а",G30:G924,4)</f>
        <v>0</v>
      </c>
      <c r="AI30" s="2579">
        <f>SUMIFS(M30:M924,F30:F924,"6б",G30:G924,4)+SUMIFS(N30:N924,F30:F924,"6б",G30:G924,4)+SUMIFS(O30:O924,F30:F924,"6б",G30:G924,4)+SUMIFS(P30:P924,F30:F924,"6б",G30:G924,4)+SUMIFS(Q30:Q924,F30:F924,"6б",G30:G924,4)+SUMIFS(R30:R924,F30:F924,"6б",G30:G924,4)</f>
        <v>0</v>
      </c>
      <c r="AJ30" s="2580">
        <f>SUMIFS(M30:M924,F30:F924,"б/к",G30:G924,4)+SUMIFS(N30:N924,F30:F924,"б/к",G30:G924,4)+SUMIFS(O30:O924,F30:F924,"б/к",G30:G924,4)+SUMIFS(P30:P924,F30:F924,"б/к",G30:G924,4)+SUMIFS(Q30:Q924,F30:F924,"б/к",G30:G924,4)+SUMIFS(R30:R924,F30:F924,"б/к",G30:G924,4)</f>
        <v>0</v>
      </c>
      <c r="AK30" s="2815" t="s">
        <v>910</v>
      </c>
      <c r="AL30" s="2579">
        <f>SUMIFS(R30:R954,F30:F954,"6а",G30:G954,3)+SUMIFS(R30:R954,F30:F954,"6б",G30:G954,3)+SUMIFS(R30:R954,F30:F954,"б/к",G30:G954,3)</f>
        <v>0</v>
      </c>
      <c r="AM30" s="2817"/>
    </row>
    <row r="31" spans="1:39" ht="46.5" x14ac:dyDescent="0.35">
      <c r="A31" s="295"/>
      <c r="B31" s="997">
        <v>10000</v>
      </c>
      <c r="C31" s="997"/>
      <c r="D31" s="59"/>
      <c r="E31" s="289" t="s">
        <v>9877</v>
      </c>
      <c r="F31" s="1138">
        <v>4</v>
      </c>
      <c r="G31" s="1138">
        <v>3</v>
      </c>
      <c r="H31" s="1944" t="s">
        <v>191</v>
      </c>
      <c r="I31" s="298"/>
      <c r="J31" s="298"/>
      <c r="K31" s="298">
        <v>0.98399999999999999</v>
      </c>
      <c r="L31" s="298"/>
      <c r="M31" s="298"/>
      <c r="N31" s="298"/>
      <c r="O31" s="621"/>
      <c r="P31" s="298"/>
      <c r="Q31" s="933"/>
      <c r="R31" s="927"/>
      <c r="S31" s="17"/>
      <c r="T31" s="234"/>
      <c r="U31" s="17"/>
      <c r="V31" s="17"/>
      <c r="W31" s="17"/>
      <c r="X31" s="234"/>
      <c r="Y31" s="17"/>
      <c r="Z31" s="250"/>
      <c r="AA31" s="3"/>
      <c r="AB31" s="3"/>
      <c r="AD31" s="2581" t="s">
        <v>7182</v>
      </c>
      <c r="AE31" s="2582">
        <f>SUMIFS(M30:M924,F30:F924,3,G30:G924,5)+SUMIFS(N30:N924,F30:F924,3,G30:G924,5)+SUMIFS(O30:O924,F30:F924,3,G30:G924,5)+SUMIFS(P30:P924,F30:F924,3,G30:G924,5)+SUMIFS(Q30:Q924,F30:F924,3,G30:G924,5)+SUMIFS(R30:R924,F30:F924,3,G30:G924,5)</f>
        <v>0</v>
      </c>
      <c r="AF31" s="2582">
        <f>SUMIFS(M30:M924,F30:F924,4,G30:G924,5)+SUMIFS(N30:N924,F30:F924,4,G30:G924,5)+SUMIFS(O30:O924,F30:F924,4,G30:G924,5)+SUMIFS(P30:P924,F30:F924,4,G30:G924,5)+SUMIFS(Q30:Q924,F30:F924,4,G30:G924,5)+SUMIFS(R30:R924,F30:F924,4,G30:G924,5)</f>
        <v>93.314999999999998</v>
      </c>
      <c r="AG31" s="2582">
        <f>SUMIFS(M30:M924,F30:F924,5,G30:G924,5)+SUMIFS(N30:N924,F30:F924,5,G30:G924,5)+SUMIFS(O30:O924,F30:F924,5,G30:G924,5)+SUMIFS(P30:P924,F30:F924,5,G30:G924,5)+SUMIFS(Q30:Q924,F30:F924,5,G30:G924,5)+SUMIFS(R30:R924,F30:F924,5,G30:G924,5)</f>
        <v>94.48099999999998</v>
      </c>
      <c r="AH31" s="2582">
        <f>SUMIFS(M30:M924,F30:F924,"6а",G30:G924,5)+SUMIFS(N30:N924,F30:F924,"6а",G30:G924,5)+SUMIFS(O30:O924,F30:F924,"6а",G30:G924,5)+SUMIFS(P30:P924,F30:F924,"6а",G30:G924,5)+SUMIFS(Q30:Q924,F30:F924,"6а",G30:G924,5)+SUMIFS(R30:R924,F30:F924,"6а",G30:G924,5)</f>
        <v>52.676999999999985</v>
      </c>
      <c r="AI31" s="2582">
        <f>SUMIFS(M30:M924,F30:F924,"6б",G30:G924,5)+SUMIFS(N30:N924,F30:F924,"6б",G30:G924,5)+SUMIFS(O30:O924,F30:F924,"6б",G30:G924,5)+SUMIFS(P30:P924,F30:F924,"6б",G30:G924,5)+SUMIFS(Q30:Q924,F30:F924,"6б",G30:G924,5)+SUMIFS(R30:R924,F30:F924,"6б",G30:G924,5)</f>
        <v>31.817</v>
      </c>
      <c r="AJ31" s="2583">
        <f>SUMIFS(M30:M924,F30:F924,"б/к",G30:G924,5)+SUMIFS(N30:N924,F30:F924,"б/к",G30:G924,5)+SUMIFS(O30:O924,F30:F924,"б/к",G30:G924,5)+SUMIFS(P30:P924,F30:F924,"б/к",G30:G924,5)+SUMIFS(Q30:Q924,F30:F924,"б/к",G30:G924,5)+SUMIFS(R30:R924,F30:F924,"б/к",G30:G924,5)</f>
        <v>75.817000000000007</v>
      </c>
      <c r="AK31" s="2815"/>
      <c r="AL31" s="2579"/>
      <c r="AM31" s="2817"/>
    </row>
    <row r="32" spans="1:39" ht="46.5" x14ac:dyDescent="0.35">
      <c r="A32" s="295"/>
      <c r="B32" s="997">
        <v>10000</v>
      </c>
      <c r="C32" s="997"/>
      <c r="D32" s="59"/>
      <c r="E32" s="289" t="s">
        <v>9878</v>
      </c>
      <c r="F32" s="1944"/>
      <c r="G32" s="1944" t="s">
        <v>191</v>
      </c>
      <c r="H32" s="1944" t="s">
        <v>191</v>
      </c>
      <c r="I32" s="298"/>
      <c r="J32" s="298"/>
      <c r="K32" s="298"/>
      <c r="L32" s="298"/>
      <c r="M32" s="298"/>
      <c r="N32" s="298"/>
      <c r="O32" s="621"/>
      <c r="P32" s="298"/>
      <c r="Q32" s="933"/>
      <c r="R32" s="927"/>
      <c r="S32" s="17"/>
      <c r="T32" s="234"/>
      <c r="U32" s="17"/>
      <c r="V32" s="17"/>
      <c r="W32" s="17"/>
      <c r="X32" s="234"/>
      <c r="Y32" s="17"/>
      <c r="Z32" s="250"/>
      <c r="AA32" s="3"/>
      <c r="AB32" s="3"/>
      <c r="AE32" s="1572"/>
      <c r="AI32" s="2584" t="s">
        <v>7183</v>
      </c>
      <c r="AJ32" s="2585">
        <f>SUMIF(AB30:AB924,"=1",J30:J924)</f>
        <v>487.4079999999999</v>
      </c>
      <c r="AK32" s="2818" t="s">
        <v>11235</v>
      </c>
      <c r="AL32" s="2821">
        <f>AL34+AL40+AL46</f>
        <v>106.98700000000001</v>
      </c>
      <c r="AM32" s="2820">
        <f>AL32-J19</f>
        <v>0</v>
      </c>
    </row>
    <row r="33" spans="1:39" ht="15.5" x14ac:dyDescent="0.35">
      <c r="A33" s="295"/>
      <c r="B33" s="997">
        <v>10000</v>
      </c>
      <c r="C33" s="997"/>
      <c r="D33" s="59"/>
      <c r="E33" s="289" t="s">
        <v>15</v>
      </c>
      <c r="F33" s="1138">
        <v>4</v>
      </c>
      <c r="G33" s="1138">
        <v>3</v>
      </c>
      <c r="H33" s="1138">
        <v>6</v>
      </c>
      <c r="I33" s="298"/>
      <c r="J33" s="298"/>
      <c r="K33" s="298"/>
      <c r="L33" s="298"/>
      <c r="M33" s="298"/>
      <c r="N33" s="298">
        <f>17.014-0.984</f>
        <v>16.03</v>
      </c>
      <c r="O33" s="621"/>
      <c r="P33" s="298"/>
      <c r="Q33" s="933"/>
      <c r="R33" s="927"/>
      <c r="S33" s="17"/>
      <c r="T33" s="234"/>
      <c r="U33" s="17"/>
      <c r="V33" s="17"/>
      <c r="W33" s="17"/>
      <c r="X33" s="234"/>
      <c r="Y33" s="17"/>
      <c r="Z33" s="250"/>
      <c r="AA33" s="3"/>
      <c r="AB33" s="3"/>
      <c r="AE33" s="1572"/>
      <c r="AJ33" s="2585">
        <f>SUM(AE29:AJ31)-AJ32</f>
        <v>0</v>
      </c>
      <c r="AK33" s="2815" t="s">
        <v>11229</v>
      </c>
      <c r="AL33" s="2579"/>
      <c r="AM33" s="2817"/>
    </row>
    <row r="34" spans="1:39" ht="31" x14ac:dyDescent="0.35">
      <c r="A34" s="295"/>
      <c r="B34" s="997">
        <v>10000</v>
      </c>
      <c r="C34" s="997"/>
      <c r="D34" s="59"/>
      <c r="E34" s="289" t="s">
        <v>16</v>
      </c>
      <c r="F34" s="1138">
        <v>4</v>
      </c>
      <c r="G34" s="1138">
        <v>3</v>
      </c>
      <c r="H34" s="1944" t="s">
        <v>191</v>
      </c>
      <c r="I34" s="298"/>
      <c r="J34" s="298"/>
      <c r="K34" s="298"/>
      <c r="L34" s="298">
        <f>18.019-17.014</f>
        <v>1.004999999999999</v>
      </c>
      <c r="M34" s="298"/>
      <c r="N34" s="298"/>
      <c r="O34" s="621"/>
      <c r="P34" s="298"/>
      <c r="Q34" s="933"/>
      <c r="R34" s="927"/>
      <c r="S34" s="17"/>
      <c r="T34" s="234"/>
      <c r="U34" s="17"/>
      <c r="V34" s="17"/>
      <c r="W34" s="17"/>
      <c r="X34" s="234"/>
      <c r="Y34" s="17"/>
      <c r="Z34" s="250"/>
      <c r="AA34" s="3"/>
      <c r="AB34" s="3"/>
      <c r="AE34" s="1572"/>
      <c r="AK34" s="2818" t="s">
        <v>7184</v>
      </c>
      <c r="AL34" s="2821">
        <f>AL35+AL36+AL37+AL38+AL39</f>
        <v>106.90700000000001</v>
      </c>
      <c r="AM34" s="2820">
        <f>AL34-AF30</f>
        <v>0</v>
      </c>
    </row>
    <row r="35" spans="1:39" ht="15.5" x14ac:dyDescent="0.35">
      <c r="A35" s="295"/>
      <c r="B35" s="997">
        <v>10000</v>
      </c>
      <c r="C35" s="997"/>
      <c r="D35" s="59"/>
      <c r="E35" s="289" t="s">
        <v>2115</v>
      </c>
      <c r="F35" s="1138">
        <v>4</v>
      </c>
      <c r="G35" s="1138">
        <v>3</v>
      </c>
      <c r="H35" s="1138">
        <v>6</v>
      </c>
      <c r="I35" s="298"/>
      <c r="J35" s="298"/>
      <c r="K35" s="298"/>
      <c r="L35" s="298"/>
      <c r="M35" s="298"/>
      <c r="N35" s="298">
        <f>18.806-18.019</f>
        <v>0.78700000000000259</v>
      </c>
      <c r="O35" s="621"/>
      <c r="P35" s="298"/>
      <c r="Q35" s="933"/>
      <c r="R35" s="927"/>
      <c r="S35" s="17"/>
      <c r="T35" s="234"/>
      <c r="U35" s="17"/>
      <c r="V35" s="17"/>
      <c r="W35" s="17"/>
      <c r="X35" s="234"/>
      <c r="Y35" s="17"/>
      <c r="Z35" s="250"/>
      <c r="AA35" s="3"/>
      <c r="AB35" s="3"/>
      <c r="AE35" s="1572"/>
      <c r="AK35" s="2815" t="s">
        <v>11230</v>
      </c>
      <c r="AL35" s="2579">
        <f>SUMIFS(M30:M954,F30:F954,4,G30:G954,4)</f>
        <v>0</v>
      </c>
      <c r="AM35" s="2817"/>
    </row>
    <row r="36" spans="1:39" ht="15.5" x14ac:dyDescent="0.35">
      <c r="A36" s="295"/>
      <c r="B36" s="997">
        <v>10000</v>
      </c>
      <c r="C36" s="997"/>
      <c r="D36" s="59"/>
      <c r="E36" s="837" t="s">
        <v>2116</v>
      </c>
      <c r="F36" s="1138">
        <v>4</v>
      </c>
      <c r="G36" s="1138">
        <v>3</v>
      </c>
      <c r="H36" s="1138">
        <v>6</v>
      </c>
      <c r="I36" s="298"/>
      <c r="J36" s="298"/>
      <c r="K36" s="298"/>
      <c r="L36" s="298"/>
      <c r="M36" s="298"/>
      <c r="N36" s="298"/>
      <c r="O36" s="621"/>
      <c r="P36" s="298"/>
      <c r="Q36" s="933">
        <f>23.209-18.806</f>
        <v>4.4029999999999987</v>
      </c>
      <c r="R36" s="927"/>
      <c r="S36" s="17"/>
      <c r="T36" s="234"/>
      <c r="U36" s="17"/>
      <c r="V36" s="17"/>
      <c r="W36" s="17"/>
      <c r="X36" s="234"/>
      <c r="Y36" s="17"/>
      <c r="Z36" s="250"/>
      <c r="AA36" s="3"/>
      <c r="AB36" s="3"/>
      <c r="AE36" s="1572"/>
      <c r="AK36" s="2815" t="s">
        <v>11231</v>
      </c>
      <c r="AL36" s="2579">
        <f>SUMIFS(N30:N954,F30:F954,4,G30:G954,4)</f>
        <v>75.334000000000003</v>
      </c>
      <c r="AM36" s="2817"/>
    </row>
    <row r="37" spans="1:39" ht="60.5" x14ac:dyDescent="0.35">
      <c r="A37" s="294">
        <v>2</v>
      </c>
      <c r="B37" s="999">
        <v>10000</v>
      </c>
      <c r="C37" s="999"/>
      <c r="D37" s="2474" t="s">
        <v>3721</v>
      </c>
      <c r="E37" s="288" t="s">
        <v>9598</v>
      </c>
      <c r="F37" s="1138">
        <v>5</v>
      </c>
      <c r="G37" s="1138">
        <v>5</v>
      </c>
      <c r="H37" s="1138">
        <v>6</v>
      </c>
      <c r="I37" s="297">
        <f t="shared" ref="I37:I46" si="6">J37+K37+L37</f>
        <v>1.327</v>
      </c>
      <c r="J37" s="297">
        <f t="shared" ref="J37:J46" si="7">SUM(M37:R37)</f>
        <v>1.327</v>
      </c>
      <c r="K37" s="297"/>
      <c r="L37" s="297"/>
      <c r="M37" s="297"/>
      <c r="N37" s="297"/>
      <c r="O37" s="619"/>
      <c r="P37" s="297"/>
      <c r="Q37" s="932">
        <v>1.327</v>
      </c>
      <c r="R37" s="925"/>
      <c r="S37" s="15"/>
      <c r="T37" s="233"/>
      <c r="U37" s="15"/>
      <c r="V37" s="15"/>
      <c r="W37" s="17">
        <v>2</v>
      </c>
      <c r="X37" s="233">
        <v>30.28</v>
      </c>
      <c r="Y37" s="17"/>
      <c r="Z37" s="250"/>
      <c r="AA37" s="3"/>
      <c r="AB37" s="3">
        <v>1</v>
      </c>
      <c r="AE37" s="1572"/>
      <c r="AK37" s="2815" t="s">
        <v>11232</v>
      </c>
      <c r="AL37" s="2579">
        <f>SUMIFS(O30:O954,F30:F954,4,G30:G954,4)</f>
        <v>0</v>
      </c>
      <c r="AM37" s="2817"/>
    </row>
    <row r="38" spans="1:39" ht="60.5" x14ac:dyDescent="0.35">
      <c r="A38" s="294">
        <v>3</v>
      </c>
      <c r="B38" s="999">
        <v>10000</v>
      </c>
      <c r="C38" s="999"/>
      <c r="D38" s="2474" t="s">
        <v>3722</v>
      </c>
      <c r="E38" s="288" t="s">
        <v>9599</v>
      </c>
      <c r="F38" s="1138">
        <v>5</v>
      </c>
      <c r="G38" s="1138">
        <v>5</v>
      </c>
      <c r="H38" s="1138">
        <v>6</v>
      </c>
      <c r="I38" s="297">
        <f t="shared" si="6"/>
        <v>2</v>
      </c>
      <c r="J38" s="297">
        <f t="shared" si="7"/>
        <v>2</v>
      </c>
      <c r="K38" s="297"/>
      <c r="L38" s="297"/>
      <c r="M38" s="297"/>
      <c r="N38" s="297">
        <v>2</v>
      </c>
      <c r="O38" s="619"/>
      <c r="P38" s="297"/>
      <c r="Q38" s="932"/>
      <c r="R38" s="925"/>
      <c r="S38" s="15">
        <v>1</v>
      </c>
      <c r="T38" s="233">
        <v>6.1</v>
      </c>
      <c r="U38" s="15"/>
      <c r="V38" s="15"/>
      <c r="W38" s="17">
        <v>4</v>
      </c>
      <c r="X38" s="233">
        <v>55</v>
      </c>
      <c r="Y38" s="154">
        <v>3</v>
      </c>
      <c r="Z38" s="250">
        <v>42.5</v>
      </c>
      <c r="AA38" s="3"/>
      <c r="AB38" s="3">
        <v>1</v>
      </c>
      <c r="AE38" s="1572"/>
      <c r="AK38" s="2815" t="s">
        <v>11233</v>
      </c>
      <c r="AL38" s="2579">
        <f>SUMIFS(P30:P954,F30:F954,4,G30:G954,4)+SUMIFS(Q30:Q954,F30:F954,4,G30:G954,4)</f>
        <v>31.573</v>
      </c>
      <c r="AM38" s="2817"/>
    </row>
    <row r="39" spans="1:39" ht="60.5" x14ac:dyDescent="0.35">
      <c r="A39" s="294">
        <v>4</v>
      </c>
      <c r="B39" s="999">
        <v>10000</v>
      </c>
      <c r="C39" s="999" t="s">
        <v>1656</v>
      </c>
      <c r="D39" s="2474" t="s">
        <v>3723</v>
      </c>
      <c r="E39" s="288" t="s">
        <v>9600</v>
      </c>
      <c r="F39" s="1138" t="s">
        <v>664</v>
      </c>
      <c r="G39" s="1138">
        <v>5</v>
      </c>
      <c r="H39" s="1138">
        <v>6</v>
      </c>
      <c r="I39" s="297">
        <v>0.18</v>
      </c>
      <c r="J39" s="297">
        <v>0.18</v>
      </c>
      <c r="K39" s="297"/>
      <c r="L39" s="297"/>
      <c r="M39" s="297"/>
      <c r="N39" s="297"/>
      <c r="O39" s="619"/>
      <c r="P39" s="297"/>
      <c r="Q39" s="932"/>
      <c r="R39" s="925">
        <v>0.18</v>
      </c>
      <c r="S39" s="15"/>
      <c r="T39" s="233"/>
      <c r="U39" s="15"/>
      <c r="V39" s="15"/>
      <c r="W39" s="17"/>
      <c r="X39" s="233"/>
      <c r="Y39" s="17"/>
      <c r="Z39" s="250"/>
      <c r="AA39" s="3"/>
      <c r="AB39" s="3">
        <v>1</v>
      </c>
      <c r="AE39" s="1572"/>
      <c r="AK39" s="2815" t="s">
        <v>910</v>
      </c>
      <c r="AL39" s="2579">
        <f>SUMIFS(R30:R954,F30:F954,4,G30:G954,4)</f>
        <v>0</v>
      </c>
      <c r="AM39" s="2817"/>
    </row>
    <row r="40" spans="1:39" ht="60" x14ac:dyDescent="0.35">
      <c r="A40" s="294">
        <v>5</v>
      </c>
      <c r="B40" s="693">
        <v>10000</v>
      </c>
      <c r="C40" s="999" t="s">
        <v>1656</v>
      </c>
      <c r="D40" s="2474" t="s">
        <v>3724</v>
      </c>
      <c r="E40" s="2187" t="s">
        <v>9601</v>
      </c>
      <c r="F40" s="92" t="s">
        <v>664</v>
      </c>
      <c r="G40" s="92">
        <v>5</v>
      </c>
      <c r="H40" s="1138">
        <v>6</v>
      </c>
      <c r="I40" s="702">
        <f>J40+K40+L40</f>
        <v>0.1</v>
      </c>
      <c r="J40" s="702">
        <f>SUM(M40:R40)</f>
        <v>0.1</v>
      </c>
      <c r="K40" s="106"/>
      <c r="L40" s="106"/>
      <c r="M40" s="106"/>
      <c r="N40" s="106"/>
      <c r="O40" s="106"/>
      <c r="P40" s="106"/>
      <c r="Q40" s="106"/>
      <c r="R40" s="906">
        <v>0.1</v>
      </c>
      <c r="S40" s="106"/>
      <c r="T40" s="106"/>
      <c r="U40" s="106"/>
      <c r="V40" s="106"/>
      <c r="W40" s="105"/>
      <c r="X40" s="105"/>
      <c r="Y40" s="105"/>
      <c r="Z40" s="181"/>
      <c r="AA40" s="3"/>
      <c r="AB40" s="3">
        <v>1</v>
      </c>
      <c r="AE40" s="1572"/>
      <c r="AK40" s="2818" t="s">
        <v>7185</v>
      </c>
      <c r="AL40" s="2821">
        <f>AL41+AL42+AL43+AL44+AL45</f>
        <v>7.9999999999998295E-2</v>
      </c>
      <c r="AM40" s="2820">
        <f>AL40-AG30</f>
        <v>0</v>
      </c>
    </row>
    <row r="41" spans="1:39" ht="60" x14ac:dyDescent="0.35">
      <c r="A41" s="294">
        <v>6</v>
      </c>
      <c r="B41" s="693">
        <v>10000</v>
      </c>
      <c r="C41" s="999" t="s">
        <v>1656</v>
      </c>
      <c r="D41" s="2474" t="s">
        <v>3725</v>
      </c>
      <c r="E41" s="2187" t="s">
        <v>9602</v>
      </c>
      <c r="F41" s="92" t="s">
        <v>664</v>
      </c>
      <c r="G41" s="92">
        <v>5</v>
      </c>
      <c r="H41" s="1138">
        <v>6</v>
      </c>
      <c r="I41" s="702">
        <f>J41+K41+L41</f>
        <v>0.1</v>
      </c>
      <c r="J41" s="702">
        <f>SUM(M41:R41)</f>
        <v>0.1</v>
      </c>
      <c r="K41" s="106"/>
      <c r="L41" s="106"/>
      <c r="M41" s="106"/>
      <c r="N41" s="106"/>
      <c r="O41" s="106"/>
      <c r="P41" s="106"/>
      <c r="Q41" s="106"/>
      <c r="R41" s="906">
        <v>0.1</v>
      </c>
      <c r="S41" s="106"/>
      <c r="T41" s="106"/>
      <c r="U41" s="106"/>
      <c r="V41" s="106"/>
      <c r="W41" s="105"/>
      <c r="X41" s="105"/>
      <c r="Y41" s="105"/>
      <c r="Z41" s="105"/>
      <c r="AA41" s="69"/>
      <c r="AB41" s="69">
        <v>1</v>
      </c>
      <c r="AE41" s="1572"/>
      <c r="AK41" s="2815" t="s">
        <v>11230</v>
      </c>
      <c r="AL41" s="2579">
        <f>SUMIFS(M30:M954,F30:F954,5,G30:G954,4)</f>
        <v>0</v>
      </c>
      <c r="AM41" s="2817"/>
    </row>
    <row r="42" spans="1:39" ht="30.5" x14ac:dyDescent="0.35">
      <c r="A42" s="294">
        <v>7</v>
      </c>
      <c r="B42" s="59">
        <v>10001</v>
      </c>
      <c r="C42" s="59"/>
      <c r="D42" s="824" t="s">
        <v>986</v>
      </c>
      <c r="E42" s="290" t="s">
        <v>238</v>
      </c>
      <c r="F42" s="1944">
        <v>4</v>
      </c>
      <c r="G42" s="1944">
        <v>3</v>
      </c>
      <c r="H42" s="1138">
        <v>6</v>
      </c>
      <c r="I42" s="297">
        <f t="shared" si="6"/>
        <v>13.324</v>
      </c>
      <c r="J42" s="297">
        <f t="shared" si="7"/>
        <v>11.093999999999999</v>
      </c>
      <c r="K42" s="297">
        <f>SUM(K43)</f>
        <v>2.23</v>
      </c>
      <c r="L42" s="297"/>
      <c r="M42" s="297"/>
      <c r="N42" s="297">
        <f>13.324-2.23</f>
        <v>11.093999999999999</v>
      </c>
      <c r="O42" s="619"/>
      <c r="P42" s="297"/>
      <c r="Q42" s="932"/>
      <c r="R42" s="925"/>
      <c r="S42" s="17"/>
      <c r="T42" s="234"/>
      <c r="U42" s="17"/>
      <c r="V42" s="17"/>
      <c r="W42" s="17">
        <v>24</v>
      </c>
      <c r="X42" s="234">
        <v>337.3</v>
      </c>
      <c r="Y42" s="17">
        <v>9</v>
      </c>
      <c r="Z42" s="250">
        <v>126.5</v>
      </c>
      <c r="AA42" s="3"/>
      <c r="AB42" s="3">
        <v>1</v>
      </c>
      <c r="AE42" s="1572"/>
      <c r="AK42" s="2815" t="s">
        <v>11231</v>
      </c>
      <c r="AL42" s="2579">
        <f>SUMIFS(N30:N954,F30:F954,5,G30:G954,4)</f>
        <v>7.9999999999998295E-2</v>
      </c>
      <c r="AM42" s="2817"/>
    </row>
    <row r="43" spans="1:39" ht="46.5" x14ac:dyDescent="0.35">
      <c r="A43" s="295"/>
      <c r="B43" s="59">
        <v>10001</v>
      </c>
      <c r="C43" s="59"/>
      <c r="D43" s="824"/>
      <c r="E43" s="289" t="s">
        <v>9879</v>
      </c>
      <c r="F43" s="1944"/>
      <c r="G43" s="1944" t="s">
        <v>191</v>
      </c>
      <c r="H43" s="1944" t="s">
        <v>191</v>
      </c>
      <c r="I43" s="298"/>
      <c r="J43" s="298"/>
      <c r="K43" s="298">
        <v>2.23</v>
      </c>
      <c r="L43" s="298"/>
      <c r="M43" s="298"/>
      <c r="N43" s="298"/>
      <c r="O43" s="621"/>
      <c r="P43" s="298"/>
      <c r="Q43" s="933"/>
      <c r="R43" s="927"/>
      <c r="S43" s="17"/>
      <c r="T43" s="234"/>
      <c r="U43" s="17"/>
      <c r="V43" s="17"/>
      <c r="W43" s="17"/>
      <c r="X43" s="234"/>
      <c r="Y43" s="17"/>
      <c r="Z43" s="250"/>
      <c r="AA43" s="3"/>
      <c r="AB43" s="3"/>
      <c r="AE43" s="1572"/>
      <c r="AK43" s="2815" t="s">
        <v>11232</v>
      </c>
      <c r="AL43" s="2579">
        <f>SUMIFS(O30:O954,F30:F954,5,G30:G954,4)</f>
        <v>0</v>
      </c>
      <c r="AM43" s="2817"/>
    </row>
    <row r="44" spans="1:39" ht="45.5" x14ac:dyDescent="0.35">
      <c r="A44" s="294">
        <v>8</v>
      </c>
      <c r="B44" s="999">
        <v>10001</v>
      </c>
      <c r="C44" s="999"/>
      <c r="D44" s="2474" t="s">
        <v>3726</v>
      </c>
      <c r="E44" s="288" t="s">
        <v>7410</v>
      </c>
      <c r="F44" s="1138" t="s">
        <v>664</v>
      </c>
      <c r="G44" s="1138">
        <v>5</v>
      </c>
      <c r="H44" s="1138">
        <v>6</v>
      </c>
      <c r="I44" s="297">
        <f t="shared" si="6"/>
        <v>0.6</v>
      </c>
      <c r="J44" s="297">
        <f t="shared" si="7"/>
        <v>0.6</v>
      </c>
      <c r="K44" s="297"/>
      <c r="L44" s="297"/>
      <c r="M44" s="297"/>
      <c r="N44" s="297"/>
      <c r="O44" s="619"/>
      <c r="P44" s="297"/>
      <c r="Q44" s="932"/>
      <c r="R44" s="925">
        <v>0.6</v>
      </c>
      <c r="S44" s="15"/>
      <c r="T44" s="233"/>
      <c r="U44" s="15"/>
      <c r="V44" s="15"/>
      <c r="W44" s="17"/>
      <c r="X44" s="233"/>
      <c r="Y44" s="17"/>
      <c r="Z44" s="250"/>
      <c r="AA44" s="3"/>
      <c r="AB44" s="3">
        <v>1</v>
      </c>
      <c r="AE44" s="1572"/>
      <c r="AK44" s="2815" t="s">
        <v>11233</v>
      </c>
      <c r="AL44" s="2579">
        <f>SUMIFS(P30:P954,F30:F954,5,G30:G954,4)+SUMIFS(Q30:Q954,F30:F954,5,G30:G954,4)</f>
        <v>0</v>
      </c>
      <c r="AM44" s="2817"/>
    </row>
    <row r="45" spans="1:39" ht="45.5" x14ac:dyDescent="0.35">
      <c r="A45" s="294">
        <v>9</v>
      </c>
      <c r="B45" s="999">
        <v>10001</v>
      </c>
      <c r="C45" s="999" t="s">
        <v>1656</v>
      </c>
      <c r="D45" s="2474" t="s">
        <v>3727</v>
      </c>
      <c r="E45" s="288" t="s">
        <v>8131</v>
      </c>
      <c r="F45" s="1138" t="s">
        <v>664</v>
      </c>
      <c r="G45" s="1138">
        <v>5</v>
      </c>
      <c r="H45" s="1138">
        <v>6</v>
      </c>
      <c r="I45" s="297">
        <v>0.33</v>
      </c>
      <c r="J45" s="297">
        <v>0.33</v>
      </c>
      <c r="K45" s="297"/>
      <c r="L45" s="297"/>
      <c r="M45" s="297"/>
      <c r="N45" s="297"/>
      <c r="O45" s="619"/>
      <c r="P45" s="297"/>
      <c r="Q45" s="932"/>
      <c r="R45" s="925">
        <v>0.33</v>
      </c>
      <c r="S45" s="15"/>
      <c r="T45" s="233"/>
      <c r="U45" s="15"/>
      <c r="V45" s="15"/>
      <c r="W45" s="17"/>
      <c r="X45" s="233"/>
      <c r="Y45" s="17"/>
      <c r="Z45" s="250"/>
      <c r="AA45" s="3"/>
      <c r="AB45" s="3">
        <v>1</v>
      </c>
      <c r="AE45" s="1572"/>
      <c r="AK45" s="2815" t="s">
        <v>910</v>
      </c>
      <c r="AL45" s="2579">
        <f>SUMIFS(R30:R954,F30:F954,5,G30:G954,4)</f>
        <v>0</v>
      </c>
      <c r="AM45" s="2817"/>
    </row>
    <row r="46" spans="1:39" ht="45.5" x14ac:dyDescent="0.35">
      <c r="A46" s="294">
        <v>10</v>
      </c>
      <c r="B46" s="56">
        <v>10002</v>
      </c>
      <c r="C46" s="56"/>
      <c r="D46" s="293" t="s">
        <v>1780</v>
      </c>
      <c r="E46" s="288" t="s">
        <v>9603</v>
      </c>
      <c r="F46" s="1138">
        <v>4</v>
      </c>
      <c r="G46" s="1138">
        <v>4</v>
      </c>
      <c r="H46" s="1138">
        <v>6</v>
      </c>
      <c r="I46" s="297">
        <f t="shared" si="6"/>
        <v>12.897</v>
      </c>
      <c r="J46" s="297">
        <f t="shared" si="7"/>
        <v>12.897</v>
      </c>
      <c r="K46" s="297"/>
      <c r="L46" s="297"/>
      <c r="M46" s="297"/>
      <c r="N46" s="297">
        <v>12.897</v>
      </c>
      <c r="O46" s="619"/>
      <c r="P46" s="297"/>
      <c r="Q46" s="932"/>
      <c r="R46" s="925"/>
      <c r="S46" s="17">
        <v>1</v>
      </c>
      <c r="T46" s="234">
        <v>75</v>
      </c>
      <c r="U46" s="17"/>
      <c r="V46" s="17"/>
      <c r="W46" s="17">
        <v>23</v>
      </c>
      <c r="X46" s="233">
        <v>301.7</v>
      </c>
      <c r="Y46" s="17">
        <v>8</v>
      </c>
      <c r="Z46" s="250">
        <v>97.5</v>
      </c>
      <c r="AA46" s="3"/>
      <c r="AB46" s="3">
        <v>1</v>
      </c>
      <c r="AE46" s="1572"/>
      <c r="AK46" s="2818" t="s">
        <v>11234</v>
      </c>
      <c r="AL46" s="2821">
        <f>AL47+AL48+AL49+AL50+AL51</f>
        <v>0</v>
      </c>
      <c r="AM46" s="2820">
        <f>AL46-AH30-AI30-AJ30</f>
        <v>0</v>
      </c>
    </row>
    <row r="47" spans="1:39" ht="60.5" x14ac:dyDescent="0.35">
      <c r="A47" s="294">
        <v>11</v>
      </c>
      <c r="B47" s="999">
        <v>10002</v>
      </c>
      <c r="C47" s="999"/>
      <c r="D47" s="2474" t="s">
        <v>3728</v>
      </c>
      <c r="E47" s="288" t="s">
        <v>9604</v>
      </c>
      <c r="F47" s="1138"/>
      <c r="G47" s="1138" t="s">
        <v>191</v>
      </c>
      <c r="H47" s="1138" t="s">
        <v>191</v>
      </c>
      <c r="I47" s="297">
        <f>J47+K47+L47</f>
        <v>2.7</v>
      </c>
      <c r="J47" s="297">
        <f>SUM(M47:R47)</f>
        <v>2.7</v>
      </c>
      <c r="K47" s="297"/>
      <c r="L47" s="297"/>
      <c r="M47" s="297"/>
      <c r="N47" s="297"/>
      <c r="O47" s="619"/>
      <c r="P47" s="297"/>
      <c r="Q47" s="932"/>
      <c r="R47" s="925">
        <f>SUM(R48:R49)</f>
        <v>2.7</v>
      </c>
      <c r="S47" s="15"/>
      <c r="T47" s="233"/>
      <c r="U47" s="15"/>
      <c r="V47" s="15"/>
      <c r="W47" s="17">
        <v>5</v>
      </c>
      <c r="X47" s="233">
        <v>50.1</v>
      </c>
      <c r="Y47" s="17"/>
      <c r="Z47" s="250"/>
      <c r="AA47" s="3"/>
      <c r="AB47" s="3">
        <v>1</v>
      </c>
      <c r="AC47" t="s">
        <v>2570</v>
      </c>
      <c r="AE47" s="1572"/>
      <c r="AK47" s="2815" t="s">
        <v>11230</v>
      </c>
      <c r="AL47" s="2579">
        <f>SUMIFS(M30:M954,F30:F954,"6а",G30:G954,4)+SUMIFS(M30:M954,F30:F954,"6б",G30:G954,4)+SUMIFS(M30:M954,F30:F954,"б/к",G30:G954,4)</f>
        <v>0</v>
      </c>
      <c r="AM47" s="2817"/>
    </row>
    <row r="48" spans="1:39" ht="15.5" x14ac:dyDescent="0.35">
      <c r="A48" s="997"/>
      <c r="B48" s="999"/>
      <c r="C48" s="999"/>
      <c r="D48" s="293"/>
      <c r="E48" s="838" t="s">
        <v>2409</v>
      </c>
      <c r="F48" s="1138" t="s">
        <v>827</v>
      </c>
      <c r="G48" s="1138">
        <v>5</v>
      </c>
      <c r="H48" s="1138">
        <v>6</v>
      </c>
      <c r="I48" s="298"/>
      <c r="J48" s="298"/>
      <c r="K48" s="298"/>
      <c r="L48" s="298"/>
      <c r="M48" s="298"/>
      <c r="N48" s="298"/>
      <c r="O48" s="300"/>
      <c r="P48" s="298"/>
      <c r="Q48" s="1836"/>
      <c r="R48" s="2049">
        <v>2.1</v>
      </c>
      <c r="S48" s="15"/>
      <c r="T48" s="233"/>
      <c r="U48" s="15"/>
      <c r="V48" s="15"/>
      <c r="W48" s="17"/>
      <c r="X48" s="233"/>
      <c r="Y48" s="17"/>
      <c r="Z48" s="250"/>
      <c r="AA48" s="3"/>
      <c r="AB48" s="3"/>
      <c r="AE48" s="1572"/>
      <c r="AK48" s="2815" t="s">
        <v>11231</v>
      </c>
      <c r="AL48" s="2579">
        <f>SUMIFS(N30:N954,F30:F954,"6а",G30:G954,4)+SUMIFS(N30:N954,F30:F954,"6б",G30:G954,4)+SUMIFS(N30:N954,F30:F954,"б/к",G30:G954,4)</f>
        <v>0</v>
      </c>
      <c r="AM48" s="2817"/>
    </row>
    <row r="49" spans="1:39" ht="15.5" x14ac:dyDescent="0.35">
      <c r="A49" s="997"/>
      <c r="B49" s="999"/>
      <c r="C49" s="999"/>
      <c r="D49" s="293"/>
      <c r="E49" s="838" t="s">
        <v>2766</v>
      </c>
      <c r="F49" s="1138" t="s">
        <v>1490</v>
      </c>
      <c r="G49" s="1138">
        <v>5</v>
      </c>
      <c r="H49" s="1138">
        <v>6</v>
      </c>
      <c r="I49" s="298"/>
      <c r="J49" s="298"/>
      <c r="K49" s="298"/>
      <c r="L49" s="298"/>
      <c r="M49" s="298"/>
      <c r="N49" s="298"/>
      <c r="O49" s="300"/>
      <c r="P49" s="298"/>
      <c r="Q49" s="1836"/>
      <c r="R49" s="2049">
        <v>0.6</v>
      </c>
      <c r="S49" s="15"/>
      <c r="T49" s="233"/>
      <c r="U49" s="15"/>
      <c r="V49" s="15"/>
      <c r="W49" s="17"/>
      <c r="X49" s="233"/>
      <c r="Y49" s="17"/>
      <c r="Z49" s="250"/>
      <c r="AA49" s="3"/>
      <c r="AB49" s="3"/>
      <c r="AE49" s="1572"/>
      <c r="AK49" s="2815" t="s">
        <v>11232</v>
      </c>
      <c r="AL49" s="2579">
        <f>SUMIFS(O30:O954,F30:F954,"6а",G30:G954,4)+SUMIFS(O30:O954,F30:F954,"6б",G30:G954,4)+SUMIFS(O30:O954,F30:F954,"б/к",G30:G954,4)</f>
        <v>0</v>
      </c>
      <c r="AM49" s="2817"/>
    </row>
    <row r="50" spans="1:39" ht="75" x14ac:dyDescent="0.35">
      <c r="A50" s="693">
        <v>12</v>
      </c>
      <c r="B50" s="693">
        <v>10002</v>
      </c>
      <c r="C50" s="999" t="s">
        <v>1656</v>
      </c>
      <c r="D50" s="2474" t="s">
        <v>3729</v>
      </c>
      <c r="E50" s="2187" t="s">
        <v>9605</v>
      </c>
      <c r="F50" s="92" t="s">
        <v>664</v>
      </c>
      <c r="G50" s="92">
        <v>5</v>
      </c>
      <c r="H50" s="1138">
        <v>6</v>
      </c>
      <c r="I50" s="702">
        <f>J50+K50+L50</f>
        <v>0.5</v>
      </c>
      <c r="J50" s="702">
        <f>SUM(M50:R50)</f>
        <v>0.5</v>
      </c>
      <c r="K50" s="106"/>
      <c r="L50" s="106"/>
      <c r="M50" s="106"/>
      <c r="N50" s="106"/>
      <c r="O50" s="106"/>
      <c r="P50" s="106"/>
      <c r="Q50" s="106"/>
      <c r="R50" s="906">
        <v>0.5</v>
      </c>
      <c r="S50" s="106"/>
      <c r="T50" s="106"/>
      <c r="U50" s="106"/>
      <c r="V50" s="106"/>
      <c r="W50" s="105"/>
      <c r="X50" s="105"/>
      <c r="Y50" s="105"/>
      <c r="Z50" s="105"/>
      <c r="AB50">
        <v>1</v>
      </c>
      <c r="AE50" s="1572"/>
      <c r="AK50" s="2815" t="s">
        <v>11233</v>
      </c>
      <c r="AL50" s="2579">
        <f>SUMIFS(P30:P954,F30:F954,"6а",G30:G954,4)+SUMIFS(Q30:Q954,F30:F954,"6а",G30:G954,4)+SUMIFS(P30:P954,F30:F954,"6б",G30:G954,4)+SUMIFS(Q30:Q954,F30:F954,"6б",G30:G954,4)+SUMIFS(O30:O954,F30:F954,"б/к",G30:G954,4)+SUMIFS(P30:P954,F30:F954,"б/к",G30:G954,4)+SUMIFS(Q30:Q954,F30:F954,"б/к",G30:G954,4)</f>
        <v>0</v>
      </c>
      <c r="AM50" s="2817"/>
    </row>
    <row r="51" spans="1:39" ht="75" x14ac:dyDescent="0.35">
      <c r="A51" s="294">
        <v>13</v>
      </c>
      <c r="B51" s="693">
        <v>10002</v>
      </c>
      <c r="C51" s="999" t="s">
        <v>1656</v>
      </c>
      <c r="D51" s="2474" t="s">
        <v>3730</v>
      </c>
      <c r="E51" s="2187" t="s">
        <v>9606</v>
      </c>
      <c r="F51" s="92" t="s">
        <v>664</v>
      </c>
      <c r="G51" s="92">
        <v>5</v>
      </c>
      <c r="H51" s="1138">
        <v>6</v>
      </c>
      <c r="I51" s="702">
        <f>J51+K51+L51</f>
        <v>0.35</v>
      </c>
      <c r="J51" s="702">
        <f>SUM(M51:R51)</f>
        <v>0.35</v>
      </c>
      <c r="K51" s="106"/>
      <c r="L51" s="106"/>
      <c r="M51" s="106"/>
      <c r="N51" s="106"/>
      <c r="O51" s="106"/>
      <c r="P51" s="106"/>
      <c r="Q51" s="106"/>
      <c r="R51" s="906">
        <v>0.35</v>
      </c>
      <c r="S51" s="106"/>
      <c r="T51" s="106"/>
      <c r="U51" s="106"/>
      <c r="V51" s="106"/>
      <c r="W51" s="105"/>
      <c r="X51" s="105"/>
      <c r="Y51" s="105"/>
      <c r="Z51" s="105"/>
      <c r="AB51">
        <v>1</v>
      </c>
      <c r="AE51" s="1572"/>
      <c r="AK51" s="2815" t="s">
        <v>910</v>
      </c>
      <c r="AL51" s="2579">
        <f>SUMIFS(R30:R954,F30:F954,"6а",G30:G954,4)+SUMIFS(R30:R954,F30:F954,"6б",G30:G954,4)+SUMIFS(R30:R954,F30:F954,"б/к",G30:G954,4)</f>
        <v>0</v>
      </c>
      <c r="AM51" s="2817"/>
    </row>
    <row r="52" spans="1:39" ht="60.5" x14ac:dyDescent="0.35">
      <c r="A52" s="693">
        <v>14</v>
      </c>
      <c r="B52" s="999">
        <v>10002</v>
      </c>
      <c r="C52" s="999"/>
      <c r="D52" s="2474" t="s">
        <v>3731</v>
      </c>
      <c r="E52" s="288" t="s">
        <v>9607</v>
      </c>
      <c r="F52" s="1138" t="s">
        <v>664</v>
      </c>
      <c r="G52" s="1138">
        <v>5</v>
      </c>
      <c r="H52" s="1138">
        <v>6</v>
      </c>
      <c r="I52" s="297">
        <f>J52+K52+L52</f>
        <v>1.6</v>
      </c>
      <c r="J52" s="297">
        <f>SUM(M52:R52)</f>
        <v>1.6</v>
      </c>
      <c r="K52" s="297"/>
      <c r="L52" s="297"/>
      <c r="M52" s="297"/>
      <c r="N52" s="297"/>
      <c r="O52" s="619"/>
      <c r="P52" s="297"/>
      <c r="Q52" s="932"/>
      <c r="R52" s="1498">
        <v>1.6</v>
      </c>
      <c r="S52" s="15"/>
      <c r="T52" s="233"/>
      <c r="U52" s="15"/>
      <c r="V52" s="15"/>
      <c r="W52" s="17">
        <v>2</v>
      </c>
      <c r="X52" s="233">
        <v>20</v>
      </c>
      <c r="Y52" s="17"/>
      <c r="Z52" s="250"/>
      <c r="AA52" s="3"/>
      <c r="AB52" s="3">
        <v>1</v>
      </c>
      <c r="AE52" s="1572"/>
      <c r="AK52" s="2815"/>
      <c r="AL52" s="2579"/>
      <c r="AM52" s="2817"/>
    </row>
    <row r="53" spans="1:39" ht="75" x14ac:dyDescent="0.35">
      <c r="A53" s="294">
        <v>15</v>
      </c>
      <c r="B53" s="693">
        <v>10002</v>
      </c>
      <c r="C53" s="999" t="s">
        <v>1656</v>
      </c>
      <c r="D53" s="2474" t="s">
        <v>3732</v>
      </c>
      <c r="E53" s="2187" t="s">
        <v>9608</v>
      </c>
      <c r="F53" s="92" t="s">
        <v>664</v>
      </c>
      <c r="G53" s="92">
        <v>5</v>
      </c>
      <c r="H53" s="1138">
        <v>6</v>
      </c>
      <c r="I53" s="702">
        <f>J53+K53+L53</f>
        <v>0.5</v>
      </c>
      <c r="J53" s="702">
        <f>SUM(M53:R53)</f>
        <v>0.5</v>
      </c>
      <c r="K53" s="106"/>
      <c r="L53" s="106"/>
      <c r="M53" s="106"/>
      <c r="N53" s="106"/>
      <c r="O53" s="106"/>
      <c r="P53" s="106"/>
      <c r="Q53" s="106"/>
      <c r="R53" s="906">
        <v>0.5</v>
      </c>
      <c r="S53" s="106"/>
      <c r="T53" s="106"/>
      <c r="U53" s="106"/>
      <c r="V53" s="106"/>
      <c r="W53" s="105"/>
      <c r="X53" s="105"/>
      <c r="Y53" s="105"/>
      <c r="Z53" s="105"/>
      <c r="AA53" s="69"/>
      <c r="AB53" s="69">
        <v>1</v>
      </c>
      <c r="AE53" s="1572"/>
      <c r="AK53" s="2818" t="s">
        <v>11236</v>
      </c>
      <c r="AL53" s="2821">
        <f>AL55+AL61+AL67</f>
        <v>348.10699999999997</v>
      </c>
      <c r="AM53" s="2820">
        <f>AL53-J20</f>
        <v>0</v>
      </c>
    </row>
    <row r="54" spans="1:39" ht="60.5" x14ac:dyDescent="0.35">
      <c r="A54" s="693">
        <v>16</v>
      </c>
      <c r="B54" s="999">
        <v>10002</v>
      </c>
      <c r="C54" s="999" t="s">
        <v>1656</v>
      </c>
      <c r="D54" s="2474" t="s">
        <v>3733</v>
      </c>
      <c r="E54" s="288" t="s">
        <v>9609</v>
      </c>
      <c r="F54" s="1138" t="s">
        <v>664</v>
      </c>
      <c r="G54" s="1138">
        <v>5</v>
      </c>
      <c r="H54" s="1138">
        <v>6</v>
      </c>
      <c r="I54" s="297">
        <v>0.4</v>
      </c>
      <c r="J54" s="297">
        <v>0.4</v>
      </c>
      <c r="K54" s="297"/>
      <c r="L54" s="297"/>
      <c r="M54" s="297"/>
      <c r="N54" s="297"/>
      <c r="O54" s="619"/>
      <c r="P54" s="297"/>
      <c r="Q54" s="932"/>
      <c r="R54" s="925">
        <v>0.4</v>
      </c>
      <c r="S54" s="15"/>
      <c r="T54" s="233"/>
      <c r="U54" s="15"/>
      <c r="V54" s="15"/>
      <c r="W54" s="17"/>
      <c r="X54" s="233"/>
      <c r="Y54" s="17"/>
      <c r="Z54" s="250"/>
      <c r="AA54" s="3"/>
      <c r="AB54" s="3">
        <v>1</v>
      </c>
      <c r="AE54" s="1572"/>
      <c r="AK54" s="2815" t="s">
        <v>11229</v>
      </c>
      <c r="AL54" s="2579"/>
      <c r="AM54" s="2817"/>
    </row>
    <row r="55" spans="1:39" ht="60.5" x14ac:dyDescent="0.35">
      <c r="A55" s="294">
        <v>17</v>
      </c>
      <c r="B55" s="999">
        <v>10002</v>
      </c>
      <c r="C55" s="999" t="s">
        <v>1656</v>
      </c>
      <c r="D55" s="2474" t="s">
        <v>3734</v>
      </c>
      <c r="E55" s="288" t="s">
        <v>9610</v>
      </c>
      <c r="F55" s="1138" t="s">
        <v>664</v>
      </c>
      <c r="G55" s="1138">
        <v>5</v>
      </c>
      <c r="H55" s="1138">
        <v>6</v>
      </c>
      <c r="I55" s="297">
        <v>0.15</v>
      </c>
      <c r="J55" s="297">
        <v>0.15</v>
      </c>
      <c r="K55" s="297"/>
      <c r="L55" s="297"/>
      <c r="M55" s="297"/>
      <c r="N55" s="297"/>
      <c r="O55" s="619"/>
      <c r="P55" s="297"/>
      <c r="Q55" s="932"/>
      <c r="R55" s="925">
        <v>0.15</v>
      </c>
      <c r="S55" s="15"/>
      <c r="T55" s="233"/>
      <c r="U55" s="15"/>
      <c r="V55" s="15"/>
      <c r="W55" s="17"/>
      <c r="X55" s="233"/>
      <c r="Y55" s="17"/>
      <c r="Z55" s="250"/>
      <c r="AA55" s="3"/>
      <c r="AB55" s="3">
        <v>1</v>
      </c>
      <c r="AE55" s="1572"/>
      <c r="AK55" s="2818" t="s">
        <v>7184</v>
      </c>
      <c r="AL55" s="2821">
        <f>AL56+AL57+AL58+AL59+AL60</f>
        <v>93.314999999999998</v>
      </c>
      <c r="AM55" s="2820">
        <f>AL55-AF31</f>
        <v>0</v>
      </c>
    </row>
    <row r="56" spans="1:39" ht="66" customHeight="1" x14ac:dyDescent="0.35">
      <c r="A56" s="693">
        <v>18</v>
      </c>
      <c r="B56" s="999">
        <v>10002</v>
      </c>
      <c r="C56" s="999" t="s">
        <v>1657</v>
      </c>
      <c r="D56" s="2474" t="s">
        <v>3735</v>
      </c>
      <c r="E56" s="288" t="s">
        <v>9611</v>
      </c>
      <c r="F56" s="1138" t="s">
        <v>827</v>
      </c>
      <c r="G56" s="1138">
        <v>5</v>
      </c>
      <c r="H56" s="1138">
        <v>6</v>
      </c>
      <c r="I56" s="297">
        <v>0.65</v>
      </c>
      <c r="J56" s="297">
        <v>0.65</v>
      </c>
      <c r="K56" s="297"/>
      <c r="L56" s="297"/>
      <c r="M56" s="297"/>
      <c r="N56" s="297"/>
      <c r="O56" s="619"/>
      <c r="P56" s="297"/>
      <c r="Q56" s="932"/>
      <c r="R56" s="925">
        <v>0.65</v>
      </c>
      <c r="S56" s="15"/>
      <c r="T56" s="233"/>
      <c r="U56" s="15"/>
      <c r="V56" s="15"/>
      <c r="W56" s="17"/>
      <c r="X56" s="233"/>
      <c r="Y56" s="17"/>
      <c r="Z56" s="250"/>
      <c r="AA56" s="3"/>
      <c r="AB56" s="3">
        <v>1</v>
      </c>
      <c r="AE56" s="1572"/>
      <c r="AK56" s="2815" t="s">
        <v>11230</v>
      </c>
      <c r="AL56" s="2579">
        <f>SUMIFS(M30:M954,F30:F954,4,G30:G954,5)</f>
        <v>0</v>
      </c>
      <c r="AM56" s="2817"/>
    </row>
    <row r="57" spans="1:39" ht="30.5" x14ac:dyDescent="0.35">
      <c r="A57" s="294">
        <v>19</v>
      </c>
      <c r="B57" s="56">
        <v>10003</v>
      </c>
      <c r="C57" s="56"/>
      <c r="D57" s="293" t="s">
        <v>1015</v>
      </c>
      <c r="E57" s="288" t="s">
        <v>6890</v>
      </c>
      <c r="F57" s="1138"/>
      <c r="G57" s="1138" t="s">
        <v>191</v>
      </c>
      <c r="H57" s="1138" t="s">
        <v>191</v>
      </c>
      <c r="I57" s="297">
        <f>J57+K57+L57</f>
        <v>12.009</v>
      </c>
      <c r="J57" s="297">
        <f>SUM(M57:R57)</f>
        <v>12.009</v>
      </c>
      <c r="K57" s="297"/>
      <c r="L57" s="297"/>
      <c r="M57" s="297"/>
      <c r="N57" s="297">
        <f>SUM(N58:N64)</f>
        <v>6.5839999999999987</v>
      </c>
      <c r="O57" s="619"/>
      <c r="P57" s="297"/>
      <c r="Q57" s="932">
        <f>SUM(Q58:Q64)</f>
        <v>4.0540000000000012</v>
      </c>
      <c r="R57" s="925">
        <f>SUM(R58:R64)</f>
        <v>1.3710000000000004</v>
      </c>
      <c r="S57" s="15">
        <v>1</v>
      </c>
      <c r="T57" s="233">
        <v>18</v>
      </c>
      <c r="U57" s="15"/>
      <c r="V57" s="15"/>
      <c r="W57" s="17">
        <v>20</v>
      </c>
      <c r="X57" s="233">
        <v>283.81</v>
      </c>
      <c r="Y57" s="17">
        <v>8</v>
      </c>
      <c r="Z57" s="250">
        <v>112.5</v>
      </c>
      <c r="AA57" s="3"/>
      <c r="AB57" s="3">
        <v>1</v>
      </c>
      <c r="AE57" s="1572"/>
      <c r="AK57" s="2815" t="s">
        <v>11231</v>
      </c>
      <c r="AL57" s="2579">
        <f>SUMIFS(N30:N954,F30:F954,4,G30:G954,5)</f>
        <v>62.666000000000004</v>
      </c>
      <c r="AM57" s="2817"/>
    </row>
    <row r="58" spans="1:39" ht="15.5" x14ac:dyDescent="0.35">
      <c r="A58" s="295"/>
      <c r="B58" s="56">
        <v>10003</v>
      </c>
      <c r="C58" s="56"/>
      <c r="D58" s="293"/>
      <c r="E58" s="291" t="s">
        <v>22</v>
      </c>
      <c r="F58" s="1138">
        <v>4</v>
      </c>
      <c r="G58" s="1138">
        <v>4</v>
      </c>
      <c r="H58" s="1138">
        <v>6</v>
      </c>
      <c r="I58" s="298"/>
      <c r="J58" s="298"/>
      <c r="K58" s="298"/>
      <c r="L58" s="298"/>
      <c r="M58" s="298"/>
      <c r="N58" s="298">
        <v>6.4059999999999997</v>
      </c>
      <c r="O58" s="621"/>
      <c r="P58" s="298"/>
      <c r="Q58" s="933"/>
      <c r="R58" s="927"/>
      <c r="S58" s="15"/>
      <c r="T58" s="233"/>
      <c r="U58" s="15"/>
      <c r="V58" s="15"/>
      <c r="W58" s="17"/>
      <c r="X58" s="233"/>
      <c r="Y58" s="17"/>
      <c r="Z58" s="250"/>
      <c r="AA58" s="3"/>
      <c r="AB58" s="3"/>
      <c r="AE58" s="1572"/>
      <c r="AK58" s="2815" t="s">
        <v>11232</v>
      </c>
      <c r="AL58" s="2579">
        <f>SUMIFS(O30:O954,F30:F954,4,G30:G954,5)</f>
        <v>0.23499999999999999</v>
      </c>
      <c r="AM58" s="2817"/>
    </row>
    <row r="59" spans="1:39" ht="15.5" x14ac:dyDescent="0.35">
      <c r="A59" s="295"/>
      <c r="B59" s="56">
        <v>10003</v>
      </c>
      <c r="C59" s="56"/>
      <c r="D59" s="293"/>
      <c r="E59" s="837" t="s">
        <v>23</v>
      </c>
      <c r="F59" s="1138">
        <v>4</v>
      </c>
      <c r="G59" s="1138">
        <v>4</v>
      </c>
      <c r="H59" s="1138">
        <v>6</v>
      </c>
      <c r="I59" s="298"/>
      <c r="J59" s="298"/>
      <c r="K59" s="298"/>
      <c r="L59" s="298"/>
      <c r="M59" s="298"/>
      <c r="N59" s="298"/>
      <c r="O59" s="621"/>
      <c r="P59" s="298"/>
      <c r="Q59" s="933">
        <f>10.46-6.406</f>
        <v>4.0540000000000012</v>
      </c>
      <c r="R59" s="927"/>
      <c r="S59" s="15"/>
      <c r="T59" s="233"/>
      <c r="U59" s="15"/>
      <c r="V59" s="15"/>
      <c r="W59" s="17"/>
      <c r="X59" s="233"/>
      <c r="Y59" s="17"/>
      <c r="Z59" s="250"/>
      <c r="AA59" s="3"/>
      <c r="AB59" s="3"/>
      <c r="AE59" s="1572"/>
      <c r="AK59" s="2815" t="s">
        <v>11233</v>
      </c>
      <c r="AL59" s="2579">
        <f>SUMIFS(P30:P954,F30:F954,4,G30:G954,5)+SUMIFS(Q30:Q954,F30:F954,4,G30:G954,5)</f>
        <v>30.414000000000001</v>
      </c>
      <c r="AM59" s="2817"/>
    </row>
    <row r="60" spans="1:39" ht="15.5" x14ac:dyDescent="0.35">
      <c r="A60" s="295"/>
      <c r="B60" s="56"/>
      <c r="C60" s="56"/>
      <c r="D60" s="293"/>
      <c r="E60" s="291" t="s">
        <v>21</v>
      </c>
      <c r="F60" s="1138">
        <v>5</v>
      </c>
      <c r="G60" s="1138">
        <v>4</v>
      </c>
      <c r="H60" s="1138">
        <v>6</v>
      </c>
      <c r="I60" s="298"/>
      <c r="J60" s="298"/>
      <c r="K60" s="298"/>
      <c r="L60" s="298"/>
      <c r="M60" s="298"/>
      <c r="N60" s="298">
        <f>10.54-10.46</f>
        <v>7.9999999999998295E-2</v>
      </c>
      <c r="O60" s="621"/>
      <c r="P60" s="298"/>
      <c r="Q60" s="933"/>
      <c r="R60" s="927"/>
      <c r="S60" s="15"/>
      <c r="T60" s="233"/>
      <c r="U60" s="15"/>
      <c r="V60" s="15"/>
      <c r="W60" s="17"/>
      <c r="X60" s="233"/>
      <c r="Y60" s="17"/>
      <c r="Z60" s="250"/>
      <c r="AA60" s="3"/>
      <c r="AB60" s="3"/>
      <c r="AE60" s="1572"/>
      <c r="AK60" s="2815" t="s">
        <v>910</v>
      </c>
      <c r="AL60" s="2579">
        <f>SUMIFS(R30:R954,F30:F954,4,G30:G954,5)</f>
        <v>0</v>
      </c>
      <c r="AM60" s="2817"/>
    </row>
    <row r="61" spans="1:39" ht="15.5" x14ac:dyDescent="0.35">
      <c r="A61" s="295"/>
      <c r="B61" s="56">
        <v>10003</v>
      </c>
      <c r="C61" s="56"/>
      <c r="D61" s="293"/>
      <c r="E61" s="291" t="s">
        <v>18</v>
      </c>
      <c r="F61" s="1138">
        <v>5</v>
      </c>
      <c r="G61" s="1138">
        <v>5</v>
      </c>
      <c r="H61" s="1138">
        <v>6</v>
      </c>
      <c r="I61" s="298"/>
      <c r="J61" s="298"/>
      <c r="K61" s="298"/>
      <c r="L61" s="298"/>
      <c r="M61" s="298"/>
      <c r="N61" s="298">
        <f>10.638-10.54</f>
        <v>9.8000000000000753E-2</v>
      </c>
      <c r="O61" s="621"/>
      <c r="P61" s="298"/>
      <c r="Q61" s="933"/>
      <c r="R61" s="927"/>
      <c r="S61" s="15"/>
      <c r="T61" s="233"/>
      <c r="U61" s="15"/>
      <c r="V61" s="15"/>
      <c r="W61" s="17"/>
      <c r="X61" s="233"/>
      <c r="Y61" s="17"/>
      <c r="Z61" s="250"/>
      <c r="AA61" s="3"/>
      <c r="AB61" s="3"/>
      <c r="AE61" s="1572"/>
      <c r="AK61" s="2818" t="s">
        <v>7185</v>
      </c>
      <c r="AL61" s="2821">
        <f>AL62+AL63+AL64+AL65+AL66</f>
        <v>94.48099999999998</v>
      </c>
      <c r="AM61" s="2820">
        <f>AL61-AG31</f>
        <v>0</v>
      </c>
    </row>
    <row r="62" spans="1:39" ht="15.5" x14ac:dyDescent="0.35">
      <c r="A62" s="295"/>
      <c r="B62" s="56"/>
      <c r="C62" s="56"/>
      <c r="D62" s="293"/>
      <c r="E62" s="838" t="s">
        <v>17</v>
      </c>
      <c r="F62" s="1138" t="s">
        <v>827</v>
      </c>
      <c r="G62" s="1138">
        <v>5</v>
      </c>
      <c r="H62" s="1138">
        <v>6</v>
      </c>
      <c r="I62" s="298"/>
      <c r="J62" s="298"/>
      <c r="K62" s="298"/>
      <c r="L62" s="298"/>
      <c r="M62" s="298"/>
      <c r="N62" s="298"/>
      <c r="O62" s="621"/>
      <c r="P62" s="298"/>
      <c r="Q62" s="933"/>
      <c r="R62" s="927">
        <f>10.744-10.638</f>
        <v>0.10599999999999987</v>
      </c>
      <c r="S62" s="15"/>
      <c r="T62" s="233"/>
      <c r="U62" s="15"/>
      <c r="V62" s="15"/>
      <c r="W62" s="17"/>
      <c r="X62" s="233"/>
      <c r="Y62" s="17"/>
      <c r="Z62" s="250"/>
      <c r="AA62" s="3"/>
      <c r="AB62" s="3"/>
      <c r="AE62" s="1572"/>
      <c r="AK62" s="2815" t="s">
        <v>11230</v>
      </c>
      <c r="AL62" s="2579">
        <f>SUMIFS(M30:M954,F30:F954,5,G30:G954,5)</f>
        <v>0</v>
      </c>
      <c r="AM62" s="2817"/>
    </row>
    <row r="63" spans="1:39" ht="15.5" x14ac:dyDescent="0.35">
      <c r="A63" s="295"/>
      <c r="B63" s="56"/>
      <c r="C63" s="56"/>
      <c r="D63" s="293"/>
      <c r="E63" s="838" t="s">
        <v>19</v>
      </c>
      <c r="F63" s="1138" t="s">
        <v>1490</v>
      </c>
      <c r="G63" s="1138">
        <v>5</v>
      </c>
      <c r="H63" s="1138">
        <v>6</v>
      </c>
      <c r="I63" s="298"/>
      <c r="J63" s="298"/>
      <c r="K63" s="298"/>
      <c r="L63" s="298"/>
      <c r="M63" s="298"/>
      <c r="N63" s="298"/>
      <c r="O63" s="621"/>
      <c r="P63" s="298"/>
      <c r="Q63" s="933"/>
      <c r="R63" s="927">
        <f>10.928-10.744</f>
        <v>0.18400000000000105</v>
      </c>
      <c r="S63" s="15"/>
      <c r="T63" s="233"/>
      <c r="U63" s="15"/>
      <c r="V63" s="15"/>
      <c r="W63" s="17"/>
      <c r="X63" s="233"/>
      <c r="Y63" s="17"/>
      <c r="Z63" s="250"/>
      <c r="AA63" s="3"/>
      <c r="AB63" s="3"/>
      <c r="AE63" s="1572"/>
      <c r="AK63" s="2815" t="s">
        <v>11231</v>
      </c>
      <c r="AL63" s="2579">
        <f>SUMIFS(N30:N954,F30:F954,5,G30:G954,5)</f>
        <v>31.128999999999994</v>
      </c>
      <c r="AM63" s="2817"/>
    </row>
    <row r="64" spans="1:39" ht="15.5" x14ac:dyDescent="0.35">
      <c r="A64" s="295"/>
      <c r="B64" s="56">
        <v>10003</v>
      </c>
      <c r="C64" s="56"/>
      <c r="D64" s="293"/>
      <c r="E64" s="838" t="s">
        <v>20</v>
      </c>
      <c r="F64" s="1138" t="s">
        <v>827</v>
      </c>
      <c r="G64" s="1138">
        <v>5</v>
      </c>
      <c r="H64" s="1138">
        <v>6</v>
      </c>
      <c r="I64" s="298"/>
      <c r="J64" s="298"/>
      <c r="K64" s="298"/>
      <c r="L64" s="298"/>
      <c r="M64" s="298"/>
      <c r="N64" s="298"/>
      <c r="O64" s="621"/>
      <c r="P64" s="298"/>
      <c r="Q64" s="933"/>
      <c r="R64" s="927">
        <f>12.009-10.928</f>
        <v>1.0809999999999995</v>
      </c>
      <c r="S64" s="15"/>
      <c r="T64" s="233"/>
      <c r="U64" s="15"/>
      <c r="V64" s="15"/>
      <c r="W64" s="17"/>
      <c r="X64" s="233"/>
      <c r="Y64" s="17"/>
      <c r="Z64" s="250"/>
      <c r="AA64" s="3"/>
      <c r="AB64" s="3"/>
      <c r="AE64" s="1572"/>
      <c r="AK64" s="2815" t="s">
        <v>11232</v>
      </c>
      <c r="AL64" s="2579">
        <f>SUMIFS(O30:O954,F30:F954,5,G30:G954,5)</f>
        <v>0</v>
      </c>
      <c r="AM64" s="2817"/>
    </row>
    <row r="65" spans="1:39" ht="45.5" x14ac:dyDescent="0.35">
      <c r="A65" s="295">
        <v>20</v>
      </c>
      <c r="B65" s="999">
        <v>10003</v>
      </c>
      <c r="C65" s="999"/>
      <c r="D65" s="2474" t="s">
        <v>3736</v>
      </c>
      <c r="E65" s="288" t="s">
        <v>7411</v>
      </c>
      <c r="F65" s="1138">
        <v>5</v>
      </c>
      <c r="G65" s="1138">
        <v>5</v>
      </c>
      <c r="H65" s="1138">
        <v>6</v>
      </c>
      <c r="I65" s="297">
        <f>J65+K65+L65</f>
        <v>0.5</v>
      </c>
      <c r="J65" s="297">
        <f>SUM(M65:R65)</f>
        <v>0.5</v>
      </c>
      <c r="K65" s="297"/>
      <c r="L65" s="297"/>
      <c r="M65" s="297"/>
      <c r="N65" s="297">
        <v>0.5</v>
      </c>
      <c r="O65" s="619"/>
      <c r="P65" s="297"/>
      <c r="Q65" s="932"/>
      <c r="R65" s="925"/>
      <c r="S65" s="15"/>
      <c r="T65" s="233"/>
      <c r="U65" s="15"/>
      <c r="V65" s="15"/>
      <c r="W65" s="154"/>
      <c r="X65" s="1962"/>
      <c r="Y65" s="17"/>
      <c r="Z65" s="250"/>
      <c r="AA65" s="3"/>
      <c r="AB65" s="3">
        <v>1</v>
      </c>
      <c r="AE65" s="1572"/>
      <c r="AK65" s="2815" t="s">
        <v>11233</v>
      </c>
      <c r="AL65" s="2579">
        <f>SUMIFS(P30:P954,F30:F954,5,G30:G954,5)+SUMIFS(Q30:Q954,F30:F954,5,G30:G954,5)</f>
        <v>61.161999999999985</v>
      </c>
      <c r="AM65" s="2817"/>
    </row>
    <row r="66" spans="1:39" ht="60" x14ac:dyDescent="0.35">
      <c r="A66" s="693">
        <v>21</v>
      </c>
      <c r="B66" s="693">
        <v>10003</v>
      </c>
      <c r="C66" s="999" t="s">
        <v>1656</v>
      </c>
      <c r="D66" s="2474" t="s">
        <v>3737</v>
      </c>
      <c r="E66" s="2187" t="s">
        <v>8132</v>
      </c>
      <c r="F66" s="92" t="s">
        <v>664</v>
      </c>
      <c r="G66" s="92">
        <v>5</v>
      </c>
      <c r="H66" s="1138">
        <v>6</v>
      </c>
      <c r="I66" s="702">
        <f>J66+K66+L66</f>
        <v>0.5</v>
      </c>
      <c r="J66" s="702">
        <f>SUM(M66:R66)</f>
        <v>0.5</v>
      </c>
      <c r="K66" s="622"/>
      <c r="L66" s="622"/>
      <c r="M66" s="622"/>
      <c r="N66" s="622"/>
      <c r="O66" s="622"/>
      <c r="P66" s="622"/>
      <c r="Q66" s="622"/>
      <c r="R66" s="906">
        <v>0.5</v>
      </c>
      <c r="S66" s="106"/>
      <c r="T66" s="106"/>
      <c r="U66" s="106"/>
      <c r="V66" s="106"/>
      <c r="W66" s="105"/>
      <c r="X66" s="105"/>
      <c r="Y66" s="105"/>
      <c r="Z66" s="105"/>
      <c r="AB66">
        <v>1</v>
      </c>
      <c r="AE66" s="1572"/>
      <c r="AK66" s="2815" t="s">
        <v>910</v>
      </c>
      <c r="AL66" s="2579">
        <f>SUMIFS(R30:R954,F30:F954,5,G30:G954,5)</f>
        <v>2.19</v>
      </c>
      <c r="AM66" s="2817"/>
    </row>
    <row r="67" spans="1:39" ht="45.5" x14ac:dyDescent="0.35">
      <c r="A67" s="295">
        <v>22</v>
      </c>
      <c r="B67" s="999">
        <v>10003</v>
      </c>
      <c r="C67" s="999"/>
      <c r="D67" s="2474" t="s">
        <v>3738</v>
      </c>
      <c r="E67" s="511" t="s">
        <v>7412</v>
      </c>
      <c r="F67" s="1138" t="s">
        <v>664</v>
      </c>
      <c r="G67" s="1138">
        <v>5</v>
      </c>
      <c r="H67" s="1138">
        <v>6</v>
      </c>
      <c r="I67" s="297">
        <f>J67+K67+L67</f>
        <v>0.5</v>
      </c>
      <c r="J67" s="297">
        <f>SUM(M67:R67)</f>
        <v>0.5</v>
      </c>
      <c r="K67" s="297"/>
      <c r="L67" s="297"/>
      <c r="M67" s="297"/>
      <c r="N67" s="297"/>
      <c r="O67" s="619"/>
      <c r="P67" s="297"/>
      <c r="Q67" s="932"/>
      <c r="R67" s="925">
        <v>0.5</v>
      </c>
      <c r="S67" s="15"/>
      <c r="T67" s="233"/>
      <c r="U67" s="15"/>
      <c r="V67" s="15"/>
      <c r="W67" s="17"/>
      <c r="X67" s="233"/>
      <c r="Y67" s="17"/>
      <c r="Z67" s="250"/>
      <c r="AA67" s="3"/>
      <c r="AB67" s="3">
        <v>1</v>
      </c>
      <c r="AE67" s="1572"/>
      <c r="AK67" s="2818" t="s">
        <v>11234</v>
      </c>
      <c r="AL67" s="2821">
        <f>AL68+AL69+AL70+AL71+AL72</f>
        <v>160.31100000000001</v>
      </c>
      <c r="AM67" s="2820">
        <f>AL67-AH31-AI31-AJ31</f>
        <v>0</v>
      </c>
    </row>
    <row r="68" spans="1:39" ht="60" x14ac:dyDescent="0.35">
      <c r="A68" s="693">
        <v>23</v>
      </c>
      <c r="B68" s="693">
        <v>10003</v>
      </c>
      <c r="C68" s="999" t="s">
        <v>1656</v>
      </c>
      <c r="D68" s="2474" t="s">
        <v>3739</v>
      </c>
      <c r="E68" s="2187" t="s">
        <v>8133</v>
      </c>
      <c r="F68" s="92" t="s">
        <v>664</v>
      </c>
      <c r="G68" s="92">
        <v>5</v>
      </c>
      <c r="H68" s="1138">
        <v>6</v>
      </c>
      <c r="I68" s="702">
        <v>1</v>
      </c>
      <c r="J68" s="702">
        <v>1</v>
      </c>
      <c r="K68" s="622"/>
      <c r="L68" s="622"/>
      <c r="M68" s="622"/>
      <c r="N68" s="622"/>
      <c r="O68" s="622"/>
      <c r="P68" s="622"/>
      <c r="Q68" s="622"/>
      <c r="R68" s="906">
        <v>1</v>
      </c>
      <c r="S68" s="106"/>
      <c r="T68" s="106"/>
      <c r="U68" s="106"/>
      <c r="V68" s="106"/>
      <c r="W68" s="105"/>
      <c r="X68" s="105"/>
      <c r="Y68" s="105"/>
      <c r="Z68" s="105"/>
      <c r="AA68" s="69"/>
      <c r="AB68" s="69">
        <v>1</v>
      </c>
      <c r="AE68" s="1572"/>
      <c r="AK68" s="2815" t="s">
        <v>11230</v>
      </c>
      <c r="AL68" s="2579">
        <f>SUMIFS(M30:M954,F30:F954,"6а",G30:G954,5)+SUMIFS(M30:M954,F30:F954,"6б",G30:G954,5)+SUMIFS(M30:M954,F30:F954,"б/к",G30:G954,5)</f>
        <v>0</v>
      </c>
      <c r="AM68" s="2817"/>
    </row>
    <row r="69" spans="1:39" ht="60" x14ac:dyDescent="0.4">
      <c r="A69" s="295">
        <v>24</v>
      </c>
      <c r="B69" s="693">
        <v>10003</v>
      </c>
      <c r="C69" s="999" t="s">
        <v>1656</v>
      </c>
      <c r="D69" s="2474" t="s">
        <v>3740</v>
      </c>
      <c r="E69" s="2187" t="s">
        <v>8134</v>
      </c>
      <c r="F69" s="92" t="s">
        <v>664</v>
      </c>
      <c r="G69" s="92">
        <v>5</v>
      </c>
      <c r="H69" s="1138">
        <v>6</v>
      </c>
      <c r="I69" s="702">
        <v>0.4</v>
      </c>
      <c r="J69" s="702">
        <v>0.4</v>
      </c>
      <c r="K69" s="622"/>
      <c r="L69" s="622"/>
      <c r="M69" s="622"/>
      <c r="N69" s="622"/>
      <c r="O69" s="622"/>
      <c r="P69" s="622"/>
      <c r="Q69" s="622"/>
      <c r="R69" s="906">
        <v>0.4</v>
      </c>
      <c r="S69" s="106"/>
      <c r="T69" s="106"/>
      <c r="U69" s="106"/>
      <c r="V69" s="106"/>
      <c r="W69" s="105"/>
      <c r="X69" s="105"/>
      <c r="Y69" s="105"/>
      <c r="Z69" s="105"/>
      <c r="AA69" s="69"/>
      <c r="AB69" s="69">
        <v>1</v>
      </c>
      <c r="AC69" s="63" t="s">
        <v>11638</v>
      </c>
      <c r="AE69" s="1572"/>
      <c r="AK69" s="2815" t="s">
        <v>11231</v>
      </c>
      <c r="AL69" s="2579">
        <f>SUMIFS(N30:N954,F30:F954,"6а",G30:G954,5)+SUMIFS(N30:N954,F30:F954,"6б",G30:G954,5)+SUMIFS(N30:N954,F30:F954,"б/к",G30:G954,5)</f>
        <v>9.7989999999999977</v>
      </c>
      <c r="AM69" s="2817"/>
    </row>
    <row r="70" spans="1:39" ht="60" x14ac:dyDescent="0.35">
      <c r="A70" s="693">
        <v>25</v>
      </c>
      <c r="B70" s="693">
        <v>10003</v>
      </c>
      <c r="C70" s="999" t="s">
        <v>1656</v>
      </c>
      <c r="D70" s="2474" t="s">
        <v>3741</v>
      </c>
      <c r="E70" s="2187" t="s">
        <v>8135</v>
      </c>
      <c r="F70" s="92" t="s">
        <v>664</v>
      </c>
      <c r="G70" s="92">
        <v>5</v>
      </c>
      <c r="H70" s="1138">
        <v>6</v>
      </c>
      <c r="I70" s="702">
        <f>J70+K70+L70</f>
        <v>1.2</v>
      </c>
      <c r="J70" s="702">
        <f>SUM(M70:R70)</f>
        <v>1.2</v>
      </c>
      <c r="K70" s="622"/>
      <c r="L70" s="622"/>
      <c r="M70" s="622"/>
      <c r="N70" s="622"/>
      <c r="O70" s="622"/>
      <c r="P70" s="622"/>
      <c r="Q70" s="622"/>
      <c r="R70" s="906">
        <v>1.2</v>
      </c>
      <c r="S70" s="106"/>
      <c r="T70" s="106"/>
      <c r="U70" s="106"/>
      <c r="V70" s="106"/>
      <c r="W70" s="105"/>
      <c r="X70" s="105"/>
      <c r="Y70" s="105"/>
      <c r="Z70" s="105"/>
      <c r="AA70" s="69"/>
      <c r="AB70" s="69">
        <v>1</v>
      </c>
      <c r="AE70" s="1572"/>
      <c r="AK70" s="2815" t="s">
        <v>11232</v>
      </c>
      <c r="AL70" s="2579">
        <f>SUMIFS(O30:O954,F30:F954,"6а",G30:G954,5)+SUMIFS(O30:O954,F30:F954,"6б",G30:G954,5)+SUMIFS(O30:O954,F30:F954,"б/к",G30:G954,5)</f>
        <v>2.4500000000000002</v>
      </c>
      <c r="AM70" s="2817"/>
    </row>
    <row r="71" spans="1:39" ht="15.5" x14ac:dyDescent="0.35">
      <c r="A71" s="295">
        <v>26</v>
      </c>
      <c r="B71" s="56">
        <v>10004</v>
      </c>
      <c r="C71" s="56"/>
      <c r="D71" s="293" t="s">
        <v>1016</v>
      </c>
      <c r="E71" s="511" t="s">
        <v>11204</v>
      </c>
      <c r="F71" s="1138"/>
      <c r="G71" s="1138" t="s">
        <v>191</v>
      </c>
      <c r="H71" s="1138" t="s">
        <v>191</v>
      </c>
      <c r="I71" s="297">
        <f>J71+K71+L71</f>
        <v>21.283999999999999</v>
      </c>
      <c r="J71" s="297">
        <f>SUM(M71:R71)</f>
        <v>21.009</v>
      </c>
      <c r="K71" s="297"/>
      <c r="L71" s="297">
        <f>SUM(L72:L74)</f>
        <v>0.27500000000000002</v>
      </c>
      <c r="M71" s="297"/>
      <c r="N71" s="297">
        <f>SUM(N72:N74)</f>
        <v>20.068000000000001</v>
      </c>
      <c r="O71" s="619"/>
      <c r="P71" s="297"/>
      <c r="Q71" s="932">
        <f>SUM(Q72:Q75)</f>
        <v>0.94099999999999895</v>
      </c>
      <c r="R71" s="925"/>
      <c r="S71" s="15">
        <v>1</v>
      </c>
      <c r="T71" s="1962">
        <v>75</v>
      </c>
      <c r="U71" s="55"/>
      <c r="V71" s="55"/>
      <c r="W71" s="154">
        <v>41</v>
      </c>
      <c r="X71" s="1962">
        <v>538.6</v>
      </c>
      <c r="Y71" s="154">
        <v>15</v>
      </c>
      <c r="Z71" s="250">
        <v>163.1</v>
      </c>
      <c r="AA71" s="3"/>
      <c r="AB71" s="3">
        <v>1</v>
      </c>
      <c r="AE71" s="1572"/>
      <c r="AK71" s="2815" t="s">
        <v>11233</v>
      </c>
      <c r="AL71" s="2579">
        <f>SUMIFS(P30:P954,F30:F954,"6а",G30:G954,5)+SUMIFS(Q30:Q954,F30:F954,"6а",G30:G954,5)+SUMIFS(P30:P954,F30:F954,"6б",G30:G954,5)+SUMIFS(Q30:Q954,F30:F954,"6б",G30:G954,5)+SUMIFS(P30:P954,F30:F954,"б/к",G30:G954,5)+SUMIFS(Q30:Q954,F30:F954,"б/к",G30:G954,5)</f>
        <v>4.7380000000000004</v>
      </c>
      <c r="AM71" s="2817"/>
    </row>
    <row r="72" spans="1:39" ht="31" x14ac:dyDescent="0.35">
      <c r="A72" s="295"/>
      <c r="B72" s="56">
        <v>10004</v>
      </c>
      <c r="C72" s="56"/>
      <c r="D72" s="293"/>
      <c r="E72" s="291" t="s">
        <v>10813</v>
      </c>
      <c r="F72" s="1138">
        <v>4</v>
      </c>
      <c r="G72" s="1138">
        <v>4</v>
      </c>
      <c r="H72" s="1138" t="s">
        <v>191</v>
      </c>
      <c r="I72" s="298"/>
      <c r="J72" s="298"/>
      <c r="K72" s="298"/>
      <c r="L72" s="487">
        <v>0.27500000000000002</v>
      </c>
      <c r="M72" s="487"/>
      <c r="N72" s="487"/>
      <c r="O72" s="621"/>
      <c r="P72" s="298"/>
      <c r="Q72" s="933"/>
      <c r="R72" s="927"/>
      <c r="S72" s="15"/>
      <c r="T72" s="233"/>
      <c r="U72" s="15"/>
      <c r="V72" s="15"/>
      <c r="W72" s="17"/>
      <c r="X72" s="233"/>
      <c r="Y72" s="17"/>
      <c r="Z72" s="250"/>
      <c r="AA72" s="3"/>
      <c r="AB72" s="3"/>
      <c r="AE72" s="1572"/>
      <c r="AK72" s="2815" t="s">
        <v>910</v>
      </c>
      <c r="AL72" s="2579">
        <f>SUMIFS(R30:R954,F30:F954,"6а",G30:G954,5)+SUMIFS(R30:R954,F30:F954,"6б",G30:G954,5)+SUMIFS(R30:R954,F30:F954,"б/к",G30:G954,5)</f>
        <v>143.32400000000001</v>
      </c>
      <c r="AM72" s="2817"/>
    </row>
    <row r="73" spans="1:39" ht="15.5" x14ac:dyDescent="0.35">
      <c r="A73" s="295"/>
      <c r="B73" s="56">
        <v>10004</v>
      </c>
      <c r="C73" s="56"/>
      <c r="D73" s="293"/>
      <c r="E73" s="291" t="s">
        <v>10815</v>
      </c>
      <c r="F73" s="1138">
        <v>4</v>
      </c>
      <c r="G73" s="1138">
        <v>4</v>
      </c>
      <c r="H73" s="1138">
        <v>6</v>
      </c>
      <c r="I73" s="298"/>
      <c r="J73" s="298"/>
      <c r="K73" s="298"/>
      <c r="L73" s="487"/>
      <c r="M73" s="487"/>
      <c r="N73" s="487">
        <f>20.343-0.275</f>
        <v>20.068000000000001</v>
      </c>
      <c r="O73" s="621"/>
      <c r="P73" s="298"/>
      <c r="Q73" s="933"/>
      <c r="R73" s="927"/>
      <c r="S73" s="15"/>
      <c r="T73" s="233"/>
      <c r="U73" s="15"/>
      <c r="V73" s="15"/>
      <c r="W73" s="17"/>
      <c r="X73" s="233"/>
      <c r="Y73" s="17"/>
      <c r="Z73" s="250"/>
      <c r="AA73" s="3"/>
      <c r="AB73" s="3"/>
      <c r="AE73" s="1572"/>
      <c r="AK73" s="2815"/>
      <c r="AL73" s="2579"/>
      <c r="AM73" s="2817"/>
    </row>
    <row r="74" spans="1:39" ht="15.5" x14ac:dyDescent="0.35">
      <c r="A74" s="295"/>
      <c r="B74" s="56">
        <v>10004</v>
      </c>
      <c r="C74" s="56"/>
      <c r="D74" s="293"/>
      <c r="E74" s="837" t="s">
        <v>10814</v>
      </c>
      <c r="F74" s="1138">
        <v>4</v>
      </c>
      <c r="G74" s="1138">
        <v>4</v>
      </c>
      <c r="H74" s="1138">
        <v>6</v>
      </c>
      <c r="I74" s="298"/>
      <c r="J74" s="298"/>
      <c r="K74" s="298"/>
      <c r="L74" s="298"/>
      <c r="M74" s="298"/>
      <c r="N74" s="298"/>
      <c r="O74" s="621"/>
      <c r="P74" s="298"/>
      <c r="Q74" s="933">
        <f>21.284-20.343</f>
        <v>0.94099999999999895</v>
      </c>
      <c r="R74" s="927"/>
      <c r="S74" s="15"/>
      <c r="T74" s="233"/>
      <c r="U74" s="15"/>
      <c r="V74" s="15"/>
      <c r="W74" s="17"/>
      <c r="X74" s="233"/>
      <c r="Y74" s="17"/>
      <c r="Z74" s="250"/>
      <c r="AA74" s="3"/>
      <c r="AB74" s="3"/>
      <c r="AE74" s="1572"/>
      <c r="AK74" s="2822" t="s">
        <v>11237</v>
      </c>
      <c r="AL74" s="2823">
        <f>AL11+AL32+AL53</f>
        <v>487.40800000000002</v>
      </c>
      <c r="AM74" s="2824">
        <f>AL74-J10</f>
        <v>0</v>
      </c>
    </row>
    <row r="75" spans="1:39" ht="30.5" x14ac:dyDescent="0.35">
      <c r="A75" s="295">
        <v>27</v>
      </c>
      <c r="B75" s="999">
        <v>10004</v>
      </c>
      <c r="C75" s="999"/>
      <c r="D75" s="2474" t="s">
        <v>3742</v>
      </c>
      <c r="E75" s="288" t="s">
        <v>7413</v>
      </c>
      <c r="F75" s="1138">
        <v>5</v>
      </c>
      <c r="G75" s="1138">
        <v>5</v>
      </c>
      <c r="H75" s="1138">
        <v>6</v>
      </c>
      <c r="I75" s="297">
        <f t="shared" ref="I75:I87" si="8">J75+K75+L75</f>
        <v>1.1000000000000001</v>
      </c>
      <c r="J75" s="297">
        <f t="shared" ref="J75:J87" si="9">SUM(M75:R75)</f>
        <v>1.1000000000000001</v>
      </c>
      <c r="K75" s="297"/>
      <c r="L75" s="297"/>
      <c r="M75" s="297"/>
      <c r="N75" s="297">
        <v>1.1000000000000001</v>
      </c>
      <c r="O75" s="619"/>
      <c r="P75" s="297"/>
      <c r="Q75" s="932"/>
      <c r="R75" s="925"/>
      <c r="S75" s="15"/>
      <c r="T75" s="233"/>
      <c r="U75" s="15"/>
      <c r="V75" s="15"/>
      <c r="W75" s="154"/>
      <c r="X75" s="1962"/>
      <c r="Y75" s="154"/>
      <c r="Z75" s="250"/>
      <c r="AA75" s="3"/>
      <c r="AB75" s="3">
        <v>1</v>
      </c>
      <c r="AE75" s="1572"/>
      <c r="AK75" s="2825" t="s">
        <v>11238</v>
      </c>
      <c r="AL75" s="2826">
        <f>AL34+AL55+AL13</f>
        <v>232.536</v>
      </c>
      <c r="AM75" s="2827">
        <f>AL75-J12</f>
        <v>0</v>
      </c>
    </row>
    <row r="76" spans="1:39" ht="30.5" x14ac:dyDescent="0.35">
      <c r="A76" s="295">
        <v>28</v>
      </c>
      <c r="B76" s="999">
        <v>10004</v>
      </c>
      <c r="C76" s="999"/>
      <c r="D76" s="2474" t="s">
        <v>3743</v>
      </c>
      <c r="E76" s="288" t="s">
        <v>9166</v>
      </c>
      <c r="F76" s="1138" t="s">
        <v>1490</v>
      </c>
      <c r="G76" s="1138">
        <v>5</v>
      </c>
      <c r="H76" s="1138">
        <v>6</v>
      </c>
      <c r="I76" s="297">
        <f t="shared" si="8"/>
        <v>1.6</v>
      </c>
      <c r="J76" s="297">
        <f t="shared" si="9"/>
        <v>1.6</v>
      </c>
      <c r="K76" s="297"/>
      <c r="L76" s="297"/>
      <c r="M76" s="297"/>
      <c r="N76" s="297"/>
      <c r="O76" s="619"/>
      <c r="P76" s="297"/>
      <c r="Q76" s="932"/>
      <c r="R76" s="925">
        <v>1.6</v>
      </c>
      <c r="S76" s="15"/>
      <c r="T76" s="233"/>
      <c r="U76" s="15"/>
      <c r="V76" s="15"/>
      <c r="W76" s="17">
        <v>2</v>
      </c>
      <c r="X76" s="233">
        <v>20.399999999999999</v>
      </c>
      <c r="Y76" s="17"/>
      <c r="Z76" s="250"/>
      <c r="AA76" s="3"/>
      <c r="AB76" s="3">
        <v>1</v>
      </c>
      <c r="AE76" s="1572"/>
      <c r="AK76" s="2828" t="s">
        <v>11239</v>
      </c>
      <c r="AL76" s="2826">
        <f>AL19+AL40+AL61</f>
        <v>94.560999999999979</v>
      </c>
      <c r="AM76" s="2827">
        <f>AL76-J13</f>
        <v>0</v>
      </c>
    </row>
    <row r="77" spans="1:39" ht="45.5" x14ac:dyDescent="0.35">
      <c r="A77" s="295">
        <v>29</v>
      </c>
      <c r="B77" s="999">
        <v>10004</v>
      </c>
      <c r="C77" s="999" t="s">
        <v>2435</v>
      </c>
      <c r="D77" s="2474" t="s">
        <v>3744</v>
      </c>
      <c r="E77" s="288" t="s">
        <v>9612</v>
      </c>
      <c r="F77" s="1138" t="s">
        <v>827</v>
      </c>
      <c r="G77" s="1138">
        <v>5</v>
      </c>
      <c r="H77" s="1138">
        <v>6</v>
      </c>
      <c r="I77" s="297">
        <f t="shared" si="8"/>
        <v>0.9</v>
      </c>
      <c r="J77" s="297">
        <f t="shared" si="9"/>
        <v>0.9</v>
      </c>
      <c r="K77" s="297"/>
      <c r="L77" s="297"/>
      <c r="M77" s="297"/>
      <c r="N77" s="297"/>
      <c r="O77" s="619">
        <v>0.9</v>
      </c>
      <c r="P77" s="297"/>
      <c r="Q77" s="932"/>
      <c r="R77" s="925"/>
      <c r="S77" s="15"/>
      <c r="T77" s="233"/>
      <c r="U77" s="15"/>
      <c r="V77" s="15"/>
      <c r="W77" s="17"/>
      <c r="X77" s="233"/>
      <c r="Y77" s="17"/>
      <c r="Z77" s="250"/>
      <c r="AA77" s="3"/>
      <c r="AB77" s="3">
        <v>1</v>
      </c>
      <c r="AE77" s="1572"/>
      <c r="AK77" s="2828" t="s">
        <v>11240</v>
      </c>
      <c r="AL77" s="2826">
        <f>AL25+AL46+AL67</f>
        <v>160.31100000000001</v>
      </c>
      <c r="AM77" s="2827">
        <f>AL77-J14</f>
        <v>0</v>
      </c>
    </row>
    <row r="78" spans="1:39" ht="30" x14ac:dyDescent="0.35">
      <c r="A78" s="295">
        <v>30</v>
      </c>
      <c r="B78" s="693">
        <v>10004</v>
      </c>
      <c r="C78" s="999" t="s">
        <v>1656</v>
      </c>
      <c r="D78" s="2474" t="s">
        <v>3745</v>
      </c>
      <c r="E78" s="2187" t="s">
        <v>9206</v>
      </c>
      <c r="F78" s="92" t="s">
        <v>664</v>
      </c>
      <c r="G78" s="92">
        <v>5</v>
      </c>
      <c r="H78" s="1138">
        <v>6</v>
      </c>
      <c r="I78" s="702">
        <f>J78+K78+L78</f>
        <v>0.8</v>
      </c>
      <c r="J78" s="702">
        <f>SUM(M78:R78)</f>
        <v>0.8</v>
      </c>
      <c r="K78" s="106"/>
      <c r="L78" s="106"/>
      <c r="M78" s="106"/>
      <c r="N78" s="106"/>
      <c r="O78" s="106"/>
      <c r="P78" s="106"/>
      <c r="Q78" s="106"/>
      <c r="R78" s="906">
        <v>0.8</v>
      </c>
      <c r="S78" s="106"/>
      <c r="T78" s="106"/>
      <c r="U78" s="106"/>
      <c r="V78" s="106"/>
      <c r="W78" s="105"/>
      <c r="X78" s="105"/>
      <c r="Y78" s="105"/>
      <c r="Z78" s="105"/>
      <c r="AA78" s="69"/>
      <c r="AB78" s="69">
        <v>1</v>
      </c>
      <c r="AE78" s="1572"/>
    </row>
    <row r="79" spans="1:39" ht="30" x14ac:dyDescent="0.35">
      <c r="A79" s="295">
        <v>31</v>
      </c>
      <c r="B79" s="693">
        <v>10004</v>
      </c>
      <c r="C79" s="999" t="s">
        <v>1656</v>
      </c>
      <c r="D79" s="2474" t="s">
        <v>3746</v>
      </c>
      <c r="E79" s="2187" t="s">
        <v>8136</v>
      </c>
      <c r="F79" s="92" t="s">
        <v>1490</v>
      </c>
      <c r="G79" s="92">
        <v>5</v>
      </c>
      <c r="H79" s="1138">
        <v>6</v>
      </c>
      <c r="I79" s="702">
        <f>J79+K79+L79</f>
        <v>0.67500000000000004</v>
      </c>
      <c r="J79" s="702">
        <f>SUM(M79:R79)</f>
        <v>0.67500000000000004</v>
      </c>
      <c r="K79" s="106"/>
      <c r="L79" s="106"/>
      <c r="M79" s="106"/>
      <c r="N79" s="106"/>
      <c r="O79" s="106"/>
      <c r="P79" s="106"/>
      <c r="Q79" s="106"/>
      <c r="R79" s="906">
        <v>0.67500000000000004</v>
      </c>
      <c r="S79" s="106"/>
      <c r="T79" s="106"/>
      <c r="U79" s="106"/>
      <c r="V79" s="106"/>
      <c r="W79" s="105">
        <v>2</v>
      </c>
      <c r="X79" s="105">
        <v>15</v>
      </c>
      <c r="Y79" s="105"/>
      <c r="Z79" s="105"/>
      <c r="AA79" s="69"/>
      <c r="AB79" s="69">
        <v>1</v>
      </c>
      <c r="AC79" t="s">
        <v>2570</v>
      </c>
      <c r="AE79" s="1572"/>
    </row>
    <row r="80" spans="1:39" s="63" customFormat="1" x14ac:dyDescent="0.4">
      <c r="A80" s="696">
        <v>32</v>
      </c>
      <c r="B80" s="2718">
        <v>10005</v>
      </c>
      <c r="C80" s="2718"/>
      <c r="D80" s="2719" t="s">
        <v>1155</v>
      </c>
      <c r="E80" s="511" t="s">
        <v>10803</v>
      </c>
      <c r="F80" s="1138">
        <v>4</v>
      </c>
      <c r="G80" s="1138">
        <v>4</v>
      </c>
      <c r="H80" s="1138">
        <v>6</v>
      </c>
      <c r="I80" s="486">
        <f t="shared" si="8"/>
        <v>15.051</v>
      </c>
      <c r="J80" s="486">
        <f t="shared" si="9"/>
        <v>15.051</v>
      </c>
      <c r="K80" s="486"/>
      <c r="L80" s="486"/>
      <c r="M80" s="486"/>
      <c r="N80" s="486">
        <v>15.051</v>
      </c>
      <c r="O80" s="2720"/>
      <c r="P80" s="486"/>
      <c r="Q80" s="2720"/>
      <c r="R80" s="2720"/>
      <c r="S80" s="154">
        <v>1</v>
      </c>
      <c r="T80" s="260">
        <v>60</v>
      </c>
      <c r="U80" s="154"/>
      <c r="V80" s="154"/>
      <c r="W80" s="154">
        <v>21</v>
      </c>
      <c r="X80" s="1962">
        <v>266.5</v>
      </c>
      <c r="Y80" s="154">
        <v>6</v>
      </c>
      <c r="Z80" s="250">
        <v>60.8</v>
      </c>
      <c r="AA80" s="3"/>
      <c r="AB80" s="3">
        <v>1</v>
      </c>
      <c r="AE80" s="2721"/>
    </row>
    <row r="81" spans="1:31" ht="30.5" x14ac:dyDescent="0.35">
      <c r="A81" s="295">
        <v>33</v>
      </c>
      <c r="B81" s="999">
        <v>10005</v>
      </c>
      <c r="C81" s="999"/>
      <c r="D81" s="2474" t="s">
        <v>3747</v>
      </c>
      <c r="E81" s="288" t="s">
        <v>10741</v>
      </c>
      <c r="F81" s="1138">
        <v>5</v>
      </c>
      <c r="G81" s="1138">
        <v>5</v>
      </c>
      <c r="H81" s="1138">
        <v>6</v>
      </c>
      <c r="I81" s="297">
        <f t="shared" si="8"/>
        <v>0.4</v>
      </c>
      <c r="J81" s="297">
        <f t="shared" si="9"/>
        <v>0.4</v>
      </c>
      <c r="K81" s="297"/>
      <c r="L81" s="297"/>
      <c r="M81" s="297"/>
      <c r="N81" s="297"/>
      <c r="O81" s="619"/>
      <c r="P81" s="297"/>
      <c r="Q81" s="932">
        <v>0.4</v>
      </c>
      <c r="R81" s="925"/>
      <c r="S81" s="15"/>
      <c r="T81" s="233"/>
      <c r="U81" s="15"/>
      <c r="V81" s="15"/>
      <c r="W81" s="17">
        <v>3</v>
      </c>
      <c r="X81" s="233">
        <v>37.799999999999997</v>
      </c>
      <c r="Y81" s="17">
        <v>1</v>
      </c>
      <c r="Z81" s="250">
        <v>10</v>
      </c>
      <c r="AA81" s="3"/>
      <c r="AB81" s="3">
        <v>1</v>
      </c>
      <c r="AE81" s="1572"/>
    </row>
    <row r="82" spans="1:31" ht="30.5" x14ac:dyDescent="0.35">
      <c r="A82" s="295">
        <v>34</v>
      </c>
      <c r="B82" s="999">
        <v>10005</v>
      </c>
      <c r="C82" s="999"/>
      <c r="D82" s="2474" t="s">
        <v>3748</v>
      </c>
      <c r="E82" s="288" t="s">
        <v>7414</v>
      </c>
      <c r="F82" s="1138">
        <v>5</v>
      </c>
      <c r="G82" s="1138">
        <v>5</v>
      </c>
      <c r="H82" s="1138">
        <v>6</v>
      </c>
      <c r="I82" s="297">
        <f t="shared" si="8"/>
        <v>1.665</v>
      </c>
      <c r="J82" s="297">
        <f t="shared" si="9"/>
        <v>1.665</v>
      </c>
      <c r="K82" s="297"/>
      <c r="L82" s="297"/>
      <c r="M82" s="297"/>
      <c r="N82" s="297"/>
      <c r="O82" s="619"/>
      <c r="P82" s="297"/>
      <c r="Q82" s="932">
        <v>1.665</v>
      </c>
      <c r="R82" s="925"/>
      <c r="S82" s="15"/>
      <c r="T82" s="233"/>
      <c r="U82" s="15"/>
      <c r="V82" s="15"/>
      <c r="W82" s="17">
        <v>5</v>
      </c>
      <c r="X82" s="233">
        <v>55.3</v>
      </c>
      <c r="Y82" s="17"/>
      <c r="Z82" s="250"/>
      <c r="AA82" s="3"/>
      <c r="AB82" s="3">
        <v>1</v>
      </c>
      <c r="AE82" s="1572"/>
    </row>
    <row r="83" spans="1:31" ht="30.5" x14ac:dyDescent="0.35">
      <c r="A83" s="295">
        <v>35</v>
      </c>
      <c r="B83" s="999">
        <v>10005</v>
      </c>
      <c r="C83" s="999"/>
      <c r="D83" s="2474" t="s">
        <v>3749</v>
      </c>
      <c r="E83" s="288" t="s">
        <v>7415</v>
      </c>
      <c r="F83" s="1138" t="s">
        <v>1490</v>
      </c>
      <c r="G83" s="1138">
        <v>5</v>
      </c>
      <c r="H83" s="1138">
        <v>6</v>
      </c>
      <c r="I83" s="297">
        <f t="shared" si="8"/>
        <v>1.6</v>
      </c>
      <c r="J83" s="297">
        <f t="shared" si="9"/>
        <v>1.6</v>
      </c>
      <c r="K83" s="297"/>
      <c r="L83" s="297"/>
      <c r="M83" s="297"/>
      <c r="N83" s="297"/>
      <c r="O83" s="619"/>
      <c r="P83" s="297"/>
      <c r="Q83" s="932"/>
      <c r="R83" s="925">
        <v>1.6</v>
      </c>
      <c r="S83" s="15"/>
      <c r="T83" s="233"/>
      <c r="U83" s="15"/>
      <c r="V83" s="15"/>
      <c r="W83" s="17">
        <v>5</v>
      </c>
      <c r="X83" s="233">
        <v>40</v>
      </c>
      <c r="Y83" s="17"/>
      <c r="Z83" s="250"/>
      <c r="AA83" s="3"/>
      <c r="AB83" s="3">
        <v>1</v>
      </c>
      <c r="AC83" t="s">
        <v>2570</v>
      </c>
      <c r="AE83" s="1572"/>
    </row>
    <row r="84" spans="1:31" ht="30" x14ac:dyDescent="0.35">
      <c r="A84" s="295">
        <v>36</v>
      </c>
      <c r="B84" s="693">
        <v>10005</v>
      </c>
      <c r="C84" s="999" t="s">
        <v>1656</v>
      </c>
      <c r="D84" s="2474" t="s">
        <v>3750</v>
      </c>
      <c r="E84" s="2187" t="s">
        <v>8137</v>
      </c>
      <c r="F84" s="92" t="s">
        <v>664</v>
      </c>
      <c r="G84" s="92">
        <v>5</v>
      </c>
      <c r="H84" s="1138">
        <v>6</v>
      </c>
      <c r="I84" s="702">
        <f>J84+K84+L84</f>
        <v>0.1</v>
      </c>
      <c r="J84" s="702">
        <f>SUM(M84:R84)</f>
        <v>0.1</v>
      </c>
      <c r="K84" s="622"/>
      <c r="L84" s="622"/>
      <c r="M84" s="622"/>
      <c r="N84" s="622"/>
      <c r="O84" s="622"/>
      <c r="P84" s="622"/>
      <c r="Q84" s="622"/>
      <c r="R84" s="906">
        <v>0.1</v>
      </c>
      <c r="S84" s="106"/>
      <c r="T84" s="106"/>
      <c r="U84" s="106"/>
      <c r="V84" s="106"/>
      <c r="W84" s="105"/>
      <c r="X84" s="105"/>
      <c r="Y84" s="105"/>
      <c r="Z84" s="105"/>
      <c r="AA84" s="69"/>
      <c r="AB84" s="69">
        <v>1</v>
      </c>
      <c r="AE84" s="1572"/>
    </row>
    <row r="85" spans="1:31" ht="45.5" x14ac:dyDescent="0.35">
      <c r="A85" s="295">
        <v>37</v>
      </c>
      <c r="B85" s="999">
        <v>10005</v>
      </c>
      <c r="C85" s="999" t="s">
        <v>1656</v>
      </c>
      <c r="D85" s="2474" t="s">
        <v>3751</v>
      </c>
      <c r="E85" s="288" t="s">
        <v>8138</v>
      </c>
      <c r="F85" s="1138" t="s">
        <v>664</v>
      </c>
      <c r="G85" s="1138">
        <v>5</v>
      </c>
      <c r="H85" s="1138">
        <v>6</v>
      </c>
      <c r="I85" s="297">
        <v>0.62</v>
      </c>
      <c r="J85" s="297">
        <v>0.62</v>
      </c>
      <c r="K85" s="297"/>
      <c r="L85" s="297"/>
      <c r="M85" s="297"/>
      <c r="N85" s="297"/>
      <c r="O85" s="619"/>
      <c r="P85" s="297"/>
      <c r="Q85" s="932"/>
      <c r="R85" s="925">
        <v>0.62</v>
      </c>
      <c r="S85" s="15"/>
      <c r="T85" s="233"/>
      <c r="U85" s="15"/>
      <c r="V85" s="15"/>
      <c r="W85" s="17"/>
      <c r="X85" s="233"/>
      <c r="Y85" s="17"/>
      <c r="Z85" s="250"/>
      <c r="AA85" s="3"/>
      <c r="AB85" s="3">
        <v>1</v>
      </c>
      <c r="AE85" s="1572"/>
    </row>
    <row r="86" spans="1:31" ht="45.5" x14ac:dyDescent="0.35">
      <c r="A86" s="295">
        <v>38</v>
      </c>
      <c r="B86" s="999">
        <v>10005</v>
      </c>
      <c r="C86" s="999" t="s">
        <v>1656</v>
      </c>
      <c r="D86" s="2474" t="s">
        <v>3752</v>
      </c>
      <c r="E86" s="288" t="s">
        <v>8139</v>
      </c>
      <c r="F86" s="1138" t="s">
        <v>664</v>
      </c>
      <c r="G86" s="1138">
        <v>5</v>
      </c>
      <c r="H86" s="1138">
        <v>6</v>
      </c>
      <c r="I86" s="297">
        <v>0.19</v>
      </c>
      <c r="J86" s="297">
        <v>0.19</v>
      </c>
      <c r="K86" s="297"/>
      <c r="L86" s="297"/>
      <c r="M86" s="297"/>
      <c r="N86" s="297"/>
      <c r="O86" s="619"/>
      <c r="P86" s="297"/>
      <c r="Q86" s="932"/>
      <c r="R86" s="925">
        <v>0.19</v>
      </c>
      <c r="S86" s="15"/>
      <c r="T86" s="233"/>
      <c r="U86" s="15"/>
      <c r="V86" s="15"/>
      <c r="W86" s="17"/>
      <c r="X86" s="233"/>
      <c r="Y86" s="17"/>
      <c r="Z86" s="250"/>
      <c r="AA86" s="3"/>
      <c r="AB86" s="3">
        <v>1</v>
      </c>
      <c r="AE86" s="1572"/>
    </row>
    <row r="87" spans="1:31" s="63" customFormat="1" x14ac:dyDescent="0.4">
      <c r="A87" s="696">
        <v>39</v>
      </c>
      <c r="B87" s="2718">
        <v>10006</v>
      </c>
      <c r="C87" s="2718"/>
      <c r="D87" s="2719" t="s">
        <v>1156</v>
      </c>
      <c r="E87" s="550" t="s">
        <v>10804</v>
      </c>
      <c r="F87" s="1138"/>
      <c r="G87" s="1138" t="s">
        <v>191</v>
      </c>
      <c r="H87" s="1138" t="s">
        <v>191</v>
      </c>
      <c r="I87" s="486">
        <f t="shared" si="8"/>
        <v>9.5449999999999999</v>
      </c>
      <c r="J87" s="486">
        <f t="shared" si="9"/>
        <v>9.495000000000001</v>
      </c>
      <c r="K87" s="486"/>
      <c r="L87" s="486">
        <f>SUM(L88:L92)</f>
        <v>4.9999999999999573E-2</v>
      </c>
      <c r="M87" s="486"/>
      <c r="N87" s="486">
        <f>SUM(N88:N92)</f>
        <v>3.2810000000000015</v>
      </c>
      <c r="O87" s="2720"/>
      <c r="P87" s="486"/>
      <c r="Q87" s="932">
        <f>SUM(Q88:Q92)</f>
        <v>6.2139999999999986</v>
      </c>
      <c r="R87" s="2720"/>
      <c r="S87" s="154"/>
      <c r="T87" s="260"/>
      <c r="U87" s="154"/>
      <c r="V87" s="154"/>
      <c r="W87" s="154">
        <v>18</v>
      </c>
      <c r="X87" s="1962">
        <v>249.8</v>
      </c>
      <c r="Y87" s="154">
        <v>4</v>
      </c>
      <c r="Z87" s="250">
        <v>43.7</v>
      </c>
      <c r="AA87" s="3"/>
      <c r="AB87" s="3">
        <v>1</v>
      </c>
      <c r="AE87" s="2721"/>
    </row>
    <row r="88" spans="1:31" s="2691" customFormat="1" ht="31" x14ac:dyDescent="0.35">
      <c r="A88" s="295"/>
      <c r="B88" s="56"/>
      <c r="C88" s="56"/>
      <c r="D88" s="293"/>
      <c r="E88" s="393" t="s">
        <v>10638</v>
      </c>
      <c r="F88" s="1138">
        <v>4</v>
      </c>
      <c r="G88" s="1138">
        <v>5</v>
      </c>
      <c r="H88" s="1138" t="s">
        <v>191</v>
      </c>
      <c r="I88" s="297"/>
      <c r="J88" s="297"/>
      <c r="K88" s="297"/>
      <c r="L88" s="487">
        <v>0.03</v>
      </c>
      <c r="M88" s="297"/>
      <c r="N88" s="297"/>
      <c r="O88" s="619"/>
      <c r="P88" s="297"/>
      <c r="Q88" s="932"/>
      <c r="R88" s="925"/>
      <c r="S88" s="17"/>
      <c r="T88" s="234"/>
      <c r="U88" s="17"/>
      <c r="V88" s="17"/>
      <c r="W88" s="17"/>
      <c r="X88" s="2446"/>
      <c r="Y88" s="17"/>
      <c r="Z88" s="2533"/>
      <c r="AA88" s="3"/>
      <c r="AB88" s="3"/>
      <c r="AE88" s="1572"/>
    </row>
    <row r="89" spans="1:31" ht="15.5" x14ac:dyDescent="0.35">
      <c r="A89" s="295"/>
      <c r="B89" s="56">
        <v>10006</v>
      </c>
      <c r="C89" s="56"/>
      <c r="D89" s="293"/>
      <c r="E89" s="291" t="s">
        <v>10640</v>
      </c>
      <c r="F89" s="1138">
        <v>4</v>
      </c>
      <c r="G89" s="1138">
        <v>5</v>
      </c>
      <c r="H89" s="1138">
        <v>6</v>
      </c>
      <c r="I89" s="297"/>
      <c r="J89" s="297"/>
      <c r="K89" s="297"/>
      <c r="L89" s="486"/>
      <c r="M89" s="297"/>
      <c r="N89" s="303">
        <f>3.265-0.03</f>
        <v>3.2350000000000003</v>
      </c>
      <c r="O89" s="621"/>
      <c r="P89" s="298"/>
      <c r="Q89" s="933"/>
      <c r="R89" s="925"/>
      <c r="S89" s="17"/>
      <c r="T89" s="234"/>
      <c r="U89" s="17"/>
      <c r="V89" s="17"/>
      <c r="W89" s="17"/>
      <c r="X89" s="233"/>
      <c r="Y89" s="17"/>
      <c r="Z89" s="250"/>
      <c r="AA89" s="3"/>
      <c r="AB89" s="3"/>
      <c r="AE89" s="1572"/>
    </row>
    <row r="90" spans="1:31" ht="15.5" x14ac:dyDescent="0.35">
      <c r="A90" s="295"/>
      <c r="B90" s="56">
        <v>10006</v>
      </c>
      <c r="C90" s="56"/>
      <c r="D90" s="293"/>
      <c r="E90" s="837" t="s">
        <v>10641</v>
      </c>
      <c r="F90" s="1138">
        <v>4</v>
      </c>
      <c r="G90" s="1138">
        <v>5</v>
      </c>
      <c r="H90" s="1138">
        <v>6</v>
      </c>
      <c r="I90" s="297"/>
      <c r="J90" s="297"/>
      <c r="K90" s="297"/>
      <c r="L90" s="486"/>
      <c r="M90" s="297"/>
      <c r="N90" s="298"/>
      <c r="O90" s="621"/>
      <c r="P90" s="298"/>
      <c r="Q90" s="933">
        <f>9.479-3.265</f>
        <v>6.2139999999999986</v>
      </c>
      <c r="R90" s="925"/>
      <c r="S90" s="17"/>
      <c r="T90" s="234"/>
      <c r="U90" s="17"/>
      <c r="V90" s="17"/>
      <c r="W90" s="17"/>
      <c r="X90" s="233"/>
      <c r="Y90" s="17"/>
      <c r="Z90" s="250"/>
      <c r="AA90" s="3"/>
      <c r="AB90" s="3"/>
      <c r="AE90" s="1572"/>
    </row>
    <row r="91" spans="1:31" s="2691" customFormat="1" ht="15.5" x14ac:dyDescent="0.35">
      <c r="A91" s="295"/>
      <c r="B91" s="56"/>
      <c r="C91" s="56"/>
      <c r="D91" s="293"/>
      <c r="E91" s="291" t="s">
        <v>10642</v>
      </c>
      <c r="F91" s="1138">
        <v>4</v>
      </c>
      <c r="G91" s="1138">
        <v>5</v>
      </c>
      <c r="H91" s="1138">
        <v>6</v>
      </c>
      <c r="I91" s="297"/>
      <c r="J91" s="297"/>
      <c r="K91" s="297"/>
      <c r="L91" s="486"/>
      <c r="M91" s="297"/>
      <c r="N91" s="298">
        <f>9.525-9.479</f>
        <v>4.6000000000001151E-2</v>
      </c>
      <c r="O91" s="621"/>
      <c r="P91" s="298"/>
      <c r="Q91" s="933"/>
      <c r="R91" s="925"/>
      <c r="S91" s="17"/>
      <c r="T91" s="234"/>
      <c r="U91" s="17"/>
      <c r="V91" s="17"/>
      <c r="W91" s="17"/>
      <c r="X91" s="233"/>
      <c r="Y91" s="17"/>
      <c r="Z91" s="250"/>
      <c r="AA91" s="3"/>
      <c r="AB91" s="3"/>
      <c r="AE91" s="1572"/>
    </row>
    <row r="92" spans="1:31" s="2691" customFormat="1" ht="31" x14ac:dyDescent="0.35">
      <c r="A92" s="295"/>
      <c r="B92" s="56"/>
      <c r="C92" s="56"/>
      <c r="D92" s="293"/>
      <c r="E92" s="393" t="s">
        <v>10639</v>
      </c>
      <c r="F92" s="1138">
        <v>4</v>
      </c>
      <c r="G92" s="1138">
        <v>5</v>
      </c>
      <c r="H92" s="1138" t="s">
        <v>191</v>
      </c>
      <c r="I92" s="297"/>
      <c r="J92" s="297"/>
      <c r="K92" s="297"/>
      <c r="L92" s="487">
        <f>9.545-9.525</f>
        <v>1.9999999999999574E-2</v>
      </c>
      <c r="M92" s="297"/>
      <c r="N92" s="298"/>
      <c r="O92" s="621"/>
      <c r="P92" s="298"/>
      <c r="Q92" s="933"/>
      <c r="R92" s="925"/>
      <c r="S92" s="17"/>
      <c r="T92" s="234"/>
      <c r="U92" s="17"/>
      <c r="V92" s="17"/>
      <c r="W92" s="17"/>
      <c r="X92" s="233"/>
      <c r="Y92" s="17"/>
      <c r="Z92" s="250"/>
      <c r="AA92" s="3"/>
      <c r="AB92" s="3"/>
      <c r="AE92" s="1572"/>
    </row>
    <row r="93" spans="1:31" ht="30.5" x14ac:dyDescent="0.35">
      <c r="A93" s="295">
        <v>40</v>
      </c>
      <c r="B93" s="999">
        <v>10006</v>
      </c>
      <c r="C93" s="999"/>
      <c r="D93" s="2474" t="s">
        <v>3753</v>
      </c>
      <c r="E93" s="288" t="s">
        <v>7416</v>
      </c>
      <c r="F93" s="1138" t="s">
        <v>664</v>
      </c>
      <c r="G93" s="1138">
        <v>5</v>
      </c>
      <c r="H93" s="1138">
        <v>6</v>
      </c>
      <c r="I93" s="297">
        <f>J93+K93+L93</f>
        <v>2.0249999999999999</v>
      </c>
      <c r="J93" s="297">
        <f>SUM(M93:R93)</f>
        <v>2.0249999999999999</v>
      </c>
      <c r="K93" s="297"/>
      <c r="L93" s="297"/>
      <c r="M93" s="297"/>
      <c r="N93" s="297"/>
      <c r="O93" s="619"/>
      <c r="P93" s="297"/>
      <c r="Q93" s="932"/>
      <c r="R93" s="925">
        <v>2.0249999999999999</v>
      </c>
      <c r="S93" s="15"/>
      <c r="T93" s="233"/>
      <c r="U93" s="15"/>
      <c r="V93" s="15"/>
      <c r="W93" s="17">
        <v>2</v>
      </c>
      <c r="X93" s="233">
        <v>20.100000000000001</v>
      </c>
      <c r="Y93" s="17"/>
      <c r="Z93" s="250"/>
      <c r="AA93" s="3"/>
      <c r="AB93" s="3">
        <v>1</v>
      </c>
      <c r="AE93" s="1572"/>
    </row>
    <row r="94" spans="1:31" ht="30.5" x14ac:dyDescent="0.35">
      <c r="A94" s="295">
        <v>41</v>
      </c>
      <c r="B94" s="999">
        <v>10006</v>
      </c>
      <c r="C94" s="999"/>
      <c r="D94" s="2474" t="s">
        <v>3754</v>
      </c>
      <c r="E94" s="288" t="s">
        <v>7417</v>
      </c>
      <c r="F94" s="1138" t="s">
        <v>827</v>
      </c>
      <c r="G94" s="1138">
        <v>5</v>
      </c>
      <c r="H94" s="1138">
        <v>6</v>
      </c>
      <c r="I94" s="297">
        <f>J94+K94+L94</f>
        <v>0.1</v>
      </c>
      <c r="J94" s="297">
        <f>SUM(M94:R94)</f>
        <v>0.1</v>
      </c>
      <c r="K94" s="297"/>
      <c r="L94" s="297"/>
      <c r="M94" s="297"/>
      <c r="N94" s="297"/>
      <c r="O94" s="619"/>
      <c r="P94" s="297"/>
      <c r="Q94" s="932"/>
      <c r="R94" s="925">
        <v>0.1</v>
      </c>
      <c r="S94" s="15"/>
      <c r="T94" s="233"/>
      <c r="U94" s="15"/>
      <c r="V94" s="15"/>
      <c r="W94" s="154">
        <v>1</v>
      </c>
      <c r="X94" s="1962">
        <v>10</v>
      </c>
      <c r="Y94" s="17"/>
      <c r="Z94" s="250"/>
      <c r="AA94" s="3"/>
      <c r="AB94" s="3">
        <v>1</v>
      </c>
      <c r="AE94" s="1572"/>
    </row>
    <row r="95" spans="1:31" ht="30.5" x14ac:dyDescent="0.35">
      <c r="A95" s="295">
        <v>42</v>
      </c>
      <c r="B95" s="999">
        <v>10006</v>
      </c>
      <c r="C95" s="999"/>
      <c r="D95" s="2474" t="s">
        <v>3755</v>
      </c>
      <c r="E95" s="288" t="s">
        <v>7418</v>
      </c>
      <c r="F95" s="1138"/>
      <c r="G95" s="1138" t="s">
        <v>191</v>
      </c>
      <c r="H95" s="1138" t="s">
        <v>191</v>
      </c>
      <c r="I95" s="297">
        <f>J95+K95+L95</f>
        <v>1.3</v>
      </c>
      <c r="J95" s="297">
        <f>SUM(M95:R95)</f>
        <v>1.3</v>
      </c>
      <c r="K95" s="297"/>
      <c r="L95" s="297"/>
      <c r="M95" s="297"/>
      <c r="N95" s="297"/>
      <c r="O95" s="619"/>
      <c r="P95" s="297"/>
      <c r="Q95" s="932"/>
      <c r="R95" s="925">
        <f>SUM(R96:R97)</f>
        <v>1.3</v>
      </c>
      <c r="S95" s="15"/>
      <c r="T95" s="233"/>
      <c r="U95" s="15"/>
      <c r="V95" s="15"/>
      <c r="W95" s="17">
        <v>2</v>
      </c>
      <c r="X95" s="233">
        <v>20</v>
      </c>
      <c r="Y95" s="17"/>
      <c r="Z95" s="250"/>
      <c r="AA95" s="3"/>
      <c r="AB95" s="3">
        <v>1</v>
      </c>
      <c r="AC95" t="s">
        <v>2570</v>
      </c>
      <c r="AE95" s="1572"/>
    </row>
    <row r="96" spans="1:31" ht="15.5" x14ac:dyDescent="0.35">
      <c r="A96" s="295"/>
      <c r="B96" s="999">
        <v>10006</v>
      </c>
      <c r="C96" s="999"/>
      <c r="D96" s="293"/>
      <c r="E96" s="838" t="s">
        <v>3308</v>
      </c>
      <c r="F96" s="1138" t="s">
        <v>827</v>
      </c>
      <c r="G96" s="1138">
        <v>5</v>
      </c>
      <c r="H96" s="1138">
        <v>6</v>
      </c>
      <c r="I96" s="298"/>
      <c r="J96" s="298"/>
      <c r="K96" s="298"/>
      <c r="L96" s="298"/>
      <c r="M96" s="298"/>
      <c r="N96" s="298"/>
      <c r="O96" s="300"/>
      <c r="P96" s="298"/>
      <c r="Q96" s="1836"/>
      <c r="R96" s="2049">
        <v>0.85</v>
      </c>
      <c r="S96" s="15"/>
      <c r="T96" s="233"/>
      <c r="U96" s="15"/>
      <c r="V96" s="15"/>
      <c r="W96" s="17"/>
      <c r="X96" s="233"/>
      <c r="Y96" s="17"/>
      <c r="Z96" s="250"/>
      <c r="AA96" s="3"/>
      <c r="AB96" s="3"/>
      <c r="AE96" s="1572"/>
    </row>
    <row r="97" spans="1:31" ht="15.5" x14ac:dyDescent="0.35">
      <c r="A97" s="295"/>
      <c r="B97" s="999">
        <v>10006</v>
      </c>
      <c r="C97" s="999"/>
      <c r="D97" s="293"/>
      <c r="E97" s="838" t="s">
        <v>2459</v>
      </c>
      <c r="F97" s="1138" t="s">
        <v>1490</v>
      </c>
      <c r="G97" s="1138">
        <v>5</v>
      </c>
      <c r="H97" s="1138">
        <v>6</v>
      </c>
      <c r="I97" s="298"/>
      <c r="J97" s="298"/>
      <c r="K97" s="298"/>
      <c r="L97" s="298"/>
      <c r="M97" s="298"/>
      <c r="N97" s="298"/>
      <c r="O97" s="300"/>
      <c r="P97" s="298"/>
      <c r="Q97" s="1836"/>
      <c r="R97" s="2049">
        <f>1.3-0.85</f>
        <v>0.45000000000000007</v>
      </c>
      <c r="S97" s="15"/>
      <c r="T97" s="233"/>
      <c r="U97" s="15"/>
      <c r="V97" s="15"/>
      <c r="W97" s="17"/>
      <c r="X97" s="233"/>
      <c r="Y97" s="17"/>
      <c r="Z97" s="250"/>
      <c r="AA97" s="3"/>
      <c r="AB97" s="3"/>
      <c r="AE97" s="1572"/>
    </row>
    <row r="98" spans="1:31" ht="30.5" x14ac:dyDescent="0.35">
      <c r="A98" s="295">
        <v>43</v>
      </c>
      <c r="B98" s="999">
        <v>10006</v>
      </c>
      <c r="C98" s="999" t="s">
        <v>1656</v>
      </c>
      <c r="D98" s="2474" t="s">
        <v>3756</v>
      </c>
      <c r="E98" s="288" t="s">
        <v>8140</v>
      </c>
      <c r="F98" s="1138" t="s">
        <v>664</v>
      </c>
      <c r="G98" s="1138">
        <v>5</v>
      </c>
      <c r="H98" s="1138">
        <v>6</v>
      </c>
      <c r="I98" s="297">
        <f>J98+K98+L98</f>
        <v>0.2</v>
      </c>
      <c r="J98" s="297">
        <f>SUM(M98:R98)</f>
        <v>0.2</v>
      </c>
      <c r="K98" s="297"/>
      <c r="L98" s="297"/>
      <c r="M98" s="297"/>
      <c r="N98" s="297"/>
      <c r="O98" s="619"/>
      <c r="P98" s="297"/>
      <c r="Q98" s="932"/>
      <c r="R98" s="925">
        <v>0.2</v>
      </c>
      <c r="S98" s="15"/>
      <c r="T98" s="233"/>
      <c r="U98" s="15"/>
      <c r="V98" s="15"/>
      <c r="W98" s="17"/>
      <c r="X98" s="233"/>
      <c r="Y98" s="17"/>
      <c r="Z98" s="250"/>
      <c r="AA98" s="3"/>
      <c r="AB98" s="3">
        <v>1</v>
      </c>
      <c r="AE98" s="1572"/>
    </row>
    <row r="99" spans="1:31" ht="30.5" x14ac:dyDescent="0.35">
      <c r="A99" s="295">
        <v>44</v>
      </c>
      <c r="B99" s="56">
        <v>10007</v>
      </c>
      <c r="C99" s="56"/>
      <c r="D99" s="293" t="s">
        <v>1157</v>
      </c>
      <c r="E99" s="290" t="s">
        <v>1862</v>
      </c>
      <c r="F99" s="1138"/>
      <c r="G99" s="1138" t="s">
        <v>191</v>
      </c>
      <c r="H99" s="1138" t="s">
        <v>191</v>
      </c>
      <c r="I99" s="297">
        <f>J99+K99+L99</f>
        <v>27.114999999999998</v>
      </c>
      <c r="J99" s="297">
        <f>SUM(M99:R99)</f>
        <v>27.091999999999999</v>
      </c>
      <c r="K99" s="297"/>
      <c r="L99" s="297">
        <f>SUM(L100:L104)</f>
        <v>2.3E-2</v>
      </c>
      <c r="M99" s="297"/>
      <c r="N99" s="297">
        <f>SUM(N100:N104)</f>
        <v>11.217000000000001</v>
      </c>
      <c r="O99" s="619"/>
      <c r="P99" s="297"/>
      <c r="Q99" s="932">
        <f>SUM(Q100:Q104)</f>
        <v>15.874999999999998</v>
      </c>
      <c r="R99" s="925"/>
      <c r="S99" s="17">
        <v>2</v>
      </c>
      <c r="T99" s="260">
        <f>18+24</f>
        <v>42</v>
      </c>
      <c r="U99" s="154"/>
      <c r="V99" s="154"/>
      <c r="W99" s="154">
        <v>36</v>
      </c>
      <c r="X99" s="1962">
        <v>457.5</v>
      </c>
      <c r="Y99" s="154">
        <v>3</v>
      </c>
      <c r="Z99" s="250">
        <v>30</v>
      </c>
      <c r="AA99" s="3"/>
      <c r="AB99" s="3">
        <v>1</v>
      </c>
      <c r="AE99" s="1572"/>
    </row>
    <row r="100" spans="1:31" s="2717" customFormat="1" ht="31" x14ac:dyDescent="0.35">
      <c r="A100" s="295"/>
      <c r="B100" s="56"/>
      <c r="C100" s="56"/>
      <c r="D100" s="293"/>
      <c r="E100" s="393" t="s">
        <v>10816</v>
      </c>
      <c r="F100" s="337">
        <v>4</v>
      </c>
      <c r="G100" s="337">
        <v>4</v>
      </c>
      <c r="H100" s="337" t="s">
        <v>191</v>
      </c>
      <c r="I100" s="2720"/>
      <c r="J100" s="2720"/>
      <c r="K100" s="2720"/>
      <c r="L100" s="488">
        <v>2.3E-2</v>
      </c>
      <c r="M100" s="2720"/>
      <c r="N100" s="2720"/>
      <c r="O100" s="619"/>
      <c r="P100" s="297"/>
      <c r="Q100" s="932"/>
      <c r="R100" s="925"/>
      <c r="S100" s="17"/>
      <c r="T100" s="2723"/>
      <c r="U100" s="17"/>
      <c r="V100" s="17"/>
      <c r="W100" s="2441"/>
      <c r="X100" s="2446"/>
      <c r="Y100" s="2441"/>
      <c r="Z100" s="2533"/>
      <c r="AA100" s="3"/>
      <c r="AB100" s="3"/>
      <c r="AE100" s="1572"/>
    </row>
    <row r="101" spans="1:31" ht="15.5" x14ac:dyDescent="0.35">
      <c r="A101" s="295"/>
      <c r="B101" s="56">
        <v>10007</v>
      </c>
      <c r="C101" s="56"/>
      <c r="D101" s="293"/>
      <c r="E101" s="534" t="s">
        <v>10817</v>
      </c>
      <c r="F101" s="337">
        <v>4</v>
      </c>
      <c r="G101" s="337">
        <v>4</v>
      </c>
      <c r="H101" s="337">
        <v>6</v>
      </c>
      <c r="I101" s="2720"/>
      <c r="J101" s="2720"/>
      <c r="K101" s="2720"/>
      <c r="L101" s="2720"/>
      <c r="M101" s="2720"/>
      <c r="N101" s="488">
        <f>10.919-0.023</f>
        <v>10.896000000000001</v>
      </c>
      <c r="O101" s="621"/>
      <c r="P101" s="298"/>
      <c r="Q101" s="933"/>
      <c r="R101" s="925"/>
      <c r="S101" s="17"/>
      <c r="T101" s="234"/>
      <c r="U101" s="17"/>
      <c r="V101" s="17"/>
      <c r="W101" s="17"/>
      <c r="X101" s="233"/>
      <c r="Y101" s="17"/>
      <c r="Z101" s="250"/>
      <c r="AA101" s="3"/>
      <c r="AB101" s="3"/>
      <c r="AE101" s="1572"/>
    </row>
    <row r="102" spans="1:31" ht="15.5" x14ac:dyDescent="0.35">
      <c r="A102" s="295"/>
      <c r="B102" s="56">
        <v>10007</v>
      </c>
      <c r="C102" s="56"/>
      <c r="D102" s="293"/>
      <c r="E102" s="837" t="s">
        <v>10818</v>
      </c>
      <c r="F102" s="1138">
        <v>4</v>
      </c>
      <c r="G102" s="1138">
        <v>4</v>
      </c>
      <c r="H102" s="1138">
        <v>6</v>
      </c>
      <c r="I102" s="297"/>
      <c r="J102" s="297"/>
      <c r="K102" s="297"/>
      <c r="L102" s="297"/>
      <c r="M102" s="297"/>
      <c r="N102" s="2535"/>
      <c r="O102" s="621"/>
      <c r="P102" s="298"/>
      <c r="Q102" s="933">
        <f>13.807-10.919</f>
        <v>2.8879999999999999</v>
      </c>
      <c r="R102" s="925"/>
      <c r="S102" s="17"/>
      <c r="T102" s="234"/>
      <c r="U102" s="17"/>
      <c r="V102" s="17"/>
      <c r="W102" s="17"/>
      <c r="X102" s="233"/>
      <c r="Y102" s="17"/>
      <c r="Z102" s="250"/>
      <c r="AA102" s="3"/>
      <c r="AB102" s="3"/>
      <c r="AE102" s="1572"/>
    </row>
    <row r="103" spans="1:31" ht="15.5" x14ac:dyDescent="0.35">
      <c r="A103" s="295"/>
      <c r="B103" s="56">
        <v>10007</v>
      </c>
      <c r="C103" s="56"/>
      <c r="D103" s="293"/>
      <c r="E103" s="291" t="s">
        <v>10819</v>
      </c>
      <c r="F103" s="1138">
        <v>4</v>
      </c>
      <c r="G103" s="1138">
        <v>4</v>
      </c>
      <c r="H103" s="1138">
        <v>6</v>
      </c>
      <c r="I103" s="297"/>
      <c r="J103" s="297"/>
      <c r="K103" s="297"/>
      <c r="L103" s="297"/>
      <c r="M103" s="297"/>
      <c r="N103" s="487">
        <f>14.128-13.807</f>
        <v>0.32099999999999973</v>
      </c>
      <c r="O103" s="621"/>
      <c r="P103" s="298"/>
      <c r="Q103" s="933"/>
      <c r="R103" s="925"/>
      <c r="S103" s="17"/>
      <c r="T103" s="234"/>
      <c r="U103" s="17"/>
      <c r="V103" s="17"/>
      <c r="W103" s="17"/>
      <c r="X103" s="233"/>
      <c r="Y103" s="17"/>
      <c r="Z103" s="250"/>
      <c r="AA103" s="3"/>
      <c r="AB103" s="3"/>
      <c r="AE103" s="1572"/>
    </row>
    <row r="104" spans="1:31" ht="15.5" x14ac:dyDescent="0.35">
      <c r="A104" s="295"/>
      <c r="B104" s="56">
        <v>10007</v>
      </c>
      <c r="C104" s="56"/>
      <c r="D104" s="293"/>
      <c r="E104" s="837" t="s">
        <v>10820</v>
      </c>
      <c r="F104" s="1138">
        <v>4</v>
      </c>
      <c r="G104" s="1138">
        <v>4</v>
      </c>
      <c r="H104" s="1138">
        <v>6</v>
      </c>
      <c r="I104" s="297"/>
      <c r="J104" s="297"/>
      <c r="K104" s="297"/>
      <c r="L104" s="297"/>
      <c r="M104" s="297"/>
      <c r="N104" s="298"/>
      <c r="O104" s="621"/>
      <c r="P104" s="298"/>
      <c r="Q104" s="933">
        <f>27.115-14.128</f>
        <v>12.986999999999998</v>
      </c>
      <c r="R104" s="925"/>
      <c r="S104" s="17"/>
      <c r="T104" s="234"/>
      <c r="U104" s="17"/>
      <c r="V104" s="17"/>
      <c r="W104" s="17"/>
      <c r="X104" s="233"/>
      <c r="Y104" s="17"/>
      <c r="Z104" s="250"/>
      <c r="AA104" s="3"/>
      <c r="AB104" s="3"/>
      <c r="AE104" s="1572"/>
    </row>
    <row r="105" spans="1:31" ht="30.5" x14ac:dyDescent="0.35">
      <c r="A105" s="295">
        <v>45</v>
      </c>
      <c r="B105" s="999">
        <v>10007</v>
      </c>
      <c r="C105" s="999"/>
      <c r="D105" s="2474" t="s">
        <v>3757</v>
      </c>
      <c r="E105" s="288" t="s">
        <v>7419</v>
      </c>
      <c r="F105" s="1138" t="s">
        <v>1490</v>
      </c>
      <c r="G105" s="1138">
        <v>5</v>
      </c>
      <c r="H105" s="1138">
        <v>6</v>
      </c>
      <c r="I105" s="297">
        <f t="shared" ref="I105:I113" si="10">J105+K105+L105</f>
        <v>2</v>
      </c>
      <c r="J105" s="297">
        <f t="shared" ref="J105:J113" si="11">SUM(M105:R105)</f>
        <v>2</v>
      </c>
      <c r="K105" s="297"/>
      <c r="L105" s="297"/>
      <c r="M105" s="297"/>
      <c r="N105" s="297"/>
      <c r="O105" s="619"/>
      <c r="P105" s="297"/>
      <c r="Q105" s="932"/>
      <c r="R105" s="925">
        <v>2</v>
      </c>
      <c r="S105" s="15"/>
      <c r="T105" s="233"/>
      <c r="U105" s="15"/>
      <c r="V105" s="15"/>
      <c r="W105" s="17">
        <v>6</v>
      </c>
      <c r="X105" s="233">
        <v>56.5</v>
      </c>
      <c r="Y105" s="17"/>
      <c r="Z105" s="250"/>
      <c r="AA105" s="3"/>
      <c r="AB105" s="3">
        <v>1</v>
      </c>
      <c r="AE105" s="1572"/>
    </row>
    <row r="106" spans="1:31" ht="45.5" x14ac:dyDescent="0.35">
      <c r="A106" s="295">
        <v>46</v>
      </c>
      <c r="B106" s="999">
        <v>10007</v>
      </c>
      <c r="C106" s="999"/>
      <c r="D106" s="2474" t="s">
        <v>3758</v>
      </c>
      <c r="E106" s="288" t="s">
        <v>7420</v>
      </c>
      <c r="F106" s="1138" t="s">
        <v>1490</v>
      </c>
      <c r="G106" s="1138">
        <v>5</v>
      </c>
      <c r="H106" s="1138">
        <v>6</v>
      </c>
      <c r="I106" s="297">
        <f t="shared" si="10"/>
        <v>2.75</v>
      </c>
      <c r="J106" s="297">
        <f t="shared" si="11"/>
        <v>2.75</v>
      </c>
      <c r="K106" s="297"/>
      <c r="L106" s="297"/>
      <c r="M106" s="297"/>
      <c r="N106" s="297"/>
      <c r="O106" s="619"/>
      <c r="P106" s="297"/>
      <c r="Q106" s="932"/>
      <c r="R106" s="925">
        <v>2.75</v>
      </c>
      <c r="S106" s="15"/>
      <c r="T106" s="233"/>
      <c r="U106" s="15"/>
      <c r="V106" s="15"/>
      <c r="W106" s="17">
        <v>5</v>
      </c>
      <c r="X106" s="233">
        <v>50.1</v>
      </c>
      <c r="Y106" s="17"/>
      <c r="Z106" s="250"/>
      <c r="AA106" s="3"/>
      <c r="AB106" s="3">
        <v>1</v>
      </c>
      <c r="AC106" t="s">
        <v>2570</v>
      </c>
      <c r="AE106" s="1572"/>
    </row>
    <row r="107" spans="1:31" ht="60" x14ac:dyDescent="0.35">
      <c r="A107" s="295">
        <v>47</v>
      </c>
      <c r="B107" s="693">
        <v>10007</v>
      </c>
      <c r="C107" s="999" t="s">
        <v>1656</v>
      </c>
      <c r="D107" s="2474" t="s">
        <v>3759</v>
      </c>
      <c r="E107" s="2187" t="s">
        <v>8141</v>
      </c>
      <c r="F107" s="92" t="s">
        <v>664</v>
      </c>
      <c r="G107" s="92">
        <v>5</v>
      </c>
      <c r="H107" s="1138">
        <v>6</v>
      </c>
      <c r="I107" s="702">
        <f>J107+K107+L107</f>
        <v>0.05</v>
      </c>
      <c r="J107" s="702">
        <f>SUM(M107:R107)</f>
        <v>0.05</v>
      </c>
      <c r="K107" s="622"/>
      <c r="L107" s="622"/>
      <c r="M107" s="622"/>
      <c r="N107" s="622"/>
      <c r="O107" s="622"/>
      <c r="P107" s="622"/>
      <c r="Q107" s="622"/>
      <c r="R107" s="906">
        <v>0.05</v>
      </c>
      <c r="S107" s="106"/>
      <c r="T107" s="106"/>
      <c r="U107" s="106"/>
      <c r="V107" s="106"/>
      <c r="W107" s="105"/>
      <c r="X107" s="105"/>
      <c r="Y107" s="105"/>
      <c r="Z107" s="105"/>
      <c r="AB107">
        <v>1</v>
      </c>
      <c r="AE107" s="1572"/>
    </row>
    <row r="108" spans="1:31" ht="30.5" x14ac:dyDescent="0.35">
      <c r="A108" s="295">
        <v>48</v>
      </c>
      <c r="B108" s="999">
        <v>10007</v>
      </c>
      <c r="C108" s="999"/>
      <c r="D108" s="2474" t="s">
        <v>3760</v>
      </c>
      <c r="E108" s="288" t="s">
        <v>7421</v>
      </c>
      <c r="F108" s="1138" t="s">
        <v>664</v>
      </c>
      <c r="G108" s="1138">
        <v>5</v>
      </c>
      <c r="H108" s="1138">
        <v>6</v>
      </c>
      <c r="I108" s="297">
        <f t="shared" si="10"/>
        <v>2.64</v>
      </c>
      <c r="J108" s="297">
        <f t="shared" si="11"/>
        <v>2.64</v>
      </c>
      <c r="K108" s="297"/>
      <c r="L108" s="297"/>
      <c r="M108" s="297"/>
      <c r="N108" s="297"/>
      <c r="O108" s="619"/>
      <c r="P108" s="297"/>
      <c r="Q108" s="932"/>
      <c r="R108" s="925">
        <v>2.64</v>
      </c>
      <c r="S108" s="15"/>
      <c r="T108" s="233"/>
      <c r="U108" s="15"/>
      <c r="V108" s="15"/>
      <c r="W108" s="17"/>
      <c r="X108" s="233"/>
      <c r="Y108" s="17"/>
      <c r="Z108" s="250"/>
      <c r="AA108" s="3"/>
      <c r="AB108" s="3">
        <v>1</v>
      </c>
      <c r="AE108" s="1572"/>
    </row>
    <row r="109" spans="1:31" ht="30.5" x14ac:dyDescent="0.35">
      <c r="A109" s="295">
        <v>49</v>
      </c>
      <c r="B109" s="999">
        <v>10007</v>
      </c>
      <c r="C109" s="999"/>
      <c r="D109" s="2474" t="s">
        <v>3761</v>
      </c>
      <c r="E109" s="288" t="s">
        <v>7422</v>
      </c>
      <c r="F109" s="1138" t="s">
        <v>1490</v>
      </c>
      <c r="G109" s="1138">
        <v>5</v>
      </c>
      <c r="H109" s="1138">
        <v>6</v>
      </c>
      <c r="I109" s="297">
        <f t="shared" si="10"/>
        <v>0.6</v>
      </c>
      <c r="J109" s="297">
        <f t="shared" si="11"/>
        <v>0.6</v>
      </c>
      <c r="K109" s="297"/>
      <c r="L109" s="297"/>
      <c r="M109" s="297"/>
      <c r="N109" s="297"/>
      <c r="O109" s="619"/>
      <c r="P109" s="297"/>
      <c r="Q109" s="932"/>
      <c r="R109" s="925">
        <v>0.6</v>
      </c>
      <c r="S109" s="15"/>
      <c r="T109" s="233"/>
      <c r="U109" s="15"/>
      <c r="V109" s="15"/>
      <c r="W109" s="17">
        <v>1</v>
      </c>
      <c r="X109" s="233">
        <v>10.1</v>
      </c>
      <c r="Y109" s="17"/>
      <c r="Z109" s="250"/>
      <c r="AA109" s="3"/>
      <c r="AB109" s="3">
        <v>1</v>
      </c>
      <c r="AE109" s="1572"/>
    </row>
    <row r="110" spans="1:31" ht="45.5" x14ac:dyDescent="0.35">
      <c r="A110" s="295">
        <v>50</v>
      </c>
      <c r="B110" s="999">
        <v>10007</v>
      </c>
      <c r="C110" s="999" t="s">
        <v>1656</v>
      </c>
      <c r="D110" s="2474" t="s">
        <v>3762</v>
      </c>
      <c r="E110" s="288" t="s">
        <v>8142</v>
      </c>
      <c r="F110" s="1138" t="s">
        <v>664</v>
      </c>
      <c r="G110" s="1138">
        <v>5</v>
      </c>
      <c r="H110" s="1138">
        <v>6</v>
      </c>
      <c r="I110" s="297">
        <v>0.1</v>
      </c>
      <c r="J110" s="297">
        <v>0.1</v>
      </c>
      <c r="K110" s="297"/>
      <c r="L110" s="297"/>
      <c r="M110" s="297"/>
      <c r="N110" s="297"/>
      <c r="O110" s="619"/>
      <c r="P110" s="297"/>
      <c r="Q110" s="932"/>
      <c r="R110" s="925">
        <v>0.1</v>
      </c>
      <c r="S110" s="15"/>
      <c r="T110" s="233"/>
      <c r="U110" s="15"/>
      <c r="V110" s="15"/>
      <c r="W110" s="17"/>
      <c r="X110" s="233"/>
      <c r="Y110" s="17"/>
      <c r="Z110" s="250"/>
      <c r="AA110" s="3"/>
      <c r="AB110" s="3">
        <v>1</v>
      </c>
      <c r="AE110" s="1572"/>
    </row>
    <row r="111" spans="1:31" ht="45" x14ac:dyDescent="0.35">
      <c r="A111" s="295">
        <v>51</v>
      </c>
      <c r="B111" s="693">
        <v>10007</v>
      </c>
      <c r="C111" s="999" t="s">
        <v>1656</v>
      </c>
      <c r="D111" s="2474" t="s">
        <v>3763</v>
      </c>
      <c r="E111" s="2187" t="s">
        <v>8143</v>
      </c>
      <c r="F111" s="92" t="s">
        <v>664</v>
      </c>
      <c r="G111" s="92">
        <v>5</v>
      </c>
      <c r="H111" s="1138">
        <v>6</v>
      </c>
      <c r="I111" s="702">
        <v>2</v>
      </c>
      <c r="J111" s="702">
        <v>2</v>
      </c>
      <c r="K111" s="622"/>
      <c r="L111" s="622"/>
      <c r="M111" s="622"/>
      <c r="N111" s="622"/>
      <c r="O111" s="622"/>
      <c r="P111" s="622"/>
      <c r="Q111" s="622"/>
      <c r="R111" s="906">
        <v>2</v>
      </c>
      <c r="S111" s="106"/>
      <c r="T111" s="106"/>
      <c r="U111" s="106"/>
      <c r="V111" s="106"/>
      <c r="W111" s="105"/>
      <c r="X111" s="105"/>
      <c r="Y111" s="105"/>
      <c r="Z111" s="105"/>
      <c r="AB111">
        <v>1</v>
      </c>
      <c r="AE111" s="1572"/>
    </row>
    <row r="112" spans="1:31" ht="45" x14ac:dyDescent="0.35">
      <c r="A112" s="295">
        <v>52</v>
      </c>
      <c r="B112" s="693">
        <v>10007</v>
      </c>
      <c r="C112" s="999" t="s">
        <v>1656</v>
      </c>
      <c r="D112" s="2474" t="s">
        <v>3764</v>
      </c>
      <c r="E112" s="2187" t="s">
        <v>9613</v>
      </c>
      <c r="F112" s="92" t="s">
        <v>664</v>
      </c>
      <c r="G112" s="92">
        <v>5</v>
      </c>
      <c r="H112" s="1138">
        <v>6</v>
      </c>
      <c r="I112" s="702">
        <f>J112+K112+L112</f>
        <v>0.1</v>
      </c>
      <c r="J112" s="702">
        <f>SUM(M112:R112)</f>
        <v>0.1</v>
      </c>
      <c r="K112" s="622"/>
      <c r="L112" s="622"/>
      <c r="M112" s="622"/>
      <c r="N112" s="622"/>
      <c r="O112" s="622"/>
      <c r="P112" s="622"/>
      <c r="Q112" s="622"/>
      <c r="R112" s="906">
        <v>0.1</v>
      </c>
      <c r="S112" s="106"/>
      <c r="T112" s="106"/>
      <c r="U112" s="106"/>
      <c r="V112" s="106"/>
      <c r="W112" s="105"/>
      <c r="X112" s="105"/>
      <c r="Y112" s="105"/>
      <c r="Z112" s="105"/>
      <c r="AB112">
        <v>1</v>
      </c>
      <c r="AE112" s="1572"/>
    </row>
    <row r="113" spans="1:31" ht="30.5" x14ac:dyDescent="0.35">
      <c r="A113" s="295">
        <v>53</v>
      </c>
      <c r="B113" s="56">
        <v>10008</v>
      </c>
      <c r="C113" s="56"/>
      <c r="D113" s="293" t="s">
        <v>1158</v>
      </c>
      <c r="E113" s="550" t="s">
        <v>11205</v>
      </c>
      <c r="F113" s="1138"/>
      <c r="G113" s="1138" t="s">
        <v>191</v>
      </c>
      <c r="H113" s="1138" t="s">
        <v>191</v>
      </c>
      <c r="I113" s="297">
        <f t="shared" si="10"/>
        <v>20.405000000000001</v>
      </c>
      <c r="J113" s="297">
        <f t="shared" si="11"/>
        <v>19.988</v>
      </c>
      <c r="K113" s="297"/>
      <c r="L113" s="297">
        <f>SUM(L114:L116)</f>
        <v>0.41699999999999998</v>
      </c>
      <c r="M113" s="297"/>
      <c r="N113" s="297">
        <f>SUM(N114:N116)</f>
        <v>9.2850000000000001</v>
      </c>
      <c r="O113" s="619"/>
      <c r="P113" s="297"/>
      <c r="Q113" s="932">
        <f>SUM(Q114:Q116)</f>
        <v>10.703000000000001</v>
      </c>
      <c r="R113" s="925"/>
      <c r="S113" s="17">
        <v>1</v>
      </c>
      <c r="T113" s="260">
        <v>9.4</v>
      </c>
      <c r="U113" s="154"/>
      <c r="V113" s="154"/>
      <c r="W113" s="154">
        <v>50</v>
      </c>
      <c r="X113" s="1962">
        <v>625.85</v>
      </c>
      <c r="Y113" s="154">
        <v>15</v>
      </c>
      <c r="Z113" s="250">
        <v>143.35</v>
      </c>
      <c r="AA113" s="3"/>
      <c r="AB113" s="3">
        <v>1</v>
      </c>
      <c r="AE113" s="1572"/>
    </row>
    <row r="114" spans="1:31" ht="31" x14ac:dyDescent="0.35">
      <c r="A114" s="295"/>
      <c r="B114" s="56"/>
      <c r="C114" s="56"/>
      <c r="D114" s="293"/>
      <c r="E114" s="291" t="s">
        <v>10838</v>
      </c>
      <c r="F114" s="1138">
        <v>4</v>
      </c>
      <c r="G114" s="1138">
        <v>4</v>
      </c>
      <c r="H114" s="1138" t="s">
        <v>191</v>
      </c>
      <c r="I114" s="297"/>
      <c r="J114" s="297"/>
      <c r="K114" s="297"/>
      <c r="L114" s="487">
        <v>0.41699999999999998</v>
      </c>
      <c r="M114" s="297"/>
      <c r="N114" s="297"/>
      <c r="O114" s="619"/>
      <c r="P114" s="297"/>
      <c r="Q114" s="932"/>
      <c r="R114" s="925"/>
      <c r="S114" s="17"/>
      <c r="T114" s="234"/>
      <c r="U114" s="17"/>
      <c r="V114" s="17"/>
      <c r="W114" s="17"/>
      <c r="X114" s="233"/>
      <c r="Y114" s="17"/>
      <c r="Z114" s="250"/>
      <c r="AA114" s="3"/>
      <c r="AB114" s="3"/>
      <c r="AE114" s="1572"/>
    </row>
    <row r="115" spans="1:31" ht="15.5" x14ac:dyDescent="0.35">
      <c r="A115" s="295"/>
      <c r="B115" s="56">
        <v>10008</v>
      </c>
      <c r="C115" s="56"/>
      <c r="D115" s="293"/>
      <c r="E115" s="291" t="s">
        <v>10839</v>
      </c>
      <c r="F115" s="1138">
        <v>4</v>
      </c>
      <c r="G115" s="1138">
        <v>4</v>
      </c>
      <c r="H115" s="1138">
        <v>6</v>
      </c>
      <c r="I115" s="297"/>
      <c r="J115" s="297"/>
      <c r="K115" s="297"/>
      <c r="L115" s="297"/>
      <c r="M115" s="297"/>
      <c r="N115" s="298">
        <f>9.702-0.417</f>
        <v>9.2850000000000001</v>
      </c>
      <c r="O115" s="621"/>
      <c r="P115" s="298"/>
      <c r="Q115" s="933"/>
      <c r="R115" s="925"/>
      <c r="S115" s="17"/>
      <c r="T115" s="234"/>
      <c r="U115" s="17"/>
      <c r="V115" s="17"/>
      <c r="W115" s="17"/>
      <c r="X115" s="233"/>
      <c r="Y115" s="17"/>
      <c r="Z115" s="250"/>
      <c r="AA115" s="3"/>
      <c r="AB115" s="3"/>
      <c r="AE115" s="1572"/>
    </row>
    <row r="116" spans="1:31" ht="15.5" x14ac:dyDescent="0.35">
      <c r="A116" s="295"/>
      <c r="B116" s="56">
        <v>10008</v>
      </c>
      <c r="C116" s="56"/>
      <c r="D116" s="293"/>
      <c r="E116" s="837" t="s">
        <v>10840</v>
      </c>
      <c r="F116" s="1138">
        <v>4</v>
      </c>
      <c r="G116" s="1138">
        <v>4</v>
      </c>
      <c r="H116" s="1138">
        <v>6</v>
      </c>
      <c r="I116" s="297"/>
      <c r="J116" s="297"/>
      <c r="K116" s="297"/>
      <c r="L116" s="297"/>
      <c r="M116" s="297"/>
      <c r="N116" s="298"/>
      <c r="O116" s="621"/>
      <c r="P116" s="298"/>
      <c r="Q116" s="933">
        <f>20.405-9.702</f>
        <v>10.703000000000001</v>
      </c>
      <c r="R116" s="925"/>
      <c r="S116" s="17"/>
      <c r="T116" s="234"/>
      <c r="U116" s="17"/>
      <c r="V116" s="17"/>
      <c r="W116" s="17"/>
      <c r="X116" s="233"/>
      <c r="Y116" s="17"/>
      <c r="Z116" s="250"/>
      <c r="AA116" s="3"/>
      <c r="AB116" s="3"/>
      <c r="AE116" s="1572"/>
    </row>
    <row r="117" spans="1:31" ht="45.5" x14ac:dyDescent="0.35">
      <c r="A117" s="295">
        <v>54</v>
      </c>
      <c r="B117" s="999">
        <v>10008</v>
      </c>
      <c r="C117" s="999"/>
      <c r="D117" s="2474" t="s">
        <v>3765</v>
      </c>
      <c r="E117" s="288" t="s">
        <v>7423</v>
      </c>
      <c r="F117" s="1138" t="s">
        <v>664</v>
      </c>
      <c r="G117" s="1138">
        <v>5</v>
      </c>
      <c r="H117" s="1138">
        <v>6</v>
      </c>
      <c r="I117" s="297">
        <f t="shared" ref="I117:I145" si="12">J117+K117+L117</f>
        <v>0.93</v>
      </c>
      <c r="J117" s="297">
        <f t="shared" ref="J117:J145" si="13">SUM(M117:R117)</f>
        <v>0.93</v>
      </c>
      <c r="K117" s="297"/>
      <c r="L117" s="297"/>
      <c r="M117" s="297"/>
      <c r="N117" s="297"/>
      <c r="O117" s="619"/>
      <c r="P117" s="297"/>
      <c r="Q117" s="932"/>
      <c r="R117" s="925">
        <v>0.93</v>
      </c>
      <c r="S117" s="15"/>
      <c r="T117" s="233"/>
      <c r="U117" s="15"/>
      <c r="V117" s="15"/>
      <c r="W117" s="17">
        <v>2</v>
      </c>
      <c r="X117" s="233">
        <v>22.8</v>
      </c>
      <c r="Y117" s="17"/>
      <c r="Z117" s="250"/>
      <c r="AA117" s="3"/>
      <c r="AB117" s="3">
        <v>1</v>
      </c>
      <c r="AE117" s="1572"/>
    </row>
    <row r="118" spans="1:31" ht="30.5" x14ac:dyDescent="0.35">
      <c r="A118" s="295">
        <v>55</v>
      </c>
      <c r="B118" s="999">
        <v>10008</v>
      </c>
      <c r="C118" s="999"/>
      <c r="D118" s="2474" t="s">
        <v>3766</v>
      </c>
      <c r="E118" s="288" t="s">
        <v>7424</v>
      </c>
      <c r="F118" s="1138" t="s">
        <v>827</v>
      </c>
      <c r="G118" s="1138">
        <v>5</v>
      </c>
      <c r="H118" s="1138">
        <v>6</v>
      </c>
      <c r="I118" s="297">
        <f t="shared" si="12"/>
        <v>1.97</v>
      </c>
      <c r="J118" s="297">
        <f t="shared" si="13"/>
        <v>1.97</v>
      </c>
      <c r="K118" s="297"/>
      <c r="L118" s="297"/>
      <c r="M118" s="297"/>
      <c r="N118" s="297"/>
      <c r="O118" s="619"/>
      <c r="P118" s="297"/>
      <c r="Q118" s="932"/>
      <c r="R118" s="925">
        <v>1.97</v>
      </c>
      <c r="S118" s="15"/>
      <c r="T118" s="233"/>
      <c r="U118" s="15"/>
      <c r="V118" s="15"/>
      <c r="W118" s="17">
        <v>7</v>
      </c>
      <c r="X118" s="233">
        <v>99.1</v>
      </c>
      <c r="Y118" s="17">
        <v>1</v>
      </c>
      <c r="Z118" s="250">
        <v>18</v>
      </c>
      <c r="AA118" s="3"/>
      <c r="AB118" s="3">
        <v>1</v>
      </c>
      <c r="AE118" s="1572"/>
    </row>
    <row r="119" spans="1:31" ht="60" x14ac:dyDescent="0.35">
      <c r="A119" s="295">
        <v>56</v>
      </c>
      <c r="B119" s="693">
        <v>10008</v>
      </c>
      <c r="C119" s="999" t="s">
        <v>1656</v>
      </c>
      <c r="D119" s="2474" t="s">
        <v>3767</v>
      </c>
      <c r="E119" s="2187" t="s">
        <v>8144</v>
      </c>
      <c r="F119" s="92" t="s">
        <v>664</v>
      </c>
      <c r="G119" s="92">
        <v>5</v>
      </c>
      <c r="H119" s="1138">
        <v>6</v>
      </c>
      <c r="I119" s="702">
        <f>J119+K119+L119</f>
        <v>0.1</v>
      </c>
      <c r="J119" s="702">
        <f>SUM(M119:R119)</f>
        <v>0.1</v>
      </c>
      <c r="K119" s="622"/>
      <c r="L119" s="622"/>
      <c r="M119" s="622"/>
      <c r="N119" s="622"/>
      <c r="O119" s="622"/>
      <c r="P119" s="622"/>
      <c r="Q119" s="622"/>
      <c r="R119" s="906">
        <v>0.1</v>
      </c>
      <c r="S119" s="106"/>
      <c r="T119" s="106"/>
      <c r="U119" s="106"/>
      <c r="V119" s="106"/>
      <c r="W119" s="105"/>
      <c r="X119" s="105"/>
      <c r="Y119" s="105"/>
      <c r="Z119" s="105"/>
      <c r="AB119">
        <v>1</v>
      </c>
      <c r="AE119" s="1572"/>
    </row>
    <row r="120" spans="1:31" ht="30.5" x14ac:dyDescent="0.35">
      <c r="A120" s="295">
        <v>57</v>
      </c>
      <c r="B120" s="999">
        <v>10008</v>
      </c>
      <c r="C120" s="999"/>
      <c r="D120" s="2474" t="s">
        <v>3768</v>
      </c>
      <c r="E120" s="288" t="s">
        <v>7425</v>
      </c>
      <c r="F120" s="1138">
        <v>5</v>
      </c>
      <c r="G120" s="1138">
        <v>5</v>
      </c>
      <c r="H120" s="1138">
        <v>6</v>
      </c>
      <c r="I120" s="297">
        <f t="shared" si="12"/>
        <v>1</v>
      </c>
      <c r="J120" s="297">
        <f t="shared" si="13"/>
        <v>1</v>
      </c>
      <c r="K120" s="297"/>
      <c r="L120" s="297"/>
      <c r="M120" s="297"/>
      <c r="N120" s="297">
        <v>1</v>
      </c>
      <c r="O120" s="619"/>
      <c r="P120" s="297"/>
      <c r="Q120" s="932"/>
      <c r="R120" s="925"/>
      <c r="S120" s="15"/>
      <c r="T120" s="233"/>
      <c r="U120" s="15"/>
      <c r="V120" s="15"/>
      <c r="W120" s="154">
        <v>4</v>
      </c>
      <c r="X120" s="1962">
        <v>61.2</v>
      </c>
      <c r="Y120" s="17">
        <v>2</v>
      </c>
      <c r="Z120" s="250">
        <v>25</v>
      </c>
      <c r="AA120" s="3"/>
      <c r="AB120" s="3">
        <v>1</v>
      </c>
      <c r="AE120" s="1572"/>
    </row>
    <row r="121" spans="1:31" ht="30.5" x14ac:dyDescent="0.35">
      <c r="A121" s="295">
        <v>58</v>
      </c>
      <c r="B121" s="293">
        <v>10026</v>
      </c>
      <c r="C121" s="293"/>
      <c r="D121" s="2474" t="s">
        <v>3769</v>
      </c>
      <c r="E121" s="550" t="s">
        <v>7426</v>
      </c>
      <c r="F121" s="1138">
        <v>5</v>
      </c>
      <c r="G121" s="1138">
        <v>5</v>
      </c>
      <c r="H121" s="1138">
        <v>6</v>
      </c>
      <c r="I121" s="297">
        <f>J121+K121+L121</f>
        <v>0.32900000000000001</v>
      </c>
      <c r="J121" s="297">
        <f>SUM(M121:R121)</f>
        <v>0.32900000000000001</v>
      </c>
      <c r="K121" s="297"/>
      <c r="L121" s="297"/>
      <c r="M121" s="297"/>
      <c r="N121" s="297"/>
      <c r="O121" s="619"/>
      <c r="P121" s="297"/>
      <c r="Q121" s="932">
        <v>0.32900000000000001</v>
      </c>
      <c r="R121" s="925"/>
      <c r="S121" s="15"/>
      <c r="T121" s="233"/>
      <c r="U121" s="15"/>
      <c r="V121" s="15"/>
      <c r="W121" s="17"/>
      <c r="X121" s="233"/>
      <c r="Y121" s="17"/>
      <c r="Z121" s="250"/>
      <c r="AA121" s="3" t="s">
        <v>433</v>
      </c>
      <c r="AB121" s="3">
        <v>1</v>
      </c>
      <c r="AE121" s="1572"/>
    </row>
    <row r="122" spans="1:31" ht="15.5" x14ac:dyDescent="0.35">
      <c r="A122" s="295">
        <v>59</v>
      </c>
      <c r="B122" s="56">
        <v>10009</v>
      </c>
      <c r="C122" s="56"/>
      <c r="D122" s="293" t="s">
        <v>955</v>
      </c>
      <c r="E122" s="288" t="s">
        <v>6891</v>
      </c>
      <c r="F122" s="1138"/>
      <c r="G122" s="1138" t="s">
        <v>191</v>
      </c>
      <c r="H122" s="1138" t="s">
        <v>191</v>
      </c>
      <c r="I122" s="297">
        <f t="shared" si="12"/>
        <v>5</v>
      </c>
      <c r="J122" s="297">
        <f t="shared" si="13"/>
        <v>4.9889999999999999</v>
      </c>
      <c r="K122" s="297"/>
      <c r="L122" s="297">
        <f>SUM(L123:L124)</f>
        <v>1.0999999999999999E-2</v>
      </c>
      <c r="M122" s="297"/>
      <c r="N122" s="297">
        <f>SUM(N123:N124)</f>
        <v>4.9889999999999999</v>
      </c>
      <c r="O122" s="619"/>
      <c r="P122" s="297"/>
      <c r="Q122" s="932"/>
      <c r="R122" s="925"/>
      <c r="S122" s="15"/>
      <c r="T122" s="233"/>
      <c r="U122" s="15"/>
      <c r="V122" s="15"/>
      <c r="W122" s="154">
        <v>13</v>
      </c>
      <c r="X122" s="1962">
        <v>206.97</v>
      </c>
      <c r="Y122" s="154">
        <v>5</v>
      </c>
      <c r="Z122" s="250">
        <v>64.2</v>
      </c>
      <c r="AA122" s="3"/>
      <c r="AB122" s="3">
        <v>1</v>
      </c>
      <c r="AE122" s="1572"/>
    </row>
    <row r="123" spans="1:31" s="2691" customFormat="1" ht="31" x14ac:dyDescent="0.35">
      <c r="A123" s="295"/>
      <c r="B123" s="56"/>
      <c r="C123" s="56"/>
      <c r="D123" s="293"/>
      <c r="E123" s="393" t="s">
        <v>10636</v>
      </c>
      <c r="F123" s="1138">
        <v>4</v>
      </c>
      <c r="G123" s="1138">
        <v>5</v>
      </c>
      <c r="H123" s="1138" t="s">
        <v>191</v>
      </c>
      <c r="I123" s="298"/>
      <c r="J123" s="298"/>
      <c r="K123" s="298"/>
      <c r="L123" s="487">
        <v>1.0999999999999999E-2</v>
      </c>
      <c r="M123" s="298"/>
      <c r="N123" s="298"/>
      <c r="O123" s="300"/>
      <c r="P123" s="298"/>
      <c r="Q123" s="1836"/>
      <c r="R123" s="2049"/>
      <c r="S123" s="13"/>
      <c r="T123" s="2693"/>
      <c r="U123" s="13"/>
      <c r="V123" s="13"/>
      <c r="W123" s="2441"/>
      <c r="X123" s="2446"/>
      <c r="Y123" s="2441"/>
      <c r="Z123" s="2533"/>
      <c r="AA123" s="3"/>
      <c r="AB123" s="3"/>
      <c r="AE123" s="1572"/>
    </row>
    <row r="124" spans="1:31" s="2691" customFormat="1" ht="15.5" x14ac:dyDescent="0.35">
      <c r="A124" s="295"/>
      <c r="B124" s="56"/>
      <c r="C124" s="56"/>
      <c r="D124" s="293"/>
      <c r="E124" s="289" t="s">
        <v>10637</v>
      </c>
      <c r="F124" s="1138">
        <v>4</v>
      </c>
      <c r="G124" s="1138">
        <v>5</v>
      </c>
      <c r="H124" s="1138">
        <v>6</v>
      </c>
      <c r="I124" s="298"/>
      <c r="J124" s="298"/>
      <c r="K124" s="298"/>
      <c r="L124" s="298"/>
      <c r="M124" s="298"/>
      <c r="N124" s="298">
        <f>5-0.011</f>
        <v>4.9889999999999999</v>
      </c>
      <c r="O124" s="300"/>
      <c r="P124" s="298"/>
      <c r="Q124" s="1836"/>
      <c r="R124" s="2049"/>
      <c r="S124" s="13"/>
      <c r="T124" s="2693"/>
      <c r="U124" s="13"/>
      <c r="V124" s="13"/>
      <c r="W124" s="2441"/>
      <c r="X124" s="2446"/>
      <c r="Y124" s="2441"/>
      <c r="Z124" s="2533"/>
      <c r="AA124" s="3"/>
      <c r="AB124" s="3"/>
      <c r="AE124" s="1572"/>
    </row>
    <row r="125" spans="1:31" ht="30.5" x14ac:dyDescent="0.35">
      <c r="A125" s="295">
        <v>60</v>
      </c>
      <c r="B125" s="999">
        <v>10009</v>
      </c>
      <c r="C125" s="999"/>
      <c r="D125" s="2474" t="s">
        <v>3770</v>
      </c>
      <c r="E125" s="288" t="s">
        <v>7427</v>
      </c>
      <c r="F125" s="1138">
        <v>5</v>
      </c>
      <c r="G125" s="1138">
        <v>5</v>
      </c>
      <c r="H125" s="1138">
        <v>6</v>
      </c>
      <c r="I125" s="297">
        <f t="shared" si="12"/>
        <v>2.33</v>
      </c>
      <c r="J125" s="297">
        <f t="shared" si="13"/>
        <v>2.33</v>
      </c>
      <c r="K125" s="297"/>
      <c r="L125" s="297"/>
      <c r="M125" s="297"/>
      <c r="N125" s="297"/>
      <c r="O125" s="619"/>
      <c r="P125" s="297"/>
      <c r="Q125" s="932">
        <v>2.33</v>
      </c>
      <c r="R125" s="925"/>
      <c r="S125" s="15"/>
      <c r="T125" s="233"/>
      <c r="U125" s="15"/>
      <c r="V125" s="15"/>
      <c r="W125" s="17">
        <v>4</v>
      </c>
      <c r="X125" s="233">
        <v>40.200000000000003</v>
      </c>
      <c r="Y125" s="17"/>
      <c r="Z125" s="250"/>
      <c r="AA125" s="3"/>
      <c r="AB125" s="3">
        <v>1</v>
      </c>
      <c r="AE125" s="1572"/>
    </row>
    <row r="126" spans="1:31" ht="30.5" x14ac:dyDescent="0.35">
      <c r="A126" s="295">
        <v>61</v>
      </c>
      <c r="B126" s="999">
        <v>10009</v>
      </c>
      <c r="C126" s="999"/>
      <c r="D126" s="2474" t="s">
        <v>3771</v>
      </c>
      <c r="E126" s="511" t="s">
        <v>9337</v>
      </c>
      <c r="F126" s="1138">
        <v>5</v>
      </c>
      <c r="G126" s="1138">
        <v>5</v>
      </c>
      <c r="H126" s="1138">
        <v>6</v>
      </c>
      <c r="I126" s="297">
        <f t="shared" si="12"/>
        <v>0.56200000000000006</v>
      </c>
      <c r="J126" s="297">
        <f t="shared" si="13"/>
        <v>0.56200000000000006</v>
      </c>
      <c r="K126" s="297"/>
      <c r="L126" s="297"/>
      <c r="M126" s="297"/>
      <c r="N126" s="297">
        <v>0.56200000000000006</v>
      </c>
      <c r="O126" s="619"/>
      <c r="P126" s="297"/>
      <c r="Q126" s="932"/>
      <c r="R126" s="925"/>
      <c r="S126" s="15"/>
      <c r="T126" s="233"/>
      <c r="U126" s="15"/>
      <c r="V126" s="15"/>
      <c r="W126" s="17">
        <v>2</v>
      </c>
      <c r="X126" s="233">
        <v>20.100000000000001</v>
      </c>
      <c r="Y126" s="17">
        <v>2</v>
      </c>
      <c r="Z126" s="250">
        <v>20.100000000000001</v>
      </c>
      <c r="AA126" s="3"/>
      <c r="AB126" s="3">
        <v>1</v>
      </c>
      <c r="AE126" s="1572"/>
    </row>
    <row r="127" spans="1:31" ht="30.5" x14ac:dyDescent="0.35">
      <c r="A127" s="295">
        <v>62</v>
      </c>
      <c r="B127" s="999">
        <v>10009</v>
      </c>
      <c r="C127" s="999"/>
      <c r="D127" s="2474" t="s">
        <v>3772</v>
      </c>
      <c r="E127" s="288" t="s">
        <v>9167</v>
      </c>
      <c r="F127" s="1138" t="s">
        <v>1490</v>
      </c>
      <c r="G127" s="1138">
        <v>5</v>
      </c>
      <c r="H127" s="1138">
        <v>6</v>
      </c>
      <c r="I127" s="297">
        <f t="shared" si="12"/>
        <v>0.4</v>
      </c>
      <c r="J127" s="297">
        <f t="shared" si="13"/>
        <v>0.4</v>
      </c>
      <c r="K127" s="297"/>
      <c r="L127" s="297"/>
      <c r="M127" s="297"/>
      <c r="N127" s="297"/>
      <c r="O127" s="619"/>
      <c r="P127" s="297"/>
      <c r="Q127" s="932"/>
      <c r="R127" s="925">
        <v>0.4</v>
      </c>
      <c r="S127" s="15"/>
      <c r="T127" s="233"/>
      <c r="U127" s="15"/>
      <c r="V127" s="15"/>
      <c r="W127" s="17">
        <v>1</v>
      </c>
      <c r="X127" s="233">
        <v>15.6</v>
      </c>
      <c r="Y127" s="17"/>
      <c r="Z127" s="250"/>
      <c r="AA127" s="3"/>
      <c r="AB127" s="3">
        <v>1</v>
      </c>
      <c r="AE127" s="1572"/>
    </row>
    <row r="128" spans="1:31" ht="30.5" x14ac:dyDescent="0.35">
      <c r="A128" s="295">
        <v>63</v>
      </c>
      <c r="B128" s="999">
        <v>10009</v>
      </c>
      <c r="C128" s="999"/>
      <c r="D128" s="2474" t="s">
        <v>3773</v>
      </c>
      <c r="E128" s="288" t="s">
        <v>7428</v>
      </c>
      <c r="F128" s="1138">
        <v>5</v>
      </c>
      <c r="G128" s="1138">
        <v>5</v>
      </c>
      <c r="H128" s="1138">
        <v>6</v>
      </c>
      <c r="I128" s="297">
        <f t="shared" si="12"/>
        <v>0.4</v>
      </c>
      <c r="J128" s="297">
        <f t="shared" si="13"/>
        <v>0.4</v>
      </c>
      <c r="K128" s="297"/>
      <c r="L128" s="297"/>
      <c r="M128" s="297"/>
      <c r="N128" s="297"/>
      <c r="O128" s="619"/>
      <c r="P128" s="297"/>
      <c r="Q128" s="932">
        <v>0.4</v>
      </c>
      <c r="R128" s="925"/>
      <c r="S128" s="15"/>
      <c r="T128" s="233"/>
      <c r="U128" s="15"/>
      <c r="V128" s="15"/>
      <c r="W128" s="17"/>
      <c r="X128" s="233"/>
      <c r="Y128" s="17"/>
      <c r="Z128" s="250"/>
      <c r="AA128" s="3"/>
      <c r="AB128" s="3">
        <v>1</v>
      </c>
      <c r="AE128" s="1572"/>
    </row>
    <row r="129" spans="1:31" ht="15.5" x14ac:dyDescent="0.35">
      <c r="A129" s="295">
        <v>64</v>
      </c>
      <c r="B129" s="56">
        <v>10010</v>
      </c>
      <c r="C129" s="56"/>
      <c r="D129" s="293" t="s">
        <v>971</v>
      </c>
      <c r="E129" s="511" t="s">
        <v>10805</v>
      </c>
      <c r="F129" s="1138"/>
      <c r="G129" s="1138" t="s">
        <v>191</v>
      </c>
      <c r="H129" s="1138" t="s">
        <v>191</v>
      </c>
      <c r="I129" s="297">
        <f t="shared" si="12"/>
        <v>5.5430000000000001</v>
      </c>
      <c r="J129" s="297">
        <f t="shared" si="13"/>
        <v>5.5200000000000005</v>
      </c>
      <c r="K129" s="297"/>
      <c r="L129" s="297">
        <f>SUM(L130:L131)</f>
        <v>2.3E-2</v>
      </c>
      <c r="M129" s="297"/>
      <c r="N129" s="297">
        <f>SUM(N130:N131)</f>
        <v>5.5200000000000005</v>
      </c>
      <c r="O129" s="619"/>
      <c r="P129" s="297"/>
      <c r="Q129" s="932"/>
      <c r="R129" s="925"/>
      <c r="S129" s="15"/>
      <c r="T129" s="233"/>
      <c r="U129" s="15"/>
      <c r="V129" s="15"/>
      <c r="W129" s="2441">
        <f>7+8</f>
        <v>15</v>
      </c>
      <c r="X129" s="2446">
        <f>98.9+90.35</f>
        <v>189.25</v>
      </c>
      <c r="Y129" s="154">
        <v>8</v>
      </c>
      <c r="Z129" s="250">
        <v>90.35</v>
      </c>
      <c r="AA129" s="3"/>
      <c r="AB129" s="3">
        <v>1</v>
      </c>
      <c r="AE129" s="1572"/>
    </row>
    <row r="130" spans="1:31" s="2715" customFormat="1" ht="46.5" x14ac:dyDescent="0.35">
      <c r="A130" s="295"/>
      <c r="B130" s="56"/>
      <c r="C130" s="56"/>
      <c r="D130" s="293"/>
      <c r="E130" s="270" t="s">
        <v>10784</v>
      </c>
      <c r="F130" s="1138">
        <v>4</v>
      </c>
      <c r="G130" s="1138">
        <v>5</v>
      </c>
      <c r="H130" s="1138" t="s">
        <v>191</v>
      </c>
      <c r="I130" s="298"/>
      <c r="J130" s="298"/>
      <c r="K130" s="298"/>
      <c r="L130" s="487">
        <v>2.3E-2</v>
      </c>
      <c r="M130" s="298"/>
      <c r="N130" s="298"/>
      <c r="O130" s="300"/>
      <c r="P130" s="298"/>
      <c r="Q130" s="1836"/>
      <c r="R130" s="2049"/>
      <c r="S130" s="15"/>
      <c r="T130" s="233"/>
      <c r="U130" s="15"/>
      <c r="V130" s="15"/>
      <c r="W130" s="17"/>
      <c r="X130" s="1962"/>
      <c r="Y130" s="154"/>
      <c r="Z130" s="250"/>
      <c r="AA130" s="3"/>
      <c r="AB130" s="3"/>
      <c r="AE130" s="1572"/>
    </row>
    <row r="131" spans="1:31" s="2715" customFormat="1" ht="15.5" x14ac:dyDescent="0.35">
      <c r="A131" s="295"/>
      <c r="B131" s="56"/>
      <c r="C131" s="56"/>
      <c r="D131" s="293"/>
      <c r="E131" s="459" t="s">
        <v>10785</v>
      </c>
      <c r="F131" s="1138">
        <v>4</v>
      </c>
      <c r="G131" s="1138">
        <v>5</v>
      </c>
      <c r="H131" s="1138">
        <v>6</v>
      </c>
      <c r="I131" s="298"/>
      <c r="J131" s="298"/>
      <c r="K131" s="298"/>
      <c r="L131" s="487"/>
      <c r="M131" s="298"/>
      <c r="N131" s="298">
        <f>5.543-0.023</f>
        <v>5.5200000000000005</v>
      </c>
      <c r="O131" s="300"/>
      <c r="P131" s="298"/>
      <c r="Q131" s="1836"/>
      <c r="R131" s="2049"/>
      <c r="S131" s="15"/>
      <c r="T131" s="233"/>
      <c r="U131" s="15"/>
      <c r="V131" s="15"/>
      <c r="W131" s="17"/>
      <c r="X131" s="1962"/>
      <c r="Y131" s="154"/>
      <c r="Z131" s="250"/>
      <c r="AA131" s="3"/>
      <c r="AB131" s="3"/>
      <c r="AE131" s="1572"/>
    </row>
    <row r="132" spans="1:31" ht="30" x14ac:dyDescent="0.35">
      <c r="A132" s="295">
        <v>65</v>
      </c>
      <c r="B132" s="693">
        <v>10010</v>
      </c>
      <c r="C132" s="999" t="s">
        <v>1656</v>
      </c>
      <c r="D132" s="2474" t="s">
        <v>3774</v>
      </c>
      <c r="E132" s="2187" t="s">
        <v>8145</v>
      </c>
      <c r="F132" s="92" t="s">
        <v>664</v>
      </c>
      <c r="G132" s="92">
        <v>5</v>
      </c>
      <c r="H132" s="1138">
        <v>6</v>
      </c>
      <c r="I132" s="702">
        <f>J132+K132+L132</f>
        <v>0.4</v>
      </c>
      <c r="J132" s="702">
        <f>SUM(M132:R132)</f>
        <v>0.4</v>
      </c>
      <c r="K132" s="622"/>
      <c r="L132" s="622"/>
      <c r="M132" s="622"/>
      <c r="N132" s="622"/>
      <c r="O132" s="622"/>
      <c r="P132" s="622"/>
      <c r="Q132" s="622"/>
      <c r="R132" s="906">
        <v>0.4</v>
      </c>
      <c r="S132" s="106"/>
      <c r="T132" s="106"/>
      <c r="U132" s="106"/>
      <c r="V132" s="106"/>
      <c r="W132" s="105"/>
      <c r="X132" s="105"/>
      <c r="Y132" s="105"/>
      <c r="Z132" s="105"/>
      <c r="AA132" s="3"/>
      <c r="AB132" s="3">
        <v>1</v>
      </c>
      <c r="AE132" s="1572"/>
    </row>
    <row r="133" spans="1:31" ht="15.5" x14ac:dyDescent="0.35">
      <c r="A133" s="295">
        <v>66</v>
      </c>
      <c r="B133" s="56">
        <v>10011</v>
      </c>
      <c r="C133" s="56"/>
      <c r="D133" s="293" t="s">
        <v>972</v>
      </c>
      <c r="E133" s="511" t="s">
        <v>10806</v>
      </c>
      <c r="F133" s="1138"/>
      <c r="G133" s="1138"/>
      <c r="H133" s="1138" t="s">
        <v>191</v>
      </c>
      <c r="I133" s="297">
        <f>J133+K133+L133</f>
        <v>9.9260000000000002</v>
      </c>
      <c r="J133" s="297">
        <f t="shared" si="13"/>
        <v>9.9039999999999999</v>
      </c>
      <c r="K133" s="297"/>
      <c r="L133" s="486">
        <f>SUM(L134:L138)</f>
        <v>2.1999999999999999E-2</v>
      </c>
      <c r="M133" s="297"/>
      <c r="N133" s="297">
        <f>SUM(N134:N138)</f>
        <v>9.9039999999999999</v>
      </c>
      <c r="O133" s="619"/>
      <c r="P133" s="297"/>
      <c r="Q133" s="932"/>
      <c r="R133" s="925"/>
      <c r="S133" s="15">
        <v>1</v>
      </c>
      <c r="T133" s="233">
        <v>18.399999999999999</v>
      </c>
      <c r="U133" s="15"/>
      <c r="V133" s="15"/>
      <c r="W133" s="17">
        <v>16</v>
      </c>
      <c r="X133" s="1962">
        <v>195.22</v>
      </c>
      <c r="Y133" s="154">
        <v>4</v>
      </c>
      <c r="Z133" s="250">
        <v>40.6</v>
      </c>
      <c r="AA133" s="3"/>
      <c r="AB133" s="3">
        <v>1</v>
      </c>
      <c r="AE133" s="1572"/>
    </row>
    <row r="134" spans="1:31" s="2691" customFormat="1" ht="31" x14ac:dyDescent="0.35">
      <c r="A134" s="295"/>
      <c r="B134" s="56"/>
      <c r="C134" s="56"/>
      <c r="D134" s="293"/>
      <c r="E134" s="270" t="s">
        <v>10643</v>
      </c>
      <c r="F134" s="1138">
        <v>4</v>
      </c>
      <c r="G134" s="1138">
        <v>5</v>
      </c>
      <c r="H134" s="1138" t="s">
        <v>191</v>
      </c>
      <c r="I134" s="298"/>
      <c r="J134" s="298"/>
      <c r="K134" s="298"/>
      <c r="L134" s="487">
        <v>2.1999999999999999E-2</v>
      </c>
      <c r="M134" s="298"/>
      <c r="N134" s="298"/>
      <c r="O134" s="300"/>
      <c r="P134" s="298"/>
      <c r="Q134" s="1836"/>
      <c r="R134" s="2049"/>
      <c r="S134" s="15"/>
      <c r="T134" s="233"/>
      <c r="U134" s="15"/>
      <c r="V134" s="15"/>
      <c r="W134" s="17"/>
      <c r="X134" s="233"/>
      <c r="Y134" s="17"/>
      <c r="Z134" s="250"/>
      <c r="AA134" s="3"/>
      <c r="AB134" s="3"/>
      <c r="AE134" s="1572"/>
    </row>
    <row r="135" spans="1:31" s="2691" customFormat="1" ht="15.5" x14ac:dyDescent="0.35">
      <c r="A135" s="295"/>
      <c r="B135" s="56"/>
      <c r="C135" s="56"/>
      <c r="D135" s="293"/>
      <c r="E135" s="459" t="s">
        <v>10644</v>
      </c>
      <c r="F135" s="1138">
        <v>4</v>
      </c>
      <c r="G135" s="1138">
        <v>5</v>
      </c>
      <c r="H135" s="1138">
        <v>6</v>
      </c>
      <c r="I135" s="298"/>
      <c r="J135" s="298"/>
      <c r="K135" s="298"/>
      <c r="L135" s="298"/>
      <c r="M135" s="298"/>
      <c r="N135" s="298">
        <f>3.1-0.022</f>
        <v>3.0780000000000003</v>
      </c>
      <c r="O135" s="300"/>
      <c r="P135" s="298"/>
      <c r="Q135" s="1836"/>
      <c r="R135" s="2049"/>
      <c r="S135" s="15"/>
      <c r="T135" s="233"/>
      <c r="U135" s="15"/>
      <c r="V135" s="15"/>
      <c r="W135" s="17"/>
      <c r="X135" s="233"/>
      <c r="Y135" s="17"/>
      <c r="Z135" s="250"/>
      <c r="AA135" s="3"/>
      <c r="AB135" s="3"/>
      <c r="AE135" s="1572"/>
    </row>
    <row r="136" spans="1:31" s="2691" customFormat="1" ht="15.5" x14ac:dyDescent="0.35">
      <c r="A136" s="295"/>
      <c r="B136" s="56"/>
      <c r="C136" s="56"/>
      <c r="D136" s="293"/>
      <c r="E136" s="459" t="s">
        <v>10645</v>
      </c>
      <c r="F136" s="2536">
        <v>5</v>
      </c>
      <c r="G136" s="1138">
        <v>5</v>
      </c>
      <c r="H136" s="1138">
        <v>6</v>
      </c>
      <c r="I136" s="298"/>
      <c r="J136" s="298"/>
      <c r="K136" s="298"/>
      <c r="L136" s="298"/>
      <c r="M136" s="298"/>
      <c r="N136" s="298">
        <f>3.448-3.1</f>
        <v>0.34799999999999986</v>
      </c>
      <c r="O136" s="300"/>
      <c r="P136" s="298"/>
      <c r="Q136" s="1836"/>
      <c r="R136" s="2049"/>
      <c r="S136" s="15"/>
      <c r="T136" s="233"/>
      <c r="U136" s="15"/>
      <c r="V136" s="15"/>
      <c r="W136" s="17"/>
      <c r="X136" s="233"/>
      <c r="Y136" s="17"/>
      <c r="Z136" s="250"/>
      <c r="AA136" s="3"/>
      <c r="AB136" s="3"/>
      <c r="AE136" s="1572"/>
    </row>
    <row r="137" spans="1:31" s="2691" customFormat="1" ht="15.5" x14ac:dyDescent="0.35">
      <c r="A137" s="295"/>
      <c r="B137" s="56"/>
      <c r="C137" s="56"/>
      <c r="D137" s="293"/>
      <c r="E137" s="459" t="s">
        <v>10646</v>
      </c>
      <c r="F137" s="2536" t="s">
        <v>827</v>
      </c>
      <c r="G137" s="1138">
        <v>5</v>
      </c>
      <c r="H137" s="1138">
        <v>6</v>
      </c>
      <c r="I137" s="298"/>
      <c r="J137" s="298"/>
      <c r="K137" s="298"/>
      <c r="L137" s="298"/>
      <c r="M137" s="298"/>
      <c r="N137" s="298">
        <f>4.116-3.448</f>
        <v>0.66799999999999971</v>
      </c>
      <c r="O137" s="300"/>
      <c r="P137" s="298"/>
      <c r="Q137" s="1836"/>
      <c r="R137" s="2049"/>
      <c r="S137" s="15"/>
      <c r="T137" s="233"/>
      <c r="U137" s="15"/>
      <c r="V137" s="15"/>
      <c r="W137" s="17"/>
      <c r="X137" s="233"/>
      <c r="Y137" s="17"/>
      <c r="Z137" s="250"/>
      <c r="AA137" s="3"/>
      <c r="AB137" s="3"/>
      <c r="AE137" s="1572"/>
    </row>
    <row r="138" spans="1:31" s="2691" customFormat="1" ht="15.5" x14ac:dyDescent="0.35">
      <c r="A138" s="295"/>
      <c r="B138" s="56"/>
      <c r="C138" s="56"/>
      <c r="D138" s="293"/>
      <c r="E138" s="459" t="s">
        <v>10647</v>
      </c>
      <c r="F138" s="1138">
        <v>4</v>
      </c>
      <c r="G138" s="1138">
        <v>5</v>
      </c>
      <c r="H138" s="1138">
        <v>6</v>
      </c>
      <c r="I138" s="298"/>
      <c r="J138" s="298"/>
      <c r="K138" s="298"/>
      <c r="L138" s="298"/>
      <c r="M138" s="298"/>
      <c r="N138" s="298">
        <f>9.926-4.116</f>
        <v>5.8100000000000005</v>
      </c>
      <c r="O138" s="300"/>
      <c r="P138" s="298"/>
      <c r="Q138" s="1836"/>
      <c r="R138" s="2049"/>
      <c r="S138" s="15"/>
      <c r="T138" s="233"/>
      <c r="U138" s="15"/>
      <c r="V138" s="15"/>
      <c r="W138" s="17"/>
      <c r="X138" s="233"/>
      <c r="Y138" s="17"/>
      <c r="Z138" s="250"/>
      <c r="AA138" s="3"/>
      <c r="AB138" s="3"/>
      <c r="AE138" s="1572"/>
    </row>
    <row r="139" spans="1:31" ht="30.5" x14ac:dyDescent="0.35">
      <c r="A139" s="295">
        <v>67</v>
      </c>
      <c r="B139" s="999">
        <v>10011</v>
      </c>
      <c r="C139" s="999"/>
      <c r="D139" s="2474" t="s">
        <v>3775</v>
      </c>
      <c r="E139" s="511" t="s">
        <v>7429</v>
      </c>
      <c r="F139" s="1138" t="s">
        <v>827</v>
      </c>
      <c r="G139" s="1138">
        <v>5</v>
      </c>
      <c r="H139" s="1138">
        <v>6</v>
      </c>
      <c r="I139" s="297">
        <f t="shared" si="12"/>
        <v>1.6</v>
      </c>
      <c r="J139" s="297">
        <f t="shared" si="13"/>
        <v>1.6</v>
      </c>
      <c r="K139" s="297"/>
      <c r="L139" s="297"/>
      <c r="M139" s="297"/>
      <c r="N139" s="297"/>
      <c r="O139" s="619"/>
      <c r="P139" s="297"/>
      <c r="Q139" s="932"/>
      <c r="R139" s="925">
        <v>1.6</v>
      </c>
      <c r="S139" s="15"/>
      <c r="T139" s="233"/>
      <c r="U139" s="15"/>
      <c r="V139" s="15"/>
      <c r="W139" s="17">
        <v>3</v>
      </c>
      <c r="X139" s="233">
        <v>26.6</v>
      </c>
      <c r="Y139" s="17"/>
      <c r="Z139" s="250"/>
      <c r="AA139" s="3"/>
      <c r="AB139" s="3">
        <v>1</v>
      </c>
      <c r="AE139" s="1572"/>
    </row>
    <row r="140" spans="1:31" ht="45" x14ac:dyDescent="0.35">
      <c r="A140" s="295">
        <v>68</v>
      </c>
      <c r="B140" s="693">
        <v>10011</v>
      </c>
      <c r="C140" s="999" t="s">
        <v>1656</v>
      </c>
      <c r="D140" s="2474" t="s">
        <v>3776</v>
      </c>
      <c r="E140" s="2187" t="s">
        <v>8146</v>
      </c>
      <c r="F140" s="92" t="s">
        <v>664</v>
      </c>
      <c r="G140" s="92">
        <v>5</v>
      </c>
      <c r="H140" s="1138">
        <v>6</v>
      </c>
      <c r="I140" s="702">
        <v>1</v>
      </c>
      <c r="J140" s="702">
        <v>1</v>
      </c>
      <c r="K140" s="622"/>
      <c r="L140" s="622"/>
      <c r="M140" s="622"/>
      <c r="N140" s="622"/>
      <c r="O140" s="622"/>
      <c r="P140" s="622"/>
      <c r="Q140" s="622"/>
      <c r="R140" s="906">
        <v>1</v>
      </c>
      <c r="S140" s="106"/>
      <c r="T140" s="106"/>
      <c r="U140" s="106"/>
      <c r="V140" s="106"/>
      <c r="W140" s="105"/>
      <c r="X140" s="105"/>
      <c r="Y140" s="105"/>
      <c r="Z140" s="105"/>
      <c r="AA140" s="69"/>
      <c r="AB140" s="69">
        <v>1</v>
      </c>
      <c r="AE140" s="1572"/>
    </row>
    <row r="141" spans="1:31" ht="30.5" x14ac:dyDescent="0.35">
      <c r="A141" s="295">
        <v>69</v>
      </c>
      <c r="B141" s="999">
        <v>10011</v>
      </c>
      <c r="C141" s="999"/>
      <c r="D141" s="2474" t="s">
        <v>3777</v>
      </c>
      <c r="E141" s="288" t="s">
        <v>7430</v>
      </c>
      <c r="F141" s="1138">
        <v>5</v>
      </c>
      <c r="G141" s="1138">
        <v>5</v>
      </c>
      <c r="H141" s="1138">
        <v>6</v>
      </c>
      <c r="I141" s="297">
        <f t="shared" si="12"/>
        <v>1.365</v>
      </c>
      <c r="J141" s="297">
        <f t="shared" si="13"/>
        <v>1.365</v>
      </c>
      <c r="K141" s="297"/>
      <c r="L141" s="297"/>
      <c r="M141" s="297"/>
      <c r="N141" s="297">
        <v>1.365</v>
      </c>
      <c r="O141" s="619"/>
      <c r="P141" s="297"/>
      <c r="Q141" s="932"/>
      <c r="R141" s="925"/>
      <c r="S141" s="15"/>
      <c r="T141" s="233"/>
      <c r="U141" s="15"/>
      <c r="V141" s="15"/>
      <c r="W141" s="17">
        <v>5</v>
      </c>
      <c r="X141" s="233">
        <v>41</v>
      </c>
      <c r="Y141" s="17">
        <v>1</v>
      </c>
      <c r="Z141" s="250">
        <v>5</v>
      </c>
      <c r="AA141" s="3"/>
      <c r="AB141" s="3">
        <v>1</v>
      </c>
      <c r="AE141" s="1572"/>
    </row>
    <row r="142" spans="1:31" ht="45.5" x14ac:dyDescent="0.35">
      <c r="A142" s="295">
        <v>70</v>
      </c>
      <c r="B142" s="999">
        <v>10011</v>
      </c>
      <c r="C142" s="999" t="s">
        <v>1656</v>
      </c>
      <c r="D142" s="2474" t="s">
        <v>3778</v>
      </c>
      <c r="E142" s="288" t="s">
        <v>8147</v>
      </c>
      <c r="F142" s="1138" t="s">
        <v>664</v>
      </c>
      <c r="G142" s="1138">
        <v>5</v>
      </c>
      <c r="H142" s="1138">
        <v>6</v>
      </c>
      <c r="I142" s="297">
        <v>0.61</v>
      </c>
      <c r="J142" s="297">
        <v>0.61</v>
      </c>
      <c r="K142" s="297"/>
      <c r="L142" s="297"/>
      <c r="M142" s="297"/>
      <c r="N142" s="297"/>
      <c r="O142" s="619"/>
      <c r="P142" s="297"/>
      <c r="Q142" s="932"/>
      <c r="R142" s="925">
        <v>0.61</v>
      </c>
      <c r="S142" s="15"/>
      <c r="T142" s="233"/>
      <c r="U142" s="15"/>
      <c r="V142" s="15"/>
      <c r="W142" s="17"/>
      <c r="X142" s="233"/>
      <c r="Y142" s="17"/>
      <c r="Z142" s="250"/>
      <c r="AA142" s="3"/>
      <c r="AB142" s="3">
        <v>1</v>
      </c>
      <c r="AE142" s="1572"/>
    </row>
    <row r="143" spans="1:31" ht="45.5" x14ac:dyDescent="0.35">
      <c r="A143" s="295">
        <v>71</v>
      </c>
      <c r="B143" s="999">
        <v>10011</v>
      </c>
      <c r="C143" s="999" t="s">
        <v>1656</v>
      </c>
      <c r="D143" s="2474" t="s">
        <v>3779</v>
      </c>
      <c r="E143" s="288" t="s">
        <v>8148</v>
      </c>
      <c r="F143" s="1138" t="s">
        <v>664</v>
      </c>
      <c r="G143" s="1138">
        <v>5</v>
      </c>
      <c r="H143" s="1138">
        <v>6</v>
      </c>
      <c r="I143" s="297">
        <v>0.78</v>
      </c>
      <c r="J143" s="297">
        <v>0.78</v>
      </c>
      <c r="K143" s="297"/>
      <c r="L143" s="297"/>
      <c r="M143" s="297"/>
      <c r="N143" s="297"/>
      <c r="O143" s="619"/>
      <c r="P143" s="297"/>
      <c r="Q143" s="932"/>
      <c r="R143" s="925">
        <v>0.78</v>
      </c>
      <c r="S143" s="15"/>
      <c r="T143" s="233"/>
      <c r="U143" s="15"/>
      <c r="V143" s="15"/>
      <c r="W143" s="17"/>
      <c r="X143" s="233"/>
      <c r="Y143" s="17"/>
      <c r="Z143" s="250"/>
      <c r="AA143" s="3"/>
      <c r="AB143" s="3">
        <v>1</v>
      </c>
      <c r="AE143" s="1572"/>
    </row>
    <row r="144" spans="1:31" ht="30" x14ac:dyDescent="0.35">
      <c r="A144" s="295">
        <v>72</v>
      </c>
      <c r="B144" s="693">
        <v>10011</v>
      </c>
      <c r="C144" s="999" t="s">
        <v>1656</v>
      </c>
      <c r="D144" s="2474" t="s">
        <v>3780</v>
      </c>
      <c r="E144" s="2187" t="s">
        <v>8149</v>
      </c>
      <c r="F144" s="92" t="s">
        <v>664</v>
      </c>
      <c r="G144" s="92">
        <v>5</v>
      </c>
      <c r="H144" s="1138">
        <v>6</v>
      </c>
      <c r="I144" s="702">
        <f>J144+K144+L144</f>
        <v>0.1</v>
      </c>
      <c r="J144" s="702">
        <f>SUM(M144:R144)</f>
        <v>0.1</v>
      </c>
      <c r="K144" s="622"/>
      <c r="L144" s="622"/>
      <c r="M144" s="622"/>
      <c r="N144" s="622"/>
      <c r="O144" s="622"/>
      <c r="P144" s="622"/>
      <c r="Q144" s="622"/>
      <c r="R144" s="906">
        <v>0.1</v>
      </c>
      <c r="S144" s="106"/>
      <c r="T144" s="106"/>
      <c r="U144" s="106"/>
      <c r="V144" s="106"/>
      <c r="W144" s="105"/>
      <c r="X144" s="105"/>
      <c r="Y144" s="105"/>
      <c r="Z144" s="105"/>
      <c r="AA144" s="3"/>
      <c r="AB144" s="3">
        <v>1</v>
      </c>
      <c r="AE144" s="1572"/>
    </row>
    <row r="145" spans="1:31" ht="15.5" x14ac:dyDescent="0.35">
      <c r="A145" s="295">
        <v>73</v>
      </c>
      <c r="B145" s="56">
        <v>10012</v>
      </c>
      <c r="C145" s="56"/>
      <c r="D145" s="293" t="s">
        <v>2597</v>
      </c>
      <c r="E145" s="511" t="s">
        <v>10807</v>
      </c>
      <c r="F145" s="1138"/>
      <c r="G145" s="1138" t="s">
        <v>191</v>
      </c>
      <c r="H145" s="1138" t="s">
        <v>191</v>
      </c>
      <c r="I145" s="486">
        <f t="shared" si="12"/>
        <v>6.5630000000000006</v>
      </c>
      <c r="J145" s="486">
        <f t="shared" si="13"/>
        <v>6.2670000000000003</v>
      </c>
      <c r="K145" s="486"/>
      <c r="L145" s="486">
        <f>SUM(L146:L150)</f>
        <v>0.29599999999999982</v>
      </c>
      <c r="M145" s="486"/>
      <c r="N145" s="486">
        <f>SUM(N146:N150)</f>
        <v>6.2670000000000003</v>
      </c>
      <c r="O145" s="486"/>
      <c r="P145" s="486"/>
      <c r="Q145" s="486"/>
      <c r="R145" s="486"/>
      <c r="S145" s="55"/>
      <c r="T145" s="1962"/>
      <c r="U145" s="55"/>
      <c r="V145" s="55"/>
      <c r="W145" s="154">
        <v>12</v>
      </c>
      <c r="X145" s="1962">
        <v>159.19999999999999</v>
      </c>
      <c r="Y145" s="154">
        <v>1</v>
      </c>
      <c r="Z145" s="250">
        <v>12</v>
      </c>
      <c r="AA145" s="3"/>
      <c r="AB145" s="3">
        <v>1</v>
      </c>
      <c r="AE145" s="1572"/>
    </row>
    <row r="146" spans="1:31" ht="15.5" x14ac:dyDescent="0.35">
      <c r="A146" s="295"/>
      <c r="B146" s="56">
        <v>10012</v>
      </c>
      <c r="C146" s="56"/>
      <c r="D146" s="293"/>
      <c r="E146" s="291" t="s">
        <v>10668</v>
      </c>
      <c r="F146" s="1138" t="s">
        <v>827</v>
      </c>
      <c r="G146" s="1138">
        <v>5</v>
      </c>
      <c r="H146" s="1138">
        <v>6</v>
      </c>
      <c r="I146" s="298"/>
      <c r="J146" s="298"/>
      <c r="K146" s="298"/>
      <c r="L146" s="298"/>
      <c r="M146" s="298"/>
      <c r="N146" s="298">
        <v>1.48</v>
      </c>
      <c r="O146" s="621"/>
      <c r="P146" s="298"/>
      <c r="Q146" s="933"/>
      <c r="R146" s="927"/>
      <c r="S146" s="15"/>
      <c r="T146" s="233"/>
      <c r="U146" s="15"/>
      <c r="V146" s="15"/>
      <c r="W146" s="17"/>
      <c r="X146" s="233"/>
      <c r="Y146" s="17"/>
      <c r="Z146" s="250"/>
      <c r="AA146" s="3"/>
      <c r="AB146" s="3"/>
      <c r="AE146" s="1572"/>
    </row>
    <row r="147" spans="1:31" s="2697" customFormat="1" ht="15.5" x14ac:dyDescent="0.35">
      <c r="A147" s="295"/>
      <c r="B147" s="56"/>
      <c r="C147" s="56"/>
      <c r="D147" s="293"/>
      <c r="E147" s="291" t="s">
        <v>10667</v>
      </c>
      <c r="F147" s="1138">
        <v>4</v>
      </c>
      <c r="G147" s="1138">
        <v>5</v>
      </c>
      <c r="H147" s="1138">
        <v>6</v>
      </c>
      <c r="I147" s="298"/>
      <c r="J147" s="298"/>
      <c r="K147" s="298"/>
      <c r="L147" s="298"/>
      <c r="M147" s="298"/>
      <c r="N147" s="298">
        <f>3.355-1.48</f>
        <v>1.875</v>
      </c>
      <c r="O147" s="621"/>
      <c r="P147" s="298"/>
      <c r="Q147" s="933"/>
      <c r="R147" s="927"/>
      <c r="S147" s="15"/>
      <c r="T147" s="233"/>
      <c r="U147" s="15"/>
      <c r="V147" s="15"/>
      <c r="W147" s="17"/>
      <c r="X147" s="233"/>
      <c r="Y147" s="17"/>
      <c r="Z147" s="250"/>
      <c r="AA147" s="3"/>
      <c r="AB147" s="3"/>
      <c r="AE147" s="1572"/>
    </row>
    <row r="148" spans="1:31" ht="46.5" x14ac:dyDescent="0.35">
      <c r="A148" s="295"/>
      <c r="B148" s="56">
        <v>10012</v>
      </c>
      <c r="C148" s="56"/>
      <c r="D148" s="293"/>
      <c r="E148" s="291" t="s">
        <v>10666</v>
      </c>
      <c r="F148" s="1138">
        <v>4</v>
      </c>
      <c r="G148" s="1138">
        <v>5</v>
      </c>
      <c r="H148" s="1138" t="s">
        <v>191</v>
      </c>
      <c r="I148" s="298"/>
      <c r="J148" s="298"/>
      <c r="K148" s="298"/>
      <c r="L148" s="298">
        <f>3.651-3.355</f>
        <v>0.29599999999999982</v>
      </c>
      <c r="M148" s="298"/>
      <c r="N148" s="298"/>
      <c r="O148" s="621"/>
      <c r="P148" s="298"/>
      <c r="Q148" s="933"/>
      <c r="R148" s="927"/>
      <c r="S148" s="15"/>
      <c r="T148" s="233"/>
      <c r="U148" s="15"/>
      <c r="V148" s="15"/>
      <c r="W148" s="17"/>
      <c r="X148" s="233"/>
      <c r="Y148" s="17"/>
      <c r="Z148" s="250"/>
      <c r="AA148" s="3"/>
      <c r="AB148" s="3"/>
      <c r="AE148" s="1572"/>
    </row>
    <row r="149" spans="1:31" s="2697" customFormat="1" ht="15.5" x14ac:dyDescent="0.35">
      <c r="A149" s="295"/>
      <c r="B149" s="56"/>
      <c r="C149" s="56"/>
      <c r="D149" s="293"/>
      <c r="E149" s="291" t="s">
        <v>10669</v>
      </c>
      <c r="F149" s="1138">
        <v>4</v>
      </c>
      <c r="G149" s="1138">
        <v>5</v>
      </c>
      <c r="H149" s="1138">
        <v>6</v>
      </c>
      <c r="I149" s="298"/>
      <c r="J149" s="298"/>
      <c r="K149" s="298"/>
      <c r="L149" s="298"/>
      <c r="M149" s="298"/>
      <c r="N149" s="298">
        <f>5.118-3.651</f>
        <v>1.4670000000000005</v>
      </c>
      <c r="O149" s="621"/>
      <c r="P149" s="298"/>
      <c r="Q149" s="933"/>
      <c r="R149" s="927"/>
      <c r="S149" s="15"/>
      <c r="T149" s="233"/>
      <c r="U149" s="15"/>
      <c r="V149" s="15"/>
      <c r="W149" s="17"/>
      <c r="X149" s="233"/>
      <c r="Y149" s="17"/>
      <c r="Z149" s="250"/>
      <c r="AA149" s="3"/>
      <c r="AB149" s="3"/>
      <c r="AE149" s="1572"/>
    </row>
    <row r="150" spans="1:31" ht="15.5" x14ac:dyDescent="0.35">
      <c r="A150" s="295"/>
      <c r="B150" s="56">
        <v>10012</v>
      </c>
      <c r="C150" s="56"/>
      <c r="D150" s="293"/>
      <c r="E150" s="534" t="s">
        <v>10670</v>
      </c>
      <c r="F150" s="1138" t="s">
        <v>827</v>
      </c>
      <c r="G150" s="1138">
        <v>5</v>
      </c>
      <c r="H150" s="1138">
        <v>6</v>
      </c>
      <c r="I150" s="298"/>
      <c r="J150" s="298"/>
      <c r="K150" s="298"/>
      <c r="L150" s="298"/>
      <c r="M150" s="298"/>
      <c r="N150" s="298">
        <f>6.563-5.118</f>
        <v>1.4449999999999994</v>
      </c>
      <c r="O150" s="621"/>
      <c r="P150" s="298"/>
      <c r="Q150" s="933"/>
      <c r="R150" s="927"/>
      <c r="S150" s="15"/>
      <c r="T150" s="233"/>
      <c r="U150" s="15"/>
      <c r="V150" s="15"/>
      <c r="W150" s="17"/>
      <c r="X150" s="233"/>
      <c r="Y150" s="17"/>
      <c r="Z150" s="250"/>
      <c r="AA150" s="3"/>
      <c r="AB150" s="3"/>
      <c r="AE150" s="1572"/>
    </row>
    <row r="151" spans="1:31" ht="30" x14ac:dyDescent="0.35">
      <c r="A151" s="693">
        <v>74</v>
      </c>
      <c r="B151" s="693">
        <v>10012</v>
      </c>
      <c r="C151" s="999" t="s">
        <v>1656</v>
      </c>
      <c r="D151" s="2474" t="s">
        <v>3781</v>
      </c>
      <c r="E151" s="2187" t="s">
        <v>8150</v>
      </c>
      <c r="F151" s="92" t="s">
        <v>664</v>
      </c>
      <c r="G151" s="92">
        <v>5</v>
      </c>
      <c r="H151" s="1138">
        <v>6</v>
      </c>
      <c r="I151" s="702">
        <f>J151+K151+L151</f>
        <v>0.2</v>
      </c>
      <c r="J151" s="702">
        <f>SUM(M151:R151)</f>
        <v>0.2</v>
      </c>
      <c r="K151" s="106"/>
      <c r="L151" s="106"/>
      <c r="M151" s="106"/>
      <c r="N151" s="106"/>
      <c r="O151" s="106"/>
      <c r="P151" s="106"/>
      <c r="Q151" s="106"/>
      <c r="R151" s="906">
        <v>0.2</v>
      </c>
      <c r="S151" s="106"/>
      <c r="T151" s="106"/>
      <c r="U151" s="106"/>
      <c r="V151" s="106"/>
      <c r="W151" s="105"/>
      <c r="X151" s="105"/>
      <c r="Y151" s="105"/>
      <c r="Z151" s="105"/>
      <c r="AB151">
        <v>1</v>
      </c>
      <c r="AE151" s="1572"/>
    </row>
    <row r="152" spans="1:31" ht="30" x14ac:dyDescent="0.35">
      <c r="A152" s="693">
        <v>75</v>
      </c>
      <c r="B152" s="693">
        <v>10012</v>
      </c>
      <c r="C152" s="999" t="s">
        <v>1656</v>
      </c>
      <c r="D152" s="2474" t="s">
        <v>3782</v>
      </c>
      <c r="E152" s="2187" t="s">
        <v>8151</v>
      </c>
      <c r="F152" s="92" t="s">
        <v>664</v>
      </c>
      <c r="G152" s="92">
        <v>5</v>
      </c>
      <c r="H152" s="1138">
        <v>6</v>
      </c>
      <c r="I152" s="702">
        <f>J152+K152+L152</f>
        <v>0.15</v>
      </c>
      <c r="J152" s="702">
        <f>SUM(M152:R152)</f>
        <v>0.15</v>
      </c>
      <c r="K152" s="106"/>
      <c r="L152" s="106"/>
      <c r="M152" s="106"/>
      <c r="N152" s="106"/>
      <c r="O152" s="106"/>
      <c r="P152" s="106"/>
      <c r="Q152" s="106"/>
      <c r="R152" s="906">
        <v>0.15</v>
      </c>
      <c r="S152" s="106"/>
      <c r="T152" s="106"/>
      <c r="U152" s="106"/>
      <c r="V152" s="106"/>
      <c r="W152" s="105"/>
      <c r="X152" s="105"/>
      <c r="Y152" s="105"/>
      <c r="Z152" s="105"/>
      <c r="AB152">
        <v>1</v>
      </c>
      <c r="AE152" s="1572"/>
    </row>
    <row r="153" spans="1:31" ht="30.5" x14ac:dyDescent="0.35">
      <c r="A153" s="295">
        <v>76</v>
      </c>
      <c r="B153" s="56">
        <v>10013</v>
      </c>
      <c r="C153" s="56"/>
      <c r="D153" s="293" t="s">
        <v>2598</v>
      </c>
      <c r="E153" s="288" t="s">
        <v>2379</v>
      </c>
      <c r="F153" s="1138"/>
      <c r="G153" s="1138" t="s">
        <v>191</v>
      </c>
      <c r="H153" s="1138" t="s">
        <v>191</v>
      </c>
      <c r="I153" s="297">
        <f>J153+K153+L153</f>
        <v>8.9369999999999994</v>
      </c>
      <c r="J153" s="297">
        <f>SUM(M153:R153)</f>
        <v>8.9369999999999994</v>
      </c>
      <c r="K153" s="297"/>
      <c r="L153" s="297"/>
      <c r="M153" s="297"/>
      <c r="N153" s="297">
        <f>SUM(N154:N156)</f>
        <v>2.3E-2</v>
      </c>
      <c r="O153" s="619"/>
      <c r="P153" s="297"/>
      <c r="Q153" s="932">
        <f>SUM(Q154:Q156)</f>
        <v>8.9139999999999997</v>
      </c>
      <c r="R153" s="925"/>
      <c r="S153" s="15"/>
      <c r="T153" s="233"/>
      <c r="U153" s="15"/>
      <c r="V153" s="15"/>
      <c r="W153" s="17">
        <v>19</v>
      </c>
      <c r="X153" s="233">
        <v>222</v>
      </c>
      <c r="Y153" s="17">
        <v>4</v>
      </c>
      <c r="Z153" s="250">
        <v>42</v>
      </c>
      <c r="AA153" s="3"/>
      <c r="AB153" s="3">
        <v>1</v>
      </c>
      <c r="AE153" s="1572"/>
    </row>
    <row r="154" spans="1:31" ht="15.5" x14ac:dyDescent="0.35">
      <c r="A154" s="295"/>
      <c r="B154" s="56">
        <v>10013</v>
      </c>
      <c r="C154" s="56"/>
      <c r="D154" s="293"/>
      <c r="E154" s="837" t="s">
        <v>562</v>
      </c>
      <c r="F154" s="1138">
        <v>5</v>
      </c>
      <c r="G154" s="1138">
        <v>5</v>
      </c>
      <c r="H154" s="1138">
        <v>6</v>
      </c>
      <c r="I154" s="298"/>
      <c r="J154" s="298"/>
      <c r="K154" s="298"/>
      <c r="L154" s="298"/>
      <c r="M154" s="298"/>
      <c r="N154" s="298"/>
      <c r="O154" s="621"/>
      <c r="P154" s="298"/>
      <c r="Q154" s="933">
        <v>2.9</v>
      </c>
      <c r="R154" s="927"/>
      <c r="S154" s="15"/>
      <c r="T154" s="233"/>
      <c r="U154" s="15"/>
      <c r="V154" s="15"/>
      <c r="W154" s="17"/>
      <c r="X154" s="233"/>
      <c r="Y154" s="17"/>
      <c r="Z154" s="250"/>
      <c r="AA154" s="3"/>
      <c r="AB154" s="3" t="s">
        <v>2416</v>
      </c>
      <c r="AE154" s="1572"/>
    </row>
    <row r="155" spans="1:31" ht="15.5" x14ac:dyDescent="0.35">
      <c r="A155" s="295"/>
      <c r="B155" s="56">
        <v>10013</v>
      </c>
      <c r="C155" s="56"/>
      <c r="D155" s="293"/>
      <c r="E155" s="837" t="s">
        <v>1644</v>
      </c>
      <c r="F155" s="1138">
        <v>5</v>
      </c>
      <c r="G155" s="1138">
        <v>5</v>
      </c>
      <c r="H155" s="1138">
        <v>6</v>
      </c>
      <c r="I155" s="298"/>
      <c r="J155" s="298"/>
      <c r="K155" s="298"/>
      <c r="L155" s="298"/>
      <c r="M155" s="298"/>
      <c r="N155" s="298"/>
      <c r="O155" s="621"/>
      <c r="P155" s="298"/>
      <c r="Q155" s="933">
        <f>8.914-2.9</f>
        <v>6.0139999999999993</v>
      </c>
      <c r="R155" s="927"/>
      <c r="S155" s="15"/>
      <c r="T155" s="233"/>
      <c r="U155" s="15"/>
      <c r="V155" s="15"/>
      <c r="W155" s="17"/>
      <c r="X155" s="233"/>
      <c r="Y155" s="17"/>
      <c r="Z155" s="250"/>
      <c r="AA155" s="3"/>
      <c r="AB155" s="3"/>
      <c r="AE155" s="1572"/>
    </row>
    <row r="156" spans="1:31" ht="15.5" x14ac:dyDescent="0.35">
      <c r="A156" s="295"/>
      <c r="B156" s="56">
        <v>10013</v>
      </c>
      <c r="C156" s="56"/>
      <c r="D156" s="293"/>
      <c r="E156" s="291" t="s">
        <v>183</v>
      </c>
      <c r="F156" s="1138">
        <v>5</v>
      </c>
      <c r="G156" s="1138">
        <v>5</v>
      </c>
      <c r="H156" s="1138">
        <v>6</v>
      </c>
      <c r="I156" s="298"/>
      <c r="J156" s="298"/>
      <c r="K156" s="298"/>
      <c r="L156" s="298"/>
      <c r="M156" s="298"/>
      <c r="N156" s="298">
        <v>2.3E-2</v>
      </c>
      <c r="O156" s="621"/>
      <c r="P156" s="298"/>
      <c r="Q156" s="933"/>
      <c r="R156" s="927"/>
      <c r="S156" s="15"/>
      <c r="T156" s="233"/>
      <c r="U156" s="15"/>
      <c r="V156" s="15"/>
      <c r="W156" s="17"/>
      <c r="X156" s="233"/>
      <c r="Y156" s="17"/>
      <c r="Z156" s="250"/>
      <c r="AA156" s="3"/>
      <c r="AB156" s="3" t="s">
        <v>2417</v>
      </c>
      <c r="AE156" s="1572"/>
    </row>
    <row r="157" spans="1:31" ht="45.5" x14ac:dyDescent="0.35">
      <c r="A157" s="295">
        <v>77</v>
      </c>
      <c r="B157" s="999">
        <v>10013</v>
      </c>
      <c r="C157" s="999"/>
      <c r="D157" s="2474" t="s">
        <v>3783</v>
      </c>
      <c r="E157" s="288" t="s">
        <v>7431</v>
      </c>
      <c r="F157" s="1138"/>
      <c r="G157" s="1138" t="s">
        <v>191</v>
      </c>
      <c r="H157" s="1138" t="s">
        <v>191</v>
      </c>
      <c r="I157" s="297">
        <f>J157+K157+L157</f>
        <v>1.56</v>
      </c>
      <c r="J157" s="297">
        <f>SUM(M157:R157)</f>
        <v>1.56</v>
      </c>
      <c r="K157" s="297"/>
      <c r="L157" s="297"/>
      <c r="M157" s="297"/>
      <c r="N157" s="297"/>
      <c r="O157" s="619"/>
      <c r="P157" s="297"/>
      <c r="Q157" s="932"/>
      <c r="R157" s="925">
        <v>1.56</v>
      </c>
      <c r="S157" s="15"/>
      <c r="T157" s="233"/>
      <c r="U157" s="15"/>
      <c r="V157" s="15"/>
      <c r="W157" s="17">
        <v>1</v>
      </c>
      <c r="X157" s="233">
        <v>7.5</v>
      </c>
      <c r="Y157" s="17"/>
      <c r="Z157" s="250"/>
      <c r="AA157" s="3"/>
      <c r="AB157" s="3">
        <v>1</v>
      </c>
      <c r="AE157" s="1572"/>
    </row>
    <row r="158" spans="1:31" ht="15.5" x14ac:dyDescent="0.35">
      <c r="A158" s="998"/>
      <c r="B158" s="999"/>
      <c r="C158" s="999"/>
      <c r="D158" s="293"/>
      <c r="E158" s="838" t="s">
        <v>365</v>
      </c>
      <c r="F158" s="1138" t="s">
        <v>664</v>
      </c>
      <c r="G158" s="1138">
        <v>5</v>
      </c>
      <c r="H158" s="1138">
        <v>6</v>
      </c>
      <c r="I158" s="298"/>
      <c r="J158" s="298"/>
      <c r="K158" s="298"/>
      <c r="L158" s="298"/>
      <c r="M158" s="298"/>
      <c r="N158" s="298"/>
      <c r="O158" s="300"/>
      <c r="P158" s="298"/>
      <c r="Q158" s="1836"/>
      <c r="R158" s="2049">
        <v>0.6</v>
      </c>
      <c r="S158" s="15"/>
      <c r="T158" s="233"/>
      <c r="U158" s="15"/>
      <c r="V158" s="15"/>
      <c r="W158" s="17"/>
      <c r="X158" s="233"/>
      <c r="Y158" s="17"/>
      <c r="Z158" s="250"/>
      <c r="AA158" s="3"/>
      <c r="AB158" s="3"/>
      <c r="AE158" s="1572"/>
    </row>
    <row r="159" spans="1:31" ht="15.5" x14ac:dyDescent="0.35">
      <c r="A159" s="998"/>
      <c r="B159" s="999"/>
      <c r="C159" s="999"/>
      <c r="D159" s="293"/>
      <c r="E159" s="838" t="s">
        <v>1957</v>
      </c>
      <c r="F159" s="1138" t="s">
        <v>1490</v>
      </c>
      <c r="G159" s="1138">
        <v>5</v>
      </c>
      <c r="H159" s="1138">
        <v>6</v>
      </c>
      <c r="I159" s="298"/>
      <c r="J159" s="298"/>
      <c r="K159" s="298"/>
      <c r="L159" s="298"/>
      <c r="M159" s="298"/>
      <c r="N159" s="298"/>
      <c r="O159" s="300"/>
      <c r="P159" s="298"/>
      <c r="Q159" s="1836"/>
      <c r="R159" s="2049">
        <v>0.2</v>
      </c>
      <c r="S159" s="15"/>
      <c r="T159" s="233"/>
      <c r="U159" s="15"/>
      <c r="V159" s="15"/>
      <c r="W159" s="17"/>
      <c r="X159" s="233"/>
      <c r="Y159" s="17"/>
      <c r="Z159" s="250"/>
      <c r="AA159" s="3"/>
      <c r="AB159" s="3"/>
      <c r="AC159" t="s">
        <v>2570</v>
      </c>
      <c r="AE159" s="1572"/>
    </row>
    <row r="160" spans="1:31" ht="15.5" x14ac:dyDescent="0.35">
      <c r="A160" s="998"/>
      <c r="B160" s="999"/>
      <c r="C160" s="999"/>
      <c r="D160" s="293"/>
      <c r="E160" s="838" t="s">
        <v>1443</v>
      </c>
      <c r="F160" s="1138" t="s">
        <v>664</v>
      </c>
      <c r="G160" s="1138">
        <v>5</v>
      </c>
      <c r="H160" s="1138">
        <v>6</v>
      </c>
      <c r="I160" s="298"/>
      <c r="J160" s="298"/>
      <c r="K160" s="298"/>
      <c r="L160" s="298"/>
      <c r="M160" s="298"/>
      <c r="N160" s="298"/>
      <c r="O160" s="300"/>
      <c r="P160" s="298"/>
      <c r="Q160" s="1836"/>
      <c r="R160" s="2049">
        <f>1.56-0.8</f>
        <v>0.76</v>
      </c>
      <c r="S160" s="15"/>
      <c r="T160" s="233"/>
      <c r="U160" s="15"/>
      <c r="V160" s="15"/>
      <c r="W160" s="17"/>
      <c r="X160" s="233"/>
      <c r="Y160" s="17"/>
      <c r="Z160" s="250"/>
      <c r="AA160" s="3"/>
      <c r="AB160" s="3"/>
      <c r="AE160" s="1572"/>
    </row>
    <row r="161" spans="1:32" ht="45" x14ac:dyDescent="0.35">
      <c r="A161" s="693">
        <v>78</v>
      </c>
      <c r="B161" s="693">
        <v>10013</v>
      </c>
      <c r="C161" s="999" t="s">
        <v>1656</v>
      </c>
      <c r="D161" s="2474" t="s">
        <v>3784</v>
      </c>
      <c r="E161" s="2187" t="s">
        <v>8152</v>
      </c>
      <c r="F161" s="92" t="s">
        <v>664</v>
      </c>
      <c r="G161" s="92">
        <v>5</v>
      </c>
      <c r="H161" s="1138">
        <v>6</v>
      </c>
      <c r="I161" s="702">
        <f>J161+K161+L161</f>
        <v>0.1</v>
      </c>
      <c r="J161" s="702">
        <f>SUM(M161:R161)</f>
        <v>0.1</v>
      </c>
      <c r="K161" s="622"/>
      <c r="L161" s="622"/>
      <c r="M161" s="622"/>
      <c r="N161" s="622"/>
      <c r="O161" s="622"/>
      <c r="P161" s="622"/>
      <c r="Q161" s="622"/>
      <c r="R161" s="906">
        <v>0.1</v>
      </c>
      <c r="S161" s="106"/>
      <c r="T161" s="106"/>
      <c r="U161" s="106"/>
      <c r="V161" s="106"/>
      <c r="W161" s="105"/>
      <c r="X161" s="105"/>
      <c r="Y161" s="105"/>
      <c r="Z161" s="105"/>
      <c r="AB161">
        <v>1</v>
      </c>
      <c r="AE161" s="1572"/>
    </row>
    <row r="162" spans="1:32" ht="15.5" x14ac:dyDescent="0.35">
      <c r="A162" s="295">
        <v>79</v>
      </c>
      <c r="B162" s="56">
        <v>10014</v>
      </c>
      <c r="C162" s="56"/>
      <c r="D162" s="293" t="s">
        <v>3383</v>
      </c>
      <c r="E162" s="290" t="s">
        <v>7218</v>
      </c>
      <c r="F162" s="1138">
        <v>4</v>
      </c>
      <c r="G162" s="1138">
        <v>5</v>
      </c>
      <c r="H162" s="1138">
        <v>6</v>
      </c>
      <c r="I162" s="297">
        <f>J162+K162+L162</f>
        <v>3.8260000000000001</v>
      </c>
      <c r="J162" s="297">
        <f>SUM(M162:R162)</f>
        <v>3.8260000000000001</v>
      </c>
      <c r="K162" s="297"/>
      <c r="L162" s="297"/>
      <c r="M162" s="297"/>
      <c r="N162" s="297">
        <v>3.8260000000000001</v>
      </c>
      <c r="O162" s="619"/>
      <c r="P162" s="297"/>
      <c r="Q162" s="932"/>
      <c r="R162" s="925"/>
      <c r="S162" s="15"/>
      <c r="T162" s="233"/>
      <c r="U162" s="15"/>
      <c r="V162" s="15"/>
      <c r="W162" s="2441">
        <f>6+4</f>
        <v>10</v>
      </c>
      <c r="X162" s="2446">
        <f>72.53+43</f>
        <v>115.53</v>
      </c>
      <c r="Y162" s="17">
        <v>4</v>
      </c>
      <c r="Z162" s="250">
        <v>43</v>
      </c>
      <c r="AA162" s="3"/>
      <c r="AB162" s="3">
        <v>1</v>
      </c>
      <c r="AE162" s="1572"/>
    </row>
    <row r="163" spans="1:32" ht="15.5" x14ac:dyDescent="0.35">
      <c r="A163" s="693">
        <v>80</v>
      </c>
      <c r="B163" s="56">
        <v>10015</v>
      </c>
      <c r="C163" s="56"/>
      <c r="D163" s="293" t="s">
        <v>1952</v>
      </c>
      <c r="E163" s="511" t="s">
        <v>10808</v>
      </c>
      <c r="F163" s="1138"/>
      <c r="G163" s="1138" t="s">
        <v>191</v>
      </c>
      <c r="H163" s="1138" t="s">
        <v>191</v>
      </c>
      <c r="I163" s="486">
        <f>J163+K163+L163</f>
        <v>11.412000000000001</v>
      </c>
      <c r="J163" s="486">
        <f>SUM(M163:R163)</f>
        <v>11.202</v>
      </c>
      <c r="K163" s="486"/>
      <c r="L163" s="486">
        <f>SUM(L164:L167)</f>
        <v>0.21000000000000016</v>
      </c>
      <c r="M163" s="297"/>
      <c r="N163" s="297">
        <f>SUM(N164:N167)</f>
        <v>11.202</v>
      </c>
      <c r="O163" s="619"/>
      <c r="P163" s="297"/>
      <c r="Q163" s="932"/>
      <c r="R163" s="925"/>
      <c r="S163" s="15"/>
      <c r="T163" s="233"/>
      <c r="U163" s="15"/>
      <c r="V163" s="15"/>
      <c r="W163" s="154">
        <v>20</v>
      </c>
      <c r="X163" s="1962">
        <v>320.60000000000002</v>
      </c>
      <c r="Y163" s="154">
        <v>2</v>
      </c>
      <c r="Z163" s="250">
        <v>25.3</v>
      </c>
      <c r="AA163" s="3"/>
      <c r="AB163" s="3">
        <v>1</v>
      </c>
      <c r="AE163" s="1572"/>
    </row>
    <row r="164" spans="1:32" s="2694" customFormat="1" ht="31" x14ac:dyDescent="0.35">
      <c r="A164" s="1040"/>
      <c r="B164" s="56"/>
      <c r="C164" s="56"/>
      <c r="D164" s="293"/>
      <c r="E164" s="270" t="s">
        <v>10652</v>
      </c>
      <c r="F164" s="1138">
        <v>4</v>
      </c>
      <c r="G164" s="1138">
        <v>5</v>
      </c>
      <c r="H164" s="1138" t="s">
        <v>191</v>
      </c>
      <c r="I164" s="486"/>
      <c r="J164" s="486"/>
      <c r="K164" s="486"/>
      <c r="L164" s="487">
        <v>3.4000000000000002E-2</v>
      </c>
      <c r="M164" s="297"/>
      <c r="N164" s="297"/>
      <c r="O164" s="619"/>
      <c r="P164" s="297"/>
      <c r="Q164" s="932"/>
      <c r="R164" s="925"/>
      <c r="S164" s="15"/>
      <c r="T164" s="233"/>
      <c r="U164" s="15"/>
      <c r="V164" s="15"/>
      <c r="W164" s="154"/>
      <c r="X164" s="1962"/>
      <c r="Y164" s="154"/>
      <c r="Z164" s="250"/>
      <c r="AA164" s="3"/>
      <c r="AB164" s="3"/>
      <c r="AE164" s="1572"/>
    </row>
    <row r="165" spans="1:32" ht="15.5" x14ac:dyDescent="0.35">
      <c r="A165" s="295"/>
      <c r="B165" s="56">
        <v>10015</v>
      </c>
      <c r="C165" s="56"/>
      <c r="D165" s="293"/>
      <c r="E165" s="459" t="s">
        <v>10654</v>
      </c>
      <c r="F165" s="1138">
        <v>4</v>
      </c>
      <c r="G165" s="1138">
        <v>5</v>
      </c>
      <c r="H165" s="1138">
        <v>6</v>
      </c>
      <c r="I165" s="487"/>
      <c r="J165" s="487"/>
      <c r="K165" s="487"/>
      <c r="L165" s="487"/>
      <c r="M165" s="298"/>
      <c r="N165" s="298">
        <f>10.249-0.034</f>
        <v>10.215</v>
      </c>
      <c r="O165" s="621"/>
      <c r="P165" s="298"/>
      <c r="Q165" s="933"/>
      <c r="R165" s="927"/>
      <c r="S165" s="15"/>
      <c r="T165" s="233"/>
      <c r="U165" s="15"/>
      <c r="V165" s="15"/>
      <c r="W165" s="154"/>
      <c r="X165" s="1962"/>
      <c r="Y165" s="154"/>
      <c r="Z165" s="250"/>
      <c r="AA165" s="3"/>
      <c r="AB165" s="3"/>
      <c r="AE165" s="1572"/>
    </row>
    <row r="166" spans="1:32" ht="31" x14ac:dyDescent="0.35">
      <c r="A166" s="295"/>
      <c r="B166" s="56">
        <v>10015</v>
      </c>
      <c r="C166" s="56"/>
      <c r="D166" s="293"/>
      <c r="E166" s="459" t="s">
        <v>10653</v>
      </c>
      <c r="F166" s="1138">
        <v>4</v>
      </c>
      <c r="G166" s="1138">
        <v>5</v>
      </c>
      <c r="H166" s="1138" t="s">
        <v>191</v>
      </c>
      <c r="I166" s="487"/>
      <c r="J166" s="487"/>
      <c r="K166" s="487"/>
      <c r="L166" s="487">
        <f>10.425-10.249</f>
        <v>0.17600000000000016</v>
      </c>
      <c r="M166" s="298"/>
      <c r="N166" s="298"/>
      <c r="O166" s="621"/>
      <c r="P166" s="298"/>
      <c r="Q166" s="933"/>
      <c r="R166" s="927"/>
      <c r="S166" s="15"/>
      <c r="T166" s="233"/>
      <c r="U166" s="15"/>
      <c r="V166" s="15"/>
      <c r="W166" s="154"/>
      <c r="X166" s="1962"/>
      <c r="Y166" s="154"/>
      <c r="Z166" s="250"/>
      <c r="AA166" s="3"/>
      <c r="AB166" s="3"/>
      <c r="AE166" s="1572"/>
    </row>
    <row r="167" spans="1:32" ht="15.5" x14ac:dyDescent="0.35">
      <c r="A167" s="295"/>
      <c r="B167" s="56">
        <v>10015</v>
      </c>
      <c r="C167" s="56"/>
      <c r="D167" s="293"/>
      <c r="E167" s="459" t="s">
        <v>10655</v>
      </c>
      <c r="F167" s="1138">
        <v>5</v>
      </c>
      <c r="G167" s="1138">
        <v>5</v>
      </c>
      <c r="H167" s="1138">
        <v>6</v>
      </c>
      <c r="I167" s="487"/>
      <c r="J167" s="487"/>
      <c r="K167" s="487"/>
      <c r="L167" s="487"/>
      <c r="M167" s="298"/>
      <c r="N167" s="298">
        <f>11.412-10.425</f>
        <v>0.9870000000000001</v>
      </c>
      <c r="O167" s="621"/>
      <c r="P167" s="298"/>
      <c r="Q167" s="933"/>
      <c r="R167" s="927"/>
      <c r="S167" s="15"/>
      <c r="T167" s="233"/>
      <c r="U167" s="15"/>
      <c r="V167" s="15"/>
      <c r="W167" s="154"/>
      <c r="X167" s="1962"/>
      <c r="Y167" s="154"/>
      <c r="Z167" s="250"/>
      <c r="AA167" s="3"/>
      <c r="AB167" s="3"/>
      <c r="AE167" s="1572"/>
    </row>
    <row r="168" spans="1:32" ht="30.5" x14ac:dyDescent="0.35">
      <c r="A168" s="295">
        <v>81</v>
      </c>
      <c r="B168" s="999">
        <v>10015</v>
      </c>
      <c r="C168" s="999"/>
      <c r="D168" s="2474" t="s">
        <v>3785</v>
      </c>
      <c r="E168" s="288" t="s">
        <v>9168</v>
      </c>
      <c r="F168" s="1138" t="s">
        <v>1490</v>
      </c>
      <c r="G168" s="1138">
        <v>5</v>
      </c>
      <c r="H168" s="1138">
        <v>6</v>
      </c>
      <c r="I168" s="297">
        <f>J168+K168+L168</f>
        <v>0.5</v>
      </c>
      <c r="J168" s="297">
        <f>SUM(M168:R168)</f>
        <v>0.5</v>
      </c>
      <c r="K168" s="297"/>
      <c r="L168" s="297"/>
      <c r="M168" s="297"/>
      <c r="N168" s="297">
        <v>0.5</v>
      </c>
      <c r="O168" s="619"/>
      <c r="P168" s="297"/>
      <c r="Q168" s="932"/>
      <c r="R168" s="925"/>
      <c r="S168" s="15"/>
      <c r="T168" s="233"/>
      <c r="U168" s="15"/>
      <c r="V168" s="15"/>
      <c r="W168" s="154"/>
      <c r="X168" s="1962"/>
      <c r="Y168" s="154"/>
      <c r="Z168" s="250"/>
      <c r="AA168" s="3"/>
      <c r="AB168" s="3">
        <v>1</v>
      </c>
      <c r="AE168" s="1572"/>
    </row>
    <row r="169" spans="1:32" ht="30.5" x14ac:dyDescent="0.35">
      <c r="A169" s="295">
        <v>82</v>
      </c>
      <c r="B169" s="999">
        <v>10015</v>
      </c>
      <c r="C169" s="999" t="s">
        <v>1656</v>
      </c>
      <c r="D169" s="2474" t="s">
        <v>3786</v>
      </c>
      <c r="E169" s="288" t="s">
        <v>8153</v>
      </c>
      <c r="F169" s="1138" t="s">
        <v>664</v>
      </c>
      <c r="G169" s="1138">
        <v>5</v>
      </c>
      <c r="H169" s="1138">
        <v>6</v>
      </c>
      <c r="I169" s="297">
        <v>0.7</v>
      </c>
      <c r="J169" s="297">
        <v>0.7</v>
      </c>
      <c r="K169" s="297"/>
      <c r="L169" s="297"/>
      <c r="M169" s="297"/>
      <c r="N169" s="297"/>
      <c r="O169" s="619"/>
      <c r="P169" s="297"/>
      <c r="Q169" s="932"/>
      <c r="R169" s="925">
        <v>0.7</v>
      </c>
      <c r="S169" s="15"/>
      <c r="T169" s="233"/>
      <c r="U169" s="15"/>
      <c r="V169" s="15"/>
      <c r="W169" s="154"/>
      <c r="X169" s="1962"/>
      <c r="Y169" s="154"/>
      <c r="Z169" s="250"/>
      <c r="AA169" s="3"/>
      <c r="AB169" s="3">
        <v>1</v>
      </c>
      <c r="AE169" s="1572"/>
    </row>
    <row r="170" spans="1:32" ht="30.5" x14ac:dyDescent="0.35">
      <c r="A170" s="295">
        <v>83</v>
      </c>
      <c r="B170" s="999">
        <v>10015</v>
      </c>
      <c r="C170" s="999" t="s">
        <v>1656</v>
      </c>
      <c r="D170" s="2474" t="s">
        <v>3787</v>
      </c>
      <c r="E170" s="288" t="s">
        <v>8154</v>
      </c>
      <c r="F170" s="1138" t="s">
        <v>664</v>
      </c>
      <c r="G170" s="1138">
        <v>5</v>
      </c>
      <c r="H170" s="1138">
        <v>6</v>
      </c>
      <c r="I170" s="297">
        <v>0.7</v>
      </c>
      <c r="J170" s="297">
        <v>0.7</v>
      </c>
      <c r="K170" s="297"/>
      <c r="L170" s="297"/>
      <c r="M170" s="297"/>
      <c r="N170" s="297"/>
      <c r="O170" s="619"/>
      <c r="P170" s="297"/>
      <c r="Q170" s="932"/>
      <c r="R170" s="925">
        <v>0.7</v>
      </c>
      <c r="S170" s="15"/>
      <c r="T170" s="233"/>
      <c r="U170" s="15"/>
      <c r="V170" s="15"/>
      <c r="W170" s="154"/>
      <c r="X170" s="1962"/>
      <c r="Y170" s="154"/>
      <c r="Z170" s="250"/>
      <c r="AA170" s="3"/>
      <c r="AB170" s="3">
        <v>1</v>
      </c>
      <c r="AE170" s="1572"/>
    </row>
    <row r="171" spans="1:32" ht="30.5" x14ac:dyDescent="0.35">
      <c r="A171" s="295">
        <v>84</v>
      </c>
      <c r="B171" s="56">
        <v>10016</v>
      </c>
      <c r="C171" s="56"/>
      <c r="D171" s="293" t="s">
        <v>1953</v>
      </c>
      <c r="E171" s="511" t="s">
        <v>10809</v>
      </c>
      <c r="F171" s="1138"/>
      <c r="G171" s="1138" t="s">
        <v>191</v>
      </c>
      <c r="H171" s="1138" t="s">
        <v>191</v>
      </c>
      <c r="I171" s="297">
        <f>J171+K171+L171</f>
        <v>13.079000000000001</v>
      </c>
      <c r="J171" s="297">
        <f>SUM(M171:R171)</f>
        <v>13.079000000000001</v>
      </c>
      <c r="K171" s="297"/>
      <c r="L171" s="297"/>
      <c r="M171" s="297"/>
      <c r="N171" s="297">
        <f>SUM(N172:N179)</f>
        <v>2.6719999999999997</v>
      </c>
      <c r="O171" s="2706"/>
      <c r="P171" s="297"/>
      <c r="Q171" s="932">
        <f>SUM(Q172:Q179)</f>
        <v>10.407</v>
      </c>
      <c r="R171" s="925"/>
      <c r="S171" s="15">
        <v>1</v>
      </c>
      <c r="T171" s="233">
        <v>27.6</v>
      </c>
      <c r="U171" s="15"/>
      <c r="V171" s="15"/>
      <c r="W171" s="154">
        <v>27</v>
      </c>
      <c r="X171" s="1962">
        <v>401.8</v>
      </c>
      <c r="Y171" s="154">
        <v>10</v>
      </c>
      <c r="Z171" s="250">
        <v>110.3</v>
      </c>
      <c r="AA171" s="3"/>
      <c r="AB171" s="3">
        <v>1</v>
      </c>
      <c r="AE171" s="1572"/>
    </row>
    <row r="172" spans="1:32" ht="15.5" x14ac:dyDescent="0.35">
      <c r="A172" s="295"/>
      <c r="B172" s="56">
        <v>10016</v>
      </c>
      <c r="C172" s="56"/>
      <c r="D172" s="293"/>
      <c r="E172" s="291" t="s">
        <v>10743</v>
      </c>
      <c r="F172" s="1138">
        <v>4</v>
      </c>
      <c r="G172" s="1138">
        <v>5</v>
      </c>
      <c r="H172" s="1138">
        <v>6</v>
      </c>
      <c r="I172" s="298"/>
      <c r="J172" s="298"/>
      <c r="K172" s="298"/>
      <c r="L172" s="298"/>
      <c r="M172" s="298"/>
      <c r="N172" s="298">
        <v>1.4970000000000001</v>
      </c>
      <c r="O172" s="621"/>
      <c r="P172" s="298"/>
      <c r="Q172" s="933"/>
      <c r="R172" s="927"/>
      <c r="S172" s="15"/>
      <c r="T172" s="233"/>
      <c r="U172" s="15"/>
      <c r="V172" s="15"/>
      <c r="W172" s="17"/>
      <c r="X172" s="233"/>
      <c r="Y172" s="17"/>
      <c r="Z172" s="250"/>
      <c r="AA172" s="3"/>
      <c r="AB172" s="3"/>
      <c r="AC172" s="2333" t="s">
        <v>3115</v>
      </c>
      <c r="AD172" s="353">
        <v>31944</v>
      </c>
      <c r="AE172" s="2263">
        <v>1989</v>
      </c>
      <c r="AF172" t="s">
        <v>1759</v>
      </c>
    </row>
    <row r="173" spans="1:32" ht="15.5" x14ac:dyDescent="0.35">
      <c r="A173" s="295"/>
      <c r="B173" s="56">
        <v>10016</v>
      </c>
      <c r="C173" s="56"/>
      <c r="D173" s="293"/>
      <c r="E173" s="837" t="s">
        <v>10744</v>
      </c>
      <c r="F173" s="1138">
        <v>4</v>
      </c>
      <c r="G173" s="1138">
        <v>5</v>
      </c>
      <c r="H173" s="1138">
        <v>6</v>
      </c>
      <c r="I173" s="298"/>
      <c r="J173" s="298"/>
      <c r="K173" s="298"/>
      <c r="L173" s="298"/>
      <c r="M173" s="298"/>
      <c r="N173" s="298"/>
      <c r="O173" s="621"/>
      <c r="P173" s="298"/>
      <c r="Q173" s="933">
        <f>2.382-1.497</f>
        <v>0.88500000000000001</v>
      </c>
      <c r="R173" s="927"/>
      <c r="S173" s="15"/>
      <c r="T173" s="233"/>
      <c r="U173" s="15"/>
      <c r="V173" s="15"/>
      <c r="W173" s="17"/>
      <c r="X173" s="233"/>
      <c r="Y173" s="17"/>
      <c r="Z173" s="250"/>
      <c r="AA173" s="3"/>
      <c r="AB173" s="3"/>
      <c r="AD173" s="2336"/>
      <c r="AE173" s="1572"/>
    </row>
    <row r="174" spans="1:32" s="2704" customFormat="1" ht="15.5" x14ac:dyDescent="0.35">
      <c r="A174" s="295"/>
      <c r="B174" s="56">
        <v>10016</v>
      </c>
      <c r="C174" s="56"/>
      <c r="D174" s="293"/>
      <c r="E174" s="291" t="s">
        <v>10745</v>
      </c>
      <c r="F174" s="1138">
        <v>4</v>
      </c>
      <c r="G174" s="1138">
        <v>5</v>
      </c>
      <c r="H174" s="1138">
        <v>6</v>
      </c>
      <c r="I174" s="298"/>
      <c r="J174" s="298"/>
      <c r="K174" s="298"/>
      <c r="L174" s="298"/>
      <c r="M174" s="298"/>
      <c r="N174" s="298">
        <f>2.421-2.382</f>
        <v>3.8999999999999702E-2</v>
      </c>
      <c r="O174" s="621"/>
      <c r="P174" s="298"/>
      <c r="Q174" s="933"/>
      <c r="R174" s="927"/>
      <c r="S174" s="15"/>
      <c r="T174" s="233"/>
      <c r="U174" s="15"/>
      <c r="V174" s="15"/>
      <c r="W174" s="17"/>
      <c r="X174" s="233"/>
      <c r="Y174" s="17"/>
      <c r="Z174" s="250"/>
      <c r="AA174" s="3"/>
      <c r="AB174" s="3"/>
      <c r="AD174" s="2336"/>
      <c r="AE174" s="1572"/>
    </row>
    <row r="175" spans="1:32" s="2704" customFormat="1" ht="15.5" x14ac:dyDescent="0.35">
      <c r="A175" s="295"/>
      <c r="B175" s="56">
        <v>10016</v>
      </c>
      <c r="C175" s="56"/>
      <c r="D175" s="293"/>
      <c r="E175" s="837" t="s">
        <v>10746</v>
      </c>
      <c r="F175" s="1138">
        <v>4</v>
      </c>
      <c r="G175" s="1138">
        <v>5</v>
      </c>
      <c r="H175" s="1138">
        <v>6</v>
      </c>
      <c r="I175" s="298"/>
      <c r="J175" s="298"/>
      <c r="K175" s="298"/>
      <c r="L175" s="298"/>
      <c r="M175" s="298"/>
      <c r="N175" s="298"/>
      <c r="O175" s="621"/>
      <c r="P175" s="298"/>
      <c r="Q175" s="933">
        <f>4.288-2.421</f>
        <v>1.8670000000000004</v>
      </c>
      <c r="R175" s="927"/>
      <c r="S175" s="15"/>
      <c r="T175" s="233"/>
      <c r="U175" s="15"/>
      <c r="V175" s="15"/>
      <c r="W175" s="17"/>
      <c r="X175" s="233"/>
      <c r="Y175" s="17"/>
      <c r="Z175" s="250"/>
      <c r="AA175" s="3"/>
      <c r="AB175" s="3"/>
      <c r="AD175" s="2336"/>
      <c r="AE175" s="1572"/>
    </row>
    <row r="176" spans="1:32" ht="15.5" x14ac:dyDescent="0.35">
      <c r="A176" s="295"/>
      <c r="B176" s="56">
        <v>10016</v>
      </c>
      <c r="C176" s="56"/>
      <c r="D176" s="293"/>
      <c r="E176" s="291" t="s">
        <v>10747</v>
      </c>
      <c r="F176" s="1138">
        <v>4</v>
      </c>
      <c r="G176" s="1138">
        <v>5</v>
      </c>
      <c r="H176" s="1138">
        <v>6</v>
      </c>
      <c r="I176" s="298"/>
      <c r="J176" s="298"/>
      <c r="K176" s="298"/>
      <c r="L176" s="298"/>
      <c r="M176" s="298"/>
      <c r="N176" s="298">
        <f>5.424-4.288</f>
        <v>1.1360000000000001</v>
      </c>
      <c r="O176" s="621"/>
      <c r="P176" s="298"/>
      <c r="Q176" s="933"/>
      <c r="R176" s="927"/>
      <c r="S176" s="15"/>
      <c r="T176" s="233"/>
      <c r="U176" s="15"/>
      <c r="V176" s="15"/>
      <c r="W176" s="17"/>
      <c r="X176" s="233"/>
      <c r="Y176" s="17"/>
      <c r="Z176" s="250"/>
      <c r="AA176" s="3"/>
      <c r="AB176" s="3"/>
      <c r="AD176" s="2336"/>
      <c r="AE176" s="1572"/>
    </row>
    <row r="177" spans="1:32" s="2704" customFormat="1" ht="15.5" x14ac:dyDescent="0.35">
      <c r="A177" s="295"/>
      <c r="B177" s="56">
        <v>10016</v>
      </c>
      <c r="C177" s="56"/>
      <c r="D177" s="293"/>
      <c r="E177" s="837" t="s">
        <v>10748</v>
      </c>
      <c r="F177" s="1138">
        <v>4</v>
      </c>
      <c r="G177" s="1138">
        <v>5</v>
      </c>
      <c r="H177" s="1138">
        <v>6</v>
      </c>
      <c r="I177" s="298"/>
      <c r="J177" s="298"/>
      <c r="K177" s="298"/>
      <c r="L177" s="298"/>
      <c r="M177" s="298"/>
      <c r="N177" s="298"/>
      <c r="O177" s="621"/>
      <c r="P177" s="298"/>
      <c r="Q177" s="933">
        <f>9.868-5.424</f>
        <v>4.444</v>
      </c>
      <c r="R177" s="927"/>
      <c r="S177" s="15"/>
      <c r="T177" s="233"/>
      <c r="U177" s="15"/>
      <c r="V177" s="15"/>
      <c r="W177" s="17"/>
      <c r="X177" s="233"/>
      <c r="Y177" s="17"/>
      <c r="Z177" s="250"/>
      <c r="AA177" s="3"/>
      <c r="AB177" s="3"/>
      <c r="AD177" s="2336"/>
      <c r="AE177" s="1572"/>
    </row>
    <row r="178" spans="1:32" s="2704" customFormat="1" ht="15.5" x14ac:dyDescent="0.35">
      <c r="A178" s="295"/>
      <c r="B178" s="56">
        <v>10016</v>
      </c>
      <c r="C178" s="56"/>
      <c r="D178" s="293"/>
      <c r="E178" s="837" t="s">
        <v>10750</v>
      </c>
      <c r="F178" s="1138">
        <v>5</v>
      </c>
      <c r="G178" s="1138">
        <v>5</v>
      </c>
      <c r="H178" s="1138">
        <v>6</v>
      </c>
      <c r="I178" s="298"/>
      <c r="J178" s="298"/>
      <c r="K178" s="298"/>
      <c r="L178" s="298"/>
      <c r="M178" s="298"/>
      <c r="N178" s="298"/>
      <c r="O178" s="621"/>
      <c r="P178" s="298"/>
      <c r="Q178" s="933">
        <f>11.61-9.868</f>
        <v>1.7419999999999991</v>
      </c>
      <c r="R178" s="927"/>
      <c r="S178" s="15"/>
      <c r="T178" s="233"/>
      <c r="U178" s="15"/>
      <c r="V178" s="15"/>
      <c r="W178" s="17"/>
      <c r="X178" s="233"/>
      <c r="Y178" s="17"/>
      <c r="Z178" s="250"/>
      <c r="AA178" s="3"/>
      <c r="AB178" s="3"/>
      <c r="AD178" s="2336"/>
      <c r="AE178" s="1572"/>
    </row>
    <row r="179" spans="1:32" ht="15.5" x14ac:dyDescent="0.35">
      <c r="A179" s="295"/>
      <c r="B179" s="56">
        <v>10016</v>
      </c>
      <c r="C179" s="56"/>
      <c r="D179" s="293"/>
      <c r="E179" s="837" t="s">
        <v>10749</v>
      </c>
      <c r="F179" s="1138" t="s">
        <v>827</v>
      </c>
      <c r="G179" s="1138">
        <v>5</v>
      </c>
      <c r="H179" s="1138">
        <v>6</v>
      </c>
      <c r="I179" s="298"/>
      <c r="J179" s="298"/>
      <c r="K179" s="298"/>
      <c r="L179" s="298"/>
      <c r="M179" s="298"/>
      <c r="N179" s="298"/>
      <c r="O179" s="621"/>
      <c r="P179" s="298"/>
      <c r="Q179" s="933">
        <f>13.079-11.61</f>
        <v>1.4690000000000012</v>
      </c>
      <c r="R179" s="927"/>
      <c r="S179" s="15"/>
      <c r="T179" s="233"/>
      <c r="U179" s="15"/>
      <c r="V179" s="15"/>
      <c r="W179" s="17"/>
      <c r="X179" s="233"/>
      <c r="Y179" s="17"/>
      <c r="Z179" s="250"/>
      <c r="AA179" s="3"/>
      <c r="AB179" s="3"/>
      <c r="AC179" s="2333" t="s">
        <v>3115</v>
      </c>
      <c r="AD179" s="353">
        <v>31944</v>
      </c>
      <c r="AE179" s="2263">
        <v>1989</v>
      </c>
      <c r="AF179" s="3" t="s">
        <v>1758</v>
      </c>
    </row>
    <row r="180" spans="1:32" ht="45" x14ac:dyDescent="0.35">
      <c r="A180" s="295">
        <v>85</v>
      </c>
      <c r="B180" s="693">
        <v>10016</v>
      </c>
      <c r="C180" s="999" t="s">
        <v>1656</v>
      </c>
      <c r="D180" s="2474" t="s">
        <v>3788</v>
      </c>
      <c r="E180" s="2187" t="s">
        <v>9614</v>
      </c>
      <c r="F180" s="92" t="s">
        <v>664</v>
      </c>
      <c r="G180" s="92">
        <v>5</v>
      </c>
      <c r="H180" s="1138">
        <v>6</v>
      </c>
      <c r="I180" s="702">
        <f>J180+K180+L180</f>
        <v>0.3</v>
      </c>
      <c r="J180" s="702">
        <f>SUM(M180:R180)</f>
        <v>0.3</v>
      </c>
      <c r="K180" s="622"/>
      <c r="L180" s="622"/>
      <c r="M180" s="622"/>
      <c r="N180" s="622"/>
      <c r="O180" s="622"/>
      <c r="P180" s="622"/>
      <c r="Q180" s="622"/>
      <c r="R180" s="906">
        <v>0.3</v>
      </c>
      <c r="S180" s="106"/>
      <c r="T180" s="106"/>
      <c r="U180" s="106"/>
      <c r="V180" s="106"/>
      <c r="W180" s="105"/>
      <c r="X180" s="105"/>
      <c r="Y180" s="105"/>
      <c r="Z180" s="105"/>
      <c r="AB180">
        <v>1</v>
      </c>
      <c r="AE180" s="1572"/>
    </row>
    <row r="181" spans="1:32" ht="45" x14ac:dyDescent="0.35">
      <c r="A181" s="295">
        <v>86</v>
      </c>
      <c r="B181" s="693">
        <v>10016</v>
      </c>
      <c r="C181" s="999" t="s">
        <v>1656</v>
      </c>
      <c r="D181" s="2474" t="s">
        <v>3789</v>
      </c>
      <c r="E181" s="2187" t="s">
        <v>9615</v>
      </c>
      <c r="F181" s="92" t="s">
        <v>664</v>
      </c>
      <c r="G181" s="92">
        <v>5</v>
      </c>
      <c r="H181" s="1138">
        <v>6</v>
      </c>
      <c r="I181" s="702">
        <f>J181+K181+L181</f>
        <v>0.3</v>
      </c>
      <c r="J181" s="702">
        <f>SUM(M181:R181)</f>
        <v>0.3</v>
      </c>
      <c r="K181" s="622"/>
      <c r="L181" s="622"/>
      <c r="M181" s="622"/>
      <c r="N181" s="622"/>
      <c r="O181" s="622"/>
      <c r="P181" s="622"/>
      <c r="Q181" s="622"/>
      <c r="R181" s="906">
        <v>0.3</v>
      </c>
      <c r="S181" s="106"/>
      <c r="T181" s="106"/>
      <c r="U181" s="106"/>
      <c r="V181" s="106"/>
      <c r="W181" s="105"/>
      <c r="X181" s="105"/>
      <c r="Y181" s="105"/>
      <c r="Z181" s="105"/>
      <c r="AB181">
        <v>1</v>
      </c>
      <c r="AE181" s="1572"/>
    </row>
    <row r="182" spans="1:32" ht="30.5" x14ac:dyDescent="0.35">
      <c r="A182" s="295">
        <v>87</v>
      </c>
      <c r="B182" s="56">
        <v>10017</v>
      </c>
      <c r="C182" s="56"/>
      <c r="D182" s="293" t="s">
        <v>1954</v>
      </c>
      <c r="E182" s="288" t="s">
        <v>9596</v>
      </c>
      <c r="F182" s="1138"/>
      <c r="G182" s="1138" t="s">
        <v>191</v>
      </c>
      <c r="H182" s="1138" t="s">
        <v>191</v>
      </c>
      <c r="I182" s="297">
        <f>J182+K182+L182</f>
        <v>2.7</v>
      </c>
      <c r="J182" s="297">
        <f>SUM(M182:R182)</f>
        <v>2.7</v>
      </c>
      <c r="K182" s="297"/>
      <c r="L182" s="297"/>
      <c r="M182" s="297"/>
      <c r="N182" s="297">
        <f>SUM(N183:N184)</f>
        <v>1.8</v>
      </c>
      <c r="O182" s="619"/>
      <c r="P182" s="297"/>
      <c r="Q182" s="932"/>
      <c r="R182" s="925">
        <f>SUM(R183:R184)</f>
        <v>0.90000000000000013</v>
      </c>
      <c r="S182" s="15"/>
      <c r="T182" s="233"/>
      <c r="U182" s="15"/>
      <c r="V182" s="15"/>
      <c r="W182" s="17">
        <v>10</v>
      </c>
      <c r="X182" s="233">
        <v>122.3</v>
      </c>
      <c r="Y182" s="17">
        <v>4</v>
      </c>
      <c r="Z182" s="250">
        <v>42</v>
      </c>
      <c r="AA182" s="3"/>
      <c r="AB182" s="3">
        <v>1</v>
      </c>
      <c r="AE182" s="1572"/>
    </row>
    <row r="183" spans="1:32" ht="15.5" x14ac:dyDescent="0.35">
      <c r="A183" s="295"/>
      <c r="B183" s="56">
        <v>10017</v>
      </c>
      <c r="C183" s="56"/>
      <c r="D183" s="293"/>
      <c r="E183" s="291" t="s">
        <v>3437</v>
      </c>
      <c r="F183" s="1138">
        <v>4</v>
      </c>
      <c r="G183" s="1138">
        <v>5</v>
      </c>
      <c r="H183" s="1138">
        <v>6</v>
      </c>
      <c r="I183" s="298"/>
      <c r="J183" s="298"/>
      <c r="K183" s="298"/>
      <c r="L183" s="298"/>
      <c r="M183" s="298"/>
      <c r="N183" s="298">
        <v>1.8</v>
      </c>
      <c r="O183" s="621"/>
      <c r="P183" s="298"/>
      <c r="Q183" s="933"/>
      <c r="R183" s="927"/>
      <c r="S183" s="15"/>
      <c r="T183" s="233"/>
      <c r="U183" s="15"/>
      <c r="V183" s="15"/>
      <c r="W183" s="17"/>
      <c r="X183" s="233"/>
      <c r="Y183" s="17"/>
      <c r="Z183" s="250"/>
      <c r="AA183" s="3"/>
      <c r="AB183" s="3"/>
      <c r="AE183" s="1572"/>
    </row>
    <row r="184" spans="1:32" ht="15.5" x14ac:dyDescent="0.35">
      <c r="A184" s="295"/>
      <c r="B184" s="56">
        <v>10017</v>
      </c>
      <c r="C184" s="56"/>
      <c r="D184" s="293"/>
      <c r="E184" s="838" t="s">
        <v>518</v>
      </c>
      <c r="F184" s="1138" t="s">
        <v>664</v>
      </c>
      <c r="G184" s="1138">
        <v>5</v>
      </c>
      <c r="H184" s="1138">
        <v>6</v>
      </c>
      <c r="I184" s="298"/>
      <c r="J184" s="298"/>
      <c r="K184" s="298"/>
      <c r="L184" s="298"/>
      <c r="M184" s="298"/>
      <c r="N184" s="298"/>
      <c r="O184" s="621"/>
      <c r="P184" s="298"/>
      <c r="Q184" s="933"/>
      <c r="R184" s="927">
        <f>2.7-1.8</f>
        <v>0.90000000000000013</v>
      </c>
      <c r="S184" s="15"/>
      <c r="T184" s="233"/>
      <c r="U184" s="15"/>
      <c r="V184" s="15"/>
      <c r="W184" s="17"/>
      <c r="X184" s="233"/>
      <c r="Y184" s="17"/>
      <c r="Z184" s="250"/>
      <c r="AA184" s="3"/>
      <c r="AB184" s="3"/>
      <c r="AE184" s="1572"/>
    </row>
    <row r="185" spans="1:32" ht="15.5" x14ac:dyDescent="0.35">
      <c r="A185" s="295">
        <v>88</v>
      </c>
      <c r="B185" s="56">
        <v>10018</v>
      </c>
      <c r="C185" s="56"/>
      <c r="D185" s="293" t="s">
        <v>954</v>
      </c>
      <c r="E185" s="288" t="s">
        <v>244</v>
      </c>
      <c r="F185" s="1138"/>
      <c r="G185" s="1138" t="s">
        <v>191</v>
      </c>
      <c r="H185" s="1138" t="s">
        <v>191</v>
      </c>
      <c r="I185" s="297">
        <f>J185+K185+L185</f>
        <v>4.0629999999999997</v>
      </c>
      <c r="J185" s="297">
        <f>SUM(M185:R185)</f>
        <v>4.0629999999999997</v>
      </c>
      <c r="K185" s="297"/>
      <c r="L185" s="297"/>
      <c r="M185" s="297"/>
      <c r="N185" s="297">
        <f>SUM(N186:N192)</f>
        <v>0.14499999999999996</v>
      </c>
      <c r="O185" s="619"/>
      <c r="P185" s="297"/>
      <c r="Q185" s="932">
        <f>SUM(Q186:Q192)</f>
        <v>3.9180000000000001</v>
      </c>
      <c r="R185" s="925"/>
      <c r="S185" s="15">
        <v>1</v>
      </c>
      <c r="T185" s="233">
        <v>27</v>
      </c>
      <c r="U185" s="15"/>
      <c r="V185" s="15"/>
      <c r="W185" s="17">
        <v>9</v>
      </c>
      <c r="X185" s="233">
        <v>122.3</v>
      </c>
      <c r="Y185" s="17">
        <v>2</v>
      </c>
      <c r="Z185" s="250">
        <v>20</v>
      </c>
      <c r="AA185" s="3"/>
      <c r="AB185" s="3">
        <v>1</v>
      </c>
      <c r="AE185" s="1572"/>
    </row>
    <row r="186" spans="1:32" ht="15.5" x14ac:dyDescent="0.35">
      <c r="A186" s="295"/>
      <c r="B186" s="56"/>
      <c r="C186" s="56"/>
      <c r="D186" s="293"/>
      <c r="E186" s="291" t="s">
        <v>2117</v>
      </c>
      <c r="F186" s="1138">
        <v>5</v>
      </c>
      <c r="G186" s="1138">
        <v>5</v>
      </c>
      <c r="H186" s="1138">
        <v>6</v>
      </c>
      <c r="I186" s="298"/>
      <c r="J186" s="298"/>
      <c r="K186" s="298"/>
      <c r="L186" s="298"/>
      <c r="M186" s="298"/>
      <c r="N186" s="298">
        <v>5.6000000000000001E-2</v>
      </c>
      <c r="O186" s="300"/>
      <c r="P186" s="298"/>
      <c r="Q186" s="1836"/>
      <c r="R186" s="2049"/>
      <c r="S186" s="15"/>
      <c r="T186" s="233"/>
      <c r="U186" s="15"/>
      <c r="V186" s="15"/>
      <c r="W186" s="17"/>
      <c r="X186" s="233"/>
      <c r="Y186" s="17"/>
      <c r="Z186" s="250"/>
      <c r="AA186" s="3"/>
      <c r="AB186" s="3"/>
      <c r="AE186" s="1572"/>
    </row>
    <row r="187" spans="1:32" ht="15.5" x14ac:dyDescent="0.35">
      <c r="A187" s="295"/>
      <c r="B187" s="56"/>
      <c r="C187" s="56"/>
      <c r="D187" s="293"/>
      <c r="E187" s="837" t="s">
        <v>2456</v>
      </c>
      <c r="F187" s="1138">
        <v>5</v>
      </c>
      <c r="G187" s="1138">
        <v>5</v>
      </c>
      <c r="H187" s="1138">
        <v>6</v>
      </c>
      <c r="I187" s="298"/>
      <c r="J187" s="298"/>
      <c r="K187" s="298"/>
      <c r="L187" s="298"/>
      <c r="M187" s="298"/>
      <c r="N187" s="298"/>
      <c r="O187" s="300"/>
      <c r="P187" s="298"/>
      <c r="Q187" s="1836">
        <f>0.554-0.056</f>
        <v>0.49800000000000005</v>
      </c>
      <c r="R187" s="2049"/>
      <c r="S187" s="15"/>
      <c r="T187" s="233"/>
      <c r="U187" s="15"/>
      <c r="V187" s="15"/>
      <c r="W187" s="17"/>
      <c r="X187" s="233"/>
      <c r="Y187" s="17"/>
      <c r="Z187" s="250"/>
      <c r="AA187" s="3"/>
      <c r="AB187" s="3"/>
      <c r="AE187" s="1572"/>
    </row>
    <row r="188" spans="1:32" ht="15.5" x14ac:dyDescent="0.35">
      <c r="A188" s="295"/>
      <c r="B188" s="56"/>
      <c r="C188" s="56"/>
      <c r="D188" s="293"/>
      <c r="E188" s="837" t="s">
        <v>2457</v>
      </c>
      <c r="F188" s="1138">
        <v>4</v>
      </c>
      <c r="G188" s="1138">
        <v>5</v>
      </c>
      <c r="H188" s="1138">
        <v>6</v>
      </c>
      <c r="I188" s="298"/>
      <c r="J188" s="298"/>
      <c r="K188" s="298"/>
      <c r="L188" s="298"/>
      <c r="M188" s="298"/>
      <c r="N188" s="298"/>
      <c r="O188" s="300"/>
      <c r="P188" s="298"/>
      <c r="Q188" s="1836">
        <f>2.749-0.554</f>
        <v>2.1950000000000003</v>
      </c>
      <c r="R188" s="2049"/>
      <c r="S188" s="15"/>
      <c r="T188" s="233"/>
      <c r="U188" s="15"/>
      <c r="V188" s="15"/>
      <c r="W188" s="17"/>
      <c r="X188" s="233"/>
      <c r="Y188" s="17"/>
      <c r="Z188" s="250"/>
      <c r="AA188" s="3"/>
      <c r="AB188" s="3"/>
      <c r="AE188" s="1572"/>
    </row>
    <row r="189" spans="1:32" ht="15.5" x14ac:dyDescent="0.35">
      <c r="A189" s="295"/>
      <c r="B189" s="56"/>
      <c r="C189" s="56"/>
      <c r="D189" s="293"/>
      <c r="E189" s="837" t="s">
        <v>2458</v>
      </c>
      <c r="F189" s="1138">
        <v>5</v>
      </c>
      <c r="G189" s="1138">
        <v>5</v>
      </c>
      <c r="H189" s="1138">
        <v>6</v>
      </c>
      <c r="I189" s="298"/>
      <c r="J189" s="298"/>
      <c r="K189" s="298"/>
      <c r="L189" s="298"/>
      <c r="M189" s="298"/>
      <c r="N189" s="298"/>
      <c r="O189" s="300"/>
      <c r="P189" s="298"/>
      <c r="Q189" s="1836">
        <f>3.412-2.749</f>
        <v>0.66299999999999981</v>
      </c>
      <c r="R189" s="2049"/>
      <c r="S189" s="15"/>
      <c r="T189" s="233"/>
      <c r="U189" s="15"/>
      <c r="V189" s="15"/>
      <c r="W189" s="17"/>
      <c r="X189" s="233"/>
      <c r="Y189" s="17"/>
      <c r="Z189" s="250"/>
      <c r="AA189" s="3"/>
      <c r="AB189" s="3"/>
      <c r="AE189" s="1572"/>
    </row>
    <row r="190" spans="1:32" ht="15.5" x14ac:dyDescent="0.35">
      <c r="A190" s="295"/>
      <c r="B190" s="56"/>
      <c r="C190" s="56"/>
      <c r="D190" s="293"/>
      <c r="E190" s="837" t="s">
        <v>2120</v>
      </c>
      <c r="F190" s="1138" t="s">
        <v>827</v>
      </c>
      <c r="G190" s="1138">
        <v>5</v>
      </c>
      <c r="H190" s="1138">
        <v>6</v>
      </c>
      <c r="I190" s="298"/>
      <c r="J190" s="298"/>
      <c r="K190" s="298"/>
      <c r="L190" s="298"/>
      <c r="M190" s="298"/>
      <c r="N190" s="298"/>
      <c r="O190" s="300"/>
      <c r="P190" s="298"/>
      <c r="Q190" s="1836">
        <f>3.766-3.412</f>
        <v>0.35400000000000009</v>
      </c>
      <c r="R190" s="2049"/>
      <c r="S190" s="15"/>
      <c r="T190" s="233"/>
      <c r="U190" s="15"/>
      <c r="V190" s="15"/>
      <c r="W190" s="17"/>
      <c r="X190" s="233"/>
      <c r="Y190" s="17"/>
      <c r="Z190" s="250"/>
      <c r="AA190" s="3"/>
      <c r="AB190" s="3"/>
      <c r="AE190" s="1572"/>
    </row>
    <row r="191" spans="1:32" ht="15.5" x14ac:dyDescent="0.35">
      <c r="A191" s="295"/>
      <c r="B191" s="56"/>
      <c r="C191" s="56"/>
      <c r="D191" s="293"/>
      <c r="E191" s="291" t="s">
        <v>2118</v>
      </c>
      <c r="F191" s="1138">
        <v>4</v>
      </c>
      <c r="G191" s="1138">
        <v>5</v>
      </c>
      <c r="H191" s="1138">
        <v>6</v>
      </c>
      <c r="I191" s="298"/>
      <c r="J191" s="298"/>
      <c r="K191" s="298"/>
      <c r="L191" s="298"/>
      <c r="M191" s="298"/>
      <c r="N191" s="298">
        <f>3.855-3.766</f>
        <v>8.8999999999999968E-2</v>
      </c>
      <c r="O191" s="300"/>
      <c r="P191" s="298"/>
      <c r="Q191" s="1836"/>
      <c r="R191" s="2049"/>
      <c r="S191" s="15"/>
      <c r="T191" s="233"/>
      <c r="U191" s="15"/>
      <c r="V191" s="15"/>
      <c r="W191" s="17"/>
      <c r="X191" s="233"/>
      <c r="Y191" s="17"/>
      <c r="Z191" s="250"/>
      <c r="AA191" s="3"/>
      <c r="AB191" s="3"/>
      <c r="AE191" s="1572"/>
    </row>
    <row r="192" spans="1:32" ht="15.5" x14ac:dyDescent="0.35">
      <c r="A192" s="295"/>
      <c r="B192" s="56">
        <v>10018</v>
      </c>
      <c r="C192" s="56"/>
      <c r="D192" s="293"/>
      <c r="E192" s="837" t="s">
        <v>2119</v>
      </c>
      <c r="F192" s="1138">
        <v>4</v>
      </c>
      <c r="G192" s="1138">
        <v>5</v>
      </c>
      <c r="H192" s="1138">
        <v>6</v>
      </c>
      <c r="I192" s="298"/>
      <c r="J192" s="298"/>
      <c r="K192" s="298"/>
      <c r="L192" s="298"/>
      <c r="M192" s="298"/>
      <c r="N192" s="298"/>
      <c r="O192" s="300"/>
      <c r="P192" s="298"/>
      <c r="Q192" s="1836">
        <f>4.063-3.855</f>
        <v>0.20799999999999974</v>
      </c>
      <c r="R192" s="2049"/>
      <c r="S192" s="15"/>
      <c r="T192" s="233"/>
      <c r="U192" s="15"/>
      <c r="V192" s="15"/>
      <c r="W192" s="17"/>
      <c r="X192" s="233"/>
      <c r="Y192" s="17"/>
      <c r="Z192" s="250"/>
      <c r="AA192" s="3"/>
      <c r="AB192" s="3"/>
      <c r="AE192" s="1572"/>
    </row>
    <row r="193" spans="1:31" ht="30" x14ac:dyDescent="0.35">
      <c r="A193" s="693">
        <v>89</v>
      </c>
      <c r="B193" s="693">
        <v>10018</v>
      </c>
      <c r="C193" s="999" t="s">
        <v>1656</v>
      </c>
      <c r="D193" s="2474" t="s">
        <v>3790</v>
      </c>
      <c r="E193" s="2187" t="s">
        <v>8155</v>
      </c>
      <c r="F193" s="92" t="s">
        <v>664</v>
      </c>
      <c r="G193" s="92">
        <v>5</v>
      </c>
      <c r="H193" s="1138">
        <v>6</v>
      </c>
      <c r="I193" s="702">
        <v>0.8</v>
      </c>
      <c r="J193" s="702">
        <v>0.8</v>
      </c>
      <c r="K193" s="106"/>
      <c r="L193" s="106"/>
      <c r="M193" s="106"/>
      <c r="N193" s="106"/>
      <c r="O193" s="106"/>
      <c r="P193" s="106"/>
      <c r="Q193" s="106"/>
      <c r="R193" s="906">
        <v>0.8</v>
      </c>
      <c r="S193" s="106"/>
      <c r="T193" s="106"/>
      <c r="U193" s="106"/>
      <c r="V193" s="106"/>
      <c r="W193" s="105"/>
      <c r="X193" s="105"/>
      <c r="Y193" s="105"/>
      <c r="Z193" s="105"/>
      <c r="AB193">
        <v>1</v>
      </c>
      <c r="AE193" s="1572"/>
    </row>
    <row r="194" spans="1:31" ht="15.5" x14ac:dyDescent="0.35">
      <c r="A194" s="295">
        <v>90</v>
      </c>
      <c r="B194" s="56">
        <v>10019</v>
      </c>
      <c r="C194" s="56"/>
      <c r="D194" s="293" t="s">
        <v>2875</v>
      </c>
      <c r="E194" s="288" t="s">
        <v>1565</v>
      </c>
      <c r="F194" s="1138"/>
      <c r="G194" s="1138" t="s">
        <v>191</v>
      </c>
      <c r="H194" s="1138" t="s">
        <v>191</v>
      </c>
      <c r="I194" s="297">
        <f>J194+K194+L194</f>
        <v>7.4469999999999992</v>
      </c>
      <c r="J194" s="297">
        <f>SUM(M194:R194)</f>
        <v>7.4469999999999992</v>
      </c>
      <c r="K194" s="297"/>
      <c r="L194" s="297"/>
      <c r="M194" s="297"/>
      <c r="N194" s="297">
        <f>SUM(N195:N197)</f>
        <v>2.2799999999999998</v>
      </c>
      <c r="O194" s="619"/>
      <c r="P194" s="297"/>
      <c r="Q194" s="932">
        <f>SUM(Q195:Q197)</f>
        <v>1.7</v>
      </c>
      <c r="R194" s="925">
        <f>SUM(R195:R197)</f>
        <v>3.4670000000000001</v>
      </c>
      <c r="S194" s="15"/>
      <c r="T194" s="233"/>
      <c r="U194" s="15"/>
      <c r="V194" s="15"/>
      <c r="W194" s="17">
        <v>9</v>
      </c>
      <c r="X194" s="233">
        <v>96.9</v>
      </c>
      <c r="Y194" s="17"/>
      <c r="Z194" s="250"/>
      <c r="AA194" s="3"/>
      <c r="AB194" s="3">
        <v>1</v>
      </c>
      <c r="AE194" s="1572"/>
    </row>
    <row r="195" spans="1:31" ht="15.5" x14ac:dyDescent="0.35">
      <c r="A195" s="295"/>
      <c r="B195" s="56">
        <v>10019</v>
      </c>
      <c r="C195" s="56"/>
      <c r="D195" s="293"/>
      <c r="E195" s="291" t="s">
        <v>170</v>
      </c>
      <c r="F195" s="1138">
        <v>5</v>
      </c>
      <c r="G195" s="1138">
        <v>5</v>
      </c>
      <c r="H195" s="1138">
        <v>6</v>
      </c>
      <c r="I195" s="298"/>
      <c r="J195" s="298"/>
      <c r="K195" s="298"/>
      <c r="L195" s="298"/>
      <c r="M195" s="298"/>
      <c r="N195" s="298">
        <v>2.2799999999999998</v>
      </c>
      <c r="O195" s="621"/>
      <c r="P195" s="298"/>
      <c r="Q195" s="933"/>
      <c r="R195" s="927"/>
      <c r="S195" s="15"/>
      <c r="T195" s="233"/>
      <c r="U195" s="15"/>
      <c r="V195" s="15"/>
      <c r="W195" s="17"/>
      <c r="X195" s="233"/>
      <c r="Y195" s="17"/>
      <c r="Z195" s="250"/>
      <c r="AA195" s="3"/>
      <c r="AB195" s="3"/>
      <c r="AE195" s="1572"/>
    </row>
    <row r="196" spans="1:31" ht="15.5" x14ac:dyDescent="0.35">
      <c r="A196" s="295"/>
      <c r="B196" s="56">
        <v>10019</v>
      </c>
      <c r="C196" s="56"/>
      <c r="D196" s="293"/>
      <c r="E196" s="837" t="s">
        <v>726</v>
      </c>
      <c r="F196" s="1138">
        <v>5</v>
      </c>
      <c r="G196" s="1138">
        <v>5</v>
      </c>
      <c r="H196" s="1138">
        <v>6</v>
      </c>
      <c r="I196" s="298"/>
      <c r="J196" s="298"/>
      <c r="K196" s="298"/>
      <c r="L196" s="298"/>
      <c r="M196" s="298"/>
      <c r="N196" s="298"/>
      <c r="O196" s="621"/>
      <c r="P196" s="298"/>
      <c r="Q196" s="933">
        <v>1.7</v>
      </c>
      <c r="R196" s="927"/>
      <c r="S196" s="15"/>
      <c r="T196" s="233"/>
      <c r="U196" s="15"/>
      <c r="V196" s="15"/>
      <c r="W196" s="17"/>
      <c r="X196" s="233"/>
      <c r="Y196" s="17"/>
      <c r="Z196" s="250"/>
      <c r="AA196" s="3"/>
      <c r="AB196" s="3"/>
      <c r="AE196" s="1572"/>
    </row>
    <row r="197" spans="1:31" ht="15.5" x14ac:dyDescent="0.35">
      <c r="A197" s="295"/>
      <c r="B197" s="56">
        <v>10019</v>
      </c>
      <c r="C197" s="56"/>
      <c r="D197" s="293"/>
      <c r="E197" s="838" t="s">
        <v>727</v>
      </c>
      <c r="F197" s="1138" t="s">
        <v>827</v>
      </c>
      <c r="G197" s="1138">
        <v>5</v>
      </c>
      <c r="H197" s="1138">
        <v>6</v>
      </c>
      <c r="I197" s="298"/>
      <c r="J197" s="298"/>
      <c r="K197" s="298"/>
      <c r="L197" s="298"/>
      <c r="M197" s="298"/>
      <c r="N197" s="298"/>
      <c r="O197" s="621"/>
      <c r="P197" s="298"/>
      <c r="Q197" s="933"/>
      <c r="R197" s="927">
        <v>3.4670000000000001</v>
      </c>
      <c r="S197" s="15"/>
      <c r="T197" s="233"/>
      <c r="U197" s="15"/>
      <c r="V197" s="15"/>
      <c r="W197" s="17"/>
      <c r="X197" s="233"/>
      <c r="Y197" s="17"/>
      <c r="Z197" s="250"/>
      <c r="AA197" s="3"/>
      <c r="AB197" s="3"/>
      <c r="AC197" t="s">
        <v>2570</v>
      </c>
      <c r="AE197" s="1572"/>
    </row>
    <row r="198" spans="1:31" ht="45.5" x14ac:dyDescent="0.35">
      <c r="A198" s="295">
        <v>91</v>
      </c>
      <c r="B198" s="999">
        <v>10019</v>
      </c>
      <c r="C198" s="999"/>
      <c r="D198" s="2474" t="s">
        <v>3791</v>
      </c>
      <c r="E198" s="288" t="s">
        <v>7432</v>
      </c>
      <c r="F198" s="1138" t="s">
        <v>664</v>
      </c>
      <c r="G198" s="1138">
        <v>5</v>
      </c>
      <c r="H198" s="1138">
        <v>6</v>
      </c>
      <c r="I198" s="297">
        <f>J198+K198+L198</f>
        <v>1.2</v>
      </c>
      <c r="J198" s="297">
        <f>SUM(M198:R198)</f>
        <v>1.2</v>
      </c>
      <c r="K198" s="297"/>
      <c r="L198" s="297"/>
      <c r="M198" s="297"/>
      <c r="N198" s="297"/>
      <c r="O198" s="619"/>
      <c r="P198" s="297"/>
      <c r="Q198" s="932"/>
      <c r="R198" s="925">
        <v>1.2</v>
      </c>
      <c r="S198" s="15"/>
      <c r="T198" s="233"/>
      <c r="U198" s="15"/>
      <c r="V198" s="15"/>
      <c r="W198" s="17"/>
      <c r="X198" s="233"/>
      <c r="Y198" s="17"/>
      <c r="Z198" s="250"/>
      <c r="AA198" s="3"/>
      <c r="AB198" s="3">
        <v>1</v>
      </c>
      <c r="AE198" s="1572"/>
    </row>
    <row r="199" spans="1:31" ht="15.5" x14ac:dyDescent="0.35">
      <c r="A199" s="295">
        <v>92</v>
      </c>
      <c r="B199" s="56">
        <v>10020</v>
      </c>
      <c r="C199" s="56"/>
      <c r="D199" s="293" t="s">
        <v>3382</v>
      </c>
      <c r="E199" s="288" t="s">
        <v>6895</v>
      </c>
      <c r="F199" s="1138"/>
      <c r="G199" s="1138" t="s">
        <v>191</v>
      </c>
      <c r="H199" s="1138" t="s">
        <v>191</v>
      </c>
      <c r="I199" s="297">
        <f>J199+K199+L199</f>
        <v>6.6800000000000006</v>
      </c>
      <c r="J199" s="297">
        <f>SUM(M199:R199)</f>
        <v>6.6800000000000006</v>
      </c>
      <c r="K199" s="297"/>
      <c r="L199" s="297"/>
      <c r="M199" s="297"/>
      <c r="N199" s="297">
        <f>SUM(N200:N201)</f>
        <v>5.9300000000000006</v>
      </c>
      <c r="O199" s="619"/>
      <c r="P199" s="297"/>
      <c r="Q199" s="932"/>
      <c r="R199" s="925">
        <f>SUM(R200:R201)</f>
        <v>0.75</v>
      </c>
      <c r="S199" s="15">
        <v>1</v>
      </c>
      <c r="T199" s="233">
        <v>24.7</v>
      </c>
      <c r="U199" s="15"/>
      <c r="V199" s="15"/>
      <c r="W199" s="17">
        <v>19</v>
      </c>
      <c r="X199" s="233">
        <v>263.10000000000002</v>
      </c>
      <c r="Y199" s="17">
        <v>4</v>
      </c>
      <c r="Z199" s="250">
        <v>42.5</v>
      </c>
      <c r="AA199" s="3"/>
      <c r="AB199" s="3">
        <v>1</v>
      </c>
      <c r="AE199" s="1572"/>
    </row>
    <row r="200" spans="1:31" ht="15.5" x14ac:dyDescent="0.35">
      <c r="A200" s="295"/>
      <c r="B200" s="56">
        <v>10020</v>
      </c>
      <c r="C200" s="56"/>
      <c r="D200" s="293"/>
      <c r="E200" s="291" t="s">
        <v>6892</v>
      </c>
      <c r="F200" s="1138">
        <v>4</v>
      </c>
      <c r="G200" s="1138">
        <v>5</v>
      </c>
      <c r="H200" s="1138">
        <v>6</v>
      </c>
      <c r="I200" s="298"/>
      <c r="J200" s="298"/>
      <c r="K200" s="298"/>
      <c r="L200" s="298"/>
      <c r="M200" s="298"/>
      <c r="N200" s="487">
        <f>6.48-0.55</f>
        <v>5.9300000000000006</v>
      </c>
      <c r="O200" s="621"/>
      <c r="P200" s="298"/>
      <c r="Q200" s="933"/>
      <c r="R200" s="927"/>
      <c r="S200" s="15"/>
      <c r="T200" s="233"/>
      <c r="U200" s="15"/>
      <c r="V200" s="15"/>
      <c r="W200" s="17"/>
      <c r="X200" s="233"/>
      <c r="Y200" s="17"/>
      <c r="Z200" s="250"/>
      <c r="AA200" s="3"/>
      <c r="AB200" s="3"/>
      <c r="AE200" s="1572"/>
    </row>
    <row r="201" spans="1:31" ht="15.5" x14ac:dyDescent="0.35">
      <c r="A201" s="295"/>
      <c r="B201" s="56">
        <v>10020</v>
      </c>
      <c r="C201" s="56"/>
      <c r="D201" s="293"/>
      <c r="E201" s="838" t="s">
        <v>6893</v>
      </c>
      <c r="F201" s="1138" t="s">
        <v>664</v>
      </c>
      <c r="G201" s="1138">
        <v>5</v>
      </c>
      <c r="H201" s="1138">
        <v>6</v>
      </c>
      <c r="I201" s="298"/>
      <c r="J201" s="298"/>
      <c r="K201" s="298"/>
      <c r="L201" s="298"/>
      <c r="M201" s="298"/>
      <c r="N201" s="298"/>
      <c r="O201" s="621"/>
      <c r="P201" s="298"/>
      <c r="Q201" s="933"/>
      <c r="R201" s="927">
        <v>0.75</v>
      </c>
      <c r="S201" s="15"/>
      <c r="T201" s="233"/>
      <c r="U201" s="15"/>
      <c r="V201" s="15"/>
      <c r="W201" s="17"/>
      <c r="X201" s="233"/>
      <c r="Y201" s="17"/>
      <c r="Z201" s="250"/>
      <c r="AA201" s="3"/>
      <c r="AB201" s="3" t="s">
        <v>1043</v>
      </c>
      <c r="AE201" s="1572"/>
    </row>
    <row r="202" spans="1:31" ht="30.5" x14ac:dyDescent="0.35">
      <c r="A202" s="295">
        <v>93</v>
      </c>
      <c r="B202" s="56"/>
      <c r="C202" s="56"/>
      <c r="D202" s="2474" t="s">
        <v>6894</v>
      </c>
      <c r="E202" s="511" t="s">
        <v>7433</v>
      </c>
      <c r="F202" s="1138">
        <v>4</v>
      </c>
      <c r="G202" s="1138">
        <v>5</v>
      </c>
      <c r="H202" s="1138">
        <v>6</v>
      </c>
      <c r="I202" s="486">
        <f>J202+K202+L202</f>
        <v>0.55000000000000004</v>
      </c>
      <c r="J202" s="486">
        <f>SUM(M202:R202)</f>
        <v>0.55000000000000004</v>
      </c>
      <c r="K202" s="486"/>
      <c r="L202" s="486"/>
      <c r="M202" s="486"/>
      <c r="N202" s="486">
        <v>0.55000000000000004</v>
      </c>
      <c r="O202" s="619"/>
      <c r="P202" s="297"/>
      <c r="Q202" s="932"/>
      <c r="R202" s="925"/>
      <c r="S202" s="15"/>
      <c r="T202" s="233"/>
      <c r="U202" s="15"/>
      <c r="V202" s="15"/>
      <c r="W202" s="17"/>
      <c r="X202" s="233"/>
      <c r="Y202" s="17"/>
      <c r="Z202" s="250"/>
      <c r="AA202" s="3"/>
      <c r="AB202" s="3">
        <v>1</v>
      </c>
      <c r="AE202" s="1572"/>
    </row>
    <row r="203" spans="1:31" ht="30.5" x14ac:dyDescent="0.35">
      <c r="A203" s="295">
        <v>94</v>
      </c>
      <c r="B203" s="999">
        <v>10020</v>
      </c>
      <c r="C203" s="999"/>
      <c r="D203" s="2474" t="s">
        <v>3792</v>
      </c>
      <c r="E203" s="288" t="s">
        <v>9169</v>
      </c>
      <c r="F203" s="1138"/>
      <c r="G203" s="1138" t="s">
        <v>191</v>
      </c>
      <c r="H203" s="1138" t="s">
        <v>191</v>
      </c>
      <c r="I203" s="297">
        <f t="shared" ref="I203:I219" si="14">J203+K203+L203</f>
        <v>0.60000000000000009</v>
      </c>
      <c r="J203" s="297">
        <f t="shared" ref="J203:J219" si="15">SUM(M203:R203)</f>
        <v>0.60000000000000009</v>
      </c>
      <c r="K203" s="297"/>
      <c r="L203" s="297"/>
      <c r="M203" s="297"/>
      <c r="N203" s="297">
        <f>SUM(N204:N205)</f>
        <v>0.05</v>
      </c>
      <c r="O203" s="619"/>
      <c r="P203" s="297"/>
      <c r="Q203" s="932"/>
      <c r="R203" s="925">
        <f>SUM(R204:R205)</f>
        <v>0.55000000000000004</v>
      </c>
      <c r="S203" s="15"/>
      <c r="T203" s="233"/>
      <c r="U203" s="15"/>
      <c r="V203" s="15"/>
      <c r="W203" s="17"/>
      <c r="X203" s="233"/>
      <c r="Y203" s="17"/>
      <c r="Z203" s="250"/>
      <c r="AA203" s="3"/>
      <c r="AB203" s="3">
        <v>1</v>
      </c>
      <c r="AE203" s="1572"/>
    </row>
    <row r="204" spans="1:31" ht="15.5" x14ac:dyDescent="0.35">
      <c r="A204" s="295"/>
      <c r="B204" s="999">
        <v>10020</v>
      </c>
      <c r="C204" s="999"/>
      <c r="D204" s="293"/>
      <c r="E204" s="289" t="s">
        <v>1330</v>
      </c>
      <c r="F204" s="1138" t="s">
        <v>827</v>
      </c>
      <c r="G204" s="1138">
        <v>5</v>
      </c>
      <c r="H204" s="1138">
        <v>6</v>
      </c>
      <c r="I204" s="298"/>
      <c r="J204" s="298"/>
      <c r="K204" s="298"/>
      <c r="L204" s="298"/>
      <c r="M204" s="298"/>
      <c r="N204" s="298">
        <v>0.05</v>
      </c>
      <c r="O204" s="300"/>
      <c r="P204" s="298"/>
      <c r="Q204" s="1836"/>
      <c r="R204" s="2049"/>
      <c r="S204" s="15"/>
      <c r="T204" s="233"/>
      <c r="U204" s="15"/>
      <c r="V204" s="15"/>
      <c r="W204" s="17"/>
      <c r="X204" s="233"/>
      <c r="Y204" s="17"/>
      <c r="Z204" s="250"/>
      <c r="AA204" s="3"/>
      <c r="AB204" s="3"/>
      <c r="AE204" s="1572"/>
    </row>
    <row r="205" spans="1:31" ht="15.5" x14ac:dyDescent="0.35">
      <c r="A205" s="295"/>
      <c r="B205" s="999">
        <v>10020</v>
      </c>
      <c r="C205" s="999"/>
      <c r="D205" s="293"/>
      <c r="E205" s="1777" t="s">
        <v>2387</v>
      </c>
      <c r="F205" s="1138" t="s">
        <v>664</v>
      </c>
      <c r="G205" s="1138">
        <v>5</v>
      </c>
      <c r="H205" s="1138">
        <v>6</v>
      </c>
      <c r="I205" s="298"/>
      <c r="J205" s="298"/>
      <c r="K205" s="298"/>
      <c r="L205" s="298"/>
      <c r="M205" s="298"/>
      <c r="N205" s="298"/>
      <c r="O205" s="300"/>
      <c r="P205" s="298"/>
      <c r="Q205" s="1836"/>
      <c r="R205" s="2049">
        <v>0.55000000000000004</v>
      </c>
      <c r="S205" s="15"/>
      <c r="T205" s="233"/>
      <c r="U205" s="15"/>
      <c r="V205" s="15"/>
      <c r="W205" s="17"/>
      <c r="X205" s="233"/>
      <c r="Y205" s="17"/>
      <c r="Z205" s="250"/>
      <c r="AA205" s="3"/>
      <c r="AB205" s="3"/>
      <c r="AE205" s="1572"/>
    </row>
    <row r="206" spans="1:31" ht="30.5" x14ac:dyDescent="0.35">
      <c r="A206" s="295">
        <v>95</v>
      </c>
      <c r="B206" s="999">
        <v>10020</v>
      </c>
      <c r="C206" s="999"/>
      <c r="D206" s="2474" t="s">
        <v>3793</v>
      </c>
      <c r="E206" s="288" t="s">
        <v>7434</v>
      </c>
      <c r="F206" s="1138">
        <v>5</v>
      </c>
      <c r="G206" s="1138">
        <v>5</v>
      </c>
      <c r="H206" s="1138">
        <v>6</v>
      </c>
      <c r="I206" s="297">
        <v>1.7649999999999999</v>
      </c>
      <c r="J206" s="297">
        <v>1.7649999999999999</v>
      </c>
      <c r="K206" s="297"/>
      <c r="L206" s="297"/>
      <c r="M206" s="297"/>
      <c r="N206" s="297">
        <v>1.7649999999999999</v>
      </c>
      <c r="O206" s="619"/>
      <c r="P206" s="297"/>
      <c r="Q206" s="932"/>
      <c r="R206" s="925"/>
      <c r="S206" s="15"/>
      <c r="T206" s="233"/>
      <c r="U206" s="15"/>
      <c r="V206" s="15"/>
      <c r="W206" s="17"/>
      <c r="X206" s="233"/>
      <c r="Y206" s="17"/>
      <c r="Z206" s="250"/>
      <c r="AA206" s="3"/>
      <c r="AB206" s="3">
        <v>1</v>
      </c>
      <c r="AE206" s="1572"/>
    </row>
    <row r="207" spans="1:31" ht="60.5" x14ac:dyDescent="0.35">
      <c r="A207" s="295">
        <v>96</v>
      </c>
      <c r="B207" s="999">
        <v>10020</v>
      </c>
      <c r="C207" s="999" t="s">
        <v>1656</v>
      </c>
      <c r="D207" s="2474" t="s">
        <v>3794</v>
      </c>
      <c r="E207" s="288" t="s">
        <v>8156</v>
      </c>
      <c r="F207" s="1138" t="s">
        <v>664</v>
      </c>
      <c r="G207" s="1138">
        <v>5</v>
      </c>
      <c r="H207" s="1138">
        <v>6</v>
      </c>
      <c r="I207" s="297">
        <f t="shared" si="14"/>
        <v>0.25</v>
      </c>
      <c r="J207" s="297">
        <f t="shared" si="15"/>
        <v>0.25</v>
      </c>
      <c r="K207" s="297"/>
      <c r="L207" s="297"/>
      <c r="M207" s="297"/>
      <c r="N207" s="297"/>
      <c r="O207" s="619"/>
      <c r="P207" s="297"/>
      <c r="Q207" s="932"/>
      <c r="R207" s="925">
        <v>0.25</v>
      </c>
      <c r="S207" s="15"/>
      <c r="T207" s="233"/>
      <c r="U207" s="15"/>
      <c r="V207" s="15"/>
      <c r="W207" s="17"/>
      <c r="X207" s="233"/>
      <c r="Y207" s="17"/>
      <c r="Z207" s="250"/>
      <c r="AA207" s="3"/>
      <c r="AB207" s="3">
        <v>1</v>
      </c>
      <c r="AE207" s="1572"/>
    </row>
    <row r="208" spans="1:31" ht="60.5" x14ac:dyDescent="0.35">
      <c r="A208" s="295">
        <v>97</v>
      </c>
      <c r="B208" s="999">
        <v>10020</v>
      </c>
      <c r="C208" s="999"/>
      <c r="D208" s="2474" t="s">
        <v>3795</v>
      </c>
      <c r="E208" s="288" t="s">
        <v>9311</v>
      </c>
      <c r="F208" s="1138">
        <v>5</v>
      </c>
      <c r="G208" s="1138">
        <v>5</v>
      </c>
      <c r="H208" s="1138">
        <v>6</v>
      </c>
      <c r="I208" s="297">
        <f t="shared" si="14"/>
        <v>0.1</v>
      </c>
      <c r="J208" s="297">
        <f t="shared" si="15"/>
        <v>0.1</v>
      </c>
      <c r="K208" s="297"/>
      <c r="L208" s="297"/>
      <c r="M208" s="297"/>
      <c r="N208" s="297">
        <v>0.1</v>
      </c>
      <c r="O208" s="619"/>
      <c r="P208" s="297"/>
      <c r="Q208" s="932"/>
      <c r="R208" s="925"/>
      <c r="S208" s="15"/>
      <c r="T208" s="233"/>
      <c r="U208" s="15"/>
      <c r="V208" s="15"/>
      <c r="W208" s="17"/>
      <c r="X208" s="233"/>
      <c r="Y208" s="17"/>
      <c r="Z208" s="250"/>
      <c r="AA208" s="3"/>
      <c r="AB208" s="3">
        <v>1</v>
      </c>
      <c r="AE208" s="1572"/>
    </row>
    <row r="209" spans="1:31" ht="45.5" x14ac:dyDescent="0.35">
      <c r="A209" s="295">
        <v>98</v>
      </c>
      <c r="B209" s="999">
        <v>10020</v>
      </c>
      <c r="C209" s="999" t="s">
        <v>1656</v>
      </c>
      <c r="D209" s="2474" t="s">
        <v>3796</v>
      </c>
      <c r="E209" s="288" t="s">
        <v>9222</v>
      </c>
      <c r="F209" s="1138" t="s">
        <v>664</v>
      </c>
      <c r="G209" s="1138">
        <v>5</v>
      </c>
      <c r="H209" s="1138">
        <v>6</v>
      </c>
      <c r="I209" s="297">
        <v>0.8</v>
      </c>
      <c r="J209" s="297">
        <v>0.8</v>
      </c>
      <c r="K209" s="297"/>
      <c r="L209" s="297"/>
      <c r="M209" s="297"/>
      <c r="N209" s="297"/>
      <c r="O209" s="619"/>
      <c r="P209" s="297"/>
      <c r="Q209" s="932"/>
      <c r="R209" s="925">
        <v>0.8</v>
      </c>
      <c r="S209" s="15"/>
      <c r="T209" s="233"/>
      <c r="U209" s="15"/>
      <c r="V209" s="15"/>
      <c r="W209" s="17"/>
      <c r="X209" s="233"/>
      <c r="Y209" s="17"/>
      <c r="Z209" s="250"/>
      <c r="AA209" s="3"/>
      <c r="AB209" s="3">
        <v>1</v>
      </c>
      <c r="AE209" s="1572"/>
    </row>
    <row r="210" spans="1:31" ht="15.5" x14ac:dyDescent="0.35">
      <c r="A210" s="295">
        <v>99</v>
      </c>
      <c r="B210" s="56">
        <v>10021</v>
      </c>
      <c r="C210" s="56"/>
      <c r="D210" s="293" t="s">
        <v>2054</v>
      </c>
      <c r="E210" s="288" t="s">
        <v>1734</v>
      </c>
      <c r="F210" s="1138">
        <v>5</v>
      </c>
      <c r="G210" s="1138">
        <v>5</v>
      </c>
      <c r="H210" s="1138">
        <v>6</v>
      </c>
      <c r="I210" s="297">
        <f t="shared" si="14"/>
        <v>3.63</v>
      </c>
      <c r="J210" s="297">
        <f t="shared" si="15"/>
        <v>3.63</v>
      </c>
      <c r="K210" s="297"/>
      <c r="L210" s="297"/>
      <c r="M210" s="297"/>
      <c r="N210" s="297">
        <v>3.63</v>
      </c>
      <c r="O210" s="619"/>
      <c r="P210" s="297"/>
      <c r="Q210" s="932"/>
      <c r="R210" s="925"/>
      <c r="S210" s="15"/>
      <c r="T210" s="233"/>
      <c r="U210" s="15"/>
      <c r="V210" s="15"/>
      <c r="W210" s="17">
        <v>11</v>
      </c>
      <c r="X210" s="233">
        <v>160</v>
      </c>
      <c r="Y210" s="17">
        <v>2</v>
      </c>
      <c r="Z210" s="250">
        <v>20</v>
      </c>
      <c r="AA210" s="3"/>
      <c r="AB210" s="3">
        <v>1</v>
      </c>
      <c r="AE210" s="1572"/>
    </row>
    <row r="211" spans="1:31" ht="30.5" x14ac:dyDescent="0.35">
      <c r="A211" s="295">
        <v>100</v>
      </c>
      <c r="B211" s="56">
        <v>10022</v>
      </c>
      <c r="C211" s="56"/>
      <c r="D211" s="293" t="s">
        <v>1962</v>
      </c>
      <c r="E211" s="288" t="s">
        <v>6896</v>
      </c>
      <c r="F211" s="1138"/>
      <c r="G211" s="1138" t="s">
        <v>191</v>
      </c>
      <c r="H211" s="1138" t="s">
        <v>191</v>
      </c>
      <c r="I211" s="297">
        <f t="shared" si="14"/>
        <v>10.3</v>
      </c>
      <c r="J211" s="297">
        <f t="shared" si="15"/>
        <v>10.3</v>
      </c>
      <c r="K211" s="297"/>
      <c r="L211" s="297"/>
      <c r="M211" s="297"/>
      <c r="N211" s="297"/>
      <c r="O211" s="619"/>
      <c r="P211" s="297"/>
      <c r="Q211" s="932"/>
      <c r="R211" s="925">
        <f>SUM(R212:R213)</f>
        <v>10.3</v>
      </c>
      <c r="S211" s="15"/>
      <c r="T211" s="233"/>
      <c r="U211" s="15"/>
      <c r="V211" s="15"/>
      <c r="W211" s="17">
        <v>11</v>
      </c>
      <c r="X211" s="233">
        <v>123</v>
      </c>
      <c r="Y211" s="17"/>
      <c r="Z211" s="250"/>
      <c r="AA211" s="3"/>
      <c r="AB211" s="3">
        <v>1</v>
      </c>
      <c r="AC211" t="s">
        <v>2570</v>
      </c>
      <c r="AE211" s="1572"/>
    </row>
    <row r="212" spans="1:31" ht="15.5" x14ac:dyDescent="0.35">
      <c r="A212" s="295"/>
      <c r="B212" s="56"/>
      <c r="C212" s="56"/>
      <c r="D212" s="293"/>
      <c r="E212" s="2091" t="s">
        <v>1444</v>
      </c>
      <c r="F212" s="1138" t="s">
        <v>827</v>
      </c>
      <c r="G212" s="1138">
        <v>5</v>
      </c>
      <c r="H212" s="1138">
        <v>6</v>
      </c>
      <c r="I212" s="298"/>
      <c r="J212" s="298"/>
      <c r="K212" s="298"/>
      <c r="L212" s="298"/>
      <c r="M212" s="298"/>
      <c r="N212" s="298"/>
      <c r="O212" s="300"/>
      <c r="P212" s="298"/>
      <c r="Q212" s="1836"/>
      <c r="R212" s="2049">
        <v>8.9</v>
      </c>
      <c r="S212" s="15"/>
      <c r="T212" s="233"/>
      <c r="U212" s="15"/>
      <c r="V212" s="15"/>
      <c r="W212" s="17"/>
      <c r="X212" s="233"/>
      <c r="Y212" s="17"/>
      <c r="Z212" s="250"/>
      <c r="AA212" s="3"/>
      <c r="AB212" s="3"/>
      <c r="AE212" s="1572"/>
    </row>
    <row r="213" spans="1:31" ht="15.5" x14ac:dyDescent="0.35">
      <c r="A213" s="295"/>
      <c r="B213" s="56"/>
      <c r="C213" s="56"/>
      <c r="D213" s="293"/>
      <c r="E213" s="2091" t="s">
        <v>1445</v>
      </c>
      <c r="F213" s="1138" t="s">
        <v>1490</v>
      </c>
      <c r="G213" s="1138">
        <v>5</v>
      </c>
      <c r="H213" s="1138">
        <v>6</v>
      </c>
      <c r="I213" s="298"/>
      <c r="J213" s="298"/>
      <c r="K213" s="298"/>
      <c r="L213" s="298"/>
      <c r="M213" s="298"/>
      <c r="N213" s="298"/>
      <c r="O213" s="300"/>
      <c r="P213" s="298"/>
      <c r="Q213" s="1836"/>
      <c r="R213" s="2049">
        <f>10.3-8.9</f>
        <v>1.4000000000000004</v>
      </c>
      <c r="S213" s="15"/>
      <c r="T213" s="233"/>
      <c r="U213" s="15"/>
      <c r="V213" s="15"/>
      <c r="W213" s="17"/>
      <c r="X213" s="233"/>
      <c r="Y213" s="17"/>
      <c r="Z213" s="250"/>
      <c r="AA213" s="3"/>
      <c r="AB213" s="3"/>
      <c r="AE213" s="1572"/>
    </row>
    <row r="214" spans="1:31" ht="45.5" x14ac:dyDescent="0.35">
      <c r="A214" s="295">
        <v>101</v>
      </c>
      <c r="B214" s="999">
        <v>10022</v>
      </c>
      <c r="C214" s="999"/>
      <c r="D214" s="2474" t="s">
        <v>3797</v>
      </c>
      <c r="E214" s="288" t="s">
        <v>7435</v>
      </c>
      <c r="F214" s="1138" t="s">
        <v>664</v>
      </c>
      <c r="G214" s="1138">
        <v>5</v>
      </c>
      <c r="H214" s="1138">
        <v>6</v>
      </c>
      <c r="I214" s="297">
        <f t="shared" si="14"/>
        <v>0.4</v>
      </c>
      <c r="J214" s="297">
        <f t="shared" si="15"/>
        <v>0.4</v>
      </c>
      <c r="K214" s="297"/>
      <c r="L214" s="297"/>
      <c r="M214" s="297"/>
      <c r="N214" s="297"/>
      <c r="O214" s="619"/>
      <c r="P214" s="297"/>
      <c r="Q214" s="932"/>
      <c r="R214" s="925">
        <v>0.4</v>
      </c>
      <c r="S214" s="15"/>
      <c r="T214" s="233"/>
      <c r="U214" s="15"/>
      <c r="V214" s="15"/>
      <c r="W214" s="17"/>
      <c r="X214" s="233"/>
      <c r="Y214" s="17"/>
      <c r="Z214" s="250"/>
      <c r="AA214" s="3"/>
      <c r="AB214" s="3">
        <v>1</v>
      </c>
      <c r="AE214" s="1572"/>
    </row>
    <row r="215" spans="1:31" ht="15.5" x14ac:dyDescent="0.35">
      <c r="A215" s="295">
        <v>102</v>
      </c>
      <c r="B215" s="56">
        <v>10023</v>
      </c>
      <c r="C215" s="56"/>
      <c r="D215" s="293" t="s">
        <v>1963</v>
      </c>
      <c r="E215" s="288" t="s">
        <v>502</v>
      </c>
      <c r="F215" s="1138"/>
      <c r="G215" s="1138" t="s">
        <v>191</v>
      </c>
      <c r="H215" s="1138" t="s">
        <v>191</v>
      </c>
      <c r="I215" s="297">
        <f t="shared" si="14"/>
        <v>1.2000000000000002</v>
      </c>
      <c r="J215" s="297">
        <f t="shared" si="15"/>
        <v>1.2000000000000002</v>
      </c>
      <c r="K215" s="297"/>
      <c r="L215" s="297"/>
      <c r="M215" s="297"/>
      <c r="N215" s="297">
        <f>SUM(N216:N218)</f>
        <v>4.3999999999999997E-2</v>
      </c>
      <c r="O215" s="619"/>
      <c r="P215" s="297"/>
      <c r="Q215" s="932"/>
      <c r="R215" s="925">
        <f>SUM(R216:R218)</f>
        <v>1.1560000000000001</v>
      </c>
      <c r="S215" s="15">
        <v>1</v>
      </c>
      <c r="T215" s="233">
        <v>24.8</v>
      </c>
      <c r="U215" s="15"/>
      <c r="V215" s="15"/>
      <c r="W215" s="17">
        <v>2</v>
      </c>
      <c r="X215" s="233">
        <v>20.2</v>
      </c>
      <c r="Y215" s="17"/>
      <c r="Z215" s="250"/>
      <c r="AA215" s="3" t="s">
        <v>1800</v>
      </c>
      <c r="AB215" s="3">
        <v>1</v>
      </c>
      <c r="AE215" s="1572"/>
    </row>
    <row r="216" spans="1:31" s="2763" customFormat="1" ht="15.5" x14ac:dyDescent="0.35">
      <c r="A216" s="295"/>
      <c r="B216" s="56"/>
      <c r="C216" s="56"/>
      <c r="D216" s="293"/>
      <c r="E216" s="2091" t="s">
        <v>2279</v>
      </c>
      <c r="F216" s="1138" t="s">
        <v>1490</v>
      </c>
      <c r="G216" s="1138">
        <v>5</v>
      </c>
      <c r="H216" s="1138">
        <v>6</v>
      </c>
      <c r="I216" s="297"/>
      <c r="J216" s="297"/>
      <c r="K216" s="297"/>
      <c r="L216" s="297"/>
      <c r="M216" s="297"/>
      <c r="N216" s="297"/>
      <c r="O216" s="619"/>
      <c r="P216" s="297"/>
      <c r="Q216" s="932"/>
      <c r="R216" s="2049">
        <v>0.11</v>
      </c>
      <c r="S216" s="15"/>
      <c r="T216" s="233"/>
      <c r="U216" s="15"/>
      <c r="V216" s="15"/>
      <c r="W216" s="17"/>
      <c r="X216" s="233"/>
      <c r="Y216" s="17"/>
      <c r="Z216" s="250"/>
      <c r="AA216" s="3"/>
      <c r="AB216" s="3"/>
      <c r="AE216" s="1572"/>
    </row>
    <row r="217" spans="1:31" s="2763" customFormat="1" ht="15.5" x14ac:dyDescent="0.35">
      <c r="A217" s="295"/>
      <c r="B217" s="56"/>
      <c r="C217" s="56"/>
      <c r="D217" s="293"/>
      <c r="E217" s="459" t="s">
        <v>11065</v>
      </c>
      <c r="F217" s="1138" t="s">
        <v>1490</v>
      </c>
      <c r="G217" s="1138">
        <v>5</v>
      </c>
      <c r="H217" s="1138">
        <v>6</v>
      </c>
      <c r="I217" s="297"/>
      <c r="J217" s="297"/>
      <c r="K217" s="297"/>
      <c r="L217" s="297"/>
      <c r="M217" s="297"/>
      <c r="N217" s="487">
        <f>0.154-0.11</f>
        <v>4.3999999999999997E-2</v>
      </c>
      <c r="O217" s="619"/>
      <c r="P217" s="297"/>
      <c r="Q217" s="932"/>
      <c r="R217" s="2049"/>
      <c r="S217" s="15"/>
      <c r="T217" s="233"/>
      <c r="U217" s="15"/>
      <c r="V217" s="15"/>
      <c r="W217" s="17"/>
      <c r="X217" s="233"/>
      <c r="Y217" s="17"/>
      <c r="Z217" s="250"/>
      <c r="AA217" s="3"/>
      <c r="AB217" s="3"/>
      <c r="AE217" s="1572"/>
    </row>
    <row r="218" spans="1:31" s="2763" customFormat="1" ht="15.5" x14ac:dyDescent="0.35">
      <c r="A218" s="295"/>
      <c r="B218" s="56"/>
      <c r="C218" s="56"/>
      <c r="D218" s="293"/>
      <c r="E218" s="2091" t="s">
        <v>11064</v>
      </c>
      <c r="F218" s="1138" t="s">
        <v>1490</v>
      </c>
      <c r="G218" s="1138">
        <v>5</v>
      </c>
      <c r="H218" s="1138">
        <v>6</v>
      </c>
      <c r="I218" s="297"/>
      <c r="J218" s="297"/>
      <c r="K218" s="297"/>
      <c r="L218" s="297"/>
      <c r="M218" s="297"/>
      <c r="N218" s="297"/>
      <c r="O218" s="619"/>
      <c r="P218" s="297"/>
      <c r="Q218" s="932"/>
      <c r="R218" s="2049">
        <f>1.2-0.154</f>
        <v>1.046</v>
      </c>
      <c r="S218" s="15"/>
      <c r="T218" s="233"/>
      <c r="U218" s="15"/>
      <c r="V218" s="15"/>
      <c r="W218" s="17"/>
      <c r="X218" s="233"/>
      <c r="Y218" s="17"/>
      <c r="Z218" s="250"/>
      <c r="AA218" s="3"/>
      <c r="AB218" s="3"/>
      <c r="AE218" s="1572"/>
    </row>
    <row r="219" spans="1:31" ht="15.5" x14ac:dyDescent="0.35">
      <c r="A219" s="295">
        <v>103</v>
      </c>
      <c r="B219" s="56">
        <v>10024</v>
      </c>
      <c r="C219" s="56"/>
      <c r="D219" s="293" t="s">
        <v>1964</v>
      </c>
      <c r="E219" s="288" t="s">
        <v>6897</v>
      </c>
      <c r="F219" s="1138"/>
      <c r="G219" s="1138" t="s">
        <v>191</v>
      </c>
      <c r="H219" s="1138" t="s">
        <v>191</v>
      </c>
      <c r="I219" s="297">
        <f t="shared" si="14"/>
        <v>3.3650000000000002</v>
      </c>
      <c r="J219" s="297">
        <f t="shared" si="15"/>
        <v>3.3650000000000002</v>
      </c>
      <c r="K219" s="297"/>
      <c r="L219" s="297"/>
      <c r="M219" s="297"/>
      <c r="N219" s="297">
        <f>SUM(N220:N221)</f>
        <v>0.35</v>
      </c>
      <c r="O219" s="619"/>
      <c r="P219" s="297"/>
      <c r="Q219" s="932">
        <f>SUM(Q220:Q221)</f>
        <v>3.0150000000000001</v>
      </c>
      <c r="R219" s="925"/>
      <c r="S219" s="15"/>
      <c r="T219" s="233"/>
      <c r="U219" s="15"/>
      <c r="V219" s="15"/>
      <c r="W219" s="17">
        <v>8</v>
      </c>
      <c r="X219" s="233">
        <v>91.2</v>
      </c>
      <c r="Y219" s="17">
        <v>1</v>
      </c>
      <c r="Z219" s="250">
        <v>10</v>
      </c>
      <c r="AA219" s="3"/>
      <c r="AB219" s="3">
        <v>1</v>
      </c>
      <c r="AE219" s="1572"/>
    </row>
    <row r="220" spans="1:31" ht="15.5" x14ac:dyDescent="0.35">
      <c r="A220" s="295"/>
      <c r="B220" s="56">
        <v>10024</v>
      </c>
      <c r="C220" s="56"/>
      <c r="D220" s="293"/>
      <c r="E220" s="291" t="s">
        <v>1898</v>
      </c>
      <c r="F220" s="1138">
        <v>5</v>
      </c>
      <c r="G220" s="1138">
        <v>5</v>
      </c>
      <c r="H220" s="1138">
        <v>6</v>
      </c>
      <c r="I220" s="298"/>
      <c r="J220" s="298"/>
      <c r="K220" s="298"/>
      <c r="L220" s="298"/>
      <c r="M220" s="298"/>
      <c r="N220" s="298">
        <v>0.35</v>
      </c>
      <c r="O220" s="621"/>
      <c r="P220" s="298"/>
      <c r="Q220" s="933"/>
      <c r="R220" s="927"/>
      <c r="S220" s="15"/>
      <c r="T220" s="233"/>
      <c r="U220" s="15"/>
      <c r="V220" s="15"/>
      <c r="W220" s="17"/>
      <c r="X220" s="233"/>
      <c r="Y220" s="17"/>
      <c r="Z220" s="250"/>
      <c r="AA220" s="3"/>
      <c r="AB220" s="3"/>
      <c r="AE220" s="1572"/>
    </row>
    <row r="221" spans="1:31" ht="15.5" x14ac:dyDescent="0.35">
      <c r="A221" s="295"/>
      <c r="B221" s="56">
        <v>10024</v>
      </c>
      <c r="C221" s="56"/>
      <c r="D221" s="293"/>
      <c r="E221" s="837" t="s">
        <v>907</v>
      </c>
      <c r="F221" s="1138">
        <v>5</v>
      </c>
      <c r="G221" s="1138">
        <v>5</v>
      </c>
      <c r="H221" s="1138">
        <v>6</v>
      </c>
      <c r="I221" s="298"/>
      <c r="J221" s="298"/>
      <c r="K221" s="298"/>
      <c r="L221" s="298"/>
      <c r="M221" s="298"/>
      <c r="N221" s="298"/>
      <c r="O221" s="621"/>
      <c r="P221" s="298"/>
      <c r="Q221" s="933">
        <v>3.0150000000000001</v>
      </c>
      <c r="R221" s="927"/>
      <c r="S221" s="15"/>
      <c r="T221" s="233"/>
      <c r="U221" s="15"/>
      <c r="V221" s="15"/>
      <c r="W221" s="17"/>
      <c r="X221" s="233"/>
      <c r="Y221" s="17"/>
      <c r="Z221" s="250"/>
      <c r="AA221" s="3"/>
      <c r="AB221" s="3"/>
      <c r="AE221" s="1572"/>
    </row>
    <row r="222" spans="1:31" ht="30.5" x14ac:dyDescent="0.35">
      <c r="A222" s="295">
        <v>104</v>
      </c>
      <c r="B222" s="999">
        <v>10024</v>
      </c>
      <c r="C222" s="999"/>
      <c r="D222" s="2474" t="s">
        <v>3798</v>
      </c>
      <c r="E222" s="288" t="s">
        <v>7436</v>
      </c>
      <c r="F222" s="1138" t="s">
        <v>664</v>
      </c>
      <c r="G222" s="1138">
        <v>5</v>
      </c>
      <c r="H222" s="1138">
        <v>6</v>
      </c>
      <c r="I222" s="297">
        <f>J222+K222+L222</f>
        <v>1.8</v>
      </c>
      <c r="J222" s="297">
        <f>SUM(M222:R222)</f>
        <v>1.8</v>
      </c>
      <c r="K222" s="297"/>
      <c r="L222" s="297"/>
      <c r="M222" s="297"/>
      <c r="N222" s="297"/>
      <c r="O222" s="619"/>
      <c r="P222" s="297"/>
      <c r="Q222" s="932"/>
      <c r="R222" s="925">
        <v>1.8</v>
      </c>
      <c r="S222" s="15"/>
      <c r="T222" s="233"/>
      <c r="U222" s="15"/>
      <c r="V222" s="15"/>
      <c r="W222" s="17"/>
      <c r="X222" s="233"/>
      <c r="Y222" s="17"/>
      <c r="Z222" s="250"/>
      <c r="AA222" s="3"/>
      <c r="AB222" s="3">
        <v>1</v>
      </c>
      <c r="AE222" s="1572"/>
    </row>
    <row r="223" spans="1:31" ht="30.5" x14ac:dyDescent="0.35">
      <c r="A223" s="295">
        <v>105</v>
      </c>
      <c r="B223" s="999">
        <v>10024</v>
      </c>
      <c r="C223" s="999"/>
      <c r="D223" s="2474" t="s">
        <v>3799</v>
      </c>
      <c r="E223" s="288" t="s">
        <v>9170</v>
      </c>
      <c r="F223" s="1138" t="s">
        <v>664</v>
      </c>
      <c r="G223" s="1138">
        <v>5</v>
      </c>
      <c r="H223" s="1138">
        <v>6</v>
      </c>
      <c r="I223" s="297">
        <f>J223+K223+L223</f>
        <v>0.78</v>
      </c>
      <c r="J223" s="297">
        <f>SUM(M223:R223)</f>
        <v>0.78</v>
      </c>
      <c r="K223" s="297"/>
      <c r="L223" s="297"/>
      <c r="M223" s="297"/>
      <c r="N223" s="297"/>
      <c r="O223" s="619"/>
      <c r="P223" s="297"/>
      <c r="Q223" s="932"/>
      <c r="R223" s="925">
        <v>0.78</v>
      </c>
      <c r="S223" s="15"/>
      <c r="T223" s="233"/>
      <c r="U223" s="15"/>
      <c r="V223" s="15"/>
      <c r="W223" s="17">
        <v>2</v>
      </c>
      <c r="X223" s="233">
        <v>20.100000000000001</v>
      </c>
      <c r="Y223" s="17"/>
      <c r="Z223" s="250"/>
      <c r="AA223" s="3"/>
      <c r="AB223" s="3">
        <v>1</v>
      </c>
      <c r="AE223" s="1572"/>
    </row>
    <row r="224" spans="1:31" ht="45" x14ac:dyDescent="0.35">
      <c r="A224" s="693">
        <v>106</v>
      </c>
      <c r="B224" s="693">
        <v>10024</v>
      </c>
      <c r="C224" s="999" t="s">
        <v>1656</v>
      </c>
      <c r="D224" s="2474" t="s">
        <v>3800</v>
      </c>
      <c r="E224" s="2187" t="s">
        <v>8157</v>
      </c>
      <c r="F224" s="92"/>
      <c r="G224" s="92" t="s">
        <v>191</v>
      </c>
      <c r="H224" s="1138" t="s">
        <v>191</v>
      </c>
      <c r="I224" s="702">
        <v>1.4</v>
      </c>
      <c r="J224" s="702">
        <v>1.4</v>
      </c>
      <c r="K224" s="106"/>
      <c r="L224" s="106"/>
      <c r="M224" s="106"/>
      <c r="N224" s="622">
        <v>0.2</v>
      </c>
      <c r="O224" s="2089"/>
      <c r="P224" s="2089"/>
      <c r="Q224" s="2089"/>
      <c r="R224" s="906">
        <v>1.2</v>
      </c>
      <c r="S224" s="106"/>
      <c r="T224" s="106"/>
      <c r="U224" s="106"/>
      <c r="V224" s="106"/>
      <c r="W224" s="105"/>
      <c r="X224" s="105"/>
      <c r="Y224" s="105"/>
      <c r="Z224" s="105"/>
      <c r="AA224" s="3"/>
      <c r="AB224" s="3">
        <v>1</v>
      </c>
      <c r="AE224" s="1572"/>
    </row>
    <row r="225" spans="1:31" ht="15.5" x14ac:dyDescent="0.35">
      <c r="A225" s="693"/>
      <c r="B225" s="693">
        <v>10024</v>
      </c>
      <c r="C225" s="693"/>
      <c r="D225" s="693"/>
      <c r="E225" s="2092" t="s">
        <v>1795</v>
      </c>
      <c r="F225" s="92" t="s">
        <v>827</v>
      </c>
      <c r="G225" s="92">
        <v>5</v>
      </c>
      <c r="H225" s="1138">
        <v>6</v>
      </c>
      <c r="I225" s="702"/>
      <c r="J225" s="702"/>
      <c r="K225" s="106"/>
      <c r="L225" s="106"/>
      <c r="M225" s="106"/>
      <c r="N225" s="801">
        <v>0.2</v>
      </c>
      <c r="O225" s="2089"/>
      <c r="P225" s="2089"/>
      <c r="Q225" s="2089"/>
      <c r="R225" s="906"/>
      <c r="S225" s="106"/>
      <c r="T225" s="106"/>
      <c r="U225" s="106"/>
      <c r="V225" s="106"/>
      <c r="W225" s="105"/>
      <c r="X225" s="105"/>
      <c r="Y225" s="105"/>
      <c r="Z225" s="105"/>
      <c r="AE225" s="1572"/>
    </row>
    <row r="226" spans="1:31" ht="15.5" x14ac:dyDescent="0.35">
      <c r="A226" s="693"/>
      <c r="B226" s="693">
        <v>10024</v>
      </c>
      <c r="C226" s="693"/>
      <c r="D226" s="693"/>
      <c r="E226" s="2091" t="s">
        <v>1424</v>
      </c>
      <c r="F226" s="92" t="s">
        <v>664</v>
      </c>
      <c r="G226" s="92">
        <v>5</v>
      </c>
      <c r="H226" s="1138">
        <v>6</v>
      </c>
      <c r="I226" s="702"/>
      <c r="J226" s="702"/>
      <c r="K226" s="106"/>
      <c r="L226" s="106"/>
      <c r="M226" s="106"/>
      <c r="N226" s="2089"/>
      <c r="O226" s="2089"/>
      <c r="P226" s="2089"/>
      <c r="Q226" s="2090"/>
      <c r="R226" s="907">
        <v>1.2</v>
      </c>
      <c r="S226" s="106"/>
      <c r="T226" s="106"/>
      <c r="U226" s="106"/>
      <c r="V226" s="106"/>
      <c r="W226" s="105"/>
      <c r="X226" s="105"/>
      <c r="Y226" s="105"/>
      <c r="Z226" s="105"/>
      <c r="AE226" s="1572"/>
    </row>
    <row r="227" spans="1:31" ht="60.5" x14ac:dyDescent="0.35">
      <c r="A227" s="295">
        <v>107</v>
      </c>
      <c r="B227" s="56">
        <v>10025</v>
      </c>
      <c r="C227" s="56"/>
      <c r="D227" s="293" t="s">
        <v>2599</v>
      </c>
      <c r="E227" s="288" t="s">
        <v>9616</v>
      </c>
      <c r="F227" s="1138"/>
      <c r="G227" s="1138" t="s">
        <v>191</v>
      </c>
      <c r="H227" s="1138" t="s">
        <v>191</v>
      </c>
      <c r="I227" s="297">
        <f>J227+K227+L227</f>
        <v>5.37</v>
      </c>
      <c r="J227" s="297">
        <f>SUM(M227:R227)</f>
        <v>5.16</v>
      </c>
      <c r="K227" s="297"/>
      <c r="L227" s="486">
        <f>SUM(L228:L230)</f>
        <v>0.21</v>
      </c>
      <c r="M227" s="486"/>
      <c r="N227" s="486">
        <f>SUM(N228:N230)</f>
        <v>0.83899999999999997</v>
      </c>
      <c r="O227" s="619"/>
      <c r="P227" s="297"/>
      <c r="Q227" s="932">
        <f>SUM(Q228:Q230)</f>
        <v>4.3209999999999997</v>
      </c>
      <c r="R227" s="925"/>
      <c r="S227" s="15">
        <v>1</v>
      </c>
      <c r="T227" s="233">
        <v>19.05</v>
      </c>
      <c r="U227" s="15"/>
      <c r="V227" s="15"/>
      <c r="W227" s="2441">
        <f>8+4</f>
        <v>12</v>
      </c>
      <c r="X227" s="2446">
        <f>97.9+69</f>
        <v>166.9</v>
      </c>
      <c r="Y227" s="17">
        <v>4</v>
      </c>
      <c r="Z227" s="250">
        <v>69</v>
      </c>
      <c r="AA227" s="3"/>
      <c r="AB227" s="3">
        <v>1</v>
      </c>
      <c r="AE227" s="1572"/>
    </row>
    <row r="228" spans="1:31" s="2737" customFormat="1" ht="46.5" x14ac:dyDescent="0.35">
      <c r="A228" s="295"/>
      <c r="B228" s="56"/>
      <c r="C228" s="56"/>
      <c r="D228" s="293"/>
      <c r="E228" s="459" t="s">
        <v>10896</v>
      </c>
      <c r="F228" s="1138">
        <v>4</v>
      </c>
      <c r="G228" s="1138">
        <v>5</v>
      </c>
      <c r="H228" s="1138" t="s">
        <v>191</v>
      </c>
      <c r="I228" s="486"/>
      <c r="J228" s="486"/>
      <c r="K228" s="486"/>
      <c r="L228" s="487">
        <v>0.21</v>
      </c>
      <c r="M228" s="486"/>
      <c r="N228" s="486"/>
      <c r="O228" s="619"/>
      <c r="P228" s="297"/>
      <c r="Q228" s="932"/>
      <c r="R228" s="925"/>
      <c r="S228" s="15"/>
      <c r="T228" s="233"/>
      <c r="U228" s="15"/>
      <c r="V228" s="15"/>
      <c r="W228" s="17"/>
      <c r="X228" s="233"/>
      <c r="Y228" s="17"/>
      <c r="Z228" s="250"/>
      <c r="AA228" s="3"/>
      <c r="AB228" s="3"/>
      <c r="AE228" s="1572"/>
    </row>
    <row r="229" spans="1:31" ht="15.5" x14ac:dyDescent="0.35">
      <c r="A229" s="295"/>
      <c r="B229" s="56">
        <v>10025</v>
      </c>
      <c r="C229" s="56"/>
      <c r="D229" s="293"/>
      <c r="E229" s="459" t="s">
        <v>10897</v>
      </c>
      <c r="F229" s="1138">
        <v>4</v>
      </c>
      <c r="G229" s="1138">
        <v>5</v>
      </c>
      <c r="H229" s="1138">
        <v>6</v>
      </c>
      <c r="I229" s="487"/>
      <c r="J229" s="487"/>
      <c r="K229" s="487"/>
      <c r="L229" s="487"/>
      <c r="M229" s="487"/>
      <c r="N229" s="487">
        <f>1.049-0.21</f>
        <v>0.83899999999999997</v>
      </c>
      <c r="O229" s="621"/>
      <c r="P229" s="298"/>
      <c r="Q229" s="933"/>
      <c r="R229" s="927"/>
      <c r="S229" s="15"/>
      <c r="T229" s="233"/>
      <c r="U229" s="15"/>
      <c r="V229" s="15"/>
      <c r="W229" s="17"/>
      <c r="X229" s="233"/>
      <c r="Y229" s="17"/>
      <c r="Z229" s="250"/>
      <c r="AA229" s="3"/>
      <c r="AB229" s="3"/>
      <c r="AE229" s="1572"/>
    </row>
    <row r="230" spans="1:31" ht="15.5" x14ac:dyDescent="0.35">
      <c r="A230" s="295"/>
      <c r="B230" s="56">
        <v>10025</v>
      </c>
      <c r="C230" s="56"/>
      <c r="D230" s="293"/>
      <c r="E230" s="837" t="s">
        <v>10440</v>
      </c>
      <c r="F230" s="1138">
        <v>4</v>
      </c>
      <c r="G230" s="1138">
        <v>5</v>
      </c>
      <c r="H230" s="1138">
        <v>6</v>
      </c>
      <c r="I230" s="298"/>
      <c r="J230" s="298"/>
      <c r="K230" s="298"/>
      <c r="L230" s="298"/>
      <c r="M230" s="298"/>
      <c r="N230" s="298"/>
      <c r="O230" s="621"/>
      <c r="P230" s="298"/>
      <c r="Q230" s="933">
        <f>5.37-1.049</f>
        <v>4.3209999999999997</v>
      </c>
      <c r="R230" s="927"/>
      <c r="S230" s="15"/>
      <c r="T230" s="233"/>
      <c r="U230" s="15"/>
      <c r="V230" s="15"/>
      <c r="W230" s="17"/>
      <c r="X230" s="233"/>
      <c r="Y230" s="17"/>
      <c r="Z230" s="250"/>
      <c r="AA230" s="3"/>
      <c r="AB230" s="3"/>
      <c r="AE230" s="1572"/>
    </row>
    <row r="231" spans="1:31" ht="30.5" x14ac:dyDescent="0.35">
      <c r="A231" s="295">
        <v>108</v>
      </c>
      <c r="B231" s="293">
        <v>10026</v>
      </c>
      <c r="C231" s="293"/>
      <c r="D231" s="293" t="s">
        <v>2600</v>
      </c>
      <c r="E231" s="511" t="s">
        <v>10810</v>
      </c>
      <c r="F231" s="1138"/>
      <c r="G231" s="1138" t="s">
        <v>191</v>
      </c>
      <c r="H231" s="1138" t="s">
        <v>191</v>
      </c>
      <c r="I231" s="297">
        <f>J231+K231+L231</f>
        <v>11.803000000000001</v>
      </c>
      <c r="J231" s="297">
        <f>SUM(M231:R231)</f>
        <v>10.915000000000001</v>
      </c>
      <c r="K231" s="297"/>
      <c r="L231" s="297">
        <f>SUM(L232:L243)</f>
        <v>0.88800000000000012</v>
      </c>
      <c r="M231" s="297"/>
      <c r="N231" s="297">
        <f>SUM(N232:N243)</f>
        <v>0.1610000000000007</v>
      </c>
      <c r="O231" s="619"/>
      <c r="P231" s="297"/>
      <c r="Q231" s="932">
        <f>SUM(Q232:Q243)</f>
        <v>10.754</v>
      </c>
      <c r="R231" s="925"/>
      <c r="S231" s="15">
        <v>1</v>
      </c>
      <c r="T231" s="1962">
        <v>10</v>
      </c>
      <c r="U231" s="55"/>
      <c r="V231" s="55"/>
      <c r="W231" s="154">
        <v>29</v>
      </c>
      <c r="X231" s="1962">
        <v>343</v>
      </c>
      <c r="Y231" s="154">
        <v>10</v>
      </c>
      <c r="Z231" s="250">
        <v>106.2</v>
      </c>
      <c r="AA231" s="3"/>
      <c r="AB231" s="3">
        <v>1</v>
      </c>
      <c r="AE231" s="1572"/>
    </row>
    <row r="232" spans="1:31" ht="15.5" x14ac:dyDescent="0.35">
      <c r="A232" s="295"/>
      <c r="B232" s="293">
        <v>10026</v>
      </c>
      <c r="C232" s="293"/>
      <c r="D232" s="293"/>
      <c r="E232" s="837" t="s">
        <v>10677</v>
      </c>
      <c r="F232" s="1138" t="s">
        <v>827</v>
      </c>
      <c r="G232" s="1138">
        <v>5</v>
      </c>
      <c r="H232" s="1138">
        <v>6</v>
      </c>
      <c r="I232" s="298"/>
      <c r="J232" s="298"/>
      <c r="K232" s="298"/>
      <c r="L232" s="298"/>
      <c r="M232" s="298"/>
      <c r="N232" s="298"/>
      <c r="O232" s="300"/>
      <c r="P232" s="298"/>
      <c r="Q232" s="1836">
        <v>1.147</v>
      </c>
      <c r="R232" s="2049"/>
      <c r="S232" s="15"/>
      <c r="T232" s="233"/>
      <c r="U232" s="15"/>
      <c r="V232" s="15"/>
      <c r="W232" s="17"/>
      <c r="X232" s="233"/>
      <c r="Y232" s="17"/>
      <c r="Z232" s="250"/>
      <c r="AA232" s="3"/>
      <c r="AB232" s="3"/>
      <c r="AE232" s="1572"/>
    </row>
    <row r="233" spans="1:31" s="2697" customFormat="1" ht="15.5" x14ac:dyDescent="0.35">
      <c r="A233" s="295"/>
      <c r="B233" s="293"/>
      <c r="C233" s="293"/>
      <c r="D233" s="293"/>
      <c r="E233" s="291" t="s">
        <v>10678</v>
      </c>
      <c r="F233" s="1138" t="s">
        <v>827</v>
      </c>
      <c r="G233" s="1138">
        <v>5</v>
      </c>
      <c r="H233" s="1138">
        <v>6</v>
      </c>
      <c r="I233" s="298"/>
      <c r="J233" s="298"/>
      <c r="K233" s="298"/>
      <c r="L233" s="298"/>
      <c r="M233" s="298"/>
      <c r="N233" s="298">
        <f>1.242-1.147</f>
        <v>9.4999999999999973E-2</v>
      </c>
      <c r="O233" s="300"/>
      <c r="P233" s="298"/>
      <c r="Q233" s="1836"/>
      <c r="R233" s="2049"/>
      <c r="S233" s="15"/>
      <c r="T233" s="233"/>
      <c r="U233" s="15"/>
      <c r="V233" s="15"/>
      <c r="W233" s="17"/>
      <c r="X233" s="233"/>
      <c r="Y233" s="17"/>
      <c r="Z233" s="250"/>
      <c r="AA233" s="3"/>
      <c r="AB233" s="3"/>
      <c r="AE233" s="1572"/>
    </row>
    <row r="234" spans="1:31" s="2697" customFormat="1" ht="15.5" x14ac:dyDescent="0.35">
      <c r="A234" s="295"/>
      <c r="B234" s="293"/>
      <c r="C234" s="293"/>
      <c r="D234" s="293"/>
      <c r="E234" s="837" t="s">
        <v>10683</v>
      </c>
      <c r="F234" s="1138" t="s">
        <v>827</v>
      </c>
      <c r="G234" s="1138">
        <v>5</v>
      </c>
      <c r="H234" s="1138">
        <v>6</v>
      </c>
      <c r="I234" s="298"/>
      <c r="J234" s="298"/>
      <c r="K234" s="298"/>
      <c r="L234" s="298"/>
      <c r="M234" s="298"/>
      <c r="N234" s="298"/>
      <c r="O234" s="300"/>
      <c r="P234" s="298"/>
      <c r="Q234" s="1836">
        <f>1.329-1.242</f>
        <v>8.6999999999999966E-2</v>
      </c>
      <c r="R234" s="2049"/>
      <c r="S234" s="15"/>
      <c r="T234" s="233"/>
      <c r="U234" s="15"/>
      <c r="V234" s="15"/>
      <c r="W234" s="17"/>
      <c r="X234" s="233"/>
      <c r="Y234" s="17"/>
      <c r="Z234" s="250"/>
      <c r="AA234" s="3"/>
      <c r="AB234" s="3"/>
      <c r="AE234" s="1572"/>
    </row>
    <row r="235" spans="1:31" s="2697" customFormat="1" ht="15.5" x14ac:dyDescent="0.35">
      <c r="A235" s="295"/>
      <c r="B235" s="293"/>
      <c r="C235" s="293"/>
      <c r="D235" s="293"/>
      <c r="E235" s="837" t="s">
        <v>10684</v>
      </c>
      <c r="F235" s="1138">
        <v>4</v>
      </c>
      <c r="G235" s="1138">
        <v>5</v>
      </c>
      <c r="H235" s="1138">
        <v>6</v>
      </c>
      <c r="I235" s="298"/>
      <c r="J235" s="298"/>
      <c r="K235" s="298"/>
      <c r="L235" s="298"/>
      <c r="M235" s="298"/>
      <c r="N235" s="298"/>
      <c r="O235" s="300"/>
      <c r="P235" s="298"/>
      <c r="Q235" s="1836">
        <f>1.393-1.329</f>
        <v>6.4000000000000057E-2</v>
      </c>
      <c r="R235" s="2049"/>
      <c r="S235" s="15"/>
      <c r="T235" s="233"/>
      <c r="U235" s="15"/>
      <c r="V235" s="15"/>
      <c r="W235" s="17"/>
      <c r="X235" s="233"/>
      <c r="Y235" s="17"/>
      <c r="Z235" s="250"/>
      <c r="AA235" s="3"/>
      <c r="AB235" s="3"/>
      <c r="AE235" s="1572"/>
    </row>
    <row r="236" spans="1:31" ht="31" x14ac:dyDescent="0.35">
      <c r="A236" s="295"/>
      <c r="B236" s="293">
        <v>10026</v>
      </c>
      <c r="C236" s="293"/>
      <c r="D236" s="293"/>
      <c r="E236" s="291" t="s">
        <v>10679</v>
      </c>
      <c r="F236" s="1138">
        <v>4</v>
      </c>
      <c r="G236" s="1138">
        <v>5</v>
      </c>
      <c r="H236" s="1138" t="s">
        <v>191</v>
      </c>
      <c r="I236" s="298"/>
      <c r="J236" s="298"/>
      <c r="K236" s="298"/>
      <c r="L236" s="298">
        <f>2.281-1.393</f>
        <v>0.88800000000000012</v>
      </c>
      <c r="M236" s="298"/>
      <c r="N236" s="298"/>
      <c r="O236" s="300"/>
      <c r="P236" s="298"/>
      <c r="Q236" s="1836"/>
      <c r="R236" s="2049"/>
      <c r="S236" s="15"/>
      <c r="T236" s="233"/>
      <c r="U236" s="15"/>
      <c r="V236" s="15"/>
      <c r="W236" s="17"/>
      <c r="X236" s="233"/>
      <c r="Y236" s="17"/>
      <c r="Z236" s="250"/>
      <c r="AA236" s="3"/>
      <c r="AB236" s="3"/>
      <c r="AE236" s="1572"/>
    </row>
    <row r="237" spans="1:31" s="2697" customFormat="1" ht="15.5" x14ac:dyDescent="0.35">
      <c r="A237" s="295"/>
      <c r="B237" s="293"/>
      <c r="C237" s="293"/>
      <c r="D237" s="293"/>
      <c r="E237" s="837" t="s">
        <v>10685</v>
      </c>
      <c r="F237" s="1138">
        <v>4</v>
      </c>
      <c r="G237" s="1138">
        <v>5</v>
      </c>
      <c r="H237" s="1138">
        <v>6</v>
      </c>
      <c r="I237" s="298"/>
      <c r="J237" s="298"/>
      <c r="K237" s="298"/>
      <c r="L237" s="298"/>
      <c r="M237" s="298"/>
      <c r="N237" s="298"/>
      <c r="O237" s="300"/>
      <c r="P237" s="298"/>
      <c r="Q237" s="1836">
        <f>5.398-2.281</f>
        <v>3.1169999999999995</v>
      </c>
      <c r="R237" s="2049"/>
      <c r="S237" s="15"/>
      <c r="T237" s="233"/>
      <c r="U237" s="15"/>
      <c r="V237" s="15"/>
      <c r="W237" s="17"/>
      <c r="X237" s="233"/>
      <c r="Y237" s="17"/>
      <c r="Z237" s="250"/>
      <c r="AA237" s="3"/>
      <c r="AB237" s="3"/>
      <c r="AE237" s="1572"/>
    </row>
    <row r="238" spans="1:31" s="2697" customFormat="1" ht="15.5" x14ac:dyDescent="0.35">
      <c r="A238" s="295"/>
      <c r="B238" s="293"/>
      <c r="C238" s="293"/>
      <c r="D238" s="293"/>
      <c r="E238" s="837" t="s">
        <v>10686</v>
      </c>
      <c r="F238" s="1138">
        <v>5</v>
      </c>
      <c r="G238" s="1138">
        <v>5</v>
      </c>
      <c r="H238" s="1138">
        <v>6</v>
      </c>
      <c r="I238" s="298"/>
      <c r="J238" s="298"/>
      <c r="K238" s="298"/>
      <c r="L238" s="298"/>
      <c r="M238" s="298"/>
      <c r="N238" s="298"/>
      <c r="O238" s="300"/>
      <c r="P238" s="298"/>
      <c r="Q238" s="1836">
        <f>7.373-5.398</f>
        <v>1.9750000000000005</v>
      </c>
      <c r="R238" s="2049"/>
      <c r="S238" s="15"/>
      <c r="T238" s="233"/>
      <c r="U238" s="15"/>
      <c r="V238" s="15"/>
      <c r="W238" s="17"/>
      <c r="X238" s="233"/>
      <c r="Y238" s="17"/>
      <c r="Z238" s="250"/>
      <c r="AA238" s="3"/>
      <c r="AB238" s="3"/>
      <c r="AE238" s="1572"/>
    </row>
    <row r="239" spans="1:31" s="2697" customFormat="1" ht="15.5" x14ac:dyDescent="0.35">
      <c r="A239" s="295"/>
      <c r="B239" s="293"/>
      <c r="C239" s="293"/>
      <c r="D239" s="293"/>
      <c r="E239" s="837" t="s">
        <v>10687</v>
      </c>
      <c r="F239" s="1138" t="s">
        <v>827</v>
      </c>
      <c r="G239" s="1138">
        <v>5</v>
      </c>
      <c r="H239" s="1138">
        <v>6</v>
      </c>
      <c r="I239" s="298"/>
      <c r="J239" s="298"/>
      <c r="K239" s="298"/>
      <c r="L239" s="298"/>
      <c r="M239" s="298"/>
      <c r="N239" s="298"/>
      <c r="O239" s="300"/>
      <c r="P239" s="298"/>
      <c r="Q239" s="1836">
        <f>8.254-7.373</f>
        <v>0.88099999999999934</v>
      </c>
      <c r="R239" s="2049"/>
      <c r="S239" s="15"/>
      <c r="T239" s="233"/>
      <c r="U239" s="15"/>
      <c r="V239" s="15"/>
      <c r="W239" s="17"/>
      <c r="X239" s="233"/>
      <c r="Y239" s="17"/>
      <c r="Z239" s="250"/>
      <c r="AA239" s="3"/>
      <c r="AB239" s="3"/>
      <c r="AE239" s="1572"/>
    </row>
    <row r="240" spans="1:31" s="2697" customFormat="1" ht="15.5" x14ac:dyDescent="0.35">
      <c r="A240" s="295"/>
      <c r="B240" s="293"/>
      <c r="C240" s="293"/>
      <c r="D240" s="293"/>
      <c r="E240" s="837" t="s">
        <v>10688</v>
      </c>
      <c r="F240" s="1138">
        <v>5</v>
      </c>
      <c r="G240" s="1138">
        <v>5</v>
      </c>
      <c r="H240" s="1138">
        <v>6</v>
      </c>
      <c r="I240" s="298"/>
      <c r="J240" s="298"/>
      <c r="K240" s="298"/>
      <c r="L240" s="298"/>
      <c r="M240" s="298"/>
      <c r="N240" s="298"/>
      <c r="O240" s="300"/>
      <c r="P240" s="298"/>
      <c r="Q240" s="1836">
        <f>11.204-8.254</f>
        <v>2.9500000000000011</v>
      </c>
      <c r="R240" s="2049"/>
      <c r="S240" s="15"/>
      <c r="T240" s="233"/>
      <c r="U240" s="15"/>
      <c r="V240" s="15"/>
      <c r="W240" s="17"/>
      <c r="X240" s="233"/>
      <c r="Y240" s="17"/>
      <c r="Z240" s="250"/>
      <c r="AA240" s="3"/>
      <c r="AB240" s="3"/>
      <c r="AE240" s="1572"/>
    </row>
    <row r="241" spans="1:31" s="2697" customFormat="1" ht="15.5" x14ac:dyDescent="0.35">
      <c r="A241" s="295"/>
      <c r="B241" s="293"/>
      <c r="C241" s="293"/>
      <c r="D241" s="293"/>
      <c r="E241" s="291" t="s">
        <v>10680</v>
      </c>
      <c r="F241" s="1138">
        <v>5</v>
      </c>
      <c r="G241" s="1138">
        <v>5</v>
      </c>
      <c r="H241" s="1138">
        <v>6</v>
      </c>
      <c r="I241" s="298"/>
      <c r="J241" s="298"/>
      <c r="K241" s="298"/>
      <c r="L241" s="298"/>
      <c r="M241" s="298"/>
      <c r="N241" s="298">
        <f>11.214-11.204</f>
        <v>9.9999999999997868E-3</v>
      </c>
      <c r="O241" s="300"/>
      <c r="P241" s="298"/>
      <c r="Q241" s="1836"/>
      <c r="R241" s="2049"/>
      <c r="S241" s="15"/>
      <c r="T241" s="233"/>
      <c r="U241" s="15"/>
      <c r="V241" s="15"/>
      <c r="W241" s="17"/>
      <c r="X241" s="233"/>
      <c r="Y241" s="17"/>
      <c r="Z241" s="250"/>
      <c r="AA241" s="3"/>
      <c r="AB241" s="3"/>
      <c r="AE241" s="1572"/>
    </row>
    <row r="242" spans="1:31" s="2697" customFormat="1" ht="15.5" x14ac:dyDescent="0.35">
      <c r="A242" s="295"/>
      <c r="B242" s="293"/>
      <c r="C242" s="293"/>
      <c r="D242" s="293"/>
      <c r="E242" s="837" t="s">
        <v>10681</v>
      </c>
      <c r="F242" s="1138">
        <v>5</v>
      </c>
      <c r="G242" s="1138">
        <v>5</v>
      </c>
      <c r="H242" s="1138">
        <v>6</v>
      </c>
      <c r="I242" s="298"/>
      <c r="J242" s="298"/>
      <c r="K242" s="298"/>
      <c r="L242" s="298"/>
      <c r="M242" s="298"/>
      <c r="N242" s="298"/>
      <c r="O242" s="300"/>
      <c r="P242" s="298"/>
      <c r="Q242" s="1836">
        <f>11.747-11.214</f>
        <v>0.53299999999999947</v>
      </c>
      <c r="R242" s="2049"/>
      <c r="S242" s="15"/>
      <c r="T242" s="233"/>
      <c r="U242" s="15"/>
      <c r="V242" s="15"/>
      <c r="W242" s="17"/>
      <c r="X242" s="233"/>
      <c r="Y242" s="17"/>
      <c r="Z242" s="250"/>
      <c r="AA242" s="3"/>
      <c r="AB242" s="3"/>
      <c r="AE242" s="1572"/>
    </row>
    <row r="243" spans="1:31" s="2697" customFormat="1" ht="15.5" x14ac:dyDescent="0.35">
      <c r="A243" s="295"/>
      <c r="B243" s="293"/>
      <c r="C243" s="293"/>
      <c r="D243" s="293"/>
      <c r="E243" s="291" t="s">
        <v>10682</v>
      </c>
      <c r="F243" s="1138">
        <v>5</v>
      </c>
      <c r="G243" s="1138">
        <v>5</v>
      </c>
      <c r="H243" s="1138">
        <v>6</v>
      </c>
      <c r="I243" s="298"/>
      <c r="J243" s="298"/>
      <c r="K243" s="298"/>
      <c r="L243" s="298"/>
      <c r="M243" s="298"/>
      <c r="N243" s="298">
        <f>11.803-11.747</f>
        <v>5.6000000000000938E-2</v>
      </c>
      <c r="O243" s="300"/>
      <c r="P243" s="298"/>
      <c r="Q243" s="1836"/>
      <c r="R243" s="2049"/>
      <c r="S243" s="15"/>
      <c r="T243" s="233"/>
      <c r="U243" s="15"/>
      <c r="V243" s="15"/>
      <c r="W243" s="17"/>
      <c r="X243" s="233"/>
      <c r="Y243" s="17"/>
      <c r="Z243" s="250"/>
      <c r="AA243" s="3"/>
      <c r="AB243" s="3"/>
      <c r="AE243" s="1572"/>
    </row>
    <row r="244" spans="1:31" ht="45.5" x14ac:dyDescent="0.35">
      <c r="A244" s="295">
        <v>109</v>
      </c>
      <c r="B244" s="999">
        <v>10026</v>
      </c>
      <c r="C244" s="999"/>
      <c r="D244" s="2474" t="s">
        <v>3801</v>
      </c>
      <c r="E244" s="288" t="s">
        <v>7437</v>
      </c>
      <c r="F244" s="1138" t="s">
        <v>664</v>
      </c>
      <c r="G244" s="1138">
        <v>5</v>
      </c>
      <c r="H244" s="1138">
        <v>6</v>
      </c>
      <c r="I244" s="297">
        <f>J244+K244+L244</f>
        <v>0.5</v>
      </c>
      <c r="J244" s="297">
        <f>SUM(M244:R244)</f>
        <v>0.5</v>
      </c>
      <c r="K244" s="297"/>
      <c r="L244" s="297"/>
      <c r="M244" s="297"/>
      <c r="N244" s="297"/>
      <c r="O244" s="619"/>
      <c r="P244" s="297"/>
      <c r="Q244" s="932"/>
      <c r="R244" s="925">
        <v>0.5</v>
      </c>
      <c r="S244" s="15"/>
      <c r="T244" s="233"/>
      <c r="U244" s="15"/>
      <c r="V244" s="15"/>
      <c r="W244" s="17"/>
      <c r="X244" s="233"/>
      <c r="Y244" s="17"/>
      <c r="Z244" s="250"/>
      <c r="AA244" s="3"/>
      <c r="AB244" s="3">
        <v>1</v>
      </c>
      <c r="AE244" s="1572"/>
    </row>
    <row r="245" spans="1:31" ht="45.5" x14ac:dyDescent="0.35">
      <c r="A245" s="295">
        <v>110</v>
      </c>
      <c r="B245" s="999">
        <v>10026</v>
      </c>
      <c r="C245" s="999" t="s">
        <v>1656</v>
      </c>
      <c r="D245" s="2474" t="s">
        <v>3802</v>
      </c>
      <c r="E245" s="288" t="s">
        <v>8158</v>
      </c>
      <c r="F245" s="1138" t="s">
        <v>664</v>
      </c>
      <c r="G245" s="1138">
        <v>5</v>
      </c>
      <c r="H245" s="1138">
        <v>6</v>
      </c>
      <c r="I245" s="297">
        <f>J245+K245+L245</f>
        <v>0.44</v>
      </c>
      <c r="J245" s="297">
        <f>SUM(M245:R245)</f>
        <v>0.44</v>
      </c>
      <c r="K245" s="297"/>
      <c r="L245" s="297"/>
      <c r="M245" s="297"/>
      <c r="N245" s="297"/>
      <c r="O245" s="619"/>
      <c r="P245" s="297"/>
      <c r="Q245" s="932"/>
      <c r="R245" s="925">
        <v>0.44</v>
      </c>
      <c r="S245" s="15"/>
      <c r="T245" s="233"/>
      <c r="U245" s="15"/>
      <c r="V245" s="15"/>
      <c r="W245" s="17"/>
      <c r="X245" s="233"/>
      <c r="Y245" s="17"/>
      <c r="Z245" s="250"/>
      <c r="AA245" s="3"/>
      <c r="AB245" s="3">
        <v>1</v>
      </c>
      <c r="AE245" s="1572"/>
    </row>
    <row r="246" spans="1:31" ht="15.5" x14ac:dyDescent="0.35">
      <c r="A246" s="295">
        <v>111</v>
      </c>
      <c r="B246" s="56">
        <v>10027</v>
      </c>
      <c r="C246" s="56"/>
      <c r="D246" s="293" t="s">
        <v>2601</v>
      </c>
      <c r="E246" s="511" t="s">
        <v>10811</v>
      </c>
      <c r="F246" s="1138"/>
      <c r="G246" s="1138" t="s">
        <v>191</v>
      </c>
      <c r="H246" s="1138" t="s">
        <v>191</v>
      </c>
      <c r="I246" s="297">
        <f>J246+K246+L246</f>
        <v>7.1070000000000011</v>
      </c>
      <c r="J246" s="297">
        <f>SUM(M246:R246)</f>
        <v>7.0850000000000009</v>
      </c>
      <c r="K246" s="297"/>
      <c r="L246" s="297">
        <f>SUM(L247:L250)</f>
        <v>2.1999999999999999E-2</v>
      </c>
      <c r="M246" s="297"/>
      <c r="N246" s="297">
        <f>SUM(N247:N250)</f>
        <v>4.0330000000000013</v>
      </c>
      <c r="O246" s="619"/>
      <c r="P246" s="297"/>
      <c r="Q246" s="932">
        <f>SUM(Q247:Q250)</f>
        <v>3.0519999999999996</v>
      </c>
      <c r="R246" s="925"/>
      <c r="S246" s="15"/>
      <c r="T246" s="233"/>
      <c r="U246" s="15"/>
      <c r="V246" s="15"/>
      <c r="W246" s="154">
        <v>16</v>
      </c>
      <c r="X246" s="1962">
        <v>207</v>
      </c>
      <c r="Y246" s="154">
        <v>6</v>
      </c>
      <c r="Z246" s="250">
        <v>46</v>
      </c>
      <c r="AA246" s="3"/>
      <c r="AB246" s="3">
        <v>1</v>
      </c>
      <c r="AE246" s="1572"/>
    </row>
    <row r="247" spans="1:31" ht="34.5" customHeight="1" x14ac:dyDescent="0.35">
      <c r="A247" s="295"/>
      <c r="B247" s="56">
        <v>10027</v>
      </c>
      <c r="C247" s="56"/>
      <c r="D247" s="293"/>
      <c r="E247" s="270" t="s">
        <v>10651</v>
      </c>
      <c r="F247" s="1138">
        <v>4</v>
      </c>
      <c r="G247" s="1138">
        <v>5</v>
      </c>
      <c r="H247" s="1138" t="s">
        <v>191</v>
      </c>
      <c r="I247" s="298"/>
      <c r="J247" s="298"/>
      <c r="K247" s="298"/>
      <c r="L247" s="487">
        <v>2.1999999999999999E-2</v>
      </c>
      <c r="M247" s="298"/>
      <c r="N247" s="298"/>
      <c r="O247" s="621"/>
      <c r="P247" s="298"/>
      <c r="Q247" s="933"/>
      <c r="R247" s="927"/>
      <c r="S247" s="15"/>
      <c r="T247" s="233"/>
      <c r="U247" s="15"/>
      <c r="V247" s="15"/>
      <c r="W247" s="17"/>
      <c r="X247" s="233"/>
      <c r="Y247" s="17"/>
      <c r="Z247" s="250"/>
      <c r="AA247" s="3"/>
      <c r="AB247" s="3"/>
      <c r="AE247" s="1572"/>
    </row>
    <row r="248" spans="1:31" s="2692" customFormat="1" ht="15.5" x14ac:dyDescent="0.35">
      <c r="A248" s="295"/>
      <c r="B248" s="56"/>
      <c r="C248" s="56"/>
      <c r="D248" s="293"/>
      <c r="E248" s="291" t="s">
        <v>10648</v>
      </c>
      <c r="F248" s="1138">
        <v>4</v>
      </c>
      <c r="G248" s="1138">
        <v>5</v>
      </c>
      <c r="H248" s="1138">
        <v>6</v>
      </c>
      <c r="I248" s="298"/>
      <c r="J248" s="298"/>
      <c r="K248" s="298"/>
      <c r="L248" s="298"/>
      <c r="M248" s="298"/>
      <c r="N248" s="298">
        <f>3.998-0.022</f>
        <v>3.9760000000000004</v>
      </c>
      <c r="O248" s="621"/>
      <c r="P248" s="298"/>
      <c r="Q248" s="933"/>
      <c r="R248" s="927"/>
      <c r="S248" s="15"/>
      <c r="T248" s="233"/>
      <c r="U248" s="15"/>
      <c r="V248" s="15"/>
      <c r="W248" s="17"/>
      <c r="X248" s="233"/>
      <c r="Y248" s="17"/>
      <c r="Z248" s="250"/>
      <c r="AA248" s="3"/>
      <c r="AB248" s="3"/>
      <c r="AE248" s="1572"/>
    </row>
    <row r="249" spans="1:31" ht="15.5" x14ac:dyDescent="0.35">
      <c r="A249" s="295"/>
      <c r="B249" s="56">
        <v>10027</v>
      </c>
      <c r="C249" s="56"/>
      <c r="D249" s="293"/>
      <c r="E249" s="837" t="s">
        <v>10649</v>
      </c>
      <c r="F249" s="1138">
        <v>4</v>
      </c>
      <c r="G249" s="1138">
        <v>5</v>
      </c>
      <c r="H249" s="1138">
        <v>6</v>
      </c>
      <c r="I249" s="298"/>
      <c r="J249" s="298"/>
      <c r="K249" s="298"/>
      <c r="L249" s="298"/>
      <c r="M249" s="298"/>
      <c r="N249" s="298"/>
      <c r="O249" s="621"/>
      <c r="P249" s="298"/>
      <c r="Q249" s="933">
        <f>7.05-3.998</f>
        <v>3.0519999999999996</v>
      </c>
      <c r="R249" s="927"/>
      <c r="S249" s="15"/>
      <c r="T249" s="233"/>
      <c r="U249" s="15"/>
      <c r="V249" s="15"/>
      <c r="W249" s="17"/>
      <c r="X249" s="233"/>
      <c r="Y249" s="17"/>
      <c r="Z249" s="250"/>
      <c r="AA249" s="3" t="s">
        <v>858</v>
      </c>
      <c r="AB249" s="3"/>
      <c r="AE249" s="1572"/>
    </row>
    <row r="250" spans="1:31" ht="15.5" x14ac:dyDescent="0.35">
      <c r="A250" s="295"/>
      <c r="B250" s="56">
        <v>10027</v>
      </c>
      <c r="C250" s="56"/>
      <c r="D250" s="293"/>
      <c r="E250" s="291" t="s">
        <v>10650</v>
      </c>
      <c r="F250" s="1138">
        <v>4</v>
      </c>
      <c r="G250" s="1138">
        <v>5</v>
      </c>
      <c r="H250" s="1138">
        <v>6</v>
      </c>
      <c r="I250" s="298"/>
      <c r="J250" s="298"/>
      <c r="K250" s="298"/>
      <c r="L250" s="298"/>
      <c r="M250" s="298"/>
      <c r="N250" s="298">
        <f>7.107-7.05</f>
        <v>5.7000000000000384E-2</v>
      </c>
      <c r="O250" s="621"/>
      <c r="P250" s="298"/>
      <c r="Q250" s="933"/>
      <c r="R250" s="927"/>
      <c r="S250" s="15"/>
      <c r="T250" s="233"/>
      <c r="U250" s="15"/>
      <c r="V250" s="15"/>
      <c r="W250" s="17"/>
      <c r="X250" s="233"/>
      <c r="Y250" s="17"/>
      <c r="Z250" s="250"/>
      <c r="AA250" s="3" t="s">
        <v>858</v>
      </c>
      <c r="AB250" s="3"/>
      <c r="AE250" s="1572"/>
    </row>
    <row r="251" spans="1:31" ht="45.5" x14ac:dyDescent="0.35">
      <c r="A251" s="295">
        <v>112</v>
      </c>
      <c r="B251" s="999">
        <v>10027</v>
      </c>
      <c r="C251" s="999"/>
      <c r="D251" s="2474" t="s">
        <v>3803</v>
      </c>
      <c r="E251" s="288" t="s">
        <v>7438</v>
      </c>
      <c r="F251" s="1138" t="s">
        <v>664</v>
      </c>
      <c r="G251" s="1138">
        <v>5</v>
      </c>
      <c r="H251" s="1138">
        <v>6</v>
      </c>
      <c r="I251" s="297">
        <f>J251+K251+L251</f>
        <v>1.2</v>
      </c>
      <c r="J251" s="297">
        <f>SUM(M251:R251)</f>
        <v>1.2</v>
      </c>
      <c r="K251" s="297"/>
      <c r="L251" s="297"/>
      <c r="M251" s="297"/>
      <c r="N251" s="297"/>
      <c r="O251" s="619"/>
      <c r="P251" s="297"/>
      <c r="Q251" s="932"/>
      <c r="R251" s="925">
        <v>1.2</v>
      </c>
      <c r="S251" s="15"/>
      <c r="T251" s="233"/>
      <c r="U251" s="15"/>
      <c r="V251" s="15"/>
      <c r="W251" s="2441">
        <v>1</v>
      </c>
      <c r="X251" s="2446">
        <v>12.7</v>
      </c>
      <c r="Y251" s="17"/>
      <c r="Z251" s="250"/>
      <c r="AA251" s="3"/>
      <c r="AB251" s="3">
        <v>1</v>
      </c>
      <c r="AE251" s="1572"/>
    </row>
    <row r="252" spans="1:31" ht="45" x14ac:dyDescent="0.35">
      <c r="A252" s="693">
        <v>113</v>
      </c>
      <c r="B252" s="693">
        <v>10027</v>
      </c>
      <c r="C252" s="999" t="s">
        <v>1656</v>
      </c>
      <c r="D252" s="2474" t="s">
        <v>3804</v>
      </c>
      <c r="E252" s="2187" t="s">
        <v>8159</v>
      </c>
      <c r="F252" s="92" t="s">
        <v>664</v>
      </c>
      <c r="G252" s="92">
        <v>5</v>
      </c>
      <c r="H252" s="1138">
        <v>6</v>
      </c>
      <c r="I252" s="702">
        <f>J252+K252+L252</f>
        <v>1.3</v>
      </c>
      <c r="J252" s="702">
        <f>SUM(M252:R252)</f>
        <v>1.3</v>
      </c>
      <c r="K252" s="106"/>
      <c r="L252" s="106"/>
      <c r="M252" s="106"/>
      <c r="N252" s="106"/>
      <c r="O252" s="106"/>
      <c r="P252" s="106"/>
      <c r="Q252" s="106"/>
      <c r="R252" s="906">
        <v>1.3</v>
      </c>
      <c r="S252" s="106"/>
      <c r="T252" s="106"/>
      <c r="U252" s="106"/>
      <c r="V252" s="106"/>
      <c r="W252" s="105"/>
      <c r="X252" s="105"/>
      <c r="Y252" s="105"/>
      <c r="Z252" s="105"/>
      <c r="AB252">
        <v>1</v>
      </c>
      <c r="AE252" s="1572"/>
    </row>
    <row r="253" spans="1:31" ht="30.5" x14ac:dyDescent="0.35">
      <c r="A253" s="295">
        <v>114</v>
      </c>
      <c r="B253" s="56">
        <v>10028</v>
      </c>
      <c r="C253" s="56"/>
      <c r="D253" s="293" t="s">
        <v>921</v>
      </c>
      <c r="E253" s="288" t="s">
        <v>9520</v>
      </c>
      <c r="F253" s="1138"/>
      <c r="G253" s="1138" t="s">
        <v>191</v>
      </c>
      <c r="H253" s="1138" t="s">
        <v>191</v>
      </c>
      <c r="I253" s="297">
        <f>J253+K253+L253</f>
        <v>3.0619999999999998</v>
      </c>
      <c r="J253" s="297">
        <f>SUM(M253:R253)</f>
        <v>2.3179999999999996</v>
      </c>
      <c r="K253" s="297"/>
      <c r="L253" s="297">
        <f>SUM(L254:L257)</f>
        <v>0.74400000000000011</v>
      </c>
      <c r="M253" s="297"/>
      <c r="N253" s="297">
        <f>SUM(N254:N257)</f>
        <v>1.5699999999999998</v>
      </c>
      <c r="O253" s="619"/>
      <c r="P253" s="297"/>
      <c r="Q253" s="932"/>
      <c r="R253" s="925">
        <f>SUM(R254:R257)</f>
        <v>0.74799999999999978</v>
      </c>
      <c r="S253" s="15"/>
      <c r="T253" s="233"/>
      <c r="U253" s="15"/>
      <c r="V253" s="15"/>
      <c r="W253" s="17">
        <v>4</v>
      </c>
      <c r="X253" s="233">
        <v>41.35</v>
      </c>
      <c r="Y253" s="17">
        <v>2</v>
      </c>
      <c r="Z253" s="250">
        <v>21</v>
      </c>
      <c r="AA253" s="3"/>
      <c r="AB253" s="3">
        <v>1</v>
      </c>
      <c r="AE253" s="1572"/>
    </row>
    <row r="254" spans="1:31" ht="15.5" x14ac:dyDescent="0.35">
      <c r="A254" s="295"/>
      <c r="B254" s="56">
        <v>10028</v>
      </c>
      <c r="C254" s="56"/>
      <c r="D254" s="293"/>
      <c r="E254" s="291" t="s">
        <v>3116</v>
      </c>
      <c r="F254" s="1138">
        <v>4</v>
      </c>
      <c r="G254" s="1138">
        <v>5</v>
      </c>
      <c r="H254" s="1138">
        <v>6</v>
      </c>
      <c r="I254" s="298"/>
      <c r="J254" s="298"/>
      <c r="K254" s="298"/>
      <c r="L254" s="298"/>
      <c r="M254" s="298"/>
      <c r="N254" s="298">
        <v>0.36399999999999999</v>
      </c>
      <c r="O254" s="621"/>
      <c r="P254" s="298"/>
      <c r="Q254" s="933"/>
      <c r="R254" s="927"/>
      <c r="S254" s="15"/>
      <c r="T254" s="233"/>
      <c r="U254" s="15"/>
      <c r="V254" s="15"/>
      <c r="W254" s="17"/>
      <c r="X254" s="233"/>
      <c r="Y254" s="17"/>
      <c r="Z254" s="250"/>
      <c r="AA254" s="3"/>
      <c r="AB254" s="3"/>
      <c r="AE254" s="1572"/>
    </row>
    <row r="255" spans="1:31" ht="31" x14ac:dyDescent="0.35">
      <c r="A255" s="295"/>
      <c r="B255" s="56">
        <v>10028</v>
      </c>
      <c r="C255" s="56"/>
      <c r="D255" s="293"/>
      <c r="E255" s="291" t="s">
        <v>3117</v>
      </c>
      <c r="F255" s="1138">
        <v>4</v>
      </c>
      <c r="G255" s="1138">
        <v>5</v>
      </c>
      <c r="H255" s="1138" t="s">
        <v>191</v>
      </c>
      <c r="I255" s="298"/>
      <c r="J255" s="298"/>
      <c r="K255" s="298"/>
      <c r="L255" s="298">
        <f>1.108-0.364</f>
        <v>0.74400000000000011</v>
      </c>
      <c r="M255" s="298"/>
      <c r="N255" s="298"/>
      <c r="O255" s="621"/>
      <c r="P255" s="298"/>
      <c r="Q255" s="933"/>
      <c r="R255" s="927"/>
      <c r="S255" s="15"/>
      <c r="T255" s="233"/>
      <c r="U255" s="15"/>
      <c r="V255" s="15"/>
      <c r="W255" s="17"/>
      <c r="X255" s="233"/>
      <c r="Y255" s="17"/>
      <c r="Z255" s="250"/>
      <c r="AA255" s="3"/>
      <c r="AB255" s="3"/>
      <c r="AE255" s="1572"/>
    </row>
    <row r="256" spans="1:31" ht="15.5" x14ac:dyDescent="0.35">
      <c r="A256" s="295"/>
      <c r="B256" s="56"/>
      <c r="C256" s="56"/>
      <c r="D256" s="293"/>
      <c r="E256" s="291" t="s">
        <v>3118</v>
      </c>
      <c r="F256" s="1138" t="s">
        <v>827</v>
      </c>
      <c r="G256" s="1138">
        <v>5</v>
      </c>
      <c r="H256" s="1138">
        <v>6</v>
      </c>
      <c r="I256" s="298"/>
      <c r="J256" s="298"/>
      <c r="K256" s="298"/>
      <c r="L256" s="298"/>
      <c r="M256" s="298"/>
      <c r="N256" s="298">
        <f>2.314-1.108</f>
        <v>1.206</v>
      </c>
      <c r="O256" s="621"/>
      <c r="P256" s="298"/>
      <c r="Q256" s="933"/>
      <c r="R256" s="927"/>
      <c r="S256" s="15"/>
      <c r="T256" s="233"/>
      <c r="U256" s="15"/>
      <c r="V256" s="15"/>
      <c r="W256" s="17"/>
      <c r="X256" s="233"/>
      <c r="Y256" s="17"/>
      <c r="Z256" s="250"/>
      <c r="AA256" s="3"/>
      <c r="AB256" s="3"/>
      <c r="AE256" s="1572"/>
    </row>
    <row r="257" spans="1:31" ht="15.5" x14ac:dyDescent="0.35">
      <c r="A257" s="295"/>
      <c r="B257" s="56">
        <v>10028</v>
      </c>
      <c r="C257" s="56"/>
      <c r="D257" s="293"/>
      <c r="E257" s="838" t="s">
        <v>3119</v>
      </c>
      <c r="F257" s="1138" t="s">
        <v>827</v>
      </c>
      <c r="G257" s="1138">
        <v>5</v>
      </c>
      <c r="H257" s="1138">
        <v>6</v>
      </c>
      <c r="I257" s="298"/>
      <c r="J257" s="298"/>
      <c r="K257" s="298"/>
      <c r="L257" s="298"/>
      <c r="M257" s="298"/>
      <c r="N257" s="298"/>
      <c r="O257" s="621"/>
      <c r="P257" s="298"/>
      <c r="Q257" s="933"/>
      <c r="R257" s="927">
        <f>3.062-2.314</f>
        <v>0.74799999999999978</v>
      </c>
      <c r="S257" s="15"/>
      <c r="T257" s="233"/>
      <c r="U257" s="15"/>
      <c r="V257" s="15"/>
      <c r="W257" s="17"/>
      <c r="X257" s="233"/>
      <c r="Y257" s="17"/>
      <c r="Z257" s="250"/>
      <c r="AA257" s="3"/>
      <c r="AB257" s="3"/>
      <c r="AE257" s="1572"/>
    </row>
    <row r="258" spans="1:31" ht="15.5" x14ac:dyDescent="0.35">
      <c r="A258" s="295">
        <v>115</v>
      </c>
      <c r="B258" s="56">
        <v>10029</v>
      </c>
      <c r="C258" s="56"/>
      <c r="D258" s="293" t="s">
        <v>922</v>
      </c>
      <c r="E258" s="288" t="s">
        <v>2561</v>
      </c>
      <c r="F258" s="1138"/>
      <c r="G258" s="1138" t="s">
        <v>191</v>
      </c>
      <c r="H258" s="1138" t="s">
        <v>191</v>
      </c>
      <c r="I258" s="297">
        <f>J258+K258+L258</f>
        <v>3.25</v>
      </c>
      <c r="J258" s="297">
        <f>SUM(M258:R258)</f>
        <v>2.92</v>
      </c>
      <c r="K258" s="297"/>
      <c r="L258" s="297">
        <f>SUM(L259:L261)</f>
        <v>0.33</v>
      </c>
      <c r="M258" s="297"/>
      <c r="N258" s="297">
        <f>SUM(N259:N261)</f>
        <v>1.0249999999999999</v>
      </c>
      <c r="O258" s="619"/>
      <c r="P258" s="297"/>
      <c r="Q258" s="932">
        <f>SUM(Q259:Q261)</f>
        <v>1.895</v>
      </c>
      <c r="R258" s="925"/>
      <c r="S258" s="15"/>
      <c r="T258" s="233"/>
      <c r="U258" s="15"/>
      <c r="V258" s="15"/>
      <c r="W258" s="2441">
        <f>9+1</f>
        <v>10</v>
      </c>
      <c r="X258" s="2446">
        <f>103.34+15</f>
        <v>118.34</v>
      </c>
      <c r="Y258" s="17">
        <v>1</v>
      </c>
      <c r="Z258" s="250">
        <v>15</v>
      </c>
      <c r="AA258" s="3"/>
      <c r="AB258" s="3">
        <v>1</v>
      </c>
      <c r="AE258" s="1572"/>
    </row>
    <row r="259" spans="1:31" ht="31" x14ac:dyDescent="0.35">
      <c r="A259" s="295"/>
      <c r="B259" s="56"/>
      <c r="C259" s="56"/>
      <c r="D259" s="293"/>
      <c r="E259" s="291" t="s">
        <v>1217</v>
      </c>
      <c r="F259" s="1138">
        <v>5</v>
      </c>
      <c r="G259" s="1138">
        <v>5</v>
      </c>
      <c r="H259" s="1138" t="s">
        <v>191</v>
      </c>
      <c r="I259" s="297"/>
      <c r="J259" s="297"/>
      <c r="K259" s="297"/>
      <c r="L259" s="298">
        <v>0.33</v>
      </c>
      <c r="M259" s="297"/>
      <c r="N259" s="297"/>
      <c r="O259" s="619"/>
      <c r="P259" s="297"/>
      <c r="Q259" s="932"/>
      <c r="R259" s="925"/>
      <c r="S259" s="15"/>
      <c r="T259" s="233"/>
      <c r="U259" s="15"/>
      <c r="V259" s="15"/>
      <c r="W259" s="17"/>
      <c r="X259" s="233"/>
      <c r="Y259" s="17"/>
      <c r="Z259" s="250"/>
      <c r="AA259" s="3"/>
      <c r="AB259" s="3"/>
      <c r="AE259" s="1572"/>
    </row>
    <row r="260" spans="1:31" ht="15.5" x14ac:dyDescent="0.35">
      <c r="A260" s="295"/>
      <c r="B260" s="56">
        <v>10029</v>
      </c>
      <c r="C260" s="56"/>
      <c r="D260" s="293"/>
      <c r="E260" s="291" t="s">
        <v>1218</v>
      </c>
      <c r="F260" s="1138">
        <v>5</v>
      </c>
      <c r="G260" s="1138">
        <v>5</v>
      </c>
      <c r="H260" s="1138">
        <v>6</v>
      </c>
      <c r="I260" s="298"/>
      <c r="J260" s="298"/>
      <c r="K260" s="298"/>
      <c r="L260" s="298"/>
      <c r="M260" s="298"/>
      <c r="N260" s="298">
        <f>1.355-0.33</f>
        <v>1.0249999999999999</v>
      </c>
      <c r="O260" s="621"/>
      <c r="P260" s="298"/>
      <c r="Q260" s="933"/>
      <c r="R260" s="927"/>
      <c r="S260" s="15"/>
      <c r="T260" s="233"/>
      <c r="U260" s="15"/>
      <c r="V260" s="15"/>
      <c r="W260" s="17"/>
      <c r="X260" s="233"/>
      <c r="Y260" s="17"/>
      <c r="Z260" s="250"/>
      <c r="AA260" s="3"/>
      <c r="AB260" s="3"/>
      <c r="AE260" s="1572"/>
    </row>
    <row r="261" spans="1:31" ht="15.5" x14ac:dyDescent="0.35">
      <c r="A261" s="295"/>
      <c r="B261" s="56">
        <v>10029</v>
      </c>
      <c r="C261" s="56"/>
      <c r="D261" s="293"/>
      <c r="E261" s="837" t="s">
        <v>3407</v>
      </c>
      <c r="F261" s="1138">
        <v>5</v>
      </c>
      <c r="G261" s="1138">
        <v>5</v>
      </c>
      <c r="H261" s="1138">
        <v>6</v>
      </c>
      <c r="I261" s="298"/>
      <c r="J261" s="298"/>
      <c r="K261" s="298"/>
      <c r="L261" s="298"/>
      <c r="M261" s="298"/>
      <c r="N261" s="298"/>
      <c r="O261" s="621"/>
      <c r="P261" s="298"/>
      <c r="Q261" s="933">
        <v>1.895</v>
      </c>
      <c r="R261" s="927"/>
      <c r="S261" s="15"/>
      <c r="T261" s="233"/>
      <c r="U261" s="15"/>
      <c r="V261" s="15"/>
      <c r="W261" s="17"/>
      <c r="X261" s="233"/>
      <c r="Y261" s="17"/>
      <c r="Z261" s="250"/>
      <c r="AA261" s="3"/>
      <c r="AB261" s="3"/>
      <c r="AE261" s="1572"/>
    </row>
    <row r="262" spans="1:31" ht="30.5" x14ac:dyDescent="0.35">
      <c r="A262" s="295">
        <v>116</v>
      </c>
      <c r="B262" s="999">
        <v>10029</v>
      </c>
      <c r="C262" s="999" t="s">
        <v>1656</v>
      </c>
      <c r="D262" s="2474" t="s">
        <v>3805</v>
      </c>
      <c r="E262" s="288" t="s">
        <v>8160</v>
      </c>
      <c r="F262" s="1138" t="s">
        <v>664</v>
      </c>
      <c r="G262" s="1138">
        <v>5</v>
      </c>
      <c r="H262" s="1138">
        <v>6</v>
      </c>
      <c r="I262" s="297">
        <f>J262+K262+L262</f>
        <v>0.45</v>
      </c>
      <c r="J262" s="297">
        <f>SUM(M262:R262)</f>
        <v>0.45</v>
      </c>
      <c r="K262" s="297"/>
      <c r="L262" s="297"/>
      <c r="M262" s="297"/>
      <c r="N262" s="297"/>
      <c r="O262" s="619"/>
      <c r="P262" s="297"/>
      <c r="Q262" s="932"/>
      <c r="R262" s="925">
        <v>0.45</v>
      </c>
      <c r="S262" s="15"/>
      <c r="T262" s="233"/>
      <c r="U262" s="15"/>
      <c r="V262" s="15"/>
      <c r="W262" s="17"/>
      <c r="X262" s="233"/>
      <c r="Y262" s="17"/>
      <c r="Z262" s="250"/>
      <c r="AA262" s="3"/>
      <c r="AB262" s="3">
        <v>1</v>
      </c>
      <c r="AE262" s="1572"/>
    </row>
    <row r="263" spans="1:31" ht="15.5" x14ac:dyDescent="0.35">
      <c r="A263" s="295">
        <v>117</v>
      </c>
      <c r="B263" s="56">
        <v>10030</v>
      </c>
      <c r="C263" s="56"/>
      <c r="D263" s="293" t="s">
        <v>923</v>
      </c>
      <c r="E263" s="288" t="s">
        <v>6898</v>
      </c>
      <c r="F263" s="1138"/>
      <c r="G263" s="1138" t="s">
        <v>191</v>
      </c>
      <c r="H263" s="1138" t="s">
        <v>191</v>
      </c>
      <c r="I263" s="297">
        <f>J263+K263+L263</f>
        <v>1.7049999999999998</v>
      </c>
      <c r="J263" s="297">
        <f>SUM(M263:R263)</f>
        <v>1.7049999999999998</v>
      </c>
      <c r="K263" s="297"/>
      <c r="L263" s="297"/>
      <c r="M263" s="297"/>
      <c r="N263" s="297">
        <f>SUM(N264:N266)</f>
        <v>0.16999999999999998</v>
      </c>
      <c r="O263" s="619"/>
      <c r="P263" s="297"/>
      <c r="Q263" s="932">
        <f>SUM(Q264:Q266)</f>
        <v>1.5349999999999999</v>
      </c>
      <c r="R263" s="925"/>
      <c r="S263" s="15"/>
      <c r="T263" s="233"/>
      <c r="U263" s="15"/>
      <c r="V263" s="15"/>
      <c r="W263" s="17">
        <v>5</v>
      </c>
      <c r="X263" s="233">
        <v>63.6</v>
      </c>
      <c r="Y263" s="17"/>
      <c r="Z263" s="250"/>
      <c r="AA263" s="3"/>
      <c r="AB263" s="3">
        <v>1</v>
      </c>
      <c r="AE263" s="1572"/>
    </row>
    <row r="264" spans="1:31" ht="15.5" x14ac:dyDescent="0.35">
      <c r="A264" s="295"/>
      <c r="B264" s="56">
        <v>10030</v>
      </c>
      <c r="C264" s="56"/>
      <c r="D264" s="293"/>
      <c r="E264" s="291" t="s">
        <v>3298</v>
      </c>
      <c r="F264" s="1138">
        <v>5</v>
      </c>
      <c r="G264" s="1138">
        <v>5</v>
      </c>
      <c r="H264" s="1138">
        <v>6</v>
      </c>
      <c r="I264" s="298"/>
      <c r="J264" s="298"/>
      <c r="K264" s="298"/>
      <c r="L264" s="298"/>
      <c r="M264" s="298"/>
      <c r="N264" s="298">
        <v>0.14499999999999999</v>
      </c>
      <c r="O264" s="621"/>
      <c r="P264" s="298"/>
      <c r="Q264" s="933"/>
      <c r="R264" s="927"/>
      <c r="S264" s="15"/>
      <c r="T264" s="233"/>
      <c r="U264" s="15"/>
      <c r="V264" s="15"/>
      <c r="W264" s="17"/>
      <c r="X264" s="233"/>
      <c r="Y264" s="17"/>
      <c r="Z264" s="250"/>
      <c r="AA264" s="3"/>
      <c r="AB264" s="3"/>
      <c r="AE264" s="1572"/>
    </row>
    <row r="265" spans="1:31" ht="15.5" x14ac:dyDescent="0.35">
      <c r="A265" s="295"/>
      <c r="B265" s="56">
        <v>10030</v>
      </c>
      <c r="C265" s="56"/>
      <c r="D265" s="293"/>
      <c r="E265" s="837" t="s">
        <v>3300</v>
      </c>
      <c r="F265" s="1138">
        <v>5</v>
      </c>
      <c r="G265" s="1138">
        <v>5</v>
      </c>
      <c r="H265" s="1138">
        <v>6</v>
      </c>
      <c r="I265" s="298"/>
      <c r="J265" s="298"/>
      <c r="K265" s="298"/>
      <c r="L265" s="298"/>
      <c r="M265" s="298"/>
      <c r="N265" s="298"/>
      <c r="O265" s="621"/>
      <c r="P265" s="298"/>
      <c r="Q265" s="933">
        <v>1.5349999999999999</v>
      </c>
      <c r="R265" s="927"/>
      <c r="S265" s="15"/>
      <c r="T265" s="233"/>
      <c r="U265" s="15"/>
      <c r="V265" s="15"/>
      <c r="W265" s="17"/>
      <c r="X265" s="233"/>
      <c r="Y265" s="17"/>
      <c r="Z265" s="250"/>
      <c r="AA265" s="3"/>
      <c r="AB265" s="3"/>
      <c r="AE265" s="1572"/>
    </row>
    <row r="266" spans="1:31" ht="15.5" x14ac:dyDescent="0.35">
      <c r="A266" s="295"/>
      <c r="B266" s="56">
        <v>10030</v>
      </c>
      <c r="C266" s="56"/>
      <c r="D266" s="293"/>
      <c r="E266" s="291" t="s">
        <v>3301</v>
      </c>
      <c r="F266" s="1138">
        <v>5</v>
      </c>
      <c r="G266" s="1138">
        <v>5</v>
      </c>
      <c r="H266" s="1138">
        <v>6</v>
      </c>
      <c r="I266" s="298"/>
      <c r="J266" s="298"/>
      <c r="K266" s="298"/>
      <c r="L266" s="298"/>
      <c r="M266" s="298"/>
      <c r="N266" s="298">
        <v>2.5000000000000001E-2</v>
      </c>
      <c r="O266" s="621"/>
      <c r="P266" s="298"/>
      <c r="Q266" s="933"/>
      <c r="R266" s="927"/>
      <c r="S266" s="15"/>
      <c r="T266" s="233"/>
      <c r="U266" s="15"/>
      <c r="V266" s="15"/>
      <c r="W266" s="17"/>
      <c r="X266" s="233"/>
      <c r="Y266" s="17"/>
      <c r="Z266" s="250"/>
      <c r="AA266" s="3"/>
      <c r="AB266" s="3"/>
      <c r="AE266" s="1572"/>
    </row>
    <row r="267" spans="1:31" ht="30.5" x14ac:dyDescent="0.35">
      <c r="A267" s="295">
        <v>118</v>
      </c>
      <c r="B267" s="56">
        <v>10030</v>
      </c>
      <c r="C267" s="56"/>
      <c r="D267" s="2474" t="s">
        <v>3806</v>
      </c>
      <c r="E267" s="550" t="s">
        <v>7439</v>
      </c>
      <c r="F267" s="1138">
        <v>5</v>
      </c>
      <c r="G267" s="1138">
        <v>5</v>
      </c>
      <c r="H267" s="1138">
        <v>6</v>
      </c>
      <c r="I267" s="297">
        <f>J267+K267+L267</f>
        <v>1.3</v>
      </c>
      <c r="J267" s="297">
        <f>SUM(M267:R267)</f>
        <v>1.3</v>
      </c>
      <c r="K267" s="297"/>
      <c r="L267" s="297"/>
      <c r="M267" s="297"/>
      <c r="N267" s="297"/>
      <c r="O267" s="619"/>
      <c r="P267" s="297"/>
      <c r="Q267" s="932">
        <v>1.3</v>
      </c>
      <c r="R267" s="927"/>
      <c r="S267" s="15"/>
      <c r="T267" s="233"/>
      <c r="U267" s="15"/>
      <c r="V267" s="15"/>
      <c r="W267" s="17">
        <v>1</v>
      </c>
      <c r="X267" s="233">
        <v>17.3</v>
      </c>
      <c r="Y267" s="17"/>
      <c r="Z267" s="250"/>
      <c r="AA267" s="3"/>
      <c r="AB267" s="3">
        <v>1</v>
      </c>
      <c r="AE267" s="1572"/>
    </row>
    <row r="268" spans="1:31" ht="45" x14ac:dyDescent="0.35">
      <c r="A268" s="693">
        <v>119</v>
      </c>
      <c r="B268" s="693">
        <v>10030</v>
      </c>
      <c r="C268" s="999" t="s">
        <v>1656</v>
      </c>
      <c r="D268" s="2474" t="s">
        <v>3807</v>
      </c>
      <c r="E268" s="2187" t="s">
        <v>8161</v>
      </c>
      <c r="F268" s="92" t="s">
        <v>664</v>
      </c>
      <c r="G268" s="92">
        <v>5</v>
      </c>
      <c r="H268" s="1138">
        <v>6</v>
      </c>
      <c r="I268" s="702">
        <f>J268+K268+L268</f>
        <v>0.2</v>
      </c>
      <c r="J268" s="702">
        <f>SUM(M268:R268)</f>
        <v>0.2</v>
      </c>
      <c r="K268" s="622"/>
      <c r="L268" s="622"/>
      <c r="M268" s="622"/>
      <c r="N268" s="622"/>
      <c r="O268" s="622"/>
      <c r="P268" s="622"/>
      <c r="Q268" s="622"/>
      <c r="R268" s="906">
        <v>0.2</v>
      </c>
      <c r="S268" s="106"/>
      <c r="T268" s="106"/>
      <c r="U268" s="106"/>
      <c r="V268" s="106"/>
      <c r="W268" s="105"/>
      <c r="X268" s="105"/>
      <c r="Y268" s="105"/>
      <c r="Z268" s="105"/>
      <c r="AB268">
        <v>1</v>
      </c>
      <c r="AE268" s="1572"/>
    </row>
    <row r="269" spans="1:31" ht="15.5" x14ac:dyDescent="0.35">
      <c r="A269" s="295">
        <v>120</v>
      </c>
      <c r="B269" s="56">
        <v>10031</v>
      </c>
      <c r="C269" s="56"/>
      <c r="D269" s="293" t="s">
        <v>924</v>
      </c>
      <c r="E269" s="511" t="s">
        <v>11344</v>
      </c>
      <c r="F269" s="1138"/>
      <c r="G269" s="1138" t="s">
        <v>191</v>
      </c>
      <c r="H269" s="1138" t="s">
        <v>191</v>
      </c>
      <c r="I269" s="297">
        <f>J269+K269+L269</f>
        <v>2.9399999999999995</v>
      </c>
      <c r="J269" s="297">
        <f>SUM(M269:R269)</f>
        <v>2.8339999999999996</v>
      </c>
      <c r="K269" s="297"/>
      <c r="L269" s="297">
        <f>SUM(L270:L273)</f>
        <v>0.10599999999999998</v>
      </c>
      <c r="M269" s="297"/>
      <c r="N269" s="297"/>
      <c r="O269" s="619"/>
      <c r="P269" s="297"/>
      <c r="Q269" s="932">
        <f>SUM(Q270:Q273)</f>
        <v>1.0489999999999999</v>
      </c>
      <c r="R269" s="925">
        <f>SUM(R270:R273)</f>
        <v>1.7849999999999999</v>
      </c>
      <c r="S269" s="15"/>
      <c r="T269" s="233"/>
      <c r="U269" s="15"/>
      <c r="V269" s="15"/>
      <c r="W269" s="17">
        <v>7</v>
      </c>
      <c r="X269" s="233">
        <v>71.599999999999994</v>
      </c>
      <c r="Y269" s="17"/>
      <c r="Z269" s="250"/>
      <c r="AA269" s="3"/>
      <c r="AB269" s="3">
        <v>1</v>
      </c>
      <c r="AE269" s="1572"/>
    </row>
    <row r="270" spans="1:31" ht="15.5" x14ac:dyDescent="0.35">
      <c r="A270" s="295"/>
      <c r="B270" s="1000">
        <v>10031</v>
      </c>
      <c r="C270" s="1000"/>
      <c r="D270" s="293"/>
      <c r="E270" s="837" t="s">
        <v>11084</v>
      </c>
      <c r="F270" s="1138">
        <v>5</v>
      </c>
      <c r="G270" s="1138">
        <v>5</v>
      </c>
      <c r="H270" s="1138">
        <v>6</v>
      </c>
      <c r="I270" s="298"/>
      <c r="J270" s="298"/>
      <c r="K270" s="298"/>
      <c r="L270" s="298"/>
      <c r="M270" s="298"/>
      <c r="N270" s="298"/>
      <c r="O270" s="621"/>
      <c r="P270" s="298"/>
      <c r="Q270" s="933">
        <v>0.92400000000000004</v>
      </c>
      <c r="R270" s="927"/>
      <c r="S270" s="15"/>
      <c r="T270" s="233"/>
      <c r="U270" s="15"/>
      <c r="V270" s="15"/>
      <c r="W270" s="17"/>
      <c r="X270" s="233"/>
      <c r="Y270" s="17"/>
      <c r="Z270" s="250"/>
      <c r="AA270" s="3"/>
      <c r="AB270" s="3"/>
      <c r="AE270" s="1572"/>
    </row>
    <row r="271" spans="1:31" ht="31" x14ac:dyDescent="0.35">
      <c r="A271" s="295"/>
      <c r="B271" s="1000">
        <v>10031</v>
      </c>
      <c r="C271" s="1000"/>
      <c r="D271" s="293"/>
      <c r="E271" s="291" t="s">
        <v>11085</v>
      </c>
      <c r="F271" s="1138">
        <v>5</v>
      </c>
      <c r="G271" s="1138">
        <v>5</v>
      </c>
      <c r="H271" s="1138" t="s">
        <v>191</v>
      </c>
      <c r="I271" s="298"/>
      <c r="J271" s="298"/>
      <c r="K271" s="298"/>
      <c r="L271" s="298">
        <f>1.03-0.924</f>
        <v>0.10599999999999998</v>
      </c>
      <c r="M271" s="298"/>
      <c r="N271" s="298"/>
      <c r="O271" s="621"/>
      <c r="P271" s="298"/>
      <c r="Q271" s="933"/>
      <c r="R271" s="927"/>
      <c r="S271" s="15"/>
      <c r="T271" s="233"/>
      <c r="U271" s="15"/>
      <c r="V271" s="15"/>
      <c r="W271" s="17"/>
      <c r="X271" s="233"/>
      <c r="Y271" s="17"/>
      <c r="Z271" s="250"/>
      <c r="AA271" s="3"/>
      <c r="AB271" s="3"/>
      <c r="AE271" s="1572"/>
    </row>
    <row r="272" spans="1:31" ht="15.5" x14ac:dyDescent="0.35">
      <c r="A272" s="295"/>
      <c r="B272" s="1000">
        <v>10031</v>
      </c>
      <c r="C272" s="1000"/>
      <c r="D272" s="293"/>
      <c r="E272" s="837" t="s">
        <v>11086</v>
      </c>
      <c r="F272" s="1138">
        <v>5</v>
      </c>
      <c r="G272" s="1138">
        <v>5</v>
      </c>
      <c r="H272" s="1138">
        <v>6</v>
      </c>
      <c r="I272" s="298"/>
      <c r="J272" s="298"/>
      <c r="K272" s="298"/>
      <c r="L272" s="298"/>
      <c r="M272" s="298"/>
      <c r="N272" s="298"/>
      <c r="O272" s="621"/>
      <c r="P272" s="298"/>
      <c r="Q272" s="933">
        <f>1.155-1.03</f>
        <v>0.125</v>
      </c>
      <c r="R272" s="927"/>
      <c r="S272" s="15"/>
      <c r="T272" s="233"/>
      <c r="U272" s="15"/>
      <c r="V272" s="15"/>
      <c r="W272" s="17"/>
      <c r="X272" s="233"/>
      <c r="Y272" s="17"/>
      <c r="Z272" s="250"/>
      <c r="AA272" s="3"/>
      <c r="AB272" s="3"/>
      <c r="AE272" s="1572"/>
    </row>
    <row r="273" spans="1:31" ht="15.5" x14ac:dyDescent="0.35">
      <c r="A273" s="295"/>
      <c r="B273" s="1000">
        <v>10031</v>
      </c>
      <c r="C273" s="1000"/>
      <c r="D273" s="293"/>
      <c r="E273" s="838" t="s">
        <v>11087</v>
      </c>
      <c r="F273" s="1138" t="s">
        <v>664</v>
      </c>
      <c r="G273" s="1138">
        <v>5</v>
      </c>
      <c r="H273" s="1138">
        <v>6</v>
      </c>
      <c r="I273" s="298"/>
      <c r="J273" s="298"/>
      <c r="K273" s="298"/>
      <c r="L273" s="298"/>
      <c r="M273" s="298"/>
      <c r="N273" s="298"/>
      <c r="O273" s="621"/>
      <c r="P273" s="298"/>
      <c r="Q273" s="933"/>
      <c r="R273" s="927">
        <f>2.94-1.155</f>
        <v>1.7849999999999999</v>
      </c>
      <c r="S273" s="15"/>
      <c r="T273" s="233"/>
      <c r="U273" s="15"/>
      <c r="V273" s="15"/>
      <c r="W273" s="17"/>
      <c r="X273" s="233"/>
      <c r="Y273" s="17"/>
      <c r="Z273" s="250"/>
      <c r="AA273" s="3"/>
      <c r="AB273" s="3"/>
      <c r="AE273" s="1572"/>
    </row>
    <row r="274" spans="1:31" ht="30" x14ac:dyDescent="0.35">
      <c r="A274" s="693">
        <v>121</v>
      </c>
      <c r="B274" s="693">
        <v>10031</v>
      </c>
      <c r="C274" s="999" t="s">
        <v>1656</v>
      </c>
      <c r="D274" s="2474" t="s">
        <v>3808</v>
      </c>
      <c r="E274" s="2187" t="s">
        <v>8162</v>
      </c>
      <c r="F274" s="92" t="s">
        <v>664</v>
      </c>
      <c r="G274" s="92">
        <v>5</v>
      </c>
      <c r="H274" s="1138">
        <v>6</v>
      </c>
      <c r="I274" s="702">
        <f>J274+K274+L274</f>
        <v>0.06</v>
      </c>
      <c r="J274" s="702">
        <f>SUM(M274:R274)</f>
        <v>0.06</v>
      </c>
      <c r="K274" s="622"/>
      <c r="L274" s="622"/>
      <c r="M274" s="622"/>
      <c r="N274" s="622"/>
      <c r="O274" s="622"/>
      <c r="P274" s="622"/>
      <c r="Q274" s="622"/>
      <c r="R274" s="906">
        <v>0.06</v>
      </c>
      <c r="S274" s="106"/>
      <c r="T274" s="106"/>
      <c r="U274" s="106"/>
      <c r="V274" s="106"/>
      <c r="W274" s="105"/>
      <c r="X274" s="105"/>
      <c r="Y274" s="105"/>
      <c r="Z274" s="105"/>
      <c r="AB274">
        <v>1</v>
      </c>
      <c r="AE274" s="1572"/>
    </row>
    <row r="275" spans="1:31" ht="30.5" x14ac:dyDescent="0.35">
      <c r="A275" s="295">
        <v>122</v>
      </c>
      <c r="B275" s="1000">
        <v>10032</v>
      </c>
      <c r="C275" s="1000"/>
      <c r="D275" s="293" t="s">
        <v>925</v>
      </c>
      <c r="E275" s="288" t="s">
        <v>1166</v>
      </c>
      <c r="F275" s="1138"/>
      <c r="G275" s="1138" t="s">
        <v>191</v>
      </c>
      <c r="H275" s="1138" t="s">
        <v>191</v>
      </c>
      <c r="I275" s="297">
        <f>J275+K275+L275</f>
        <v>5.89</v>
      </c>
      <c r="J275" s="297">
        <f>SUM(M275:R275)</f>
        <v>5.89</v>
      </c>
      <c r="K275" s="297"/>
      <c r="L275" s="297"/>
      <c r="M275" s="297"/>
      <c r="N275" s="297">
        <f>SUM(N276:N277)</f>
        <v>0.87</v>
      </c>
      <c r="O275" s="619"/>
      <c r="P275" s="297"/>
      <c r="Q275" s="932">
        <f>SUM(Q276:Q277)</f>
        <v>5.0199999999999996</v>
      </c>
      <c r="R275" s="925"/>
      <c r="S275" s="15"/>
      <c r="T275" s="233"/>
      <c r="U275" s="15"/>
      <c r="V275" s="15"/>
      <c r="W275" s="17">
        <v>10</v>
      </c>
      <c r="X275" s="233">
        <v>135.80000000000001</v>
      </c>
      <c r="Y275" s="17">
        <v>1</v>
      </c>
      <c r="Z275" s="250">
        <v>11</v>
      </c>
      <c r="AA275" s="3"/>
      <c r="AB275" s="3">
        <v>1</v>
      </c>
      <c r="AE275" s="1572"/>
    </row>
    <row r="276" spans="1:31" ht="15.5" x14ac:dyDescent="0.35">
      <c r="A276" s="295"/>
      <c r="B276" s="1000">
        <v>10032</v>
      </c>
      <c r="C276" s="1000"/>
      <c r="D276" s="293"/>
      <c r="E276" s="291" t="s">
        <v>1167</v>
      </c>
      <c r="F276" s="1138">
        <v>5</v>
      </c>
      <c r="G276" s="1138">
        <v>5</v>
      </c>
      <c r="H276" s="1138">
        <v>6</v>
      </c>
      <c r="I276" s="298"/>
      <c r="J276" s="298"/>
      <c r="K276" s="298"/>
      <c r="L276" s="298"/>
      <c r="M276" s="298"/>
      <c r="N276" s="298">
        <v>0.87</v>
      </c>
      <c r="O276" s="621"/>
      <c r="P276" s="298"/>
      <c r="Q276" s="933"/>
      <c r="R276" s="927"/>
      <c r="S276" s="15"/>
      <c r="T276" s="233"/>
      <c r="U276" s="15"/>
      <c r="V276" s="15"/>
      <c r="W276" s="17"/>
      <c r="X276" s="233"/>
      <c r="Y276" s="17"/>
      <c r="Z276" s="250"/>
      <c r="AA276" s="3"/>
      <c r="AB276" s="3"/>
      <c r="AE276" s="1572"/>
    </row>
    <row r="277" spans="1:31" ht="15.5" x14ac:dyDescent="0.35">
      <c r="A277" s="295"/>
      <c r="B277" s="1000">
        <v>10032</v>
      </c>
      <c r="C277" s="1000"/>
      <c r="D277" s="293"/>
      <c r="E277" s="837" t="s">
        <v>2158</v>
      </c>
      <c r="F277" s="1138">
        <v>5</v>
      </c>
      <c r="G277" s="1138">
        <v>5</v>
      </c>
      <c r="H277" s="1138">
        <v>6</v>
      </c>
      <c r="I277" s="298"/>
      <c r="J277" s="298"/>
      <c r="K277" s="298"/>
      <c r="L277" s="298"/>
      <c r="M277" s="298"/>
      <c r="N277" s="298"/>
      <c r="O277" s="621"/>
      <c r="P277" s="298"/>
      <c r="Q277" s="933">
        <v>5.0199999999999996</v>
      </c>
      <c r="R277" s="927"/>
      <c r="S277" s="15"/>
      <c r="T277" s="233"/>
      <c r="U277" s="15"/>
      <c r="V277" s="15"/>
      <c r="W277" s="17"/>
      <c r="X277" s="233"/>
      <c r="Y277" s="17"/>
      <c r="Z277" s="250"/>
      <c r="AA277" s="3"/>
      <c r="AB277" s="3"/>
      <c r="AE277" s="1572"/>
    </row>
    <row r="278" spans="1:31" ht="75.5" x14ac:dyDescent="0.35">
      <c r="A278" s="295">
        <v>123</v>
      </c>
      <c r="B278" s="998">
        <v>10032</v>
      </c>
      <c r="C278" s="998"/>
      <c r="D278" s="2474" t="s">
        <v>3809</v>
      </c>
      <c r="E278" s="288" t="s">
        <v>7357</v>
      </c>
      <c r="F278" s="1138">
        <v>5</v>
      </c>
      <c r="G278" s="1138">
        <v>5</v>
      </c>
      <c r="H278" s="1138">
        <v>6</v>
      </c>
      <c r="I278" s="297">
        <f>J278+K278+L278</f>
        <v>1.05</v>
      </c>
      <c r="J278" s="297">
        <f>SUM(M278:R278)</f>
        <v>1.05</v>
      </c>
      <c r="K278" s="297"/>
      <c r="L278" s="297"/>
      <c r="M278" s="297"/>
      <c r="N278" s="297"/>
      <c r="O278" s="619"/>
      <c r="P278" s="297"/>
      <c r="Q278" s="932">
        <v>1.05</v>
      </c>
      <c r="R278" s="925"/>
      <c r="S278" s="15"/>
      <c r="T278" s="233"/>
      <c r="U278" s="15"/>
      <c r="V278" s="15"/>
      <c r="W278" s="17">
        <v>2</v>
      </c>
      <c r="X278" s="233">
        <v>20</v>
      </c>
      <c r="Y278" s="17"/>
      <c r="Z278" s="250"/>
      <c r="AA278" s="3"/>
      <c r="AB278" s="3">
        <v>1</v>
      </c>
      <c r="AE278" s="1572"/>
    </row>
    <row r="279" spans="1:31" ht="105" x14ac:dyDescent="0.35">
      <c r="A279" s="693">
        <v>124</v>
      </c>
      <c r="B279" s="693">
        <v>10032</v>
      </c>
      <c r="C279" s="999" t="s">
        <v>1656</v>
      </c>
      <c r="D279" s="2474" t="s">
        <v>3810</v>
      </c>
      <c r="E279" s="2187" t="s">
        <v>8163</v>
      </c>
      <c r="F279" s="92" t="s">
        <v>664</v>
      </c>
      <c r="G279" s="92">
        <v>5</v>
      </c>
      <c r="H279" s="1138">
        <v>6</v>
      </c>
      <c r="I279" s="702">
        <v>0.3</v>
      </c>
      <c r="J279" s="702">
        <v>0.3</v>
      </c>
      <c r="K279" s="106"/>
      <c r="L279" s="106"/>
      <c r="M279" s="106"/>
      <c r="N279" s="106"/>
      <c r="O279" s="106"/>
      <c r="P279" s="106"/>
      <c r="Q279" s="106"/>
      <c r="R279" s="906">
        <v>0.3</v>
      </c>
      <c r="S279" s="106"/>
      <c r="T279" s="106"/>
      <c r="U279" s="106"/>
      <c r="V279" s="106"/>
      <c r="W279" s="105"/>
      <c r="X279" s="105"/>
      <c r="Y279" s="105"/>
      <c r="Z279" s="105"/>
      <c r="AB279">
        <v>1</v>
      </c>
      <c r="AE279" s="1572"/>
    </row>
    <row r="280" spans="1:31" ht="30.5" x14ac:dyDescent="0.35">
      <c r="A280" s="295">
        <v>125</v>
      </c>
      <c r="B280" s="1000">
        <v>10033</v>
      </c>
      <c r="C280" s="1000"/>
      <c r="D280" s="293" t="s">
        <v>2184</v>
      </c>
      <c r="E280" s="288" t="s">
        <v>9617</v>
      </c>
      <c r="F280" s="1138"/>
      <c r="G280" s="1138" t="s">
        <v>191</v>
      </c>
      <c r="H280" s="1138" t="s">
        <v>191</v>
      </c>
      <c r="I280" s="297">
        <f>J280+K280+L280</f>
        <v>2.98</v>
      </c>
      <c r="J280" s="297">
        <f>SUM(M280:R280)</f>
        <v>2.98</v>
      </c>
      <c r="K280" s="297"/>
      <c r="L280" s="297"/>
      <c r="M280" s="297"/>
      <c r="N280" s="297">
        <f>SUM(N281:N282)</f>
        <v>2.98</v>
      </c>
      <c r="O280" s="619"/>
      <c r="P280" s="297"/>
      <c r="Q280" s="932">
        <f>SUM(Q281:Q282)</f>
        <v>0</v>
      </c>
      <c r="R280" s="925"/>
      <c r="S280" s="15"/>
      <c r="T280" s="233"/>
      <c r="U280" s="15"/>
      <c r="V280" s="15"/>
      <c r="W280" s="17">
        <v>7</v>
      </c>
      <c r="X280" s="233">
        <v>78.5</v>
      </c>
      <c r="Y280" s="17">
        <v>1</v>
      </c>
      <c r="Z280" s="250">
        <v>10</v>
      </c>
      <c r="AA280" s="3"/>
      <c r="AB280" s="3">
        <v>1</v>
      </c>
      <c r="AE280" s="1572"/>
    </row>
    <row r="281" spans="1:31" ht="15.5" x14ac:dyDescent="0.35">
      <c r="A281" s="295"/>
      <c r="B281" s="1000">
        <v>10033</v>
      </c>
      <c r="C281" s="1000"/>
      <c r="D281" s="293"/>
      <c r="E281" s="534" t="s">
        <v>2020</v>
      </c>
      <c r="F281" s="337">
        <v>4</v>
      </c>
      <c r="G281" s="337">
        <v>5</v>
      </c>
      <c r="H281" s="337">
        <v>6</v>
      </c>
      <c r="I281" s="488"/>
      <c r="J281" s="488"/>
      <c r="K281" s="488"/>
      <c r="L281" s="488"/>
      <c r="M281" s="488"/>
      <c r="N281" s="488">
        <v>1.5</v>
      </c>
      <c r="O281" s="621"/>
      <c r="P281" s="298"/>
      <c r="Q281" s="933"/>
      <c r="R281" s="927"/>
      <c r="S281" s="15"/>
      <c r="T281" s="233"/>
      <c r="U281" s="15"/>
      <c r="V281" s="15"/>
      <c r="W281" s="17"/>
      <c r="X281" s="233"/>
      <c r="Y281" s="17"/>
      <c r="Z281" s="250"/>
      <c r="AA281" s="3"/>
      <c r="AB281" s="3"/>
      <c r="AE281" s="1572"/>
    </row>
    <row r="282" spans="1:31" ht="15.5" x14ac:dyDescent="0.35">
      <c r="A282" s="295"/>
      <c r="B282" s="1000">
        <v>10033</v>
      </c>
      <c r="C282" s="1000"/>
      <c r="D282" s="293"/>
      <c r="E282" s="534" t="s">
        <v>11206</v>
      </c>
      <c r="F282" s="337">
        <v>5</v>
      </c>
      <c r="G282" s="337">
        <v>5</v>
      </c>
      <c r="H282" s="337">
        <v>6</v>
      </c>
      <c r="I282" s="488"/>
      <c r="J282" s="488"/>
      <c r="K282" s="488"/>
      <c r="L282" s="488"/>
      <c r="M282" s="488"/>
      <c r="N282" s="488">
        <f>2.98-1.5</f>
        <v>1.48</v>
      </c>
      <c r="O282" s="621"/>
      <c r="P282" s="298"/>
      <c r="Q282" s="933"/>
      <c r="R282" s="927"/>
      <c r="S282" s="15"/>
      <c r="T282" s="233"/>
      <c r="U282" s="15"/>
      <c r="V282" s="15"/>
      <c r="W282" s="17"/>
      <c r="X282" s="233"/>
      <c r="Y282" s="17"/>
      <c r="Z282" s="250"/>
      <c r="AA282" s="3"/>
      <c r="AB282" s="3"/>
      <c r="AE282" s="1572"/>
    </row>
    <row r="283" spans="1:31" ht="45.5" x14ac:dyDescent="0.35">
      <c r="A283" s="295">
        <v>126</v>
      </c>
      <c r="B283" s="998">
        <v>10033</v>
      </c>
      <c r="C283" s="998"/>
      <c r="D283" s="2474" t="s">
        <v>3811</v>
      </c>
      <c r="E283" s="511" t="s">
        <v>11345</v>
      </c>
      <c r="F283" s="1138" t="s">
        <v>827</v>
      </c>
      <c r="G283" s="1138">
        <v>5</v>
      </c>
      <c r="H283" s="1138">
        <v>6</v>
      </c>
      <c r="I283" s="297">
        <f>J283+K283+L283</f>
        <v>1.85</v>
      </c>
      <c r="J283" s="297">
        <f>SUM(M283:R283)</f>
        <v>1.85</v>
      </c>
      <c r="K283" s="297"/>
      <c r="L283" s="297"/>
      <c r="M283" s="297"/>
      <c r="N283" s="486">
        <v>1.85</v>
      </c>
      <c r="O283" s="619"/>
      <c r="P283" s="297"/>
      <c r="Q283" s="932"/>
      <c r="R283" s="925"/>
      <c r="S283" s="15"/>
      <c r="T283" s="233"/>
      <c r="U283" s="15"/>
      <c r="V283" s="15"/>
      <c r="W283" s="17">
        <v>4</v>
      </c>
      <c r="X283" s="233">
        <v>42.2</v>
      </c>
      <c r="Y283" s="17"/>
      <c r="Z283" s="250"/>
      <c r="AA283" s="3"/>
      <c r="AB283" s="3">
        <v>1</v>
      </c>
      <c r="AE283" s="1572"/>
    </row>
    <row r="284" spans="1:31" ht="15.5" x14ac:dyDescent="0.35">
      <c r="A284" s="295">
        <v>127</v>
      </c>
      <c r="B284" s="1000">
        <v>10034</v>
      </c>
      <c r="C284" s="1000"/>
      <c r="D284" s="293" t="s">
        <v>2185</v>
      </c>
      <c r="E284" s="288" t="s">
        <v>2962</v>
      </c>
      <c r="F284" s="1138"/>
      <c r="G284" s="1138" t="s">
        <v>191</v>
      </c>
      <c r="H284" s="1138" t="s">
        <v>191</v>
      </c>
      <c r="I284" s="297">
        <f>J284+K284+L284</f>
        <v>3.2430000000000003</v>
      </c>
      <c r="J284" s="297">
        <f>SUM(M284:R284)</f>
        <v>3.2430000000000003</v>
      </c>
      <c r="K284" s="297"/>
      <c r="L284" s="297"/>
      <c r="M284" s="297"/>
      <c r="N284" s="297">
        <f>SUM(N285:N287)</f>
        <v>2.2120000000000002</v>
      </c>
      <c r="O284" s="619"/>
      <c r="P284" s="297"/>
      <c r="Q284" s="932"/>
      <c r="R284" s="925">
        <f>SUM(R285:R287)</f>
        <v>1.0309999999999999</v>
      </c>
      <c r="S284" s="15">
        <v>1</v>
      </c>
      <c r="T284" s="233">
        <v>6.6</v>
      </c>
      <c r="U284" s="15"/>
      <c r="V284" s="15"/>
      <c r="W284" s="17">
        <v>5</v>
      </c>
      <c r="X284" s="233">
        <v>50.3</v>
      </c>
      <c r="Y284" s="17">
        <v>1</v>
      </c>
      <c r="Z284" s="250">
        <v>10</v>
      </c>
      <c r="AA284" s="3"/>
      <c r="AB284" s="3">
        <v>1</v>
      </c>
      <c r="AE284" s="1572"/>
    </row>
    <row r="285" spans="1:31" ht="15.5" x14ac:dyDescent="0.35">
      <c r="A285" s="295"/>
      <c r="B285" s="1000">
        <v>10034</v>
      </c>
      <c r="C285" s="1000"/>
      <c r="D285" s="293"/>
      <c r="E285" s="291" t="s">
        <v>767</v>
      </c>
      <c r="F285" s="1138">
        <v>4</v>
      </c>
      <c r="G285" s="1138">
        <v>5</v>
      </c>
      <c r="H285" s="1138">
        <v>6</v>
      </c>
      <c r="I285" s="298"/>
      <c r="J285" s="298"/>
      <c r="K285" s="298"/>
      <c r="L285" s="298"/>
      <c r="M285" s="298"/>
      <c r="N285" s="298">
        <v>2.1760000000000002</v>
      </c>
      <c r="O285" s="621"/>
      <c r="P285" s="298"/>
      <c r="Q285" s="933"/>
      <c r="R285" s="927"/>
      <c r="S285" s="15"/>
      <c r="T285" s="233"/>
      <c r="U285" s="15"/>
      <c r="V285" s="15"/>
      <c r="W285" s="17"/>
      <c r="X285" s="233"/>
      <c r="Y285" s="17"/>
      <c r="Z285" s="250"/>
      <c r="AA285" s="3"/>
      <c r="AB285" s="3"/>
      <c r="AE285" s="1572"/>
    </row>
    <row r="286" spans="1:31" ht="15.5" x14ac:dyDescent="0.35">
      <c r="A286" s="295"/>
      <c r="B286" s="1000">
        <v>10034</v>
      </c>
      <c r="C286" s="1000"/>
      <c r="D286" s="293"/>
      <c r="E286" s="838" t="s">
        <v>3286</v>
      </c>
      <c r="F286" s="1138" t="s">
        <v>827</v>
      </c>
      <c r="G286" s="1138">
        <v>5</v>
      </c>
      <c r="H286" s="1138">
        <v>6</v>
      </c>
      <c r="I286" s="298"/>
      <c r="J286" s="298"/>
      <c r="K286" s="298"/>
      <c r="L286" s="298"/>
      <c r="M286" s="298"/>
      <c r="N286" s="298"/>
      <c r="O286" s="621"/>
      <c r="P286" s="298"/>
      <c r="Q286" s="933"/>
      <c r="R286" s="927">
        <v>1.0309999999999999</v>
      </c>
      <c r="S286" s="15"/>
      <c r="T286" s="233"/>
      <c r="U286" s="15"/>
      <c r="V286" s="15"/>
      <c r="W286" s="17"/>
      <c r="X286" s="233"/>
      <c r="Y286" s="17"/>
      <c r="Z286" s="250"/>
      <c r="AA286" s="3"/>
      <c r="AB286" s="3"/>
      <c r="AE286" s="1572"/>
    </row>
    <row r="287" spans="1:31" ht="15.5" x14ac:dyDescent="0.35">
      <c r="A287" s="295"/>
      <c r="B287" s="1000">
        <v>10034</v>
      </c>
      <c r="C287" s="1000"/>
      <c r="D287" s="293"/>
      <c r="E287" s="291" t="s">
        <v>3287</v>
      </c>
      <c r="F287" s="1138">
        <v>4</v>
      </c>
      <c r="G287" s="1138">
        <v>5</v>
      </c>
      <c r="H287" s="1138">
        <v>6</v>
      </c>
      <c r="I287" s="298"/>
      <c r="J287" s="298"/>
      <c r="K287" s="298"/>
      <c r="L287" s="298"/>
      <c r="M287" s="298"/>
      <c r="N287" s="298">
        <v>3.5999999999999997E-2</v>
      </c>
      <c r="O287" s="621"/>
      <c r="P287" s="298"/>
      <c r="Q287" s="933"/>
      <c r="R287" s="927"/>
      <c r="S287" s="15"/>
      <c r="T287" s="233"/>
      <c r="U287" s="15"/>
      <c r="V287" s="15"/>
      <c r="W287" s="17"/>
      <c r="X287" s="233"/>
      <c r="Y287" s="17"/>
      <c r="Z287" s="250"/>
      <c r="AA287" s="3"/>
      <c r="AB287" s="3"/>
      <c r="AE287" s="1572"/>
    </row>
    <row r="288" spans="1:31" ht="30.5" x14ac:dyDescent="0.35">
      <c r="A288" s="295">
        <v>128</v>
      </c>
      <c r="B288" s="998">
        <v>10034</v>
      </c>
      <c r="C288" s="998"/>
      <c r="D288" s="2474" t="s">
        <v>3812</v>
      </c>
      <c r="E288" s="288" t="s">
        <v>7440</v>
      </c>
      <c r="F288" s="1138">
        <v>5</v>
      </c>
      <c r="G288" s="1138">
        <v>5</v>
      </c>
      <c r="H288" s="1138">
        <v>6</v>
      </c>
      <c r="I288" s="297">
        <f t="shared" ref="I288:I296" si="16">J288+K288+L288</f>
        <v>0.71</v>
      </c>
      <c r="J288" s="297">
        <f t="shared" ref="J288:J296" si="17">SUM(M288:R288)</f>
        <v>0.71</v>
      </c>
      <c r="K288" s="297"/>
      <c r="L288" s="297"/>
      <c r="M288" s="297"/>
      <c r="N288" s="297">
        <v>0.71</v>
      </c>
      <c r="O288" s="619"/>
      <c r="P288" s="297"/>
      <c r="Q288" s="932"/>
      <c r="R288" s="925"/>
      <c r="S288" s="15"/>
      <c r="T288" s="233"/>
      <c r="U288" s="15"/>
      <c r="V288" s="15"/>
      <c r="W288" s="17">
        <v>3</v>
      </c>
      <c r="X288" s="233">
        <v>30.3</v>
      </c>
      <c r="Y288" s="17"/>
      <c r="Z288" s="250"/>
      <c r="AA288" s="3"/>
      <c r="AB288" s="3">
        <v>1</v>
      </c>
      <c r="AE288" s="1572"/>
    </row>
    <row r="289" spans="1:31" ht="15.5" x14ac:dyDescent="0.35">
      <c r="A289" s="295">
        <v>129</v>
      </c>
      <c r="B289" s="1000">
        <v>10035</v>
      </c>
      <c r="C289" s="1000"/>
      <c r="D289" s="293" t="s">
        <v>1834</v>
      </c>
      <c r="E289" s="288" t="s">
        <v>9504</v>
      </c>
      <c r="F289" s="1138" t="s">
        <v>827</v>
      </c>
      <c r="G289" s="1138">
        <v>5</v>
      </c>
      <c r="H289" s="1138">
        <v>6</v>
      </c>
      <c r="I289" s="297">
        <f t="shared" si="16"/>
        <v>2.8</v>
      </c>
      <c r="J289" s="297">
        <f t="shared" si="17"/>
        <v>2.8</v>
      </c>
      <c r="K289" s="297"/>
      <c r="L289" s="297"/>
      <c r="M289" s="297"/>
      <c r="N289" s="297"/>
      <c r="O289" s="619"/>
      <c r="P289" s="297"/>
      <c r="Q289" s="932"/>
      <c r="R289" s="925">
        <v>2.8</v>
      </c>
      <c r="S289" s="15"/>
      <c r="T289" s="233"/>
      <c r="U289" s="15"/>
      <c r="V289" s="15"/>
      <c r="W289" s="17">
        <v>3</v>
      </c>
      <c r="X289" s="233">
        <v>30.36</v>
      </c>
      <c r="Y289" s="17"/>
      <c r="Z289" s="250"/>
      <c r="AA289" s="3"/>
      <c r="AB289" s="3">
        <v>1</v>
      </c>
      <c r="AE289" s="1572"/>
    </row>
    <row r="290" spans="1:31" ht="15.5" x14ac:dyDescent="0.35">
      <c r="A290" s="295">
        <v>130</v>
      </c>
      <c r="B290" s="1000">
        <v>10036</v>
      </c>
      <c r="C290" s="1000"/>
      <c r="D290" s="293" t="s">
        <v>1835</v>
      </c>
      <c r="E290" s="288" t="s">
        <v>3295</v>
      </c>
      <c r="F290" s="1138"/>
      <c r="G290" s="1138" t="s">
        <v>191</v>
      </c>
      <c r="H290" s="1138" t="s">
        <v>191</v>
      </c>
      <c r="I290" s="297">
        <f t="shared" si="16"/>
        <v>4.6900000000000004</v>
      </c>
      <c r="J290" s="297">
        <f t="shared" si="17"/>
        <v>4.6900000000000004</v>
      </c>
      <c r="K290" s="297"/>
      <c r="L290" s="297"/>
      <c r="M290" s="297"/>
      <c r="N290" s="297"/>
      <c r="O290" s="619"/>
      <c r="P290" s="297"/>
      <c r="Q290" s="932"/>
      <c r="R290" s="925">
        <v>4.6900000000000004</v>
      </c>
      <c r="S290" s="15"/>
      <c r="T290" s="233"/>
      <c r="U290" s="15"/>
      <c r="V290" s="15"/>
      <c r="W290" s="17">
        <v>4</v>
      </c>
      <c r="X290" s="233">
        <v>52.5</v>
      </c>
      <c r="Y290" s="17"/>
      <c r="Z290" s="250"/>
      <c r="AA290" s="3"/>
      <c r="AB290" s="3">
        <v>1</v>
      </c>
      <c r="AE290" s="1572"/>
    </row>
    <row r="291" spans="1:31" ht="15.5" x14ac:dyDescent="0.35">
      <c r="A291" s="295"/>
      <c r="B291" s="1000">
        <v>10036</v>
      </c>
      <c r="C291" s="1000"/>
      <c r="D291" s="293"/>
      <c r="E291" s="1777" t="s">
        <v>2490</v>
      </c>
      <c r="F291" s="1138" t="s">
        <v>1490</v>
      </c>
      <c r="G291" s="1138">
        <v>5</v>
      </c>
      <c r="H291" s="1138">
        <v>6</v>
      </c>
      <c r="I291" s="298"/>
      <c r="J291" s="298"/>
      <c r="K291" s="298"/>
      <c r="L291" s="298"/>
      <c r="M291" s="298"/>
      <c r="N291" s="298"/>
      <c r="O291" s="300"/>
      <c r="P291" s="298"/>
      <c r="Q291" s="1836"/>
      <c r="R291" s="2049">
        <v>0.5</v>
      </c>
      <c r="S291" s="15"/>
      <c r="T291" s="233"/>
      <c r="U291" s="15"/>
      <c r="V291" s="15"/>
      <c r="W291" s="17"/>
      <c r="X291" s="233"/>
      <c r="Y291" s="17"/>
      <c r="Z291" s="250"/>
      <c r="AA291" s="3"/>
      <c r="AB291" s="3"/>
      <c r="AE291" s="1572"/>
    </row>
    <row r="292" spans="1:31" ht="15.5" x14ac:dyDescent="0.35">
      <c r="A292" s="295"/>
      <c r="B292" s="1000">
        <v>10036</v>
      </c>
      <c r="C292" s="1000"/>
      <c r="D292" s="293"/>
      <c r="E292" s="1777" t="s">
        <v>2388</v>
      </c>
      <c r="F292" s="1138" t="s">
        <v>664</v>
      </c>
      <c r="G292" s="1138">
        <v>5</v>
      </c>
      <c r="H292" s="1138">
        <v>6</v>
      </c>
      <c r="I292" s="298"/>
      <c r="J292" s="298"/>
      <c r="K292" s="298"/>
      <c r="L292" s="298"/>
      <c r="M292" s="298"/>
      <c r="N292" s="298"/>
      <c r="O292" s="300"/>
      <c r="P292" s="298"/>
      <c r="Q292" s="1836"/>
      <c r="R292" s="2049">
        <v>4.1900000000000004</v>
      </c>
      <c r="S292" s="15"/>
      <c r="T292" s="233"/>
      <c r="U292" s="15"/>
      <c r="V292" s="15"/>
      <c r="W292" s="17"/>
      <c r="X292" s="233"/>
      <c r="Y292" s="17"/>
      <c r="Z292" s="250"/>
      <c r="AA292" s="3"/>
      <c r="AB292" s="3"/>
      <c r="AE292" s="1572"/>
    </row>
    <row r="293" spans="1:31" ht="15.5" x14ac:dyDescent="0.35">
      <c r="A293" s="295">
        <v>131</v>
      </c>
      <c r="B293" s="1000">
        <v>10037</v>
      </c>
      <c r="C293" s="1000"/>
      <c r="D293" s="293" t="s">
        <v>281</v>
      </c>
      <c r="E293" s="288" t="s">
        <v>1688</v>
      </c>
      <c r="F293" s="1138">
        <v>5</v>
      </c>
      <c r="G293" s="1138">
        <v>5</v>
      </c>
      <c r="H293" s="1138">
        <v>6</v>
      </c>
      <c r="I293" s="297">
        <f t="shared" si="16"/>
        <v>3.19</v>
      </c>
      <c r="J293" s="297">
        <f t="shared" si="17"/>
        <v>3.19</v>
      </c>
      <c r="K293" s="297"/>
      <c r="L293" s="297"/>
      <c r="M293" s="297"/>
      <c r="N293" s="297"/>
      <c r="O293" s="619"/>
      <c r="P293" s="297"/>
      <c r="Q293" s="932">
        <v>3.19</v>
      </c>
      <c r="R293" s="925"/>
      <c r="S293" s="15"/>
      <c r="T293" s="233"/>
      <c r="U293" s="15"/>
      <c r="V293" s="15"/>
      <c r="W293" s="17">
        <v>7</v>
      </c>
      <c r="X293" s="233">
        <v>88.1</v>
      </c>
      <c r="Y293" s="17"/>
      <c r="Z293" s="250"/>
      <c r="AA293" s="3"/>
      <c r="AB293" s="3">
        <v>1</v>
      </c>
      <c r="AE293" s="1572"/>
    </row>
    <row r="294" spans="1:31" ht="15.5" x14ac:dyDescent="0.35">
      <c r="A294" s="295">
        <v>132</v>
      </c>
      <c r="B294" s="1000">
        <v>10038</v>
      </c>
      <c r="C294" s="1000"/>
      <c r="D294" s="293" t="s">
        <v>2529</v>
      </c>
      <c r="E294" s="288" t="s">
        <v>6899</v>
      </c>
      <c r="F294" s="1138" t="s">
        <v>1490</v>
      </c>
      <c r="G294" s="1138">
        <v>5</v>
      </c>
      <c r="H294" s="1138">
        <v>6</v>
      </c>
      <c r="I294" s="297">
        <f t="shared" si="16"/>
        <v>5</v>
      </c>
      <c r="J294" s="297">
        <f t="shared" si="17"/>
        <v>5</v>
      </c>
      <c r="K294" s="297"/>
      <c r="L294" s="297"/>
      <c r="M294" s="297"/>
      <c r="N294" s="297"/>
      <c r="O294" s="619"/>
      <c r="P294" s="297"/>
      <c r="Q294" s="932"/>
      <c r="R294" s="925">
        <v>5</v>
      </c>
      <c r="S294" s="15"/>
      <c r="T294" s="233"/>
      <c r="U294" s="15"/>
      <c r="V294" s="15"/>
      <c r="W294" s="17">
        <v>3</v>
      </c>
      <c r="X294" s="233">
        <v>28.1</v>
      </c>
      <c r="Y294" s="17"/>
      <c r="Z294" s="250"/>
      <c r="AA294" s="3"/>
      <c r="AB294" s="3">
        <v>1</v>
      </c>
      <c r="AE294" s="1572"/>
    </row>
    <row r="295" spans="1:31" ht="45" x14ac:dyDescent="0.35">
      <c r="A295" s="295">
        <v>133</v>
      </c>
      <c r="B295" s="693">
        <v>10038</v>
      </c>
      <c r="C295" s="999" t="s">
        <v>1656</v>
      </c>
      <c r="D295" s="2474" t="s">
        <v>3813</v>
      </c>
      <c r="E295" s="2187" t="s">
        <v>8164</v>
      </c>
      <c r="F295" s="92" t="s">
        <v>664</v>
      </c>
      <c r="G295" s="92">
        <v>5</v>
      </c>
      <c r="H295" s="1138">
        <v>6</v>
      </c>
      <c r="I295" s="702">
        <v>0.5</v>
      </c>
      <c r="J295" s="702">
        <v>0.5</v>
      </c>
      <c r="K295" s="106"/>
      <c r="L295" s="106"/>
      <c r="M295" s="106"/>
      <c r="N295" s="106"/>
      <c r="O295" s="106"/>
      <c r="P295" s="106"/>
      <c r="Q295" s="106"/>
      <c r="R295" s="906">
        <v>0.5</v>
      </c>
      <c r="S295" s="106"/>
      <c r="T295" s="106"/>
      <c r="U295" s="106"/>
      <c r="V295" s="106"/>
      <c r="W295" s="105"/>
      <c r="X295" s="105"/>
      <c r="Y295" s="105"/>
      <c r="Z295" s="105"/>
      <c r="AA295" s="3"/>
      <c r="AB295" s="3">
        <v>1</v>
      </c>
      <c r="AE295" s="1572"/>
    </row>
    <row r="296" spans="1:31" ht="15.5" x14ac:dyDescent="0.35">
      <c r="A296" s="295">
        <v>134</v>
      </c>
      <c r="B296" s="1000">
        <v>10039</v>
      </c>
      <c r="C296" s="1000"/>
      <c r="D296" s="293" t="s">
        <v>3413</v>
      </c>
      <c r="E296" s="288" t="s">
        <v>1798</v>
      </c>
      <c r="F296" s="1138"/>
      <c r="G296" s="1138" t="s">
        <v>191</v>
      </c>
      <c r="H296" s="1138" t="s">
        <v>191</v>
      </c>
      <c r="I296" s="297">
        <f t="shared" si="16"/>
        <v>2.5659999999999998</v>
      </c>
      <c r="J296" s="297">
        <f t="shared" si="17"/>
        <v>2.5659999999999998</v>
      </c>
      <c r="K296" s="297"/>
      <c r="L296" s="297"/>
      <c r="M296" s="297"/>
      <c r="N296" s="297">
        <f>SUM(N297:N299)</f>
        <v>0.70599999999999996</v>
      </c>
      <c r="O296" s="619"/>
      <c r="P296" s="297"/>
      <c r="Q296" s="932">
        <f>SUM(Q297:Q299)</f>
        <v>1.86</v>
      </c>
      <c r="R296" s="925"/>
      <c r="S296" s="15"/>
      <c r="T296" s="233"/>
      <c r="U296" s="15"/>
      <c r="V296" s="15"/>
      <c r="W296" s="17">
        <v>5</v>
      </c>
      <c r="X296" s="233">
        <v>67.2</v>
      </c>
      <c r="Y296" s="17">
        <v>2</v>
      </c>
      <c r="Z296" s="250">
        <v>25.7</v>
      </c>
      <c r="AA296" s="3"/>
      <c r="AB296" s="3">
        <v>1</v>
      </c>
      <c r="AE296" s="1572"/>
    </row>
    <row r="297" spans="1:31" ht="15.5" x14ac:dyDescent="0.35">
      <c r="A297" s="295"/>
      <c r="B297" s="1000">
        <v>10039</v>
      </c>
      <c r="C297" s="1000"/>
      <c r="D297" s="293"/>
      <c r="E297" s="291" t="s">
        <v>880</v>
      </c>
      <c r="F297" s="1138">
        <v>5</v>
      </c>
      <c r="G297" s="1138">
        <v>5</v>
      </c>
      <c r="H297" s="1138">
        <v>6</v>
      </c>
      <c r="I297" s="298"/>
      <c r="J297" s="298"/>
      <c r="K297" s="298"/>
      <c r="L297" s="298"/>
      <c r="M297" s="298"/>
      <c r="N297" s="298">
        <v>0.3</v>
      </c>
      <c r="O297" s="621"/>
      <c r="P297" s="298"/>
      <c r="Q297" s="933"/>
      <c r="R297" s="927"/>
      <c r="S297" s="15"/>
      <c r="T297" s="233"/>
      <c r="U297" s="15"/>
      <c r="V297" s="15"/>
      <c r="W297" s="17"/>
      <c r="X297" s="233"/>
      <c r="Y297" s="17"/>
      <c r="Z297" s="250"/>
      <c r="AA297" s="3"/>
      <c r="AB297" s="3"/>
      <c r="AE297" s="1572"/>
    </row>
    <row r="298" spans="1:31" ht="15.5" x14ac:dyDescent="0.35">
      <c r="A298" s="295"/>
      <c r="B298" s="1000">
        <v>10039</v>
      </c>
      <c r="C298" s="1000"/>
      <c r="D298" s="293"/>
      <c r="E298" s="837" t="s">
        <v>869</v>
      </c>
      <c r="F298" s="1138">
        <v>5</v>
      </c>
      <c r="G298" s="1138">
        <v>5</v>
      </c>
      <c r="H298" s="1138">
        <v>6</v>
      </c>
      <c r="I298" s="298"/>
      <c r="J298" s="298"/>
      <c r="K298" s="298"/>
      <c r="L298" s="298"/>
      <c r="M298" s="298"/>
      <c r="N298" s="298"/>
      <c r="O298" s="621"/>
      <c r="P298" s="298"/>
      <c r="Q298" s="933">
        <v>1.86</v>
      </c>
      <c r="R298" s="927"/>
      <c r="S298" s="15"/>
      <c r="T298" s="233"/>
      <c r="U298" s="15"/>
      <c r="V298" s="15"/>
      <c r="W298" s="17"/>
      <c r="X298" s="233"/>
      <c r="Y298" s="17"/>
      <c r="Z298" s="250"/>
      <c r="AA298" s="3"/>
      <c r="AB298" s="3"/>
      <c r="AE298" s="1572"/>
    </row>
    <row r="299" spans="1:31" ht="15.5" x14ac:dyDescent="0.35">
      <c r="A299" s="295"/>
      <c r="B299" s="1000">
        <v>10039</v>
      </c>
      <c r="C299" s="1000"/>
      <c r="D299" s="293"/>
      <c r="E299" s="291" t="s">
        <v>870</v>
      </c>
      <c r="F299" s="1138">
        <v>5</v>
      </c>
      <c r="G299" s="1138">
        <v>5</v>
      </c>
      <c r="H299" s="1138">
        <v>6</v>
      </c>
      <c r="I299" s="298"/>
      <c r="J299" s="298"/>
      <c r="K299" s="298"/>
      <c r="L299" s="298"/>
      <c r="M299" s="298"/>
      <c r="N299" s="298">
        <v>0.40600000000000003</v>
      </c>
      <c r="O299" s="621"/>
      <c r="P299" s="298"/>
      <c r="Q299" s="933"/>
      <c r="R299" s="927"/>
      <c r="S299" s="15"/>
      <c r="T299" s="233"/>
      <c r="U299" s="15"/>
      <c r="V299" s="15"/>
      <c r="W299" s="17"/>
      <c r="X299" s="233"/>
      <c r="Y299" s="17"/>
      <c r="Z299" s="250"/>
      <c r="AA299" s="3"/>
      <c r="AB299" s="3"/>
      <c r="AE299" s="1572"/>
    </row>
    <row r="300" spans="1:31" ht="30" x14ac:dyDescent="0.35">
      <c r="A300" s="693">
        <v>135</v>
      </c>
      <c r="B300" s="693">
        <v>10039</v>
      </c>
      <c r="C300" s="999" t="s">
        <v>1656</v>
      </c>
      <c r="D300" s="2474" t="s">
        <v>3814</v>
      </c>
      <c r="E300" s="2187" t="s">
        <v>8165</v>
      </c>
      <c r="F300" s="2872" t="s">
        <v>1490</v>
      </c>
      <c r="G300" s="92">
        <v>5</v>
      </c>
      <c r="H300" s="1138">
        <v>6</v>
      </c>
      <c r="I300" s="702">
        <f>J300+K300+L300</f>
        <v>0.12</v>
      </c>
      <c r="J300" s="702">
        <f>SUM(M300:R300)</f>
        <v>0.12</v>
      </c>
      <c r="K300" s="106"/>
      <c r="L300" s="106"/>
      <c r="M300" s="106"/>
      <c r="N300" s="2925">
        <v>0.12</v>
      </c>
      <c r="O300" s="106"/>
      <c r="P300" s="106"/>
      <c r="Q300" s="106"/>
      <c r="R300" s="2294">
        <v>0</v>
      </c>
      <c r="S300" s="106"/>
      <c r="T300" s="106"/>
      <c r="U300" s="106"/>
      <c r="V300" s="106"/>
      <c r="W300" s="105"/>
      <c r="X300" s="105"/>
      <c r="Y300" s="105"/>
      <c r="Z300" s="105"/>
      <c r="AB300">
        <v>1</v>
      </c>
      <c r="AE300" s="1572"/>
    </row>
    <row r="301" spans="1:31" ht="15.5" x14ac:dyDescent="0.35">
      <c r="A301" s="295">
        <v>136</v>
      </c>
      <c r="B301" s="1000">
        <v>10040</v>
      </c>
      <c r="C301" s="1000"/>
      <c r="D301" s="293" t="s">
        <v>2530</v>
      </c>
      <c r="E301" s="288" t="s">
        <v>147</v>
      </c>
      <c r="F301" s="1138"/>
      <c r="G301" s="1138" t="s">
        <v>191</v>
      </c>
      <c r="H301" s="1138" t="s">
        <v>191</v>
      </c>
      <c r="I301" s="297">
        <f>J301+K301+L301</f>
        <v>6.1000000000000005</v>
      </c>
      <c r="J301" s="297">
        <f>SUM(M301:R301)</f>
        <v>6.1000000000000005</v>
      </c>
      <c r="K301" s="297"/>
      <c r="L301" s="297"/>
      <c r="M301" s="297"/>
      <c r="N301" s="297"/>
      <c r="O301" s="619"/>
      <c r="P301" s="297"/>
      <c r="Q301" s="932">
        <f>SUM(Q302:Q304)</f>
        <v>4.5780000000000003</v>
      </c>
      <c r="R301" s="925">
        <f>SUM(R302:R304)</f>
        <v>1.522</v>
      </c>
      <c r="S301" s="15"/>
      <c r="T301" s="233"/>
      <c r="U301" s="15"/>
      <c r="V301" s="15"/>
      <c r="W301" s="17">
        <v>5</v>
      </c>
      <c r="X301" s="233">
        <v>74.3</v>
      </c>
      <c r="Y301" s="17"/>
      <c r="Z301" s="250"/>
      <c r="AA301" s="3"/>
      <c r="AB301" s="3">
        <v>1</v>
      </c>
      <c r="AE301" s="1572"/>
    </row>
    <row r="302" spans="1:31" ht="15.5" x14ac:dyDescent="0.35">
      <c r="A302" s="295"/>
      <c r="B302" s="1000">
        <v>10040</v>
      </c>
      <c r="C302" s="1000"/>
      <c r="D302" s="293"/>
      <c r="E302" s="837" t="s">
        <v>1902</v>
      </c>
      <c r="F302" s="1138">
        <v>5</v>
      </c>
      <c r="G302" s="1138">
        <v>5</v>
      </c>
      <c r="H302" s="1138">
        <v>6</v>
      </c>
      <c r="I302" s="298"/>
      <c r="J302" s="298"/>
      <c r="K302" s="298"/>
      <c r="L302" s="298"/>
      <c r="M302" s="298"/>
      <c r="N302" s="298"/>
      <c r="O302" s="621"/>
      <c r="P302" s="298"/>
      <c r="Q302" s="933">
        <v>3.4580000000000002</v>
      </c>
      <c r="R302" s="927"/>
      <c r="S302" s="15"/>
      <c r="T302" s="233"/>
      <c r="U302" s="15"/>
      <c r="V302" s="15"/>
      <c r="W302" s="17"/>
      <c r="X302" s="233"/>
      <c r="Y302" s="17"/>
      <c r="Z302" s="250"/>
      <c r="AA302" s="3"/>
      <c r="AB302" s="3"/>
      <c r="AE302" s="1572"/>
    </row>
    <row r="303" spans="1:31" ht="15.5" x14ac:dyDescent="0.35">
      <c r="A303" s="295"/>
      <c r="B303" s="1000">
        <v>10040</v>
      </c>
      <c r="C303" s="1000"/>
      <c r="D303" s="293"/>
      <c r="E303" s="838" t="s">
        <v>148</v>
      </c>
      <c r="F303" s="1138" t="s">
        <v>664</v>
      </c>
      <c r="G303" s="1138">
        <v>5</v>
      </c>
      <c r="H303" s="1138">
        <v>6</v>
      </c>
      <c r="I303" s="298"/>
      <c r="J303" s="298"/>
      <c r="K303" s="298"/>
      <c r="L303" s="298"/>
      <c r="M303" s="298"/>
      <c r="N303" s="298"/>
      <c r="O303" s="621"/>
      <c r="P303" s="298"/>
      <c r="Q303" s="933"/>
      <c r="R303" s="927">
        <v>1.522</v>
      </c>
      <c r="S303" s="15"/>
      <c r="T303" s="233"/>
      <c r="U303" s="15"/>
      <c r="V303" s="15"/>
      <c r="W303" s="17"/>
      <c r="X303" s="233"/>
      <c r="Y303" s="17"/>
      <c r="Z303" s="250"/>
      <c r="AA303" s="3"/>
      <c r="AB303" s="3"/>
      <c r="AE303" s="1572"/>
    </row>
    <row r="304" spans="1:31" ht="15.5" x14ac:dyDescent="0.35">
      <c r="A304" s="295"/>
      <c r="B304" s="1000">
        <v>10040</v>
      </c>
      <c r="C304" s="1000"/>
      <c r="D304" s="293"/>
      <c r="E304" s="837" t="s">
        <v>149</v>
      </c>
      <c r="F304" s="1138">
        <v>5</v>
      </c>
      <c r="G304" s="1138">
        <v>5</v>
      </c>
      <c r="H304" s="1138">
        <v>6</v>
      </c>
      <c r="I304" s="298"/>
      <c r="J304" s="298"/>
      <c r="K304" s="298"/>
      <c r="L304" s="298"/>
      <c r="M304" s="298"/>
      <c r="N304" s="298"/>
      <c r="O304" s="621"/>
      <c r="P304" s="298"/>
      <c r="Q304" s="933">
        <v>1.1200000000000001</v>
      </c>
      <c r="R304" s="927"/>
      <c r="S304" s="15"/>
      <c r="T304" s="233"/>
      <c r="U304" s="15"/>
      <c r="V304" s="15"/>
      <c r="W304" s="17"/>
      <c r="X304" s="233"/>
      <c r="Y304" s="17"/>
      <c r="Z304" s="250"/>
      <c r="AA304" s="3" t="s">
        <v>2701</v>
      </c>
      <c r="AB304" s="3"/>
      <c r="AE304" s="1572"/>
    </row>
    <row r="305" spans="1:31" ht="15.5" x14ac:dyDescent="0.35">
      <c r="A305" s="295">
        <v>137</v>
      </c>
      <c r="B305" s="1000">
        <v>10041</v>
      </c>
      <c r="C305" s="1000"/>
      <c r="D305" s="293" t="s">
        <v>2531</v>
      </c>
      <c r="E305" s="288" t="s">
        <v>1020</v>
      </c>
      <c r="F305" s="1138"/>
      <c r="G305" s="1138" t="s">
        <v>191</v>
      </c>
      <c r="H305" s="1138" t="s">
        <v>191</v>
      </c>
      <c r="I305" s="297">
        <f>J305+K305+L305</f>
        <v>5</v>
      </c>
      <c r="J305" s="297">
        <f>SUM(M305:R305)</f>
        <v>5</v>
      </c>
      <c r="K305" s="297"/>
      <c r="L305" s="297"/>
      <c r="M305" s="297"/>
      <c r="N305" s="297">
        <f>SUM(N306:N309)</f>
        <v>0.60099999999999998</v>
      </c>
      <c r="O305" s="619"/>
      <c r="P305" s="297"/>
      <c r="Q305" s="932"/>
      <c r="R305" s="925">
        <f>SUM(R306:R309)</f>
        <v>4.399</v>
      </c>
      <c r="S305" s="15"/>
      <c r="T305" s="233"/>
      <c r="U305" s="15"/>
      <c r="V305" s="15"/>
      <c r="W305" s="17">
        <v>7</v>
      </c>
      <c r="X305" s="233">
        <v>73.3</v>
      </c>
      <c r="Y305" s="17"/>
      <c r="Z305" s="250"/>
      <c r="AA305" s="3"/>
      <c r="AB305" s="3">
        <v>1</v>
      </c>
      <c r="AE305" s="1572"/>
    </row>
    <row r="306" spans="1:31" ht="15.5" x14ac:dyDescent="0.35">
      <c r="A306" s="295"/>
      <c r="B306" s="1000">
        <v>10041</v>
      </c>
      <c r="C306" s="1000"/>
      <c r="D306" s="293"/>
      <c r="E306" s="838" t="s">
        <v>3164</v>
      </c>
      <c r="F306" s="1138" t="s">
        <v>827</v>
      </c>
      <c r="G306" s="1138">
        <v>5</v>
      </c>
      <c r="H306" s="1138">
        <v>6</v>
      </c>
      <c r="I306" s="298"/>
      <c r="J306" s="298"/>
      <c r="K306" s="298"/>
      <c r="L306" s="298"/>
      <c r="M306" s="298"/>
      <c r="N306" s="298"/>
      <c r="O306" s="621"/>
      <c r="P306" s="298"/>
      <c r="Q306" s="933"/>
      <c r="R306" s="927">
        <v>1.1000000000000001</v>
      </c>
      <c r="S306" s="15"/>
      <c r="T306" s="233"/>
      <c r="U306" s="15"/>
      <c r="V306" s="15"/>
      <c r="W306" s="17"/>
      <c r="X306" s="233"/>
      <c r="Y306" s="17"/>
      <c r="Z306" s="250"/>
      <c r="AA306" s="3"/>
      <c r="AB306" s="3"/>
      <c r="AC306" t="s">
        <v>2570</v>
      </c>
      <c r="AE306" s="1572"/>
    </row>
    <row r="307" spans="1:31" ht="15.5" x14ac:dyDescent="0.35">
      <c r="A307" s="295"/>
      <c r="B307" s="1000">
        <v>10041</v>
      </c>
      <c r="C307" s="1000"/>
      <c r="D307" s="293"/>
      <c r="E307" s="838" t="s">
        <v>2378</v>
      </c>
      <c r="F307" s="1138" t="s">
        <v>664</v>
      </c>
      <c r="G307" s="1138">
        <v>5</v>
      </c>
      <c r="H307" s="1138">
        <v>6</v>
      </c>
      <c r="I307" s="298"/>
      <c r="J307" s="298"/>
      <c r="K307" s="298"/>
      <c r="L307" s="298"/>
      <c r="M307" s="298"/>
      <c r="N307" s="298"/>
      <c r="O307" s="621"/>
      <c r="P307" s="298"/>
      <c r="Q307" s="933"/>
      <c r="R307" s="927">
        <f>3.745-1.1</f>
        <v>2.645</v>
      </c>
      <c r="S307" s="15"/>
      <c r="T307" s="233"/>
      <c r="U307" s="15"/>
      <c r="V307" s="15"/>
      <c r="W307" s="17"/>
      <c r="X307" s="233"/>
      <c r="Y307" s="17"/>
      <c r="Z307" s="250"/>
      <c r="AA307" s="3"/>
      <c r="AB307" s="3"/>
      <c r="AE307" s="1572"/>
    </row>
    <row r="308" spans="1:31" ht="15.5" x14ac:dyDescent="0.35">
      <c r="A308" s="295"/>
      <c r="B308" s="1000">
        <v>10041</v>
      </c>
      <c r="C308" s="1000"/>
      <c r="D308" s="293"/>
      <c r="E308" s="291" t="s">
        <v>3078</v>
      </c>
      <c r="F308" s="1138" t="s">
        <v>827</v>
      </c>
      <c r="G308" s="1138">
        <v>5</v>
      </c>
      <c r="H308" s="1138">
        <v>6</v>
      </c>
      <c r="I308" s="298"/>
      <c r="J308" s="298"/>
      <c r="K308" s="298"/>
      <c r="L308" s="298"/>
      <c r="M308" s="298"/>
      <c r="N308" s="298">
        <v>0.60099999999999998</v>
      </c>
      <c r="O308" s="621"/>
      <c r="P308" s="298"/>
      <c r="Q308" s="933"/>
      <c r="R308" s="927"/>
      <c r="S308" s="15"/>
      <c r="T308" s="233"/>
      <c r="U308" s="15"/>
      <c r="V308" s="15"/>
      <c r="W308" s="17"/>
      <c r="X308" s="233"/>
      <c r="Y308" s="17"/>
      <c r="Z308" s="250"/>
      <c r="AA308" s="3"/>
      <c r="AB308" s="3"/>
      <c r="AE308" s="1572"/>
    </row>
    <row r="309" spans="1:31" ht="15.5" x14ac:dyDescent="0.35">
      <c r="A309" s="295"/>
      <c r="B309" s="1000">
        <v>10041</v>
      </c>
      <c r="C309" s="1000"/>
      <c r="D309" s="293"/>
      <c r="E309" s="838" t="s">
        <v>150</v>
      </c>
      <c r="F309" s="1138" t="s">
        <v>664</v>
      </c>
      <c r="G309" s="1138">
        <v>5</v>
      </c>
      <c r="H309" s="1138">
        <v>6</v>
      </c>
      <c r="I309" s="298"/>
      <c r="J309" s="298"/>
      <c r="K309" s="298"/>
      <c r="L309" s="298"/>
      <c r="M309" s="298"/>
      <c r="N309" s="298"/>
      <c r="O309" s="621"/>
      <c r="P309" s="298"/>
      <c r="Q309" s="933"/>
      <c r="R309" s="927">
        <v>0.65400000000000003</v>
      </c>
      <c r="S309" s="15"/>
      <c r="T309" s="233"/>
      <c r="U309" s="15"/>
      <c r="V309" s="15"/>
      <c r="W309" s="17"/>
      <c r="X309" s="233"/>
      <c r="Y309" s="17"/>
      <c r="Z309" s="250"/>
      <c r="AA309" s="3"/>
      <c r="AB309" s="3"/>
      <c r="AE309" s="1572"/>
    </row>
    <row r="310" spans="1:31" ht="15.5" x14ac:dyDescent="0.35">
      <c r="A310" s="295">
        <v>138</v>
      </c>
      <c r="B310" s="1000">
        <v>10042</v>
      </c>
      <c r="C310" s="1000"/>
      <c r="D310" s="293" t="s">
        <v>1068</v>
      </c>
      <c r="E310" s="288" t="s">
        <v>7217</v>
      </c>
      <c r="F310" s="1138"/>
      <c r="G310" s="1138" t="s">
        <v>191</v>
      </c>
      <c r="H310" s="1138" t="s">
        <v>191</v>
      </c>
      <c r="I310" s="297">
        <f>J310+K310+L310</f>
        <v>5.4449999999999994</v>
      </c>
      <c r="J310" s="297">
        <f>SUM(M310:R310)</f>
        <v>5.4449999999999994</v>
      </c>
      <c r="K310" s="297"/>
      <c r="L310" s="297"/>
      <c r="M310" s="297"/>
      <c r="N310" s="297">
        <f>SUM(N311:N313)</f>
        <v>1.425</v>
      </c>
      <c r="O310" s="619"/>
      <c r="P310" s="297"/>
      <c r="Q310" s="932"/>
      <c r="R310" s="925">
        <f>SUM(R311:R313)</f>
        <v>4.0199999999999996</v>
      </c>
      <c r="S310" s="15"/>
      <c r="T310" s="233"/>
      <c r="U310" s="15"/>
      <c r="V310" s="15"/>
      <c r="W310" s="17">
        <v>5</v>
      </c>
      <c r="X310" s="233">
        <v>55.4</v>
      </c>
      <c r="Y310" s="17"/>
      <c r="Z310" s="250"/>
      <c r="AA310" s="3"/>
      <c r="AB310" s="3">
        <v>1</v>
      </c>
      <c r="AE310" s="1572"/>
    </row>
    <row r="311" spans="1:31" ht="15.5" x14ac:dyDescent="0.35">
      <c r="A311" s="295"/>
      <c r="B311" s="1000">
        <v>10042</v>
      </c>
      <c r="C311" s="1000"/>
      <c r="D311" s="293"/>
      <c r="E311" s="838" t="s">
        <v>1021</v>
      </c>
      <c r="F311" s="1138" t="s">
        <v>664</v>
      </c>
      <c r="G311" s="1138">
        <v>5</v>
      </c>
      <c r="H311" s="1138">
        <v>6</v>
      </c>
      <c r="I311" s="298"/>
      <c r="J311" s="298"/>
      <c r="K311" s="298"/>
      <c r="L311" s="298"/>
      <c r="M311" s="298"/>
      <c r="N311" s="298"/>
      <c r="O311" s="621"/>
      <c r="P311" s="298"/>
      <c r="Q311" s="933"/>
      <c r="R311" s="927">
        <v>2.37</v>
      </c>
      <c r="S311" s="15"/>
      <c r="T311" s="233"/>
      <c r="U311" s="15"/>
      <c r="V311" s="15"/>
      <c r="W311" s="17"/>
      <c r="X311" s="233"/>
      <c r="Y311" s="17"/>
      <c r="Z311" s="250"/>
      <c r="AA311" s="3"/>
      <c r="AB311" s="3"/>
      <c r="AE311" s="1572"/>
    </row>
    <row r="312" spans="1:31" ht="15.5" x14ac:dyDescent="0.35">
      <c r="A312" s="295"/>
      <c r="B312" s="1000">
        <v>10042</v>
      </c>
      <c r="C312" s="1000"/>
      <c r="D312" s="293"/>
      <c r="E312" s="291" t="s">
        <v>1022</v>
      </c>
      <c r="F312" s="1138">
        <v>5</v>
      </c>
      <c r="G312" s="1138">
        <v>5</v>
      </c>
      <c r="H312" s="1138">
        <v>6</v>
      </c>
      <c r="I312" s="298"/>
      <c r="J312" s="298"/>
      <c r="K312" s="298"/>
      <c r="L312" s="298"/>
      <c r="M312" s="298"/>
      <c r="N312" s="298">
        <v>1.425</v>
      </c>
      <c r="O312" s="621"/>
      <c r="P312" s="298"/>
      <c r="Q312" s="933"/>
      <c r="R312" s="927"/>
      <c r="S312" s="15"/>
      <c r="T312" s="233"/>
      <c r="U312" s="15"/>
      <c r="V312" s="15"/>
      <c r="W312" s="17"/>
      <c r="X312" s="233"/>
      <c r="Y312" s="17"/>
      <c r="Z312" s="250"/>
      <c r="AA312" s="3"/>
      <c r="AB312" s="3"/>
      <c r="AE312" s="1572"/>
    </row>
    <row r="313" spans="1:31" ht="15.5" x14ac:dyDescent="0.35">
      <c r="A313" s="295"/>
      <c r="B313" s="1000">
        <v>10042</v>
      </c>
      <c r="C313" s="1000"/>
      <c r="D313" s="293"/>
      <c r="E313" s="838" t="s">
        <v>2498</v>
      </c>
      <c r="F313" s="1138" t="s">
        <v>664</v>
      </c>
      <c r="G313" s="1138">
        <v>5</v>
      </c>
      <c r="H313" s="1138">
        <v>6</v>
      </c>
      <c r="I313" s="298"/>
      <c r="J313" s="298"/>
      <c r="K313" s="298"/>
      <c r="L313" s="298"/>
      <c r="M313" s="298"/>
      <c r="N313" s="298"/>
      <c r="O313" s="621"/>
      <c r="P313" s="298"/>
      <c r="Q313" s="933"/>
      <c r="R313" s="927">
        <v>1.65</v>
      </c>
      <c r="S313" s="15"/>
      <c r="T313" s="233"/>
      <c r="U313" s="15"/>
      <c r="V313" s="15"/>
      <c r="W313" s="17"/>
      <c r="X313" s="233"/>
      <c r="Y313" s="17"/>
      <c r="Z313" s="250"/>
      <c r="AA313" s="3"/>
      <c r="AB313" s="3"/>
      <c r="AE313" s="1572"/>
    </row>
    <row r="314" spans="1:31" ht="30.5" x14ac:dyDescent="0.35">
      <c r="A314" s="295">
        <v>139</v>
      </c>
      <c r="B314" s="998">
        <v>10042</v>
      </c>
      <c r="C314" s="998"/>
      <c r="D314" s="2474" t="s">
        <v>3815</v>
      </c>
      <c r="E314" s="288" t="s">
        <v>9618</v>
      </c>
      <c r="F314" s="1138">
        <v>5</v>
      </c>
      <c r="G314" s="1138">
        <v>5</v>
      </c>
      <c r="H314" s="1138">
        <v>6</v>
      </c>
      <c r="I314" s="297">
        <f>J314+K314+L314</f>
        <v>1.8740000000000001</v>
      </c>
      <c r="J314" s="297">
        <f>SUM(M314:R314)</f>
        <v>1.8740000000000001</v>
      </c>
      <c r="K314" s="297"/>
      <c r="L314" s="297"/>
      <c r="M314" s="297"/>
      <c r="N314" s="297">
        <v>1.8740000000000001</v>
      </c>
      <c r="O314" s="619"/>
      <c r="P314" s="297"/>
      <c r="Q314" s="932"/>
      <c r="R314" s="925"/>
      <c r="S314" s="15"/>
      <c r="T314" s="233"/>
      <c r="U314" s="15"/>
      <c r="V314" s="15"/>
      <c r="W314" s="17">
        <v>3</v>
      </c>
      <c r="X314" s="233">
        <v>40.299999999999997</v>
      </c>
      <c r="Y314" s="17"/>
      <c r="Z314" s="250"/>
      <c r="AA314" s="3"/>
      <c r="AB314" s="3">
        <v>1</v>
      </c>
      <c r="AC314" s="62" t="s">
        <v>3390</v>
      </c>
      <c r="AD314" s="353">
        <v>37616</v>
      </c>
      <c r="AE314" s="1781">
        <v>37656</v>
      </c>
    </row>
    <row r="315" spans="1:31" ht="15.5" x14ac:dyDescent="0.35">
      <c r="A315" s="295">
        <v>140</v>
      </c>
      <c r="B315" s="1000">
        <v>10043</v>
      </c>
      <c r="C315" s="1000"/>
      <c r="D315" s="293" t="s">
        <v>2715</v>
      </c>
      <c r="E315" s="511" t="s">
        <v>10812</v>
      </c>
      <c r="F315" s="1138"/>
      <c r="G315" s="1138" t="s">
        <v>191</v>
      </c>
      <c r="H315" s="1138" t="s">
        <v>191</v>
      </c>
      <c r="I315" s="297">
        <f>J315+K315+L315</f>
        <v>5.694</v>
      </c>
      <c r="J315" s="297">
        <f>SUM(M315:R315)</f>
        <v>5.6429999999999998</v>
      </c>
      <c r="K315" s="297"/>
      <c r="L315" s="297">
        <f>SUM(L316:L321)</f>
        <v>5.1000000000000045E-2</v>
      </c>
      <c r="M315" s="297"/>
      <c r="N315" s="297">
        <f>SUM(N316:N321)</f>
        <v>0.746</v>
      </c>
      <c r="O315" s="619"/>
      <c r="P315" s="297"/>
      <c r="Q315" s="932">
        <f>SUM(Q316:Q321)</f>
        <v>2.9470000000000001</v>
      </c>
      <c r="R315" s="925">
        <f>SUM(R316:R321)</f>
        <v>1.9499999999999997</v>
      </c>
      <c r="S315" s="15"/>
      <c r="T315" s="233"/>
      <c r="U315" s="15"/>
      <c r="V315" s="15"/>
      <c r="W315" s="154">
        <v>3</v>
      </c>
      <c r="X315" s="1962">
        <v>35</v>
      </c>
      <c r="Y315" s="154"/>
      <c r="Z315" s="250"/>
      <c r="AA315" s="3"/>
      <c r="AB315" s="3">
        <v>1</v>
      </c>
      <c r="AE315" s="1572"/>
    </row>
    <row r="316" spans="1:31" ht="15.5" x14ac:dyDescent="0.35">
      <c r="A316" s="295"/>
      <c r="B316" s="1000">
        <v>10043</v>
      </c>
      <c r="C316" s="1000"/>
      <c r="D316" s="293"/>
      <c r="E316" s="291" t="s">
        <v>10671</v>
      </c>
      <c r="F316" s="1138">
        <v>4</v>
      </c>
      <c r="G316" s="1138">
        <v>5</v>
      </c>
      <c r="H316" s="1138">
        <v>6</v>
      </c>
      <c r="I316" s="298"/>
      <c r="J316" s="298"/>
      <c r="K316" s="298"/>
      <c r="L316" s="298"/>
      <c r="M316" s="298"/>
      <c r="N316" s="298">
        <v>0.746</v>
      </c>
      <c r="O316" s="621"/>
      <c r="P316" s="298"/>
      <c r="Q316" s="933"/>
      <c r="R316" s="927"/>
      <c r="S316" s="15"/>
      <c r="T316" s="233"/>
      <c r="U316" s="15"/>
      <c r="V316" s="15"/>
      <c r="W316" s="17"/>
      <c r="X316" s="233"/>
      <c r="Y316" s="17"/>
      <c r="Z316" s="250"/>
      <c r="AA316" s="3"/>
      <c r="AB316" s="3"/>
      <c r="AE316" s="1572"/>
    </row>
    <row r="317" spans="1:31" s="2697" customFormat="1" ht="46.5" x14ac:dyDescent="0.35">
      <c r="A317" s="295"/>
      <c r="B317" s="1000"/>
      <c r="C317" s="1000"/>
      <c r="D317" s="293"/>
      <c r="E317" s="291" t="s">
        <v>10672</v>
      </c>
      <c r="F317" s="1138">
        <v>4</v>
      </c>
      <c r="G317" s="1138">
        <v>5</v>
      </c>
      <c r="H317" s="1138" t="s">
        <v>191</v>
      </c>
      <c r="I317" s="298"/>
      <c r="J317" s="298"/>
      <c r="K317" s="298"/>
      <c r="L317" s="487">
        <f>0.797-0.746</f>
        <v>5.1000000000000045E-2</v>
      </c>
      <c r="M317" s="298"/>
      <c r="N317" s="298"/>
      <c r="O317" s="621"/>
      <c r="P317" s="298"/>
      <c r="Q317" s="933"/>
      <c r="R317" s="927"/>
      <c r="S317" s="15"/>
      <c r="T317" s="233"/>
      <c r="U317" s="15"/>
      <c r="V317" s="15"/>
      <c r="W317" s="17"/>
      <c r="X317" s="233"/>
      <c r="Y317" s="17"/>
      <c r="Z317" s="250"/>
      <c r="AA317" s="3"/>
      <c r="AB317" s="3"/>
      <c r="AE317" s="1572"/>
    </row>
    <row r="318" spans="1:31" ht="15.5" x14ac:dyDescent="0.35">
      <c r="A318" s="295"/>
      <c r="B318" s="1000">
        <v>10043</v>
      </c>
      <c r="C318" s="1000"/>
      <c r="D318" s="293"/>
      <c r="E318" s="837" t="s">
        <v>10676</v>
      </c>
      <c r="F318" s="1138">
        <v>4</v>
      </c>
      <c r="G318" s="1138">
        <v>5</v>
      </c>
      <c r="H318" s="1138">
        <v>6</v>
      </c>
      <c r="I318" s="298"/>
      <c r="J318" s="298"/>
      <c r="K318" s="298"/>
      <c r="L318" s="298"/>
      <c r="M318" s="298"/>
      <c r="N318" s="298"/>
      <c r="O318" s="621"/>
      <c r="P318" s="298"/>
      <c r="Q318" s="933">
        <f>3.744-0.797</f>
        <v>2.9470000000000001</v>
      </c>
      <c r="R318" s="927"/>
      <c r="S318" s="15"/>
      <c r="T318" s="233"/>
      <c r="U318" s="15"/>
      <c r="V318" s="15"/>
      <c r="W318" s="17"/>
      <c r="X318" s="233"/>
      <c r="Y318" s="17"/>
      <c r="Z318" s="250"/>
      <c r="AA318" s="3"/>
      <c r="AB318" s="3"/>
      <c r="AE318" s="1572"/>
    </row>
    <row r="319" spans="1:31" s="2697" customFormat="1" ht="15.5" x14ac:dyDescent="0.35">
      <c r="A319" s="295"/>
      <c r="B319" s="1000"/>
      <c r="C319" s="1000"/>
      <c r="D319" s="293"/>
      <c r="E319" s="838" t="s">
        <v>10675</v>
      </c>
      <c r="F319" s="1138" t="s">
        <v>1490</v>
      </c>
      <c r="G319" s="1138">
        <v>5</v>
      </c>
      <c r="H319" s="1138">
        <v>6</v>
      </c>
      <c r="I319" s="298"/>
      <c r="J319" s="298"/>
      <c r="K319" s="298"/>
      <c r="L319" s="298"/>
      <c r="M319" s="298"/>
      <c r="N319" s="298"/>
      <c r="O319" s="621"/>
      <c r="P319" s="298"/>
      <c r="Q319" s="933"/>
      <c r="R319" s="927">
        <f>4.887-3.744</f>
        <v>1.1429999999999993</v>
      </c>
      <c r="S319" s="15"/>
      <c r="T319" s="233"/>
      <c r="U319" s="15"/>
      <c r="V319" s="15"/>
      <c r="W319" s="17"/>
      <c r="X319" s="233"/>
      <c r="Y319" s="17"/>
      <c r="Z319" s="250"/>
      <c r="AA319" s="3"/>
      <c r="AB319" s="3"/>
      <c r="AE319" s="1572"/>
    </row>
    <row r="320" spans="1:31" s="2697" customFormat="1" ht="15.5" x14ac:dyDescent="0.35">
      <c r="A320" s="295"/>
      <c r="B320" s="1000"/>
      <c r="C320" s="1000"/>
      <c r="D320" s="293"/>
      <c r="E320" s="838" t="s">
        <v>10673</v>
      </c>
      <c r="F320" s="1138" t="s">
        <v>664</v>
      </c>
      <c r="G320" s="1138">
        <v>5</v>
      </c>
      <c r="H320" s="1138">
        <v>6</v>
      </c>
      <c r="I320" s="298"/>
      <c r="J320" s="298"/>
      <c r="K320" s="298"/>
      <c r="L320" s="298"/>
      <c r="M320" s="298"/>
      <c r="N320" s="298"/>
      <c r="O320" s="621"/>
      <c r="P320" s="298"/>
      <c r="Q320" s="933"/>
      <c r="R320" s="927">
        <f>5.37-4.887</f>
        <v>0.48300000000000054</v>
      </c>
      <c r="S320" s="15"/>
      <c r="T320" s="233"/>
      <c r="U320" s="15"/>
      <c r="V320" s="15"/>
      <c r="W320" s="17"/>
      <c r="X320" s="233"/>
      <c r="Y320" s="17"/>
      <c r="Z320" s="250"/>
      <c r="AA320" s="3"/>
      <c r="AB320" s="3"/>
      <c r="AE320" s="1572"/>
    </row>
    <row r="321" spans="1:31" ht="15.5" x14ac:dyDescent="0.35">
      <c r="A321" s="295"/>
      <c r="B321" s="1000">
        <v>10043</v>
      </c>
      <c r="C321" s="1000"/>
      <c r="D321" s="293"/>
      <c r="E321" s="838" t="s">
        <v>10674</v>
      </c>
      <c r="F321" s="1138" t="s">
        <v>1490</v>
      </c>
      <c r="G321" s="1138">
        <v>5</v>
      </c>
      <c r="H321" s="1138">
        <v>6</v>
      </c>
      <c r="I321" s="298"/>
      <c r="J321" s="298"/>
      <c r="K321" s="298"/>
      <c r="L321" s="298"/>
      <c r="M321" s="298"/>
      <c r="N321" s="298"/>
      <c r="O321" s="621"/>
      <c r="P321" s="298"/>
      <c r="Q321" s="933"/>
      <c r="R321" s="927">
        <f>5.694-5.37</f>
        <v>0.32399999999999984</v>
      </c>
      <c r="S321" s="15"/>
      <c r="T321" s="233"/>
      <c r="U321" s="15"/>
      <c r="V321" s="15"/>
      <c r="W321" s="17"/>
      <c r="X321" s="233"/>
      <c r="Y321" s="17"/>
      <c r="Z321" s="250"/>
      <c r="AA321" s="3"/>
      <c r="AB321" s="3"/>
      <c r="AE321" s="1572"/>
    </row>
    <row r="322" spans="1:31" ht="30" x14ac:dyDescent="0.35">
      <c r="A322" s="693">
        <v>141</v>
      </c>
      <c r="B322" s="693">
        <v>10043</v>
      </c>
      <c r="C322" s="999" t="s">
        <v>1656</v>
      </c>
      <c r="D322" s="2474" t="s">
        <v>3816</v>
      </c>
      <c r="E322" s="2187" t="s">
        <v>9223</v>
      </c>
      <c r="F322" s="92" t="s">
        <v>664</v>
      </c>
      <c r="G322" s="92">
        <v>5</v>
      </c>
      <c r="H322" s="1138">
        <v>6</v>
      </c>
      <c r="I322" s="702">
        <f t="shared" ref="I322:I330" si="18">J322+K322+L322</f>
        <v>0.6</v>
      </c>
      <c r="J322" s="702">
        <f t="shared" ref="J322:J330" si="19">SUM(M322:R322)</f>
        <v>0.6</v>
      </c>
      <c r="K322" s="622"/>
      <c r="L322" s="622"/>
      <c r="M322" s="622"/>
      <c r="N322" s="622"/>
      <c r="O322" s="622"/>
      <c r="P322" s="622"/>
      <c r="Q322" s="622"/>
      <c r="R322" s="906">
        <v>0.6</v>
      </c>
      <c r="S322" s="106"/>
      <c r="T322" s="106"/>
      <c r="U322" s="106"/>
      <c r="V322" s="106"/>
      <c r="W322" s="105"/>
      <c r="X322" s="105"/>
      <c r="Y322" s="105"/>
      <c r="Z322" s="105"/>
      <c r="AB322">
        <v>1</v>
      </c>
      <c r="AE322" s="1572"/>
    </row>
    <row r="323" spans="1:31" ht="30" x14ac:dyDescent="0.35">
      <c r="A323" s="693">
        <v>142</v>
      </c>
      <c r="B323" s="693">
        <v>10043</v>
      </c>
      <c r="C323" s="999" t="s">
        <v>1656</v>
      </c>
      <c r="D323" s="2474" t="s">
        <v>3817</v>
      </c>
      <c r="E323" s="2187" t="s">
        <v>8166</v>
      </c>
      <c r="F323" s="92" t="s">
        <v>664</v>
      </c>
      <c r="G323" s="92">
        <v>5</v>
      </c>
      <c r="H323" s="1138">
        <v>6</v>
      </c>
      <c r="I323" s="702">
        <f t="shared" si="18"/>
        <v>0.8</v>
      </c>
      <c r="J323" s="702">
        <f t="shared" si="19"/>
        <v>0.8</v>
      </c>
      <c r="K323" s="622"/>
      <c r="L323" s="622"/>
      <c r="M323" s="622"/>
      <c r="N323" s="622"/>
      <c r="O323" s="622"/>
      <c r="P323" s="622"/>
      <c r="Q323" s="622"/>
      <c r="R323" s="906">
        <v>0.8</v>
      </c>
      <c r="S323" s="106"/>
      <c r="T323" s="106"/>
      <c r="U323" s="106"/>
      <c r="V323" s="106"/>
      <c r="W323" s="105"/>
      <c r="X323" s="105"/>
      <c r="Y323" s="105"/>
      <c r="Z323" s="105"/>
      <c r="AB323">
        <v>1</v>
      </c>
      <c r="AE323" s="1572"/>
    </row>
    <row r="324" spans="1:31" ht="30.5" x14ac:dyDescent="0.35">
      <c r="A324" s="693">
        <v>143</v>
      </c>
      <c r="B324" s="1000">
        <v>10043</v>
      </c>
      <c r="C324" s="1000"/>
      <c r="D324" s="2474" t="s">
        <v>6902</v>
      </c>
      <c r="E324" s="511" t="s">
        <v>7441</v>
      </c>
      <c r="F324" s="1138">
        <v>5</v>
      </c>
      <c r="G324" s="1138">
        <v>5</v>
      </c>
      <c r="H324" s="1138">
        <v>6</v>
      </c>
      <c r="I324" s="486">
        <f t="shared" si="18"/>
        <v>0.49</v>
      </c>
      <c r="J324" s="486">
        <f t="shared" si="19"/>
        <v>0.49</v>
      </c>
      <c r="K324" s="297"/>
      <c r="L324" s="297"/>
      <c r="M324" s="297"/>
      <c r="N324" s="297"/>
      <c r="O324" s="619"/>
      <c r="P324" s="297"/>
      <c r="Q324" s="932"/>
      <c r="R324" s="925">
        <v>0.49</v>
      </c>
      <c r="S324" s="15"/>
      <c r="T324" s="233"/>
      <c r="U324" s="15"/>
      <c r="V324" s="15"/>
      <c r="W324" s="17"/>
      <c r="X324" s="233"/>
      <c r="Y324" s="17"/>
      <c r="Z324" s="250"/>
      <c r="AA324" s="3"/>
      <c r="AB324" s="3">
        <v>1</v>
      </c>
      <c r="AE324" s="1572"/>
    </row>
    <row r="325" spans="1:31" ht="15.5" x14ac:dyDescent="0.35">
      <c r="A325" s="693">
        <v>144</v>
      </c>
      <c r="B325" s="1000">
        <v>10044</v>
      </c>
      <c r="C325" s="1000"/>
      <c r="D325" s="293" t="s">
        <v>3038</v>
      </c>
      <c r="E325" s="288" t="s">
        <v>1023</v>
      </c>
      <c r="F325" s="1138"/>
      <c r="G325" s="1138" t="s">
        <v>191</v>
      </c>
      <c r="H325" s="1138" t="s">
        <v>191</v>
      </c>
      <c r="I325" s="297">
        <f t="shared" si="18"/>
        <v>3.4</v>
      </c>
      <c r="J325" s="2865">
        <f t="shared" si="19"/>
        <v>3.1749999999999998</v>
      </c>
      <c r="K325" s="297"/>
      <c r="L325" s="2865">
        <f>SUM(L326:L328)</f>
        <v>0.22499999999999998</v>
      </c>
      <c r="M325" s="297"/>
      <c r="N325" s="297"/>
      <c r="O325" s="619"/>
      <c r="P325" s="297"/>
      <c r="Q325" s="932"/>
      <c r="R325" s="925">
        <f>SUM(R326:R328)</f>
        <v>3.1749999999999998</v>
      </c>
      <c r="S325" s="15"/>
      <c r="T325" s="233"/>
      <c r="U325" s="15"/>
      <c r="V325" s="15"/>
      <c r="W325" s="17">
        <v>4</v>
      </c>
      <c r="X325" s="233">
        <v>35.299999999999997</v>
      </c>
      <c r="Y325" s="17"/>
      <c r="Z325" s="250"/>
      <c r="AA325" s="3"/>
      <c r="AB325" s="3">
        <v>1</v>
      </c>
      <c r="AE325" s="1572"/>
    </row>
    <row r="326" spans="1:31" s="2921" customFormat="1" ht="15.5" x14ac:dyDescent="0.35">
      <c r="A326" s="693"/>
      <c r="B326" s="1000"/>
      <c r="C326" s="1000"/>
      <c r="D326" s="293"/>
      <c r="E326" s="838" t="s">
        <v>874</v>
      </c>
      <c r="F326" s="1138" t="s">
        <v>827</v>
      </c>
      <c r="G326" s="1138">
        <v>5</v>
      </c>
      <c r="H326" s="1138">
        <v>6</v>
      </c>
      <c r="I326" s="298"/>
      <c r="J326" s="298"/>
      <c r="K326" s="298"/>
      <c r="L326" s="2535"/>
      <c r="M326" s="298"/>
      <c r="N326" s="298"/>
      <c r="O326" s="300"/>
      <c r="P326" s="298"/>
      <c r="Q326" s="1836"/>
      <c r="R326" s="2049">
        <f>0.86</f>
        <v>0.86</v>
      </c>
      <c r="S326" s="15"/>
      <c r="T326" s="233"/>
      <c r="U326" s="15"/>
      <c r="V326" s="15"/>
      <c r="W326" s="17"/>
      <c r="X326" s="233"/>
      <c r="Y326" s="17"/>
      <c r="Z326" s="250"/>
      <c r="AA326" s="3"/>
      <c r="AB326" s="3"/>
      <c r="AE326" s="1572"/>
    </row>
    <row r="327" spans="1:31" s="2921" customFormat="1" ht="15.5" x14ac:dyDescent="0.35">
      <c r="A327" s="693"/>
      <c r="B327" s="1000"/>
      <c r="C327" s="1000"/>
      <c r="D327" s="293"/>
      <c r="E327" s="2864" t="s">
        <v>11529</v>
      </c>
      <c r="F327" s="2536" t="s">
        <v>827</v>
      </c>
      <c r="G327" s="2536">
        <v>5</v>
      </c>
      <c r="H327" s="2536" t="s">
        <v>191</v>
      </c>
      <c r="I327" s="298"/>
      <c r="J327" s="298"/>
      <c r="K327" s="298"/>
      <c r="L327" s="2535">
        <f>1.085-0.86</f>
        <v>0.22499999999999998</v>
      </c>
      <c r="M327" s="298"/>
      <c r="N327" s="298"/>
      <c r="O327" s="300"/>
      <c r="P327" s="298"/>
      <c r="Q327" s="1836"/>
      <c r="R327" s="2049"/>
      <c r="S327" s="15"/>
      <c r="T327" s="233"/>
      <c r="U327" s="15"/>
      <c r="V327" s="15"/>
      <c r="W327" s="17"/>
      <c r="X327" s="233"/>
      <c r="Y327" s="17"/>
      <c r="Z327" s="250"/>
      <c r="AA327" s="3"/>
      <c r="AB327" s="3"/>
      <c r="AE327" s="1572"/>
    </row>
    <row r="328" spans="1:31" s="2921" customFormat="1" ht="15.5" x14ac:dyDescent="0.35">
      <c r="A328" s="693"/>
      <c r="B328" s="1000"/>
      <c r="C328" s="1000"/>
      <c r="D328" s="293"/>
      <c r="E328" s="838" t="s">
        <v>11530</v>
      </c>
      <c r="F328" s="1138" t="s">
        <v>827</v>
      </c>
      <c r="G328" s="1138">
        <v>5</v>
      </c>
      <c r="H328" s="1138">
        <v>6</v>
      </c>
      <c r="I328" s="298"/>
      <c r="J328" s="298"/>
      <c r="K328" s="298"/>
      <c r="L328" s="298"/>
      <c r="M328" s="298"/>
      <c r="N328" s="298"/>
      <c r="O328" s="300"/>
      <c r="P328" s="298"/>
      <c r="Q328" s="1836"/>
      <c r="R328" s="2049">
        <f>3.4-1.085</f>
        <v>2.3149999999999999</v>
      </c>
      <c r="S328" s="15"/>
      <c r="T328" s="233"/>
      <c r="U328" s="15"/>
      <c r="V328" s="15"/>
      <c r="W328" s="17"/>
      <c r="X328" s="233"/>
      <c r="Y328" s="17"/>
      <c r="Z328" s="250"/>
      <c r="AA328" s="3"/>
      <c r="AB328" s="3"/>
      <c r="AE328" s="1572"/>
    </row>
    <row r="329" spans="1:31" ht="15.5" x14ac:dyDescent="0.35">
      <c r="A329" s="693">
        <v>145</v>
      </c>
      <c r="B329" s="1000">
        <v>10045</v>
      </c>
      <c r="C329" s="1000"/>
      <c r="D329" s="293" t="s">
        <v>2499</v>
      </c>
      <c r="E329" s="288" t="s">
        <v>670</v>
      </c>
      <c r="F329" s="1138" t="s">
        <v>664</v>
      </c>
      <c r="G329" s="1138">
        <v>5</v>
      </c>
      <c r="H329" s="1138">
        <v>6</v>
      </c>
      <c r="I329" s="297">
        <f t="shared" si="18"/>
        <v>4.5</v>
      </c>
      <c r="J329" s="297">
        <f t="shared" si="19"/>
        <v>4.5</v>
      </c>
      <c r="K329" s="297"/>
      <c r="L329" s="297"/>
      <c r="M329" s="297"/>
      <c r="N329" s="297"/>
      <c r="O329" s="619"/>
      <c r="P329" s="297"/>
      <c r="Q329" s="932"/>
      <c r="R329" s="925">
        <v>4.5</v>
      </c>
      <c r="S329" s="15"/>
      <c r="T329" s="233"/>
      <c r="U329" s="15"/>
      <c r="V329" s="15"/>
      <c r="W329" s="17">
        <v>1</v>
      </c>
      <c r="X329" s="233">
        <v>5</v>
      </c>
      <c r="Y329" s="17"/>
      <c r="Z329" s="250"/>
      <c r="AA329" s="3"/>
      <c r="AB329" s="3">
        <v>1</v>
      </c>
      <c r="AE329" s="1572"/>
    </row>
    <row r="330" spans="1:31" ht="15.5" x14ac:dyDescent="0.35">
      <c r="A330" s="693">
        <v>146</v>
      </c>
      <c r="B330" s="1000">
        <v>10046</v>
      </c>
      <c r="C330" s="1000"/>
      <c r="D330" s="293" t="s">
        <v>1903</v>
      </c>
      <c r="E330" s="288" t="s">
        <v>2859</v>
      </c>
      <c r="F330" s="1138"/>
      <c r="G330" s="1138" t="s">
        <v>191</v>
      </c>
      <c r="H330" s="1138" t="s">
        <v>191</v>
      </c>
      <c r="I330" s="297">
        <f t="shared" si="18"/>
        <v>2.9</v>
      </c>
      <c r="J330" s="297">
        <f t="shared" si="19"/>
        <v>2.9</v>
      </c>
      <c r="K330" s="297"/>
      <c r="L330" s="297"/>
      <c r="M330" s="297"/>
      <c r="N330" s="297"/>
      <c r="O330" s="619">
        <f>SUM(O331:O333)</f>
        <v>0.23499999999999999</v>
      </c>
      <c r="P330" s="297"/>
      <c r="Q330" s="932"/>
      <c r="R330" s="619">
        <f>SUM(R331:R333)</f>
        <v>2.665</v>
      </c>
      <c r="S330" s="15"/>
      <c r="T330" s="233"/>
      <c r="U330" s="15"/>
      <c r="V330" s="15"/>
      <c r="W330" s="17"/>
      <c r="X330" s="233"/>
      <c r="Y330" s="17"/>
      <c r="Z330" s="250"/>
      <c r="AA330" s="3"/>
      <c r="AB330" s="3">
        <v>1</v>
      </c>
      <c r="AE330" s="1572"/>
    </row>
    <row r="331" spans="1:31" ht="15.5" x14ac:dyDescent="0.35">
      <c r="A331" s="1040"/>
      <c r="B331" s="1000"/>
      <c r="C331" s="1000"/>
      <c r="D331" s="293"/>
      <c r="E331" s="838" t="s">
        <v>2628</v>
      </c>
      <c r="F331" s="1138" t="s">
        <v>664</v>
      </c>
      <c r="G331" s="1138">
        <v>5</v>
      </c>
      <c r="H331" s="1138">
        <v>6</v>
      </c>
      <c r="I331" s="298"/>
      <c r="J331" s="298"/>
      <c r="K331" s="298"/>
      <c r="L331" s="298"/>
      <c r="M331" s="298"/>
      <c r="N331" s="298"/>
      <c r="O331" s="621"/>
      <c r="P331" s="298"/>
      <c r="Q331" s="933"/>
      <c r="R331" s="927">
        <v>1</v>
      </c>
      <c r="S331" s="15"/>
      <c r="T331" s="233"/>
      <c r="U331" s="15"/>
      <c r="V331" s="15"/>
      <c r="W331" s="17"/>
      <c r="X331" s="233"/>
      <c r="Y331" s="17"/>
      <c r="Z331" s="250"/>
      <c r="AA331" s="3"/>
      <c r="AB331" s="3"/>
      <c r="AE331" s="1572"/>
    </row>
    <row r="332" spans="1:31" ht="15.5" x14ac:dyDescent="0.35">
      <c r="A332" s="295"/>
      <c r="B332" s="1000">
        <v>10046</v>
      </c>
      <c r="C332" s="1000"/>
      <c r="D332" s="293"/>
      <c r="E332" s="292" t="s">
        <v>6859</v>
      </c>
      <c r="F332" s="1138">
        <v>4</v>
      </c>
      <c r="G332" s="1138">
        <v>5</v>
      </c>
      <c r="H332" s="1138">
        <v>6</v>
      </c>
      <c r="I332" s="298"/>
      <c r="J332" s="298"/>
      <c r="K332" s="298"/>
      <c r="L332" s="298"/>
      <c r="M332" s="298"/>
      <c r="N332" s="298"/>
      <c r="O332" s="621">
        <v>0.23499999999999999</v>
      </c>
      <c r="P332" s="298"/>
      <c r="Q332" s="933"/>
      <c r="R332" s="927"/>
      <c r="S332" s="15"/>
      <c r="T332" s="233"/>
      <c r="U332" s="15"/>
      <c r="V332" s="15"/>
      <c r="W332" s="17"/>
      <c r="X332" s="233"/>
      <c r="Y332" s="17"/>
      <c r="Z332" s="250"/>
      <c r="AA332" s="3"/>
      <c r="AB332" s="3"/>
      <c r="AE332" s="1572"/>
    </row>
    <row r="333" spans="1:31" ht="15.5" x14ac:dyDescent="0.35">
      <c r="A333" s="295"/>
      <c r="B333" s="1000">
        <v>10046</v>
      </c>
      <c r="C333" s="1000"/>
      <c r="D333" s="293"/>
      <c r="E333" s="838" t="s">
        <v>6860</v>
      </c>
      <c r="F333" s="1138" t="s">
        <v>664</v>
      </c>
      <c r="G333" s="1138">
        <v>5</v>
      </c>
      <c r="H333" s="1138">
        <v>6</v>
      </c>
      <c r="I333" s="298"/>
      <c r="J333" s="298"/>
      <c r="K333" s="298"/>
      <c r="L333" s="298"/>
      <c r="M333" s="298"/>
      <c r="N333" s="298"/>
      <c r="O333" s="621"/>
      <c r="P333" s="298"/>
      <c r="Q333" s="933"/>
      <c r="R333" s="927">
        <f>2.9-1.235</f>
        <v>1.6649999999999998</v>
      </c>
      <c r="S333" s="15"/>
      <c r="T333" s="233"/>
      <c r="U333" s="15"/>
      <c r="V333" s="15"/>
      <c r="W333" s="17"/>
      <c r="X333" s="233"/>
      <c r="Y333" s="17"/>
      <c r="Z333" s="250"/>
      <c r="AA333" s="3"/>
      <c r="AB333" s="3"/>
      <c r="AE333" s="1572"/>
    </row>
    <row r="334" spans="1:31" ht="30" x14ac:dyDescent="0.35">
      <c r="A334" s="693">
        <v>147</v>
      </c>
      <c r="B334" s="693">
        <v>10046</v>
      </c>
      <c r="C334" s="999" t="s">
        <v>1656</v>
      </c>
      <c r="D334" s="2474" t="s">
        <v>3818</v>
      </c>
      <c r="E334" s="2187" t="s">
        <v>8167</v>
      </c>
      <c r="F334" s="92" t="s">
        <v>664</v>
      </c>
      <c r="G334" s="92">
        <v>5</v>
      </c>
      <c r="H334" s="1138">
        <v>6</v>
      </c>
      <c r="I334" s="702">
        <f>J334+K334+L334</f>
        <v>0.6</v>
      </c>
      <c r="J334" s="702">
        <f>SUM(M334:R334)</f>
        <v>0.6</v>
      </c>
      <c r="K334" s="106"/>
      <c r="L334" s="106"/>
      <c r="M334" s="106"/>
      <c r="N334" s="106"/>
      <c r="O334" s="106"/>
      <c r="P334" s="106"/>
      <c r="Q334" s="106"/>
      <c r="R334" s="906">
        <v>0.6</v>
      </c>
      <c r="S334" s="106"/>
      <c r="T334" s="106"/>
      <c r="U334" s="106"/>
      <c r="V334" s="106"/>
      <c r="W334" s="105"/>
      <c r="X334" s="105"/>
      <c r="Y334" s="105"/>
      <c r="Z334" s="105"/>
      <c r="AA334" s="3"/>
      <c r="AB334" s="3">
        <v>1</v>
      </c>
      <c r="AE334" s="1572"/>
    </row>
    <row r="335" spans="1:31" ht="15.5" x14ac:dyDescent="0.35">
      <c r="A335" s="295">
        <v>148</v>
      </c>
      <c r="B335" s="1000">
        <v>10047</v>
      </c>
      <c r="C335" s="1000"/>
      <c r="D335" s="293" t="s">
        <v>3039</v>
      </c>
      <c r="E335" s="288" t="s">
        <v>6900</v>
      </c>
      <c r="F335" s="1138"/>
      <c r="G335" s="1138" t="s">
        <v>191</v>
      </c>
      <c r="H335" s="1138" t="s">
        <v>191</v>
      </c>
      <c r="I335" s="297">
        <f>J335+K335+L335</f>
        <v>4.6999999999999993</v>
      </c>
      <c r="J335" s="297">
        <f>SUM(M335:R335)</f>
        <v>4.6399999999999997</v>
      </c>
      <c r="K335" s="297"/>
      <c r="L335" s="297">
        <f>SUM(L336:L338)</f>
        <v>0.06</v>
      </c>
      <c r="M335" s="297"/>
      <c r="N335" s="297"/>
      <c r="O335" s="619"/>
      <c r="P335" s="297"/>
      <c r="Q335" s="932"/>
      <c r="R335" s="925">
        <f>SUM(R336:R338)</f>
        <v>4.6399999999999997</v>
      </c>
      <c r="S335" s="15"/>
      <c r="T335" s="233"/>
      <c r="U335" s="15"/>
      <c r="V335" s="15"/>
      <c r="W335" s="17">
        <v>10</v>
      </c>
      <c r="X335" s="233">
        <v>126</v>
      </c>
      <c r="Y335" s="17"/>
      <c r="Z335" s="250"/>
      <c r="AA335" s="3"/>
      <c r="AB335" s="3">
        <v>1</v>
      </c>
      <c r="AE335" s="1572"/>
    </row>
    <row r="336" spans="1:31" ht="15.5" x14ac:dyDescent="0.35">
      <c r="A336" s="295"/>
      <c r="B336" s="1000">
        <v>10047</v>
      </c>
      <c r="C336" s="1000"/>
      <c r="D336" s="293"/>
      <c r="E336" s="838" t="s">
        <v>2856</v>
      </c>
      <c r="F336" s="1138" t="s">
        <v>827</v>
      </c>
      <c r="G336" s="1138">
        <v>5</v>
      </c>
      <c r="H336" s="1138">
        <v>6</v>
      </c>
      <c r="I336" s="298"/>
      <c r="J336" s="298"/>
      <c r="K336" s="298"/>
      <c r="L336" s="298"/>
      <c r="M336" s="298"/>
      <c r="N336" s="298"/>
      <c r="O336" s="621"/>
      <c r="P336" s="298"/>
      <c r="Q336" s="933"/>
      <c r="R336" s="927">
        <v>0.54</v>
      </c>
      <c r="S336" s="15"/>
      <c r="T336" s="233"/>
      <c r="U336" s="15"/>
      <c r="V336" s="15"/>
      <c r="W336" s="17"/>
      <c r="X336" s="233"/>
      <c r="Y336" s="17"/>
      <c r="Z336" s="250"/>
      <c r="AA336" s="3"/>
      <c r="AB336" s="3"/>
      <c r="AE336" s="1572"/>
    </row>
    <row r="337" spans="1:31" ht="31" x14ac:dyDescent="0.35">
      <c r="A337" s="295"/>
      <c r="B337" s="1000">
        <v>10047</v>
      </c>
      <c r="C337" s="1000"/>
      <c r="D337" s="293"/>
      <c r="E337" s="291" t="s">
        <v>2249</v>
      </c>
      <c r="F337" s="1138" t="s">
        <v>827</v>
      </c>
      <c r="G337" s="1138">
        <v>5</v>
      </c>
      <c r="H337" s="1138" t="s">
        <v>191</v>
      </c>
      <c r="I337" s="298"/>
      <c r="J337" s="298"/>
      <c r="K337" s="298"/>
      <c r="L337" s="298">
        <v>0.06</v>
      </c>
      <c r="M337" s="298"/>
      <c r="N337" s="298"/>
      <c r="O337" s="621"/>
      <c r="P337" s="298"/>
      <c r="Q337" s="933"/>
      <c r="R337" s="927"/>
      <c r="S337" s="15"/>
      <c r="T337" s="233"/>
      <c r="U337" s="15"/>
      <c r="V337" s="15"/>
      <c r="W337" s="17"/>
      <c r="X337" s="233"/>
      <c r="Y337" s="17"/>
      <c r="Z337" s="250"/>
      <c r="AA337" s="3"/>
      <c r="AB337" s="3"/>
      <c r="AE337" s="1572"/>
    </row>
    <row r="338" spans="1:31" ht="15.5" x14ac:dyDescent="0.35">
      <c r="A338" s="295"/>
      <c r="B338" s="1000">
        <v>10047</v>
      </c>
      <c r="C338" s="1000"/>
      <c r="D338" s="293"/>
      <c r="E338" s="838" t="s">
        <v>2250</v>
      </c>
      <c r="F338" s="1138" t="s">
        <v>827</v>
      </c>
      <c r="G338" s="1138">
        <v>5</v>
      </c>
      <c r="H338" s="1138">
        <v>6</v>
      </c>
      <c r="I338" s="298"/>
      <c r="J338" s="298"/>
      <c r="K338" s="298"/>
      <c r="L338" s="298"/>
      <c r="M338" s="298"/>
      <c r="N338" s="298"/>
      <c r="O338" s="621"/>
      <c r="P338" s="298"/>
      <c r="Q338" s="933"/>
      <c r="R338" s="927">
        <v>4.0999999999999996</v>
      </c>
      <c r="S338" s="15"/>
      <c r="T338" s="233"/>
      <c r="U338" s="15"/>
      <c r="V338" s="15"/>
      <c r="W338" s="17"/>
      <c r="X338" s="233"/>
      <c r="Y338" s="17"/>
      <c r="Z338" s="250"/>
      <c r="AA338" s="3"/>
      <c r="AB338" s="3"/>
      <c r="AE338" s="1572"/>
    </row>
    <row r="339" spans="1:31" ht="15.5" x14ac:dyDescent="0.35">
      <c r="A339" s="295">
        <v>149</v>
      </c>
      <c r="B339" s="1000">
        <v>10048</v>
      </c>
      <c r="C339" s="1000"/>
      <c r="D339" s="293" t="s">
        <v>1904</v>
      </c>
      <c r="E339" s="288" t="s">
        <v>3458</v>
      </c>
      <c r="F339" s="1138">
        <v>5</v>
      </c>
      <c r="G339" s="1138">
        <v>5</v>
      </c>
      <c r="H339" s="1138">
        <v>6</v>
      </c>
      <c r="I339" s="297">
        <f>J339+K339+L339</f>
        <v>1.7</v>
      </c>
      <c r="J339" s="297">
        <f>SUM(M339:R339)</f>
        <v>1.7</v>
      </c>
      <c r="K339" s="297"/>
      <c r="L339" s="297"/>
      <c r="M339" s="297"/>
      <c r="N339" s="297"/>
      <c r="O339" s="619"/>
      <c r="P339" s="297"/>
      <c r="Q339" s="932"/>
      <c r="R339" s="925">
        <v>1.7</v>
      </c>
      <c r="S339" s="15"/>
      <c r="T339" s="233"/>
      <c r="U339" s="15"/>
      <c r="V339" s="15"/>
      <c r="W339" s="17">
        <v>3</v>
      </c>
      <c r="X339" s="233">
        <v>35.299999999999997</v>
      </c>
      <c r="Y339" s="17"/>
      <c r="Z339" s="250"/>
      <c r="AA339" s="3"/>
      <c r="AB339" s="3">
        <v>1</v>
      </c>
      <c r="AC339" t="s">
        <v>2570</v>
      </c>
      <c r="AE339" s="1572"/>
    </row>
    <row r="340" spans="1:31" ht="30.5" x14ac:dyDescent="0.35">
      <c r="A340" s="295">
        <v>150</v>
      </c>
      <c r="B340" s="1000">
        <v>10049</v>
      </c>
      <c r="C340" s="1000"/>
      <c r="D340" s="293" t="s">
        <v>1905</v>
      </c>
      <c r="E340" s="288" t="s">
        <v>9517</v>
      </c>
      <c r="F340" s="1138"/>
      <c r="G340" s="1138" t="s">
        <v>191</v>
      </c>
      <c r="H340" s="1138" t="s">
        <v>191</v>
      </c>
      <c r="I340" s="297">
        <f>J340+K340+L340</f>
        <v>3.38</v>
      </c>
      <c r="J340" s="297">
        <f>SUM(M340:R340)</f>
        <v>3.38</v>
      </c>
      <c r="K340" s="297"/>
      <c r="L340" s="297"/>
      <c r="M340" s="297"/>
      <c r="N340" s="297"/>
      <c r="O340" s="619"/>
      <c r="P340" s="297"/>
      <c r="Q340" s="932">
        <f>SUM(Q341:Q342)</f>
        <v>1.4</v>
      </c>
      <c r="R340" s="925">
        <f>SUM(R341:R342)</f>
        <v>1.98</v>
      </c>
      <c r="S340" s="15"/>
      <c r="T340" s="233"/>
      <c r="U340" s="15"/>
      <c r="V340" s="15"/>
      <c r="W340" s="17">
        <v>5</v>
      </c>
      <c r="X340" s="233">
        <v>67.3</v>
      </c>
      <c r="Y340" s="17">
        <v>1</v>
      </c>
      <c r="Z340" s="250">
        <v>10</v>
      </c>
      <c r="AA340" s="3"/>
      <c r="AB340" s="3">
        <v>1</v>
      </c>
      <c r="AE340" s="1572"/>
    </row>
    <row r="341" spans="1:31" ht="15.5" x14ac:dyDescent="0.35">
      <c r="A341" s="295"/>
      <c r="B341" s="1000">
        <v>10049</v>
      </c>
      <c r="C341" s="1000"/>
      <c r="D341" s="293"/>
      <c r="E341" s="837" t="s">
        <v>1844</v>
      </c>
      <c r="F341" s="1138">
        <v>5</v>
      </c>
      <c r="G341" s="1138">
        <v>5</v>
      </c>
      <c r="H341" s="1138">
        <v>6</v>
      </c>
      <c r="I341" s="303"/>
      <c r="J341" s="303"/>
      <c r="K341" s="303"/>
      <c r="L341" s="303"/>
      <c r="M341" s="303"/>
      <c r="N341" s="303"/>
      <c r="O341" s="621"/>
      <c r="P341" s="303"/>
      <c r="Q341" s="933">
        <v>1.4</v>
      </c>
      <c r="R341" s="927"/>
      <c r="S341" s="15"/>
      <c r="T341" s="233"/>
      <c r="U341" s="15"/>
      <c r="V341" s="15"/>
      <c r="W341" s="17"/>
      <c r="X341" s="233"/>
      <c r="Y341" s="17"/>
      <c r="Z341" s="250"/>
      <c r="AA341" s="3"/>
      <c r="AB341" s="3"/>
      <c r="AE341" s="1572"/>
    </row>
    <row r="342" spans="1:31" ht="15.5" x14ac:dyDescent="0.35">
      <c r="A342" s="295"/>
      <c r="B342" s="1000">
        <v>10049</v>
      </c>
      <c r="C342" s="1000"/>
      <c r="D342" s="293"/>
      <c r="E342" s="838" t="s">
        <v>2855</v>
      </c>
      <c r="F342" s="1138" t="s">
        <v>664</v>
      </c>
      <c r="G342" s="1138">
        <v>5</v>
      </c>
      <c r="H342" s="1138">
        <v>6</v>
      </c>
      <c r="I342" s="303"/>
      <c r="J342" s="303"/>
      <c r="K342" s="303"/>
      <c r="L342" s="303"/>
      <c r="M342" s="303"/>
      <c r="N342" s="303"/>
      <c r="O342" s="621"/>
      <c r="P342" s="303"/>
      <c r="Q342" s="933"/>
      <c r="R342" s="927">
        <v>1.98</v>
      </c>
      <c r="S342" s="15"/>
      <c r="T342" s="233"/>
      <c r="U342" s="15"/>
      <c r="V342" s="15"/>
      <c r="W342" s="17"/>
      <c r="X342" s="233"/>
      <c r="Y342" s="17"/>
      <c r="Z342" s="250"/>
      <c r="AA342" s="3"/>
      <c r="AB342" s="3"/>
      <c r="AE342" s="1572"/>
    </row>
    <row r="343" spans="1:31" ht="15.5" x14ac:dyDescent="0.35">
      <c r="A343" s="295">
        <v>151</v>
      </c>
      <c r="B343" s="1000">
        <v>10050</v>
      </c>
      <c r="C343" s="1000"/>
      <c r="D343" s="293" t="s">
        <v>1906</v>
      </c>
      <c r="E343" s="288" t="s">
        <v>1736</v>
      </c>
      <c r="F343" s="1138"/>
      <c r="G343" s="1138" t="s">
        <v>191</v>
      </c>
      <c r="H343" s="1138" t="s">
        <v>191</v>
      </c>
      <c r="I343" s="297">
        <f>J343+K343+L343</f>
        <v>4.8980000000000006</v>
      </c>
      <c r="J343" s="297">
        <f>SUM(M343:R343)</f>
        <v>4.8490000000000002</v>
      </c>
      <c r="K343" s="297"/>
      <c r="L343" s="297">
        <f>SUM(L344:L346)</f>
        <v>4.9000000000000002E-2</v>
      </c>
      <c r="M343" s="297"/>
      <c r="N343" s="297"/>
      <c r="O343" s="619"/>
      <c r="P343" s="297"/>
      <c r="Q343" s="932"/>
      <c r="R343" s="925">
        <f>SUM(R344:R346)</f>
        <v>4.8490000000000002</v>
      </c>
      <c r="S343" s="15"/>
      <c r="T343" s="233"/>
      <c r="U343" s="15"/>
      <c r="V343" s="15"/>
      <c r="W343" s="154">
        <f>6+1</f>
        <v>7</v>
      </c>
      <c r="X343" s="1962">
        <f>75.6+10.1</f>
        <v>85.699999999999989</v>
      </c>
      <c r="Y343" s="17"/>
      <c r="Z343" s="250"/>
      <c r="AA343" s="3"/>
      <c r="AB343" s="3">
        <v>1</v>
      </c>
      <c r="AE343" s="1572"/>
    </row>
    <row r="344" spans="1:31" ht="15.5" x14ac:dyDescent="0.35">
      <c r="A344" s="295"/>
      <c r="B344" s="1000">
        <v>10050</v>
      </c>
      <c r="C344" s="1000"/>
      <c r="D344" s="293"/>
      <c r="E344" s="838" t="s">
        <v>1014</v>
      </c>
      <c r="F344" s="1138" t="s">
        <v>1490</v>
      </c>
      <c r="G344" s="1138">
        <v>5</v>
      </c>
      <c r="H344" s="1138">
        <v>6</v>
      </c>
      <c r="I344" s="303"/>
      <c r="J344" s="303"/>
      <c r="K344" s="303"/>
      <c r="L344" s="303"/>
      <c r="M344" s="303"/>
      <c r="N344" s="303"/>
      <c r="O344" s="621"/>
      <c r="P344" s="303"/>
      <c r="Q344" s="933"/>
      <c r="R344" s="927">
        <v>1.038</v>
      </c>
      <c r="S344" s="15"/>
      <c r="T344" s="233"/>
      <c r="U344" s="15"/>
      <c r="V344" s="15"/>
      <c r="W344" s="17"/>
      <c r="X344" s="233"/>
      <c r="Y344" s="17"/>
      <c r="Z344" s="250"/>
      <c r="AA344" s="3"/>
      <c r="AB344" s="3"/>
      <c r="AE344" s="1572"/>
    </row>
    <row r="345" spans="1:31" ht="31" x14ac:dyDescent="0.35">
      <c r="A345" s="295"/>
      <c r="B345" s="1000">
        <v>10050</v>
      </c>
      <c r="C345" s="1000"/>
      <c r="D345" s="293"/>
      <c r="E345" s="291" t="s">
        <v>2462</v>
      </c>
      <c r="F345" s="1138" t="s">
        <v>1490</v>
      </c>
      <c r="G345" s="1138">
        <v>5</v>
      </c>
      <c r="H345" s="1138" t="s">
        <v>191</v>
      </c>
      <c r="I345" s="303"/>
      <c r="J345" s="303"/>
      <c r="K345" s="303"/>
      <c r="L345" s="303">
        <v>4.9000000000000002E-2</v>
      </c>
      <c r="M345" s="303"/>
      <c r="N345" s="303"/>
      <c r="O345" s="621"/>
      <c r="P345" s="303"/>
      <c r="Q345" s="933"/>
      <c r="R345" s="927"/>
      <c r="S345" s="15"/>
      <c r="T345" s="233"/>
      <c r="U345" s="15"/>
      <c r="V345" s="15"/>
      <c r="W345" s="17"/>
      <c r="X345" s="233"/>
      <c r="Y345" s="17"/>
      <c r="Z345" s="250"/>
      <c r="AA345" s="3"/>
      <c r="AB345" s="3"/>
      <c r="AE345" s="1572"/>
    </row>
    <row r="346" spans="1:31" ht="15.5" x14ac:dyDescent="0.35">
      <c r="A346" s="295"/>
      <c r="B346" s="1000">
        <v>10050</v>
      </c>
      <c r="C346" s="1000"/>
      <c r="D346" s="293"/>
      <c r="E346" s="838" t="s">
        <v>2789</v>
      </c>
      <c r="F346" s="1138" t="s">
        <v>1490</v>
      </c>
      <c r="G346" s="1138">
        <v>5</v>
      </c>
      <c r="H346" s="1138">
        <v>6</v>
      </c>
      <c r="I346" s="303"/>
      <c r="J346" s="303"/>
      <c r="K346" s="303"/>
      <c r="L346" s="303"/>
      <c r="M346" s="303"/>
      <c r="N346" s="303"/>
      <c r="O346" s="621"/>
      <c r="P346" s="303"/>
      <c r="Q346" s="933"/>
      <c r="R346" s="927">
        <v>3.8109999999999999</v>
      </c>
      <c r="S346" s="15"/>
      <c r="T346" s="233"/>
      <c r="U346" s="15"/>
      <c r="V346" s="15"/>
      <c r="W346" s="17"/>
      <c r="X346" s="233"/>
      <c r="Y346" s="17"/>
      <c r="Z346" s="250"/>
      <c r="AA346" s="3"/>
      <c r="AB346" s="3"/>
      <c r="AE346" s="1572"/>
    </row>
    <row r="347" spans="1:31" ht="30" x14ac:dyDescent="0.35">
      <c r="A347" s="693">
        <v>152</v>
      </c>
      <c r="B347" s="693">
        <v>10050</v>
      </c>
      <c r="C347" s="999" t="s">
        <v>1656</v>
      </c>
      <c r="D347" s="2474" t="s">
        <v>3819</v>
      </c>
      <c r="E347" s="2187" t="s">
        <v>8168</v>
      </c>
      <c r="F347" s="92" t="s">
        <v>664</v>
      </c>
      <c r="G347" s="92">
        <v>5</v>
      </c>
      <c r="H347" s="1138">
        <v>6</v>
      </c>
      <c r="I347" s="702">
        <v>1.3</v>
      </c>
      <c r="J347" s="702">
        <v>1.3</v>
      </c>
      <c r="K347" s="106"/>
      <c r="L347" s="106"/>
      <c r="M347" s="106"/>
      <c r="N347" s="106"/>
      <c r="O347" s="106"/>
      <c r="P347" s="106"/>
      <c r="Q347" s="106"/>
      <c r="R347" s="906">
        <v>1.3</v>
      </c>
      <c r="S347" s="106"/>
      <c r="T347" s="106"/>
      <c r="U347" s="106"/>
      <c r="V347" s="106"/>
      <c r="W347" s="105"/>
      <c r="X347" s="105"/>
      <c r="Y347" s="105"/>
      <c r="Z347" s="105"/>
      <c r="AB347">
        <v>1</v>
      </c>
      <c r="AE347" s="1572"/>
    </row>
    <row r="348" spans="1:31" ht="30.5" x14ac:dyDescent="0.35">
      <c r="A348" s="295">
        <v>153</v>
      </c>
      <c r="B348" s="1000">
        <v>10051</v>
      </c>
      <c r="C348" s="1000"/>
      <c r="D348" s="293" t="s">
        <v>2369</v>
      </c>
      <c r="E348" s="288" t="s">
        <v>9518</v>
      </c>
      <c r="F348" s="1138" t="s">
        <v>664</v>
      </c>
      <c r="G348" s="1138">
        <v>5</v>
      </c>
      <c r="H348" s="1138">
        <v>6</v>
      </c>
      <c r="I348" s="297">
        <f>J348+K348+L348</f>
        <v>2.5</v>
      </c>
      <c r="J348" s="297">
        <f>SUM(M348:R348)</f>
        <v>2.5</v>
      </c>
      <c r="K348" s="297"/>
      <c r="L348" s="297"/>
      <c r="M348" s="297"/>
      <c r="N348" s="297"/>
      <c r="O348" s="619"/>
      <c r="P348" s="297"/>
      <c r="Q348" s="932"/>
      <c r="R348" s="925">
        <v>2.5</v>
      </c>
      <c r="S348" s="15"/>
      <c r="T348" s="233"/>
      <c r="U348" s="15"/>
      <c r="V348" s="15"/>
      <c r="W348" s="17">
        <v>1</v>
      </c>
      <c r="X348" s="233">
        <v>9.1999999999999993</v>
      </c>
      <c r="Y348" s="17"/>
      <c r="Z348" s="250"/>
      <c r="AA348" s="3"/>
      <c r="AB348" s="3">
        <v>1</v>
      </c>
      <c r="AE348" s="1572"/>
    </row>
    <row r="349" spans="1:31" ht="30.5" x14ac:dyDescent="0.35">
      <c r="A349" s="693">
        <v>154</v>
      </c>
      <c r="B349" s="1000">
        <v>10052</v>
      </c>
      <c r="C349" s="1000"/>
      <c r="D349" s="293" t="s">
        <v>376</v>
      </c>
      <c r="E349" s="288" t="s">
        <v>9519</v>
      </c>
      <c r="F349" s="1138"/>
      <c r="G349" s="1138" t="s">
        <v>191</v>
      </c>
      <c r="H349" s="1138" t="s">
        <v>191</v>
      </c>
      <c r="I349" s="297">
        <f>J349+K349+L349</f>
        <v>2.2000000000000002</v>
      </c>
      <c r="J349" s="297">
        <f>SUM(M349:R349)</f>
        <v>2.2000000000000002</v>
      </c>
      <c r="K349" s="297"/>
      <c r="L349" s="297"/>
      <c r="M349" s="297"/>
      <c r="N349" s="297"/>
      <c r="O349" s="619"/>
      <c r="P349" s="297"/>
      <c r="Q349" s="932"/>
      <c r="R349" s="925">
        <f>SUM(R350:R351)</f>
        <v>2.2000000000000002</v>
      </c>
      <c r="S349" s="2530">
        <v>0</v>
      </c>
      <c r="T349" s="2446">
        <v>0</v>
      </c>
      <c r="U349" s="15"/>
      <c r="V349" s="15"/>
      <c r="W349" s="17">
        <v>2</v>
      </c>
      <c r="X349" s="233">
        <v>15</v>
      </c>
      <c r="Y349" s="17"/>
      <c r="Z349" s="250"/>
      <c r="AA349" s="3"/>
      <c r="AB349" s="3">
        <v>1</v>
      </c>
      <c r="AE349" s="1572"/>
    </row>
    <row r="350" spans="1:31" ht="15.5" x14ac:dyDescent="0.35">
      <c r="A350" s="1040"/>
      <c r="B350" s="1000">
        <v>10052</v>
      </c>
      <c r="C350" s="1000"/>
      <c r="D350" s="293"/>
      <c r="E350" s="838" t="s">
        <v>1699</v>
      </c>
      <c r="F350" s="1138" t="s">
        <v>1490</v>
      </c>
      <c r="G350" s="1138">
        <v>5</v>
      </c>
      <c r="H350" s="1138">
        <v>6</v>
      </c>
      <c r="I350" s="297"/>
      <c r="J350" s="297"/>
      <c r="K350" s="297"/>
      <c r="L350" s="297"/>
      <c r="M350" s="297"/>
      <c r="N350" s="297"/>
      <c r="O350" s="619"/>
      <c r="P350" s="297"/>
      <c r="Q350" s="932"/>
      <c r="R350" s="2049">
        <v>1.4219999999999999</v>
      </c>
      <c r="S350" s="15"/>
      <c r="T350" s="233"/>
      <c r="U350" s="15"/>
      <c r="V350" s="15"/>
      <c r="W350" s="17"/>
      <c r="X350" s="233"/>
      <c r="Y350" s="17"/>
      <c r="Z350" s="250"/>
      <c r="AA350" s="3"/>
      <c r="AB350" s="3"/>
      <c r="AC350" t="s">
        <v>2570</v>
      </c>
      <c r="AE350" s="1572"/>
    </row>
    <row r="351" spans="1:31" ht="15.5" x14ac:dyDescent="0.35">
      <c r="A351" s="1040"/>
      <c r="B351" s="1000">
        <v>10052</v>
      </c>
      <c r="C351" s="1000"/>
      <c r="D351" s="293"/>
      <c r="E351" s="838" t="s">
        <v>671</v>
      </c>
      <c r="F351" s="1138" t="s">
        <v>664</v>
      </c>
      <c r="G351" s="1138">
        <v>5</v>
      </c>
      <c r="H351" s="1138">
        <v>6</v>
      </c>
      <c r="I351" s="297"/>
      <c r="J351" s="297"/>
      <c r="K351" s="297"/>
      <c r="L351" s="297"/>
      <c r="M351" s="297"/>
      <c r="N351" s="297"/>
      <c r="O351" s="619"/>
      <c r="P351" s="297"/>
      <c r="Q351" s="932"/>
      <c r="R351" s="2049">
        <f>2.2-1.422</f>
        <v>0.77800000000000025</v>
      </c>
      <c r="S351" s="15"/>
      <c r="T351" s="233"/>
      <c r="U351" s="15"/>
      <c r="V351" s="15"/>
      <c r="W351" s="17"/>
      <c r="X351" s="233"/>
      <c r="Y351" s="17"/>
      <c r="Z351" s="250"/>
      <c r="AA351" s="3"/>
      <c r="AB351" s="3"/>
      <c r="AE351" s="1572"/>
    </row>
    <row r="352" spans="1:31" ht="15.5" x14ac:dyDescent="0.35">
      <c r="A352" s="295">
        <v>155</v>
      </c>
      <c r="B352" s="1000">
        <v>10053</v>
      </c>
      <c r="C352" s="1000"/>
      <c r="D352" s="293" t="s">
        <v>322</v>
      </c>
      <c r="E352" s="288" t="s">
        <v>1787</v>
      </c>
      <c r="F352" s="1138"/>
      <c r="G352" s="1138" t="s">
        <v>191</v>
      </c>
      <c r="H352" s="1138" t="s">
        <v>191</v>
      </c>
      <c r="I352" s="297">
        <f>J352+K352+L352</f>
        <v>1.5</v>
      </c>
      <c r="J352" s="297">
        <f>SUM(M352:R352)</f>
        <v>1.5</v>
      </c>
      <c r="K352" s="297"/>
      <c r="L352" s="297"/>
      <c r="M352" s="297"/>
      <c r="N352" s="297"/>
      <c r="O352" s="619"/>
      <c r="P352" s="297"/>
      <c r="Q352" s="932">
        <f>SUM(Q353:Q354)</f>
        <v>1.1000000000000001</v>
      </c>
      <c r="R352" s="925">
        <f>SUM(R353:R354)</f>
        <v>0.4</v>
      </c>
      <c r="S352" s="15"/>
      <c r="T352" s="233"/>
      <c r="U352" s="15"/>
      <c r="V352" s="15"/>
      <c r="W352" s="17">
        <v>3</v>
      </c>
      <c r="X352" s="233">
        <v>30</v>
      </c>
      <c r="Y352" s="17">
        <v>1</v>
      </c>
      <c r="Z352" s="250">
        <v>10</v>
      </c>
      <c r="AA352" s="3"/>
      <c r="AB352" s="3">
        <v>1</v>
      </c>
      <c r="AE352" s="1572"/>
    </row>
    <row r="353" spans="1:31" ht="15.5" x14ac:dyDescent="0.35">
      <c r="A353" s="295"/>
      <c r="B353" s="1000">
        <v>10053</v>
      </c>
      <c r="C353" s="1000"/>
      <c r="D353" s="293"/>
      <c r="E353" s="837" t="s">
        <v>3164</v>
      </c>
      <c r="F353" s="1138">
        <v>4</v>
      </c>
      <c r="G353" s="1138">
        <v>5</v>
      </c>
      <c r="H353" s="1138">
        <v>6</v>
      </c>
      <c r="I353" s="303"/>
      <c r="J353" s="303"/>
      <c r="K353" s="303"/>
      <c r="L353" s="303"/>
      <c r="M353" s="303"/>
      <c r="N353" s="303"/>
      <c r="O353" s="621"/>
      <c r="P353" s="303"/>
      <c r="Q353" s="933">
        <v>1.1000000000000001</v>
      </c>
      <c r="R353" s="927"/>
      <c r="S353" s="15"/>
      <c r="T353" s="233"/>
      <c r="U353" s="15"/>
      <c r="V353" s="15"/>
      <c r="W353" s="17"/>
      <c r="X353" s="233"/>
      <c r="Y353" s="17"/>
      <c r="Z353" s="250"/>
      <c r="AA353" s="3"/>
      <c r="AB353" s="3"/>
      <c r="AE353" s="1572"/>
    </row>
    <row r="354" spans="1:31" ht="15.5" x14ac:dyDescent="0.35">
      <c r="A354" s="295"/>
      <c r="B354" s="1000">
        <v>10053</v>
      </c>
      <c r="C354" s="1000"/>
      <c r="D354" s="293"/>
      <c r="E354" s="838" t="s">
        <v>408</v>
      </c>
      <c r="F354" s="1138" t="s">
        <v>827</v>
      </c>
      <c r="G354" s="1138">
        <v>5</v>
      </c>
      <c r="H354" s="1138">
        <v>6</v>
      </c>
      <c r="I354" s="303"/>
      <c r="J354" s="303"/>
      <c r="K354" s="303"/>
      <c r="L354" s="303"/>
      <c r="M354" s="303"/>
      <c r="N354" s="303"/>
      <c r="O354" s="621"/>
      <c r="P354" s="303"/>
      <c r="Q354" s="933"/>
      <c r="R354" s="927">
        <v>0.4</v>
      </c>
      <c r="S354" s="15"/>
      <c r="T354" s="233"/>
      <c r="U354" s="15"/>
      <c r="V354" s="15"/>
      <c r="W354" s="17"/>
      <c r="X354" s="233"/>
      <c r="Y354" s="17"/>
      <c r="Z354" s="250"/>
      <c r="AA354" s="3"/>
      <c r="AB354" s="3"/>
      <c r="AE354" s="1572"/>
    </row>
    <row r="355" spans="1:31" ht="30.5" x14ac:dyDescent="0.35">
      <c r="A355" s="295">
        <v>156</v>
      </c>
      <c r="B355" s="998">
        <v>10053</v>
      </c>
      <c r="C355" s="998"/>
      <c r="D355" s="2474" t="s">
        <v>3820</v>
      </c>
      <c r="E355" s="288" t="s">
        <v>11493</v>
      </c>
      <c r="F355" s="1138"/>
      <c r="G355" s="1138" t="s">
        <v>191</v>
      </c>
      <c r="H355" s="1138" t="s">
        <v>191</v>
      </c>
      <c r="I355" s="2865">
        <f>J355+K355+L355</f>
        <v>0.64</v>
      </c>
      <c r="J355" s="2865">
        <f>SUM(M355:R355)</f>
        <v>0.64</v>
      </c>
      <c r="K355" s="297"/>
      <c r="L355" s="297"/>
      <c r="M355" s="297"/>
      <c r="N355" s="297">
        <f>SUM(N356:N357)</f>
        <v>0.64</v>
      </c>
      <c r="O355" s="619"/>
      <c r="P355" s="297"/>
      <c r="Q355" s="932"/>
      <c r="R355" s="925">
        <f>SUM(R356:R357)</f>
        <v>0</v>
      </c>
      <c r="S355" s="15"/>
      <c r="T355" s="233"/>
      <c r="U355" s="15"/>
      <c r="V355" s="15"/>
      <c r="W355" s="17"/>
      <c r="X355" s="233"/>
      <c r="Y355" s="17"/>
      <c r="Z355" s="250"/>
      <c r="AA355" s="3"/>
      <c r="AB355" s="3">
        <v>1</v>
      </c>
      <c r="AE355" s="1572"/>
    </row>
    <row r="356" spans="1:31" ht="15.5" x14ac:dyDescent="0.35">
      <c r="A356" s="295"/>
      <c r="B356" s="998">
        <v>10053</v>
      </c>
      <c r="C356" s="998"/>
      <c r="D356" s="293"/>
      <c r="E356" s="291" t="s">
        <v>1788</v>
      </c>
      <c r="F356" s="1138" t="s">
        <v>827</v>
      </c>
      <c r="G356" s="1138">
        <v>5</v>
      </c>
      <c r="H356" s="1138">
        <v>6</v>
      </c>
      <c r="I356" s="303"/>
      <c r="J356" s="303"/>
      <c r="K356" s="303"/>
      <c r="L356" s="303"/>
      <c r="M356" s="303"/>
      <c r="N356" s="303">
        <v>0.64</v>
      </c>
      <c r="O356" s="621"/>
      <c r="P356" s="303"/>
      <c r="Q356" s="933"/>
      <c r="R356" s="927"/>
      <c r="S356" s="15"/>
      <c r="T356" s="233"/>
      <c r="U356" s="15"/>
      <c r="V356" s="15"/>
      <c r="W356" s="17"/>
      <c r="X356" s="233"/>
      <c r="Y356" s="17"/>
      <c r="Z356" s="250"/>
      <c r="AA356" s="3"/>
      <c r="AB356" s="3"/>
      <c r="AE356" s="1572"/>
    </row>
    <row r="357" spans="1:31" ht="15.5" x14ac:dyDescent="0.35">
      <c r="A357" s="295"/>
      <c r="B357" s="998">
        <v>10053</v>
      </c>
      <c r="C357" s="998"/>
      <c r="D357" s="293"/>
      <c r="E357" s="2864" t="s">
        <v>11492</v>
      </c>
      <c r="F357" s="1138" t="s">
        <v>664</v>
      </c>
      <c r="G357" s="1138">
        <v>5</v>
      </c>
      <c r="H357" s="1138">
        <v>6</v>
      </c>
      <c r="I357" s="303"/>
      <c r="J357" s="303"/>
      <c r="K357" s="303"/>
      <c r="L357" s="303"/>
      <c r="M357" s="303"/>
      <c r="N357" s="303"/>
      <c r="O357" s="621"/>
      <c r="P357" s="303"/>
      <c r="Q357" s="933"/>
      <c r="R357" s="2610">
        <v>0</v>
      </c>
      <c r="S357" s="15"/>
      <c r="T357" s="233"/>
      <c r="U357" s="15"/>
      <c r="V357" s="15"/>
      <c r="W357" s="17"/>
      <c r="X357" s="233"/>
      <c r="Y357" s="17"/>
      <c r="Z357" s="250"/>
      <c r="AA357" s="3"/>
      <c r="AB357" s="3"/>
      <c r="AE357" s="1572"/>
    </row>
    <row r="358" spans="1:31" ht="15.5" x14ac:dyDescent="0.35">
      <c r="A358" s="295">
        <v>157</v>
      </c>
      <c r="B358" s="1000">
        <v>10054</v>
      </c>
      <c r="C358" s="1000"/>
      <c r="D358" s="293" t="s">
        <v>1038</v>
      </c>
      <c r="E358" s="288" t="s">
        <v>6901</v>
      </c>
      <c r="F358" s="1138">
        <v>5</v>
      </c>
      <c r="G358" s="1138">
        <v>5</v>
      </c>
      <c r="H358" s="1138">
        <v>6</v>
      </c>
      <c r="I358" s="297">
        <f>J358+K358+L358</f>
        <v>3.3</v>
      </c>
      <c r="J358" s="297">
        <f>SUM(M358:R358)</f>
        <v>3.3</v>
      </c>
      <c r="K358" s="297"/>
      <c r="L358" s="297"/>
      <c r="M358" s="297"/>
      <c r="N358" s="297"/>
      <c r="O358" s="619"/>
      <c r="P358" s="297"/>
      <c r="Q358" s="932">
        <v>3.3</v>
      </c>
      <c r="R358" s="925"/>
      <c r="S358" s="15">
        <v>1</v>
      </c>
      <c r="T358" s="233">
        <v>75.599999999999994</v>
      </c>
      <c r="U358" s="15"/>
      <c r="V358" s="15"/>
      <c r="W358" s="17">
        <v>10</v>
      </c>
      <c r="X358" s="233">
        <v>130.80000000000001</v>
      </c>
      <c r="Y358" s="17">
        <v>5</v>
      </c>
      <c r="Z358" s="250">
        <v>55</v>
      </c>
      <c r="AA358" s="3"/>
      <c r="AB358" s="3">
        <v>1</v>
      </c>
      <c r="AE358" s="1572"/>
    </row>
    <row r="359" spans="1:31" ht="30" x14ac:dyDescent="0.35">
      <c r="A359" s="295">
        <v>158</v>
      </c>
      <c r="B359" s="693">
        <v>10054</v>
      </c>
      <c r="C359" s="999" t="s">
        <v>1656</v>
      </c>
      <c r="D359" s="2474" t="s">
        <v>3821</v>
      </c>
      <c r="E359" s="2187" t="s">
        <v>8169</v>
      </c>
      <c r="F359" s="92" t="s">
        <v>664</v>
      </c>
      <c r="G359" s="92">
        <v>5</v>
      </c>
      <c r="H359" s="1138">
        <v>6</v>
      </c>
      <c r="I359" s="702">
        <v>0.15</v>
      </c>
      <c r="J359" s="702">
        <v>0.15</v>
      </c>
      <c r="K359" s="622"/>
      <c r="L359" s="622"/>
      <c r="M359" s="622"/>
      <c r="N359" s="622"/>
      <c r="O359" s="622"/>
      <c r="P359" s="622"/>
      <c r="Q359" s="622"/>
      <c r="R359" s="906">
        <v>0.15</v>
      </c>
      <c r="S359" s="106"/>
      <c r="T359" s="106"/>
      <c r="U359" s="106"/>
      <c r="V359" s="106"/>
      <c r="W359" s="105"/>
      <c r="X359" s="105"/>
      <c r="Y359" s="105"/>
      <c r="Z359" s="105"/>
      <c r="AA359" s="3"/>
      <c r="AB359" s="3">
        <v>1</v>
      </c>
      <c r="AE359" s="1572"/>
    </row>
    <row r="360" spans="1:31" ht="15.5" x14ac:dyDescent="0.35">
      <c r="A360" s="295">
        <v>159</v>
      </c>
      <c r="B360" s="1000">
        <v>10055</v>
      </c>
      <c r="C360" s="1000"/>
      <c r="D360" s="293" t="s">
        <v>308</v>
      </c>
      <c r="E360" s="288" t="s">
        <v>7216</v>
      </c>
      <c r="F360" s="1138" t="s">
        <v>827</v>
      </c>
      <c r="G360" s="1138">
        <v>5</v>
      </c>
      <c r="H360" s="1138">
        <v>6</v>
      </c>
      <c r="I360" s="297">
        <f>J360+K360+L360</f>
        <v>2</v>
      </c>
      <c r="J360" s="297">
        <f>SUM(M360:R360)</f>
        <v>2</v>
      </c>
      <c r="K360" s="297"/>
      <c r="L360" s="297"/>
      <c r="M360" s="297"/>
      <c r="N360" s="297"/>
      <c r="O360" s="619"/>
      <c r="P360" s="297"/>
      <c r="Q360" s="932"/>
      <c r="R360" s="925">
        <v>2</v>
      </c>
      <c r="S360" s="15"/>
      <c r="T360" s="233"/>
      <c r="U360" s="15"/>
      <c r="V360" s="15"/>
      <c r="W360" s="17">
        <v>2</v>
      </c>
      <c r="X360" s="233">
        <v>11</v>
      </c>
      <c r="Y360" s="17"/>
      <c r="Z360" s="250"/>
      <c r="AA360" s="3"/>
      <c r="AB360" s="3">
        <v>1</v>
      </c>
      <c r="AE360" s="1572"/>
    </row>
    <row r="361" spans="1:31" ht="45.5" x14ac:dyDescent="0.35">
      <c r="A361" s="295">
        <v>160</v>
      </c>
      <c r="B361" s="1000">
        <v>10055</v>
      </c>
      <c r="C361" s="1000" t="s">
        <v>1657</v>
      </c>
      <c r="D361" s="2474" t="s">
        <v>3822</v>
      </c>
      <c r="E361" s="288" t="s">
        <v>7442</v>
      </c>
      <c r="F361" s="1138" t="s">
        <v>827</v>
      </c>
      <c r="G361" s="1138">
        <v>5</v>
      </c>
      <c r="H361" s="1138">
        <v>6</v>
      </c>
      <c r="I361" s="297">
        <v>0.4</v>
      </c>
      <c r="J361" s="297">
        <v>0.4</v>
      </c>
      <c r="K361" s="297"/>
      <c r="L361" s="297"/>
      <c r="M361" s="297"/>
      <c r="N361" s="297"/>
      <c r="O361" s="619"/>
      <c r="P361" s="297"/>
      <c r="Q361" s="932"/>
      <c r="R361" s="925">
        <v>0.4</v>
      </c>
      <c r="S361" s="15"/>
      <c r="T361" s="233"/>
      <c r="U361" s="15"/>
      <c r="V361" s="15"/>
      <c r="W361" s="17"/>
      <c r="X361" s="233"/>
      <c r="Y361" s="17"/>
      <c r="Z361" s="250"/>
      <c r="AA361" s="3"/>
      <c r="AB361" s="3">
        <v>1</v>
      </c>
      <c r="AE361" s="1572"/>
    </row>
    <row r="362" spans="1:31" ht="30.5" x14ac:dyDescent="0.35">
      <c r="A362" s="295"/>
      <c r="B362" s="998" t="s">
        <v>692</v>
      </c>
      <c r="C362" s="1000"/>
      <c r="D362" s="293"/>
      <c r="E362" s="1582" t="s">
        <v>7299</v>
      </c>
      <c r="F362" s="1138"/>
      <c r="G362" s="1138"/>
      <c r="H362" s="1138"/>
      <c r="I362" s="297"/>
      <c r="J362" s="297"/>
      <c r="K362" s="297"/>
      <c r="L362" s="297"/>
      <c r="M362" s="297"/>
      <c r="N362" s="297"/>
      <c r="O362" s="619"/>
      <c r="P362" s="297"/>
      <c r="Q362" s="932"/>
      <c r="R362" s="925"/>
      <c r="S362" s="15"/>
      <c r="T362" s="233"/>
      <c r="U362" s="15"/>
      <c r="V362" s="15"/>
      <c r="W362" s="17"/>
      <c r="X362" s="233"/>
      <c r="Y362" s="17"/>
      <c r="Z362" s="250"/>
      <c r="AA362" s="3"/>
      <c r="AB362" s="3"/>
      <c r="AE362" s="1572"/>
    </row>
    <row r="363" spans="1:31" ht="45.5" x14ac:dyDescent="0.35">
      <c r="A363" s="295">
        <v>161</v>
      </c>
      <c r="B363" s="998" t="s">
        <v>692</v>
      </c>
      <c r="C363" s="998"/>
      <c r="D363" s="2474" t="s">
        <v>3823</v>
      </c>
      <c r="E363" s="511" t="s">
        <v>9619</v>
      </c>
      <c r="F363" s="1138"/>
      <c r="G363" s="1138" t="s">
        <v>191</v>
      </c>
      <c r="H363" s="1138" t="s">
        <v>191</v>
      </c>
      <c r="I363" s="297">
        <f>J363+K363+L363</f>
        <v>5.26</v>
      </c>
      <c r="J363" s="297">
        <f>SUM(M363:R363)</f>
        <v>5.1449999999999996</v>
      </c>
      <c r="K363" s="297"/>
      <c r="L363" s="2865">
        <f>SUM(L364:L367)</f>
        <v>0.11499999999999999</v>
      </c>
      <c r="M363" s="297"/>
      <c r="N363" s="2865">
        <f>SUM(N364:N367)</f>
        <v>1.7749999999999999</v>
      </c>
      <c r="O363" s="619"/>
      <c r="P363" s="297"/>
      <c r="Q363" s="932">
        <f>SUM(Q364:Q367)</f>
        <v>2.4500000000000002</v>
      </c>
      <c r="R363" s="925">
        <f>SUM(R364:R367)</f>
        <v>0.92</v>
      </c>
      <c r="S363" s="15"/>
      <c r="T363" s="233"/>
      <c r="U363" s="15"/>
      <c r="V363" s="15"/>
      <c r="W363" s="17">
        <v>5</v>
      </c>
      <c r="X363" s="233">
        <v>56.6</v>
      </c>
      <c r="Y363" s="17">
        <v>1</v>
      </c>
      <c r="Z363" s="250">
        <v>10</v>
      </c>
      <c r="AA363" s="3"/>
      <c r="AB363" s="3">
        <v>1</v>
      </c>
      <c r="AE363" s="1572"/>
    </row>
    <row r="364" spans="1:31" ht="15.5" x14ac:dyDescent="0.35">
      <c r="A364" s="295"/>
      <c r="B364" s="998" t="s">
        <v>692</v>
      </c>
      <c r="C364" s="998"/>
      <c r="D364" s="293"/>
      <c r="E364" s="291" t="s">
        <v>11444</v>
      </c>
      <c r="F364" s="1138">
        <v>5</v>
      </c>
      <c r="G364" s="1138">
        <v>5</v>
      </c>
      <c r="H364" s="1138">
        <v>6</v>
      </c>
      <c r="I364" s="303"/>
      <c r="J364" s="303"/>
      <c r="K364" s="303"/>
      <c r="L364" s="2535"/>
      <c r="M364" s="303"/>
      <c r="N364" s="2610">
        <v>1.7749999999999999</v>
      </c>
      <c r="O364" s="621"/>
      <c r="P364" s="303"/>
      <c r="Q364" s="933"/>
      <c r="R364" s="927"/>
      <c r="S364" s="15"/>
      <c r="T364" s="233"/>
      <c r="U364" s="15"/>
      <c r="V364" s="15"/>
      <c r="W364" s="17"/>
      <c r="X364" s="233"/>
      <c r="Y364" s="17"/>
      <c r="Z364" s="250"/>
      <c r="AA364" s="3"/>
      <c r="AB364" s="3"/>
      <c r="AE364" s="1572"/>
    </row>
    <row r="365" spans="1:31" s="2863" customFormat="1" ht="46.5" x14ac:dyDescent="0.35">
      <c r="A365" s="295"/>
      <c r="B365" s="998"/>
      <c r="C365" s="998"/>
      <c r="D365" s="293"/>
      <c r="E365" s="2864" t="s">
        <v>11445</v>
      </c>
      <c r="F365" s="1138">
        <v>5</v>
      </c>
      <c r="G365" s="1138">
        <v>5</v>
      </c>
      <c r="H365" s="1138" t="s">
        <v>191</v>
      </c>
      <c r="I365" s="303"/>
      <c r="J365" s="303"/>
      <c r="K365" s="303"/>
      <c r="L365" s="2535">
        <f>1.89-1.775</f>
        <v>0.11499999999999999</v>
      </c>
      <c r="M365" s="303"/>
      <c r="N365" s="303"/>
      <c r="O365" s="621"/>
      <c r="P365" s="303"/>
      <c r="Q365" s="933"/>
      <c r="R365" s="927"/>
      <c r="S365" s="15"/>
      <c r="T365" s="233"/>
      <c r="U365" s="15"/>
      <c r="V365" s="15"/>
      <c r="W365" s="17"/>
      <c r="X365" s="233"/>
      <c r="Y365" s="17"/>
      <c r="Z365" s="250"/>
      <c r="AA365" s="3"/>
      <c r="AB365" s="3"/>
      <c r="AE365" s="1572"/>
    </row>
    <row r="366" spans="1:31" ht="15.5" x14ac:dyDescent="0.35">
      <c r="A366" s="295"/>
      <c r="B366" s="998" t="s">
        <v>692</v>
      </c>
      <c r="C366" s="998"/>
      <c r="D366" s="293"/>
      <c r="E366" s="837" t="s">
        <v>1755</v>
      </c>
      <c r="F366" s="1138">
        <v>5</v>
      </c>
      <c r="G366" s="1138">
        <v>5</v>
      </c>
      <c r="H366" s="1138">
        <v>6</v>
      </c>
      <c r="I366" s="303"/>
      <c r="J366" s="303"/>
      <c r="K366" s="303"/>
      <c r="L366" s="303"/>
      <c r="M366" s="303"/>
      <c r="N366" s="303"/>
      <c r="O366" s="621"/>
      <c r="P366" s="303"/>
      <c r="Q366" s="933">
        <f>4.34-1.89</f>
        <v>2.4500000000000002</v>
      </c>
      <c r="R366" s="927"/>
      <c r="S366" s="15"/>
      <c r="T366" s="233"/>
      <c r="U366" s="15"/>
      <c r="V366" s="15"/>
      <c r="W366" s="17"/>
      <c r="X366" s="233"/>
      <c r="Y366" s="17"/>
      <c r="Z366" s="250"/>
      <c r="AA366" s="3"/>
      <c r="AB366" s="3"/>
      <c r="AE366" s="1572"/>
    </row>
    <row r="367" spans="1:31" ht="15.5" x14ac:dyDescent="0.35">
      <c r="A367" s="295"/>
      <c r="B367" s="998" t="s">
        <v>692</v>
      </c>
      <c r="C367" s="998"/>
      <c r="D367" s="293"/>
      <c r="E367" s="838" t="s">
        <v>1018</v>
      </c>
      <c r="F367" s="1138" t="s">
        <v>664</v>
      </c>
      <c r="G367" s="1138">
        <v>5</v>
      </c>
      <c r="H367" s="1138">
        <v>6</v>
      </c>
      <c r="I367" s="303"/>
      <c r="J367" s="303"/>
      <c r="K367" s="303"/>
      <c r="L367" s="303"/>
      <c r="M367" s="303"/>
      <c r="N367" s="303"/>
      <c r="O367" s="621"/>
      <c r="P367" s="303"/>
      <c r="Q367" s="933"/>
      <c r="R367" s="927">
        <v>0.92</v>
      </c>
      <c r="S367" s="15"/>
      <c r="T367" s="233"/>
      <c r="U367" s="15"/>
      <c r="V367" s="15"/>
      <c r="W367" s="17"/>
      <c r="X367" s="233"/>
      <c r="Y367" s="17"/>
      <c r="Z367" s="250"/>
      <c r="AA367" s="3"/>
      <c r="AB367" s="3"/>
      <c r="AE367" s="1572"/>
    </row>
    <row r="368" spans="1:31" ht="45.5" x14ac:dyDescent="0.35">
      <c r="A368" s="295">
        <v>162</v>
      </c>
      <c r="B368" s="998" t="s">
        <v>692</v>
      </c>
      <c r="C368" s="998"/>
      <c r="D368" s="2474" t="s">
        <v>3824</v>
      </c>
      <c r="E368" s="511" t="s">
        <v>9620</v>
      </c>
      <c r="F368" s="1138"/>
      <c r="G368" s="1138" t="s">
        <v>191</v>
      </c>
      <c r="H368" s="1138" t="s">
        <v>191</v>
      </c>
      <c r="I368" s="297">
        <f t="shared" ref="I368:I381" si="20">J368+K368+L368</f>
        <v>0.69000000000000006</v>
      </c>
      <c r="J368" s="297">
        <f t="shared" ref="J368:J381" si="21">SUM(M368:R368)</f>
        <v>0.69000000000000006</v>
      </c>
      <c r="K368" s="297"/>
      <c r="L368" s="297"/>
      <c r="M368" s="297"/>
      <c r="N368" s="297"/>
      <c r="O368" s="619"/>
      <c r="P368" s="297"/>
      <c r="Q368" s="932">
        <v>0.46</v>
      </c>
      <c r="R368" s="925">
        <v>0.23</v>
      </c>
      <c r="S368" s="15"/>
      <c r="T368" s="233"/>
      <c r="U368" s="15"/>
      <c r="V368" s="15"/>
      <c r="W368" s="17">
        <v>1</v>
      </c>
      <c r="X368" s="233">
        <v>10</v>
      </c>
      <c r="Y368" s="17"/>
      <c r="Z368" s="250"/>
      <c r="AA368" s="3"/>
      <c r="AB368" s="3">
        <v>1</v>
      </c>
      <c r="AE368" s="1572"/>
    </row>
    <row r="369" spans="1:31" ht="15.5" x14ac:dyDescent="0.35">
      <c r="A369" s="295"/>
      <c r="B369" s="998" t="s">
        <v>692</v>
      </c>
      <c r="C369" s="998"/>
      <c r="D369" s="293"/>
      <c r="E369" s="2050" t="s">
        <v>2639</v>
      </c>
      <c r="F369" s="1138">
        <v>5</v>
      </c>
      <c r="G369" s="1138">
        <v>5</v>
      </c>
      <c r="H369" s="1138">
        <v>6</v>
      </c>
      <c r="I369" s="298"/>
      <c r="J369" s="298"/>
      <c r="K369" s="298"/>
      <c r="L369" s="298"/>
      <c r="M369" s="298"/>
      <c r="N369" s="298"/>
      <c r="O369" s="300"/>
      <c r="P369" s="298"/>
      <c r="Q369" s="1836">
        <v>0.46</v>
      </c>
      <c r="R369" s="2049"/>
      <c r="S369" s="15"/>
      <c r="T369" s="233"/>
      <c r="U369" s="15"/>
      <c r="V369" s="15"/>
      <c r="W369" s="17"/>
      <c r="X369" s="233"/>
      <c r="Y369" s="17"/>
      <c r="Z369" s="250"/>
      <c r="AA369" s="3"/>
      <c r="AB369" s="3"/>
      <c r="AE369" s="1572"/>
    </row>
    <row r="370" spans="1:31" ht="15.5" x14ac:dyDescent="0.35">
      <c r="A370" s="295"/>
      <c r="B370" s="998" t="s">
        <v>692</v>
      </c>
      <c r="C370" s="998"/>
      <c r="D370" s="293"/>
      <c r="E370" s="1777" t="s">
        <v>11279</v>
      </c>
      <c r="F370" s="1138" t="s">
        <v>664</v>
      </c>
      <c r="G370" s="1138">
        <v>5</v>
      </c>
      <c r="H370" s="1138">
        <v>6</v>
      </c>
      <c r="I370" s="298"/>
      <c r="J370" s="298"/>
      <c r="K370" s="298"/>
      <c r="L370" s="298"/>
      <c r="M370" s="298"/>
      <c r="N370" s="298"/>
      <c r="O370" s="300"/>
      <c r="P370" s="298"/>
      <c r="Q370" s="1836"/>
      <c r="R370" s="2049">
        <v>0.23</v>
      </c>
      <c r="S370" s="15"/>
      <c r="T370" s="233"/>
      <c r="U370" s="15"/>
      <c r="V370" s="15"/>
      <c r="W370" s="17"/>
      <c r="X370" s="233"/>
      <c r="Y370" s="17"/>
      <c r="Z370" s="250"/>
      <c r="AA370" s="3"/>
      <c r="AB370" s="3"/>
      <c r="AE370" s="1572"/>
    </row>
    <row r="371" spans="1:31" ht="45.5" x14ac:dyDescent="0.35">
      <c r="A371" s="295">
        <v>163</v>
      </c>
      <c r="B371" s="998" t="s">
        <v>692</v>
      </c>
      <c r="C371" s="998"/>
      <c r="D371" s="2474" t="s">
        <v>3825</v>
      </c>
      <c r="E371" s="511" t="s">
        <v>9621</v>
      </c>
      <c r="F371" s="1138">
        <v>5</v>
      </c>
      <c r="G371" s="1138">
        <v>5</v>
      </c>
      <c r="H371" s="1138">
        <v>6</v>
      </c>
      <c r="I371" s="297">
        <f t="shared" si="20"/>
        <v>0.7</v>
      </c>
      <c r="J371" s="297">
        <f t="shared" si="21"/>
        <v>0.7</v>
      </c>
      <c r="K371" s="297"/>
      <c r="L371" s="297"/>
      <c r="M371" s="297"/>
      <c r="N371" s="297">
        <v>0.7</v>
      </c>
      <c r="O371" s="619"/>
      <c r="P371" s="297"/>
      <c r="Q371" s="932"/>
      <c r="R371" s="925"/>
      <c r="S371" s="15"/>
      <c r="T371" s="233"/>
      <c r="U371" s="15"/>
      <c r="V371" s="15"/>
      <c r="W371" s="17">
        <v>1</v>
      </c>
      <c r="X371" s="233">
        <v>15.13</v>
      </c>
      <c r="Y371" s="17"/>
      <c r="Z371" s="250"/>
      <c r="AA371" s="3" t="s">
        <v>9171</v>
      </c>
      <c r="AB371" s="3">
        <v>1</v>
      </c>
      <c r="AE371" s="1572"/>
    </row>
    <row r="372" spans="1:31" ht="60.5" x14ac:dyDescent="0.35">
      <c r="A372" s="295">
        <v>164</v>
      </c>
      <c r="B372" s="998" t="s">
        <v>692</v>
      </c>
      <c r="C372" s="998" t="s">
        <v>1655</v>
      </c>
      <c r="D372" s="2474" t="s">
        <v>3826</v>
      </c>
      <c r="E372" s="511" t="s">
        <v>9622</v>
      </c>
      <c r="F372" s="1138" t="s">
        <v>664</v>
      </c>
      <c r="G372" s="1138">
        <v>5</v>
      </c>
      <c r="H372" s="1138">
        <v>6</v>
      </c>
      <c r="I372" s="297">
        <f t="shared" si="20"/>
        <v>0.8</v>
      </c>
      <c r="J372" s="297">
        <f t="shared" si="21"/>
        <v>0.8</v>
      </c>
      <c r="K372" s="297"/>
      <c r="L372" s="297"/>
      <c r="M372" s="297"/>
      <c r="N372" s="297"/>
      <c r="O372" s="619"/>
      <c r="P372" s="297"/>
      <c r="Q372" s="932"/>
      <c r="R372" s="925">
        <v>0.8</v>
      </c>
      <c r="S372" s="15"/>
      <c r="T372" s="233"/>
      <c r="U372" s="15"/>
      <c r="V372" s="15"/>
      <c r="W372" s="17"/>
      <c r="X372" s="233"/>
      <c r="Y372" s="17"/>
      <c r="Z372" s="250"/>
      <c r="AA372" s="3"/>
      <c r="AB372" s="3">
        <v>1</v>
      </c>
      <c r="AE372" s="1572"/>
    </row>
    <row r="373" spans="1:31" ht="60.5" x14ac:dyDescent="0.35">
      <c r="A373" s="295">
        <v>165</v>
      </c>
      <c r="B373" s="998" t="s">
        <v>692</v>
      </c>
      <c r="C373" s="998" t="s">
        <v>1655</v>
      </c>
      <c r="D373" s="2474" t="s">
        <v>3827</v>
      </c>
      <c r="E373" s="511" t="s">
        <v>9623</v>
      </c>
      <c r="F373" s="1138" t="s">
        <v>1490</v>
      </c>
      <c r="G373" s="1138">
        <v>5</v>
      </c>
      <c r="H373" s="1138">
        <v>6</v>
      </c>
      <c r="I373" s="297">
        <f t="shared" si="20"/>
        <v>0.4</v>
      </c>
      <c r="J373" s="297">
        <f t="shared" si="21"/>
        <v>0.4</v>
      </c>
      <c r="K373" s="297"/>
      <c r="L373" s="297"/>
      <c r="M373" s="297"/>
      <c r="N373" s="297">
        <v>0.4</v>
      </c>
      <c r="O373" s="619"/>
      <c r="P373" s="297"/>
      <c r="Q373" s="932"/>
      <c r="R373" s="925"/>
      <c r="S373" s="15"/>
      <c r="T373" s="233"/>
      <c r="U373" s="15"/>
      <c r="V373" s="15"/>
      <c r="W373" s="17"/>
      <c r="X373" s="233"/>
      <c r="Y373" s="17"/>
      <c r="Z373" s="250"/>
      <c r="AA373" s="3"/>
      <c r="AB373" s="3">
        <v>1</v>
      </c>
      <c r="AE373" s="1572"/>
    </row>
    <row r="374" spans="1:31" ht="30.5" x14ac:dyDescent="0.35">
      <c r="A374" s="295"/>
      <c r="B374" s="998"/>
      <c r="C374" s="998"/>
      <c r="D374" s="293"/>
      <c r="E374" s="1582" t="s">
        <v>1988</v>
      </c>
      <c r="F374" s="1138"/>
      <c r="G374" s="1138"/>
      <c r="H374" s="1138"/>
      <c r="I374" s="297"/>
      <c r="J374" s="297"/>
      <c r="K374" s="297"/>
      <c r="L374" s="297"/>
      <c r="M374" s="297"/>
      <c r="N374" s="297"/>
      <c r="O374" s="619"/>
      <c r="P374" s="297"/>
      <c r="Q374" s="932"/>
      <c r="R374" s="925"/>
      <c r="S374" s="15"/>
      <c r="T374" s="233"/>
      <c r="U374" s="15"/>
      <c r="V374" s="15"/>
      <c r="W374" s="17"/>
      <c r="X374" s="233"/>
      <c r="Y374" s="17"/>
      <c r="Z374" s="250"/>
      <c r="AA374" s="3"/>
      <c r="AB374" s="3"/>
      <c r="AE374" s="1572"/>
    </row>
    <row r="375" spans="1:31" ht="30.5" x14ac:dyDescent="0.35">
      <c r="A375" s="295">
        <v>166</v>
      </c>
      <c r="B375" s="998" t="s">
        <v>692</v>
      </c>
      <c r="C375" s="999" t="s">
        <v>1656</v>
      </c>
      <c r="D375" s="2474" t="s">
        <v>3828</v>
      </c>
      <c r="E375" s="511" t="s">
        <v>11207</v>
      </c>
      <c r="F375" s="1138" t="s">
        <v>827</v>
      </c>
      <c r="G375" s="1138">
        <v>5</v>
      </c>
      <c r="H375" s="1138">
        <v>6</v>
      </c>
      <c r="I375" s="297">
        <f t="shared" si="20"/>
        <v>0.45</v>
      </c>
      <c r="J375" s="297">
        <f t="shared" si="21"/>
        <v>0.45</v>
      </c>
      <c r="K375" s="297"/>
      <c r="L375" s="297"/>
      <c r="M375" s="297"/>
      <c r="N375" s="297"/>
      <c r="O375" s="619">
        <v>0.45</v>
      </c>
      <c r="P375" s="297"/>
      <c r="Q375" s="932"/>
      <c r="R375" s="925"/>
      <c r="S375" s="15"/>
      <c r="T375" s="233"/>
      <c r="U375" s="15"/>
      <c r="V375" s="15"/>
      <c r="W375" s="17"/>
      <c r="X375" s="233"/>
      <c r="Y375" s="17"/>
      <c r="Z375" s="250"/>
      <c r="AA375" s="3"/>
      <c r="AB375" s="3">
        <v>1</v>
      </c>
      <c r="AE375" s="1572"/>
    </row>
    <row r="376" spans="1:31" ht="30" x14ac:dyDescent="0.35">
      <c r="A376" s="295">
        <v>167</v>
      </c>
      <c r="B376" s="693" t="s">
        <v>692</v>
      </c>
      <c r="C376" s="999" t="s">
        <v>1656</v>
      </c>
      <c r="D376" s="2474" t="s">
        <v>3829</v>
      </c>
      <c r="E376" s="2187" t="s">
        <v>9224</v>
      </c>
      <c r="F376" s="1138"/>
      <c r="G376" s="1138" t="s">
        <v>191</v>
      </c>
      <c r="H376" s="1138" t="s">
        <v>191</v>
      </c>
      <c r="I376" s="297">
        <f>J376+K376+L376</f>
        <v>0.3</v>
      </c>
      <c r="J376" s="297">
        <f>SUM(M376:R376)</f>
        <v>0.19999999999999998</v>
      </c>
      <c r="K376" s="106"/>
      <c r="L376" s="622">
        <f>SUM(L377:L378)</f>
        <v>0.1</v>
      </c>
      <c r="M376" s="106"/>
      <c r="N376" s="106"/>
      <c r="O376" s="106"/>
      <c r="P376" s="106"/>
      <c r="Q376" s="106"/>
      <c r="R376" s="906">
        <f>SUM(R377:R378)</f>
        <v>0.19999999999999998</v>
      </c>
      <c r="S376" s="106"/>
      <c r="T376" s="106"/>
      <c r="U376" s="106"/>
      <c r="V376" s="106"/>
      <c r="W376" s="105"/>
      <c r="X376" s="105"/>
      <c r="Y376" s="105"/>
      <c r="Z376" s="105"/>
      <c r="AA376" s="3"/>
      <c r="AB376" s="3">
        <v>1</v>
      </c>
      <c r="AE376" s="1572"/>
    </row>
    <row r="377" spans="1:31" s="2769" customFormat="1" ht="46.5" x14ac:dyDescent="0.35">
      <c r="A377" s="295"/>
      <c r="B377" s="1040"/>
      <c r="C377" s="998"/>
      <c r="D377" s="2474"/>
      <c r="E377" s="534" t="s">
        <v>11073</v>
      </c>
      <c r="F377" s="2798" t="s">
        <v>664</v>
      </c>
      <c r="G377" s="2798">
        <v>5</v>
      </c>
      <c r="H377" s="337" t="s">
        <v>191</v>
      </c>
      <c r="I377" s="488"/>
      <c r="J377" s="488"/>
      <c r="K377" s="2133"/>
      <c r="L377" s="801">
        <v>0.1</v>
      </c>
      <c r="M377" s="91"/>
      <c r="N377" s="91"/>
      <c r="O377" s="91"/>
      <c r="P377" s="91"/>
      <c r="Q377" s="91"/>
      <c r="R377" s="907"/>
      <c r="S377" s="106"/>
      <c r="T377" s="106"/>
      <c r="U377" s="106"/>
      <c r="V377" s="106"/>
      <c r="W377" s="105"/>
      <c r="X377" s="105"/>
      <c r="Y377" s="105"/>
      <c r="Z377" s="105"/>
      <c r="AA377" s="3"/>
      <c r="AB377" s="3"/>
      <c r="AE377" s="1572"/>
    </row>
    <row r="378" spans="1:31" s="2769" customFormat="1" ht="15.5" x14ac:dyDescent="0.35">
      <c r="A378" s="295"/>
      <c r="B378" s="1040"/>
      <c r="C378" s="998"/>
      <c r="D378" s="2474"/>
      <c r="E378" s="1777" t="s">
        <v>1692</v>
      </c>
      <c r="F378" s="92" t="s">
        <v>664</v>
      </c>
      <c r="G378" s="92">
        <v>5</v>
      </c>
      <c r="H378" s="1138">
        <v>6</v>
      </c>
      <c r="I378" s="298"/>
      <c r="J378" s="298"/>
      <c r="K378" s="91"/>
      <c r="L378" s="1857"/>
      <c r="M378" s="91"/>
      <c r="N378" s="91"/>
      <c r="O378" s="91"/>
      <c r="P378" s="91"/>
      <c r="Q378" s="91"/>
      <c r="R378" s="907">
        <f>0.3-0.1</f>
        <v>0.19999999999999998</v>
      </c>
      <c r="S378" s="106"/>
      <c r="T378" s="106"/>
      <c r="U378" s="106"/>
      <c r="V378" s="106"/>
      <c r="W378" s="105"/>
      <c r="X378" s="105"/>
      <c r="Y378" s="105"/>
      <c r="Z378" s="105"/>
      <c r="AA378" s="3"/>
      <c r="AB378" s="3"/>
      <c r="AE378" s="1572"/>
    </row>
    <row r="379" spans="1:31" ht="30.5" x14ac:dyDescent="0.35">
      <c r="A379" s="295"/>
      <c r="B379" s="998" t="s">
        <v>298</v>
      </c>
      <c r="C379" s="998"/>
      <c r="D379" s="293"/>
      <c r="E379" s="1582" t="s">
        <v>2287</v>
      </c>
      <c r="F379" s="1138"/>
      <c r="G379" s="1138"/>
      <c r="H379" s="1138"/>
      <c r="I379" s="297"/>
      <c r="J379" s="297"/>
      <c r="K379" s="297"/>
      <c r="L379" s="297"/>
      <c r="M379" s="297"/>
      <c r="N379" s="297"/>
      <c r="O379" s="619"/>
      <c r="P379" s="297"/>
      <c r="Q379" s="932"/>
      <c r="R379" s="925"/>
      <c r="S379" s="15"/>
      <c r="T379" s="233"/>
      <c r="U379" s="15"/>
      <c r="V379" s="15"/>
      <c r="W379" s="17"/>
      <c r="X379" s="233"/>
      <c r="Y379" s="17"/>
      <c r="Z379" s="250"/>
      <c r="AA379" s="3"/>
      <c r="AB379" s="3"/>
      <c r="AE379" s="1572"/>
    </row>
    <row r="380" spans="1:31" ht="30.5" x14ac:dyDescent="0.35">
      <c r="A380" s="295">
        <v>168</v>
      </c>
      <c r="B380" s="998" t="s">
        <v>298</v>
      </c>
      <c r="C380" s="998"/>
      <c r="D380" s="2474" t="s">
        <v>3830</v>
      </c>
      <c r="E380" s="288" t="s">
        <v>7443</v>
      </c>
      <c r="F380" s="1138">
        <v>5</v>
      </c>
      <c r="G380" s="1138">
        <v>5</v>
      </c>
      <c r="H380" s="1138">
        <v>6</v>
      </c>
      <c r="I380" s="297">
        <f t="shared" si="20"/>
        <v>2.3540000000000001</v>
      </c>
      <c r="J380" s="297">
        <f t="shared" si="21"/>
        <v>2.3540000000000001</v>
      </c>
      <c r="K380" s="297"/>
      <c r="L380" s="297"/>
      <c r="M380" s="297"/>
      <c r="N380" s="297"/>
      <c r="O380" s="619"/>
      <c r="P380" s="297"/>
      <c r="Q380" s="932">
        <v>2.3540000000000001</v>
      </c>
      <c r="R380" s="925"/>
      <c r="S380" s="15"/>
      <c r="T380" s="233"/>
      <c r="U380" s="15"/>
      <c r="V380" s="15"/>
      <c r="W380" s="17">
        <v>4</v>
      </c>
      <c r="X380" s="233">
        <v>40.5</v>
      </c>
      <c r="Y380" s="17"/>
      <c r="Z380" s="250"/>
      <c r="AA380" s="3"/>
      <c r="AB380" s="3">
        <v>1</v>
      </c>
      <c r="AE380" s="1572"/>
    </row>
    <row r="381" spans="1:31" ht="30.5" x14ac:dyDescent="0.35">
      <c r="A381" s="295">
        <v>169</v>
      </c>
      <c r="B381" s="998" t="s">
        <v>298</v>
      </c>
      <c r="C381" s="998"/>
      <c r="D381" s="2474" t="s">
        <v>3831</v>
      </c>
      <c r="E381" s="288" t="s">
        <v>7444</v>
      </c>
      <c r="F381" s="1138">
        <v>5</v>
      </c>
      <c r="G381" s="1138">
        <v>5</v>
      </c>
      <c r="H381" s="1138">
        <v>6</v>
      </c>
      <c r="I381" s="297">
        <f t="shared" si="20"/>
        <v>1.417</v>
      </c>
      <c r="J381" s="297">
        <f t="shared" si="21"/>
        <v>1.417</v>
      </c>
      <c r="K381" s="297"/>
      <c r="L381" s="297"/>
      <c r="M381" s="297"/>
      <c r="N381" s="297">
        <v>1.417</v>
      </c>
      <c r="O381" s="619"/>
      <c r="P381" s="297"/>
      <c r="Q381" s="932"/>
      <c r="R381" s="925"/>
      <c r="S381" s="15"/>
      <c r="T381" s="233"/>
      <c r="U381" s="15"/>
      <c r="V381" s="15"/>
      <c r="W381" s="154">
        <v>2</v>
      </c>
      <c r="X381" s="1962">
        <v>30.3</v>
      </c>
      <c r="Y381" s="17"/>
      <c r="Z381" s="250"/>
      <c r="AA381" s="3"/>
      <c r="AB381" s="3">
        <v>1</v>
      </c>
      <c r="AE381" s="1572"/>
    </row>
    <row r="382" spans="1:31" ht="30.5" x14ac:dyDescent="0.35">
      <c r="A382" s="295">
        <v>170</v>
      </c>
      <c r="B382" s="998" t="s">
        <v>298</v>
      </c>
      <c r="C382" s="998"/>
      <c r="D382" s="2474" t="s">
        <v>3832</v>
      </c>
      <c r="E382" s="288" t="s">
        <v>11339</v>
      </c>
      <c r="F382" s="1138"/>
      <c r="G382" s="1138" t="s">
        <v>191</v>
      </c>
      <c r="H382" s="1138" t="s">
        <v>191</v>
      </c>
      <c r="I382" s="297">
        <f t="shared" ref="I382:I394" si="22">J382+K382+L382</f>
        <v>2.153</v>
      </c>
      <c r="J382" s="297">
        <f t="shared" ref="J382:J394" si="23">SUM(M382:R382)</f>
        <v>2.153</v>
      </c>
      <c r="K382" s="297"/>
      <c r="L382" s="297"/>
      <c r="M382" s="297"/>
      <c r="N382" s="2865">
        <f>SUM(N383:N384)</f>
        <v>2.153</v>
      </c>
      <c r="O382" s="619"/>
      <c r="P382" s="297"/>
      <c r="Q382" s="932">
        <f>SUM(Q383:Q384)</f>
        <v>0</v>
      </c>
      <c r="R382" s="925"/>
      <c r="S382" s="15"/>
      <c r="T382" s="233"/>
      <c r="U382" s="15"/>
      <c r="V382" s="15"/>
      <c r="W382" s="17">
        <v>9</v>
      </c>
      <c r="X382" s="233">
        <v>94.75</v>
      </c>
      <c r="Y382" s="17">
        <v>3</v>
      </c>
      <c r="Z382" s="250">
        <v>25.4</v>
      </c>
      <c r="AA382" s="3"/>
      <c r="AB382" s="3">
        <v>1</v>
      </c>
      <c r="AE382" s="1572"/>
    </row>
    <row r="383" spans="1:31" ht="15.5" x14ac:dyDescent="0.35">
      <c r="A383" s="295"/>
      <c r="B383" s="998"/>
      <c r="C383" s="998"/>
      <c r="D383" s="2474"/>
      <c r="E383" s="2864" t="s">
        <v>324</v>
      </c>
      <c r="F383" s="1138">
        <v>5</v>
      </c>
      <c r="G383" s="1138">
        <v>5</v>
      </c>
      <c r="H383" s="1138">
        <v>6</v>
      </c>
      <c r="I383" s="298"/>
      <c r="J383" s="298"/>
      <c r="K383" s="298"/>
      <c r="L383" s="298"/>
      <c r="M383" s="298"/>
      <c r="N383" s="2535">
        <v>0.77</v>
      </c>
      <c r="O383" s="300"/>
      <c r="P383" s="298"/>
      <c r="Q383" s="1836">
        <v>0</v>
      </c>
      <c r="R383" s="925"/>
      <c r="S383" s="15"/>
      <c r="T383" s="233"/>
      <c r="U383" s="15"/>
      <c r="V383" s="15"/>
      <c r="W383" s="17"/>
      <c r="X383" s="233"/>
      <c r="Y383" s="17"/>
      <c r="Z383" s="250"/>
      <c r="AA383" s="3"/>
      <c r="AB383" s="3"/>
      <c r="AE383" s="1572"/>
    </row>
    <row r="384" spans="1:31" ht="15.5" x14ac:dyDescent="0.35">
      <c r="A384" s="295"/>
      <c r="B384" s="998"/>
      <c r="C384" s="998"/>
      <c r="D384" s="2474"/>
      <c r="E384" s="291" t="s">
        <v>10424</v>
      </c>
      <c r="F384" s="1138">
        <v>5</v>
      </c>
      <c r="G384" s="1138">
        <v>5</v>
      </c>
      <c r="H384" s="1138">
        <v>6</v>
      </c>
      <c r="I384" s="298"/>
      <c r="J384" s="298"/>
      <c r="K384" s="298"/>
      <c r="L384" s="298"/>
      <c r="M384" s="298"/>
      <c r="N384" s="487">
        <f>2.153-0.77</f>
        <v>1.383</v>
      </c>
      <c r="O384" s="300"/>
      <c r="P384" s="298"/>
      <c r="Q384" s="1836"/>
      <c r="R384" s="925"/>
      <c r="S384" s="15"/>
      <c r="T384" s="233"/>
      <c r="U384" s="15"/>
      <c r="V384" s="15"/>
      <c r="W384" s="17"/>
      <c r="X384" s="233"/>
      <c r="Y384" s="17"/>
      <c r="Z384" s="250"/>
      <c r="AA384" s="3"/>
      <c r="AB384" s="3"/>
      <c r="AE384" s="1572"/>
    </row>
    <row r="385" spans="1:31" ht="45.5" x14ac:dyDescent="0.35">
      <c r="A385" s="295">
        <v>171</v>
      </c>
      <c r="B385" s="998" t="s">
        <v>298</v>
      </c>
      <c r="C385" s="999" t="s">
        <v>1656</v>
      </c>
      <c r="D385" s="2474" t="s">
        <v>3833</v>
      </c>
      <c r="E385" s="288" t="s">
        <v>11340</v>
      </c>
      <c r="F385" s="1138" t="s">
        <v>664</v>
      </c>
      <c r="G385" s="1138">
        <v>5</v>
      </c>
      <c r="H385" s="1138">
        <v>6</v>
      </c>
      <c r="I385" s="297">
        <f>J385+K385+L385</f>
        <v>0.6</v>
      </c>
      <c r="J385" s="297">
        <f>SUM(M385:R385)</f>
        <v>0.6</v>
      </c>
      <c r="K385" s="297"/>
      <c r="L385" s="297"/>
      <c r="M385" s="297"/>
      <c r="N385" s="297"/>
      <c r="O385" s="619"/>
      <c r="P385" s="297"/>
      <c r="Q385" s="932"/>
      <c r="R385" s="925">
        <v>0.6</v>
      </c>
      <c r="S385" s="15"/>
      <c r="T385" s="233"/>
      <c r="U385" s="15"/>
      <c r="V385" s="15"/>
      <c r="W385" s="17"/>
      <c r="X385" s="233"/>
      <c r="Y385" s="17"/>
      <c r="Z385" s="250"/>
      <c r="AA385" s="3"/>
      <c r="AB385" s="3">
        <v>1</v>
      </c>
      <c r="AE385" s="1572"/>
    </row>
    <row r="386" spans="1:31" ht="30.5" x14ac:dyDescent="0.35">
      <c r="A386" s="295">
        <v>172</v>
      </c>
      <c r="B386" s="998" t="s">
        <v>298</v>
      </c>
      <c r="C386" s="998"/>
      <c r="D386" s="2474" t="s">
        <v>3834</v>
      </c>
      <c r="E386" s="288" t="s">
        <v>7445</v>
      </c>
      <c r="F386" s="1138">
        <v>4</v>
      </c>
      <c r="G386" s="1138">
        <v>4</v>
      </c>
      <c r="H386" s="1138">
        <v>6</v>
      </c>
      <c r="I386" s="297">
        <f t="shared" si="22"/>
        <v>0.41</v>
      </c>
      <c r="J386" s="297">
        <f t="shared" si="23"/>
        <v>0.41</v>
      </c>
      <c r="K386" s="297"/>
      <c r="L386" s="297"/>
      <c r="M386" s="297"/>
      <c r="N386" s="297">
        <v>0.41</v>
      </c>
      <c r="O386" s="619"/>
      <c r="P386" s="297"/>
      <c r="Q386" s="932"/>
      <c r="R386" s="925"/>
      <c r="S386" s="15"/>
      <c r="T386" s="233"/>
      <c r="U386" s="15"/>
      <c r="V386" s="15"/>
      <c r="W386" s="17"/>
      <c r="X386" s="233"/>
      <c r="Y386" s="17"/>
      <c r="Z386" s="250"/>
      <c r="AA386" s="3"/>
      <c r="AB386" s="3">
        <v>1</v>
      </c>
      <c r="AC386" s="62" t="s">
        <v>1326</v>
      </c>
      <c r="AD386" s="353">
        <v>36626</v>
      </c>
      <c r="AE386" s="1781">
        <v>36739</v>
      </c>
    </row>
    <row r="387" spans="1:31" ht="30" x14ac:dyDescent="0.35">
      <c r="A387" s="295">
        <v>173</v>
      </c>
      <c r="B387" s="693" t="s">
        <v>298</v>
      </c>
      <c r="C387" s="999" t="s">
        <v>1656</v>
      </c>
      <c r="D387" s="2474" t="s">
        <v>3835</v>
      </c>
      <c r="E387" s="2187" t="s">
        <v>11528</v>
      </c>
      <c r="F387" s="92" t="s">
        <v>664</v>
      </c>
      <c r="G387" s="92">
        <v>5</v>
      </c>
      <c r="H387" s="1138">
        <v>6</v>
      </c>
      <c r="I387" s="2841">
        <f>J387+K387+L387</f>
        <v>0.05</v>
      </c>
      <c r="J387" s="2841">
        <f>SUM(M387:R387)</f>
        <v>0.05</v>
      </c>
      <c r="K387" s="106"/>
      <c r="L387" s="106"/>
      <c r="M387" s="106"/>
      <c r="N387" s="106"/>
      <c r="O387" s="106"/>
      <c r="P387" s="106"/>
      <c r="Q387" s="106"/>
      <c r="R387" s="906">
        <v>0.05</v>
      </c>
      <c r="S387" s="106"/>
      <c r="T387" s="106"/>
      <c r="U387" s="106"/>
      <c r="V387" s="106"/>
      <c r="W387" s="105"/>
      <c r="X387" s="105"/>
      <c r="Y387" s="105"/>
      <c r="Z387" s="105"/>
      <c r="AA387" s="3"/>
      <c r="AB387" s="3">
        <v>1</v>
      </c>
      <c r="AE387" s="1572"/>
    </row>
    <row r="388" spans="1:31" ht="30.5" x14ac:dyDescent="0.35">
      <c r="A388" s="295">
        <v>174</v>
      </c>
      <c r="B388" s="998" t="s">
        <v>298</v>
      </c>
      <c r="C388" s="1000" t="s">
        <v>1657</v>
      </c>
      <c r="D388" s="2474" t="s">
        <v>3836</v>
      </c>
      <c r="E388" s="511" t="s">
        <v>9312</v>
      </c>
      <c r="F388" s="1138" t="s">
        <v>827</v>
      </c>
      <c r="G388" s="1138">
        <v>5</v>
      </c>
      <c r="H388" s="1138">
        <v>6</v>
      </c>
      <c r="I388" s="297">
        <f t="shared" si="22"/>
        <v>0.4</v>
      </c>
      <c r="J388" s="297">
        <f t="shared" si="23"/>
        <v>0.4</v>
      </c>
      <c r="K388" s="297"/>
      <c r="L388" s="297"/>
      <c r="M388" s="297"/>
      <c r="N388" s="297"/>
      <c r="O388" s="619"/>
      <c r="P388" s="297"/>
      <c r="Q388" s="932"/>
      <c r="R388" s="925">
        <v>0.4</v>
      </c>
      <c r="S388" s="15"/>
      <c r="T388" s="233"/>
      <c r="U388" s="15"/>
      <c r="V388" s="15"/>
      <c r="W388" s="17"/>
      <c r="X388" s="233"/>
      <c r="Y388" s="17"/>
      <c r="Z388" s="250"/>
      <c r="AA388" s="3"/>
      <c r="AB388" s="3">
        <v>1</v>
      </c>
      <c r="AE388" s="1572"/>
    </row>
    <row r="389" spans="1:31" ht="30.5" x14ac:dyDescent="0.35">
      <c r="A389" s="295">
        <v>175</v>
      </c>
      <c r="B389" s="998" t="s">
        <v>298</v>
      </c>
      <c r="C389" s="999" t="s">
        <v>1656</v>
      </c>
      <c r="D389" s="2474" t="s">
        <v>3837</v>
      </c>
      <c r="E389" s="511" t="s">
        <v>9225</v>
      </c>
      <c r="F389" s="1138" t="s">
        <v>1490</v>
      </c>
      <c r="G389" s="1138">
        <v>5</v>
      </c>
      <c r="H389" s="1138">
        <v>6</v>
      </c>
      <c r="I389" s="297">
        <f t="shared" si="22"/>
        <v>1.3</v>
      </c>
      <c r="J389" s="297">
        <f t="shared" si="23"/>
        <v>1.3</v>
      </c>
      <c r="K389" s="297"/>
      <c r="L389" s="297"/>
      <c r="M389" s="297"/>
      <c r="N389" s="297"/>
      <c r="O389" s="619"/>
      <c r="P389" s="297"/>
      <c r="Q389" s="932"/>
      <c r="R389" s="925">
        <v>1.3</v>
      </c>
      <c r="S389" s="15"/>
      <c r="T389" s="233"/>
      <c r="U389" s="15"/>
      <c r="V389" s="15"/>
      <c r="W389" s="17"/>
      <c r="X389" s="233"/>
      <c r="Y389" s="17"/>
      <c r="Z389" s="250"/>
      <c r="AA389" s="3"/>
      <c r="AB389" s="3">
        <v>1</v>
      </c>
      <c r="AE389" s="1572"/>
    </row>
    <row r="390" spans="1:31" ht="30.5" x14ac:dyDescent="0.35">
      <c r="A390" s="295">
        <v>176</v>
      </c>
      <c r="B390" s="998" t="s">
        <v>298</v>
      </c>
      <c r="C390" s="999" t="s">
        <v>1656</v>
      </c>
      <c r="D390" s="2474" t="s">
        <v>3838</v>
      </c>
      <c r="E390" s="288" t="s">
        <v>8170</v>
      </c>
      <c r="F390" s="1138" t="s">
        <v>664</v>
      </c>
      <c r="G390" s="1138">
        <v>5</v>
      </c>
      <c r="H390" s="1138">
        <v>6</v>
      </c>
      <c r="I390" s="297">
        <f t="shared" si="22"/>
        <v>1.2</v>
      </c>
      <c r="J390" s="297">
        <f t="shared" si="23"/>
        <v>1.2</v>
      </c>
      <c r="K390" s="297"/>
      <c r="L390" s="297"/>
      <c r="M390" s="297"/>
      <c r="N390" s="297"/>
      <c r="O390" s="619"/>
      <c r="P390" s="297"/>
      <c r="Q390" s="932"/>
      <c r="R390" s="925">
        <v>1.2</v>
      </c>
      <c r="S390" s="15"/>
      <c r="T390" s="233"/>
      <c r="U390" s="15"/>
      <c r="V390" s="15"/>
      <c r="W390" s="17"/>
      <c r="X390" s="233"/>
      <c r="Y390" s="17"/>
      <c r="Z390" s="250"/>
      <c r="AA390" s="3"/>
      <c r="AB390" s="3">
        <v>1</v>
      </c>
      <c r="AE390" s="1572"/>
    </row>
    <row r="391" spans="1:31" ht="45.5" x14ac:dyDescent="0.35">
      <c r="A391" s="295">
        <v>177</v>
      </c>
      <c r="B391" s="998" t="s">
        <v>298</v>
      </c>
      <c r="C391" s="998"/>
      <c r="D391" s="2474" t="s">
        <v>3839</v>
      </c>
      <c r="E391" s="288" t="s">
        <v>7314</v>
      </c>
      <c r="F391" s="1138">
        <v>5</v>
      </c>
      <c r="G391" s="1138">
        <v>5</v>
      </c>
      <c r="H391" s="1138">
        <v>6</v>
      </c>
      <c r="I391" s="297">
        <f t="shared" si="22"/>
        <v>0.15</v>
      </c>
      <c r="J391" s="297">
        <f t="shared" si="23"/>
        <v>0.15</v>
      </c>
      <c r="K391" s="297"/>
      <c r="L391" s="297"/>
      <c r="M391" s="297"/>
      <c r="N391" s="297">
        <v>0.15</v>
      </c>
      <c r="O391" s="619"/>
      <c r="P391" s="297"/>
      <c r="Q391" s="932"/>
      <c r="R391" s="925"/>
      <c r="S391" s="15"/>
      <c r="T391" s="233"/>
      <c r="U391" s="15"/>
      <c r="V391" s="15"/>
      <c r="W391" s="17"/>
      <c r="X391" s="233"/>
      <c r="Y391" s="17"/>
      <c r="Z391" s="250"/>
      <c r="AA391" s="3"/>
      <c r="AB391" s="3">
        <v>1</v>
      </c>
      <c r="AE391" s="1572"/>
    </row>
    <row r="392" spans="1:31" ht="30" x14ac:dyDescent="0.35">
      <c r="A392" s="295">
        <v>178</v>
      </c>
      <c r="B392" s="693" t="s">
        <v>298</v>
      </c>
      <c r="C392" s="999" t="s">
        <v>1656</v>
      </c>
      <c r="D392" s="2474" t="s">
        <v>3840</v>
      </c>
      <c r="E392" s="2187" t="s">
        <v>8171</v>
      </c>
      <c r="F392" s="92" t="s">
        <v>664</v>
      </c>
      <c r="G392" s="92">
        <v>5</v>
      </c>
      <c r="H392" s="1138">
        <v>6</v>
      </c>
      <c r="I392" s="702">
        <f>J392+K392+L392</f>
        <v>0.5</v>
      </c>
      <c r="J392" s="702">
        <f>SUM(M392:R392)</f>
        <v>0.5</v>
      </c>
      <c r="K392" s="106"/>
      <c r="L392" s="106"/>
      <c r="M392" s="106"/>
      <c r="N392" s="106"/>
      <c r="O392" s="106"/>
      <c r="P392" s="106"/>
      <c r="Q392" s="106"/>
      <c r="R392" s="906">
        <v>0.5</v>
      </c>
      <c r="S392" s="106"/>
      <c r="T392" s="106"/>
      <c r="U392" s="106"/>
      <c r="V392" s="106"/>
      <c r="W392" s="105"/>
      <c r="X392" s="105"/>
      <c r="Y392" s="105"/>
      <c r="Z392" s="105"/>
      <c r="AA392" s="3"/>
      <c r="AB392" s="3">
        <v>1</v>
      </c>
      <c r="AE392" s="1572"/>
    </row>
    <row r="393" spans="1:31" ht="30.5" x14ac:dyDescent="0.35">
      <c r="A393" s="295"/>
      <c r="B393" s="998" t="s">
        <v>299</v>
      </c>
      <c r="C393" s="998"/>
      <c r="D393" s="293"/>
      <c r="E393" s="1582" t="s">
        <v>446</v>
      </c>
      <c r="F393" s="1138"/>
      <c r="G393" s="1138"/>
      <c r="H393" s="1138"/>
      <c r="I393" s="297"/>
      <c r="J393" s="297"/>
      <c r="K393" s="297"/>
      <c r="L393" s="297"/>
      <c r="M393" s="297"/>
      <c r="N393" s="297"/>
      <c r="O393" s="619"/>
      <c r="P393" s="297"/>
      <c r="Q393" s="932"/>
      <c r="R393" s="925"/>
      <c r="S393" s="15"/>
      <c r="T393" s="233"/>
      <c r="U393" s="15"/>
      <c r="V393" s="15"/>
      <c r="W393" s="17"/>
      <c r="X393" s="233"/>
      <c r="Y393" s="17"/>
      <c r="Z393" s="250"/>
      <c r="AA393" s="3"/>
      <c r="AB393" s="3"/>
      <c r="AE393" s="1572"/>
    </row>
    <row r="394" spans="1:31" ht="30.5" x14ac:dyDescent="0.35">
      <c r="A394" s="295">
        <v>179</v>
      </c>
      <c r="B394" s="998" t="s">
        <v>299</v>
      </c>
      <c r="C394" s="998"/>
      <c r="D394" s="2474" t="s">
        <v>3841</v>
      </c>
      <c r="E394" s="288" t="s">
        <v>7446</v>
      </c>
      <c r="F394" s="1138"/>
      <c r="G394" s="1138" t="s">
        <v>191</v>
      </c>
      <c r="H394" s="1138" t="s">
        <v>191</v>
      </c>
      <c r="I394" s="297">
        <f t="shared" si="22"/>
        <v>1.58</v>
      </c>
      <c r="J394" s="297">
        <f t="shared" si="23"/>
        <v>1.58</v>
      </c>
      <c r="K394" s="297"/>
      <c r="L394" s="297"/>
      <c r="M394" s="297"/>
      <c r="N394" s="297">
        <f>SUM(N395:N397)</f>
        <v>0.44400000000000001</v>
      </c>
      <c r="O394" s="619"/>
      <c r="P394" s="297"/>
      <c r="Q394" s="932"/>
      <c r="R394" s="925">
        <f>SUM(R395:R397)</f>
        <v>1.1360000000000001</v>
      </c>
      <c r="S394" s="15"/>
      <c r="T394" s="233"/>
      <c r="U394" s="15"/>
      <c r="V394" s="15"/>
      <c r="W394" s="17">
        <v>3</v>
      </c>
      <c r="X394" s="233">
        <v>37.6</v>
      </c>
      <c r="Y394" s="17"/>
      <c r="Z394" s="250"/>
      <c r="AA394" s="3"/>
      <c r="AB394" s="3">
        <v>1</v>
      </c>
      <c r="AE394" s="1572"/>
    </row>
    <row r="395" spans="1:31" ht="15.5" x14ac:dyDescent="0.35">
      <c r="A395" s="295"/>
      <c r="B395" s="998" t="s">
        <v>299</v>
      </c>
      <c r="C395" s="998"/>
      <c r="D395" s="293"/>
      <c r="E395" s="291" t="s">
        <v>1647</v>
      </c>
      <c r="F395" s="1138">
        <v>5</v>
      </c>
      <c r="G395" s="1138">
        <v>5</v>
      </c>
      <c r="H395" s="1138">
        <v>6</v>
      </c>
      <c r="I395" s="303"/>
      <c r="J395" s="303"/>
      <c r="K395" s="303"/>
      <c r="L395" s="303"/>
      <c r="M395" s="303"/>
      <c r="N395" s="303">
        <v>0.44400000000000001</v>
      </c>
      <c r="O395" s="621"/>
      <c r="P395" s="303"/>
      <c r="Q395" s="933"/>
      <c r="R395" s="927"/>
      <c r="S395" s="15"/>
      <c r="T395" s="233"/>
      <c r="U395" s="15"/>
      <c r="V395" s="15"/>
      <c r="W395" s="17"/>
      <c r="X395" s="233"/>
      <c r="Y395" s="17"/>
      <c r="Z395" s="250"/>
      <c r="AA395" s="3"/>
      <c r="AB395" s="3"/>
      <c r="AE395" s="1572"/>
    </row>
    <row r="396" spans="1:31" ht="15.5" x14ac:dyDescent="0.35">
      <c r="A396" s="295"/>
      <c r="B396" s="998" t="s">
        <v>299</v>
      </c>
      <c r="C396" s="998"/>
      <c r="D396" s="293"/>
      <c r="E396" s="838" t="s">
        <v>2460</v>
      </c>
      <c r="F396" s="1138" t="s">
        <v>827</v>
      </c>
      <c r="G396" s="1138">
        <v>5</v>
      </c>
      <c r="H396" s="1138">
        <v>6</v>
      </c>
      <c r="I396" s="303"/>
      <c r="J396" s="303"/>
      <c r="K396" s="303"/>
      <c r="L396" s="303"/>
      <c r="M396" s="303"/>
      <c r="N396" s="303"/>
      <c r="O396" s="621"/>
      <c r="P396" s="303"/>
      <c r="Q396" s="933"/>
      <c r="R396" s="927">
        <f>1.18-0.444</f>
        <v>0.73599999999999999</v>
      </c>
      <c r="S396" s="15"/>
      <c r="T396" s="233"/>
      <c r="U396" s="15"/>
      <c r="V396" s="15"/>
      <c r="W396" s="17"/>
      <c r="X396" s="233"/>
      <c r="Y396" s="17"/>
      <c r="Z396" s="250"/>
      <c r="AA396" s="3"/>
      <c r="AB396" s="3"/>
      <c r="AE396" s="1572"/>
    </row>
    <row r="397" spans="1:31" ht="15.5" x14ac:dyDescent="0.35">
      <c r="A397" s="295"/>
      <c r="B397" s="998" t="s">
        <v>299</v>
      </c>
      <c r="C397" s="998"/>
      <c r="D397" s="293"/>
      <c r="E397" s="838" t="s">
        <v>2029</v>
      </c>
      <c r="F397" s="1138" t="s">
        <v>1490</v>
      </c>
      <c r="G397" s="1138">
        <v>5</v>
      </c>
      <c r="H397" s="1138">
        <v>6</v>
      </c>
      <c r="I397" s="303"/>
      <c r="J397" s="303"/>
      <c r="K397" s="303"/>
      <c r="L397" s="303"/>
      <c r="M397" s="303"/>
      <c r="N397" s="303"/>
      <c r="O397" s="621"/>
      <c r="P397" s="303"/>
      <c r="Q397" s="933"/>
      <c r="R397" s="927">
        <f>1.58-1.18</f>
        <v>0.40000000000000013</v>
      </c>
      <c r="S397" s="15"/>
      <c r="T397" s="233"/>
      <c r="U397" s="15"/>
      <c r="V397" s="15"/>
      <c r="W397" s="17"/>
      <c r="X397" s="233"/>
      <c r="Y397" s="17"/>
      <c r="Z397" s="250"/>
      <c r="AA397" s="3"/>
      <c r="AB397" s="3"/>
      <c r="AC397" t="s">
        <v>2570</v>
      </c>
      <c r="AE397" s="1572"/>
    </row>
    <row r="398" spans="1:31" ht="30" x14ac:dyDescent="0.35">
      <c r="A398" s="693">
        <v>180</v>
      </c>
      <c r="B398" s="693" t="s">
        <v>299</v>
      </c>
      <c r="C398" s="999" t="s">
        <v>1656</v>
      </c>
      <c r="D398" s="2474" t="s">
        <v>3842</v>
      </c>
      <c r="E398" s="2187" t="s">
        <v>8172</v>
      </c>
      <c r="F398" s="92"/>
      <c r="G398" s="92" t="s">
        <v>191</v>
      </c>
      <c r="H398" s="1138" t="s">
        <v>191</v>
      </c>
      <c r="I398" s="702">
        <f>J398+K398+L398</f>
        <v>0.8</v>
      </c>
      <c r="J398" s="702">
        <f>SUM(M398:R398)</f>
        <v>0.8</v>
      </c>
      <c r="K398" s="106"/>
      <c r="L398" s="106"/>
      <c r="M398" s="106"/>
      <c r="N398" s="622">
        <f>SUM(N399:N400)</f>
        <v>0.5</v>
      </c>
      <c r="O398" s="622"/>
      <c r="P398" s="622"/>
      <c r="Q398" s="2085">
        <f>SUM(Q399:Q400)</f>
        <v>0.3</v>
      </c>
      <c r="R398" s="2083"/>
      <c r="S398" s="106"/>
      <c r="T398" s="106"/>
      <c r="U398" s="106"/>
      <c r="V398" s="106"/>
      <c r="W398" s="105"/>
      <c r="X398" s="105"/>
      <c r="Y398" s="105"/>
      <c r="Z398" s="105"/>
      <c r="AB398">
        <v>1</v>
      </c>
      <c r="AE398" s="1572"/>
    </row>
    <row r="399" spans="1:31" ht="15.5" x14ac:dyDescent="0.35">
      <c r="A399" s="693"/>
      <c r="B399" s="693" t="s">
        <v>299</v>
      </c>
      <c r="C399" s="693"/>
      <c r="D399" s="693"/>
      <c r="E399" s="1966" t="s">
        <v>880</v>
      </c>
      <c r="F399" s="92" t="s">
        <v>1490</v>
      </c>
      <c r="G399" s="92">
        <v>5</v>
      </c>
      <c r="H399" s="1138">
        <v>6</v>
      </c>
      <c r="I399" s="702"/>
      <c r="J399" s="702"/>
      <c r="K399" s="91"/>
      <c r="L399" s="91"/>
      <c r="M399" s="91"/>
      <c r="N399" s="395"/>
      <c r="O399" s="395"/>
      <c r="P399" s="395"/>
      <c r="Q399" s="2086">
        <v>0.3</v>
      </c>
      <c r="R399" s="2084"/>
      <c r="S399" s="106"/>
      <c r="T399" s="106"/>
      <c r="U399" s="106"/>
      <c r="V399" s="106"/>
      <c r="W399" s="105"/>
      <c r="X399" s="105"/>
      <c r="Y399" s="105"/>
      <c r="Z399" s="105"/>
      <c r="AE399" s="1572"/>
    </row>
    <row r="400" spans="1:31" ht="15.5" x14ac:dyDescent="0.35">
      <c r="A400" s="693"/>
      <c r="B400" s="693" t="s">
        <v>299</v>
      </c>
      <c r="C400" s="693"/>
      <c r="D400" s="693"/>
      <c r="E400" s="1889" t="s">
        <v>724</v>
      </c>
      <c r="F400" s="92" t="s">
        <v>1490</v>
      </c>
      <c r="G400" s="92">
        <v>5</v>
      </c>
      <c r="H400" s="1138">
        <v>6</v>
      </c>
      <c r="I400" s="702"/>
      <c r="J400" s="702"/>
      <c r="K400" s="91"/>
      <c r="L400" s="91"/>
      <c r="M400" s="91"/>
      <c r="N400" s="395">
        <v>0.5</v>
      </c>
      <c r="O400" s="395"/>
      <c r="P400" s="395"/>
      <c r="Q400" s="395"/>
      <c r="R400" s="2084"/>
      <c r="S400" s="106"/>
      <c r="T400" s="106"/>
      <c r="U400" s="106"/>
      <c r="V400" s="106"/>
      <c r="W400" s="105"/>
      <c r="X400" s="105"/>
      <c r="Y400" s="105"/>
      <c r="Z400" s="105"/>
      <c r="AE400" s="1572"/>
    </row>
    <row r="401" spans="1:31" ht="30" x14ac:dyDescent="0.35">
      <c r="A401" s="693">
        <v>181</v>
      </c>
      <c r="B401" s="693" t="s">
        <v>299</v>
      </c>
      <c r="C401" s="999" t="s">
        <v>1656</v>
      </c>
      <c r="D401" s="2474" t="s">
        <v>3843</v>
      </c>
      <c r="E401" s="2187" t="s">
        <v>8173</v>
      </c>
      <c r="F401" s="92"/>
      <c r="G401" s="92" t="s">
        <v>191</v>
      </c>
      <c r="H401" s="1138" t="s">
        <v>191</v>
      </c>
      <c r="I401" s="702">
        <f>J401+K401+L401</f>
        <v>0.6</v>
      </c>
      <c r="J401" s="702">
        <f>SUM(M401:R401)</f>
        <v>0.6</v>
      </c>
      <c r="K401" s="622"/>
      <c r="L401" s="622"/>
      <c r="M401" s="622"/>
      <c r="N401" s="622"/>
      <c r="O401" s="622"/>
      <c r="P401" s="622"/>
      <c r="Q401" s="2085">
        <v>0.5</v>
      </c>
      <c r="R401" s="906">
        <v>0.1</v>
      </c>
      <c r="S401" s="106"/>
      <c r="T401" s="106"/>
      <c r="U401" s="106"/>
      <c r="V401" s="106"/>
      <c r="W401" s="105"/>
      <c r="X401" s="105"/>
      <c r="Y401" s="105"/>
      <c r="Z401" s="105"/>
      <c r="AB401">
        <v>1</v>
      </c>
      <c r="AE401" s="1572"/>
    </row>
    <row r="402" spans="1:31" ht="15.5" x14ac:dyDescent="0.35">
      <c r="A402" s="693"/>
      <c r="B402" s="693" t="s">
        <v>299</v>
      </c>
      <c r="C402" s="693"/>
      <c r="D402" s="693"/>
      <c r="E402" s="1966" t="s">
        <v>2490</v>
      </c>
      <c r="F402" s="92" t="s">
        <v>827</v>
      </c>
      <c r="G402" s="92">
        <v>5</v>
      </c>
      <c r="H402" s="1138">
        <v>6</v>
      </c>
      <c r="I402" s="702"/>
      <c r="J402" s="702"/>
      <c r="K402" s="622"/>
      <c r="L402" s="622"/>
      <c r="M402" s="622"/>
      <c r="N402" s="622"/>
      <c r="O402" s="622"/>
      <c r="P402" s="622"/>
      <c r="Q402" s="2086">
        <v>0.5</v>
      </c>
      <c r="R402" s="907"/>
      <c r="S402" s="106"/>
      <c r="T402" s="106"/>
      <c r="U402" s="106"/>
      <c r="V402" s="106"/>
      <c r="W402" s="105"/>
      <c r="X402" s="105"/>
      <c r="Y402" s="105"/>
      <c r="Z402" s="105"/>
      <c r="AE402" s="1572"/>
    </row>
    <row r="403" spans="1:31" ht="15.5" x14ac:dyDescent="0.35">
      <c r="A403" s="693"/>
      <c r="B403" s="693" t="s">
        <v>299</v>
      </c>
      <c r="C403" s="693"/>
      <c r="D403" s="693"/>
      <c r="E403" s="838" t="s">
        <v>1646</v>
      </c>
      <c r="F403" s="92" t="s">
        <v>664</v>
      </c>
      <c r="G403" s="92">
        <v>5</v>
      </c>
      <c r="H403" s="1138">
        <v>6</v>
      </c>
      <c r="I403" s="702"/>
      <c r="J403" s="702"/>
      <c r="K403" s="622"/>
      <c r="L403" s="622"/>
      <c r="M403" s="622"/>
      <c r="N403" s="622"/>
      <c r="O403" s="622"/>
      <c r="P403" s="622"/>
      <c r="Q403" s="801"/>
      <c r="R403" s="907">
        <v>0.1</v>
      </c>
      <c r="S403" s="106"/>
      <c r="T403" s="106"/>
      <c r="U403" s="106"/>
      <c r="V403" s="106"/>
      <c r="W403" s="105"/>
      <c r="X403" s="105"/>
      <c r="Y403" s="105"/>
      <c r="Z403" s="105"/>
      <c r="AE403" s="1572"/>
    </row>
    <row r="404" spans="1:31" ht="30" x14ac:dyDescent="0.35">
      <c r="A404" s="693">
        <v>182</v>
      </c>
      <c r="B404" s="693" t="s">
        <v>299</v>
      </c>
      <c r="C404" s="999" t="s">
        <v>1656</v>
      </c>
      <c r="D404" s="2474" t="s">
        <v>3844</v>
      </c>
      <c r="E404" s="2187" t="s">
        <v>8174</v>
      </c>
      <c r="F404" s="92"/>
      <c r="G404" s="92" t="s">
        <v>191</v>
      </c>
      <c r="H404" s="1138" t="s">
        <v>191</v>
      </c>
      <c r="I404" s="702">
        <f>J404+K404+L404</f>
        <v>1.1500000000000001</v>
      </c>
      <c r="J404" s="702">
        <f>SUM(M404:R404)</f>
        <v>1.1500000000000001</v>
      </c>
      <c r="K404" s="622"/>
      <c r="L404" s="622"/>
      <c r="M404" s="622"/>
      <c r="N404" s="622"/>
      <c r="O404" s="2095">
        <v>1.1000000000000001</v>
      </c>
      <c r="P404" s="622"/>
      <c r="Q404" s="622"/>
      <c r="R404" s="906">
        <v>0.05</v>
      </c>
      <c r="S404" s="106"/>
      <c r="T404" s="106"/>
      <c r="U404" s="106"/>
      <c r="V404" s="106"/>
      <c r="W404" s="105"/>
      <c r="X404" s="105"/>
      <c r="Y404" s="105"/>
      <c r="Z404" s="105"/>
      <c r="AB404">
        <v>1</v>
      </c>
      <c r="AE404" s="1572"/>
    </row>
    <row r="405" spans="1:31" ht="15.5" x14ac:dyDescent="0.35">
      <c r="A405" s="2093"/>
      <c r="B405" s="693" t="s">
        <v>299</v>
      </c>
      <c r="C405" s="693"/>
      <c r="D405" s="2093"/>
      <c r="E405" s="2087" t="s">
        <v>3164</v>
      </c>
      <c r="F405" s="92" t="s">
        <v>1490</v>
      </c>
      <c r="G405" s="92">
        <v>5</v>
      </c>
      <c r="H405" s="92">
        <v>6</v>
      </c>
      <c r="I405" s="726"/>
      <c r="J405" s="726"/>
      <c r="K405" s="801"/>
      <c r="L405" s="801"/>
      <c r="M405" s="801"/>
      <c r="N405" s="801"/>
      <c r="O405" s="2094">
        <v>1.1000000000000001</v>
      </c>
      <c r="P405" s="801"/>
      <c r="Q405" s="801"/>
      <c r="R405" s="907"/>
      <c r="S405" s="106"/>
      <c r="T405" s="106"/>
      <c r="U405" s="106"/>
      <c r="V405" s="106"/>
      <c r="W405" s="105"/>
      <c r="X405" s="105"/>
      <c r="Y405" s="105"/>
      <c r="Z405" s="105"/>
      <c r="AE405" s="1572"/>
    </row>
    <row r="406" spans="1:31" ht="15.5" x14ac:dyDescent="0.35">
      <c r="A406" s="2093"/>
      <c r="B406" s="693" t="s">
        <v>299</v>
      </c>
      <c r="C406" s="693"/>
      <c r="D406" s="2093"/>
      <c r="E406" s="2091" t="s">
        <v>3165</v>
      </c>
      <c r="F406" s="92" t="s">
        <v>1490</v>
      </c>
      <c r="G406" s="92">
        <v>5</v>
      </c>
      <c r="H406" s="1138">
        <v>6</v>
      </c>
      <c r="I406" s="726"/>
      <c r="J406" s="726"/>
      <c r="K406" s="801"/>
      <c r="L406" s="801"/>
      <c r="M406" s="801"/>
      <c r="N406" s="801"/>
      <c r="O406" s="801"/>
      <c r="P406" s="801"/>
      <c r="Q406" s="801"/>
      <c r="R406" s="907">
        <v>0.05</v>
      </c>
      <c r="S406" s="106"/>
      <c r="T406" s="106"/>
      <c r="U406" s="106"/>
      <c r="V406" s="106"/>
      <c r="W406" s="105"/>
      <c r="X406" s="105"/>
      <c r="Y406" s="105"/>
      <c r="Z406" s="105"/>
      <c r="AE406" s="1572"/>
    </row>
    <row r="407" spans="1:31" s="2722" customFormat="1" ht="30" x14ac:dyDescent="0.35">
      <c r="A407" s="295">
        <v>183</v>
      </c>
      <c r="B407" s="1040"/>
      <c r="C407" s="1040"/>
      <c r="D407" s="2474" t="s">
        <v>10821</v>
      </c>
      <c r="E407" s="2187" t="s">
        <v>10822</v>
      </c>
      <c r="F407" s="92"/>
      <c r="G407" s="92" t="s">
        <v>191</v>
      </c>
      <c r="H407" s="1138" t="s">
        <v>191</v>
      </c>
      <c r="I407" s="702">
        <f>J407+K407+L407</f>
        <v>1.89</v>
      </c>
      <c r="J407" s="702">
        <f>SUM(M407:R407)</f>
        <v>1.8699999999999999</v>
      </c>
      <c r="K407" s="622"/>
      <c r="L407" s="622">
        <f>SUM(L408:L409)</f>
        <v>0.02</v>
      </c>
      <c r="M407" s="622"/>
      <c r="N407" s="622">
        <f>SUM(N408:N409)</f>
        <v>1.8699999999999999</v>
      </c>
      <c r="O407" s="622"/>
      <c r="P407" s="622"/>
      <c r="Q407" s="622"/>
      <c r="R407" s="906"/>
      <c r="S407" s="46">
        <v>1</v>
      </c>
      <c r="T407" s="46">
        <v>24</v>
      </c>
      <c r="U407" s="106"/>
      <c r="V407" s="106"/>
      <c r="W407" s="105"/>
      <c r="X407" s="105"/>
      <c r="Y407" s="105"/>
      <c r="Z407" s="105"/>
      <c r="AB407" s="2722">
        <v>1</v>
      </c>
      <c r="AE407" s="1572"/>
    </row>
    <row r="408" spans="1:31" s="2722" customFormat="1" ht="31" x14ac:dyDescent="0.35">
      <c r="A408" s="2724"/>
      <c r="B408" s="1040"/>
      <c r="C408" s="1040"/>
      <c r="D408" s="2474"/>
      <c r="E408" s="270" t="s">
        <v>10823</v>
      </c>
      <c r="F408" s="92">
        <v>4</v>
      </c>
      <c r="G408" s="92">
        <v>5</v>
      </c>
      <c r="H408" s="1138" t="s">
        <v>191</v>
      </c>
      <c r="I408" s="1918"/>
      <c r="J408" s="1918"/>
      <c r="K408" s="395"/>
      <c r="L408" s="395">
        <v>0.02</v>
      </c>
      <c r="M408" s="395"/>
      <c r="N408" s="395"/>
      <c r="O408" s="395"/>
      <c r="P408" s="395"/>
      <c r="Q408" s="395"/>
      <c r="R408" s="907"/>
      <c r="S408" s="106"/>
      <c r="T408" s="106"/>
      <c r="U408" s="106"/>
      <c r="V408" s="106"/>
      <c r="W408" s="105"/>
      <c r="X408" s="105"/>
      <c r="Y408" s="105"/>
      <c r="Z408" s="105"/>
      <c r="AE408" s="1572"/>
    </row>
    <row r="409" spans="1:31" s="2722" customFormat="1" ht="15.5" x14ac:dyDescent="0.35">
      <c r="A409" s="2724"/>
      <c r="B409" s="1040"/>
      <c r="C409" s="1040"/>
      <c r="D409" s="2474"/>
      <c r="E409" s="291" t="s">
        <v>10824</v>
      </c>
      <c r="F409" s="92">
        <v>4</v>
      </c>
      <c r="G409" s="92">
        <v>5</v>
      </c>
      <c r="H409" s="1138">
        <v>6</v>
      </c>
      <c r="I409" s="1918"/>
      <c r="J409" s="1918"/>
      <c r="K409" s="395"/>
      <c r="L409" s="395"/>
      <c r="M409" s="395"/>
      <c r="N409" s="395">
        <f>1.89-0.02</f>
        <v>1.8699999999999999</v>
      </c>
      <c r="O409" s="395"/>
      <c r="P409" s="395"/>
      <c r="Q409" s="395"/>
      <c r="R409" s="907"/>
      <c r="S409" s="106"/>
      <c r="T409" s="106"/>
      <c r="U409" s="106"/>
      <c r="V409" s="106"/>
      <c r="W409" s="105"/>
      <c r="X409" s="105"/>
      <c r="Y409" s="105"/>
      <c r="Z409" s="105"/>
      <c r="AE409" s="1572"/>
    </row>
    <row r="410" spans="1:31" ht="30.5" x14ac:dyDescent="0.35">
      <c r="A410" s="295"/>
      <c r="B410" s="998" t="s">
        <v>300</v>
      </c>
      <c r="C410" s="998"/>
      <c r="D410" s="293"/>
      <c r="E410" s="1582" t="s">
        <v>11346</v>
      </c>
      <c r="F410" s="1138"/>
      <c r="G410" s="1138"/>
      <c r="H410" s="1138"/>
      <c r="I410" s="303"/>
      <c r="J410" s="303"/>
      <c r="K410" s="303"/>
      <c r="L410" s="303"/>
      <c r="M410" s="303"/>
      <c r="N410" s="303"/>
      <c r="O410" s="621"/>
      <c r="P410" s="303"/>
      <c r="Q410" s="933"/>
      <c r="R410" s="927"/>
      <c r="S410" s="15"/>
      <c r="T410" s="233"/>
      <c r="U410" s="15"/>
      <c r="V410" s="15"/>
      <c r="W410" s="17"/>
      <c r="X410" s="233"/>
      <c r="Y410" s="17"/>
      <c r="Z410" s="250"/>
      <c r="AA410" s="3"/>
      <c r="AB410" s="3"/>
      <c r="AE410" s="1572"/>
    </row>
    <row r="411" spans="1:31" ht="45.5" x14ac:dyDescent="0.35">
      <c r="A411" s="295">
        <v>184</v>
      </c>
      <c r="B411" s="998" t="s">
        <v>300</v>
      </c>
      <c r="C411" s="998"/>
      <c r="D411" s="2474" t="s">
        <v>3845</v>
      </c>
      <c r="E411" s="511" t="s">
        <v>7447</v>
      </c>
      <c r="F411" s="1138" t="s">
        <v>827</v>
      </c>
      <c r="G411" s="1138">
        <v>5</v>
      </c>
      <c r="H411" s="1138">
        <v>6</v>
      </c>
      <c r="I411" s="297">
        <f>J411+K411+L411</f>
        <v>0.4</v>
      </c>
      <c r="J411" s="297">
        <f>SUM(M411:R411)</f>
        <v>0.4</v>
      </c>
      <c r="K411" s="297"/>
      <c r="L411" s="297"/>
      <c r="M411" s="297"/>
      <c r="N411" s="297"/>
      <c r="O411" s="619"/>
      <c r="P411" s="297"/>
      <c r="Q411" s="932"/>
      <c r="R411" s="925">
        <v>0.4</v>
      </c>
      <c r="S411" s="15"/>
      <c r="T411" s="233"/>
      <c r="U411" s="15"/>
      <c r="V411" s="15"/>
      <c r="W411" s="17">
        <v>2</v>
      </c>
      <c r="X411" s="233">
        <v>20.6</v>
      </c>
      <c r="Y411" s="17"/>
      <c r="Z411" s="250"/>
      <c r="AA411" s="3"/>
      <c r="AB411" s="3">
        <v>1</v>
      </c>
      <c r="AE411" s="1572"/>
    </row>
    <row r="412" spans="1:31" ht="60.5" x14ac:dyDescent="0.35">
      <c r="A412" s="295">
        <v>185</v>
      </c>
      <c r="B412" s="998" t="s">
        <v>300</v>
      </c>
      <c r="C412" s="998"/>
      <c r="D412" s="2474" t="s">
        <v>3846</v>
      </c>
      <c r="E412" s="288" t="s">
        <v>7448</v>
      </c>
      <c r="F412" s="1138" t="s">
        <v>1490</v>
      </c>
      <c r="G412" s="1138">
        <v>5</v>
      </c>
      <c r="H412" s="1138">
        <v>6</v>
      </c>
      <c r="I412" s="297">
        <f>J412+K412+L412</f>
        <v>0.25</v>
      </c>
      <c r="J412" s="297">
        <f>SUM(M412:R412)</f>
        <v>0.25</v>
      </c>
      <c r="K412" s="297"/>
      <c r="L412" s="297"/>
      <c r="M412" s="297"/>
      <c r="N412" s="297"/>
      <c r="O412" s="619"/>
      <c r="P412" s="297"/>
      <c r="Q412" s="932"/>
      <c r="R412" s="925">
        <v>0.25</v>
      </c>
      <c r="S412" s="15"/>
      <c r="T412" s="233"/>
      <c r="U412" s="15"/>
      <c r="V412" s="15"/>
      <c r="W412" s="17"/>
      <c r="X412" s="233"/>
      <c r="Y412" s="17"/>
      <c r="Z412" s="250"/>
      <c r="AA412" s="3"/>
      <c r="AB412" s="3">
        <v>1</v>
      </c>
      <c r="AE412" s="1572"/>
    </row>
    <row r="413" spans="1:31" ht="45.5" x14ac:dyDescent="0.35">
      <c r="A413" s="295">
        <v>186</v>
      </c>
      <c r="B413" s="998" t="s">
        <v>300</v>
      </c>
      <c r="C413" s="998"/>
      <c r="D413" s="2474" t="s">
        <v>3847</v>
      </c>
      <c r="E413" s="288" t="s">
        <v>7449</v>
      </c>
      <c r="F413" s="1138">
        <v>5</v>
      </c>
      <c r="G413" s="1138">
        <v>5</v>
      </c>
      <c r="H413" s="1138">
        <v>6</v>
      </c>
      <c r="I413" s="297">
        <f>J413+K413+L413</f>
        <v>1.28</v>
      </c>
      <c r="J413" s="297">
        <f>SUM(M413:R413)</f>
        <v>1.28</v>
      </c>
      <c r="K413" s="297"/>
      <c r="L413" s="297"/>
      <c r="M413" s="297"/>
      <c r="N413" s="297"/>
      <c r="O413" s="619"/>
      <c r="P413" s="297"/>
      <c r="Q413" s="932">
        <v>1.28</v>
      </c>
      <c r="R413" s="925"/>
      <c r="S413" s="15"/>
      <c r="T413" s="233"/>
      <c r="U413" s="15"/>
      <c r="V413" s="15"/>
      <c r="W413" s="17">
        <v>5</v>
      </c>
      <c r="X413" s="233">
        <v>50.4</v>
      </c>
      <c r="Y413" s="17"/>
      <c r="Z413" s="250"/>
      <c r="AA413" s="3"/>
      <c r="AB413" s="3">
        <v>1</v>
      </c>
      <c r="AE413" s="1572"/>
    </row>
    <row r="414" spans="1:31" ht="60" x14ac:dyDescent="0.35">
      <c r="A414" s="295">
        <v>187</v>
      </c>
      <c r="B414" s="693" t="s">
        <v>300</v>
      </c>
      <c r="C414" s="999" t="s">
        <v>1656</v>
      </c>
      <c r="D414" s="2474" t="s">
        <v>3848</v>
      </c>
      <c r="E414" s="2187" t="s">
        <v>8175</v>
      </c>
      <c r="F414" s="92" t="s">
        <v>664</v>
      </c>
      <c r="G414" s="92">
        <v>5</v>
      </c>
      <c r="H414" s="1138">
        <v>6</v>
      </c>
      <c r="I414" s="702">
        <f>J414+K414+L414</f>
        <v>0.4</v>
      </c>
      <c r="J414" s="702">
        <f>SUM(M414:R414)</f>
        <v>0.4</v>
      </c>
      <c r="K414" s="622"/>
      <c r="L414" s="622"/>
      <c r="M414" s="622"/>
      <c r="N414" s="622"/>
      <c r="O414" s="622"/>
      <c r="P414" s="622"/>
      <c r="Q414" s="622"/>
      <c r="R414" s="906">
        <v>0.4</v>
      </c>
      <c r="S414" s="106"/>
      <c r="T414" s="106"/>
      <c r="U414" s="106"/>
      <c r="V414" s="106"/>
      <c r="W414" s="105"/>
      <c r="X414" s="105"/>
      <c r="Y414" s="105"/>
      <c r="Z414" s="105"/>
      <c r="AB414">
        <v>1</v>
      </c>
      <c r="AE414" s="1572"/>
    </row>
    <row r="415" spans="1:31" ht="45" x14ac:dyDescent="0.35">
      <c r="A415" s="295">
        <v>188</v>
      </c>
      <c r="B415" s="693" t="s">
        <v>300</v>
      </c>
      <c r="C415" s="999" t="s">
        <v>1656</v>
      </c>
      <c r="D415" s="2474" t="s">
        <v>3849</v>
      </c>
      <c r="E415" s="2187" t="s">
        <v>8176</v>
      </c>
      <c r="F415" s="92" t="s">
        <v>664</v>
      </c>
      <c r="G415" s="92">
        <v>5</v>
      </c>
      <c r="H415" s="1138">
        <v>6</v>
      </c>
      <c r="I415" s="702">
        <f>J415+K415+L415</f>
        <v>0.3</v>
      </c>
      <c r="J415" s="702">
        <f>SUM(M415:R415)</f>
        <v>0.3</v>
      </c>
      <c r="K415" s="622"/>
      <c r="L415" s="622"/>
      <c r="M415" s="622"/>
      <c r="N415" s="622"/>
      <c r="O415" s="622"/>
      <c r="P415" s="622"/>
      <c r="Q415" s="622"/>
      <c r="R415" s="906">
        <v>0.3</v>
      </c>
      <c r="S415" s="106"/>
      <c r="T415" s="106"/>
      <c r="U415" s="106"/>
      <c r="V415" s="106"/>
      <c r="W415" s="105"/>
      <c r="X415" s="105"/>
      <c r="Y415" s="105"/>
      <c r="Z415" s="105"/>
      <c r="AB415">
        <v>1</v>
      </c>
      <c r="AE415" s="1572"/>
    </row>
    <row r="421" spans="11:18" x14ac:dyDescent="0.45">
      <c r="K421" s="1787"/>
      <c r="L421" s="1787"/>
      <c r="M421" s="1787"/>
      <c r="N421" s="1787"/>
      <c r="O421" s="1787"/>
      <c r="P421" s="1787"/>
      <c r="Q421" s="1787"/>
      <c r="R421" s="1787"/>
    </row>
  </sheetData>
  <autoFilter ref="A29:AB415"/>
  <mergeCells count="35">
    <mergeCell ref="K6:K8"/>
    <mergeCell ref="L6:L8"/>
    <mergeCell ref="M6:M8"/>
    <mergeCell ref="W7:W8"/>
    <mergeCell ref="U6:V6"/>
    <mergeCell ref="U7:U8"/>
    <mergeCell ref="A2:Z2"/>
    <mergeCell ref="A3:Z3"/>
    <mergeCell ref="A5:A8"/>
    <mergeCell ref="D5:D8"/>
    <mergeCell ref="E5:E8"/>
    <mergeCell ref="F5:F8"/>
    <mergeCell ref="G5:G8"/>
    <mergeCell ref="I5:L5"/>
    <mergeCell ref="M5:R5"/>
    <mergeCell ref="B5:B8"/>
    <mergeCell ref="W5:Z5"/>
    <mergeCell ref="I6:I8"/>
    <mergeCell ref="J6:J8"/>
    <mergeCell ref="H5:H8"/>
    <mergeCell ref="X7:X8"/>
    <mergeCell ref="Y7:Y8"/>
    <mergeCell ref="Z7:Z8"/>
    <mergeCell ref="S6:T6"/>
    <mergeCell ref="N6:N8"/>
    <mergeCell ref="O6:O8"/>
    <mergeCell ref="P6:P8"/>
    <mergeCell ref="Q6:Q8"/>
    <mergeCell ref="R6:R8"/>
    <mergeCell ref="V7:V8"/>
    <mergeCell ref="S5:V5"/>
    <mergeCell ref="W6:X6"/>
    <mergeCell ref="Y6:Z6"/>
    <mergeCell ref="S7:S8"/>
    <mergeCell ref="T7:T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9" fitToHeight="0" orientation="landscape" r:id="rId1"/>
  <headerFooter alignWithMargins="0">
    <oddFooter>&amp;L&amp;"Times New Roman,обычный"&amp;10Белыничское ДРСУ-170&amp;R&amp;"Times New Roman,обычный"&amp;10&amp;P</oddFooter>
  </headerFooter>
  <rowBreaks count="7" manualBreakCount="7">
    <brk id="41" max="24" man="1"/>
    <brk id="68" max="24" man="1"/>
    <brk id="104" max="24" man="1"/>
    <brk id="268" max="24" man="1"/>
    <brk id="300" max="24" man="1"/>
    <brk id="348" max="24" man="1"/>
    <brk id="385" max="2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M434"/>
  <sheetViews>
    <sheetView zoomScale="90" zoomScaleNormal="90"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RowHeight="12.5" x14ac:dyDescent="0.25"/>
  <cols>
    <col min="1" max="1" width="4.4140625" customWidth="1"/>
    <col min="2" max="3" width="7.33203125" hidden="1" customWidth="1"/>
    <col min="4" max="4" width="7.33203125" customWidth="1"/>
    <col min="5" max="5" width="43.4140625" customWidth="1"/>
    <col min="6" max="6" width="6.75" customWidth="1"/>
    <col min="7" max="8" width="7.08203125" customWidth="1"/>
    <col min="9" max="9" width="7.9140625" bestFit="1" customWidth="1"/>
    <col min="10" max="12" width="6.75" customWidth="1"/>
    <col min="13" max="13" width="6.9140625" customWidth="1"/>
    <col min="14" max="14" width="7" customWidth="1"/>
    <col min="15" max="15" width="6.6640625" customWidth="1"/>
    <col min="16" max="16" width="6.58203125" customWidth="1"/>
    <col min="17" max="18" width="6.75" customWidth="1"/>
    <col min="19" max="19" width="4.4140625" customWidth="1"/>
    <col min="20" max="20" width="7.25" customWidth="1"/>
    <col min="21" max="21" width="4.33203125" customWidth="1"/>
    <col min="22" max="22" width="6" customWidth="1"/>
    <col min="23" max="23" width="4.58203125" customWidth="1"/>
    <col min="24" max="24" width="7.6640625" customWidth="1"/>
    <col min="25" max="25" width="4.33203125" style="43" customWidth="1"/>
    <col min="26" max="26" width="7.9140625" style="43" customWidth="1"/>
    <col min="37" max="37" width="21.6640625" customWidth="1"/>
  </cols>
  <sheetData>
    <row r="1" spans="1:39" ht="15.5" x14ac:dyDescent="0.35">
      <c r="A1" s="1"/>
      <c r="B1" s="1"/>
      <c r="C1" s="1"/>
      <c r="D1" s="4"/>
      <c r="E1" s="1"/>
      <c r="F1" s="1"/>
      <c r="G1" s="1"/>
      <c r="H1" s="1"/>
      <c r="I1" s="30"/>
      <c r="J1" s="30"/>
      <c r="K1" s="30"/>
      <c r="L1" s="30"/>
      <c r="M1" s="30"/>
      <c r="N1" s="30"/>
      <c r="O1" s="30"/>
      <c r="P1" s="30"/>
      <c r="Q1" s="30"/>
      <c r="R1" s="30"/>
      <c r="S1" s="4"/>
      <c r="T1" s="4"/>
      <c r="U1" s="4"/>
      <c r="V1" s="4"/>
      <c r="W1" s="2057"/>
      <c r="X1" s="2058"/>
      <c r="Y1" s="4"/>
      <c r="Z1" s="4"/>
    </row>
    <row r="2" spans="1:39" ht="20" x14ac:dyDescent="0.25">
      <c r="A2" s="3117" t="s">
        <v>10633</v>
      </c>
      <c r="B2" s="3117"/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</row>
    <row r="3" spans="1:39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2"/>
      <c r="B4" s="2"/>
      <c r="C4" s="2"/>
      <c r="D4" s="12"/>
      <c r="E4" s="31"/>
      <c r="F4" s="2"/>
      <c r="G4" s="2"/>
      <c r="H4" s="2"/>
      <c r="I4" s="2"/>
      <c r="J4" s="2039"/>
      <c r="K4" s="2039"/>
      <c r="L4" s="2039"/>
      <c r="M4" s="2039"/>
      <c r="N4" s="2039"/>
      <c r="O4" s="2039"/>
      <c r="P4" s="2039"/>
      <c r="Q4" s="2039"/>
      <c r="R4" s="2039"/>
      <c r="S4" s="2"/>
      <c r="T4" s="2"/>
      <c r="U4" s="2"/>
      <c r="V4" s="2"/>
      <c r="W4" s="2"/>
      <c r="X4" s="2"/>
      <c r="Y4" s="12"/>
      <c r="Z4" s="5"/>
    </row>
    <row r="5" spans="1:39" ht="15.75" customHeight="1" x14ac:dyDescent="0.3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0.75" customHeight="1" x14ac:dyDescent="0.2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2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5.5" thickBot="1" x14ac:dyDescent="0.3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5.5" thickBot="1" x14ac:dyDescent="0.35">
      <c r="A10" s="1526"/>
      <c r="B10" s="1527"/>
      <c r="C10" s="1527"/>
      <c r="D10" s="1528"/>
      <c r="E10" s="1207" t="s">
        <v>2392</v>
      </c>
      <c r="F10" s="1207"/>
      <c r="G10" s="1207"/>
      <c r="H10" s="1207"/>
      <c r="I10" s="803">
        <f>J10+K10+L10</f>
        <v>567.33900000000006</v>
      </c>
      <c r="J10" s="803">
        <f>M10+N10+O10+P10+Q10+R10</f>
        <v>564.94000000000005</v>
      </c>
      <c r="K10" s="803">
        <f t="shared" ref="K10:R10" si="0">K11+K12+K13+K14</f>
        <v>0</v>
      </c>
      <c r="L10" s="803">
        <f t="shared" si="0"/>
        <v>2.3989999999999991</v>
      </c>
      <c r="M10" s="1382">
        <f t="shared" si="0"/>
        <v>54.999999999999986</v>
      </c>
      <c r="N10" s="803">
        <f t="shared" si="0"/>
        <v>153.59300000000002</v>
      </c>
      <c r="O10" s="803">
        <f t="shared" si="0"/>
        <v>0</v>
      </c>
      <c r="P10" s="803">
        <f t="shared" si="0"/>
        <v>0</v>
      </c>
      <c r="Q10" s="930">
        <f t="shared" si="0"/>
        <v>161.40200000000002</v>
      </c>
      <c r="R10" s="923">
        <f t="shared" si="0"/>
        <v>194.94500000000002</v>
      </c>
      <c r="S10" s="1268">
        <f>SUM(S30:S959)</f>
        <v>22</v>
      </c>
      <c r="T10" s="1208">
        <f t="shared" ref="T10:Z10" si="1">SUM(T30:T959)</f>
        <v>920.62000686645501</v>
      </c>
      <c r="U10" s="1268">
        <f t="shared" si="1"/>
        <v>0</v>
      </c>
      <c r="V10" s="1208">
        <f t="shared" si="1"/>
        <v>0</v>
      </c>
      <c r="W10" s="1268">
        <f t="shared" si="1"/>
        <v>977</v>
      </c>
      <c r="X10" s="1208">
        <f t="shared" si="1"/>
        <v>12679.809990081782</v>
      </c>
      <c r="Y10" s="1268">
        <f t="shared" si="1"/>
        <v>333</v>
      </c>
      <c r="Z10" s="1595">
        <f t="shared" si="1"/>
        <v>3628.9000095367428</v>
      </c>
      <c r="AB10" s="1268">
        <f>SUM(AB30:AB438)</f>
        <v>222</v>
      </c>
      <c r="AK10" s="2150" t="s">
        <v>11226</v>
      </c>
      <c r="AL10" s="43"/>
      <c r="AM10" s="2812" t="s">
        <v>11227</v>
      </c>
    </row>
    <row r="11" spans="1:39" ht="15" x14ac:dyDescent="0.3">
      <c r="A11" s="182"/>
      <c r="B11" s="992"/>
      <c r="C11" s="992"/>
      <c r="D11" s="183"/>
      <c r="E11" s="1264" t="s">
        <v>909</v>
      </c>
      <c r="F11" s="1245">
        <v>3</v>
      </c>
      <c r="G11" s="1245"/>
      <c r="H11" s="1245"/>
      <c r="I11" s="1246"/>
      <c r="J11" s="1246"/>
      <c r="K11" s="1246"/>
      <c r="L11" s="1246"/>
      <c r="M11" s="1417"/>
      <c r="N11" s="1246"/>
      <c r="O11" s="1246"/>
      <c r="P11" s="1246"/>
      <c r="Q11" s="1248"/>
      <c r="R11" s="1255"/>
      <c r="S11" s="261"/>
      <c r="T11" s="261"/>
      <c r="U11" s="261"/>
      <c r="V11" s="261"/>
      <c r="W11" s="261"/>
      <c r="X11" s="261"/>
      <c r="Y11" s="261"/>
      <c r="Z11" s="1730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ht="15.5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250">
        <f t="shared" ref="I12:I20" si="2">J12+K12+L12</f>
        <v>223.99300000000002</v>
      </c>
      <c r="J12" s="1250">
        <f t="shared" ref="J12:J20" si="3">R12+Q12+P12+O12+N12+M12</f>
        <v>222.66300000000001</v>
      </c>
      <c r="K12" s="1250">
        <f>SUMIF(F30:F952,4,K30:K952)</f>
        <v>0</v>
      </c>
      <c r="L12" s="1250">
        <f>SUMIF(F30:F952,4,L30:L952)</f>
        <v>1.329999999999999</v>
      </c>
      <c r="M12" s="1333">
        <f>SUMIF(F30:F952,4,M30:M952)</f>
        <v>47.419999999999987</v>
      </c>
      <c r="N12" s="1250">
        <f>SUMIF(F30:F952,4,N30:N952)</f>
        <v>118.66200000000002</v>
      </c>
      <c r="O12" s="1250">
        <f>SUMIF(F30:F952,4,O30:O952)</f>
        <v>0</v>
      </c>
      <c r="P12" s="1250">
        <f>SUMIF(F30:F952,4,P30:P952)</f>
        <v>0</v>
      </c>
      <c r="Q12" s="1252">
        <f>SUMIF(F30:F952,4,Q30:Q952)</f>
        <v>56.581000000000003</v>
      </c>
      <c r="R12" s="1256">
        <f>SUMIF(F30:F952,4,R30:R952)</f>
        <v>0</v>
      </c>
      <c r="S12" s="275"/>
      <c r="T12" s="275"/>
      <c r="U12" s="275"/>
      <c r="V12" s="275"/>
      <c r="W12" s="275"/>
      <c r="X12" s="275"/>
      <c r="Y12" s="275"/>
      <c r="Z12" s="1731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ht="15" x14ac:dyDescent="0.3">
      <c r="A13" s="285"/>
      <c r="B13" s="993"/>
      <c r="C13" s="993"/>
      <c r="D13" s="274"/>
      <c r="E13" s="640"/>
      <c r="F13" s="1249">
        <v>5</v>
      </c>
      <c r="G13" s="1249"/>
      <c r="H13" s="1249"/>
      <c r="I13" s="1250">
        <f t="shared" si="2"/>
        <v>137.09700000000004</v>
      </c>
      <c r="J13" s="1250">
        <f t="shared" si="3"/>
        <v>136.47500000000002</v>
      </c>
      <c r="K13" s="1250">
        <f>SUMIF(F30:F952,5,K30:K952)</f>
        <v>0</v>
      </c>
      <c r="L13" s="1250">
        <f>SUMIF(F30:F952,5,L30:L952)</f>
        <v>0.62199999999999989</v>
      </c>
      <c r="M13" s="1333">
        <f>SUMIF(F30:F952,5,M30:M952)</f>
        <v>7.58</v>
      </c>
      <c r="N13" s="1250">
        <f>SUMIF(F30:F952,5,N30:N952)</f>
        <v>33.058000000000007</v>
      </c>
      <c r="O13" s="1250">
        <f>SUMIF(F30:F952,5,O30:O952)</f>
        <v>0</v>
      </c>
      <c r="P13" s="1250">
        <f>SUMIF(F30:F952,5,P30:P952)</f>
        <v>0</v>
      </c>
      <c r="Q13" s="1252">
        <f>SUMIF(F30:F952,5,Q30:Q952)</f>
        <v>92.308000000000007</v>
      </c>
      <c r="R13" s="1256">
        <f>SUMIF(F30:F952,5,R30:R952)</f>
        <v>3.5289999999999986</v>
      </c>
      <c r="S13" s="275"/>
      <c r="T13" s="275"/>
      <c r="U13" s="275"/>
      <c r="V13" s="275"/>
      <c r="W13" s="275"/>
      <c r="X13" s="275"/>
      <c r="Y13" s="275"/>
      <c r="Z13" s="1731"/>
      <c r="AD13" s="2777" t="s">
        <v>11126</v>
      </c>
      <c r="AE13" s="2776"/>
      <c r="AF13" s="2778">
        <v>79</v>
      </c>
      <c r="AG13" s="2783">
        <f>M12+N12+O12</f>
        <v>166.08199999999999</v>
      </c>
      <c r="AH13" s="2783">
        <f>M13+N13+O13</f>
        <v>40.638000000000005</v>
      </c>
      <c r="AI13" s="2784">
        <f>M14+N14+O14</f>
        <v>1.873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ht="15.5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>J14+K14+L14</f>
        <v>206.24900000000002</v>
      </c>
      <c r="J14" s="1250">
        <f>R14+Q14+P14+O14+N14+M14</f>
        <v>205.80200000000002</v>
      </c>
      <c r="K14" s="1250">
        <f>K15+K16+K17</f>
        <v>0</v>
      </c>
      <c r="L14" s="1250">
        <f>L15+L16+L17</f>
        <v>0.4470000000000004</v>
      </c>
      <c r="M14" s="1250">
        <f t="shared" ref="M14:R14" si="4">M15+M16+M17</f>
        <v>0</v>
      </c>
      <c r="N14" s="1250">
        <f t="shared" si="4"/>
        <v>1.873</v>
      </c>
      <c r="O14" s="1251">
        <f t="shared" si="4"/>
        <v>0</v>
      </c>
      <c r="P14" s="1317">
        <f t="shared" si="4"/>
        <v>0</v>
      </c>
      <c r="Q14" s="1252">
        <f t="shared" si="4"/>
        <v>12.512999999999998</v>
      </c>
      <c r="R14" s="1256">
        <f t="shared" si="4"/>
        <v>191.41600000000003</v>
      </c>
      <c r="S14" s="275"/>
      <c r="T14" s="275"/>
      <c r="U14" s="275"/>
      <c r="V14" s="275"/>
      <c r="W14" s="275"/>
      <c r="X14" s="275"/>
      <c r="Y14" s="275"/>
      <c r="Z14" s="1731"/>
      <c r="AD14" s="2777" t="s">
        <v>11127</v>
      </c>
      <c r="AE14" s="2776"/>
      <c r="AF14" s="2778">
        <v>80</v>
      </c>
      <c r="AG14" s="2785">
        <f>P12+Q12</f>
        <v>56.581000000000003</v>
      </c>
      <c r="AH14" s="2785">
        <f>P13+Q13</f>
        <v>92.308000000000007</v>
      </c>
      <c r="AI14" s="2786">
        <f>P14+Q14</f>
        <v>12.512999999999998</v>
      </c>
      <c r="AK14" s="2815" t="s">
        <v>11230</v>
      </c>
      <c r="AL14" s="2579">
        <f>SUMIFS(M30:M949,F30:F949,4,G30:G949,3)</f>
        <v>0</v>
      </c>
      <c r="AM14" s="2817"/>
    </row>
    <row r="15" spans="1:39" ht="15.5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>J15+K15+L15</f>
        <v>43.516999999999996</v>
      </c>
      <c r="J15" s="1318">
        <f>R15+Q15+P15+O15+N15+M15</f>
        <v>43.489999999999995</v>
      </c>
      <c r="K15" s="1318">
        <f>SUMIF(F30:F953,"=6а",K30:K953)</f>
        <v>0</v>
      </c>
      <c r="L15" s="1318">
        <f>SUMIF(F30:F953,"=6а",L30:L953)</f>
        <v>2.7E-2</v>
      </c>
      <c r="M15" s="1318">
        <f>SUMIF(F30:F953,"=6а",M30:M953)</f>
        <v>0</v>
      </c>
      <c r="N15" s="1318">
        <f>SUMIF(F30:F953,"=6а",N30:N953)</f>
        <v>1.5129999999999999</v>
      </c>
      <c r="O15" s="1319">
        <f>SUMIF(F30:F953,"=6а",O30:O953)</f>
        <v>0</v>
      </c>
      <c r="P15" s="1320">
        <f>SUMIF(F30:F953,"=6а",P30:P953)</f>
        <v>0</v>
      </c>
      <c r="Q15" s="1321">
        <f>SUMIF(F30:F953,"=6а",Q30:Q953)</f>
        <v>10.950999999999999</v>
      </c>
      <c r="R15" s="1322">
        <f>SUMIF(F30:F953,"=6а",R30:R953)</f>
        <v>31.026</v>
      </c>
      <c r="S15" s="275"/>
      <c r="T15" s="275"/>
      <c r="U15" s="275"/>
      <c r="V15" s="275"/>
      <c r="W15" s="275"/>
      <c r="X15" s="275"/>
      <c r="Y15" s="275"/>
      <c r="Z15" s="1731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3.5289999999999986</v>
      </c>
      <c r="AI15" s="2788">
        <f>R14</f>
        <v>191.41600000000003</v>
      </c>
      <c r="AK15" s="2815" t="s">
        <v>11231</v>
      </c>
      <c r="AL15" s="2579">
        <f>SUMIFS(N30:N949,F30:F949,4,G30:G949,3)</f>
        <v>0</v>
      </c>
      <c r="AM15" s="2817"/>
    </row>
    <row r="16" spans="1:39" ht="15.5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>J16+K16+L16</f>
        <v>19.032000000000004</v>
      </c>
      <c r="J16" s="1318">
        <f>R16+Q16+P16+O16+N16+M16</f>
        <v>19.032000000000004</v>
      </c>
      <c r="K16" s="1318">
        <f>SUMIF(F30:F954,"=6б",K30:K954)</f>
        <v>0</v>
      </c>
      <c r="L16" s="1318">
        <f>SUMIF(F30:F954,"=6б",L30:L954)</f>
        <v>0</v>
      </c>
      <c r="M16" s="1318">
        <f>SUMIF(F30:F954,"=6б",M30:M954)</f>
        <v>0</v>
      </c>
      <c r="N16" s="1318">
        <f>SUMIF(F30:F954,"=6б",N30:N954)</f>
        <v>0.36000000000000004</v>
      </c>
      <c r="O16" s="1319">
        <f>SUMIF(F30:F954,"=6б",O30:O954)</f>
        <v>0</v>
      </c>
      <c r="P16" s="1320">
        <f>SUMIF(F30:F954,"=6б",P30:P954)</f>
        <v>0</v>
      </c>
      <c r="Q16" s="1321">
        <f>SUMIF(F30:F954,"=6б",Q30:Q954)</f>
        <v>1.5620000000000001</v>
      </c>
      <c r="R16" s="1322">
        <f>SUMIF(F30:F954,"=6б",R30:R954)</f>
        <v>17.110000000000003</v>
      </c>
      <c r="S16" s="275"/>
      <c r="T16" s="275"/>
      <c r="U16" s="275"/>
      <c r="V16" s="275"/>
      <c r="W16" s="275"/>
      <c r="X16" s="275"/>
      <c r="Y16" s="275"/>
      <c r="Z16" s="1731"/>
      <c r="AK16" s="2815" t="s">
        <v>11232</v>
      </c>
      <c r="AL16" s="2579">
        <f>SUMIFS(O30:O949,F30:F949,4,G30:G949,3)</f>
        <v>0</v>
      </c>
      <c r="AM16" s="2817"/>
    </row>
    <row r="17" spans="1:39" ht="15.5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72">
        <f>J17+K17+L17</f>
        <v>143.70000000000002</v>
      </c>
      <c r="J17" s="2293">
        <f>R17+Q17+P17+O17+N17+M17</f>
        <v>143.28000000000003</v>
      </c>
      <c r="K17" s="2272">
        <f>SUMIF(F30:F955,"=б/к",K30:K955)</f>
        <v>0</v>
      </c>
      <c r="L17" s="2272">
        <f>SUMIF(F30:F955,"=б/к",L30:L955)</f>
        <v>0.42000000000000037</v>
      </c>
      <c r="M17" s="2272">
        <f>SUMIF(F30:F955,"=б/к",M30:M955)</f>
        <v>0</v>
      </c>
      <c r="N17" s="2272">
        <f>SUMIF(F30:F955,"=б/к",N30:N955)</f>
        <v>0</v>
      </c>
      <c r="O17" s="2272">
        <f>SUMIF(F30:F955,"=б/к",O30:O955)</f>
        <v>0</v>
      </c>
      <c r="P17" s="2272">
        <f>SUMIF(F30:F955,"=б/к",P30:P955)</f>
        <v>0</v>
      </c>
      <c r="Q17" s="2273">
        <f>SUMIF(F30:F955,"=б/к",Q30:Q955)</f>
        <v>0</v>
      </c>
      <c r="R17" s="2292">
        <f>SUMIF(F30:F955,"=б/к",R30:R955)</f>
        <v>143.28000000000003</v>
      </c>
      <c r="S17" s="275"/>
      <c r="T17" s="275"/>
      <c r="U17" s="275"/>
      <c r="V17" s="275"/>
      <c r="W17" s="275"/>
      <c r="X17" s="275"/>
      <c r="Y17" s="275"/>
      <c r="Z17" s="1731"/>
      <c r="AK17" s="2815" t="s">
        <v>11233</v>
      </c>
      <c r="AL17" s="2579">
        <f>SUMIFS(P30:P949,F30:F949,4,G30:G949,3)+SUMIFS(Q30:Q949,F30:F949,4,G30:G949,3)</f>
        <v>0</v>
      </c>
      <c r="AM17" s="2817"/>
    </row>
    <row r="18" spans="1:39" ht="15.5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242">
        <f t="shared" si="2"/>
        <v>0</v>
      </c>
      <c r="J18" s="1242">
        <f t="shared" si="3"/>
        <v>0</v>
      </c>
      <c r="K18" s="1242">
        <f>SUMIF(G30:G952,3,K30:K952)</f>
        <v>0</v>
      </c>
      <c r="L18" s="1242">
        <f>SUMIF(G30:G952,3,L30:L952)</f>
        <v>0</v>
      </c>
      <c r="M18" s="1335">
        <f>SUMIF(G30:G952,3,M30:M952)</f>
        <v>0</v>
      </c>
      <c r="N18" s="1242">
        <f>SUMIF(G30:G952,3,N30:N952)</f>
        <v>0</v>
      </c>
      <c r="O18" s="1242">
        <f>SUMIF(G30:G952,3,O30:O952)</f>
        <v>0</v>
      </c>
      <c r="P18" s="1242">
        <f>SUMIF(G30:G952,3,P30:P952)</f>
        <v>0</v>
      </c>
      <c r="Q18" s="1244">
        <f>SUMIF(G30:G952,3,Q30:Q952)</f>
        <v>0</v>
      </c>
      <c r="R18" s="1257">
        <f>SUMIF(G30:G952,3,R30:R952)</f>
        <v>0</v>
      </c>
      <c r="S18" s="275"/>
      <c r="T18" s="275"/>
      <c r="U18" s="275"/>
      <c r="V18" s="275"/>
      <c r="W18" s="275"/>
      <c r="X18" s="275"/>
      <c r="Y18" s="275"/>
      <c r="Z18" s="1731"/>
      <c r="AK18" s="2815" t="s">
        <v>910</v>
      </c>
      <c r="AL18" s="2579">
        <f>SUMIFS(R30:R949,F30:F949,4,G30:G949,3)</f>
        <v>0</v>
      </c>
      <c r="AM18" s="2817"/>
    </row>
    <row r="19" spans="1:39" ht="15" x14ac:dyDescent="0.3">
      <c r="A19" s="285"/>
      <c r="B19" s="993"/>
      <c r="C19" s="993"/>
      <c r="D19" s="274"/>
      <c r="E19" s="98"/>
      <c r="F19" s="1240"/>
      <c r="G19" s="1241">
        <v>4</v>
      </c>
      <c r="H19" s="1241"/>
      <c r="I19" s="1242">
        <f t="shared" si="2"/>
        <v>302.1459999999999</v>
      </c>
      <c r="J19" s="1242">
        <f t="shared" si="3"/>
        <v>301.26799999999992</v>
      </c>
      <c r="K19" s="1242">
        <f>SUMIF(G30:G952,4,K30:K952)</f>
        <v>0</v>
      </c>
      <c r="L19" s="1242">
        <f>SUMIF(G30:G952,4,L30:L952)</f>
        <v>0.87799999999999923</v>
      </c>
      <c r="M19" s="1335">
        <f>SUMIF(G30:G952,4,M30:M952)</f>
        <v>35.269999999999996</v>
      </c>
      <c r="N19" s="1242">
        <f>SUMIF(G30:G952,4,N30:N952)</f>
        <v>138.91099999999997</v>
      </c>
      <c r="O19" s="1242">
        <f>SUMIF(G30:G952,4,O30:O952)</f>
        <v>0</v>
      </c>
      <c r="P19" s="1242">
        <f>SUMIF(G30:G952,4,P30:P952)</f>
        <v>0</v>
      </c>
      <c r="Q19" s="1244">
        <f>SUMIF(G30:G952,4,Q30:Q952)</f>
        <v>124.69799999999999</v>
      </c>
      <c r="R19" s="1257">
        <f>SUMIF(G30:G952,4,R30:R952)</f>
        <v>2.3889999999999993</v>
      </c>
      <c r="S19" s="275"/>
      <c r="T19" s="275"/>
      <c r="U19" s="275"/>
      <c r="V19" s="275"/>
      <c r="W19" s="275"/>
      <c r="X19" s="275"/>
      <c r="Y19" s="275"/>
      <c r="Z19" s="1731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ht="15.5" x14ac:dyDescent="0.35">
      <c r="A20" s="387"/>
      <c r="B20" s="994"/>
      <c r="C20" s="994"/>
      <c r="D20" s="388"/>
      <c r="E20" s="319"/>
      <c r="F20" s="1258"/>
      <c r="G20" s="1259">
        <v>5</v>
      </c>
      <c r="H20" s="1259"/>
      <c r="I20" s="1260">
        <f t="shared" si="2"/>
        <v>265.19299999999993</v>
      </c>
      <c r="J20" s="1260">
        <f t="shared" si="3"/>
        <v>263.67199999999991</v>
      </c>
      <c r="K20" s="1260">
        <f>SUMIF(G30:G952,5,K30:K952)</f>
        <v>0</v>
      </c>
      <c r="L20" s="1260">
        <f>SUMIF(G30:G952,5,L30:L952)</f>
        <v>1.5209999999999999</v>
      </c>
      <c r="M20" s="1548">
        <f>SUMIF(G30:G952,5,M30:M952)</f>
        <v>19.729999999999997</v>
      </c>
      <c r="N20" s="1260">
        <f>SUMIF(G30:G952,5,N30:N952)</f>
        <v>14.681999999999999</v>
      </c>
      <c r="O20" s="1260">
        <f>SUMIF(G30:G952,5,O30:O952)</f>
        <v>0</v>
      </c>
      <c r="P20" s="1260">
        <f>SUMIF(G30:G952,5,P30:P952)</f>
        <v>0</v>
      </c>
      <c r="Q20" s="1262">
        <f>SUMIF(G30:G952,5,Q30:Q952)</f>
        <v>36.704000000000001</v>
      </c>
      <c r="R20" s="1263">
        <f>SUMIF(G30:G952,5,R30:R952)</f>
        <v>192.5559999999999</v>
      </c>
      <c r="S20" s="404"/>
      <c r="T20" s="404"/>
      <c r="U20" s="404"/>
      <c r="V20" s="404"/>
      <c r="W20" s="404"/>
      <c r="X20" s="404"/>
      <c r="Y20" s="404"/>
      <c r="Z20" s="1732"/>
      <c r="AK20" s="2815" t="s">
        <v>11230</v>
      </c>
      <c r="AL20" s="2579">
        <f>SUMIFS(M30:M949,F30:F949,5,G30:G949,3)</f>
        <v>0</v>
      </c>
      <c r="AM20" s="2817"/>
    </row>
    <row r="21" spans="1:39" ht="15.5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SUMIFS(N30:N949,F30:F949,5,G30:G949,3)</f>
        <v>0</v>
      </c>
      <c r="AM21" s="2817"/>
    </row>
    <row r="22" spans="1:39" ht="15.5" x14ac:dyDescent="0.35">
      <c r="A22" s="285"/>
      <c r="B22" s="993"/>
      <c r="C22" s="993"/>
      <c r="D22" s="538">
        <f>SUMIF(C30:C885,"=сад",AB30:AB885)</f>
        <v>18</v>
      </c>
      <c r="E22" s="2241" t="s">
        <v>2763</v>
      </c>
      <c r="F22" s="98"/>
      <c r="G22" s="226"/>
      <c r="H22" s="226"/>
      <c r="I22" s="2247">
        <f>J22+K22+L22</f>
        <v>18.278999999999996</v>
      </c>
      <c r="J22" s="2247">
        <f>R22+Q22+P22+O22+N22+M22</f>
        <v>18.197999999999997</v>
      </c>
      <c r="K22" s="2247">
        <f>SUMIF(C30:C885,"=сад",K30:K885)</f>
        <v>0</v>
      </c>
      <c r="L22" s="2247">
        <f>SUMIF(C30:C885,"=сад",L30:L885)</f>
        <v>8.1000000000000003E-2</v>
      </c>
      <c r="M22" s="2247">
        <f>SUMIF(C30:C885,"=сад",M30:M885)</f>
        <v>0</v>
      </c>
      <c r="N22" s="2247">
        <f>SUMIF(C30:C885,"=сад",N30:N885)</f>
        <v>1.29</v>
      </c>
      <c r="O22" s="2248">
        <f>SUMIF(C30:C885,"=сад",O30:O885)</f>
        <v>0</v>
      </c>
      <c r="P22" s="2247">
        <f>SUMIF(C30:C885,"=сад",P30:P885)</f>
        <v>0</v>
      </c>
      <c r="Q22" s="2249">
        <f>SUMIF(C30:C885,"=сад",Q30:Q885)</f>
        <v>0.13799999999999998</v>
      </c>
      <c r="R22" s="2250">
        <f>SUMIF(C30:C885,"=сад",R30:R885)</f>
        <v>16.769999999999996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SUMIFS(O30:O949,F30:F949,5,G30:G949,3)</f>
        <v>0</v>
      </c>
      <c r="AM22" s="2817"/>
    </row>
    <row r="23" spans="1:39" ht="15.5" x14ac:dyDescent="0.35">
      <c r="A23" s="285"/>
      <c r="B23" s="993"/>
      <c r="C23" s="993"/>
      <c r="D23" s="538">
        <f>SUMIF(C30:C886,"=индив",AB30:AB886)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SUMIF(C30:C886,"=индив",K30:K886)</f>
        <v>0</v>
      </c>
      <c r="L23" s="2247">
        <f>SUMIF(C30:C886,"=индив",L30:L886)</f>
        <v>0</v>
      </c>
      <c r="M23" s="2247">
        <f>SUMIF(C30:C886,"=индив",M30:M886)</f>
        <v>0</v>
      </c>
      <c r="N23" s="2247">
        <f>SUMIF(C30:C886,"=индив",N30:N886)</f>
        <v>0</v>
      </c>
      <c r="O23" s="2248">
        <f>SUMIF(C30:C886,"=индив",O30:O886)</f>
        <v>0</v>
      </c>
      <c r="P23" s="2247">
        <f>SUMIF(C30:C886,"=индив",P30:P886)</f>
        <v>0</v>
      </c>
      <c r="Q23" s="2249">
        <f>SUMIF(C30:C886,"=индив",Q30:Q886)</f>
        <v>0</v>
      </c>
      <c r="R23" s="2250">
        <f>SUMIF(C30:C886,"=индив",R30:R886)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SUMIFS(P30:P949,F30:F949,5,G30:G949,3)+SUMIFS(Q30:Q949,F30:F949,5,G30:G949,3)</f>
        <v>0</v>
      </c>
      <c r="AM23" s="2817"/>
    </row>
    <row r="24" spans="1:39" ht="15.5" x14ac:dyDescent="0.35">
      <c r="A24" s="285"/>
      <c r="B24" s="993"/>
      <c r="C24" s="993"/>
      <c r="D24" s="538">
        <f>SUMIF(C30:C887,"=кладб",AB30:AB887)</f>
        <v>97</v>
      </c>
      <c r="E24" s="2241" t="s">
        <v>2761</v>
      </c>
      <c r="F24" s="98"/>
      <c r="G24" s="226"/>
      <c r="H24" s="226"/>
      <c r="I24" s="2247">
        <f>J24+K24+L24</f>
        <v>67.192000000000021</v>
      </c>
      <c r="J24" s="2247">
        <f>R24+Q24+P24+O24+N24+M24</f>
        <v>67.192000000000021</v>
      </c>
      <c r="K24" s="2247">
        <f>SUMIF(C30:C887,"=кладб",K30:K887)</f>
        <v>0</v>
      </c>
      <c r="L24" s="2247">
        <f>SUMIF(C30:C887,"=кладб",L30:L887)</f>
        <v>0</v>
      </c>
      <c r="M24" s="2247">
        <f>SUMIF(C30:C887,"=кладб",M30:M887)</f>
        <v>0</v>
      </c>
      <c r="N24" s="2247">
        <f>SUMIF(C30:C887,"=кладб",N30:N887)</f>
        <v>0.876</v>
      </c>
      <c r="O24" s="2248">
        <f>SUMIF(C30:C887,"=кладб",O30:O887)</f>
        <v>0</v>
      </c>
      <c r="P24" s="2247">
        <f>SUMIF(C30:C887,"=кладб",P30:P887)</f>
        <v>0</v>
      </c>
      <c r="Q24" s="2249">
        <f>SUMIF(C30:C887,"=кладб",Q30:Q887)</f>
        <v>1.52</v>
      </c>
      <c r="R24" s="2250">
        <f>SUMIF(C30:C887,"=кладб",R30:R887)</f>
        <v>64.796000000000021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SUMIFS(R30:R949,F30:F949,5,G30:G949,3)</f>
        <v>0</v>
      </c>
      <c r="AM24" s="2817"/>
    </row>
    <row r="25" spans="1:39" ht="15.5" x14ac:dyDescent="0.35">
      <c r="A25" s="387"/>
      <c r="B25" s="994"/>
      <c r="C25" s="994"/>
      <c r="D25" s="538">
        <f>SUMIF(C30:C888,"=прир",AB30:AB888)</f>
        <v>1</v>
      </c>
      <c r="E25" s="2241" t="s">
        <v>2760</v>
      </c>
      <c r="F25" s="319"/>
      <c r="G25" s="2258"/>
      <c r="H25" s="2258"/>
      <c r="I25" s="2259">
        <f>J25+K25+L25</f>
        <v>2.5</v>
      </c>
      <c r="J25" s="2259">
        <f>R25+Q25+P25+O25+N25+M25</f>
        <v>2.5</v>
      </c>
      <c r="K25" s="2259">
        <f>SUMIF(C30:C888,"=прир",K30:K888)</f>
        <v>0</v>
      </c>
      <c r="L25" s="2259">
        <f>SUMIF(C30:C888,"=прир",L30:L888)</f>
        <v>0</v>
      </c>
      <c r="M25" s="2259">
        <f>SUMIF(C30:C888,"=прир",M30:M888)</f>
        <v>0</v>
      </c>
      <c r="N25" s="2259">
        <f>SUMIF(C30:C888,"=прир",N30:N888)</f>
        <v>0</v>
      </c>
      <c r="O25" s="2260">
        <f>SUMIF(C30:C888,"=прир",O30:O888)</f>
        <v>0</v>
      </c>
      <c r="P25" s="2259">
        <f>SUMIF(C30:C888,"=прир",P30:P888)</f>
        <v>0</v>
      </c>
      <c r="Q25" s="2261">
        <f>SUMIF(C30:C888,"=прир",Q30:Q888)</f>
        <v>0</v>
      </c>
      <c r="R25" s="2262">
        <f>SUMIF(C30:C888,"=прир",R30:R888)</f>
        <v>2.5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ht="15.5" x14ac:dyDescent="0.35">
      <c r="A26" s="387"/>
      <c r="B26" s="994"/>
      <c r="C26" s="994"/>
      <c r="D26" s="538">
        <f>SUMIF(C30:C889,"=ист",AB30:AB889)</f>
        <v>1</v>
      </c>
      <c r="E26" s="2241" t="s">
        <v>1628</v>
      </c>
      <c r="F26" s="319"/>
      <c r="G26" s="2258"/>
      <c r="H26" s="2258"/>
      <c r="I26" s="2259">
        <f>J26+K26+L26</f>
        <v>0.6</v>
      </c>
      <c r="J26" s="2259">
        <f>R26+Q26+P26+O26+N26+M26</f>
        <v>0.6</v>
      </c>
      <c r="K26" s="2259">
        <f>SUMIF(C30:C889,"=ист",K30:K889)</f>
        <v>0</v>
      </c>
      <c r="L26" s="2259">
        <f>SUMIF(C30:C889,"=ист",L30:L889)</f>
        <v>0</v>
      </c>
      <c r="M26" s="2259">
        <f>SUMIF(C30:C889,"=ист",M30:M889)</f>
        <v>0</v>
      </c>
      <c r="N26" s="2259">
        <f>SUMIF(C30:C889,"=ист",N30:N889)</f>
        <v>0</v>
      </c>
      <c r="O26" s="2260">
        <f>SUMIF(C30:C889,"=ист",O30:O889)</f>
        <v>0</v>
      </c>
      <c r="P26" s="2259">
        <f>SUMIF(C30:C889,"=ист",P30:P889)</f>
        <v>0</v>
      </c>
      <c r="Q26" s="2261">
        <f>SUMIF(C30:C889,"=ист",Q30:Q889)</f>
        <v>0</v>
      </c>
      <c r="R26" s="2262">
        <f>SUMIF(C30:C889,"=ист",R30:R889)</f>
        <v>0.6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SUMIFS(M30:M949,F30:F949,"6а",G30:G949,3)+SUMIFS(M30:M949,F30:F949,"6б",G30:G949,3)+SUMIFS(M30:M949,F30:F949,"б/к",G30:G949,3)</f>
        <v>0</v>
      </c>
      <c r="AM26" s="2817"/>
    </row>
    <row r="27" spans="1:39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SUMIFS(N30:N949,F30:F949,"6а",G30:G949,3)+SUMIFS(N30:N949,F30:F949,"6б",G30:G949,3)+SUMIFS(N30:N949,F30:F949,"б/к",G30:G949,3)</f>
        <v>0</v>
      </c>
      <c r="AM27" s="2817"/>
    </row>
    <row r="28" spans="1:39" ht="16" thickBot="1" x14ac:dyDescent="0.4">
      <c r="A28" s="450"/>
      <c r="B28" s="1267"/>
      <c r="C28" s="1267"/>
      <c r="D28" s="462"/>
      <c r="E28" s="451"/>
      <c r="F28" s="451"/>
      <c r="G28" s="451"/>
      <c r="H28" s="451"/>
      <c r="I28" s="2324">
        <f t="shared" ref="I28:R28" si="5">SUBTOTAL(9,I30:I466)</f>
        <v>567.33900000000051</v>
      </c>
      <c r="J28" s="2324">
        <f t="shared" si="5"/>
        <v>564.9400000000004</v>
      </c>
      <c r="K28" s="2324">
        <f t="shared" si="5"/>
        <v>0</v>
      </c>
      <c r="L28" s="2324">
        <f t="shared" si="5"/>
        <v>4.7979999999999965</v>
      </c>
      <c r="M28" s="2324">
        <f t="shared" si="5"/>
        <v>110.00000000000003</v>
      </c>
      <c r="N28" s="2324">
        <f t="shared" si="5"/>
        <v>286.94600000000008</v>
      </c>
      <c r="O28" s="2324">
        <f t="shared" si="5"/>
        <v>0</v>
      </c>
      <c r="P28" s="2324">
        <f t="shared" si="5"/>
        <v>0</v>
      </c>
      <c r="Q28" s="2324">
        <f t="shared" si="5"/>
        <v>292.02299999999974</v>
      </c>
      <c r="R28" s="2324">
        <f t="shared" si="5"/>
        <v>255.02999999999994</v>
      </c>
      <c r="S28" s="452"/>
      <c r="T28" s="452"/>
      <c r="U28" s="452"/>
      <c r="V28" s="452"/>
      <c r="W28" s="452"/>
      <c r="X28" s="452"/>
      <c r="Y28" s="452"/>
      <c r="Z28" s="1733"/>
      <c r="AB28" s="2334">
        <f>SUBTOTAL(9,AB30:AB466)</f>
        <v>222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SUMIFS(O30:O949,F30:F949,"6а",G30:G949,3)+SUMIFS(O30:O949,F30:F949,"6б",G30:G949,3)+SUMIFS(O30:O949,F30:F949,"б/к",G30:G949,3)</f>
        <v>0</v>
      </c>
      <c r="AM28" s="2817"/>
    </row>
    <row r="29" spans="1:39" ht="15.5" x14ac:dyDescent="0.35">
      <c r="A29" s="1530"/>
      <c r="B29" s="1531"/>
      <c r="C29" s="1531"/>
      <c r="D29" s="478"/>
      <c r="E29" s="1453" t="s">
        <v>2871</v>
      </c>
      <c r="F29" s="477"/>
      <c r="G29" s="477"/>
      <c r="H29" s="477"/>
      <c r="I29" s="499"/>
      <c r="J29" s="499"/>
      <c r="K29" s="499"/>
      <c r="L29" s="499"/>
      <c r="M29" s="1540"/>
      <c r="N29" s="499"/>
      <c r="O29" s="1013"/>
      <c r="P29" s="499"/>
      <c r="Q29" s="1537"/>
      <c r="R29" s="1533"/>
      <c r="S29" s="478"/>
      <c r="T29" s="478"/>
      <c r="U29" s="478"/>
      <c r="V29" s="478"/>
      <c r="W29" s="478"/>
      <c r="X29" s="478"/>
      <c r="Y29" s="478"/>
      <c r="Z29" s="1532"/>
      <c r="AD29" s="2578" t="s">
        <v>7180</v>
      </c>
      <c r="AE29" s="2579">
        <f>SUMIFS(M30:M904,F30:F904,3,G30:G904,3)+SUMIFS(N30:N904,F30:F904,3,G30:G904,3)+SUMIFS(O30:O904,F30:F904,3,G30:G904,3)+SUMIFS(P30:P904,F30:F904,3,G30:G904,3)+SUMIFS(Q30:Q904,F30:F904,3,G30:G904,3)+SUMIFS(R30:R904,F30:F904,3,G30:G904,3)</f>
        <v>0</v>
      </c>
      <c r="AF29" s="2579">
        <f>SUMIFS(M30:M904,F30:F904,4,G30:G904,3)+SUMIFS(N30:N904,F30:F904,4,G30:G904,3)+SUMIFS(O30:O904,F30:F904,4,G30:G904,3)+SUMIFS(P30:P904,F30:F904,4,G30:G904,3)+SUMIFS(Q30:Q904,F30:F904,4,G30:G904,3)+SUMIFS(R30:R904,F30:F904,4,G30:G904,3)</f>
        <v>0</v>
      </c>
      <c r="AG29" s="2579">
        <f>SUMIFS(M30:M904,F30:F904,5,G30:G904,3)+SUMIFS(N30:N904,F30:F904,5,G30:G904,3)+SUMIFS(O30:O904,F30:F904,5,G30:G904,3)+SUMIFS(P30:P904,F30:F904,5,G30:G904,3)+SUMIFS(Q30:Q904,F30:F904,5,G30:G904,3)+SUMIFS(R30:R904,F30:F904,5,G30:G904,3)</f>
        <v>0</v>
      </c>
      <c r="AH29" s="2579">
        <f>SUMIFS(M30:M904,F30:F904,"6а",G30:G904,3)+SUMIFS(N30:N904,F30:F904,"6а",G30:G904,3)+SUMIFS(O30:O904,F30:F904,"6а",G30:G904,3)+SUMIFS(P30:P904,F30:F904,"6а",G30:G904,3)+SUMIFS(Q30:Q904,F30:F904,"6а",G30:G904,3)+SUMIFS(R30:R904,F30:F904,"6а",G30:G904,3)</f>
        <v>0</v>
      </c>
      <c r="AI29" s="2579">
        <f>SUMIFS(M30:M904,F30:F904,"6б",G30:G904,3)+SUMIFS(N30:N904,F30:F904,"6б",G30:G904,3)+SUMIFS(O30:O904,F30:F904,"6б",G30:G904,3)+SUMIFS(P30:P904,F30:F904,"6б",G30:G904,3)+SUMIFS(Q30:Q904,F30:F904,"6б",G30:G904,3)+SUMIFS(R30:R904,F30:F904,"6б",G30:G904,3)</f>
        <v>0</v>
      </c>
      <c r="AJ29" s="2580">
        <f>SUMIFS(M30:M904,F30:F904,"б/к",G30:G904,3)+SUMIFS(N30:N904,F30:F904,"б/к",G30:G904,3)+SUMIFS(O30:O904,F30:F904,"б/к",G30:G904,3)+SUMIFS(P30:P904,F30:F904,"б/к",G30:G904,3)+SUMIFS(Q30:Q904,F30:F904,"б/к",G30:G904,3)+SUMIFS(R30:R904,F30:F904,"б/к",G30:G904,3)</f>
        <v>0</v>
      </c>
      <c r="AK29" s="2815" t="s">
        <v>11233</v>
      </c>
      <c r="AL29" s="2579">
        <f>SUMIFS(P30:P949,F30:F949,"6а",G30:G949,3)+SUMIFS(Q30:Q949,F30:F949,"6а",G30:G949,3)+SUMIFS(P30:P949,F30:F949,"6б",G30:G949,3)+SUMIFS(Q30:Q949,F30:F949,"6б",G30:G949,3)+SUMIFS(P30:P949,F30:F949,"б/к",G30:G949,3)+SUMIFS(Q30:Q949,F30:F949,"б/к",G30:G949,3)</f>
        <v>0</v>
      </c>
      <c r="AM29" s="2817"/>
    </row>
    <row r="30" spans="1:39" ht="15.5" x14ac:dyDescent="0.35">
      <c r="A30" s="294">
        <v>1</v>
      </c>
      <c r="B30" s="515">
        <v>11426</v>
      </c>
      <c r="C30" s="515"/>
      <c r="D30" s="515" t="s">
        <v>2170</v>
      </c>
      <c r="E30" s="511" t="s">
        <v>11159</v>
      </c>
      <c r="F30" s="13"/>
      <c r="G30" s="13" t="s">
        <v>191</v>
      </c>
      <c r="H30" s="13" t="s">
        <v>191</v>
      </c>
      <c r="I30" s="297">
        <f>J30+K30+L30</f>
        <v>19.511000000000003</v>
      </c>
      <c r="J30" s="297">
        <f>SUM(M30:R30)</f>
        <v>19.413000000000004</v>
      </c>
      <c r="K30" s="297"/>
      <c r="L30" s="297">
        <f>SUM(L31:L37)</f>
        <v>9.7999999999997811E-2</v>
      </c>
      <c r="M30" s="1541">
        <f t="shared" ref="M30:N30" si="6">SUM(M31:M37)</f>
        <v>8.9699999999999971</v>
      </c>
      <c r="N30" s="297">
        <f t="shared" si="6"/>
        <v>10.443000000000005</v>
      </c>
      <c r="O30" s="302"/>
      <c r="P30" s="297"/>
      <c r="Q30" s="932"/>
      <c r="R30" s="925"/>
      <c r="S30" s="55">
        <v>2</v>
      </c>
      <c r="T30" s="55">
        <f>27.9+91.75</f>
        <v>119.65</v>
      </c>
      <c r="U30" s="154"/>
      <c r="V30" s="154"/>
      <c r="W30" s="1881">
        <v>47</v>
      </c>
      <c r="X30" s="1962">
        <v>640.20000000000005</v>
      </c>
      <c r="Y30" s="164">
        <v>21</v>
      </c>
      <c r="Z30" s="309">
        <v>230</v>
      </c>
      <c r="AB30">
        <v>1</v>
      </c>
      <c r="AD30" s="2578" t="s">
        <v>7181</v>
      </c>
      <c r="AE30" s="2579">
        <f>SUMIFS(M30:M904,F30:F904,3,G30:G904,4)+SUMIFS(N30:N904,F30:F904,3,G30:G904,4)+SUMIFS(O30:O904,F30:F904,3,G30:G904,4)+SUMIFS(P30:P904,F30:F904,3,G30:G904,4)+SUMIFS(Q30:Q904,F30:F904,3,G30:G904,4)+SUMIFS(R30:R904,F30:F904,3,G30:G904,4)</f>
        <v>0</v>
      </c>
      <c r="AF30" s="2579">
        <f>SUMIFS(M30:M904,F30:F904,4,G30:G904,4)+SUMIFS(N30:N904,F30:F904,4,G30:G904,4)+SUMIFS(O30:O904,F30:F904,4,G30:G904,4)+SUMIFS(P30:P904,F30:F904,4,G30:G904,4)+SUMIFS(Q30:Q904,F30:F904,4,G30:G904,4)+SUMIFS(R30:R904,F30:F904,4,G30:G904,4)</f>
        <v>195.21899999999999</v>
      </c>
      <c r="AG30" s="2579">
        <f>SUMIFS(M30:M904,F30:F904,5,G30:G904,4)+SUMIFS(N30:N904,F30:F904,5,G30:G904,4)+SUMIFS(O30:O904,F30:F904,5,G30:G904,4)+SUMIFS(P30:P904,F30:F904,5,G30:G904,4)+SUMIFS(Q30:Q904,F30:F904,5,G30:G904,4)+SUMIFS(R30:R904,F30:F904,5,G30:G904,4)</f>
        <v>99.469000000000008</v>
      </c>
      <c r="AH30" s="2579">
        <f>SUMIFS(M30:M904,F30:F904,"6а",G30:G904,4)+SUMIFS(N30:N904,F30:F904,"6а",G30:G904,4)+SUMIFS(O30:O904,F30:F904,"6а",G30:G904,4)+SUMIFS(P30:P904,F30:F904,"6а",G30:G904,4)+SUMIFS(Q30:Q904,F30:F904,"6а",G30:G904,4)+SUMIFS(R30:R904,F30:F904,"6а",G30:G904,4)</f>
        <v>5.0989999999999984</v>
      </c>
      <c r="AI30" s="2579">
        <f>SUMIFS(M30:M904,F30:F904,"6б",G30:G904,4)+SUMIFS(N30:N904,F30:F904,"6б",G30:G904,4)+SUMIFS(O30:O904,F30:F904,"6б",G30:G904,4)+SUMIFS(P30:P904,F30:F904,"6б",G30:G904,4)+SUMIFS(Q30:Q904,F30:F904,"6б",G30:G904,4)+SUMIFS(R30:R904,F30:F904,"6б",G30:G904,4)</f>
        <v>1.4810000000000008</v>
      </c>
      <c r="AJ30" s="2580">
        <f>SUMIFS(M30:M904,F30:F904,"б/к",G30:G904,4)+SUMIFS(N30:N904,F30:F904,"б/к",G30:G904,4)+SUMIFS(O30:O904,F30:F904,"б/к",G30:G904,4)+SUMIFS(P30:P904,F30:F904,"б/к",G30:G904,4)+SUMIFS(Q30:Q904,F30:F904,"б/к",G30:G904,4)+SUMIFS(R30:R904,F30:F904,"б/к",G30:G904,4)</f>
        <v>0</v>
      </c>
      <c r="AK30" s="2815" t="s">
        <v>910</v>
      </c>
      <c r="AL30" s="2579">
        <f>SUMIFS(R30:R949,F30:F949,"6а",G30:G949,3)+SUMIFS(R30:R949,F30:F949,"6б",G30:G949,3)+SUMIFS(R30:R949,F30:F949,"б/к",G30:G949,3)</f>
        <v>0</v>
      </c>
      <c r="AM30" s="2817"/>
    </row>
    <row r="31" spans="1:39" s="2727" customFormat="1" ht="31" x14ac:dyDescent="0.35">
      <c r="A31" s="294"/>
      <c r="B31" s="515"/>
      <c r="C31" s="515"/>
      <c r="D31" s="515"/>
      <c r="E31" s="393" t="s">
        <v>10843</v>
      </c>
      <c r="F31" s="337">
        <v>4</v>
      </c>
      <c r="G31" s="337">
        <v>4</v>
      </c>
      <c r="H31" s="337" t="s">
        <v>191</v>
      </c>
      <c r="I31" s="488"/>
      <c r="J31" s="488"/>
      <c r="K31" s="488"/>
      <c r="L31" s="488">
        <v>6.2E-2</v>
      </c>
      <c r="M31" s="488"/>
      <c r="N31" s="488"/>
      <c r="O31" s="299"/>
      <c r="P31" s="298"/>
      <c r="Q31" s="1836"/>
      <c r="R31" s="2049"/>
      <c r="S31" s="1138"/>
      <c r="T31" s="1138"/>
      <c r="U31" s="1944"/>
      <c r="V31" s="1944"/>
      <c r="W31" s="2690"/>
      <c r="X31" s="2728"/>
      <c r="Y31" s="2709"/>
      <c r="Z31" s="2729"/>
      <c r="AD31" s="2581" t="s">
        <v>7182</v>
      </c>
      <c r="AE31" s="2582">
        <f>SUMIFS(M30:M919,F30:F919,3,G30:G919,5)+SUMIFS(N30:N919,F30:F919,3,G30:G919,5)+SUMIFS(O30:O919,F30:F919,3,G30:G919,5)+SUMIFS(P30:P919,F30:F919,3,G30:G919,5)+SUMIFS(Q30:Q919,F30:F919,3,G30:G919,5)+SUMIFS(R30:R919,F30:F919,3,G30:G919,5)</f>
        <v>0</v>
      </c>
      <c r="AF31" s="2582">
        <f>SUMIFS(M30:M919,F30:F919,4,G30:G919,5)+SUMIFS(N30:N919,F30:F919,4,G30:G919,5)+SUMIFS(O30:O919,F30:F919,4,G30:G919,5)+SUMIFS(P30:P919,F30:F919,4,G30:G919,5)+SUMIFS(Q30:Q919,F30:F919,4,G30:G919,5)+SUMIFS(R30:R919,F30:F919,4,G30:G919,5)</f>
        <v>27.443999999999996</v>
      </c>
      <c r="AG31" s="2582">
        <f>SUMIFS(M30:M919,F30:F919,5,G30:G919,5)+SUMIFS(N30:N919,F30:F919,5,G30:G919,5)+SUMIFS(O30:O919,F30:F919,5,G30:G919,5)+SUMIFS(P30:P919,F30:F919,5,G30:G919,5)+SUMIFS(Q30:Q919,F30:F919,5,G30:G919,5)+SUMIFS(R30:R919,F30:F919,5,G30:G919,5)</f>
        <v>37.006000000000007</v>
      </c>
      <c r="AH31" s="2582">
        <f>SUMIFS(M30:M919,F30:F919,"6а",G30:G919,5)+SUMIFS(N30:N919,F30:F919,"6а",G30:G919,5)+SUMIFS(O30:O919,F30:F919,"6а",G30:G919,5)+SUMIFS(P30:P919,F30:F919,"6а",G30:G919,5)+SUMIFS(Q30:Q919,F30:F919,"6а",G30:G919,5)+SUMIFS(R30:R919,F30:F919,"6а",G30:G919,5)</f>
        <v>38.391000000000005</v>
      </c>
      <c r="AI31" s="2582">
        <f>SUMIFS(M30:M919,F30:F919,"6б",G30:G919,5)+SUMIFS(N30:N919,F30:F919,"6б",G30:G919,5)+SUMIFS(O30:O919,F30:F919,"6б",G30:G919,5)+SUMIFS(P30:P919,F30:F919,"6б",G30:G919,5)+SUMIFS(Q30:Q919,F30:F919,"6б",G30:G919,5)+SUMIFS(R30:R919,F30:F919,"6б",G30:G919,5)</f>
        <v>17.551000000000002</v>
      </c>
      <c r="AJ31" s="2583">
        <f>SUMIFS(M30:M919,F30:F919,"б/к",G30:G919,5)+SUMIFS(N30:N919,F30:F919,"б/к",G30:G919,5)+SUMIFS(O30:O919,F30:F919,"б/к",G30:G919,5)+SUMIFS(P30:P919,F30:F919,"б/к",G30:G919,5)+SUMIFS(Q30:Q919,F30:F919,"б/к",G30:G919,5)+SUMIFS(R30:R919,F30:F919,"б/к",G30:G919,5)</f>
        <v>143.28000000000003</v>
      </c>
      <c r="AK31" s="2815"/>
      <c r="AL31" s="2579"/>
      <c r="AM31" s="2817"/>
    </row>
    <row r="32" spans="1:39" ht="15.5" x14ac:dyDescent="0.35">
      <c r="A32" s="787"/>
      <c r="B32" s="515">
        <v>11426</v>
      </c>
      <c r="C32" s="515"/>
      <c r="D32" s="788"/>
      <c r="E32" s="534" t="s">
        <v>10845</v>
      </c>
      <c r="F32" s="337">
        <v>4</v>
      </c>
      <c r="G32" s="337">
        <v>4</v>
      </c>
      <c r="H32" s="337">
        <v>6</v>
      </c>
      <c r="I32" s="488"/>
      <c r="J32" s="488"/>
      <c r="K32" s="488"/>
      <c r="L32" s="488"/>
      <c r="M32" s="488"/>
      <c r="N32" s="488">
        <f>9.329-0.062</f>
        <v>9.2670000000000012</v>
      </c>
      <c r="O32" s="299"/>
      <c r="P32" s="298"/>
      <c r="Q32" s="933"/>
      <c r="R32" s="927"/>
      <c r="S32" s="1138"/>
      <c r="T32" s="1138"/>
      <c r="U32" s="1944"/>
      <c r="V32" s="1944"/>
      <c r="W32" s="1138"/>
      <c r="X32" s="2074"/>
      <c r="Y32" s="1953"/>
      <c r="Z32" s="509"/>
      <c r="AD32" s="2811"/>
      <c r="AE32" s="1572"/>
      <c r="AF32" s="2811"/>
      <c r="AG32" s="2811"/>
      <c r="AH32" s="2811"/>
      <c r="AI32" s="2584" t="s">
        <v>7183</v>
      </c>
      <c r="AJ32" s="2585">
        <f>SUMIF(AB30:AB919,"=1",J30:J919)</f>
        <v>564.9400000000004</v>
      </c>
      <c r="AK32" s="2818" t="s">
        <v>11235</v>
      </c>
      <c r="AL32" s="2821">
        <f>AL34+AL40+AL46</f>
        <v>301.26799999999997</v>
      </c>
      <c r="AM32" s="2820">
        <f>AL32-J19</f>
        <v>0</v>
      </c>
    </row>
    <row r="33" spans="1:39" ht="15.5" x14ac:dyDescent="0.35">
      <c r="A33" s="787"/>
      <c r="B33" s="515">
        <v>11426</v>
      </c>
      <c r="C33" s="515"/>
      <c r="D33" s="788"/>
      <c r="E33" s="979" t="s">
        <v>10846</v>
      </c>
      <c r="F33" s="13">
        <v>4</v>
      </c>
      <c r="G33" s="13">
        <v>4</v>
      </c>
      <c r="H33" s="13">
        <v>10</v>
      </c>
      <c r="I33" s="298"/>
      <c r="J33" s="298"/>
      <c r="K33" s="298"/>
      <c r="L33" s="298"/>
      <c r="M33" s="1542">
        <f>14.318-9.329</f>
        <v>4.988999999999999</v>
      </c>
      <c r="N33" s="298"/>
      <c r="O33" s="299"/>
      <c r="P33" s="298"/>
      <c r="Q33" s="933"/>
      <c r="R33" s="927"/>
      <c r="S33" s="1138"/>
      <c r="T33" s="1138"/>
      <c r="U33" s="1944"/>
      <c r="V33" s="1944"/>
      <c r="W33" s="1138"/>
      <c r="X33" s="2074"/>
      <c r="Y33" s="1953"/>
      <c r="Z33" s="509"/>
      <c r="AD33" s="2811"/>
      <c r="AE33" s="1572"/>
      <c r="AF33" s="2811"/>
      <c r="AG33" s="2811"/>
      <c r="AH33" s="2811"/>
      <c r="AI33" s="2811"/>
      <c r="AJ33" s="2585">
        <f>SUM(AE29:AJ31)-AJ32</f>
        <v>0</v>
      </c>
      <c r="AK33" s="2815" t="s">
        <v>11229</v>
      </c>
      <c r="AL33" s="2579"/>
      <c r="AM33" s="2817"/>
    </row>
    <row r="34" spans="1:39" ht="15.5" x14ac:dyDescent="0.35">
      <c r="A34" s="787"/>
      <c r="B34" s="515">
        <v>11426</v>
      </c>
      <c r="C34" s="515"/>
      <c r="D34" s="788"/>
      <c r="E34" s="459" t="s">
        <v>10847</v>
      </c>
      <c r="F34" s="1138">
        <v>4</v>
      </c>
      <c r="G34" s="1138">
        <v>4</v>
      </c>
      <c r="H34" s="1138">
        <v>6</v>
      </c>
      <c r="I34" s="487"/>
      <c r="J34" s="487"/>
      <c r="K34" s="487"/>
      <c r="L34" s="487"/>
      <c r="M34" s="487"/>
      <c r="N34" s="487">
        <f>15.323-14.318</f>
        <v>1.0050000000000008</v>
      </c>
      <c r="O34" s="299"/>
      <c r="P34" s="298"/>
      <c r="Q34" s="933"/>
      <c r="R34" s="927"/>
      <c r="S34" s="1138"/>
      <c r="T34" s="1138"/>
      <c r="U34" s="1944"/>
      <c r="V34" s="1944"/>
      <c r="W34" s="1138"/>
      <c r="X34" s="2074"/>
      <c r="Y34" s="1953"/>
      <c r="Z34" s="509"/>
      <c r="AD34" s="2811"/>
      <c r="AE34" s="1572"/>
      <c r="AF34" s="2811"/>
      <c r="AG34" s="2811"/>
      <c r="AH34" s="2811"/>
      <c r="AI34" s="2811"/>
      <c r="AJ34" s="2585"/>
      <c r="AK34" s="2818" t="s">
        <v>7184</v>
      </c>
      <c r="AL34" s="2821">
        <f>AL35+AL36+AL37+AL38+AL39</f>
        <v>195.21899999999999</v>
      </c>
      <c r="AM34" s="2820">
        <f>AL34-AF30</f>
        <v>0</v>
      </c>
    </row>
    <row r="35" spans="1:39" ht="15.5" x14ac:dyDescent="0.35">
      <c r="A35" s="787"/>
      <c r="B35" s="515">
        <v>11426</v>
      </c>
      <c r="C35" s="515"/>
      <c r="D35" s="788"/>
      <c r="E35" s="979" t="s">
        <v>10848</v>
      </c>
      <c r="F35" s="13">
        <v>4</v>
      </c>
      <c r="G35" s="13">
        <v>4</v>
      </c>
      <c r="H35" s="13">
        <v>10</v>
      </c>
      <c r="I35" s="298"/>
      <c r="J35" s="298"/>
      <c r="K35" s="298"/>
      <c r="L35" s="298"/>
      <c r="M35" s="1542">
        <f>19.304-15.323</f>
        <v>3.9809999999999981</v>
      </c>
      <c r="N35" s="298"/>
      <c r="O35" s="299"/>
      <c r="P35" s="298"/>
      <c r="Q35" s="933"/>
      <c r="R35" s="927"/>
      <c r="S35" s="1138"/>
      <c r="T35" s="1138"/>
      <c r="U35" s="1944"/>
      <c r="V35" s="1944"/>
      <c r="W35" s="1138"/>
      <c r="X35" s="2074"/>
      <c r="Y35" s="1953"/>
      <c r="Z35" s="509"/>
      <c r="AK35" s="2815" t="s">
        <v>11230</v>
      </c>
      <c r="AL35" s="2579">
        <f>SUMIFS(M30:M949,F30:F949,4,G30:G949,4)</f>
        <v>28.88</v>
      </c>
      <c r="AM35" s="2817"/>
    </row>
    <row r="36" spans="1:39" ht="15.5" x14ac:dyDescent="0.35">
      <c r="A36" s="787"/>
      <c r="B36" s="515">
        <v>11426</v>
      </c>
      <c r="C36" s="515"/>
      <c r="D36" s="788"/>
      <c r="E36" s="459" t="s">
        <v>10849</v>
      </c>
      <c r="F36" s="1138">
        <v>4</v>
      </c>
      <c r="G36" s="1138">
        <v>4</v>
      </c>
      <c r="H36" s="1138">
        <v>6</v>
      </c>
      <c r="I36" s="487"/>
      <c r="J36" s="487"/>
      <c r="K36" s="487"/>
      <c r="L36" s="487"/>
      <c r="M36" s="487"/>
      <c r="N36" s="487">
        <f>19.475-19.304</f>
        <v>0.17100000000000293</v>
      </c>
      <c r="O36" s="299"/>
      <c r="P36" s="298"/>
      <c r="Q36" s="933"/>
      <c r="R36" s="927"/>
      <c r="S36" s="1138"/>
      <c r="T36" s="1138"/>
      <c r="U36" s="1944"/>
      <c r="V36" s="1944"/>
      <c r="W36" s="1138"/>
      <c r="X36" s="2074"/>
      <c r="Y36" s="1953"/>
      <c r="Z36" s="509"/>
      <c r="AK36" s="2815" t="s">
        <v>11231</v>
      </c>
      <c r="AL36" s="2579">
        <f>SUMIFS(N30:N949,F30:F949,4,G30:G949,4)</f>
        <v>115.46600000000001</v>
      </c>
      <c r="AM36" s="2817"/>
    </row>
    <row r="37" spans="1:39" s="2727" customFormat="1" ht="31" x14ac:dyDescent="0.35">
      <c r="A37" s="787"/>
      <c r="B37" s="515"/>
      <c r="C37" s="515"/>
      <c r="D37" s="788"/>
      <c r="E37" s="270" t="s">
        <v>10844</v>
      </c>
      <c r="F37" s="1138">
        <v>4</v>
      </c>
      <c r="G37" s="1138">
        <v>4</v>
      </c>
      <c r="H37" s="1138" t="s">
        <v>191</v>
      </c>
      <c r="I37" s="487"/>
      <c r="J37" s="487"/>
      <c r="K37" s="487"/>
      <c r="L37" s="487">
        <f>19.511-19.475</f>
        <v>3.5999999999997812E-2</v>
      </c>
      <c r="M37" s="487"/>
      <c r="N37" s="487"/>
      <c r="O37" s="299"/>
      <c r="P37" s="298"/>
      <c r="Q37" s="933"/>
      <c r="R37" s="927"/>
      <c r="S37" s="1138"/>
      <c r="T37" s="1138"/>
      <c r="U37" s="1944"/>
      <c r="V37" s="1944"/>
      <c r="W37" s="1138"/>
      <c r="X37" s="2074"/>
      <c r="Y37" s="1953"/>
      <c r="Z37" s="509"/>
      <c r="AK37" s="2815" t="s">
        <v>11232</v>
      </c>
      <c r="AL37" s="2579">
        <f>SUMIFS(O30:O949,F30:F949,4,G30:G949,4)</f>
        <v>0</v>
      </c>
      <c r="AM37" s="2817"/>
    </row>
    <row r="38" spans="1:39" ht="30" x14ac:dyDescent="0.35">
      <c r="A38" s="525">
        <v>2</v>
      </c>
      <c r="B38" s="693">
        <v>11426</v>
      </c>
      <c r="C38" s="693" t="s">
        <v>1656</v>
      </c>
      <c r="D38" s="2469" t="s">
        <v>6228</v>
      </c>
      <c r="E38" s="2187" t="s">
        <v>11539</v>
      </c>
      <c r="F38" s="92" t="s">
        <v>664</v>
      </c>
      <c r="G38" s="92">
        <v>5</v>
      </c>
      <c r="H38" s="92">
        <v>6</v>
      </c>
      <c r="I38" s="2922">
        <f>J38+K38+L38</f>
        <v>0.3</v>
      </c>
      <c r="J38" s="2922">
        <f>M38+N38+O38+P38+Q38+R38</f>
        <v>0.3</v>
      </c>
      <c r="K38" s="622"/>
      <c r="L38" s="622"/>
      <c r="M38" s="622"/>
      <c r="N38" s="622"/>
      <c r="O38" s="622"/>
      <c r="P38" s="622"/>
      <c r="Q38" s="622"/>
      <c r="R38" s="906">
        <v>0.3</v>
      </c>
      <c r="S38" s="106"/>
      <c r="T38" s="106"/>
      <c r="U38" s="106"/>
      <c r="V38" s="106"/>
      <c r="W38" s="105"/>
      <c r="X38" s="253"/>
      <c r="Y38" s="105"/>
      <c r="Z38" s="323"/>
      <c r="AB38">
        <v>1</v>
      </c>
      <c r="AE38" s="2461"/>
      <c r="AF38" s="2462"/>
      <c r="AK38" s="2815" t="s">
        <v>11233</v>
      </c>
      <c r="AL38" s="2579">
        <f>SUMIFS(P30:P949,F30:F949,4,G30:G949,4)+SUMIFS(Q30:Q949,F30:F949,4,G30:G949,4)</f>
        <v>50.873000000000005</v>
      </c>
      <c r="AM38" s="2817"/>
    </row>
    <row r="39" spans="1:39" ht="30" x14ac:dyDescent="0.35">
      <c r="A39" s="525">
        <v>3</v>
      </c>
      <c r="B39" s="693">
        <v>11426</v>
      </c>
      <c r="C39" s="693" t="s">
        <v>1656</v>
      </c>
      <c r="D39" s="2469" t="s">
        <v>6229</v>
      </c>
      <c r="E39" s="2187" t="s">
        <v>9296</v>
      </c>
      <c r="F39" s="92" t="s">
        <v>664</v>
      </c>
      <c r="G39" s="92">
        <v>5</v>
      </c>
      <c r="H39" s="92">
        <v>6</v>
      </c>
      <c r="I39" s="2157">
        <f>J39+K39+L39</f>
        <v>0.25</v>
      </c>
      <c r="J39" s="2157">
        <f>M39+N39+O39+P39+Q39+R39</f>
        <v>0.25</v>
      </c>
      <c r="K39" s="622"/>
      <c r="L39" s="622"/>
      <c r="M39" s="622"/>
      <c r="N39" s="622"/>
      <c r="O39" s="622"/>
      <c r="P39" s="622"/>
      <c r="Q39" s="622"/>
      <c r="R39" s="906">
        <v>0.25</v>
      </c>
      <c r="S39" s="106"/>
      <c r="T39" s="106"/>
      <c r="U39" s="106"/>
      <c r="V39" s="106"/>
      <c r="W39" s="105"/>
      <c r="X39" s="253"/>
      <c r="Y39" s="105"/>
      <c r="Z39" s="323"/>
      <c r="AB39">
        <v>1</v>
      </c>
      <c r="AE39" s="2461"/>
      <c r="AF39" s="68"/>
      <c r="AK39" s="2815" t="s">
        <v>910</v>
      </c>
      <c r="AL39" s="2579">
        <f>SUMIFS(R30:R949,F30:F949,4,G30:G949,4)</f>
        <v>0</v>
      </c>
      <c r="AM39" s="2817"/>
    </row>
    <row r="40" spans="1:39" ht="30" x14ac:dyDescent="0.35">
      <c r="A40" s="525">
        <v>4</v>
      </c>
      <c r="B40" s="693">
        <v>11426</v>
      </c>
      <c r="C40" s="693" t="s">
        <v>1656</v>
      </c>
      <c r="D40" s="2469" t="s">
        <v>6230</v>
      </c>
      <c r="E40" s="2187" t="s">
        <v>8982</v>
      </c>
      <c r="F40" s="92" t="s">
        <v>664</v>
      </c>
      <c r="G40" s="92">
        <v>5</v>
      </c>
      <c r="H40" s="92">
        <v>6</v>
      </c>
      <c r="I40" s="2157">
        <f>J40+K40+L40</f>
        <v>0.68</v>
      </c>
      <c r="J40" s="2157">
        <f>M40+N40+O40+P40+Q40+R40</f>
        <v>0.68</v>
      </c>
      <c r="K40" s="622"/>
      <c r="L40" s="622"/>
      <c r="M40" s="622"/>
      <c r="N40" s="622"/>
      <c r="O40" s="622"/>
      <c r="P40" s="622"/>
      <c r="Q40" s="622"/>
      <c r="R40" s="906">
        <v>0.68</v>
      </c>
      <c r="S40" s="106"/>
      <c r="T40" s="106"/>
      <c r="U40" s="106"/>
      <c r="V40" s="106"/>
      <c r="W40" s="105"/>
      <c r="X40" s="253"/>
      <c r="Y40" s="105"/>
      <c r="Z40" s="323"/>
      <c r="AB40">
        <v>1</v>
      </c>
      <c r="AE40" s="2461"/>
      <c r="AF40" s="68"/>
      <c r="AK40" s="2818" t="s">
        <v>7185</v>
      </c>
      <c r="AL40" s="2821">
        <f>AL41+AL42+AL43+AL44+AL45</f>
        <v>99.469000000000008</v>
      </c>
      <c r="AM40" s="2820">
        <f>AL40-AG30</f>
        <v>0</v>
      </c>
    </row>
    <row r="41" spans="1:39" ht="45.5" x14ac:dyDescent="0.35">
      <c r="A41" s="525">
        <v>5</v>
      </c>
      <c r="B41" s="515">
        <v>11427</v>
      </c>
      <c r="C41" s="515"/>
      <c r="D41" s="515" t="s">
        <v>2171</v>
      </c>
      <c r="E41" s="511" t="s">
        <v>11160</v>
      </c>
      <c r="F41" s="13"/>
      <c r="G41" s="13" t="s">
        <v>191</v>
      </c>
      <c r="H41" s="13" t="s">
        <v>191</v>
      </c>
      <c r="I41" s="297">
        <f>J41+K41+L41</f>
        <v>18.789000000000001</v>
      </c>
      <c r="J41" s="297">
        <f>SUM(M41:R41)</f>
        <v>18.763999999999999</v>
      </c>
      <c r="K41" s="297"/>
      <c r="L41" s="297">
        <f>SUM(L42:L45)</f>
        <v>2.5000000000002132E-2</v>
      </c>
      <c r="M41" s="1541"/>
      <c r="N41" s="297">
        <f>SUM(N42:N45)</f>
        <v>10.511999999999999</v>
      </c>
      <c r="O41" s="302"/>
      <c r="P41" s="297"/>
      <c r="Q41" s="932">
        <f>SUM(Q42:Q45)</f>
        <v>8.2520000000000007</v>
      </c>
      <c r="R41" s="925"/>
      <c r="S41" s="55">
        <v>1</v>
      </c>
      <c r="T41" s="1962">
        <v>169.85000610351563</v>
      </c>
      <c r="U41" s="154"/>
      <c r="V41" s="154"/>
      <c r="W41" s="1881">
        <v>32</v>
      </c>
      <c r="X41" s="1962">
        <v>481.5</v>
      </c>
      <c r="Y41" s="164">
        <v>6</v>
      </c>
      <c r="Z41" s="309">
        <v>74.8</v>
      </c>
      <c r="AB41">
        <v>1</v>
      </c>
      <c r="AE41" s="2461"/>
      <c r="AF41" s="68"/>
      <c r="AK41" s="2815" t="s">
        <v>11230</v>
      </c>
      <c r="AL41" s="2579">
        <f>SUMIFS(M30:M949,F30:F949,5,G30:G949,4)</f>
        <v>6.39</v>
      </c>
      <c r="AM41" s="2817"/>
    </row>
    <row r="42" spans="1:39" ht="15.5" x14ac:dyDescent="0.35">
      <c r="A42" s="787"/>
      <c r="B42" s="515">
        <v>11427</v>
      </c>
      <c r="C42" s="515"/>
      <c r="D42" s="788"/>
      <c r="E42" s="459" t="s">
        <v>11161</v>
      </c>
      <c r="F42" s="13">
        <v>4</v>
      </c>
      <c r="G42" s="13">
        <v>4</v>
      </c>
      <c r="H42" s="13">
        <v>6</v>
      </c>
      <c r="I42" s="298"/>
      <c r="J42" s="298"/>
      <c r="K42" s="298"/>
      <c r="L42" s="298"/>
      <c r="M42" s="1542"/>
      <c r="N42" s="298">
        <v>8.2479999999999993</v>
      </c>
      <c r="O42" s="299"/>
      <c r="P42" s="298"/>
      <c r="Q42" s="933"/>
      <c r="R42" s="927"/>
      <c r="S42" s="1138"/>
      <c r="T42" s="1138"/>
      <c r="U42" s="1944"/>
      <c r="V42" s="1944"/>
      <c r="W42" s="1138"/>
      <c r="X42" s="2074"/>
      <c r="Y42" s="1953"/>
      <c r="Z42" s="509"/>
      <c r="AE42" s="2461"/>
      <c r="AF42" s="68"/>
      <c r="AK42" s="2815" t="s">
        <v>11231</v>
      </c>
      <c r="AL42" s="2579">
        <f>SUMIFS(N30:N949,F30:F949,5,G30:G949,4)</f>
        <v>22.942000000000004</v>
      </c>
      <c r="AM42" s="2817"/>
    </row>
    <row r="43" spans="1:39" ht="15.5" x14ac:dyDescent="0.35">
      <c r="A43" s="787"/>
      <c r="B43" s="515">
        <v>11427</v>
      </c>
      <c r="C43" s="515"/>
      <c r="D43" s="788"/>
      <c r="E43" s="837" t="s">
        <v>10828</v>
      </c>
      <c r="F43" s="13">
        <v>4</v>
      </c>
      <c r="G43" s="13">
        <v>4</v>
      </c>
      <c r="H43" s="13">
        <v>6</v>
      </c>
      <c r="I43" s="298"/>
      <c r="J43" s="298"/>
      <c r="K43" s="298"/>
      <c r="L43" s="298"/>
      <c r="M43" s="1542"/>
      <c r="N43" s="298"/>
      <c r="O43" s="299"/>
      <c r="P43" s="298"/>
      <c r="Q43" s="933">
        <f>16.5-8.248</f>
        <v>8.2520000000000007</v>
      </c>
      <c r="R43" s="927"/>
      <c r="S43" s="1138"/>
      <c r="T43" s="1138"/>
      <c r="U43" s="1944"/>
      <c r="V43" s="1944"/>
      <c r="W43" s="1138"/>
      <c r="X43" s="2074"/>
      <c r="Y43" s="1953"/>
      <c r="Z43" s="509"/>
      <c r="AE43" s="2461"/>
      <c r="AF43" s="68"/>
      <c r="AK43" s="2815" t="s">
        <v>11232</v>
      </c>
      <c r="AL43" s="2579">
        <f>SUMIFS(O30:O949,F30:F949,5,G30:G949,4)</f>
        <v>0</v>
      </c>
      <c r="AM43" s="2817"/>
    </row>
    <row r="44" spans="1:39" s="2725" customFormat="1" ht="15.5" x14ac:dyDescent="0.35">
      <c r="A44" s="787"/>
      <c r="B44" s="515">
        <v>11427</v>
      </c>
      <c r="C44" s="515"/>
      <c r="D44" s="788"/>
      <c r="E44" s="459" t="s">
        <v>11162</v>
      </c>
      <c r="F44" s="1138">
        <v>4</v>
      </c>
      <c r="G44" s="1138">
        <v>4</v>
      </c>
      <c r="H44" s="1138">
        <v>6</v>
      </c>
      <c r="I44" s="487"/>
      <c r="J44" s="487"/>
      <c r="K44" s="487"/>
      <c r="L44" s="487"/>
      <c r="M44" s="487"/>
      <c r="N44" s="487">
        <f>18.764-16.5</f>
        <v>2.2639999999999993</v>
      </c>
      <c r="O44" s="299"/>
      <c r="P44" s="298"/>
      <c r="Q44" s="933"/>
      <c r="R44" s="927"/>
      <c r="S44" s="1138"/>
      <c r="T44" s="1138"/>
      <c r="U44" s="1944"/>
      <c r="V44" s="1944"/>
      <c r="W44" s="1138"/>
      <c r="X44" s="2074"/>
      <c r="Y44" s="1953"/>
      <c r="Z44" s="509"/>
      <c r="AE44" s="2461"/>
      <c r="AF44" s="68"/>
      <c r="AK44" s="2815" t="s">
        <v>11233</v>
      </c>
      <c r="AL44" s="2579">
        <f>SUMIFS(P30:P949,F30:F949,5,G30:G949,4)+SUMIFS(Q30:Q949,F30:F949,5,G30:G949,4)</f>
        <v>69.378</v>
      </c>
      <c r="AM44" s="2817"/>
    </row>
    <row r="45" spans="1:39" ht="31" x14ac:dyDescent="0.35">
      <c r="A45" s="787"/>
      <c r="B45" s="515">
        <v>11427</v>
      </c>
      <c r="C45" s="515"/>
      <c r="D45" s="788"/>
      <c r="E45" s="270" t="s">
        <v>10837</v>
      </c>
      <c r="F45" s="1138">
        <v>4</v>
      </c>
      <c r="G45" s="1138">
        <v>4</v>
      </c>
      <c r="H45" s="1138" t="s">
        <v>191</v>
      </c>
      <c r="I45" s="487"/>
      <c r="J45" s="487"/>
      <c r="K45" s="487"/>
      <c r="L45" s="487">
        <f>18.789-18.764</f>
        <v>2.5000000000002132E-2</v>
      </c>
      <c r="M45" s="487"/>
      <c r="N45" s="487"/>
      <c r="O45" s="299"/>
      <c r="P45" s="298"/>
      <c r="Q45" s="933"/>
      <c r="R45" s="927"/>
      <c r="S45" s="1138"/>
      <c r="T45" s="1138"/>
      <c r="U45" s="1944"/>
      <c r="V45" s="1944"/>
      <c r="W45" s="1138"/>
      <c r="X45" s="2074"/>
      <c r="Y45" s="1953"/>
      <c r="Z45" s="509"/>
      <c r="AE45" s="2461"/>
      <c r="AF45" s="68"/>
      <c r="AK45" s="2815" t="s">
        <v>910</v>
      </c>
      <c r="AL45" s="2579">
        <f>SUMIFS(R30:R949,F30:F949,5,G30:G949,4)</f>
        <v>0.75899999999999901</v>
      </c>
      <c r="AM45" s="2817"/>
    </row>
    <row r="46" spans="1:39" ht="60.5" x14ac:dyDescent="0.35">
      <c r="A46" s="789">
        <v>6</v>
      </c>
      <c r="B46" s="1162">
        <v>11427</v>
      </c>
      <c r="C46" s="1162"/>
      <c r="D46" s="2469" t="s">
        <v>6231</v>
      </c>
      <c r="E46" s="288" t="s">
        <v>10228</v>
      </c>
      <c r="F46" s="13" t="s">
        <v>664</v>
      </c>
      <c r="G46" s="13">
        <v>5</v>
      </c>
      <c r="H46" s="92">
        <v>6</v>
      </c>
      <c r="I46" s="297">
        <f t="shared" ref="I46:I54" si="7">J46+K46+L46</f>
        <v>4.05</v>
      </c>
      <c r="J46" s="297">
        <f>SUM(M46:R46)</f>
        <v>4.05</v>
      </c>
      <c r="K46" s="489"/>
      <c r="L46" s="489"/>
      <c r="M46" s="1543"/>
      <c r="N46" s="489"/>
      <c r="O46" s="491"/>
      <c r="P46" s="489"/>
      <c r="Q46" s="932"/>
      <c r="R46" s="929">
        <v>4.05</v>
      </c>
      <c r="S46" s="154"/>
      <c r="T46" s="154"/>
      <c r="U46" s="154"/>
      <c r="V46" s="154"/>
      <c r="W46" s="1881">
        <v>1</v>
      </c>
      <c r="X46" s="1962">
        <v>10</v>
      </c>
      <c r="Y46" s="164"/>
      <c r="Z46" s="309"/>
      <c r="AB46">
        <v>1</v>
      </c>
      <c r="AE46" s="2461"/>
      <c r="AF46" s="68"/>
      <c r="AK46" s="2818" t="s">
        <v>11234</v>
      </c>
      <c r="AL46" s="2821">
        <f>AL47+AL48+AL49+AL50+AL51</f>
        <v>6.58</v>
      </c>
      <c r="AM46" s="2820">
        <f>AL46-AH30-AI30-AJ30</f>
        <v>8.8817841970012523E-16</v>
      </c>
    </row>
    <row r="47" spans="1:39" ht="75.5" x14ac:dyDescent="0.35">
      <c r="A47" s="789">
        <v>7</v>
      </c>
      <c r="B47" s="1162">
        <v>11427</v>
      </c>
      <c r="C47" s="1162"/>
      <c r="D47" s="2469" t="s">
        <v>6232</v>
      </c>
      <c r="E47" s="288" t="s">
        <v>10229</v>
      </c>
      <c r="F47" s="13">
        <v>5</v>
      </c>
      <c r="G47" s="13">
        <v>4</v>
      </c>
      <c r="H47" s="13">
        <v>6</v>
      </c>
      <c r="I47" s="297">
        <f t="shared" si="7"/>
        <v>0.85</v>
      </c>
      <c r="J47" s="297">
        <f>SUM(M47:R47)</f>
        <v>0.85</v>
      </c>
      <c r="K47" s="297"/>
      <c r="L47" s="297"/>
      <c r="M47" s="1541"/>
      <c r="N47" s="297">
        <v>0.85</v>
      </c>
      <c r="O47" s="302"/>
      <c r="P47" s="297"/>
      <c r="Q47" s="932"/>
      <c r="R47" s="925"/>
      <c r="S47" s="55"/>
      <c r="T47" s="55"/>
      <c r="U47" s="154"/>
      <c r="V47" s="154"/>
      <c r="W47" s="1881">
        <v>4</v>
      </c>
      <c r="X47" s="1962">
        <v>51.799999237060547</v>
      </c>
      <c r="Y47" s="164">
        <v>1</v>
      </c>
      <c r="Z47" s="309">
        <v>10</v>
      </c>
      <c r="AB47">
        <v>1</v>
      </c>
      <c r="AE47" s="2461"/>
      <c r="AF47" s="68"/>
      <c r="AK47" s="2815" t="s">
        <v>11230</v>
      </c>
      <c r="AL47" s="2579">
        <f>SUMIFS(M30:M949,F30:F949,"6а",G30:G949,4)+SUMIFS(M30:M949,F30:F949,"6б",G30:G949,4)+SUMIFS(M30:M949,F30:F949,"б/к",G30:G949,4)</f>
        <v>0</v>
      </c>
      <c r="AM47" s="2817"/>
    </row>
    <row r="48" spans="1:39" ht="60" x14ac:dyDescent="0.35">
      <c r="A48" s="789">
        <v>8</v>
      </c>
      <c r="B48" s="693">
        <v>11427</v>
      </c>
      <c r="C48" s="693" t="s">
        <v>1656</v>
      </c>
      <c r="D48" s="2469" t="s">
        <v>6233</v>
      </c>
      <c r="E48" s="2187" t="s">
        <v>10230</v>
      </c>
      <c r="F48" s="92" t="s">
        <v>664</v>
      </c>
      <c r="G48" s="92">
        <v>5</v>
      </c>
      <c r="H48" s="92">
        <v>6</v>
      </c>
      <c r="I48" s="2157">
        <f t="shared" si="7"/>
        <v>0.17</v>
      </c>
      <c r="J48" s="2157">
        <f>M48+N48+O48+P48+Q48+R48</f>
        <v>0.17</v>
      </c>
      <c r="K48" s="622"/>
      <c r="L48" s="622"/>
      <c r="M48" s="622"/>
      <c r="N48" s="622"/>
      <c r="O48" s="622"/>
      <c r="P48" s="622"/>
      <c r="Q48" s="622"/>
      <c r="R48" s="906">
        <v>0.17</v>
      </c>
      <c r="S48" s="106"/>
      <c r="T48" s="106"/>
      <c r="U48" s="106"/>
      <c r="V48" s="106"/>
      <c r="W48" s="105"/>
      <c r="X48" s="253"/>
      <c r="Y48" s="105"/>
      <c r="Z48" s="323"/>
      <c r="AB48">
        <v>1</v>
      </c>
      <c r="AE48" s="2461"/>
      <c r="AF48" s="68"/>
      <c r="AK48" s="2815" t="s">
        <v>11231</v>
      </c>
      <c r="AL48" s="2579">
        <f>SUMIFS(N30:N949,F30:F949,"6а",G30:G949,4)+SUMIFS(N30:N949,F30:F949,"6б",G30:G949,4)+SUMIFS(N30:N949,F30:F949,"б/к",G30:G949,4)</f>
        <v>0.50299999999999967</v>
      </c>
      <c r="AM48" s="2817"/>
    </row>
    <row r="49" spans="1:39" ht="60" x14ac:dyDescent="0.35">
      <c r="A49" s="789">
        <v>9</v>
      </c>
      <c r="B49" s="693">
        <v>11427</v>
      </c>
      <c r="C49" s="693" t="s">
        <v>1656</v>
      </c>
      <c r="D49" s="2469" t="s">
        <v>6234</v>
      </c>
      <c r="E49" s="2187" t="s">
        <v>10231</v>
      </c>
      <c r="F49" s="92" t="s">
        <v>664</v>
      </c>
      <c r="G49" s="92">
        <v>5</v>
      </c>
      <c r="H49" s="92">
        <v>6</v>
      </c>
      <c r="I49" s="2157">
        <f t="shared" si="7"/>
        <v>0.5</v>
      </c>
      <c r="J49" s="2157">
        <f>M49+N49+O49+P49+Q49+R49</f>
        <v>0.5</v>
      </c>
      <c r="K49" s="622"/>
      <c r="L49" s="622"/>
      <c r="M49" s="622"/>
      <c r="N49" s="622"/>
      <c r="O49" s="622"/>
      <c r="P49" s="622"/>
      <c r="Q49" s="622"/>
      <c r="R49" s="906">
        <v>0.5</v>
      </c>
      <c r="S49" s="106"/>
      <c r="T49" s="106"/>
      <c r="U49" s="106"/>
      <c r="V49" s="106"/>
      <c r="W49" s="105"/>
      <c r="X49" s="253"/>
      <c r="Y49" s="105"/>
      <c r="Z49" s="323"/>
      <c r="AB49">
        <v>1</v>
      </c>
      <c r="AE49" s="2461"/>
      <c r="AF49" s="68"/>
      <c r="AK49" s="2815" t="s">
        <v>11232</v>
      </c>
      <c r="AL49" s="2579">
        <f>SUMIFS(O30:O949,F30:F949,"6а",G30:G949,4)+SUMIFS(O30:O949,F30:F949,"6б",G30:G949,4)+SUMIFS(O30:O949,F30:F949,"б/к",G30:G949,4)</f>
        <v>0</v>
      </c>
      <c r="AM49" s="2817"/>
    </row>
    <row r="50" spans="1:39" ht="60.5" x14ac:dyDescent="0.35">
      <c r="A50" s="789">
        <v>10</v>
      </c>
      <c r="B50" s="515">
        <v>11427</v>
      </c>
      <c r="C50" s="515"/>
      <c r="D50" s="2469" t="s">
        <v>6235</v>
      </c>
      <c r="E50" s="511" t="s">
        <v>10232</v>
      </c>
      <c r="F50" s="13" t="s">
        <v>664</v>
      </c>
      <c r="G50" s="14">
        <v>5</v>
      </c>
      <c r="H50" s="92">
        <v>6</v>
      </c>
      <c r="I50" s="297">
        <f t="shared" si="7"/>
        <v>1.2</v>
      </c>
      <c r="J50" s="297">
        <f>SUM(M50:R50)</f>
        <v>1.2</v>
      </c>
      <c r="K50" s="297"/>
      <c r="L50" s="297"/>
      <c r="M50" s="1541"/>
      <c r="N50" s="297"/>
      <c r="O50" s="302"/>
      <c r="P50" s="297"/>
      <c r="Q50" s="932"/>
      <c r="R50" s="925">
        <v>1.2</v>
      </c>
      <c r="S50" s="154"/>
      <c r="T50" s="154"/>
      <c r="U50" s="154"/>
      <c r="V50" s="154"/>
      <c r="W50" s="1881">
        <v>1</v>
      </c>
      <c r="X50" s="1962">
        <v>10</v>
      </c>
      <c r="Y50" s="164"/>
      <c r="Z50" s="309"/>
      <c r="AB50">
        <v>1</v>
      </c>
      <c r="AE50" s="2461"/>
      <c r="AF50" s="68"/>
      <c r="AK50" s="2815" t="s">
        <v>11233</v>
      </c>
      <c r="AL50" s="2579">
        <f>SUMIFS(P30:P949,F30:F949,"6а",G30:G949,4)+SUMIFS(Q30:Q949,F30:F949,"6а",G30:G949,4)+SUMIFS(P30:P949,F30:F949,"6б",G30:G949,4)+SUMIFS(Q30:Q949,F30:F949,"6б",G30:G949,4)+SUMIFS(O30:O949,F30:F949,"б/к",G30:G949,4)+SUMIFS(P30:P949,F30:F949,"б/к",G30:G949,4)+SUMIFS(Q30:Q949,F30:F949,"б/к",G30:G949,4)</f>
        <v>4.4469999999999992</v>
      </c>
      <c r="AM50" s="2817"/>
    </row>
    <row r="51" spans="1:39" ht="75" x14ac:dyDescent="0.35">
      <c r="A51" s="789">
        <v>11</v>
      </c>
      <c r="B51" s="693">
        <v>11427</v>
      </c>
      <c r="C51" s="693" t="s">
        <v>1656</v>
      </c>
      <c r="D51" s="2469" t="s">
        <v>6236</v>
      </c>
      <c r="E51" s="2187" t="s">
        <v>10233</v>
      </c>
      <c r="F51" s="92" t="s">
        <v>664</v>
      </c>
      <c r="G51" s="92">
        <v>5</v>
      </c>
      <c r="H51" s="92">
        <v>6</v>
      </c>
      <c r="I51" s="2157">
        <f t="shared" si="7"/>
        <v>0.28000000000000003</v>
      </c>
      <c r="J51" s="2157">
        <f>M51+N51+O51+P51+Q51+R51</f>
        <v>0.28000000000000003</v>
      </c>
      <c r="K51" s="622"/>
      <c r="L51" s="622"/>
      <c r="M51" s="622"/>
      <c r="N51" s="622"/>
      <c r="O51" s="622"/>
      <c r="P51" s="622"/>
      <c r="Q51" s="622"/>
      <c r="R51" s="906">
        <v>0.28000000000000003</v>
      </c>
      <c r="S51" s="106"/>
      <c r="T51" s="106"/>
      <c r="U51" s="106"/>
      <c r="V51" s="106"/>
      <c r="W51" s="105"/>
      <c r="X51" s="253"/>
      <c r="Y51" s="105"/>
      <c r="Z51" s="323"/>
      <c r="AB51">
        <v>1</v>
      </c>
      <c r="AE51" s="2461"/>
      <c r="AF51" s="68"/>
      <c r="AK51" s="2815" t="s">
        <v>910</v>
      </c>
      <c r="AL51" s="2579">
        <f>SUMIFS(R30:R949,F30:F949,"6а",G30:G949,4)+SUMIFS(R30:R949,F30:F949,"6б",G30:G949,4)+SUMIFS(R30:R949,F30:F949,"б/к",G30:G949,4)</f>
        <v>1.6300000000000006</v>
      </c>
      <c r="AM51" s="2817"/>
    </row>
    <row r="52" spans="1:39" ht="75.5" x14ac:dyDescent="0.35">
      <c r="A52" s="789">
        <v>12</v>
      </c>
      <c r="B52" s="515">
        <v>11427</v>
      </c>
      <c r="C52" s="515" t="s">
        <v>2435</v>
      </c>
      <c r="D52" s="2469" t="s">
        <v>6237</v>
      </c>
      <c r="E52" s="288" t="s">
        <v>10234</v>
      </c>
      <c r="F52" s="14" t="s">
        <v>827</v>
      </c>
      <c r="G52" s="14">
        <v>5</v>
      </c>
      <c r="H52" s="92">
        <v>6</v>
      </c>
      <c r="I52" s="297">
        <f t="shared" si="7"/>
        <v>0.6</v>
      </c>
      <c r="J52" s="297">
        <f>SUM(M52:R52)</f>
        <v>0.6</v>
      </c>
      <c r="K52" s="297"/>
      <c r="L52" s="297"/>
      <c r="M52" s="1541"/>
      <c r="N52" s="297"/>
      <c r="O52" s="302"/>
      <c r="P52" s="297"/>
      <c r="Q52" s="932"/>
      <c r="R52" s="925">
        <v>0.6</v>
      </c>
      <c r="S52" s="154"/>
      <c r="T52" s="154"/>
      <c r="U52" s="154"/>
      <c r="V52" s="154"/>
      <c r="W52" s="154"/>
      <c r="X52" s="260"/>
      <c r="Y52" s="164"/>
      <c r="Z52" s="309"/>
      <c r="AB52">
        <v>1</v>
      </c>
      <c r="AE52" s="2461"/>
      <c r="AF52" s="68"/>
      <c r="AK52" s="2815"/>
      <c r="AL52" s="2579"/>
      <c r="AM52" s="2817"/>
    </row>
    <row r="53" spans="1:39" ht="60" x14ac:dyDescent="0.35">
      <c r="A53" s="789">
        <v>13</v>
      </c>
      <c r="B53" s="693">
        <v>11427</v>
      </c>
      <c r="C53" s="693" t="s">
        <v>1656</v>
      </c>
      <c r="D53" s="2469" t="s">
        <v>6238</v>
      </c>
      <c r="E53" s="2187" t="s">
        <v>10235</v>
      </c>
      <c r="F53" s="92" t="s">
        <v>664</v>
      </c>
      <c r="G53" s="92">
        <v>5</v>
      </c>
      <c r="H53" s="92">
        <v>6</v>
      </c>
      <c r="I53" s="2157">
        <f t="shared" si="7"/>
        <v>0.32</v>
      </c>
      <c r="J53" s="2157">
        <f>M53+N53+O53+P53+Q53+R53</f>
        <v>0.32</v>
      </c>
      <c r="K53" s="622"/>
      <c r="L53" s="622"/>
      <c r="M53" s="622"/>
      <c r="N53" s="622"/>
      <c r="O53" s="622"/>
      <c r="P53" s="622"/>
      <c r="Q53" s="622"/>
      <c r="R53" s="906">
        <v>0.32</v>
      </c>
      <c r="S53" s="106"/>
      <c r="T53" s="106"/>
      <c r="U53" s="106"/>
      <c r="V53" s="106"/>
      <c r="W53" s="105"/>
      <c r="X53" s="253"/>
      <c r="Y53" s="105"/>
      <c r="Z53" s="323"/>
      <c r="AB53">
        <v>1</v>
      </c>
      <c r="AE53" s="2461"/>
      <c r="AF53" s="68"/>
      <c r="AK53" s="2818" t="s">
        <v>11236</v>
      </c>
      <c r="AL53" s="2821">
        <f>AL55+AL61+AL67</f>
        <v>263.67200000000003</v>
      </c>
      <c r="AM53" s="2820">
        <f>AL53-J20</f>
        <v>0</v>
      </c>
    </row>
    <row r="54" spans="1:39" ht="30.5" x14ac:dyDescent="0.35">
      <c r="A54" s="789">
        <v>14</v>
      </c>
      <c r="B54" s="515">
        <v>11428</v>
      </c>
      <c r="C54" s="515"/>
      <c r="D54" s="515" t="s">
        <v>2172</v>
      </c>
      <c r="E54" s="288" t="s">
        <v>791</v>
      </c>
      <c r="F54" s="13"/>
      <c r="G54" s="13" t="s">
        <v>191</v>
      </c>
      <c r="H54" s="13" t="s">
        <v>191</v>
      </c>
      <c r="I54" s="297">
        <f t="shared" si="7"/>
        <v>15.36</v>
      </c>
      <c r="J54" s="297">
        <f>SUM(M54:R54)</f>
        <v>15.36</v>
      </c>
      <c r="K54" s="297"/>
      <c r="L54" s="297"/>
      <c r="M54" s="1541"/>
      <c r="N54" s="297">
        <f>SUM(N55:N63)</f>
        <v>3.1100000000000003</v>
      </c>
      <c r="O54" s="302"/>
      <c r="P54" s="297"/>
      <c r="Q54" s="932">
        <f>SUM(Q55:Q63)</f>
        <v>12.090999999999999</v>
      </c>
      <c r="R54" s="925">
        <f>SUM(R55:R63)</f>
        <v>0.15899999999999892</v>
      </c>
      <c r="S54" s="55">
        <v>1</v>
      </c>
      <c r="T54" s="55">
        <v>34.92</v>
      </c>
      <c r="U54" s="154"/>
      <c r="V54" s="154"/>
      <c r="W54" s="1881">
        <v>32</v>
      </c>
      <c r="X54" s="1962">
        <v>442.4</v>
      </c>
      <c r="Y54" s="164">
        <v>17</v>
      </c>
      <c r="Z54" s="309">
        <v>200.3</v>
      </c>
      <c r="AB54">
        <v>1</v>
      </c>
      <c r="AE54" s="2461"/>
      <c r="AF54" s="68"/>
      <c r="AK54" s="2815" t="s">
        <v>11229</v>
      </c>
      <c r="AL54" s="2579"/>
      <c r="AM54" s="2817"/>
    </row>
    <row r="55" spans="1:39" ht="15.5" x14ac:dyDescent="0.35">
      <c r="A55" s="787"/>
      <c r="B55" s="515">
        <v>11428</v>
      </c>
      <c r="C55" s="515"/>
      <c r="D55" s="788"/>
      <c r="E55" s="534" t="s">
        <v>424</v>
      </c>
      <c r="F55" s="337">
        <v>4</v>
      </c>
      <c r="G55" s="337">
        <v>4</v>
      </c>
      <c r="H55" s="337">
        <v>6</v>
      </c>
      <c r="I55" s="488"/>
      <c r="J55" s="488"/>
      <c r="K55" s="488"/>
      <c r="L55" s="488"/>
      <c r="M55" s="488"/>
      <c r="N55" s="488">
        <v>2.25</v>
      </c>
      <c r="O55" s="299"/>
      <c r="P55" s="298"/>
      <c r="Q55" s="933"/>
      <c r="R55" s="927"/>
      <c r="S55" s="1138"/>
      <c r="T55" s="1138"/>
      <c r="U55" s="1944"/>
      <c r="V55" s="1944"/>
      <c r="W55" s="1138"/>
      <c r="X55" s="2074"/>
      <c r="Y55" s="1953"/>
      <c r="Z55" s="509"/>
      <c r="AE55" s="2461"/>
      <c r="AF55" s="68"/>
      <c r="AK55" s="2818" t="s">
        <v>7184</v>
      </c>
      <c r="AL55" s="2821">
        <f>AL56+AL57+AL58+AL59+AL60</f>
        <v>27.443999999999996</v>
      </c>
      <c r="AM55" s="2820">
        <f>AL55-AF31</f>
        <v>0</v>
      </c>
    </row>
    <row r="56" spans="1:39" ht="15.5" x14ac:dyDescent="0.35">
      <c r="A56" s="787"/>
      <c r="B56" s="515">
        <v>11428</v>
      </c>
      <c r="C56" s="515"/>
      <c r="D56" s="788"/>
      <c r="E56" s="289" t="s">
        <v>10853</v>
      </c>
      <c r="F56" s="13">
        <v>4</v>
      </c>
      <c r="G56" s="13">
        <v>4</v>
      </c>
      <c r="H56" s="13">
        <v>6</v>
      </c>
      <c r="I56" s="298"/>
      <c r="J56" s="298"/>
      <c r="K56" s="298"/>
      <c r="L56" s="298"/>
      <c r="M56" s="1542"/>
      <c r="N56" s="298">
        <f>3.04-2.25</f>
        <v>0.79</v>
      </c>
      <c r="O56" s="299"/>
      <c r="P56" s="298"/>
      <c r="Q56" s="933"/>
      <c r="R56" s="927"/>
      <c r="S56" s="1138"/>
      <c r="T56" s="1138"/>
      <c r="U56" s="1944"/>
      <c r="V56" s="1944"/>
      <c r="W56" s="1138"/>
      <c r="X56" s="2074"/>
      <c r="Y56" s="1953"/>
      <c r="Z56" s="509"/>
      <c r="AE56" s="2461"/>
      <c r="AF56" s="68"/>
      <c r="AK56" s="2815" t="s">
        <v>11230</v>
      </c>
      <c r="AL56" s="2579">
        <f>SUMIFS(M30:M949,F30:F949,4,G30:G949,5)</f>
        <v>18.54</v>
      </c>
      <c r="AM56" s="2817"/>
    </row>
    <row r="57" spans="1:39" ht="15.5" x14ac:dyDescent="0.35">
      <c r="A57" s="787"/>
      <c r="B57" s="515">
        <v>11428</v>
      </c>
      <c r="C57" s="515"/>
      <c r="D57" s="788"/>
      <c r="E57" s="837" t="s">
        <v>10854</v>
      </c>
      <c r="F57" s="13">
        <v>4</v>
      </c>
      <c r="G57" s="13">
        <v>4</v>
      </c>
      <c r="H57" s="13">
        <v>6</v>
      </c>
      <c r="I57" s="298"/>
      <c r="J57" s="298"/>
      <c r="K57" s="298"/>
      <c r="L57" s="298"/>
      <c r="M57" s="1542"/>
      <c r="N57" s="298"/>
      <c r="O57" s="299"/>
      <c r="P57" s="298"/>
      <c r="Q57" s="933">
        <f>7.292-3.04</f>
        <v>4.2519999999999998</v>
      </c>
      <c r="R57" s="927"/>
      <c r="S57" s="1138"/>
      <c r="T57" s="1138"/>
      <c r="U57" s="1944"/>
      <c r="V57" s="1944"/>
      <c r="W57" s="1138"/>
      <c r="X57" s="2074"/>
      <c r="Y57" s="1953"/>
      <c r="Z57" s="509"/>
      <c r="AE57" s="2461"/>
      <c r="AF57" s="68"/>
      <c r="AK57" s="2815" t="s">
        <v>11231</v>
      </c>
      <c r="AL57" s="2579">
        <f>SUMIFS(N30:N949,F30:F949,4,G30:G949,5)</f>
        <v>3.1959999999999997</v>
      </c>
      <c r="AM57" s="2817"/>
    </row>
    <row r="58" spans="1:39" ht="15.5" x14ac:dyDescent="0.35">
      <c r="A58" s="787"/>
      <c r="B58" s="515">
        <v>11428</v>
      </c>
      <c r="C58" s="515"/>
      <c r="D58" s="788"/>
      <c r="E58" s="534" t="s">
        <v>10852</v>
      </c>
      <c r="F58" s="13">
        <v>4</v>
      </c>
      <c r="G58" s="13">
        <v>4</v>
      </c>
      <c r="H58" s="13">
        <v>6</v>
      </c>
      <c r="I58" s="298"/>
      <c r="J58" s="298"/>
      <c r="K58" s="298"/>
      <c r="L58" s="298"/>
      <c r="M58" s="1542"/>
      <c r="N58" s="298">
        <f>7.362-7.292</f>
        <v>7.0000000000000284E-2</v>
      </c>
      <c r="O58" s="299"/>
      <c r="P58" s="298"/>
      <c r="Q58" s="933"/>
      <c r="R58" s="927"/>
      <c r="S58" s="1138"/>
      <c r="T58" s="1138"/>
      <c r="U58" s="1944"/>
      <c r="V58" s="1944"/>
      <c r="W58" s="1138"/>
      <c r="X58" s="2074"/>
      <c r="Y58" s="1953"/>
      <c r="Z58" s="509"/>
      <c r="AE58" s="2461"/>
      <c r="AF58" s="68"/>
      <c r="AK58" s="2815" t="s">
        <v>11232</v>
      </c>
      <c r="AL58" s="2579">
        <f>SUMIFS(O30:O949,F30:F949,4,G30:G949,5)</f>
        <v>0</v>
      </c>
      <c r="AM58" s="2817"/>
    </row>
    <row r="59" spans="1:39" s="2726" customFormat="1" ht="15.5" x14ac:dyDescent="0.35">
      <c r="A59" s="787"/>
      <c r="B59" s="515">
        <v>11428</v>
      </c>
      <c r="C59" s="515"/>
      <c r="D59" s="788"/>
      <c r="E59" s="837" t="s">
        <v>10855</v>
      </c>
      <c r="F59" s="13">
        <v>4</v>
      </c>
      <c r="G59" s="13">
        <v>4</v>
      </c>
      <c r="H59" s="13">
        <v>6</v>
      </c>
      <c r="I59" s="298"/>
      <c r="J59" s="298"/>
      <c r="K59" s="298"/>
      <c r="L59" s="298"/>
      <c r="M59" s="1542"/>
      <c r="N59" s="298"/>
      <c r="O59" s="299"/>
      <c r="P59" s="298"/>
      <c r="Q59" s="933">
        <f>11.064-7.362</f>
        <v>3.702</v>
      </c>
      <c r="R59" s="927"/>
      <c r="S59" s="1138"/>
      <c r="T59" s="1138"/>
      <c r="U59" s="1944"/>
      <c r="V59" s="1944"/>
      <c r="W59" s="1138"/>
      <c r="X59" s="2074"/>
      <c r="Y59" s="1953"/>
      <c r="Z59" s="509"/>
      <c r="AE59" s="2461"/>
      <c r="AF59" s="68"/>
      <c r="AK59" s="2815" t="s">
        <v>11233</v>
      </c>
      <c r="AL59" s="2579">
        <f>SUMIFS(P30:P949,F30:F949,4,G30:G949,5)+SUMIFS(Q30:Q949,F30:F949,4,G30:G949,5)</f>
        <v>5.7080000000000002</v>
      </c>
      <c r="AM59" s="2817"/>
    </row>
    <row r="60" spans="1:39" s="2726" customFormat="1" ht="15.5" x14ac:dyDescent="0.35">
      <c r="A60" s="787"/>
      <c r="B60" s="515">
        <v>11428</v>
      </c>
      <c r="C60" s="515"/>
      <c r="D60" s="788"/>
      <c r="E60" s="837" t="s">
        <v>10856</v>
      </c>
      <c r="F60" s="13" t="s">
        <v>827</v>
      </c>
      <c r="G60" s="13">
        <v>4</v>
      </c>
      <c r="H60" s="13">
        <v>6</v>
      </c>
      <c r="I60" s="298"/>
      <c r="J60" s="298"/>
      <c r="K60" s="298"/>
      <c r="L60" s="298"/>
      <c r="M60" s="1542"/>
      <c r="N60" s="298"/>
      <c r="O60" s="299"/>
      <c r="P60" s="298"/>
      <c r="Q60" s="933">
        <f>12.789-11.064</f>
        <v>1.7249999999999996</v>
      </c>
      <c r="R60" s="927"/>
      <c r="S60" s="1138"/>
      <c r="T60" s="1138"/>
      <c r="U60" s="1944"/>
      <c r="V60" s="1944"/>
      <c r="W60" s="1138"/>
      <c r="X60" s="2074"/>
      <c r="Y60" s="1953"/>
      <c r="Z60" s="509"/>
      <c r="AE60" s="2461"/>
      <c r="AF60" s="68"/>
      <c r="AK60" s="2815" t="s">
        <v>910</v>
      </c>
      <c r="AL60" s="2579">
        <f>SUMIFS(R30:R949,F30:F949,4,G30:G949,5)</f>
        <v>0</v>
      </c>
      <c r="AM60" s="2817"/>
    </row>
    <row r="61" spans="1:39" s="2726" customFormat="1" ht="15.5" x14ac:dyDescent="0.35">
      <c r="A61" s="787"/>
      <c r="B61" s="515">
        <v>11428</v>
      </c>
      <c r="C61" s="515"/>
      <c r="D61" s="788"/>
      <c r="E61" s="837" t="s">
        <v>10857</v>
      </c>
      <c r="F61" s="13">
        <v>4</v>
      </c>
      <c r="G61" s="13">
        <v>4</v>
      </c>
      <c r="H61" s="13">
        <v>6</v>
      </c>
      <c r="I61" s="298"/>
      <c r="J61" s="298"/>
      <c r="K61" s="298"/>
      <c r="L61" s="298"/>
      <c r="M61" s="1542"/>
      <c r="N61" s="298"/>
      <c r="O61" s="299"/>
      <c r="P61" s="298"/>
      <c r="Q61" s="933">
        <f>14.206-12.789</f>
        <v>1.4169999999999998</v>
      </c>
      <c r="R61" s="927"/>
      <c r="S61" s="1138"/>
      <c r="T61" s="1138"/>
      <c r="U61" s="1944"/>
      <c r="V61" s="1944"/>
      <c r="W61" s="1138"/>
      <c r="X61" s="2074"/>
      <c r="Y61" s="1953"/>
      <c r="Z61" s="509"/>
      <c r="AE61" s="2461"/>
      <c r="AF61" s="68"/>
      <c r="AK61" s="2818" t="s">
        <v>7185</v>
      </c>
      <c r="AL61" s="2821">
        <f>AL62+AL63+AL64+AL65+AL66</f>
        <v>37.006000000000007</v>
      </c>
      <c r="AM61" s="2820">
        <f>AL61-AG31</f>
        <v>0</v>
      </c>
    </row>
    <row r="62" spans="1:39" s="2730" customFormat="1" ht="15.5" x14ac:dyDescent="0.35">
      <c r="A62" s="787"/>
      <c r="B62" s="515">
        <v>11428</v>
      </c>
      <c r="C62" s="515"/>
      <c r="D62" s="788"/>
      <c r="E62" s="837" t="s">
        <v>10858</v>
      </c>
      <c r="F62" s="13">
        <v>5</v>
      </c>
      <c r="G62" s="13">
        <v>4</v>
      </c>
      <c r="H62" s="13">
        <v>6</v>
      </c>
      <c r="I62" s="298"/>
      <c r="J62" s="298"/>
      <c r="K62" s="298"/>
      <c r="L62" s="298"/>
      <c r="M62" s="1542"/>
      <c r="N62" s="298"/>
      <c r="O62" s="299"/>
      <c r="P62" s="298"/>
      <c r="Q62" s="933">
        <f>15.201-14.206</f>
        <v>0.99500000000000099</v>
      </c>
      <c r="R62" s="927"/>
      <c r="S62" s="1138"/>
      <c r="T62" s="1138"/>
      <c r="U62" s="1944"/>
      <c r="V62" s="1944"/>
      <c r="W62" s="1138"/>
      <c r="X62" s="2074"/>
      <c r="Y62" s="1953"/>
      <c r="Z62" s="509"/>
      <c r="AE62" s="2461"/>
      <c r="AF62" s="68"/>
      <c r="AK62" s="2815" t="s">
        <v>11230</v>
      </c>
      <c r="AL62" s="2579">
        <f>SUMIFS(M30:M949,F30:F949,5,G30:G949,5)</f>
        <v>1.19</v>
      </c>
      <c r="AM62" s="2817"/>
    </row>
    <row r="63" spans="1:39" ht="15.5" x14ac:dyDescent="0.35">
      <c r="A63" s="787"/>
      <c r="B63" s="515">
        <v>11428</v>
      </c>
      <c r="C63" s="515"/>
      <c r="D63" s="788"/>
      <c r="E63" s="838" t="s">
        <v>10859</v>
      </c>
      <c r="F63" s="13">
        <v>5</v>
      </c>
      <c r="G63" s="13">
        <v>4</v>
      </c>
      <c r="H63" s="92">
        <v>6</v>
      </c>
      <c r="I63" s="298"/>
      <c r="J63" s="298"/>
      <c r="K63" s="298"/>
      <c r="L63" s="298"/>
      <c r="M63" s="1542"/>
      <c r="N63" s="298"/>
      <c r="O63" s="299"/>
      <c r="P63" s="298"/>
      <c r="Q63" s="933"/>
      <c r="R63" s="927">
        <f>15.36-15.201</f>
        <v>0.15899999999999892</v>
      </c>
      <c r="S63" s="1138"/>
      <c r="T63" s="1138"/>
      <c r="U63" s="1944"/>
      <c r="V63" s="1944"/>
      <c r="W63" s="1138"/>
      <c r="X63" s="2074"/>
      <c r="Y63" s="1953"/>
      <c r="Z63" s="509"/>
      <c r="AE63" s="2461"/>
      <c r="AF63" s="68"/>
      <c r="AK63" s="2815" t="s">
        <v>11231</v>
      </c>
      <c r="AL63" s="2579">
        <f>SUMIFS(N30:N949,F30:F949,5,G30:G949,5)</f>
        <v>10.115999999999998</v>
      </c>
      <c r="AM63" s="2817"/>
    </row>
    <row r="64" spans="1:39" ht="45" x14ac:dyDescent="0.35">
      <c r="A64" s="525">
        <v>15</v>
      </c>
      <c r="B64" s="693">
        <v>11428</v>
      </c>
      <c r="C64" s="693" t="s">
        <v>1656</v>
      </c>
      <c r="D64" s="2469" t="s">
        <v>6239</v>
      </c>
      <c r="E64" s="2187" t="s">
        <v>8983</v>
      </c>
      <c r="F64" s="92" t="s">
        <v>664</v>
      </c>
      <c r="G64" s="92">
        <v>5</v>
      </c>
      <c r="H64" s="92">
        <v>6</v>
      </c>
      <c r="I64" s="2157">
        <f>J64+K64+L64</f>
        <v>0.13</v>
      </c>
      <c r="J64" s="2157">
        <f>M64+N64+O64+P64+Q64+R64</f>
        <v>0.13</v>
      </c>
      <c r="K64" s="622"/>
      <c r="L64" s="622"/>
      <c r="M64" s="622"/>
      <c r="N64" s="622"/>
      <c r="O64" s="622"/>
      <c r="P64" s="622"/>
      <c r="Q64" s="622"/>
      <c r="R64" s="906">
        <v>0.13</v>
      </c>
      <c r="S64" s="106"/>
      <c r="T64" s="106"/>
      <c r="U64" s="106"/>
      <c r="V64" s="106"/>
      <c r="W64" s="105"/>
      <c r="X64" s="253"/>
      <c r="Y64" s="105"/>
      <c r="Z64" s="323"/>
      <c r="AB64">
        <v>1</v>
      </c>
      <c r="AE64" s="2461"/>
      <c r="AF64" s="68"/>
      <c r="AK64" s="2815" t="s">
        <v>11232</v>
      </c>
      <c r="AL64" s="2579">
        <f>SUMIFS(O30:O949,F30:F949,5,G30:G949,5)</f>
        <v>0</v>
      </c>
      <c r="AM64" s="2817"/>
    </row>
    <row r="65" spans="1:39" ht="45" x14ac:dyDescent="0.35">
      <c r="A65" s="525">
        <v>16</v>
      </c>
      <c r="B65" s="693">
        <v>11428</v>
      </c>
      <c r="C65" s="693" t="s">
        <v>1656</v>
      </c>
      <c r="D65" s="2469" t="s">
        <v>6240</v>
      </c>
      <c r="E65" s="2187" t="s">
        <v>8984</v>
      </c>
      <c r="F65" s="92" t="s">
        <v>664</v>
      </c>
      <c r="G65" s="92">
        <v>5</v>
      </c>
      <c r="H65" s="92">
        <v>6</v>
      </c>
      <c r="I65" s="2157">
        <f>J65+K65+L65</f>
        <v>0.15</v>
      </c>
      <c r="J65" s="2157">
        <f>M65+N65+O65+P65+Q65+R65</f>
        <v>0.15</v>
      </c>
      <c r="K65" s="622"/>
      <c r="L65" s="622"/>
      <c r="M65" s="622"/>
      <c r="N65" s="622"/>
      <c r="O65" s="622"/>
      <c r="P65" s="622"/>
      <c r="Q65" s="622"/>
      <c r="R65" s="906">
        <v>0.15</v>
      </c>
      <c r="S65" s="106"/>
      <c r="T65" s="106"/>
      <c r="U65" s="106"/>
      <c r="V65" s="106"/>
      <c r="W65" s="105"/>
      <c r="X65" s="253"/>
      <c r="Y65" s="105"/>
      <c r="Z65" s="323"/>
      <c r="AB65">
        <v>1</v>
      </c>
      <c r="AE65" s="2461"/>
      <c r="AF65" s="68"/>
      <c r="AK65" s="2815" t="s">
        <v>11233</v>
      </c>
      <c r="AL65" s="2579">
        <f>SUMIFS(P30:P949,F30:F949,5,G30:G949,5)+SUMIFS(Q30:Q949,F30:F949,5,G30:G949,5)</f>
        <v>22.930000000000003</v>
      </c>
      <c r="AM65" s="2817"/>
    </row>
    <row r="66" spans="1:39" ht="45" x14ac:dyDescent="0.35">
      <c r="A66" s="525">
        <v>17</v>
      </c>
      <c r="B66" s="693">
        <v>11428</v>
      </c>
      <c r="C66" s="693" t="s">
        <v>1656</v>
      </c>
      <c r="D66" s="2469" t="s">
        <v>6241</v>
      </c>
      <c r="E66" s="2187" t="s">
        <v>8985</v>
      </c>
      <c r="F66" s="92" t="s">
        <v>664</v>
      </c>
      <c r="G66" s="92">
        <v>5</v>
      </c>
      <c r="H66" s="92">
        <v>6</v>
      </c>
      <c r="I66" s="2157">
        <f>J66+K66+L66</f>
        <v>0.4</v>
      </c>
      <c r="J66" s="2157">
        <f>M66+N66+O66+P66+Q66+R66</f>
        <v>0.4</v>
      </c>
      <c r="K66" s="622"/>
      <c r="L66" s="622"/>
      <c r="M66" s="622"/>
      <c r="N66" s="622"/>
      <c r="O66" s="622"/>
      <c r="P66" s="622"/>
      <c r="Q66" s="622"/>
      <c r="R66" s="906">
        <v>0.4</v>
      </c>
      <c r="S66" s="106"/>
      <c r="T66" s="106"/>
      <c r="U66" s="106"/>
      <c r="V66" s="106"/>
      <c r="W66" s="105"/>
      <c r="X66" s="253"/>
      <c r="Y66" s="105"/>
      <c r="Z66" s="323"/>
      <c r="AB66">
        <v>1</v>
      </c>
      <c r="AE66" s="2461"/>
      <c r="AF66" s="68"/>
      <c r="AK66" s="2815" t="s">
        <v>910</v>
      </c>
      <c r="AL66" s="2579">
        <f>SUMIFS(R30:R949,F30:F949,5,G30:G949,5)</f>
        <v>2.77</v>
      </c>
      <c r="AM66" s="2817"/>
    </row>
    <row r="67" spans="1:39" ht="45" x14ac:dyDescent="0.35">
      <c r="A67" s="525">
        <v>18</v>
      </c>
      <c r="B67" s="693">
        <v>11428</v>
      </c>
      <c r="C67" s="693" t="s">
        <v>1656</v>
      </c>
      <c r="D67" s="2469" t="s">
        <v>6242</v>
      </c>
      <c r="E67" s="2187" t="s">
        <v>8986</v>
      </c>
      <c r="F67" s="92" t="s">
        <v>664</v>
      </c>
      <c r="G67" s="92">
        <v>5</v>
      </c>
      <c r="H67" s="92">
        <v>6</v>
      </c>
      <c r="I67" s="2157">
        <f>J67+K67+L67</f>
        <v>0.5</v>
      </c>
      <c r="J67" s="2157">
        <f>M67+N67+O67+P67+Q67+R67</f>
        <v>0.5</v>
      </c>
      <c r="K67" s="622"/>
      <c r="L67" s="622"/>
      <c r="M67" s="622"/>
      <c r="N67" s="622"/>
      <c r="O67" s="622"/>
      <c r="P67" s="622"/>
      <c r="Q67" s="622"/>
      <c r="R67" s="906">
        <v>0.5</v>
      </c>
      <c r="S67" s="106"/>
      <c r="T67" s="106"/>
      <c r="U67" s="106"/>
      <c r="V67" s="106"/>
      <c r="W67" s="105"/>
      <c r="X67" s="253"/>
      <c r="Y67" s="105"/>
      <c r="Z67" s="323"/>
      <c r="AB67">
        <v>1</v>
      </c>
      <c r="AE67" s="2461"/>
      <c r="AF67" s="68"/>
      <c r="AK67" s="2818" t="s">
        <v>11234</v>
      </c>
      <c r="AL67" s="2821">
        <f>AL68+AL69+AL70+AL71+AL72</f>
        <v>199.22200000000004</v>
      </c>
      <c r="AM67" s="2820">
        <f>AL67-AH31-AI31-AJ31</f>
        <v>0</v>
      </c>
    </row>
    <row r="68" spans="1:39" ht="45.5" x14ac:dyDescent="0.35">
      <c r="A68" s="525">
        <v>19</v>
      </c>
      <c r="B68" s="515">
        <v>11429</v>
      </c>
      <c r="C68" s="515"/>
      <c r="D68" s="515" t="s">
        <v>2173</v>
      </c>
      <c r="E68" s="288" t="s">
        <v>10236</v>
      </c>
      <c r="F68" s="13"/>
      <c r="G68" s="13" t="s">
        <v>191</v>
      </c>
      <c r="H68" s="13" t="s">
        <v>191</v>
      </c>
      <c r="I68" s="297">
        <f>J68+K68+L68</f>
        <v>11.67</v>
      </c>
      <c r="J68" s="297">
        <f>SUM(M68:R68)</f>
        <v>11.67</v>
      </c>
      <c r="K68" s="297"/>
      <c r="L68" s="297"/>
      <c r="M68" s="1541">
        <f>SUM(M69:M73)</f>
        <v>6.1</v>
      </c>
      <c r="N68" s="297">
        <f>SUM(N69:N73)</f>
        <v>0.84</v>
      </c>
      <c r="O68" s="302"/>
      <c r="P68" s="297"/>
      <c r="Q68" s="932">
        <f>SUM(Q69:Q73)</f>
        <v>4.7300000000000004</v>
      </c>
      <c r="R68" s="925"/>
      <c r="S68" s="55">
        <v>1</v>
      </c>
      <c r="T68" s="55">
        <v>127.45</v>
      </c>
      <c r="U68" s="154"/>
      <c r="V68" s="154"/>
      <c r="W68" s="1881">
        <v>16</v>
      </c>
      <c r="X68" s="1962">
        <v>242</v>
      </c>
      <c r="Y68" s="164"/>
      <c r="Z68" s="309"/>
      <c r="AB68">
        <v>1</v>
      </c>
      <c r="AE68" s="2461"/>
      <c r="AF68" s="68"/>
      <c r="AK68" s="2815" t="s">
        <v>11230</v>
      </c>
      <c r="AL68" s="2579">
        <f>SUMIFS(M30:M949,F30:F949,"6а",G30:G949,5)+SUMIFS(M30:M949,F30:F949,"6б",G30:G949,5)+SUMIFS(M30:M949,F30:F949,"б/к",G30:G949,5)</f>
        <v>0</v>
      </c>
      <c r="AM68" s="2817"/>
    </row>
    <row r="69" spans="1:39" ht="15.5" x14ac:dyDescent="0.35">
      <c r="A69" s="787"/>
      <c r="B69" s="515">
        <v>11429</v>
      </c>
      <c r="C69" s="515"/>
      <c r="D69" s="788"/>
      <c r="E69" s="979" t="s">
        <v>811</v>
      </c>
      <c r="F69" s="13">
        <v>5</v>
      </c>
      <c r="G69" s="13">
        <v>4</v>
      </c>
      <c r="H69" s="13">
        <v>10</v>
      </c>
      <c r="I69" s="298"/>
      <c r="J69" s="298"/>
      <c r="K69" s="298"/>
      <c r="L69" s="298"/>
      <c r="M69" s="1542">
        <v>6.1</v>
      </c>
      <c r="N69" s="298"/>
      <c r="O69" s="299"/>
      <c r="P69" s="298"/>
      <c r="Q69" s="933"/>
      <c r="R69" s="927"/>
      <c r="S69" s="1138"/>
      <c r="T69" s="1138"/>
      <c r="U69" s="1944"/>
      <c r="V69" s="1944"/>
      <c r="W69" s="1138"/>
      <c r="X69" s="2074"/>
      <c r="Y69" s="1953"/>
      <c r="Z69" s="509"/>
      <c r="AE69" s="2461"/>
      <c r="AF69" s="68"/>
      <c r="AK69" s="2815" t="s">
        <v>11231</v>
      </c>
      <c r="AL69" s="2579">
        <f>SUMIFS(N30:N949,F30:F949,"6а",G30:G949,5)+SUMIFS(N30:N949,F30:F949,"6б",G30:G949,5)+SUMIFS(N30:N949,F30:F949,"б/к",G30:G949,5)</f>
        <v>1.3700000000000003</v>
      </c>
      <c r="AM69" s="2817"/>
    </row>
    <row r="70" spans="1:39" ht="15.5" x14ac:dyDescent="0.35">
      <c r="A70" s="787"/>
      <c r="B70" s="515">
        <v>11429</v>
      </c>
      <c r="C70" s="515"/>
      <c r="D70" s="788"/>
      <c r="E70" s="289" t="s">
        <v>1791</v>
      </c>
      <c r="F70" s="13">
        <v>5</v>
      </c>
      <c r="G70" s="13">
        <v>4</v>
      </c>
      <c r="H70" s="13">
        <v>6</v>
      </c>
      <c r="I70" s="298"/>
      <c r="J70" s="298"/>
      <c r="K70" s="298"/>
      <c r="L70" s="298"/>
      <c r="M70" s="1542"/>
      <c r="N70" s="298">
        <v>0.7</v>
      </c>
      <c r="O70" s="299"/>
      <c r="P70" s="298"/>
      <c r="Q70" s="933"/>
      <c r="R70" s="927"/>
      <c r="S70" s="1138"/>
      <c r="T70" s="1138"/>
      <c r="U70" s="1944"/>
      <c r="V70" s="1944"/>
      <c r="W70" s="1138"/>
      <c r="X70" s="2074"/>
      <c r="Y70" s="1953"/>
      <c r="Z70" s="509"/>
      <c r="AE70" s="2461"/>
      <c r="AF70" s="68"/>
      <c r="AK70" s="2815" t="s">
        <v>11232</v>
      </c>
      <c r="AL70" s="2579">
        <f>SUMIFS(O30:O949,F30:F949,"6а",G30:G949,5)+SUMIFS(O30:O949,F30:F949,"6б",G30:G949,5)+SUMIFS(O30:O949,F30:F949,"б/к",G30:G949,5)</f>
        <v>0</v>
      </c>
      <c r="AM70" s="2817"/>
    </row>
    <row r="71" spans="1:39" ht="15.5" x14ac:dyDescent="0.35">
      <c r="A71" s="787"/>
      <c r="B71" s="515">
        <v>11429</v>
      </c>
      <c r="C71" s="515"/>
      <c r="D71" s="788"/>
      <c r="E71" s="837" t="s">
        <v>1792</v>
      </c>
      <c r="F71" s="13">
        <v>5</v>
      </c>
      <c r="G71" s="13">
        <v>4</v>
      </c>
      <c r="H71" s="13">
        <v>6</v>
      </c>
      <c r="I71" s="298"/>
      <c r="J71" s="298"/>
      <c r="K71" s="298"/>
      <c r="L71" s="298"/>
      <c r="M71" s="1542"/>
      <c r="N71" s="298"/>
      <c r="O71" s="299"/>
      <c r="P71" s="298"/>
      <c r="Q71" s="933">
        <v>1.94</v>
      </c>
      <c r="R71" s="927"/>
      <c r="S71" s="1138"/>
      <c r="T71" s="1138"/>
      <c r="U71" s="1944"/>
      <c r="V71" s="1944"/>
      <c r="W71" s="1138"/>
      <c r="X71" s="2074"/>
      <c r="Y71" s="1953"/>
      <c r="Z71" s="509"/>
      <c r="AE71" s="2461"/>
      <c r="AF71" s="68"/>
      <c r="AK71" s="2815" t="s">
        <v>11233</v>
      </c>
      <c r="AL71" s="2579">
        <f>SUMIFS(P30:P949,F30:F949,"6а",G30:G949,5)+SUMIFS(Q30:Q949,F30:F949,"6а",G30:G949,5)+SUMIFS(P30:P949,F30:F949,"6б",G30:G949,5)+SUMIFS(Q30:Q949,F30:F949,"6б",G30:G949,5)+SUMIFS(P30:P949,F30:F949,"б/к",G30:G949,5)+SUMIFS(Q30:Q949,F30:F949,"б/к",G30:G949,5)</f>
        <v>8.0659999999999989</v>
      </c>
      <c r="AM71" s="2817"/>
    </row>
    <row r="72" spans="1:39" ht="15.5" x14ac:dyDescent="0.35">
      <c r="A72" s="787"/>
      <c r="B72" s="515">
        <v>11429</v>
      </c>
      <c r="C72" s="515"/>
      <c r="D72" s="788"/>
      <c r="E72" s="534" t="s">
        <v>1793</v>
      </c>
      <c r="F72" s="13">
        <v>5</v>
      </c>
      <c r="G72" s="13">
        <v>4</v>
      </c>
      <c r="H72" s="13">
        <v>6</v>
      </c>
      <c r="I72" s="298"/>
      <c r="J72" s="298"/>
      <c r="K72" s="298"/>
      <c r="L72" s="298"/>
      <c r="M72" s="1542"/>
      <c r="N72" s="298">
        <v>0.14000000000000001</v>
      </c>
      <c r="O72" s="299"/>
      <c r="P72" s="298"/>
      <c r="Q72" s="933"/>
      <c r="R72" s="927"/>
      <c r="S72" s="1138"/>
      <c r="T72" s="1138"/>
      <c r="U72" s="1944"/>
      <c r="V72" s="1944"/>
      <c r="W72" s="1138"/>
      <c r="X72" s="2074"/>
      <c r="Y72" s="1953"/>
      <c r="Z72" s="509"/>
      <c r="AE72" s="2461"/>
      <c r="AF72" s="68"/>
      <c r="AK72" s="2815" t="s">
        <v>910</v>
      </c>
      <c r="AL72" s="2579">
        <f>SUMIFS(R30:R949,F30:F949,"6а",G30:G949,5)+SUMIFS(R30:R949,F30:F949,"6б",G30:G949,5)+SUMIFS(R30:R949,F30:F949,"б/к",G30:G949,5)</f>
        <v>189.78600000000003</v>
      </c>
      <c r="AM72" s="2817"/>
    </row>
    <row r="73" spans="1:39" ht="15.5" x14ac:dyDescent="0.35">
      <c r="A73" s="787"/>
      <c r="B73" s="515">
        <v>11429</v>
      </c>
      <c r="C73" s="515"/>
      <c r="D73" s="788"/>
      <c r="E73" s="837" t="s">
        <v>2294</v>
      </c>
      <c r="F73" s="13">
        <v>5</v>
      </c>
      <c r="G73" s="13">
        <v>4</v>
      </c>
      <c r="H73" s="13">
        <v>6</v>
      </c>
      <c r="I73" s="298"/>
      <c r="J73" s="298"/>
      <c r="K73" s="298"/>
      <c r="L73" s="298"/>
      <c r="M73" s="1542"/>
      <c r="N73" s="298"/>
      <c r="O73" s="299"/>
      <c r="P73" s="298"/>
      <c r="Q73" s="933">
        <v>2.79</v>
      </c>
      <c r="R73" s="927"/>
      <c r="S73" s="1138"/>
      <c r="T73" s="1138"/>
      <c r="U73" s="1944"/>
      <c r="V73" s="1944"/>
      <c r="W73" s="1138"/>
      <c r="X73" s="2074"/>
      <c r="Y73" s="1953"/>
      <c r="Z73" s="509"/>
      <c r="AE73" s="2461"/>
      <c r="AF73" s="68"/>
      <c r="AK73" s="2815"/>
      <c r="AL73" s="2579"/>
      <c r="AM73" s="2817"/>
    </row>
    <row r="74" spans="1:39" ht="60.5" x14ac:dyDescent="0.35">
      <c r="A74" s="789">
        <v>20</v>
      </c>
      <c r="B74" s="1162">
        <v>11429</v>
      </c>
      <c r="C74" s="1162"/>
      <c r="D74" s="2469" t="s">
        <v>6243</v>
      </c>
      <c r="E74" s="288" t="s">
        <v>10237</v>
      </c>
      <c r="F74" s="13" t="s">
        <v>664</v>
      </c>
      <c r="G74" s="13">
        <v>5</v>
      </c>
      <c r="H74" s="92">
        <v>6</v>
      </c>
      <c r="I74" s="297">
        <f t="shared" ref="I74:I79" si="8">J74+K74+L74</f>
        <v>2.8</v>
      </c>
      <c r="J74" s="297">
        <f>SUM(M74:R74)</f>
        <v>2.8</v>
      </c>
      <c r="K74" s="489"/>
      <c r="L74" s="489"/>
      <c r="M74" s="1543"/>
      <c r="N74" s="489"/>
      <c r="O74" s="491"/>
      <c r="P74" s="489"/>
      <c r="Q74" s="932"/>
      <c r="R74" s="929">
        <v>2.8</v>
      </c>
      <c r="S74" s="154"/>
      <c r="T74" s="154"/>
      <c r="U74" s="154"/>
      <c r="V74" s="154"/>
      <c r="W74" s="55"/>
      <c r="X74" s="1962"/>
      <c r="Y74" s="164"/>
      <c r="Z74" s="309"/>
      <c r="AB74">
        <v>1</v>
      </c>
      <c r="AE74" s="2461"/>
      <c r="AF74" s="68"/>
      <c r="AK74" s="2822" t="s">
        <v>11237</v>
      </c>
      <c r="AL74" s="2823">
        <f>AL11+AL32+AL53</f>
        <v>564.94000000000005</v>
      </c>
      <c r="AM74" s="2824">
        <f>AL74-J10</f>
        <v>0</v>
      </c>
    </row>
    <row r="75" spans="1:39" ht="60.5" x14ac:dyDescent="0.35">
      <c r="A75" s="294">
        <v>21</v>
      </c>
      <c r="B75" s="515">
        <v>11429</v>
      </c>
      <c r="C75" s="515"/>
      <c r="D75" s="2469" t="s">
        <v>6244</v>
      </c>
      <c r="E75" s="288" t="s">
        <v>10238</v>
      </c>
      <c r="F75" s="13">
        <v>5</v>
      </c>
      <c r="G75" s="13">
        <v>4</v>
      </c>
      <c r="H75" s="13">
        <v>6</v>
      </c>
      <c r="I75" s="297">
        <f t="shared" si="8"/>
        <v>0.86</v>
      </c>
      <c r="J75" s="297">
        <f>SUM(M75:R75)</f>
        <v>0.86</v>
      </c>
      <c r="K75" s="297"/>
      <c r="L75" s="297"/>
      <c r="M75" s="1541"/>
      <c r="N75" s="297"/>
      <c r="O75" s="302"/>
      <c r="P75" s="297"/>
      <c r="Q75" s="932">
        <v>0.86</v>
      </c>
      <c r="R75" s="925"/>
      <c r="S75" s="154"/>
      <c r="T75" s="154"/>
      <c r="U75" s="154"/>
      <c r="V75" s="154"/>
      <c r="W75" s="1881">
        <v>3</v>
      </c>
      <c r="X75" s="1962">
        <v>35.799999237060547</v>
      </c>
      <c r="Y75" s="164">
        <v>1</v>
      </c>
      <c r="Z75" s="309">
        <v>15</v>
      </c>
      <c r="AB75">
        <v>1</v>
      </c>
      <c r="AE75" s="2461"/>
      <c r="AF75" s="68"/>
      <c r="AK75" s="2825" t="s">
        <v>11238</v>
      </c>
      <c r="AL75" s="2826">
        <f>AL34+AL55+AL13</f>
        <v>222.66299999999998</v>
      </c>
      <c r="AM75" s="2827">
        <f>AL75-J12</f>
        <v>0</v>
      </c>
    </row>
    <row r="76" spans="1:39" ht="75.5" x14ac:dyDescent="0.35">
      <c r="A76" s="789">
        <v>22</v>
      </c>
      <c r="B76" s="515">
        <v>11429</v>
      </c>
      <c r="C76" s="358" t="s">
        <v>1656</v>
      </c>
      <c r="D76" s="2469" t="s">
        <v>6245</v>
      </c>
      <c r="E76" s="511" t="s">
        <v>10239</v>
      </c>
      <c r="F76" s="1138" t="s">
        <v>664</v>
      </c>
      <c r="G76" s="2289">
        <v>5</v>
      </c>
      <c r="H76" s="92">
        <v>6</v>
      </c>
      <c r="I76" s="297">
        <f t="shared" si="8"/>
        <v>0.6</v>
      </c>
      <c r="J76" s="297">
        <f>SUM(M76:R76)</f>
        <v>0.6</v>
      </c>
      <c r="K76" s="298"/>
      <c r="L76" s="298"/>
      <c r="M76" s="1542"/>
      <c r="N76" s="298"/>
      <c r="O76" s="299"/>
      <c r="P76" s="298"/>
      <c r="Q76" s="933"/>
      <c r="R76" s="927">
        <v>0.6</v>
      </c>
      <c r="S76" s="1138"/>
      <c r="T76" s="1138"/>
      <c r="U76" s="1944"/>
      <c r="V76" s="1944"/>
      <c r="W76" s="1138"/>
      <c r="X76" s="2074"/>
      <c r="Y76" s="1953"/>
      <c r="Z76" s="509"/>
      <c r="AB76">
        <v>1</v>
      </c>
      <c r="AE76" s="2461"/>
      <c r="AF76" s="68"/>
      <c r="AK76" s="2828" t="s">
        <v>11239</v>
      </c>
      <c r="AL76" s="2826">
        <f>AL19+AL40+AL61</f>
        <v>136.47500000000002</v>
      </c>
      <c r="AM76" s="2827">
        <f>AL76-J13</f>
        <v>0</v>
      </c>
    </row>
    <row r="77" spans="1:39" ht="75" x14ac:dyDescent="0.35">
      <c r="A77" s="294">
        <v>23</v>
      </c>
      <c r="B77" s="693">
        <v>11429</v>
      </c>
      <c r="C77" s="693" t="s">
        <v>1656</v>
      </c>
      <c r="D77" s="2469" t="s">
        <v>6246</v>
      </c>
      <c r="E77" s="2187" t="s">
        <v>10240</v>
      </c>
      <c r="F77" s="92" t="s">
        <v>664</v>
      </c>
      <c r="G77" s="92">
        <v>5</v>
      </c>
      <c r="H77" s="92">
        <v>6</v>
      </c>
      <c r="I77" s="2157">
        <f t="shared" si="8"/>
        <v>0.72</v>
      </c>
      <c r="J77" s="2157">
        <f>M77+N77+O77+P77+Q77+R77</f>
        <v>0.72</v>
      </c>
      <c r="K77" s="622"/>
      <c r="L77" s="622"/>
      <c r="M77" s="622"/>
      <c r="N77" s="622"/>
      <c r="O77" s="622"/>
      <c r="P77" s="622"/>
      <c r="Q77" s="622"/>
      <c r="R77" s="906">
        <v>0.72</v>
      </c>
      <c r="S77" s="106"/>
      <c r="T77" s="106"/>
      <c r="U77" s="106"/>
      <c r="V77" s="106"/>
      <c r="W77" s="105"/>
      <c r="X77" s="253"/>
      <c r="Y77" s="105"/>
      <c r="Z77" s="323"/>
      <c r="AB77">
        <v>1</v>
      </c>
      <c r="AE77" s="2461"/>
      <c r="AF77" s="68"/>
      <c r="AK77" s="2828" t="s">
        <v>11240</v>
      </c>
      <c r="AL77" s="2826">
        <f>AL25+AL46+AL67</f>
        <v>205.80200000000005</v>
      </c>
      <c r="AM77" s="2827">
        <f>AL77-J14</f>
        <v>0</v>
      </c>
    </row>
    <row r="78" spans="1:39" ht="60" x14ac:dyDescent="0.35">
      <c r="A78" s="789">
        <v>24</v>
      </c>
      <c r="B78" s="693" t="s">
        <v>981</v>
      </c>
      <c r="C78" s="358" t="s">
        <v>1656</v>
      </c>
      <c r="D78" s="2469" t="s">
        <v>6402</v>
      </c>
      <c r="E78" s="2187" t="s">
        <v>10241</v>
      </c>
      <c r="F78" s="92" t="s">
        <v>664</v>
      </c>
      <c r="G78" s="2289">
        <v>5</v>
      </c>
      <c r="H78" s="92">
        <v>6</v>
      </c>
      <c r="I78" s="297">
        <f t="shared" si="8"/>
        <v>0.3</v>
      </c>
      <c r="J78" s="297">
        <f>SUM(M78:R78)</f>
        <v>0.3</v>
      </c>
      <c r="K78" s="622"/>
      <c r="L78" s="622"/>
      <c r="M78" s="622"/>
      <c r="N78" s="622"/>
      <c r="O78" s="622"/>
      <c r="P78" s="622"/>
      <c r="Q78" s="622"/>
      <c r="R78" s="906">
        <v>0.3</v>
      </c>
      <c r="S78" s="106"/>
      <c r="T78" s="106"/>
      <c r="U78" s="106"/>
      <c r="V78" s="106"/>
      <c r="W78" s="105"/>
      <c r="X78" s="253"/>
      <c r="Y78" s="105"/>
      <c r="Z78" s="323"/>
      <c r="AB78">
        <v>1</v>
      </c>
      <c r="AE78" s="2461"/>
      <c r="AF78" s="68"/>
    </row>
    <row r="79" spans="1:39" ht="15.5" x14ac:dyDescent="0.35">
      <c r="A79" s="294">
        <v>25</v>
      </c>
      <c r="B79" s="515">
        <v>11430</v>
      </c>
      <c r="C79" s="515"/>
      <c r="D79" s="515" t="s">
        <v>2174</v>
      </c>
      <c r="E79" s="511" t="s">
        <v>11163</v>
      </c>
      <c r="F79" s="13"/>
      <c r="G79" s="13" t="s">
        <v>191</v>
      </c>
      <c r="H79" s="13" t="s">
        <v>191</v>
      </c>
      <c r="I79" s="297">
        <f t="shared" si="8"/>
        <v>19.818999999999999</v>
      </c>
      <c r="J79" s="297">
        <f>SUM(M79:R79)</f>
        <v>19.794</v>
      </c>
      <c r="K79" s="297"/>
      <c r="L79" s="297">
        <f>SUM(L80:L84)</f>
        <v>2.4999999999998579E-2</v>
      </c>
      <c r="M79" s="1541">
        <f>SUM(M80:M84)</f>
        <v>7.73</v>
      </c>
      <c r="N79" s="297">
        <f>SUM(N80:N84)</f>
        <v>1.4890000000000001</v>
      </c>
      <c r="O79" s="302"/>
      <c r="P79" s="297"/>
      <c r="Q79" s="932">
        <f>SUM(Q80:Q84)</f>
        <v>10.574999999999999</v>
      </c>
      <c r="R79" s="925"/>
      <c r="S79" s="55">
        <v>1</v>
      </c>
      <c r="T79" s="55">
        <v>106.2</v>
      </c>
      <c r="U79" s="154"/>
      <c r="V79" s="154"/>
      <c r="W79" s="1881">
        <v>31</v>
      </c>
      <c r="X79" s="1962">
        <v>444.6</v>
      </c>
      <c r="Y79" s="164">
        <v>7</v>
      </c>
      <c r="Z79" s="309">
        <v>70</v>
      </c>
      <c r="AB79">
        <v>1</v>
      </c>
      <c r="AE79" s="2461"/>
      <c r="AF79" s="68"/>
    </row>
    <row r="80" spans="1:39" s="2770" customFormat="1" ht="15.5" x14ac:dyDescent="0.35">
      <c r="A80" s="294"/>
      <c r="B80" s="515"/>
      <c r="C80" s="515"/>
      <c r="D80" s="515"/>
      <c r="E80" s="459" t="s">
        <v>3415</v>
      </c>
      <c r="F80" s="13">
        <v>4</v>
      </c>
      <c r="G80" s="13">
        <v>4</v>
      </c>
      <c r="H80" s="13">
        <v>6</v>
      </c>
      <c r="I80" s="298"/>
      <c r="J80" s="298"/>
      <c r="K80" s="298"/>
      <c r="L80" s="298"/>
      <c r="M80" s="2702"/>
      <c r="N80" s="487">
        <v>1.4999999999999999E-2</v>
      </c>
      <c r="O80" s="299"/>
      <c r="P80" s="298"/>
      <c r="Q80" s="1836"/>
      <c r="R80" s="2049"/>
      <c r="S80" s="55"/>
      <c r="T80" s="55"/>
      <c r="U80" s="154"/>
      <c r="V80" s="154"/>
      <c r="W80" s="2445"/>
      <c r="X80" s="2446"/>
      <c r="Y80" s="2447"/>
      <c r="Z80" s="2448"/>
      <c r="AE80" s="2461"/>
      <c r="AF80" s="68"/>
    </row>
    <row r="81" spans="1:32" ht="15.5" x14ac:dyDescent="0.35">
      <c r="A81" s="787"/>
      <c r="B81" s="515">
        <v>11430</v>
      </c>
      <c r="C81" s="515"/>
      <c r="D81" s="788"/>
      <c r="E81" s="837" t="s">
        <v>11074</v>
      </c>
      <c r="F81" s="13">
        <v>4</v>
      </c>
      <c r="G81" s="13">
        <v>4</v>
      </c>
      <c r="H81" s="13">
        <v>6</v>
      </c>
      <c r="I81" s="298"/>
      <c r="J81" s="298"/>
      <c r="K81" s="298"/>
      <c r="L81" s="298"/>
      <c r="M81" s="2702"/>
      <c r="N81" s="298"/>
      <c r="O81" s="299"/>
      <c r="P81" s="298"/>
      <c r="Q81" s="1836">
        <f>10.59-0.015</f>
        <v>10.574999999999999</v>
      </c>
      <c r="R81" s="2049"/>
      <c r="S81" s="1138"/>
      <c r="T81" s="1138"/>
      <c r="U81" s="1944"/>
      <c r="V81" s="1944"/>
      <c r="W81" s="1138"/>
      <c r="X81" s="2074"/>
      <c r="Y81" s="1953"/>
      <c r="Z81" s="509"/>
      <c r="AE81" s="2461"/>
      <c r="AF81" s="68"/>
    </row>
    <row r="82" spans="1:32" ht="15.5" x14ac:dyDescent="0.35">
      <c r="A82" s="787"/>
      <c r="B82" s="515">
        <v>11430</v>
      </c>
      <c r="C82" s="515"/>
      <c r="D82" s="788"/>
      <c r="E82" s="979" t="s">
        <v>11075</v>
      </c>
      <c r="F82" s="13">
        <v>4</v>
      </c>
      <c r="G82" s="13">
        <v>4</v>
      </c>
      <c r="H82" s="13">
        <v>10</v>
      </c>
      <c r="I82" s="298"/>
      <c r="J82" s="298"/>
      <c r="K82" s="298"/>
      <c r="L82" s="298"/>
      <c r="M82" s="2702">
        <f>18.32-10.59</f>
        <v>7.73</v>
      </c>
      <c r="N82" s="298"/>
      <c r="O82" s="299"/>
      <c r="P82" s="298"/>
      <c r="Q82" s="1836"/>
      <c r="R82" s="2049"/>
      <c r="S82" s="1138"/>
      <c r="T82" s="1138"/>
      <c r="U82" s="1944"/>
      <c r="V82" s="1944"/>
      <c r="W82" s="1138"/>
      <c r="X82" s="2074"/>
      <c r="Y82" s="1953"/>
      <c r="Z82" s="509"/>
      <c r="AE82" s="2461"/>
      <c r="AF82" s="68"/>
    </row>
    <row r="83" spans="1:32" s="2770" customFormat="1" ht="15.5" x14ac:dyDescent="0.35">
      <c r="A83" s="787"/>
      <c r="B83" s="515"/>
      <c r="C83" s="515"/>
      <c r="D83" s="788"/>
      <c r="E83" s="459" t="s">
        <v>11076</v>
      </c>
      <c r="F83" s="1138">
        <v>4</v>
      </c>
      <c r="G83" s="1138">
        <v>4</v>
      </c>
      <c r="H83" s="1138">
        <v>6</v>
      </c>
      <c r="I83" s="487"/>
      <c r="J83" s="487"/>
      <c r="K83" s="487"/>
      <c r="L83" s="487"/>
      <c r="M83" s="487"/>
      <c r="N83" s="487">
        <f>19.794-18.32</f>
        <v>1.4740000000000002</v>
      </c>
      <c r="O83" s="299"/>
      <c r="P83" s="298"/>
      <c r="Q83" s="1836"/>
      <c r="R83" s="2049"/>
      <c r="S83" s="1138"/>
      <c r="T83" s="1138"/>
      <c r="U83" s="1944"/>
      <c r="V83" s="1944"/>
      <c r="W83" s="1138"/>
      <c r="X83" s="2074"/>
      <c r="Y83" s="1953"/>
      <c r="Z83" s="509"/>
      <c r="AE83" s="2461"/>
      <c r="AF83" s="68"/>
    </row>
    <row r="84" spans="1:32" ht="31" x14ac:dyDescent="0.35">
      <c r="A84" s="787"/>
      <c r="B84" s="515">
        <v>11430</v>
      </c>
      <c r="C84" s="515"/>
      <c r="D84" s="788"/>
      <c r="E84" s="270" t="s">
        <v>11077</v>
      </c>
      <c r="F84" s="1138">
        <v>4</v>
      </c>
      <c r="G84" s="1138">
        <v>4</v>
      </c>
      <c r="H84" s="1138" t="s">
        <v>191</v>
      </c>
      <c r="I84" s="487"/>
      <c r="J84" s="487"/>
      <c r="K84" s="487"/>
      <c r="L84" s="487">
        <f>19.819-19.794</f>
        <v>2.4999999999998579E-2</v>
      </c>
      <c r="M84" s="487"/>
      <c r="N84" s="487"/>
      <c r="O84" s="299"/>
      <c r="P84" s="298"/>
      <c r="Q84" s="1836"/>
      <c r="R84" s="2049"/>
      <c r="S84" s="1138"/>
      <c r="T84" s="1138"/>
      <c r="U84" s="1944"/>
      <c r="V84" s="1944"/>
      <c r="W84" s="1138"/>
      <c r="X84" s="2074"/>
      <c r="Y84" s="1953"/>
      <c r="Z84" s="509"/>
      <c r="AE84" s="2461"/>
      <c r="AF84" s="68"/>
    </row>
    <row r="85" spans="1:32" ht="30.5" x14ac:dyDescent="0.35">
      <c r="A85" s="789">
        <v>26</v>
      </c>
      <c r="B85" s="1162">
        <v>11430</v>
      </c>
      <c r="C85" s="1162"/>
      <c r="D85" s="2469" t="s">
        <v>6247</v>
      </c>
      <c r="E85" s="511" t="s">
        <v>10825</v>
      </c>
      <c r="F85" s="13" t="s">
        <v>1490</v>
      </c>
      <c r="G85" s="13">
        <v>5</v>
      </c>
      <c r="H85" s="92">
        <v>6</v>
      </c>
      <c r="I85" s="297">
        <f>J85+K85+L85</f>
        <v>2.4500000000000002</v>
      </c>
      <c r="J85" s="297">
        <f>SUM(M85:R85)</f>
        <v>2.4500000000000002</v>
      </c>
      <c r="K85" s="489"/>
      <c r="L85" s="489"/>
      <c r="M85" s="1543"/>
      <c r="N85" s="489"/>
      <c r="O85" s="491"/>
      <c r="P85" s="489"/>
      <c r="Q85" s="932"/>
      <c r="R85" s="929">
        <v>2.4500000000000002</v>
      </c>
      <c r="S85" s="154"/>
      <c r="T85" s="154"/>
      <c r="U85" s="154"/>
      <c r="V85" s="154"/>
      <c r="W85" s="55">
        <f>1+1</f>
        <v>2</v>
      </c>
      <c r="X85" s="1962">
        <f>7.5+18.8</f>
        <v>26.3</v>
      </c>
      <c r="Y85" s="164"/>
      <c r="Z85" s="309"/>
      <c r="AB85">
        <v>1</v>
      </c>
      <c r="AE85" s="2461"/>
      <c r="AF85" s="68"/>
    </row>
    <row r="86" spans="1:32" ht="45.5" x14ac:dyDescent="0.35">
      <c r="A86" s="294">
        <v>27</v>
      </c>
      <c r="B86" s="515">
        <v>11430</v>
      </c>
      <c r="C86" s="515" t="s">
        <v>1655</v>
      </c>
      <c r="D86" s="2469" t="s">
        <v>6248</v>
      </c>
      <c r="E86" s="288" t="s">
        <v>7396</v>
      </c>
      <c r="F86" s="14" t="s">
        <v>664</v>
      </c>
      <c r="G86" s="14">
        <v>5</v>
      </c>
      <c r="H86" s="92">
        <v>6</v>
      </c>
      <c r="I86" s="297">
        <v>1.29</v>
      </c>
      <c r="J86" s="297">
        <v>1.29</v>
      </c>
      <c r="K86" s="297"/>
      <c r="L86" s="297"/>
      <c r="M86" s="1541"/>
      <c r="N86" s="297"/>
      <c r="O86" s="302"/>
      <c r="P86" s="297"/>
      <c r="Q86" s="932"/>
      <c r="R86" s="925">
        <v>1.29</v>
      </c>
      <c r="S86" s="154"/>
      <c r="T86" s="154"/>
      <c r="U86" s="154"/>
      <c r="V86" s="154"/>
      <c r="W86" s="154"/>
      <c r="X86" s="260"/>
      <c r="Y86" s="164"/>
      <c r="Z86" s="309"/>
      <c r="AB86">
        <v>1</v>
      </c>
      <c r="AE86" s="2461"/>
      <c r="AF86" s="68"/>
    </row>
    <row r="87" spans="1:32" ht="30" x14ac:dyDescent="0.35">
      <c r="A87" s="789">
        <v>28</v>
      </c>
      <c r="B87" s="693">
        <v>11430</v>
      </c>
      <c r="C87" s="693" t="s">
        <v>1656</v>
      </c>
      <c r="D87" s="2469" t="s">
        <v>6249</v>
      </c>
      <c r="E87" s="2187" t="s">
        <v>8987</v>
      </c>
      <c r="F87" s="92" t="s">
        <v>1490</v>
      </c>
      <c r="G87" s="92">
        <v>5</v>
      </c>
      <c r="H87" s="13">
        <v>6</v>
      </c>
      <c r="I87" s="2157">
        <f>J87+K87+L87</f>
        <v>0.26</v>
      </c>
      <c r="J87" s="2157">
        <f>M87+N87+O87+P87+Q87+R87</f>
        <v>0.26</v>
      </c>
      <c r="K87" s="622"/>
      <c r="L87" s="622"/>
      <c r="M87" s="622"/>
      <c r="N87" s="622"/>
      <c r="O87" s="622"/>
      <c r="P87" s="622"/>
      <c r="Q87" s="932">
        <v>0.26</v>
      </c>
      <c r="R87" s="906"/>
      <c r="S87" s="106"/>
      <c r="T87" s="106"/>
      <c r="U87" s="106"/>
      <c r="V87" s="106"/>
      <c r="W87" s="105"/>
      <c r="X87" s="253"/>
      <c r="Y87" s="105"/>
      <c r="Z87" s="323"/>
      <c r="AB87">
        <v>1</v>
      </c>
      <c r="AE87" s="2461"/>
      <c r="AF87" s="68"/>
    </row>
    <row r="88" spans="1:32" ht="15.5" x14ac:dyDescent="0.35">
      <c r="A88" s="294">
        <v>29</v>
      </c>
      <c r="B88" s="515">
        <v>11431</v>
      </c>
      <c r="C88" s="515"/>
      <c r="D88" s="515" t="s">
        <v>1689</v>
      </c>
      <c r="E88" s="511" t="s">
        <v>11439</v>
      </c>
      <c r="F88" s="1138"/>
      <c r="G88" s="1138" t="s">
        <v>191</v>
      </c>
      <c r="H88" s="1138" t="s">
        <v>191</v>
      </c>
      <c r="I88" s="486">
        <f>J88+K88+L88</f>
        <v>26.475000000000001</v>
      </c>
      <c r="J88" s="486">
        <f>SUM(M88:R88)</f>
        <v>26.397000000000002</v>
      </c>
      <c r="K88" s="486"/>
      <c r="L88" s="486">
        <f>SUM(L89:L93)</f>
        <v>7.8000000000000791E-2</v>
      </c>
      <c r="M88" s="1541"/>
      <c r="N88" s="486">
        <f>SUM(N89:N93)</f>
        <v>26.397000000000002</v>
      </c>
      <c r="O88" s="302"/>
      <c r="P88" s="297"/>
      <c r="Q88" s="932"/>
      <c r="R88" s="925"/>
      <c r="S88" s="154"/>
      <c r="T88" s="154"/>
      <c r="U88" s="154"/>
      <c r="V88" s="154"/>
      <c r="W88" s="1881">
        <v>53</v>
      </c>
      <c r="X88" s="1962">
        <v>752</v>
      </c>
      <c r="Y88" s="164">
        <v>12</v>
      </c>
      <c r="Z88" s="309">
        <v>141.4</v>
      </c>
      <c r="AB88">
        <v>1</v>
      </c>
      <c r="AE88" s="2461"/>
      <c r="AF88" s="68"/>
    </row>
    <row r="89" spans="1:32" ht="31" x14ac:dyDescent="0.35">
      <c r="A89" s="787"/>
      <c r="B89" s="515">
        <v>11431</v>
      </c>
      <c r="C89" s="515"/>
      <c r="D89" s="788"/>
      <c r="E89" s="270" t="s">
        <v>11213</v>
      </c>
      <c r="F89" s="1138">
        <v>4</v>
      </c>
      <c r="G89" s="1138">
        <v>4</v>
      </c>
      <c r="H89" s="1138" t="s">
        <v>191</v>
      </c>
      <c r="I89" s="487"/>
      <c r="J89" s="487"/>
      <c r="K89" s="487"/>
      <c r="L89" s="487">
        <v>5.7000000000000002E-2</v>
      </c>
      <c r="M89" s="1542"/>
      <c r="N89" s="487"/>
      <c r="O89" s="299"/>
      <c r="P89" s="298"/>
      <c r="Q89" s="933"/>
      <c r="R89" s="927"/>
      <c r="S89" s="1944"/>
      <c r="T89" s="1944"/>
      <c r="U89" s="1944"/>
      <c r="V89" s="1944"/>
      <c r="W89" s="1138"/>
      <c r="X89" s="2074"/>
      <c r="Y89" s="1953"/>
      <c r="Z89" s="509"/>
      <c r="AE89" s="2461"/>
      <c r="AF89" s="68"/>
    </row>
    <row r="90" spans="1:32" s="2808" customFormat="1" ht="15.5" x14ac:dyDescent="0.35">
      <c r="A90" s="787"/>
      <c r="B90" s="515">
        <v>11431</v>
      </c>
      <c r="C90" s="515"/>
      <c r="D90" s="788"/>
      <c r="E90" s="459" t="s">
        <v>11216</v>
      </c>
      <c r="F90" s="1138">
        <v>4</v>
      </c>
      <c r="G90" s="1138">
        <v>4</v>
      </c>
      <c r="H90" s="1138">
        <v>6</v>
      </c>
      <c r="I90" s="487"/>
      <c r="J90" s="487"/>
      <c r="K90" s="487"/>
      <c r="L90" s="487"/>
      <c r="M90" s="1542"/>
      <c r="N90" s="487">
        <f>14.465-0.057</f>
        <v>14.407999999999999</v>
      </c>
      <c r="O90" s="299"/>
      <c r="P90" s="298"/>
      <c r="Q90" s="933"/>
      <c r="R90" s="927"/>
      <c r="S90" s="1944"/>
      <c r="T90" s="1944"/>
      <c r="U90" s="1944"/>
      <c r="V90" s="1944"/>
      <c r="W90" s="1138"/>
      <c r="X90" s="2074"/>
      <c r="Y90" s="1953"/>
      <c r="Z90" s="509"/>
      <c r="AE90" s="2461"/>
      <c r="AF90" s="68"/>
    </row>
    <row r="91" spans="1:32" ht="15.5" x14ac:dyDescent="0.35">
      <c r="A91" s="787"/>
      <c r="B91" s="515"/>
      <c r="C91" s="515"/>
      <c r="D91" s="788"/>
      <c r="E91" s="459" t="s">
        <v>11215</v>
      </c>
      <c r="F91" s="1138">
        <v>4</v>
      </c>
      <c r="G91" s="1138">
        <v>4</v>
      </c>
      <c r="H91" s="1138">
        <v>10</v>
      </c>
      <c r="I91" s="487"/>
      <c r="J91" s="487"/>
      <c r="K91" s="487"/>
      <c r="L91" s="487"/>
      <c r="M91" s="1542"/>
      <c r="N91" s="487">
        <f>19.865-14.465</f>
        <v>5.3999999999999986</v>
      </c>
      <c r="O91" s="299"/>
      <c r="P91" s="298"/>
      <c r="Q91" s="933"/>
      <c r="R91" s="927"/>
      <c r="S91" s="1944"/>
      <c r="T91" s="1944"/>
      <c r="U91" s="1944"/>
      <c r="V91" s="1944"/>
      <c r="W91" s="1138"/>
      <c r="X91" s="2074"/>
      <c r="Y91" s="1953"/>
      <c r="Z91" s="509"/>
      <c r="AE91" s="2461"/>
      <c r="AF91" s="68"/>
    </row>
    <row r="92" spans="1:32" ht="15.5" x14ac:dyDescent="0.35">
      <c r="A92" s="787"/>
      <c r="B92" s="515"/>
      <c r="C92" s="515"/>
      <c r="D92" s="788"/>
      <c r="E92" s="459" t="s">
        <v>11217</v>
      </c>
      <c r="F92" s="1138">
        <v>4</v>
      </c>
      <c r="G92" s="1138">
        <v>4</v>
      </c>
      <c r="H92" s="1138">
        <v>6</v>
      </c>
      <c r="I92" s="487"/>
      <c r="J92" s="487"/>
      <c r="K92" s="487"/>
      <c r="L92" s="487"/>
      <c r="M92" s="1542"/>
      <c r="N92" s="487">
        <f>26.454-19.865</f>
        <v>6.5890000000000022</v>
      </c>
      <c r="O92" s="299"/>
      <c r="P92" s="298"/>
      <c r="Q92" s="933"/>
      <c r="R92" s="927"/>
      <c r="S92" s="1944"/>
      <c r="T92" s="1944"/>
      <c r="U92" s="1944"/>
      <c r="V92" s="1944"/>
      <c r="W92" s="1138"/>
      <c r="X92" s="2074"/>
      <c r="Y92" s="1953"/>
      <c r="Z92" s="509"/>
      <c r="AE92" s="2461"/>
      <c r="AF92" s="68"/>
    </row>
    <row r="93" spans="1:32" ht="31" x14ac:dyDescent="0.35">
      <c r="A93" s="788"/>
      <c r="B93" s="515">
        <v>11431</v>
      </c>
      <c r="C93" s="515"/>
      <c r="D93" s="788"/>
      <c r="E93" s="270" t="s">
        <v>11214</v>
      </c>
      <c r="F93" s="1138">
        <v>4</v>
      </c>
      <c r="G93" s="1138">
        <v>4</v>
      </c>
      <c r="H93" s="1138" t="s">
        <v>191</v>
      </c>
      <c r="I93" s="487"/>
      <c r="J93" s="487"/>
      <c r="K93" s="487"/>
      <c r="L93" s="487">
        <f>26.475-26.454</f>
        <v>2.1000000000000796E-2</v>
      </c>
      <c r="M93" s="1542"/>
      <c r="N93" s="487"/>
      <c r="O93" s="299"/>
      <c r="P93" s="298"/>
      <c r="Q93" s="933"/>
      <c r="R93" s="927"/>
      <c r="S93" s="1944"/>
      <c r="T93" s="1944"/>
      <c r="U93" s="1944"/>
      <c r="V93" s="1944"/>
      <c r="W93" s="1138"/>
      <c r="X93" s="2074"/>
      <c r="Y93" s="1953"/>
      <c r="Z93" s="254"/>
      <c r="AE93" s="2461"/>
      <c r="AF93" s="68"/>
    </row>
    <row r="94" spans="1:32" ht="30.5" x14ac:dyDescent="0.35">
      <c r="A94" s="789">
        <v>30</v>
      </c>
      <c r="B94" s="1162">
        <v>11431</v>
      </c>
      <c r="C94" s="1162"/>
      <c r="D94" s="2469" t="s">
        <v>6250</v>
      </c>
      <c r="E94" s="288" t="s">
        <v>8003</v>
      </c>
      <c r="F94" s="13"/>
      <c r="G94" s="13" t="s">
        <v>191</v>
      </c>
      <c r="H94" s="13" t="s">
        <v>191</v>
      </c>
      <c r="I94" s="297">
        <f>J94+K94+L94</f>
        <v>0.71</v>
      </c>
      <c r="J94" s="297">
        <f>SUM(M94:R94)</f>
        <v>0.71</v>
      </c>
      <c r="K94" s="489"/>
      <c r="L94" s="489"/>
      <c r="M94" s="1543"/>
      <c r="N94" s="489">
        <f>SUM(N95:N96)</f>
        <v>0.54</v>
      </c>
      <c r="O94" s="491"/>
      <c r="P94" s="489"/>
      <c r="Q94" s="932"/>
      <c r="R94" s="929">
        <f>SUM(R95:R96)</f>
        <v>0.16999999999999993</v>
      </c>
      <c r="S94" s="154"/>
      <c r="T94" s="154"/>
      <c r="U94" s="154"/>
      <c r="V94" s="154"/>
      <c r="W94" s="2445">
        <v>1</v>
      </c>
      <c r="X94" s="2446">
        <v>15.8</v>
      </c>
      <c r="Y94" s="164"/>
      <c r="Z94" s="309"/>
      <c r="AB94">
        <v>1</v>
      </c>
      <c r="AE94" s="2461"/>
      <c r="AF94" s="68"/>
    </row>
    <row r="95" spans="1:32" ht="15.5" x14ac:dyDescent="0.35">
      <c r="A95" s="790"/>
      <c r="B95" s="1162">
        <v>11431</v>
      </c>
      <c r="C95" s="1162"/>
      <c r="D95" s="788"/>
      <c r="E95" s="289" t="s">
        <v>2856</v>
      </c>
      <c r="F95" s="13">
        <v>5</v>
      </c>
      <c r="G95" s="13">
        <v>5</v>
      </c>
      <c r="H95" s="13">
        <v>6</v>
      </c>
      <c r="I95" s="298"/>
      <c r="J95" s="298"/>
      <c r="K95" s="492"/>
      <c r="L95" s="492"/>
      <c r="M95" s="1544"/>
      <c r="N95" s="492">
        <v>0.54</v>
      </c>
      <c r="O95" s="494"/>
      <c r="P95" s="492"/>
      <c r="Q95" s="933"/>
      <c r="R95" s="1014"/>
      <c r="S95" s="1944"/>
      <c r="T95" s="1944"/>
      <c r="U95" s="1944"/>
      <c r="V95" s="1944"/>
      <c r="W95" s="1138"/>
      <c r="X95" s="2074"/>
      <c r="Y95" s="1953"/>
      <c r="Z95" s="509"/>
      <c r="AE95" s="2461"/>
      <c r="AF95" s="68"/>
    </row>
    <row r="96" spans="1:32" ht="15.5" x14ac:dyDescent="0.35">
      <c r="A96" s="790"/>
      <c r="B96" s="1162">
        <v>11431</v>
      </c>
      <c r="C96" s="1162"/>
      <c r="D96" s="788"/>
      <c r="E96" s="838" t="s">
        <v>7165</v>
      </c>
      <c r="F96" s="13" t="s">
        <v>827</v>
      </c>
      <c r="G96" s="13">
        <v>5</v>
      </c>
      <c r="H96" s="92">
        <v>6</v>
      </c>
      <c r="I96" s="298"/>
      <c r="J96" s="298"/>
      <c r="K96" s="492"/>
      <c r="L96" s="492"/>
      <c r="M96" s="1544"/>
      <c r="N96" s="492"/>
      <c r="O96" s="494"/>
      <c r="P96" s="492"/>
      <c r="Q96" s="933"/>
      <c r="R96" s="1014">
        <f>0.71-0.54</f>
        <v>0.16999999999999993</v>
      </c>
      <c r="S96" s="1944"/>
      <c r="T96" s="1944"/>
      <c r="U96" s="1944"/>
      <c r="V96" s="1944"/>
      <c r="W96" s="1138"/>
      <c r="X96" s="2074"/>
      <c r="Y96" s="1953"/>
      <c r="Z96" s="509"/>
      <c r="AE96" s="2461"/>
      <c r="AF96" s="68"/>
    </row>
    <row r="97" spans="1:32" ht="45" x14ac:dyDescent="0.35">
      <c r="A97" s="525">
        <v>31</v>
      </c>
      <c r="B97" s="693">
        <v>11431</v>
      </c>
      <c r="C97" s="693" t="s">
        <v>1656</v>
      </c>
      <c r="D97" s="2469" t="s">
        <v>6251</v>
      </c>
      <c r="E97" s="2187" t="s">
        <v>8988</v>
      </c>
      <c r="F97" s="92" t="s">
        <v>664</v>
      </c>
      <c r="G97" s="92">
        <v>5</v>
      </c>
      <c r="H97" s="92">
        <v>6</v>
      </c>
      <c r="I97" s="2157">
        <f t="shared" ref="I97:I119" si="9">J97+K97+L97</f>
        <v>1.32</v>
      </c>
      <c r="J97" s="2157">
        <f>M97+N97+O97+P97+Q97+R97</f>
        <v>1.32</v>
      </c>
      <c r="K97" s="622"/>
      <c r="L97" s="622"/>
      <c r="M97" s="622"/>
      <c r="N97" s="622"/>
      <c r="O97" s="622"/>
      <c r="P97" s="622"/>
      <c r="Q97" s="622"/>
      <c r="R97" s="906">
        <v>1.32</v>
      </c>
      <c r="S97" s="106"/>
      <c r="T97" s="106"/>
      <c r="U97" s="106"/>
      <c r="V97" s="106"/>
      <c r="W97" s="105"/>
      <c r="X97" s="253"/>
      <c r="Y97" s="105"/>
      <c r="Z97" s="323"/>
      <c r="AB97">
        <v>1</v>
      </c>
      <c r="AE97" s="2461"/>
      <c r="AF97" s="68"/>
    </row>
    <row r="98" spans="1:32" ht="60" x14ac:dyDescent="0.35">
      <c r="A98" s="525">
        <v>32</v>
      </c>
      <c r="B98" s="693">
        <v>11431</v>
      </c>
      <c r="C98" s="693" t="s">
        <v>1656</v>
      </c>
      <c r="D98" s="2469" t="s">
        <v>6252</v>
      </c>
      <c r="E98" s="2187" t="s">
        <v>8989</v>
      </c>
      <c r="F98" s="92" t="s">
        <v>664</v>
      </c>
      <c r="G98" s="92">
        <v>5</v>
      </c>
      <c r="H98" s="92">
        <v>6</v>
      </c>
      <c r="I98" s="2157">
        <f t="shared" si="9"/>
        <v>0.46</v>
      </c>
      <c r="J98" s="2157">
        <f>M98+N98+O98+P98+Q98+R98</f>
        <v>0.46</v>
      </c>
      <c r="K98" s="622"/>
      <c r="L98" s="622"/>
      <c r="M98" s="622"/>
      <c r="N98" s="622"/>
      <c r="O98" s="622"/>
      <c r="P98" s="622"/>
      <c r="Q98" s="622"/>
      <c r="R98" s="906">
        <v>0.46</v>
      </c>
      <c r="S98" s="106"/>
      <c r="T98" s="106"/>
      <c r="U98" s="106"/>
      <c r="V98" s="106"/>
      <c r="W98" s="105"/>
      <c r="X98" s="253"/>
      <c r="Y98" s="105"/>
      <c r="Z98" s="323"/>
      <c r="AB98">
        <v>1</v>
      </c>
      <c r="AE98" s="2461"/>
      <c r="AF98" s="68"/>
    </row>
    <row r="99" spans="1:32" ht="30.5" x14ac:dyDescent="0.35">
      <c r="A99" s="525">
        <v>33</v>
      </c>
      <c r="B99" s="1162">
        <v>11431</v>
      </c>
      <c r="C99" s="1162"/>
      <c r="D99" s="2469" t="s">
        <v>6253</v>
      </c>
      <c r="E99" s="511" t="s">
        <v>8004</v>
      </c>
      <c r="F99" s="13" t="s">
        <v>1490</v>
      </c>
      <c r="G99" s="13">
        <v>5</v>
      </c>
      <c r="H99" s="92">
        <v>6</v>
      </c>
      <c r="I99" s="297">
        <f t="shared" si="9"/>
        <v>1.1000000000000001</v>
      </c>
      <c r="J99" s="297">
        <f>SUM(M99:R99)</f>
        <v>1.1000000000000001</v>
      </c>
      <c r="K99" s="489"/>
      <c r="L99" s="489"/>
      <c r="M99" s="1543"/>
      <c r="N99" s="489"/>
      <c r="O99" s="491"/>
      <c r="P99" s="489"/>
      <c r="Q99" s="932"/>
      <c r="R99" s="929">
        <v>1.1000000000000001</v>
      </c>
      <c r="S99" s="154"/>
      <c r="T99" s="154"/>
      <c r="U99" s="154"/>
      <c r="V99" s="154"/>
      <c r="W99" s="1881">
        <v>6</v>
      </c>
      <c r="X99" s="1962">
        <v>47.5</v>
      </c>
      <c r="Y99" s="164">
        <v>2</v>
      </c>
      <c r="Z99" s="309">
        <v>10</v>
      </c>
      <c r="AB99">
        <v>1</v>
      </c>
      <c r="AE99" s="2461"/>
      <c r="AF99" s="68"/>
    </row>
    <row r="100" spans="1:32" ht="30" x14ac:dyDescent="0.35">
      <c r="A100" s="525">
        <v>34</v>
      </c>
      <c r="B100" s="693">
        <v>11431</v>
      </c>
      <c r="C100" s="693" t="s">
        <v>1656</v>
      </c>
      <c r="D100" s="2469" t="s">
        <v>6254</v>
      </c>
      <c r="E100" s="2187" t="s">
        <v>11541</v>
      </c>
      <c r="F100" s="92" t="s">
        <v>664</v>
      </c>
      <c r="G100" s="92">
        <v>5</v>
      </c>
      <c r="H100" s="92">
        <v>6</v>
      </c>
      <c r="I100" s="2157">
        <f t="shared" si="9"/>
        <v>0.43</v>
      </c>
      <c r="J100" s="2157">
        <f>M100+N100+O100+P100+Q100+R100</f>
        <v>0.43</v>
      </c>
      <c r="K100" s="622"/>
      <c r="L100" s="622"/>
      <c r="M100" s="622"/>
      <c r="N100" s="622"/>
      <c r="O100" s="622"/>
      <c r="P100" s="622"/>
      <c r="Q100" s="622"/>
      <c r="R100" s="906">
        <v>0.43</v>
      </c>
      <c r="S100" s="106"/>
      <c r="T100" s="106"/>
      <c r="U100" s="106"/>
      <c r="V100" s="106"/>
      <c r="W100" s="105"/>
      <c r="X100" s="253"/>
      <c r="Y100" s="105"/>
      <c r="Z100" s="323"/>
      <c r="AB100">
        <v>1</v>
      </c>
      <c r="AE100" s="2461"/>
      <c r="AF100" s="68"/>
    </row>
    <row r="101" spans="1:32" ht="30.5" x14ac:dyDescent="0.35">
      <c r="A101" s="525">
        <v>35</v>
      </c>
      <c r="B101" s="1162">
        <v>11431</v>
      </c>
      <c r="C101" s="1162"/>
      <c r="D101" s="2469" t="s">
        <v>6255</v>
      </c>
      <c r="E101" s="288" t="s">
        <v>8005</v>
      </c>
      <c r="F101" s="13" t="s">
        <v>664</v>
      </c>
      <c r="G101" s="13">
        <v>5</v>
      </c>
      <c r="H101" s="92">
        <v>6</v>
      </c>
      <c r="I101" s="297">
        <f t="shared" si="9"/>
        <v>2.2000000000000002</v>
      </c>
      <c r="J101" s="297">
        <f>SUM(M101:R101)</f>
        <v>2.2000000000000002</v>
      </c>
      <c r="K101" s="489"/>
      <c r="L101" s="489"/>
      <c r="M101" s="1543"/>
      <c r="N101" s="489"/>
      <c r="O101" s="491"/>
      <c r="P101" s="489"/>
      <c r="Q101" s="932"/>
      <c r="R101" s="929">
        <v>2.2000000000000002</v>
      </c>
      <c r="S101" s="154"/>
      <c r="T101" s="154"/>
      <c r="U101" s="154"/>
      <c r="V101" s="154"/>
      <c r="W101" s="55"/>
      <c r="X101" s="1962"/>
      <c r="Y101" s="164"/>
      <c r="Z101" s="309"/>
      <c r="AB101">
        <v>1</v>
      </c>
      <c r="AE101" s="2461"/>
      <c r="AF101" s="68"/>
    </row>
    <row r="102" spans="1:32" ht="30.5" x14ac:dyDescent="0.35">
      <c r="A102" s="525">
        <v>36</v>
      </c>
      <c r="B102" s="515">
        <v>11431</v>
      </c>
      <c r="C102" s="515"/>
      <c r="D102" s="2469" t="s">
        <v>6256</v>
      </c>
      <c r="E102" s="288" t="s">
        <v>9197</v>
      </c>
      <c r="F102" s="13"/>
      <c r="G102" s="13" t="s">
        <v>191</v>
      </c>
      <c r="H102" s="13" t="s">
        <v>191</v>
      </c>
      <c r="I102" s="297">
        <f t="shared" si="9"/>
        <v>2.68</v>
      </c>
      <c r="J102" s="297">
        <f>SUM(M102:R102)</f>
        <v>2.68</v>
      </c>
      <c r="K102" s="297"/>
      <c r="L102" s="297"/>
      <c r="M102" s="1541"/>
      <c r="N102" s="297"/>
      <c r="O102" s="302"/>
      <c r="P102" s="297"/>
      <c r="Q102" s="932">
        <f>SUM(Q103:Q104)</f>
        <v>2.08</v>
      </c>
      <c r="R102" s="925">
        <f>SUM(R103:R104)</f>
        <v>0.60000000000000009</v>
      </c>
      <c r="S102" s="154"/>
      <c r="T102" s="154"/>
      <c r="U102" s="154"/>
      <c r="V102" s="154"/>
      <c r="W102" s="1881">
        <v>7</v>
      </c>
      <c r="X102" s="1962">
        <v>70</v>
      </c>
      <c r="Y102" s="164">
        <v>3</v>
      </c>
      <c r="Z102" s="309">
        <v>30</v>
      </c>
      <c r="AB102">
        <v>1</v>
      </c>
      <c r="AE102" s="2461"/>
      <c r="AF102" s="68"/>
    </row>
    <row r="103" spans="1:32" ht="15.5" x14ac:dyDescent="0.35">
      <c r="A103" s="525"/>
      <c r="B103" s="515">
        <v>11431</v>
      </c>
      <c r="C103" s="515"/>
      <c r="D103" s="515"/>
      <c r="E103" s="837" t="s">
        <v>2695</v>
      </c>
      <c r="F103" s="13">
        <v>5</v>
      </c>
      <c r="G103" s="13">
        <v>4</v>
      </c>
      <c r="H103" s="13">
        <v>6</v>
      </c>
      <c r="I103" s="298"/>
      <c r="J103" s="298"/>
      <c r="K103" s="298"/>
      <c r="L103" s="298"/>
      <c r="M103" s="1541"/>
      <c r="N103" s="297"/>
      <c r="O103" s="302"/>
      <c r="P103" s="297"/>
      <c r="Q103" s="1836">
        <v>2.08</v>
      </c>
      <c r="R103" s="925"/>
      <c r="S103" s="154"/>
      <c r="T103" s="154"/>
      <c r="U103" s="154"/>
      <c r="V103" s="154"/>
      <c r="W103" s="1881"/>
      <c r="X103" s="1962"/>
      <c r="Y103" s="164"/>
      <c r="Z103" s="309"/>
      <c r="AE103" s="2461"/>
      <c r="AF103" s="68"/>
    </row>
    <row r="104" spans="1:32" ht="15.5" x14ac:dyDescent="0.35">
      <c r="A104" s="525"/>
      <c r="B104" s="515">
        <v>11431</v>
      </c>
      <c r="C104" s="515"/>
      <c r="D104" s="515"/>
      <c r="E104" s="838" t="s">
        <v>2696</v>
      </c>
      <c r="F104" s="13">
        <v>5</v>
      </c>
      <c r="G104" s="13">
        <v>4</v>
      </c>
      <c r="H104" s="92">
        <v>6</v>
      </c>
      <c r="I104" s="297"/>
      <c r="J104" s="297"/>
      <c r="K104" s="297"/>
      <c r="L104" s="297"/>
      <c r="M104" s="1541"/>
      <c r="N104" s="297"/>
      <c r="O104" s="302"/>
      <c r="P104" s="297"/>
      <c r="Q104" s="932"/>
      <c r="R104" s="2049">
        <f>2.68-2.08</f>
        <v>0.60000000000000009</v>
      </c>
      <c r="S104" s="154"/>
      <c r="T104" s="154"/>
      <c r="U104" s="154"/>
      <c r="V104" s="154"/>
      <c r="W104" s="1881"/>
      <c r="X104" s="1962"/>
      <c r="Y104" s="164"/>
      <c r="Z104" s="309"/>
      <c r="AE104" s="2461"/>
      <c r="AF104" s="68"/>
    </row>
    <row r="105" spans="1:32" ht="45" x14ac:dyDescent="0.4">
      <c r="A105" s="525">
        <v>37</v>
      </c>
      <c r="B105" s="693">
        <v>11431</v>
      </c>
      <c r="C105" s="693"/>
      <c r="D105" s="2469" t="s">
        <v>6257</v>
      </c>
      <c r="E105" s="1845" t="s">
        <v>9198</v>
      </c>
      <c r="F105" s="92" t="s">
        <v>664</v>
      </c>
      <c r="G105" s="2570">
        <v>5</v>
      </c>
      <c r="H105" s="92">
        <v>6</v>
      </c>
      <c r="I105" s="2157">
        <f t="shared" si="9"/>
        <v>0.7</v>
      </c>
      <c r="J105" s="2157">
        <f>M105+N105+O105+P105+Q105+R105</f>
        <v>0.7</v>
      </c>
      <c r="K105" s="622"/>
      <c r="L105" s="622"/>
      <c r="M105" s="622"/>
      <c r="N105" s="622"/>
      <c r="O105" s="622"/>
      <c r="P105" s="622"/>
      <c r="Q105" s="622"/>
      <c r="R105" s="1981">
        <v>0.7</v>
      </c>
      <c r="S105" s="785"/>
      <c r="T105" s="785"/>
      <c r="U105" s="785"/>
      <c r="V105" s="785"/>
      <c r="W105" s="785"/>
      <c r="X105" s="2989"/>
      <c r="Y105" s="785"/>
      <c r="Z105" s="1729"/>
      <c r="AB105">
        <v>1</v>
      </c>
      <c r="AE105" s="2461"/>
      <c r="AF105" s="68"/>
    </row>
    <row r="106" spans="1:32" ht="60" x14ac:dyDescent="0.35">
      <c r="A106" s="525">
        <v>38</v>
      </c>
      <c r="B106" s="693">
        <v>11431</v>
      </c>
      <c r="C106" s="693" t="s">
        <v>1656</v>
      </c>
      <c r="D106" s="2469" t="s">
        <v>6258</v>
      </c>
      <c r="E106" s="2187" t="s">
        <v>9199</v>
      </c>
      <c r="F106" s="92" t="s">
        <v>664</v>
      </c>
      <c r="G106" s="92">
        <v>5</v>
      </c>
      <c r="H106" s="92">
        <v>6</v>
      </c>
      <c r="I106" s="2157">
        <f t="shared" si="9"/>
        <v>0.21</v>
      </c>
      <c r="J106" s="2157">
        <f>M106+N106+O106+P106+Q106+R106</f>
        <v>0.21</v>
      </c>
      <c r="K106" s="622"/>
      <c r="L106" s="622"/>
      <c r="M106" s="622"/>
      <c r="N106" s="622"/>
      <c r="O106" s="622"/>
      <c r="P106" s="622"/>
      <c r="Q106" s="622"/>
      <c r="R106" s="906">
        <v>0.21</v>
      </c>
      <c r="S106" s="106"/>
      <c r="T106" s="106"/>
      <c r="U106" s="106"/>
      <c r="V106" s="106"/>
      <c r="W106" s="105"/>
      <c r="X106" s="253"/>
      <c r="Y106" s="105"/>
      <c r="Z106" s="323"/>
      <c r="AB106">
        <v>1</v>
      </c>
      <c r="AE106" s="2461"/>
      <c r="AF106" s="68"/>
    </row>
    <row r="107" spans="1:32" ht="45" x14ac:dyDescent="0.35">
      <c r="A107" s="525">
        <v>39</v>
      </c>
      <c r="B107" s="693">
        <v>11431</v>
      </c>
      <c r="C107" s="693" t="s">
        <v>1656</v>
      </c>
      <c r="D107" s="2469" t="s">
        <v>6259</v>
      </c>
      <c r="E107" s="2187" t="s">
        <v>9219</v>
      </c>
      <c r="F107" s="92" t="s">
        <v>664</v>
      </c>
      <c r="G107" s="92">
        <v>5</v>
      </c>
      <c r="H107" s="92">
        <v>6</v>
      </c>
      <c r="I107" s="2157">
        <f t="shared" si="9"/>
        <v>0.56999999999999995</v>
      </c>
      <c r="J107" s="2157">
        <f>M107+N107+O107+P107+Q107+R107</f>
        <v>0.56999999999999995</v>
      </c>
      <c r="K107" s="622"/>
      <c r="L107" s="622"/>
      <c r="M107" s="622"/>
      <c r="N107" s="622"/>
      <c r="O107" s="622"/>
      <c r="P107" s="622"/>
      <c r="Q107" s="622"/>
      <c r="R107" s="906">
        <v>0.56999999999999995</v>
      </c>
      <c r="S107" s="106"/>
      <c r="T107" s="106"/>
      <c r="U107" s="106"/>
      <c r="V107" s="106"/>
      <c r="W107" s="105"/>
      <c r="X107" s="253"/>
      <c r="Y107" s="105"/>
      <c r="Z107" s="323"/>
      <c r="AB107">
        <v>1</v>
      </c>
      <c r="AE107" s="2461"/>
      <c r="AF107" s="68"/>
    </row>
    <row r="108" spans="1:32" ht="30.5" x14ac:dyDescent="0.35">
      <c r="A108" s="525">
        <v>40</v>
      </c>
      <c r="B108" s="515">
        <v>11431</v>
      </c>
      <c r="C108" s="515"/>
      <c r="D108" s="2469" t="s">
        <v>6260</v>
      </c>
      <c r="E108" s="288" t="s">
        <v>8006</v>
      </c>
      <c r="F108" s="14" t="s">
        <v>664</v>
      </c>
      <c r="G108" s="14">
        <v>5</v>
      </c>
      <c r="H108" s="92">
        <v>6</v>
      </c>
      <c r="I108" s="297">
        <f t="shared" si="9"/>
        <v>1.67</v>
      </c>
      <c r="J108" s="297">
        <f>SUM(M108:R108)</f>
        <v>1.67</v>
      </c>
      <c r="K108" s="297"/>
      <c r="L108" s="297"/>
      <c r="M108" s="1541"/>
      <c r="N108" s="297"/>
      <c r="O108" s="302"/>
      <c r="P108" s="297"/>
      <c r="Q108" s="932"/>
      <c r="R108" s="925">
        <v>1.67</v>
      </c>
      <c r="S108" s="154"/>
      <c r="T108" s="154"/>
      <c r="U108" s="154"/>
      <c r="V108" s="154"/>
      <c r="W108" s="1881">
        <v>1</v>
      </c>
      <c r="X108" s="1962">
        <v>6</v>
      </c>
      <c r="Y108" s="164"/>
      <c r="Z108" s="309"/>
      <c r="AB108">
        <v>1</v>
      </c>
      <c r="AE108" s="2461"/>
      <c r="AF108" s="68"/>
    </row>
    <row r="109" spans="1:32" ht="30" x14ac:dyDescent="0.35">
      <c r="A109" s="525">
        <v>41</v>
      </c>
      <c r="B109" s="693">
        <v>11431</v>
      </c>
      <c r="C109" s="693" t="s">
        <v>1656</v>
      </c>
      <c r="D109" s="2469" t="s">
        <v>6261</v>
      </c>
      <c r="E109" s="2187" t="s">
        <v>8990</v>
      </c>
      <c r="F109" s="92" t="s">
        <v>664</v>
      </c>
      <c r="G109" s="92">
        <v>5</v>
      </c>
      <c r="H109" s="92">
        <v>6</v>
      </c>
      <c r="I109" s="2157">
        <f t="shared" si="9"/>
        <v>2.1</v>
      </c>
      <c r="J109" s="2157">
        <f t="shared" ref="J109:J114" si="10">M109+N109+O109+P109+Q109+R109</f>
        <v>2.1</v>
      </c>
      <c r="K109" s="622"/>
      <c r="L109" s="622"/>
      <c r="M109" s="622"/>
      <c r="N109" s="622"/>
      <c r="O109" s="622"/>
      <c r="P109" s="622"/>
      <c r="Q109" s="622"/>
      <c r="R109" s="906">
        <v>2.1</v>
      </c>
      <c r="S109" s="106"/>
      <c r="T109" s="106"/>
      <c r="U109" s="106"/>
      <c r="V109" s="106"/>
      <c r="W109" s="105"/>
      <c r="X109" s="253"/>
      <c r="Y109" s="105"/>
      <c r="Z109" s="323"/>
      <c r="AB109">
        <v>1</v>
      </c>
      <c r="AE109" s="2461"/>
      <c r="AF109" s="68"/>
    </row>
    <row r="110" spans="1:32" ht="30" x14ac:dyDescent="0.35">
      <c r="A110" s="525">
        <v>42</v>
      </c>
      <c r="B110" s="693">
        <v>11431</v>
      </c>
      <c r="C110" s="693"/>
      <c r="D110" s="2469" t="s">
        <v>6262</v>
      </c>
      <c r="E110" s="2187" t="s">
        <v>8007</v>
      </c>
      <c r="F110" s="92" t="s">
        <v>1490</v>
      </c>
      <c r="G110" s="92">
        <v>5</v>
      </c>
      <c r="H110" s="92">
        <v>6</v>
      </c>
      <c r="I110" s="2157">
        <f>J110+K110+L110</f>
        <v>0.4</v>
      </c>
      <c r="J110" s="2157">
        <f>M110+N110+O110+P110+Q110+R110</f>
        <v>0.4</v>
      </c>
      <c r="K110" s="622"/>
      <c r="L110" s="622"/>
      <c r="M110" s="622"/>
      <c r="N110" s="622"/>
      <c r="O110" s="622"/>
      <c r="P110" s="622"/>
      <c r="Q110" s="622"/>
      <c r="R110" s="906">
        <v>0.4</v>
      </c>
      <c r="S110" s="106"/>
      <c r="T110" s="106"/>
      <c r="U110" s="106"/>
      <c r="V110" s="106"/>
      <c r="W110" s="105">
        <v>1</v>
      </c>
      <c r="X110" s="253">
        <v>7.5</v>
      </c>
      <c r="Y110" s="105"/>
      <c r="Z110" s="181"/>
      <c r="AB110">
        <v>1</v>
      </c>
      <c r="AE110" s="2461"/>
      <c r="AF110" s="68"/>
    </row>
    <row r="111" spans="1:32" ht="30" x14ac:dyDescent="0.35">
      <c r="A111" s="525">
        <v>43</v>
      </c>
      <c r="B111" s="693">
        <v>11431</v>
      </c>
      <c r="C111" s="693" t="s">
        <v>1656</v>
      </c>
      <c r="D111" s="2469" t="s">
        <v>6263</v>
      </c>
      <c r="E111" s="2187" t="s">
        <v>8991</v>
      </c>
      <c r="F111" s="92" t="s">
        <v>664</v>
      </c>
      <c r="G111" s="92">
        <v>5</v>
      </c>
      <c r="H111" s="92">
        <v>6</v>
      </c>
      <c r="I111" s="2157">
        <f t="shared" si="9"/>
        <v>0.28999999999999998</v>
      </c>
      <c r="J111" s="2157">
        <f t="shared" si="10"/>
        <v>0.28999999999999998</v>
      </c>
      <c r="K111" s="622"/>
      <c r="L111" s="622"/>
      <c r="M111" s="622"/>
      <c r="N111" s="622"/>
      <c r="O111" s="622"/>
      <c r="P111" s="622"/>
      <c r="Q111" s="622"/>
      <c r="R111" s="906">
        <v>0.28999999999999998</v>
      </c>
      <c r="S111" s="106"/>
      <c r="T111" s="106"/>
      <c r="U111" s="106"/>
      <c r="V111" s="106"/>
      <c r="W111" s="105"/>
      <c r="X111" s="253"/>
      <c r="Y111" s="105"/>
      <c r="Z111" s="323"/>
      <c r="AB111">
        <v>1</v>
      </c>
      <c r="AE111" s="2461"/>
      <c r="AF111" s="68"/>
    </row>
    <row r="112" spans="1:32" ht="30" x14ac:dyDescent="0.35">
      <c r="A112" s="525">
        <v>44</v>
      </c>
      <c r="B112" s="693">
        <v>11431</v>
      </c>
      <c r="C112" s="693" t="s">
        <v>1656</v>
      </c>
      <c r="D112" s="2469" t="s">
        <v>6264</v>
      </c>
      <c r="E112" s="2187" t="s">
        <v>8992</v>
      </c>
      <c r="F112" s="92" t="s">
        <v>664</v>
      </c>
      <c r="G112" s="92">
        <v>5</v>
      </c>
      <c r="H112" s="92">
        <v>6</v>
      </c>
      <c r="I112" s="2157">
        <f t="shared" si="9"/>
        <v>0.2</v>
      </c>
      <c r="J112" s="2157">
        <f t="shared" si="10"/>
        <v>0.2</v>
      </c>
      <c r="K112" s="622"/>
      <c r="L112" s="622"/>
      <c r="M112" s="622"/>
      <c r="N112" s="622"/>
      <c r="O112" s="622"/>
      <c r="P112" s="622"/>
      <c r="Q112" s="622"/>
      <c r="R112" s="906">
        <v>0.2</v>
      </c>
      <c r="S112" s="106"/>
      <c r="T112" s="106"/>
      <c r="U112" s="106"/>
      <c r="V112" s="106"/>
      <c r="W112" s="105"/>
      <c r="X112" s="253"/>
      <c r="Y112" s="105"/>
      <c r="Z112" s="323"/>
      <c r="AB112">
        <v>1</v>
      </c>
      <c r="AE112" s="2461"/>
      <c r="AF112" s="68"/>
    </row>
    <row r="113" spans="1:32" ht="30" x14ac:dyDescent="0.35">
      <c r="A113" s="525">
        <v>45</v>
      </c>
      <c r="B113" s="693">
        <v>11431</v>
      </c>
      <c r="C113" s="693" t="s">
        <v>1656</v>
      </c>
      <c r="D113" s="2469" t="s">
        <v>6265</v>
      </c>
      <c r="E113" s="2187" t="s">
        <v>8993</v>
      </c>
      <c r="F113" s="92" t="s">
        <v>664</v>
      </c>
      <c r="G113" s="92">
        <v>5</v>
      </c>
      <c r="H113" s="92">
        <v>6</v>
      </c>
      <c r="I113" s="2157">
        <f t="shared" si="9"/>
        <v>0.51</v>
      </c>
      <c r="J113" s="2157">
        <f t="shared" si="10"/>
        <v>0.51</v>
      </c>
      <c r="K113" s="622"/>
      <c r="L113" s="622"/>
      <c r="M113" s="622"/>
      <c r="N113" s="622"/>
      <c r="O113" s="622"/>
      <c r="P113" s="622"/>
      <c r="Q113" s="622"/>
      <c r="R113" s="906">
        <v>0.51</v>
      </c>
      <c r="S113" s="106"/>
      <c r="T113" s="106"/>
      <c r="U113" s="106"/>
      <c r="V113" s="106"/>
      <c r="W113" s="105"/>
      <c r="X113" s="253"/>
      <c r="Y113" s="105"/>
      <c r="Z113" s="323"/>
      <c r="AB113">
        <v>1</v>
      </c>
      <c r="AE113" s="2461"/>
      <c r="AF113" s="68"/>
    </row>
    <row r="114" spans="1:32" ht="30" x14ac:dyDescent="0.35">
      <c r="A114" s="525">
        <v>46</v>
      </c>
      <c r="B114" s="693">
        <v>11431</v>
      </c>
      <c r="C114" s="693" t="s">
        <v>1656</v>
      </c>
      <c r="D114" s="2469" t="s">
        <v>6267</v>
      </c>
      <c r="E114" s="2187" t="s">
        <v>8994</v>
      </c>
      <c r="F114" s="92" t="s">
        <v>664</v>
      </c>
      <c r="G114" s="92">
        <v>5</v>
      </c>
      <c r="H114" s="92">
        <v>6</v>
      </c>
      <c r="I114" s="2157">
        <f t="shared" si="9"/>
        <v>0.4</v>
      </c>
      <c r="J114" s="2157">
        <f t="shared" si="10"/>
        <v>0.4</v>
      </c>
      <c r="K114" s="622"/>
      <c r="L114" s="622"/>
      <c r="M114" s="622"/>
      <c r="N114" s="622"/>
      <c r="O114" s="622"/>
      <c r="P114" s="622"/>
      <c r="Q114" s="622"/>
      <c r="R114" s="906">
        <v>0.4</v>
      </c>
      <c r="S114" s="106"/>
      <c r="T114" s="106"/>
      <c r="U114" s="106"/>
      <c r="V114" s="106"/>
      <c r="W114" s="105"/>
      <c r="X114" s="253"/>
      <c r="Y114" s="105"/>
      <c r="Z114" s="323"/>
      <c r="AB114">
        <v>1</v>
      </c>
      <c r="AE114" s="2461"/>
      <c r="AF114" s="68"/>
    </row>
    <row r="115" spans="1:32" ht="15.5" x14ac:dyDescent="0.35">
      <c r="A115" s="525">
        <v>47</v>
      </c>
      <c r="B115" s="515">
        <v>11432</v>
      </c>
      <c r="C115" s="515"/>
      <c r="D115" s="515" t="s">
        <v>1690</v>
      </c>
      <c r="E115" s="511" t="s">
        <v>11164</v>
      </c>
      <c r="F115" s="13"/>
      <c r="G115" s="13" t="s">
        <v>191</v>
      </c>
      <c r="H115" s="13" t="s">
        <v>191</v>
      </c>
      <c r="I115" s="297">
        <f t="shared" si="9"/>
        <v>14.702</v>
      </c>
      <c r="J115" s="297">
        <f>SUM(M115:R115)</f>
        <v>14.678000000000001</v>
      </c>
      <c r="K115" s="297"/>
      <c r="L115" s="297">
        <f>SUM(L116:L117)</f>
        <v>2.4E-2</v>
      </c>
      <c r="M115" s="1541"/>
      <c r="N115" s="297">
        <f>SUM(N116:N117)</f>
        <v>14.678000000000001</v>
      </c>
      <c r="O115" s="302"/>
      <c r="P115" s="297"/>
      <c r="Q115" s="932"/>
      <c r="R115" s="925"/>
      <c r="S115" s="55">
        <v>1</v>
      </c>
      <c r="T115" s="1962">
        <v>9</v>
      </c>
      <c r="U115" s="154"/>
      <c r="V115" s="154"/>
      <c r="W115" s="1881">
        <v>40</v>
      </c>
      <c r="X115" s="1962">
        <v>519.95000000000005</v>
      </c>
      <c r="Y115" s="164">
        <v>22</v>
      </c>
      <c r="Z115" s="309">
        <v>246.6</v>
      </c>
      <c r="AB115">
        <v>1</v>
      </c>
      <c r="AE115" s="2461"/>
      <c r="AF115" s="68"/>
    </row>
    <row r="116" spans="1:32" s="2732" customFormat="1" ht="31" x14ac:dyDescent="0.35">
      <c r="A116" s="525"/>
      <c r="B116" s="515"/>
      <c r="C116" s="515"/>
      <c r="D116" s="515"/>
      <c r="E116" s="270" t="s">
        <v>10863</v>
      </c>
      <c r="F116" s="13">
        <v>4</v>
      </c>
      <c r="G116" s="13">
        <v>4</v>
      </c>
      <c r="H116" s="13" t="s">
        <v>191</v>
      </c>
      <c r="I116" s="297"/>
      <c r="J116" s="297"/>
      <c r="K116" s="297"/>
      <c r="L116" s="487">
        <v>2.4E-2</v>
      </c>
      <c r="M116" s="2702"/>
      <c r="N116" s="298"/>
      <c r="O116" s="299"/>
      <c r="P116" s="298"/>
      <c r="Q116" s="1836"/>
      <c r="R116" s="2049"/>
      <c r="S116" s="55"/>
      <c r="T116" s="2446"/>
      <c r="U116" s="154"/>
      <c r="V116" s="154"/>
      <c r="W116" s="2445"/>
      <c r="X116" s="2446"/>
      <c r="Y116" s="164"/>
      <c r="Z116" s="2448"/>
      <c r="AE116" s="2461"/>
      <c r="AF116" s="68"/>
    </row>
    <row r="117" spans="1:32" s="2732" customFormat="1" ht="15.5" x14ac:dyDescent="0.35">
      <c r="A117" s="525"/>
      <c r="B117" s="515"/>
      <c r="C117" s="515"/>
      <c r="D117" s="515"/>
      <c r="E117" s="393" t="s">
        <v>10864</v>
      </c>
      <c r="F117" s="13">
        <v>4</v>
      </c>
      <c r="G117" s="13">
        <v>4</v>
      </c>
      <c r="H117" s="13">
        <v>6</v>
      </c>
      <c r="I117" s="297"/>
      <c r="J117" s="297"/>
      <c r="K117" s="297"/>
      <c r="L117" s="298"/>
      <c r="M117" s="2702"/>
      <c r="N117" s="298">
        <f>14.702-0.024</f>
        <v>14.678000000000001</v>
      </c>
      <c r="O117" s="299"/>
      <c r="P117" s="298"/>
      <c r="Q117" s="1836"/>
      <c r="R117" s="2049"/>
      <c r="S117" s="55"/>
      <c r="T117" s="2446"/>
      <c r="U117" s="154"/>
      <c r="V117" s="154"/>
      <c r="W117" s="2445"/>
      <c r="X117" s="2446"/>
      <c r="Y117" s="164"/>
      <c r="Z117" s="2448"/>
      <c r="AE117" s="2461"/>
      <c r="AF117" s="68"/>
    </row>
    <row r="118" spans="1:32" ht="30.5" x14ac:dyDescent="0.35">
      <c r="A118" s="525">
        <v>48</v>
      </c>
      <c r="B118" s="1162">
        <v>11432</v>
      </c>
      <c r="C118" s="1162"/>
      <c r="D118" s="2469" t="s">
        <v>6268</v>
      </c>
      <c r="E118" s="511" t="s">
        <v>8008</v>
      </c>
      <c r="F118" s="13" t="s">
        <v>664</v>
      </c>
      <c r="G118" s="13">
        <v>5</v>
      </c>
      <c r="H118" s="92">
        <v>6</v>
      </c>
      <c r="I118" s="297">
        <f t="shared" si="9"/>
        <v>0.7</v>
      </c>
      <c r="J118" s="297">
        <f>SUM(M118:R118)</f>
        <v>0.7</v>
      </c>
      <c r="K118" s="489"/>
      <c r="L118" s="489"/>
      <c r="M118" s="1543"/>
      <c r="N118" s="489"/>
      <c r="O118" s="491"/>
      <c r="P118" s="489"/>
      <c r="Q118" s="932"/>
      <c r="R118" s="929">
        <v>0.7</v>
      </c>
      <c r="S118" s="154"/>
      <c r="T118" s="154"/>
      <c r="U118" s="154"/>
      <c r="V118" s="154"/>
      <c r="W118" s="1881">
        <v>1</v>
      </c>
      <c r="X118" s="1962">
        <v>5</v>
      </c>
      <c r="Y118" s="164"/>
      <c r="Z118" s="309"/>
      <c r="AB118">
        <v>1</v>
      </c>
      <c r="AE118" s="2461"/>
      <c r="AF118" s="68"/>
    </row>
    <row r="119" spans="1:32" ht="45" x14ac:dyDescent="0.35">
      <c r="A119" s="525">
        <v>49</v>
      </c>
      <c r="B119" s="1040">
        <v>11437</v>
      </c>
      <c r="C119" s="693" t="s">
        <v>1656</v>
      </c>
      <c r="D119" s="2469" t="s">
        <v>6269</v>
      </c>
      <c r="E119" s="2187" t="s">
        <v>8995</v>
      </c>
      <c r="F119" s="92" t="s">
        <v>664</v>
      </c>
      <c r="G119" s="92">
        <v>5</v>
      </c>
      <c r="H119" s="92">
        <v>6</v>
      </c>
      <c r="I119" s="2157">
        <f t="shared" si="9"/>
        <v>0.2</v>
      </c>
      <c r="J119" s="2157">
        <f>M119+N119+O119+P119+Q119+R119</f>
        <v>0.2</v>
      </c>
      <c r="K119" s="622"/>
      <c r="L119" s="622"/>
      <c r="M119" s="622"/>
      <c r="N119" s="622"/>
      <c r="O119" s="622"/>
      <c r="P119" s="622"/>
      <c r="Q119" s="622"/>
      <c r="R119" s="906">
        <v>0.2</v>
      </c>
      <c r="S119" s="106"/>
      <c r="T119" s="106"/>
      <c r="U119" s="106"/>
      <c r="V119" s="106"/>
      <c r="W119" s="105"/>
      <c r="X119" s="253"/>
      <c r="Y119" s="105"/>
      <c r="Z119" s="323"/>
      <c r="AB119">
        <v>1</v>
      </c>
      <c r="AE119" s="2461"/>
      <c r="AF119" s="68"/>
    </row>
    <row r="120" spans="1:32" ht="30.5" x14ac:dyDescent="0.35">
      <c r="A120" s="525">
        <v>50</v>
      </c>
      <c r="B120" s="515">
        <v>11432</v>
      </c>
      <c r="C120" s="515"/>
      <c r="D120" s="2469" t="s">
        <v>6270</v>
      </c>
      <c r="E120" s="511" t="s">
        <v>8009</v>
      </c>
      <c r="F120" s="14" t="s">
        <v>664</v>
      </c>
      <c r="G120" s="14">
        <v>5</v>
      </c>
      <c r="H120" s="92">
        <v>6</v>
      </c>
      <c r="I120" s="297">
        <v>0.41</v>
      </c>
      <c r="J120" s="297">
        <v>0.41</v>
      </c>
      <c r="K120" s="297"/>
      <c r="L120" s="297"/>
      <c r="M120" s="1541"/>
      <c r="N120" s="297"/>
      <c r="O120" s="302"/>
      <c r="P120" s="297"/>
      <c r="Q120" s="932"/>
      <c r="R120" s="925">
        <v>0.41</v>
      </c>
      <c r="S120" s="154"/>
      <c r="T120" s="154"/>
      <c r="U120" s="154"/>
      <c r="V120" s="154"/>
      <c r="W120" s="154"/>
      <c r="X120" s="260"/>
      <c r="Y120" s="164"/>
      <c r="Z120" s="309"/>
      <c r="AB120">
        <v>1</v>
      </c>
      <c r="AE120" s="2461"/>
      <c r="AF120" s="68"/>
    </row>
    <row r="121" spans="1:32" ht="30" x14ac:dyDescent="0.35">
      <c r="A121" s="525">
        <v>51</v>
      </c>
      <c r="B121" s="693">
        <v>11432</v>
      </c>
      <c r="C121" s="693" t="s">
        <v>1656</v>
      </c>
      <c r="D121" s="2469" t="s">
        <v>6271</v>
      </c>
      <c r="E121" s="2187" t="s">
        <v>8996</v>
      </c>
      <c r="F121" s="92" t="s">
        <v>664</v>
      </c>
      <c r="G121" s="92">
        <v>5</v>
      </c>
      <c r="H121" s="92">
        <v>6</v>
      </c>
      <c r="I121" s="2157">
        <f>J121+K121+L121</f>
        <v>0.15</v>
      </c>
      <c r="J121" s="2157">
        <f>M121+N121+O121+P121+Q121+R121</f>
        <v>0.15</v>
      </c>
      <c r="K121" s="622"/>
      <c r="L121" s="622"/>
      <c r="M121" s="622"/>
      <c r="N121" s="622"/>
      <c r="O121" s="622"/>
      <c r="P121" s="622"/>
      <c r="Q121" s="622"/>
      <c r="R121" s="906">
        <v>0.15</v>
      </c>
      <c r="S121" s="106"/>
      <c r="T121" s="106"/>
      <c r="U121" s="106"/>
      <c r="V121" s="106"/>
      <c r="W121" s="105"/>
      <c r="X121" s="253"/>
      <c r="Y121" s="105"/>
      <c r="Z121" s="323"/>
      <c r="AB121">
        <v>1</v>
      </c>
      <c r="AE121" s="2461"/>
      <c r="AF121" s="68"/>
    </row>
    <row r="122" spans="1:32" ht="30.5" x14ac:dyDescent="0.35">
      <c r="A122" s="525">
        <v>52</v>
      </c>
      <c r="B122" s="515">
        <v>11433</v>
      </c>
      <c r="C122" s="515"/>
      <c r="D122" s="515" t="s">
        <v>3103</v>
      </c>
      <c r="E122" s="288" t="s">
        <v>3064</v>
      </c>
      <c r="F122" s="13"/>
      <c r="G122" s="13" t="s">
        <v>191</v>
      </c>
      <c r="H122" s="13" t="s">
        <v>191</v>
      </c>
      <c r="I122" s="297">
        <f>J122+K122+L122</f>
        <v>23.855</v>
      </c>
      <c r="J122" s="297">
        <f>SUM(M122:R122)</f>
        <v>23.855</v>
      </c>
      <c r="K122" s="297"/>
      <c r="L122" s="297"/>
      <c r="M122" s="1541">
        <f>SUM(M123:M129)</f>
        <v>4</v>
      </c>
      <c r="N122" s="297">
        <f>SUM(N123:N129)</f>
        <v>18.911999999999999</v>
      </c>
      <c r="O122" s="302"/>
      <c r="P122" s="297"/>
      <c r="Q122" s="932">
        <f>SUM(Q123:Q129)</f>
        <v>0.94300000000000139</v>
      </c>
      <c r="R122" s="925"/>
      <c r="S122" s="55">
        <v>2</v>
      </c>
      <c r="T122" s="55">
        <f>18.5+12.3</f>
        <v>30.8</v>
      </c>
      <c r="U122" s="154"/>
      <c r="V122" s="154"/>
      <c r="W122" s="1881">
        <v>43</v>
      </c>
      <c r="X122" s="1962">
        <v>581.4</v>
      </c>
      <c r="Y122" s="1881">
        <v>13</v>
      </c>
      <c r="Z122" s="1962">
        <v>153</v>
      </c>
      <c r="AB122">
        <v>1</v>
      </c>
      <c r="AE122" s="2461"/>
      <c r="AF122" s="68"/>
    </row>
    <row r="123" spans="1:32" ht="15.5" x14ac:dyDescent="0.35">
      <c r="A123" s="787"/>
      <c r="B123" s="515">
        <v>11433</v>
      </c>
      <c r="C123" s="515"/>
      <c r="D123" s="788"/>
      <c r="E123" s="289" t="s">
        <v>3063</v>
      </c>
      <c r="F123" s="13">
        <v>4</v>
      </c>
      <c r="G123" s="13">
        <v>4</v>
      </c>
      <c r="H123" s="13">
        <v>6</v>
      </c>
      <c r="I123" s="298"/>
      <c r="J123" s="298"/>
      <c r="K123" s="298"/>
      <c r="L123" s="298"/>
      <c r="M123" s="1542"/>
      <c r="N123" s="298">
        <v>14.5</v>
      </c>
      <c r="O123" s="299"/>
      <c r="P123" s="298"/>
      <c r="Q123" s="933"/>
      <c r="R123" s="927"/>
      <c r="S123" s="1138"/>
      <c r="T123" s="1138"/>
      <c r="U123" s="1944"/>
      <c r="V123" s="1944"/>
      <c r="W123" s="1138"/>
      <c r="X123" s="2074"/>
      <c r="Y123" s="1953"/>
      <c r="Z123" s="509"/>
      <c r="AE123" s="2461"/>
      <c r="AF123" s="68"/>
    </row>
    <row r="124" spans="1:32" ht="15.5" x14ac:dyDescent="0.35">
      <c r="A124" s="787"/>
      <c r="B124" s="515">
        <v>11433</v>
      </c>
      <c r="C124" s="515"/>
      <c r="D124" s="788"/>
      <c r="E124" s="979" t="s">
        <v>3060</v>
      </c>
      <c r="F124" s="13">
        <v>4</v>
      </c>
      <c r="G124" s="13">
        <v>4</v>
      </c>
      <c r="H124" s="13">
        <v>10</v>
      </c>
      <c r="I124" s="298"/>
      <c r="J124" s="298"/>
      <c r="K124" s="298"/>
      <c r="L124" s="298"/>
      <c r="M124" s="1542">
        <f>16.5-14.5</f>
        <v>2</v>
      </c>
      <c r="N124" s="298"/>
      <c r="O124" s="299"/>
      <c r="P124" s="298"/>
      <c r="Q124" s="933"/>
      <c r="R124" s="927"/>
      <c r="S124" s="1138"/>
      <c r="T124" s="1138"/>
      <c r="U124" s="1944"/>
      <c r="V124" s="1944"/>
      <c r="W124" s="1138"/>
      <c r="X124" s="2074"/>
      <c r="Y124" s="1953"/>
      <c r="Z124" s="509"/>
      <c r="AE124" s="2461"/>
      <c r="AF124" s="68"/>
    </row>
    <row r="125" spans="1:32" ht="15.5" x14ac:dyDescent="0.35">
      <c r="A125" s="787"/>
      <c r="B125" s="515">
        <v>11433</v>
      </c>
      <c r="C125" s="515"/>
      <c r="D125" s="788"/>
      <c r="E125" s="289" t="s">
        <v>3062</v>
      </c>
      <c r="F125" s="13">
        <v>4</v>
      </c>
      <c r="G125" s="13">
        <v>4</v>
      </c>
      <c r="H125" s="13">
        <v>6</v>
      </c>
      <c r="I125" s="298"/>
      <c r="J125" s="298"/>
      <c r="K125" s="298"/>
      <c r="L125" s="298"/>
      <c r="M125" s="1542"/>
      <c r="N125" s="298">
        <f>17.5-16.5</f>
        <v>1</v>
      </c>
      <c r="O125" s="299"/>
      <c r="P125" s="298"/>
      <c r="Q125" s="933"/>
      <c r="R125" s="927"/>
      <c r="S125" s="1138"/>
      <c r="T125" s="1138"/>
      <c r="U125" s="1944"/>
      <c r="V125" s="1944"/>
      <c r="W125" s="1138"/>
      <c r="X125" s="2074"/>
      <c r="Y125" s="1953"/>
      <c r="Z125" s="509"/>
      <c r="AE125" s="2461"/>
      <c r="AF125" s="68"/>
    </row>
    <row r="126" spans="1:32" ht="15.5" x14ac:dyDescent="0.35">
      <c r="A126" s="787"/>
      <c r="B126" s="515">
        <v>11433</v>
      </c>
      <c r="C126" s="515"/>
      <c r="D126" s="788"/>
      <c r="E126" s="979" t="s">
        <v>3061</v>
      </c>
      <c r="F126" s="13">
        <v>4</v>
      </c>
      <c r="G126" s="13">
        <v>4</v>
      </c>
      <c r="H126" s="13">
        <v>10</v>
      </c>
      <c r="I126" s="298"/>
      <c r="J126" s="298"/>
      <c r="K126" s="298"/>
      <c r="L126" s="298"/>
      <c r="M126" s="1542">
        <f>19.5-17.5</f>
        <v>2</v>
      </c>
      <c r="N126" s="298"/>
      <c r="O126" s="299"/>
      <c r="P126" s="298"/>
      <c r="Q126" s="933"/>
      <c r="R126" s="927"/>
      <c r="S126" s="1138"/>
      <c r="T126" s="1138"/>
      <c r="U126" s="1944"/>
      <c r="V126" s="1944"/>
      <c r="W126" s="1138"/>
      <c r="X126" s="2074"/>
      <c r="Y126" s="1953"/>
      <c r="Z126" s="509"/>
      <c r="AE126" s="2461"/>
      <c r="AF126" s="68"/>
    </row>
    <row r="127" spans="1:32" ht="15.5" x14ac:dyDescent="0.35">
      <c r="A127" s="787"/>
      <c r="B127" s="515">
        <v>11433</v>
      </c>
      <c r="C127" s="515"/>
      <c r="D127" s="788"/>
      <c r="E127" s="289" t="s">
        <v>3059</v>
      </c>
      <c r="F127" s="13">
        <v>4</v>
      </c>
      <c r="G127" s="13">
        <v>4</v>
      </c>
      <c r="H127" s="13">
        <v>6</v>
      </c>
      <c r="I127" s="298"/>
      <c r="J127" s="298"/>
      <c r="K127" s="298"/>
      <c r="L127" s="298"/>
      <c r="M127" s="1542"/>
      <c r="N127" s="298">
        <f>20.996-19.5</f>
        <v>1.4959999999999987</v>
      </c>
      <c r="O127" s="299"/>
      <c r="P127" s="298"/>
      <c r="Q127" s="933"/>
      <c r="R127" s="927"/>
      <c r="S127" s="1138"/>
      <c r="T127" s="1138"/>
      <c r="U127" s="1944"/>
      <c r="V127" s="1944"/>
      <c r="W127" s="1138"/>
      <c r="X127" s="2074"/>
      <c r="Y127" s="1953"/>
      <c r="Z127" s="509"/>
      <c r="AE127" s="2461"/>
      <c r="AF127" s="68"/>
    </row>
    <row r="128" spans="1:32" ht="15.5" x14ac:dyDescent="0.35">
      <c r="A128" s="787"/>
      <c r="B128" s="515">
        <v>11433</v>
      </c>
      <c r="C128" s="515"/>
      <c r="D128" s="788"/>
      <c r="E128" s="837" t="s">
        <v>3057</v>
      </c>
      <c r="F128" s="13">
        <v>4</v>
      </c>
      <c r="G128" s="13">
        <v>4</v>
      </c>
      <c r="H128" s="13">
        <v>6</v>
      </c>
      <c r="I128" s="298"/>
      <c r="J128" s="298"/>
      <c r="K128" s="298"/>
      <c r="L128" s="298"/>
      <c r="M128" s="1542"/>
      <c r="N128" s="298"/>
      <c r="O128" s="299"/>
      <c r="P128" s="298"/>
      <c r="Q128" s="933">
        <f>21.939-20.996</f>
        <v>0.94300000000000139</v>
      </c>
      <c r="R128" s="927"/>
      <c r="S128" s="1138"/>
      <c r="T128" s="1138"/>
      <c r="U128" s="1944"/>
      <c r="V128" s="1944"/>
      <c r="W128" s="1138"/>
      <c r="X128" s="2074"/>
      <c r="Y128" s="1953"/>
      <c r="Z128" s="509"/>
      <c r="AE128" s="2461"/>
      <c r="AF128" s="68"/>
    </row>
    <row r="129" spans="1:32" ht="15.5" x14ac:dyDescent="0.35">
      <c r="A129" s="787"/>
      <c r="B129" s="515">
        <v>11433</v>
      </c>
      <c r="C129" s="515"/>
      <c r="D129" s="788"/>
      <c r="E129" s="289" t="s">
        <v>3058</v>
      </c>
      <c r="F129" s="13">
        <v>4</v>
      </c>
      <c r="G129" s="13">
        <v>4</v>
      </c>
      <c r="H129" s="13">
        <v>6</v>
      </c>
      <c r="I129" s="298"/>
      <c r="J129" s="298"/>
      <c r="K129" s="298"/>
      <c r="L129" s="298"/>
      <c r="M129" s="1542"/>
      <c r="N129" s="298">
        <f>23.855-21.939</f>
        <v>1.9160000000000004</v>
      </c>
      <c r="O129" s="299"/>
      <c r="P129" s="298"/>
      <c r="Q129" s="933"/>
      <c r="R129" s="927"/>
      <c r="S129" s="1138"/>
      <c r="T129" s="1138"/>
      <c r="U129" s="1944"/>
      <c r="V129" s="1944"/>
      <c r="W129" s="1138"/>
      <c r="X129" s="2074"/>
      <c r="Y129" s="1953"/>
      <c r="Z129" s="509"/>
      <c r="AE129" s="2461"/>
      <c r="AF129" s="68"/>
    </row>
    <row r="130" spans="1:32" ht="30.5" x14ac:dyDescent="0.35">
      <c r="A130" s="294">
        <v>53</v>
      </c>
      <c r="B130" s="515">
        <v>11433</v>
      </c>
      <c r="C130" s="515"/>
      <c r="D130" s="2469" t="s">
        <v>6272</v>
      </c>
      <c r="E130" s="288" t="s">
        <v>8010</v>
      </c>
      <c r="F130" s="13"/>
      <c r="G130" s="13" t="s">
        <v>191</v>
      </c>
      <c r="H130" s="13" t="s">
        <v>191</v>
      </c>
      <c r="I130" s="297">
        <f>J130+K130+L130</f>
        <v>1.02</v>
      </c>
      <c r="J130" s="297">
        <f>SUM(M130:R130)</f>
        <v>1.02</v>
      </c>
      <c r="K130" s="297"/>
      <c r="L130" s="297"/>
      <c r="M130" s="1541"/>
      <c r="N130" s="297"/>
      <c r="O130" s="302"/>
      <c r="P130" s="297"/>
      <c r="Q130" s="932">
        <f>SUM(Q131:Q132)</f>
        <v>0.6</v>
      </c>
      <c r="R130" s="925">
        <f>SUM(R131:R132)</f>
        <v>0.42</v>
      </c>
      <c r="S130" s="154"/>
      <c r="T130" s="154"/>
      <c r="U130" s="154"/>
      <c r="V130" s="154"/>
      <c r="W130" s="1881">
        <v>3</v>
      </c>
      <c r="X130" s="1962">
        <v>35.599998474121094</v>
      </c>
      <c r="Y130" s="164">
        <v>2</v>
      </c>
      <c r="Z130" s="309">
        <v>25</v>
      </c>
      <c r="AB130">
        <v>1</v>
      </c>
      <c r="AE130" s="2461"/>
      <c r="AF130" s="68"/>
    </row>
    <row r="131" spans="1:32" ht="15.5" x14ac:dyDescent="0.35">
      <c r="A131" s="520"/>
      <c r="B131" s="515">
        <v>11433</v>
      </c>
      <c r="C131" s="515"/>
      <c r="D131" s="521"/>
      <c r="E131" s="837" t="s">
        <v>1503</v>
      </c>
      <c r="F131" s="13">
        <v>5</v>
      </c>
      <c r="G131" s="13">
        <v>5</v>
      </c>
      <c r="H131" s="13">
        <v>6</v>
      </c>
      <c r="I131" s="298"/>
      <c r="J131" s="298"/>
      <c r="K131" s="298"/>
      <c r="L131" s="298"/>
      <c r="M131" s="1542"/>
      <c r="N131" s="298"/>
      <c r="O131" s="299"/>
      <c r="P131" s="298"/>
      <c r="Q131" s="933">
        <v>0.6</v>
      </c>
      <c r="R131" s="927"/>
      <c r="S131" s="1944"/>
      <c r="T131" s="1944"/>
      <c r="U131" s="1944"/>
      <c r="V131" s="1944"/>
      <c r="W131" s="1944"/>
      <c r="X131" s="2497"/>
      <c r="Y131" s="1953"/>
      <c r="Z131" s="509"/>
      <c r="AE131" s="2461"/>
      <c r="AF131" s="68"/>
    </row>
    <row r="132" spans="1:32" ht="15.5" x14ac:dyDescent="0.35">
      <c r="A132" s="520"/>
      <c r="B132" s="515">
        <v>11433</v>
      </c>
      <c r="C132" s="515"/>
      <c r="D132" s="521"/>
      <c r="E132" s="838" t="s">
        <v>1802</v>
      </c>
      <c r="F132" s="13" t="s">
        <v>1490</v>
      </c>
      <c r="G132" s="13">
        <v>5</v>
      </c>
      <c r="H132" s="92">
        <v>6</v>
      </c>
      <c r="I132" s="298"/>
      <c r="J132" s="298"/>
      <c r="K132" s="298"/>
      <c r="L132" s="298"/>
      <c r="M132" s="1542"/>
      <c r="N132" s="298"/>
      <c r="O132" s="299"/>
      <c r="P132" s="298"/>
      <c r="Q132" s="933" t="s">
        <v>1516</v>
      </c>
      <c r="R132" s="927">
        <v>0.42</v>
      </c>
      <c r="S132" s="1944"/>
      <c r="T132" s="1944"/>
      <c r="U132" s="1944"/>
      <c r="V132" s="1944"/>
      <c r="W132" s="1944"/>
      <c r="X132" s="2497"/>
      <c r="Y132" s="1953"/>
      <c r="Z132" s="509"/>
      <c r="AE132" s="2461"/>
      <c r="AF132" s="68"/>
    </row>
    <row r="133" spans="1:32" ht="60" x14ac:dyDescent="0.35">
      <c r="A133" s="525">
        <v>54</v>
      </c>
      <c r="B133" s="693">
        <v>11433</v>
      </c>
      <c r="C133" s="693" t="s">
        <v>1656</v>
      </c>
      <c r="D133" s="2469" t="s">
        <v>6273</v>
      </c>
      <c r="E133" s="2187" t="s">
        <v>8997</v>
      </c>
      <c r="F133" s="92" t="s">
        <v>664</v>
      </c>
      <c r="G133" s="92">
        <v>5</v>
      </c>
      <c r="H133" s="92">
        <v>6</v>
      </c>
      <c r="I133" s="2157">
        <f>J133+K133+L133</f>
        <v>1.24</v>
      </c>
      <c r="J133" s="2157">
        <f>M133+N133+O133+P133+Q133+R133</f>
        <v>1.24</v>
      </c>
      <c r="K133" s="622"/>
      <c r="L133" s="622"/>
      <c r="M133" s="622"/>
      <c r="N133" s="622"/>
      <c r="O133" s="622"/>
      <c r="P133" s="622"/>
      <c r="Q133" s="622"/>
      <c r="R133" s="906">
        <v>1.24</v>
      </c>
      <c r="S133" s="106"/>
      <c r="T133" s="106"/>
      <c r="U133" s="106"/>
      <c r="V133" s="106"/>
      <c r="W133" s="105"/>
      <c r="X133" s="253"/>
      <c r="Y133" s="105"/>
      <c r="Z133" s="323"/>
      <c r="AB133">
        <v>1</v>
      </c>
      <c r="AE133" s="2461"/>
      <c r="AF133" s="68"/>
    </row>
    <row r="134" spans="1:32" ht="60.5" x14ac:dyDescent="0.35">
      <c r="A134" s="789">
        <v>55</v>
      </c>
      <c r="B134" s="1162">
        <v>11433</v>
      </c>
      <c r="C134" s="1162"/>
      <c r="D134" s="2469" t="s">
        <v>6274</v>
      </c>
      <c r="E134" s="511" t="s">
        <v>10242</v>
      </c>
      <c r="F134" s="13">
        <v>5</v>
      </c>
      <c r="G134" s="13">
        <v>4</v>
      </c>
      <c r="H134" s="13">
        <v>6</v>
      </c>
      <c r="I134" s="297">
        <f>J134+K134+L134</f>
        <v>0.7</v>
      </c>
      <c r="J134" s="297">
        <f>SUM(M134:R134)</f>
        <v>0.7</v>
      </c>
      <c r="K134" s="297"/>
      <c r="L134" s="297"/>
      <c r="M134" s="1541"/>
      <c r="N134" s="297">
        <v>0.7</v>
      </c>
      <c r="O134" s="302"/>
      <c r="P134" s="297"/>
      <c r="Q134" s="932"/>
      <c r="R134" s="925"/>
      <c r="S134" s="154"/>
      <c r="T134" s="154"/>
      <c r="U134" s="154"/>
      <c r="V134" s="154"/>
      <c r="W134" s="1881">
        <v>2</v>
      </c>
      <c r="X134" s="1962">
        <v>21.799999237060547</v>
      </c>
      <c r="Y134" s="164"/>
      <c r="Z134" s="309"/>
      <c r="AB134">
        <v>1</v>
      </c>
      <c r="AE134" s="2461"/>
      <c r="AF134" s="68"/>
    </row>
    <row r="135" spans="1:32" ht="45.5" x14ac:dyDescent="0.35">
      <c r="A135" s="525">
        <v>56</v>
      </c>
      <c r="B135" s="515">
        <v>11433</v>
      </c>
      <c r="C135" s="515"/>
      <c r="D135" s="2469" t="s">
        <v>6275</v>
      </c>
      <c r="E135" s="511" t="s">
        <v>8011</v>
      </c>
      <c r="F135" s="14">
        <v>5</v>
      </c>
      <c r="G135" s="14">
        <v>5</v>
      </c>
      <c r="H135" s="13">
        <v>6</v>
      </c>
      <c r="I135" s="297">
        <f>J135+K135+L135</f>
        <v>1.4</v>
      </c>
      <c r="J135" s="297">
        <f>SUM(M135:R135)</f>
        <v>1.4</v>
      </c>
      <c r="K135" s="297"/>
      <c r="L135" s="297"/>
      <c r="M135" s="1541"/>
      <c r="N135" s="297">
        <v>1.4</v>
      </c>
      <c r="O135" s="302"/>
      <c r="P135" s="297"/>
      <c r="Q135" s="932"/>
      <c r="R135" s="925"/>
      <c r="S135" s="154"/>
      <c r="T135" s="154"/>
      <c r="U135" s="154"/>
      <c r="V135" s="154"/>
      <c r="W135" s="1881">
        <v>2</v>
      </c>
      <c r="X135" s="1962">
        <v>30</v>
      </c>
      <c r="Y135" s="164"/>
      <c r="Z135" s="309"/>
      <c r="AB135">
        <v>1</v>
      </c>
      <c r="AE135" s="2461"/>
      <c r="AF135" s="68"/>
    </row>
    <row r="136" spans="1:32" ht="45.5" x14ac:dyDescent="0.35">
      <c r="A136" s="789">
        <v>57</v>
      </c>
      <c r="B136" s="515">
        <v>11433</v>
      </c>
      <c r="C136" s="515" t="s">
        <v>1655</v>
      </c>
      <c r="D136" s="2469" t="s">
        <v>6276</v>
      </c>
      <c r="E136" s="511" t="s">
        <v>7397</v>
      </c>
      <c r="F136" s="14" t="s">
        <v>664</v>
      </c>
      <c r="G136" s="14">
        <v>5</v>
      </c>
      <c r="H136" s="92">
        <v>6</v>
      </c>
      <c r="I136" s="297">
        <v>1.21</v>
      </c>
      <c r="J136" s="297">
        <v>1.21</v>
      </c>
      <c r="K136" s="297"/>
      <c r="L136" s="297"/>
      <c r="M136" s="1541"/>
      <c r="N136" s="297"/>
      <c r="O136" s="302"/>
      <c r="P136" s="297"/>
      <c r="Q136" s="932"/>
      <c r="R136" s="925">
        <v>1.21</v>
      </c>
      <c r="S136" s="154"/>
      <c r="T136" s="154"/>
      <c r="U136" s="154"/>
      <c r="V136" s="154"/>
      <c r="W136" s="154"/>
      <c r="X136" s="260"/>
      <c r="Y136" s="164"/>
      <c r="Z136" s="309"/>
      <c r="AB136">
        <v>1</v>
      </c>
      <c r="AE136" s="2461"/>
      <c r="AF136" s="68"/>
    </row>
    <row r="137" spans="1:32" ht="90" x14ac:dyDescent="0.4">
      <c r="A137" s="525">
        <v>58</v>
      </c>
      <c r="B137" s="693">
        <v>11433</v>
      </c>
      <c r="C137" s="515" t="s">
        <v>1655</v>
      </c>
      <c r="D137" s="2469" t="s">
        <v>6277</v>
      </c>
      <c r="E137" s="1845" t="s">
        <v>11210</v>
      </c>
      <c r="F137" s="92" t="s">
        <v>664</v>
      </c>
      <c r="G137" s="2570">
        <v>5</v>
      </c>
      <c r="H137" s="92">
        <v>6</v>
      </c>
      <c r="I137" s="2157">
        <f>J137+K137+L137</f>
        <v>0.39</v>
      </c>
      <c r="J137" s="2157">
        <f>M137+N137+O137+P137+Q137+R137</f>
        <v>0.39</v>
      </c>
      <c r="K137" s="622"/>
      <c r="L137" s="622"/>
      <c r="M137" s="622"/>
      <c r="N137" s="622"/>
      <c r="O137" s="622"/>
      <c r="P137" s="622"/>
      <c r="Q137" s="622"/>
      <c r="R137" s="1981">
        <v>0.39</v>
      </c>
      <c r="S137" s="785"/>
      <c r="T137" s="785"/>
      <c r="U137" s="785"/>
      <c r="V137" s="785"/>
      <c r="W137" s="785"/>
      <c r="X137" s="2989"/>
      <c r="Y137" s="785"/>
      <c r="Z137" s="1729"/>
      <c r="AB137">
        <v>1</v>
      </c>
      <c r="AE137" s="2461"/>
      <c r="AF137" s="68"/>
    </row>
    <row r="138" spans="1:32" ht="45" x14ac:dyDescent="0.35">
      <c r="A138" s="789">
        <v>59</v>
      </c>
      <c r="B138" s="693">
        <v>11433</v>
      </c>
      <c r="C138" s="693" t="s">
        <v>1656</v>
      </c>
      <c r="D138" s="2469" t="s">
        <v>6278</v>
      </c>
      <c r="E138" s="2187" t="s">
        <v>9297</v>
      </c>
      <c r="F138" s="92"/>
      <c r="G138" s="92" t="s">
        <v>191</v>
      </c>
      <c r="H138" s="13" t="s">
        <v>191</v>
      </c>
      <c r="I138" s="2157">
        <f>J138+K138+L138</f>
        <v>2.2770000000000001</v>
      </c>
      <c r="J138" s="2157">
        <f>M138+N138+O138+P138+Q138+R138</f>
        <v>2.2770000000000001</v>
      </c>
      <c r="K138" s="622"/>
      <c r="L138" s="622"/>
      <c r="M138" s="622"/>
      <c r="N138" s="622">
        <f>SUM(N139:N141)</f>
        <v>0.876</v>
      </c>
      <c r="O138" s="622"/>
      <c r="P138" s="622"/>
      <c r="Q138" s="932">
        <f>SUM(Q139:Q141)</f>
        <v>0.80500000000000005</v>
      </c>
      <c r="R138" s="906">
        <f>SUM(R139:R141)</f>
        <v>0.59600000000000009</v>
      </c>
      <c r="S138" s="105">
        <v>1</v>
      </c>
      <c r="T138" s="253">
        <v>27</v>
      </c>
      <c r="U138" s="106"/>
      <c r="V138" s="106"/>
      <c r="W138" s="105">
        <v>2</v>
      </c>
      <c r="X138" s="253">
        <v>16</v>
      </c>
      <c r="Y138" s="105">
        <v>1</v>
      </c>
      <c r="Z138" s="253">
        <v>9</v>
      </c>
      <c r="AB138">
        <v>1</v>
      </c>
      <c r="AE138" s="2461"/>
      <c r="AF138" s="68"/>
    </row>
    <row r="139" spans="1:32" ht="15.5" x14ac:dyDescent="0.35">
      <c r="A139" s="525"/>
      <c r="B139" s="693">
        <v>11433</v>
      </c>
      <c r="C139" s="693"/>
      <c r="D139" s="693"/>
      <c r="E139" s="289" t="s">
        <v>3065</v>
      </c>
      <c r="F139" s="92">
        <v>5</v>
      </c>
      <c r="G139" s="92">
        <v>5</v>
      </c>
      <c r="H139" s="13">
        <v>6</v>
      </c>
      <c r="I139" s="2157"/>
      <c r="J139" s="2157"/>
      <c r="K139" s="622"/>
      <c r="L139" s="622"/>
      <c r="M139" s="622"/>
      <c r="N139" s="395">
        <v>0.876</v>
      </c>
      <c r="O139" s="622"/>
      <c r="P139" s="622"/>
      <c r="Q139" s="933"/>
      <c r="R139" s="906"/>
      <c r="S139" s="106"/>
      <c r="T139" s="106"/>
      <c r="U139" s="106"/>
      <c r="V139" s="106"/>
      <c r="W139" s="105"/>
      <c r="X139" s="253"/>
      <c r="Y139" s="105"/>
      <c r="Z139" s="323"/>
      <c r="AE139" s="2461"/>
      <c r="AF139" s="68"/>
    </row>
    <row r="140" spans="1:32" ht="15.5" x14ac:dyDescent="0.35">
      <c r="A140" s="525"/>
      <c r="B140" s="693">
        <v>11433</v>
      </c>
      <c r="C140" s="693"/>
      <c r="D140" s="693"/>
      <c r="E140" s="837" t="s">
        <v>3066</v>
      </c>
      <c r="F140" s="92" t="s">
        <v>827</v>
      </c>
      <c r="G140" s="92">
        <v>5</v>
      </c>
      <c r="H140" s="13">
        <v>6</v>
      </c>
      <c r="I140" s="2157"/>
      <c r="J140" s="2157"/>
      <c r="K140" s="622"/>
      <c r="L140" s="622"/>
      <c r="M140" s="622"/>
      <c r="N140" s="622"/>
      <c r="O140" s="622"/>
      <c r="P140" s="622"/>
      <c r="Q140" s="933">
        <f>1.681-0.876</f>
        <v>0.80500000000000005</v>
      </c>
      <c r="R140" s="906"/>
      <c r="S140" s="106"/>
      <c r="T140" s="106"/>
      <c r="U140" s="106"/>
      <c r="V140" s="106"/>
      <c r="W140" s="105"/>
      <c r="X140" s="253"/>
      <c r="Y140" s="105"/>
      <c r="Z140" s="323"/>
      <c r="AE140" s="2461"/>
      <c r="AF140" s="68"/>
    </row>
    <row r="141" spans="1:32" ht="15.5" x14ac:dyDescent="0.35">
      <c r="A141" s="525"/>
      <c r="B141" s="693">
        <v>11433</v>
      </c>
      <c r="C141" s="693"/>
      <c r="D141" s="693"/>
      <c r="E141" s="838" t="s">
        <v>3067</v>
      </c>
      <c r="F141" s="92" t="s">
        <v>1490</v>
      </c>
      <c r="G141" s="92">
        <v>5</v>
      </c>
      <c r="H141" s="92">
        <v>6</v>
      </c>
      <c r="I141" s="2157"/>
      <c r="J141" s="2157"/>
      <c r="K141" s="622"/>
      <c r="L141" s="622"/>
      <c r="M141" s="622"/>
      <c r="N141" s="622"/>
      <c r="O141" s="622"/>
      <c r="P141" s="622"/>
      <c r="Q141" s="622"/>
      <c r="R141" s="907">
        <f>2.277-1.681</f>
        <v>0.59600000000000009</v>
      </c>
      <c r="S141" s="106"/>
      <c r="T141" s="106"/>
      <c r="U141" s="106"/>
      <c r="V141" s="106"/>
      <c r="W141" s="105"/>
      <c r="X141" s="253"/>
      <c r="Y141" s="105"/>
      <c r="Z141" s="323"/>
      <c r="AE141" s="2461"/>
      <c r="AF141" s="68"/>
    </row>
    <row r="142" spans="1:32" ht="45" x14ac:dyDescent="0.35">
      <c r="A142" s="789">
        <v>60</v>
      </c>
      <c r="B142" s="693">
        <v>11433</v>
      </c>
      <c r="C142" s="693" t="s">
        <v>1656</v>
      </c>
      <c r="D142" s="2469" t="s">
        <v>6279</v>
      </c>
      <c r="E142" s="2187" t="s">
        <v>8998</v>
      </c>
      <c r="F142" s="92" t="s">
        <v>664</v>
      </c>
      <c r="G142" s="92">
        <v>5</v>
      </c>
      <c r="H142" s="92">
        <v>6</v>
      </c>
      <c r="I142" s="2157">
        <f t="shared" ref="I142:I150" si="11">J142+K142+L142</f>
        <v>0.5</v>
      </c>
      <c r="J142" s="2157">
        <f t="shared" ref="J142:J147" si="12">M142+N142+O142+P142+Q142+R142</f>
        <v>0.5</v>
      </c>
      <c r="K142" s="622"/>
      <c r="L142" s="622"/>
      <c r="M142" s="622"/>
      <c r="N142" s="622"/>
      <c r="O142" s="622"/>
      <c r="P142" s="622"/>
      <c r="Q142" s="622"/>
      <c r="R142" s="906">
        <v>0.5</v>
      </c>
      <c r="S142" s="106"/>
      <c r="T142" s="106"/>
      <c r="U142" s="106"/>
      <c r="V142" s="106"/>
      <c r="W142" s="105"/>
      <c r="X142" s="253"/>
      <c r="Y142" s="105"/>
      <c r="Z142" s="323"/>
      <c r="AB142">
        <v>1</v>
      </c>
      <c r="AE142" s="2461"/>
      <c r="AF142" s="68"/>
    </row>
    <row r="143" spans="1:32" ht="45" x14ac:dyDescent="0.35">
      <c r="A143" s="525">
        <v>61</v>
      </c>
      <c r="B143" s="693">
        <v>11433</v>
      </c>
      <c r="C143" s="693" t="s">
        <v>1656</v>
      </c>
      <c r="D143" s="2469" t="s">
        <v>6280</v>
      </c>
      <c r="E143" s="2187" t="s">
        <v>8999</v>
      </c>
      <c r="F143" s="92" t="s">
        <v>664</v>
      </c>
      <c r="G143" s="92">
        <v>5</v>
      </c>
      <c r="H143" s="92">
        <v>6</v>
      </c>
      <c r="I143" s="2157">
        <f t="shared" si="11"/>
        <v>0.6</v>
      </c>
      <c r="J143" s="2157">
        <f t="shared" si="12"/>
        <v>0.6</v>
      </c>
      <c r="K143" s="622"/>
      <c r="L143" s="622"/>
      <c r="M143" s="622"/>
      <c r="N143" s="622"/>
      <c r="O143" s="622"/>
      <c r="P143" s="622"/>
      <c r="Q143" s="622"/>
      <c r="R143" s="906">
        <v>0.6</v>
      </c>
      <c r="S143" s="106"/>
      <c r="T143" s="106"/>
      <c r="U143" s="106"/>
      <c r="V143" s="106"/>
      <c r="W143" s="105"/>
      <c r="X143" s="253"/>
      <c r="Y143" s="105"/>
      <c r="Z143" s="323"/>
      <c r="AB143">
        <v>1</v>
      </c>
      <c r="AE143" s="2461"/>
      <c r="AF143" s="68"/>
    </row>
    <row r="144" spans="1:32" ht="45" x14ac:dyDescent="0.35">
      <c r="A144" s="789">
        <v>62</v>
      </c>
      <c r="B144" s="693">
        <v>11433</v>
      </c>
      <c r="C144" s="693" t="s">
        <v>1656</v>
      </c>
      <c r="D144" s="2469" t="s">
        <v>6281</v>
      </c>
      <c r="E144" s="2187" t="s">
        <v>9000</v>
      </c>
      <c r="F144" s="92" t="s">
        <v>664</v>
      </c>
      <c r="G144" s="92">
        <v>5</v>
      </c>
      <c r="H144" s="92">
        <v>6</v>
      </c>
      <c r="I144" s="2157">
        <f t="shared" si="11"/>
        <v>0.39</v>
      </c>
      <c r="J144" s="2157">
        <f t="shared" si="12"/>
        <v>0.39</v>
      </c>
      <c r="K144" s="622"/>
      <c r="L144" s="622"/>
      <c r="M144" s="622"/>
      <c r="N144" s="622"/>
      <c r="O144" s="622"/>
      <c r="P144" s="622"/>
      <c r="Q144" s="622"/>
      <c r="R144" s="906">
        <v>0.39</v>
      </c>
      <c r="S144" s="106"/>
      <c r="T144" s="106"/>
      <c r="U144" s="106"/>
      <c r="V144" s="106"/>
      <c r="W144" s="105"/>
      <c r="X144" s="253"/>
      <c r="Y144" s="105"/>
      <c r="Z144" s="323"/>
      <c r="AB144">
        <v>1</v>
      </c>
      <c r="AE144" s="2461"/>
      <c r="AF144" s="68"/>
    </row>
    <row r="145" spans="1:32" ht="45" x14ac:dyDescent="0.35">
      <c r="A145" s="525">
        <v>63</v>
      </c>
      <c r="B145" s="693">
        <v>11433</v>
      </c>
      <c r="C145" s="693" t="s">
        <v>1656</v>
      </c>
      <c r="D145" s="2469" t="s">
        <v>6282</v>
      </c>
      <c r="E145" s="2187" t="s">
        <v>9001</v>
      </c>
      <c r="F145" s="92" t="s">
        <v>664</v>
      </c>
      <c r="G145" s="92">
        <v>5</v>
      </c>
      <c r="H145" s="92">
        <v>6</v>
      </c>
      <c r="I145" s="2157">
        <f t="shared" si="11"/>
        <v>1.27</v>
      </c>
      <c r="J145" s="2157">
        <f t="shared" si="12"/>
        <v>1.27</v>
      </c>
      <c r="K145" s="622"/>
      <c r="L145" s="622"/>
      <c r="M145" s="622"/>
      <c r="N145" s="622"/>
      <c r="O145" s="622"/>
      <c r="P145" s="622"/>
      <c r="Q145" s="622"/>
      <c r="R145" s="906">
        <v>1.27</v>
      </c>
      <c r="S145" s="106"/>
      <c r="T145" s="106"/>
      <c r="U145" s="106"/>
      <c r="V145" s="106"/>
      <c r="W145" s="105"/>
      <c r="X145" s="253"/>
      <c r="Y145" s="105"/>
      <c r="Z145" s="323"/>
      <c r="AB145">
        <v>1</v>
      </c>
      <c r="AE145" s="2461"/>
      <c r="AF145" s="68"/>
    </row>
    <row r="146" spans="1:32" ht="45" x14ac:dyDescent="0.35">
      <c r="A146" s="789">
        <v>64</v>
      </c>
      <c r="B146" s="693">
        <v>11433</v>
      </c>
      <c r="C146" s="693" t="s">
        <v>1656</v>
      </c>
      <c r="D146" s="2469" t="s">
        <v>6283</v>
      </c>
      <c r="E146" s="2187" t="s">
        <v>9002</v>
      </c>
      <c r="F146" s="92" t="s">
        <v>664</v>
      </c>
      <c r="G146" s="92">
        <v>5</v>
      </c>
      <c r="H146" s="92">
        <v>6</v>
      </c>
      <c r="I146" s="2157">
        <f t="shared" si="11"/>
        <v>0.56000000000000005</v>
      </c>
      <c r="J146" s="2157">
        <f t="shared" si="12"/>
        <v>0.56000000000000005</v>
      </c>
      <c r="K146" s="622"/>
      <c r="L146" s="622"/>
      <c r="M146" s="622"/>
      <c r="N146" s="622"/>
      <c r="O146" s="622"/>
      <c r="P146" s="622"/>
      <c r="Q146" s="622"/>
      <c r="R146" s="906">
        <v>0.56000000000000005</v>
      </c>
      <c r="S146" s="106"/>
      <c r="T146" s="106"/>
      <c r="U146" s="106"/>
      <c r="V146" s="106"/>
      <c r="W146" s="105"/>
      <c r="X146" s="253"/>
      <c r="Y146" s="105"/>
      <c r="Z146" s="323"/>
      <c r="AB146">
        <v>1</v>
      </c>
      <c r="AE146" s="2461"/>
      <c r="AF146" s="68"/>
    </row>
    <row r="147" spans="1:32" ht="45" x14ac:dyDescent="0.35">
      <c r="A147" s="525">
        <v>65</v>
      </c>
      <c r="B147" s="693">
        <v>11433</v>
      </c>
      <c r="C147" s="693" t="s">
        <v>1656</v>
      </c>
      <c r="D147" s="2469" t="s">
        <v>6284</v>
      </c>
      <c r="E147" s="2187" t="s">
        <v>9003</v>
      </c>
      <c r="F147" s="92" t="s">
        <v>664</v>
      </c>
      <c r="G147" s="92">
        <v>5</v>
      </c>
      <c r="H147" s="92">
        <v>6</v>
      </c>
      <c r="I147" s="2157">
        <f t="shared" si="11"/>
        <v>1.1000000000000001</v>
      </c>
      <c r="J147" s="2157">
        <f t="shared" si="12"/>
        <v>1.1000000000000001</v>
      </c>
      <c r="K147" s="622"/>
      <c r="L147" s="622"/>
      <c r="M147" s="622"/>
      <c r="N147" s="622"/>
      <c r="O147" s="622"/>
      <c r="P147" s="622"/>
      <c r="Q147" s="622"/>
      <c r="R147" s="906">
        <v>1.1000000000000001</v>
      </c>
      <c r="S147" s="106"/>
      <c r="T147" s="106"/>
      <c r="U147" s="106"/>
      <c r="V147" s="106"/>
      <c r="W147" s="105"/>
      <c r="X147" s="253"/>
      <c r="Y147" s="105"/>
      <c r="Z147" s="323"/>
      <c r="AB147">
        <v>1</v>
      </c>
      <c r="AE147" s="2461"/>
      <c r="AF147" s="68"/>
    </row>
    <row r="148" spans="1:32" ht="75.5" x14ac:dyDescent="0.35">
      <c r="A148" s="789">
        <v>66</v>
      </c>
      <c r="B148" s="693">
        <v>11433</v>
      </c>
      <c r="C148" s="693" t="s">
        <v>1655</v>
      </c>
      <c r="D148" s="2469" t="s">
        <v>6285</v>
      </c>
      <c r="E148" s="511" t="s">
        <v>9298</v>
      </c>
      <c r="F148" s="1138" t="s">
        <v>664</v>
      </c>
      <c r="G148" s="2289">
        <v>5</v>
      </c>
      <c r="H148" s="92">
        <v>6</v>
      </c>
      <c r="I148" s="297">
        <f t="shared" si="11"/>
        <v>1.1000000000000001</v>
      </c>
      <c r="J148" s="297">
        <f>SUM(M148:R148)</f>
        <v>1.1000000000000001</v>
      </c>
      <c r="K148" s="489"/>
      <c r="L148" s="489"/>
      <c r="M148" s="1543"/>
      <c r="N148" s="489"/>
      <c r="O148" s="491"/>
      <c r="P148" s="489"/>
      <c r="Q148" s="932"/>
      <c r="R148" s="929">
        <v>1.1000000000000001</v>
      </c>
      <c r="S148" s="154"/>
      <c r="T148" s="154"/>
      <c r="U148" s="154"/>
      <c r="V148" s="154"/>
      <c r="W148" s="1881"/>
      <c r="X148" s="1962"/>
      <c r="Y148" s="164"/>
      <c r="Z148" s="309"/>
      <c r="AB148">
        <v>1</v>
      </c>
      <c r="AE148" s="2461"/>
      <c r="AF148" s="68"/>
    </row>
    <row r="149" spans="1:32" ht="60.5" x14ac:dyDescent="0.35">
      <c r="A149" s="789">
        <v>67</v>
      </c>
      <c r="B149" s="693">
        <v>11433</v>
      </c>
      <c r="C149" s="693" t="s">
        <v>1655</v>
      </c>
      <c r="D149" s="2469" t="s">
        <v>6286</v>
      </c>
      <c r="E149" s="511" t="s">
        <v>7398</v>
      </c>
      <c r="F149" s="1138" t="s">
        <v>664</v>
      </c>
      <c r="G149" s="2289">
        <v>5</v>
      </c>
      <c r="H149" s="92">
        <v>6</v>
      </c>
      <c r="I149" s="297">
        <f t="shared" si="11"/>
        <v>0.6</v>
      </c>
      <c r="J149" s="297">
        <f>SUM(M149:R149)</f>
        <v>0.6</v>
      </c>
      <c r="K149" s="297"/>
      <c r="L149" s="297"/>
      <c r="M149" s="1541"/>
      <c r="N149" s="297"/>
      <c r="O149" s="302"/>
      <c r="P149" s="297"/>
      <c r="Q149" s="932"/>
      <c r="R149" s="925">
        <v>0.6</v>
      </c>
      <c r="S149" s="55"/>
      <c r="T149" s="55"/>
      <c r="U149" s="154"/>
      <c r="V149" s="154"/>
      <c r="W149" s="1881"/>
      <c r="X149" s="1962"/>
      <c r="Y149" s="164"/>
      <c r="Z149" s="309"/>
      <c r="AB149">
        <v>1</v>
      </c>
      <c r="AE149" s="2461"/>
      <c r="AF149" s="68"/>
    </row>
    <row r="150" spans="1:32" ht="30.5" x14ac:dyDescent="0.35">
      <c r="A150" s="525">
        <v>68</v>
      </c>
      <c r="B150" s="515">
        <v>11434</v>
      </c>
      <c r="C150" s="515"/>
      <c r="D150" s="515" t="s">
        <v>1508</v>
      </c>
      <c r="E150" s="288" t="s">
        <v>2735</v>
      </c>
      <c r="F150" s="13"/>
      <c r="G150" s="13" t="s">
        <v>191</v>
      </c>
      <c r="H150" s="13" t="s">
        <v>191</v>
      </c>
      <c r="I150" s="297">
        <f t="shared" si="11"/>
        <v>23.939999999999998</v>
      </c>
      <c r="J150" s="297">
        <f>SUM(M150:R150)</f>
        <v>22.919999999999998</v>
      </c>
      <c r="K150" s="297"/>
      <c r="L150" s="297">
        <f>SUM(L151:L156)</f>
        <v>1.0199999999999996</v>
      </c>
      <c r="M150" s="1541">
        <f>SUM(M151:M156)</f>
        <v>18.54</v>
      </c>
      <c r="N150" s="297">
        <f>SUM(N151:N156)</f>
        <v>0.5</v>
      </c>
      <c r="O150" s="302"/>
      <c r="P150" s="297"/>
      <c r="Q150" s="932">
        <f>SUM(Q151:Q156)</f>
        <v>3.88</v>
      </c>
      <c r="R150" s="925"/>
      <c r="S150" s="55">
        <v>1</v>
      </c>
      <c r="T150" s="55">
        <v>64.5</v>
      </c>
      <c r="U150" s="154"/>
      <c r="V150" s="154"/>
      <c r="W150" s="1881">
        <v>45</v>
      </c>
      <c r="X150" s="1962">
        <v>652.70001220703125</v>
      </c>
      <c r="Y150" s="164">
        <v>14</v>
      </c>
      <c r="Z150" s="309">
        <v>164</v>
      </c>
      <c r="AB150">
        <v>1</v>
      </c>
      <c r="AE150" s="2461"/>
      <c r="AF150" s="68"/>
    </row>
    <row r="151" spans="1:32" ht="15.5" x14ac:dyDescent="0.35">
      <c r="A151" s="787"/>
      <c r="B151" s="515">
        <v>11434</v>
      </c>
      <c r="C151" s="515"/>
      <c r="D151" s="788"/>
      <c r="E151" s="979" t="s">
        <v>2750</v>
      </c>
      <c r="F151" s="13">
        <v>4</v>
      </c>
      <c r="G151" s="13">
        <v>5</v>
      </c>
      <c r="H151" s="13">
        <v>10</v>
      </c>
      <c r="I151" s="298"/>
      <c r="J151" s="298"/>
      <c r="K151" s="298"/>
      <c r="L151" s="298"/>
      <c r="M151" s="1542">
        <v>13.44</v>
      </c>
      <c r="N151" s="298"/>
      <c r="O151" s="299"/>
      <c r="P151" s="298"/>
      <c r="Q151" s="933"/>
      <c r="R151" s="927"/>
      <c r="S151" s="1138"/>
      <c r="T151" s="1138"/>
      <c r="U151" s="1944"/>
      <c r="V151" s="1944"/>
      <c r="W151" s="1138"/>
      <c r="X151" s="2074"/>
      <c r="Y151" s="1953"/>
      <c r="Z151" s="509"/>
      <c r="AE151" s="2461"/>
      <c r="AF151" s="68"/>
    </row>
    <row r="152" spans="1:32" ht="15.5" x14ac:dyDescent="0.35">
      <c r="A152" s="787"/>
      <c r="B152" s="515">
        <v>11434</v>
      </c>
      <c r="C152" s="515"/>
      <c r="D152" s="788"/>
      <c r="E152" s="289" t="s">
        <v>1245</v>
      </c>
      <c r="F152" s="13">
        <v>4</v>
      </c>
      <c r="G152" s="13">
        <v>5</v>
      </c>
      <c r="H152" s="13">
        <v>6</v>
      </c>
      <c r="I152" s="298"/>
      <c r="J152" s="298"/>
      <c r="K152" s="298"/>
      <c r="L152" s="298"/>
      <c r="M152" s="1542"/>
      <c r="N152" s="298">
        <v>0.5</v>
      </c>
      <c r="O152" s="299"/>
      <c r="P152" s="298"/>
      <c r="Q152" s="933"/>
      <c r="R152" s="927"/>
      <c r="S152" s="1138"/>
      <c r="T152" s="1138"/>
      <c r="U152" s="1944"/>
      <c r="V152" s="1944"/>
      <c r="W152" s="1138"/>
      <c r="X152" s="2074"/>
      <c r="Y152" s="1953"/>
      <c r="Z152" s="509"/>
      <c r="AE152" s="2461"/>
      <c r="AF152" s="68"/>
    </row>
    <row r="153" spans="1:32" ht="15.5" x14ac:dyDescent="0.35">
      <c r="A153" s="787"/>
      <c r="B153" s="515">
        <v>11434</v>
      </c>
      <c r="C153" s="515"/>
      <c r="D153" s="788"/>
      <c r="E153" s="979" t="s">
        <v>1246</v>
      </c>
      <c r="F153" s="13">
        <v>4</v>
      </c>
      <c r="G153" s="13">
        <v>5</v>
      </c>
      <c r="H153" s="13">
        <v>10</v>
      </c>
      <c r="I153" s="298"/>
      <c r="J153" s="298"/>
      <c r="K153" s="298"/>
      <c r="L153" s="298"/>
      <c r="M153" s="1542">
        <v>0.38</v>
      </c>
      <c r="N153" s="298"/>
      <c r="O153" s="299"/>
      <c r="P153" s="298"/>
      <c r="Q153" s="933"/>
      <c r="R153" s="927"/>
      <c r="S153" s="1138"/>
      <c r="T153" s="1138"/>
      <c r="U153" s="1944"/>
      <c r="V153" s="1944"/>
      <c r="W153" s="1138"/>
      <c r="X153" s="2074"/>
      <c r="Y153" s="1953"/>
      <c r="Z153" s="509"/>
      <c r="AE153" s="2461"/>
      <c r="AF153" s="68"/>
    </row>
    <row r="154" spans="1:32" ht="31" x14ac:dyDescent="0.35">
      <c r="A154" s="787"/>
      <c r="B154" s="515">
        <v>11434</v>
      </c>
      <c r="C154" s="515"/>
      <c r="D154" s="788"/>
      <c r="E154" s="289" t="s">
        <v>1247</v>
      </c>
      <c r="F154" s="13">
        <v>4</v>
      </c>
      <c r="G154" s="13">
        <v>5</v>
      </c>
      <c r="H154" s="13" t="s">
        <v>191</v>
      </c>
      <c r="I154" s="298"/>
      <c r="J154" s="298"/>
      <c r="K154" s="298"/>
      <c r="L154" s="298">
        <f>15.34-14.32</f>
        <v>1.0199999999999996</v>
      </c>
      <c r="M154" s="1542"/>
      <c r="N154" s="298"/>
      <c r="O154" s="299"/>
      <c r="P154" s="298"/>
      <c r="Q154" s="933"/>
      <c r="R154" s="927"/>
      <c r="S154" s="1138"/>
      <c r="T154" s="1138"/>
      <c r="U154" s="1944"/>
      <c r="V154" s="1944"/>
      <c r="W154" s="1138"/>
      <c r="X154" s="2074"/>
      <c r="Y154" s="1953"/>
      <c r="Z154" s="509"/>
      <c r="AE154" s="2461"/>
      <c r="AF154" s="68"/>
    </row>
    <row r="155" spans="1:32" ht="15.5" x14ac:dyDescent="0.35">
      <c r="A155" s="787"/>
      <c r="B155" s="515">
        <v>11434</v>
      </c>
      <c r="C155" s="515"/>
      <c r="D155" s="788"/>
      <c r="E155" s="979" t="s">
        <v>418</v>
      </c>
      <c r="F155" s="13">
        <v>4</v>
      </c>
      <c r="G155" s="13">
        <v>5</v>
      </c>
      <c r="H155" s="13">
        <v>10</v>
      </c>
      <c r="I155" s="298"/>
      <c r="J155" s="298"/>
      <c r="K155" s="298"/>
      <c r="L155" s="298"/>
      <c r="M155" s="1542">
        <v>4.72</v>
      </c>
      <c r="N155" s="298"/>
      <c r="O155" s="299"/>
      <c r="P155" s="298"/>
      <c r="Q155" s="933"/>
      <c r="R155" s="927"/>
      <c r="S155" s="1138"/>
      <c r="T155" s="1138"/>
      <c r="U155" s="1944"/>
      <c r="V155" s="1944"/>
      <c r="W155" s="1138"/>
      <c r="X155" s="2074"/>
      <c r="Y155" s="1953"/>
      <c r="Z155" s="509"/>
      <c r="AE155" s="2461"/>
      <c r="AF155" s="68"/>
    </row>
    <row r="156" spans="1:32" ht="15.5" x14ac:dyDescent="0.35">
      <c r="A156" s="787"/>
      <c r="B156" s="515">
        <v>11434</v>
      </c>
      <c r="C156" s="515"/>
      <c r="D156" s="788"/>
      <c r="E156" s="837" t="s">
        <v>419</v>
      </c>
      <c r="F156" s="13">
        <v>4</v>
      </c>
      <c r="G156" s="13">
        <v>5</v>
      </c>
      <c r="H156" s="13">
        <v>6</v>
      </c>
      <c r="I156" s="298"/>
      <c r="J156" s="298"/>
      <c r="K156" s="298"/>
      <c r="L156" s="298"/>
      <c r="M156" s="1542"/>
      <c r="N156" s="298"/>
      <c r="O156" s="299"/>
      <c r="P156" s="298"/>
      <c r="Q156" s="933">
        <v>3.88</v>
      </c>
      <c r="R156" s="927"/>
      <c r="S156" s="1138"/>
      <c r="T156" s="1138"/>
      <c r="U156" s="1944"/>
      <c r="V156" s="1944"/>
      <c r="W156" s="1138"/>
      <c r="X156" s="2074"/>
      <c r="Y156" s="1953"/>
      <c r="Z156" s="509"/>
      <c r="AA156" t="s">
        <v>2884</v>
      </c>
      <c r="AE156" s="2461"/>
      <c r="AF156" s="68"/>
    </row>
    <row r="157" spans="1:32" s="63" customFormat="1" ht="31" x14ac:dyDescent="0.4">
      <c r="A157" s="789">
        <v>69</v>
      </c>
      <c r="B157" s="1162">
        <v>11434</v>
      </c>
      <c r="C157" s="1162"/>
      <c r="D157" s="2469" t="s">
        <v>6287</v>
      </c>
      <c r="E157" s="511" t="s">
        <v>8012</v>
      </c>
      <c r="F157" s="13"/>
      <c r="G157" s="13" t="s">
        <v>191</v>
      </c>
      <c r="H157" s="13" t="s">
        <v>191</v>
      </c>
      <c r="I157" s="297">
        <f>J157+K157+L157</f>
        <v>1.17</v>
      </c>
      <c r="J157" s="297">
        <f>SUM(M157:R157)</f>
        <v>1.17</v>
      </c>
      <c r="K157" s="489"/>
      <c r="L157" s="489"/>
      <c r="M157" s="1543">
        <f>SUM(M158:M159)</f>
        <v>0.9</v>
      </c>
      <c r="N157" s="489"/>
      <c r="O157" s="491"/>
      <c r="P157" s="489"/>
      <c r="Q157" s="935">
        <f>SUM(Q158:Q159)</f>
        <v>0.27</v>
      </c>
      <c r="R157" s="929"/>
      <c r="S157" s="154"/>
      <c r="T157" s="154"/>
      <c r="U157" s="154"/>
      <c r="V157" s="154"/>
      <c r="W157" s="1881">
        <v>3</v>
      </c>
      <c r="X157" s="1962">
        <v>45.299999237060547</v>
      </c>
      <c r="Y157" s="164"/>
      <c r="Z157" s="309"/>
      <c r="AA157"/>
      <c r="AB157">
        <v>1</v>
      </c>
      <c r="AE157" s="2461"/>
      <c r="AF157" s="68"/>
    </row>
    <row r="158" spans="1:32" s="63" customFormat="1" ht="16" x14ac:dyDescent="0.4">
      <c r="A158" s="790"/>
      <c r="B158" s="1162">
        <v>11434</v>
      </c>
      <c r="C158" s="1162"/>
      <c r="D158" s="788"/>
      <c r="E158" s="979" t="s">
        <v>282</v>
      </c>
      <c r="F158" s="13">
        <v>5</v>
      </c>
      <c r="G158" s="13">
        <v>5</v>
      </c>
      <c r="H158" s="13">
        <v>10</v>
      </c>
      <c r="I158" s="298"/>
      <c r="J158" s="298"/>
      <c r="K158" s="492"/>
      <c r="L158" s="492"/>
      <c r="M158" s="1544">
        <v>0.9</v>
      </c>
      <c r="N158" s="492"/>
      <c r="O158" s="494"/>
      <c r="P158" s="492"/>
      <c r="Q158" s="933"/>
      <c r="R158" s="1014"/>
      <c r="S158" s="1944"/>
      <c r="T158" s="1944"/>
      <c r="U158" s="1944"/>
      <c r="V158" s="1944"/>
      <c r="W158" s="1138"/>
      <c r="X158" s="2074"/>
      <c r="Y158" s="1953"/>
      <c r="Z158" s="509"/>
      <c r="AA158"/>
      <c r="AB158"/>
      <c r="AE158" s="2461"/>
      <c r="AF158" s="68"/>
    </row>
    <row r="159" spans="1:32" ht="15.5" x14ac:dyDescent="0.35">
      <c r="A159" s="790"/>
      <c r="B159" s="1162">
        <v>11434</v>
      </c>
      <c r="C159" s="1162"/>
      <c r="D159" s="788"/>
      <c r="E159" s="837" t="s">
        <v>1248</v>
      </c>
      <c r="F159" s="1138" t="s">
        <v>1490</v>
      </c>
      <c r="G159" s="13">
        <v>5</v>
      </c>
      <c r="H159" s="13">
        <v>6</v>
      </c>
      <c r="I159" s="298"/>
      <c r="J159" s="298"/>
      <c r="K159" s="492"/>
      <c r="L159" s="492"/>
      <c r="M159" s="1544"/>
      <c r="N159" s="492"/>
      <c r="O159" s="494"/>
      <c r="P159" s="492"/>
      <c r="Q159" s="933">
        <v>0.27</v>
      </c>
      <c r="R159" s="1014"/>
      <c r="S159" s="1944"/>
      <c r="T159" s="1944"/>
      <c r="U159" s="1944"/>
      <c r="V159" s="1944"/>
      <c r="W159" s="1138"/>
      <c r="X159" s="2074"/>
      <c r="Y159" s="1953"/>
      <c r="Z159" s="509"/>
      <c r="AE159" s="2461"/>
      <c r="AF159" s="68"/>
    </row>
    <row r="160" spans="1:32" ht="30.5" x14ac:dyDescent="0.35">
      <c r="A160" s="789">
        <v>70</v>
      </c>
      <c r="B160" s="1162">
        <v>11434</v>
      </c>
      <c r="C160" s="1162"/>
      <c r="D160" s="2469" t="s">
        <v>6288</v>
      </c>
      <c r="E160" s="288" t="s">
        <v>8013</v>
      </c>
      <c r="F160" s="13">
        <v>5</v>
      </c>
      <c r="G160" s="13">
        <v>5</v>
      </c>
      <c r="H160" s="92">
        <v>6</v>
      </c>
      <c r="I160" s="297">
        <f>J160+K160+L160</f>
        <v>1.86</v>
      </c>
      <c r="J160" s="297">
        <f>SUM(M160:R160)</f>
        <v>1.86</v>
      </c>
      <c r="K160" s="489"/>
      <c r="L160" s="489"/>
      <c r="M160" s="1543"/>
      <c r="N160" s="489"/>
      <c r="O160" s="491"/>
      <c r="P160" s="489"/>
      <c r="Q160" s="932"/>
      <c r="R160" s="929">
        <v>1.86</v>
      </c>
      <c r="S160" s="154"/>
      <c r="T160" s="154"/>
      <c r="U160" s="154"/>
      <c r="V160" s="154"/>
      <c r="W160" s="1881">
        <v>1</v>
      </c>
      <c r="X160" s="1962">
        <v>15</v>
      </c>
      <c r="Y160" s="164"/>
      <c r="Z160" s="309"/>
      <c r="AB160">
        <v>1</v>
      </c>
      <c r="AE160" s="2461"/>
      <c r="AF160" s="68"/>
    </row>
    <row r="161" spans="1:32" ht="60" x14ac:dyDescent="0.35">
      <c r="A161" s="525">
        <v>71</v>
      </c>
      <c r="B161" s="693">
        <v>11434</v>
      </c>
      <c r="C161" s="693" t="s">
        <v>1656</v>
      </c>
      <c r="D161" s="2469" t="s">
        <v>6289</v>
      </c>
      <c r="E161" s="2187" t="s">
        <v>11540</v>
      </c>
      <c r="F161" s="92" t="s">
        <v>664</v>
      </c>
      <c r="G161" s="92">
        <v>5</v>
      </c>
      <c r="H161" s="92">
        <v>6</v>
      </c>
      <c r="I161" s="2922">
        <f>J161+K161+L161</f>
        <v>0.08</v>
      </c>
      <c r="J161" s="2922">
        <f>M161+N161+O161+P161+Q161+R161</f>
        <v>0.08</v>
      </c>
      <c r="K161" s="622"/>
      <c r="L161" s="622"/>
      <c r="M161" s="622"/>
      <c r="N161" s="622"/>
      <c r="O161" s="622"/>
      <c r="P161" s="622"/>
      <c r="Q161" s="622"/>
      <c r="R161" s="906">
        <v>0.08</v>
      </c>
      <c r="S161" s="106"/>
      <c r="T161" s="106"/>
      <c r="U161" s="106"/>
      <c r="V161" s="106"/>
      <c r="W161" s="105"/>
      <c r="X161" s="253"/>
      <c r="Y161" s="105"/>
      <c r="Z161" s="323"/>
      <c r="AB161">
        <v>1</v>
      </c>
      <c r="AE161" s="2461"/>
      <c r="AF161" s="68"/>
    </row>
    <row r="162" spans="1:32" ht="45.5" x14ac:dyDescent="0.35">
      <c r="A162" s="789">
        <v>72</v>
      </c>
      <c r="B162" s="1162">
        <v>11434</v>
      </c>
      <c r="C162" s="1162"/>
      <c r="D162" s="2469" t="s">
        <v>6290</v>
      </c>
      <c r="E162" s="288" t="s">
        <v>8014</v>
      </c>
      <c r="F162" s="14">
        <v>5</v>
      </c>
      <c r="G162" s="14">
        <v>4</v>
      </c>
      <c r="H162" s="13">
        <v>6</v>
      </c>
      <c r="I162" s="297">
        <f>J162+K162+L162</f>
        <v>1.1399999999999999</v>
      </c>
      <c r="J162" s="297">
        <f>SUM(M162:R162)</f>
        <v>1.1399999999999999</v>
      </c>
      <c r="K162" s="297"/>
      <c r="L162" s="297"/>
      <c r="M162" s="1541"/>
      <c r="N162" s="297"/>
      <c r="O162" s="302"/>
      <c r="P162" s="297"/>
      <c r="Q162" s="932">
        <v>1.1399999999999999</v>
      </c>
      <c r="R162" s="925"/>
      <c r="S162" s="154"/>
      <c r="T162" s="154"/>
      <c r="U162" s="154"/>
      <c r="V162" s="154"/>
      <c r="W162" s="1881">
        <v>4</v>
      </c>
      <c r="X162" s="1962">
        <v>60.400001525878906</v>
      </c>
      <c r="Y162" s="164"/>
      <c r="Z162" s="309"/>
      <c r="AA162" t="s">
        <v>2884</v>
      </c>
      <c r="AB162">
        <v>1</v>
      </c>
      <c r="AE162" s="2461"/>
      <c r="AF162" s="68"/>
    </row>
    <row r="163" spans="1:32" ht="30.5" x14ac:dyDescent="0.35">
      <c r="A163" s="525">
        <v>73</v>
      </c>
      <c r="B163" s="515">
        <v>11434</v>
      </c>
      <c r="C163" s="515"/>
      <c r="D163" s="2469" t="s">
        <v>6291</v>
      </c>
      <c r="E163" s="288" t="s">
        <v>8015</v>
      </c>
      <c r="F163" s="13" t="s">
        <v>664</v>
      </c>
      <c r="G163" s="14">
        <v>5</v>
      </c>
      <c r="H163" s="92">
        <v>6</v>
      </c>
      <c r="I163" s="297">
        <f>J163+K163+L163</f>
        <v>1.1200000000000001</v>
      </c>
      <c r="J163" s="297">
        <f>SUM(M163:R163)</f>
        <v>1.1200000000000001</v>
      </c>
      <c r="K163" s="297"/>
      <c r="L163" s="297"/>
      <c r="M163" s="1541"/>
      <c r="N163" s="297"/>
      <c r="O163" s="302"/>
      <c r="P163" s="297"/>
      <c r="Q163" s="932"/>
      <c r="R163" s="925">
        <v>1.1200000000000001</v>
      </c>
      <c r="S163" s="154"/>
      <c r="T163" s="154"/>
      <c r="U163" s="154"/>
      <c r="V163" s="154"/>
      <c r="W163" s="154"/>
      <c r="X163" s="260"/>
      <c r="Y163" s="164"/>
      <c r="Z163" s="309"/>
      <c r="AB163">
        <v>1</v>
      </c>
      <c r="AE163" s="2461"/>
      <c r="AF163" s="68"/>
    </row>
    <row r="164" spans="1:32" ht="45.5" x14ac:dyDescent="0.35">
      <c r="A164" s="789">
        <v>74</v>
      </c>
      <c r="B164" s="515">
        <v>11434</v>
      </c>
      <c r="C164" s="515" t="s">
        <v>1655</v>
      </c>
      <c r="D164" s="2469" t="s">
        <v>6292</v>
      </c>
      <c r="E164" s="288" t="s">
        <v>7399</v>
      </c>
      <c r="F164" s="14" t="s">
        <v>664</v>
      </c>
      <c r="G164" s="14">
        <v>5</v>
      </c>
      <c r="H164" s="92">
        <v>6</v>
      </c>
      <c r="I164" s="297">
        <v>1.24</v>
      </c>
      <c r="J164" s="297">
        <v>1.24</v>
      </c>
      <c r="K164" s="297"/>
      <c r="L164" s="297"/>
      <c r="M164" s="1541"/>
      <c r="N164" s="297"/>
      <c r="O164" s="302"/>
      <c r="P164" s="297"/>
      <c r="Q164" s="932"/>
      <c r="R164" s="925">
        <v>1.24</v>
      </c>
      <c r="S164" s="154"/>
      <c r="T164" s="154"/>
      <c r="U164" s="154"/>
      <c r="V164" s="154"/>
      <c r="W164" s="154"/>
      <c r="X164" s="260"/>
      <c r="Y164" s="164"/>
      <c r="Z164" s="309"/>
      <c r="AB164">
        <v>1</v>
      </c>
      <c r="AE164" s="2461"/>
      <c r="AF164" s="68"/>
    </row>
    <row r="165" spans="1:32" ht="45" x14ac:dyDescent="0.35">
      <c r="A165" s="789">
        <v>75</v>
      </c>
      <c r="B165" s="693">
        <v>11434</v>
      </c>
      <c r="C165" s="693" t="s">
        <v>1656</v>
      </c>
      <c r="D165" s="2469" t="s">
        <v>6293</v>
      </c>
      <c r="E165" s="2187" t="s">
        <v>9004</v>
      </c>
      <c r="F165" s="92" t="s">
        <v>664</v>
      </c>
      <c r="G165" s="92">
        <v>5</v>
      </c>
      <c r="H165" s="92">
        <v>6</v>
      </c>
      <c r="I165" s="2157">
        <f>J165+K165+L165</f>
        <v>0.25</v>
      </c>
      <c r="J165" s="2157">
        <f>M165+N165+O165+P165+Q165+R165</f>
        <v>0.25</v>
      </c>
      <c r="K165" s="622"/>
      <c r="L165" s="622"/>
      <c r="M165" s="622"/>
      <c r="N165" s="622"/>
      <c r="O165" s="622"/>
      <c r="P165" s="622"/>
      <c r="Q165" s="622"/>
      <c r="R165" s="906">
        <v>0.25</v>
      </c>
      <c r="S165" s="106"/>
      <c r="T165" s="106"/>
      <c r="U165" s="106"/>
      <c r="V165" s="106"/>
      <c r="W165" s="105"/>
      <c r="X165" s="253"/>
      <c r="Y165" s="105"/>
      <c r="Z165" s="323"/>
      <c r="AB165">
        <v>1</v>
      </c>
      <c r="AE165" s="2461"/>
      <c r="AF165" s="68"/>
    </row>
    <row r="166" spans="1:32" ht="45.5" x14ac:dyDescent="0.35">
      <c r="A166" s="525">
        <v>76</v>
      </c>
      <c r="B166" s="693">
        <v>11434</v>
      </c>
      <c r="C166" s="693" t="s">
        <v>1656</v>
      </c>
      <c r="D166" s="2469" t="s">
        <v>6294</v>
      </c>
      <c r="E166" s="511" t="s">
        <v>9005</v>
      </c>
      <c r="F166" s="1138" t="s">
        <v>664</v>
      </c>
      <c r="G166" s="2289">
        <v>5</v>
      </c>
      <c r="H166" s="92">
        <v>6</v>
      </c>
      <c r="I166" s="297">
        <f>J166+K166+L166</f>
        <v>0.35</v>
      </c>
      <c r="J166" s="297">
        <f>SUM(M166:R166)</f>
        <v>0.35</v>
      </c>
      <c r="K166" s="297"/>
      <c r="L166" s="297"/>
      <c r="M166" s="1541"/>
      <c r="N166" s="297"/>
      <c r="O166" s="302"/>
      <c r="P166" s="297"/>
      <c r="Q166" s="932"/>
      <c r="R166" s="925">
        <v>0.35</v>
      </c>
      <c r="S166" s="55"/>
      <c r="T166" s="55"/>
      <c r="U166" s="154"/>
      <c r="V166" s="154"/>
      <c r="W166" s="1881"/>
      <c r="X166" s="1962"/>
      <c r="Y166" s="164"/>
      <c r="Z166" s="309"/>
      <c r="AB166">
        <v>1</v>
      </c>
      <c r="AE166" s="2461"/>
      <c r="AF166" s="68"/>
    </row>
    <row r="167" spans="1:32" ht="45" x14ac:dyDescent="0.35">
      <c r="A167" s="789">
        <v>77</v>
      </c>
      <c r="B167" s="693">
        <v>11434</v>
      </c>
      <c r="C167" s="693" t="s">
        <v>1656</v>
      </c>
      <c r="D167" s="2469" t="s">
        <v>6295</v>
      </c>
      <c r="E167" s="2187" t="s">
        <v>9006</v>
      </c>
      <c r="F167" s="92" t="s">
        <v>664</v>
      </c>
      <c r="G167" s="92">
        <v>5</v>
      </c>
      <c r="H167" s="92">
        <v>6</v>
      </c>
      <c r="I167" s="2157">
        <f>J167+K167+L167</f>
        <v>0.76</v>
      </c>
      <c r="J167" s="2157">
        <f>M167+N167+O167+P167+Q167+R167</f>
        <v>0.76</v>
      </c>
      <c r="K167" s="622"/>
      <c r="L167" s="622"/>
      <c r="M167" s="622"/>
      <c r="N167" s="622"/>
      <c r="O167" s="622"/>
      <c r="P167" s="622"/>
      <c r="Q167" s="622"/>
      <c r="R167" s="906">
        <v>0.76</v>
      </c>
      <c r="S167" s="106"/>
      <c r="T167" s="106"/>
      <c r="U167" s="106"/>
      <c r="V167" s="106"/>
      <c r="W167" s="105"/>
      <c r="X167" s="253"/>
      <c r="Y167" s="105"/>
      <c r="Z167" s="323"/>
      <c r="AB167">
        <v>1</v>
      </c>
      <c r="AE167" s="2461"/>
      <c r="AF167" s="68"/>
    </row>
    <row r="168" spans="1:32" ht="45.5" x14ac:dyDescent="0.35">
      <c r="A168" s="525">
        <v>78</v>
      </c>
      <c r="B168" s="693">
        <v>11434</v>
      </c>
      <c r="C168" s="515" t="s">
        <v>1655</v>
      </c>
      <c r="D168" s="2469" t="s">
        <v>6296</v>
      </c>
      <c r="E168" s="511" t="s">
        <v>7400</v>
      </c>
      <c r="F168" s="14" t="s">
        <v>664</v>
      </c>
      <c r="G168" s="14">
        <v>5</v>
      </c>
      <c r="H168" s="92">
        <v>6</v>
      </c>
      <c r="I168" s="297">
        <v>0.2</v>
      </c>
      <c r="J168" s="297">
        <v>0.2</v>
      </c>
      <c r="K168" s="297"/>
      <c r="L168" s="297"/>
      <c r="M168" s="1541"/>
      <c r="N168" s="297"/>
      <c r="O168" s="302"/>
      <c r="P168" s="297"/>
      <c r="Q168" s="932"/>
      <c r="R168" s="925">
        <v>0.2</v>
      </c>
      <c r="S168" s="154"/>
      <c r="T168" s="154"/>
      <c r="U168" s="154"/>
      <c r="V168" s="154"/>
      <c r="W168" s="154"/>
      <c r="X168" s="260"/>
      <c r="Y168" s="164"/>
      <c r="Z168" s="309"/>
      <c r="AB168">
        <v>1</v>
      </c>
      <c r="AE168" s="2461"/>
      <c r="AF168" s="68"/>
    </row>
    <row r="169" spans="1:32" ht="45.5" x14ac:dyDescent="0.35">
      <c r="A169" s="525">
        <v>79</v>
      </c>
      <c r="B169" s="515">
        <v>11435</v>
      </c>
      <c r="C169" s="515"/>
      <c r="D169" s="515" t="s">
        <v>2430</v>
      </c>
      <c r="E169" s="288" t="s">
        <v>10243</v>
      </c>
      <c r="F169" s="13"/>
      <c r="G169" s="13" t="s">
        <v>191</v>
      </c>
      <c r="H169" s="13" t="s">
        <v>191</v>
      </c>
      <c r="I169" s="297">
        <f>J169+K169+L169</f>
        <v>8.35</v>
      </c>
      <c r="J169" s="297">
        <f>SUM(M169:R169)</f>
        <v>8.35</v>
      </c>
      <c r="K169" s="297"/>
      <c r="L169" s="297"/>
      <c r="M169" s="1541"/>
      <c r="N169" s="297">
        <f>SUM(N170:N172)</f>
        <v>4.43</v>
      </c>
      <c r="O169" s="302"/>
      <c r="P169" s="297"/>
      <c r="Q169" s="932">
        <f>SUM(Q170:Q172)</f>
        <v>1.35</v>
      </c>
      <c r="R169" s="925">
        <f>SUM(R170:R172)</f>
        <v>2.57</v>
      </c>
      <c r="S169" s="55">
        <v>2</v>
      </c>
      <c r="T169" s="1962">
        <f>6.6+18.7</f>
        <v>25.299999999999997</v>
      </c>
      <c r="U169" s="154"/>
      <c r="V169" s="154"/>
      <c r="W169" s="1881">
        <v>15</v>
      </c>
      <c r="X169" s="1962">
        <v>159.80000305175781</v>
      </c>
      <c r="Y169" s="164">
        <v>2</v>
      </c>
      <c r="Z169" s="309">
        <v>15</v>
      </c>
      <c r="AB169">
        <v>1</v>
      </c>
      <c r="AE169" s="2461"/>
      <c r="AF169" s="68"/>
    </row>
    <row r="170" spans="1:32" ht="15.5" x14ac:dyDescent="0.35">
      <c r="A170" s="787"/>
      <c r="B170" s="515">
        <v>11435</v>
      </c>
      <c r="C170" s="515"/>
      <c r="D170" s="788"/>
      <c r="E170" s="289" t="s">
        <v>2577</v>
      </c>
      <c r="F170" s="13">
        <v>4</v>
      </c>
      <c r="G170" s="13">
        <v>4</v>
      </c>
      <c r="H170" s="13">
        <v>6</v>
      </c>
      <c r="I170" s="298"/>
      <c r="J170" s="298"/>
      <c r="K170" s="298"/>
      <c r="L170" s="298"/>
      <c r="M170" s="1542"/>
      <c r="N170" s="298">
        <v>4.43</v>
      </c>
      <c r="O170" s="299"/>
      <c r="P170" s="298"/>
      <c r="Q170" s="933"/>
      <c r="R170" s="927"/>
      <c r="S170" s="1138"/>
      <c r="T170" s="1138"/>
      <c r="U170" s="1944"/>
      <c r="V170" s="1944"/>
      <c r="W170" s="1138"/>
      <c r="X170" s="2074"/>
      <c r="Y170" s="1953"/>
      <c r="Z170" s="509"/>
      <c r="AE170" s="2461"/>
      <c r="AF170" s="68"/>
    </row>
    <row r="171" spans="1:32" ht="15.5" x14ac:dyDescent="0.35">
      <c r="A171" s="787"/>
      <c r="B171" s="515">
        <v>11435</v>
      </c>
      <c r="C171" s="515"/>
      <c r="D171" s="788"/>
      <c r="E171" s="837" t="s">
        <v>171</v>
      </c>
      <c r="F171" s="13">
        <v>4</v>
      </c>
      <c r="G171" s="13">
        <v>4</v>
      </c>
      <c r="H171" s="13">
        <v>6</v>
      </c>
      <c r="I171" s="298"/>
      <c r="J171" s="298"/>
      <c r="K171" s="298"/>
      <c r="L171" s="298"/>
      <c r="M171" s="1542"/>
      <c r="N171" s="298"/>
      <c r="O171" s="299"/>
      <c r="P171" s="298"/>
      <c r="Q171" s="933">
        <v>1.35</v>
      </c>
      <c r="R171" s="927"/>
      <c r="S171" s="1138"/>
      <c r="T171" s="1138"/>
      <c r="U171" s="1944"/>
      <c r="V171" s="1944"/>
      <c r="W171" s="1138"/>
      <c r="X171" s="2074"/>
      <c r="Y171" s="1953"/>
      <c r="Z171" s="509"/>
      <c r="AE171" s="2461"/>
      <c r="AF171" s="68"/>
    </row>
    <row r="172" spans="1:32" ht="15.5" x14ac:dyDescent="0.35">
      <c r="A172" s="787"/>
      <c r="B172" s="515">
        <v>11435</v>
      </c>
      <c r="C172" s="515"/>
      <c r="D172" s="788"/>
      <c r="E172" s="838" t="s">
        <v>172</v>
      </c>
      <c r="F172" s="13" t="s">
        <v>827</v>
      </c>
      <c r="G172" s="13">
        <v>5</v>
      </c>
      <c r="H172" s="92">
        <v>6</v>
      </c>
      <c r="I172" s="298"/>
      <c r="J172" s="298"/>
      <c r="K172" s="298"/>
      <c r="L172" s="298"/>
      <c r="M172" s="1542"/>
      <c r="N172" s="298"/>
      <c r="O172" s="299"/>
      <c r="P172" s="298"/>
      <c r="Q172" s="933"/>
      <c r="R172" s="927">
        <v>2.57</v>
      </c>
      <c r="S172" s="1138"/>
      <c r="T172" s="1138"/>
      <c r="U172" s="1944"/>
      <c r="V172" s="1944"/>
      <c r="W172" s="1138"/>
      <c r="X172" s="2074"/>
      <c r="Y172" s="1953"/>
      <c r="Z172" s="509"/>
      <c r="AE172" s="2461"/>
      <c r="AF172" s="68"/>
    </row>
    <row r="173" spans="1:32" ht="60.5" x14ac:dyDescent="0.35">
      <c r="A173" s="789">
        <v>80</v>
      </c>
      <c r="B173" s="1162">
        <v>11435</v>
      </c>
      <c r="C173" s="1162"/>
      <c r="D173" s="2469" t="s">
        <v>6297</v>
      </c>
      <c r="E173" s="288" t="s">
        <v>10244</v>
      </c>
      <c r="F173" s="13"/>
      <c r="G173" s="13" t="s">
        <v>191</v>
      </c>
      <c r="H173" s="13" t="s">
        <v>191</v>
      </c>
      <c r="I173" s="297">
        <f>J173+K173+L173</f>
        <v>2.6</v>
      </c>
      <c r="J173" s="297">
        <f>SUM(M173:R173)</f>
        <v>2.6</v>
      </c>
      <c r="K173" s="489"/>
      <c r="L173" s="489"/>
      <c r="M173" s="1543"/>
      <c r="N173" s="489"/>
      <c r="O173" s="491"/>
      <c r="P173" s="489"/>
      <c r="Q173" s="932">
        <f>SUM(Q174:Q175)</f>
        <v>2.6</v>
      </c>
      <c r="R173" s="929"/>
      <c r="S173" s="154"/>
      <c r="T173" s="154"/>
      <c r="U173" s="154"/>
      <c r="V173" s="154"/>
      <c r="W173" s="1881">
        <v>9</v>
      </c>
      <c r="X173" s="1962">
        <v>96.300003051757813</v>
      </c>
      <c r="Y173" s="164">
        <v>5</v>
      </c>
      <c r="Z173" s="309">
        <v>50</v>
      </c>
      <c r="AB173">
        <v>1</v>
      </c>
      <c r="AE173" s="2461"/>
      <c r="AF173" s="68"/>
    </row>
    <row r="174" spans="1:32" ht="15.5" x14ac:dyDescent="0.35">
      <c r="A174" s="789"/>
      <c r="B174" s="1162">
        <v>11435</v>
      </c>
      <c r="C174" s="1162"/>
      <c r="D174" s="515"/>
      <c r="E174" s="837" t="s">
        <v>2752</v>
      </c>
      <c r="F174" s="1138">
        <v>5</v>
      </c>
      <c r="G174" s="13">
        <v>5</v>
      </c>
      <c r="H174" s="13">
        <v>6</v>
      </c>
      <c r="I174" s="297"/>
      <c r="J174" s="297"/>
      <c r="K174" s="489"/>
      <c r="L174" s="489"/>
      <c r="M174" s="1543"/>
      <c r="N174" s="489"/>
      <c r="O174" s="491"/>
      <c r="P174" s="489"/>
      <c r="Q174" s="1836">
        <v>0.91</v>
      </c>
      <c r="R174" s="929"/>
      <c r="S174" s="154"/>
      <c r="T174" s="154"/>
      <c r="U174" s="154"/>
      <c r="V174" s="154"/>
      <c r="W174" s="1881"/>
      <c r="X174" s="1962"/>
      <c r="Y174" s="164"/>
      <c r="Z174" s="309"/>
      <c r="AE174" s="2461"/>
      <c r="AF174" s="68"/>
    </row>
    <row r="175" spans="1:32" ht="15.5" x14ac:dyDescent="0.35">
      <c r="A175" s="789"/>
      <c r="B175" s="1162">
        <v>11435</v>
      </c>
      <c r="C175" s="1162"/>
      <c r="D175" s="515"/>
      <c r="E175" s="837" t="s">
        <v>879</v>
      </c>
      <c r="F175" s="1138">
        <v>4</v>
      </c>
      <c r="G175" s="13">
        <v>5</v>
      </c>
      <c r="H175" s="13">
        <v>6</v>
      </c>
      <c r="I175" s="297"/>
      <c r="J175" s="297"/>
      <c r="K175" s="489"/>
      <c r="L175" s="489"/>
      <c r="M175" s="1543"/>
      <c r="N175" s="489"/>
      <c r="O175" s="491"/>
      <c r="P175" s="489"/>
      <c r="Q175" s="1836">
        <v>1.69</v>
      </c>
      <c r="R175" s="929"/>
      <c r="S175" s="154"/>
      <c r="T175" s="154"/>
      <c r="U175" s="154"/>
      <c r="V175" s="154"/>
      <c r="W175" s="1881"/>
      <c r="X175" s="1962"/>
      <c r="Y175" s="164"/>
      <c r="Z175" s="309"/>
      <c r="AE175" s="2461"/>
      <c r="AF175" s="68"/>
    </row>
    <row r="176" spans="1:32" ht="75" x14ac:dyDescent="0.35">
      <c r="A176" s="525">
        <v>81</v>
      </c>
      <c r="B176" s="693">
        <v>11435</v>
      </c>
      <c r="C176" s="693" t="s">
        <v>1656</v>
      </c>
      <c r="D176" s="2469" t="s">
        <v>6298</v>
      </c>
      <c r="E176" s="2187" t="s">
        <v>10245</v>
      </c>
      <c r="F176" s="92" t="s">
        <v>664</v>
      </c>
      <c r="G176" s="92">
        <v>5</v>
      </c>
      <c r="H176" s="92">
        <v>6</v>
      </c>
      <c r="I176" s="2157">
        <f>J176+K176+L176</f>
        <v>0.38</v>
      </c>
      <c r="J176" s="2157">
        <f>M176+N176+O176+P176+Q176+R176</f>
        <v>0.38</v>
      </c>
      <c r="K176" s="622"/>
      <c r="L176" s="622"/>
      <c r="M176" s="622"/>
      <c r="N176" s="622"/>
      <c r="O176" s="622"/>
      <c r="P176" s="622"/>
      <c r="Q176" s="622"/>
      <c r="R176" s="906">
        <v>0.38</v>
      </c>
      <c r="S176" s="106"/>
      <c r="T176" s="106"/>
      <c r="U176" s="106"/>
      <c r="V176" s="106"/>
      <c r="W176" s="105"/>
      <c r="X176" s="253"/>
      <c r="Y176" s="105"/>
      <c r="Z176" s="323"/>
      <c r="AB176">
        <v>1</v>
      </c>
      <c r="AE176" s="2461"/>
      <c r="AF176" s="68"/>
    </row>
    <row r="177" spans="1:32" ht="60.5" x14ac:dyDescent="0.35">
      <c r="A177" s="294">
        <v>82</v>
      </c>
      <c r="B177" s="515">
        <v>11435</v>
      </c>
      <c r="C177" s="515"/>
      <c r="D177" s="2469" t="s">
        <v>6299</v>
      </c>
      <c r="E177" s="288" t="s">
        <v>10246</v>
      </c>
      <c r="F177" s="14"/>
      <c r="G177" s="14" t="s">
        <v>191</v>
      </c>
      <c r="H177" s="13" t="s">
        <v>191</v>
      </c>
      <c r="I177" s="297">
        <f>J177+K177+L177</f>
        <v>1.82</v>
      </c>
      <c r="J177" s="297">
        <f>SUM(M177:R177)</f>
        <v>1.82</v>
      </c>
      <c r="K177" s="297"/>
      <c r="L177" s="297"/>
      <c r="M177" s="1541"/>
      <c r="N177" s="297">
        <f>SUM(N178:N179)</f>
        <v>0.8</v>
      </c>
      <c r="O177" s="302"/>
      <c r="P177" s="297"/>
      <c r="Q177" s="932"/>
      <c r="R177" s="925">
        <f>SUM(R178:R179)</f>
        <v>1.02</v>
      </c>
      <c r="S177" s="154"/>
      <c r="T177" s="154"/>
      <c r="U177" s="154"/>
      <c r="V177" s="154"/>
      <c r="W177" s="1881">
        <v>4</v>
      </c>
      <c r="X177" s="1962">
        <v>37</v>
      </c>
      <c r="Y177" s="164">
        <v>1</v>
      </c>
      <c r="Z177" s="309">
        <v>12</v>
      </c>
      <c r="AB177">
        <v>1</v>
      </c>
      <c r="AE177" s="2461"/>
      <c r="AF177" s="68"/>
    </row>
    <row r="178" spans="1:32" ht="15.5" x14ac:dyDescent="0.35">
      <c r="A178" s="787"/>
      <c r="B178" s="515">
        <v>11435</v>
      </c>
      <c r="C178" s="515"/>
      <c r="D178" s="788"/>
      <c r="E178" s="838" t="s">
        <v>2376</v>
      </c>
      <c r="F178" s="14" t="s">
        <v>827</v>
      </c>
      <c r="G178" s="14">
        <v>5</v>
      </c>
      <c r="H178" s="92">
        <v>6</v>
      </c>
      <c r="I178" s="298"/>
      <c r="J178" s="298"/>
      <c r="K178" s="298"/>
      <c r="L178" s="298"/>
      <c r="M178" s="1542"/>
      <c r="N178" s="298"/>
      <c r="O178" s="299"/>
      <c r="P178" s="298"/>
      <c r="Q178" s="933"/>
      <c r="R178" s="927">
        <v>1.02</v>
      </c>
      <c r="S178" s="1944"/>
      <c r="T178" s="1944"/>
      <c r="U178" s="1944"/>
      <c r="V178" s="1944"/>
      <c r="W178" s="1944"/>
      <c r="X178" s="2497"/>
      <c r="Y178" s="1953"/>
      <c r="Z178" s="509"/>
      <c r="AE178" s="2461"/>
      <c r="AF178" s="68"/>
    </row>
    <row r="179" spans="1:32" ht="15.5" x14ac:dyDescent="0.35">
      <c r="A179" s="787"/>
      <c r="B179" s="515">
        <v>11435</v>
      </c>
      <c r="C179" s="515"/>
      <c r="D179" s="788"/>
      <c r="E179" s="289" t="s">
        <v>2377</v>
      </c>
      <c r="F179" s="14" t="s">
        <v>827</v>
      </c>
      <c r="G179" s="14">
        <v>5</v>
      </c>
      <c r="H179" s="13">
        <v>6</v>
      </c>
      <c r="I179" s="298"/>
      <c r="J179" s="298"/>
      <c r="K179" s="298"/>
      <c r="L179" s="298"/>
      <c r="M179" s="1542"/>
      <c r="N179" s="298">
        <v>0.8</v>
      </c>
      <c r="O179" s="299"/>
      <c r="P179" s="298"/>
      <c r="Q179" s="933"/>
      <c r="R179" s="927"/>
      <c r="S179" s="1944"/>
      <c r="T179" s="1944"/>
      <c r="U179" s="1944"/>
      <c r="V179" s="1944"/>
      <c r="W179" s="1944"/>
      <c r="X179" s="2497"/>
      <c r="Y179" s="1953"/>
      <c r="Z179" s="509"/>
      <c r="AE179" s="2461"/>
      <c r="AF179" s="68"/>
    </row>
    <row r="180" spans="1:32" ht="75" x14ac:dyDescent="0.35">
      <c r="A180" s="525">
        <v>83</v>
      </c>
      <c r="B180" s="693">
        <v>11435</v>
      </c>
      <c r="C180" s="693" t="s">
        <v>1656</v>
      </c>
      <c r="D180" s="2469" t="s">
        <v>6300</v>
      </c>
      <c r="E180" s="2187" t="s">
        <v>10247</v>
      </c>
      <c r="F180" s="92" t="s">
        <v>664</v>
      </c>
      <c r="G180" s="92">
        <v>5</v>
      </c>
      <c r="H180" s="92">
        <v>6</v>
      </c>
      <c r="I180" s="2157">
        <f>J180+K180+L180</f>
        <v>1.48</v>
      </c>
      <c r="J180" s="2157">
        <f>M180+N180+O180+P180+Q180+R180</f>
        <v>1.48</v>
      </c>
      <c r="K180" s="622"/>
      <c r="L180" s="622"/>
      <c r="M180" s="622"/>
      <c r="N180" s="622"/>
      <c r="O180" s="622"/>
      <c r="P180" s="622"/>
      <c r="Q180" s="622"/>
      <c r="R180" s="906">
        <v>1.48</v>
      </c>
      <c r="S180" s="106"/>
      <c r="T180" s="106"/>
      <c r="U180" s="106"/>
      <c r="V180" s="106"/>
      <c r="W180" s="105"/>
      <c r="X180" s="253"/>
      <c r="Y180" s="105"/>
      <c r="Z180" s="323"/>
      <c r="AB180">
        <v>1</v>
      </c>
      <c r="AE180" s="2461"/>
      <c r="AF180" s="68"/>
    </row>
    <row r="181" spans="1:32" ht="60" x14ac:dyDescent="0.35">
      <c r="A181" s="525">
        <v>84</v>
      </c>
      <c r="B181" s="693">
        <v>11435</v>
      </c>
      <c r="C181" s="693" t="s">
        <v>1656</v>
      </c>
      <c r="D181" s="2469" t="s">
        <v>6301</v>
      </c>
      <c r="E181" s="2187" t="s">
        <v>10248</v>
      </c>
      <c r="F181" s="92" t="s">
        <v>664</v>
      </c>
      <c r="G181" s="92">
        <v>5</v>
      </c>
      <c r="H181" s="92">
        <v>6</v>
      </c>
      <c r="I181" s="2157">
        <f>J181+K181+L181</f>
        <v>0.22</v>
      </c>
      <c r="J181" s="2157">
        <f>M181+N181+O181+P181+Q181+R181</f>
        <v>0.22</v>
      </c>
      <c r="K181" s="622"/>
      <c r="L181" s="622"/>
      <c r="M181" s="622"/>
      <c r="N181" s="622"/>
      <c r="O181" s="622"/>
      <c r="P181" s="622"/>
      <c r="Q181" s="622"/>
      <c r="R181" s="906">
        <v>0.22</v>
      </c>
      <c r="S181" s="106"/>
      <c r="T181" s="106"/>
      <c r="U181" s="106"/>
      <c r="V181" s="106"/>
      <c r="W181" s="105"/>
      <c r="X181" s="253"/>
      <c r="Y181" s="105"/>
      <c r="Z181" s="323"/>
      <c r="AB181">
        <v>1</v>
      </c>
      <c r="AE181" s="2461"/>
      <c r="AF181" s="68"/>
    </row>
    <row r="182" spans="1:32" ht="15.5" x14ac:dyDescent="0.35">
      <c r="A182" s="294">
        <v>85</v>
      </c>
      <c r="B182" s="515">
        <v>11436</v>
      </c>
      <c r="C182" s="515"/>
      <c r="D182" s="515" t="s">
        <v>2431</v>
      </c>
      <c r="E182" s="288" t="s">
        <v>7166</v>
      </c>
      <c r="F182" s="13">
        <v>4</v>
      </c>
      <c r="G182" s="13">
        <v>4</v>
      </c>
      <c r="H182" s="13">
        <v>6</v>
      </c>
      <c r="I182" s="297">
        <f>J182+K182+L182</f>
        <v>5</v>
      </c>
      <c r="J182" s="297">
        <f>SUM(M182:R182)</f>
        <v>5</v>
      </c>
      <c r="K182" s="297"/>
      <c r="L182" s="297"/>
      <c r="M182" s="1541"/>
      <c r="N182" s="297"/>
      <c r="O182" s="302"/>
      <c r="P182" s="297"/>
      <c r="Q182" s="932">
        <v>5</v>
      </c>
      <c r="R182" s="925"/>
      <c r="S182" s="154"/>
      <c r="T182" s="154"/>
      <c r="U182" s="154"/>
      <c r="V182" s="154"/>
      <c r="W182" s="1881">
        <v>18</v>
      </c>
      <c r="X182" s="1962">
        <v>226.19999694824219</v>
      </c>
      <c r="Y182" s="164">
        <v>7</v>
      </c>
      <c r="Z182" s="309">
        <v>82.800003051757813</v>
      </c>
      <c r="AB182">
        <v>1</v>
      </c>
      <c r="AE182" s="2461"/>
      <c r="AF182" s="68"/>
    </row>
    <row r="183" spans="1:32" ht="15.5" x14ac:dyDescent="0.35">
      <c r="A183" s="525">
        <v>86</v>
      </c>
      <c r="B183" s="515">
        <v>11437</v>
      </c>
      <c r="C183" s="515"/>
      <c r="D183" s="515" t="s">
        <v>2562</v>
      </c>
      <c r="E183" s="288" t="s">
        <v>10791</v>
      </c>
      <c r="F183" s="13"/>
      <c r="G183" s="13" t="s">
        <v>191</v>
      </c>
      <c r="H183" s="13" t="s">
        <v>191</v>
      </c>
      <c r="I183" s="297">
        <f>J183+K183+L183</f>
        <v>19.55</v>
      </c>
      <c r="J183" s="297">
        <f>SUM(M183:R183)</f>
        <v>19.55</v>
      </c>
      <c r="K183" s="297"/>
      <c r="L183" s="297"/>
      <c r="M183" s="1541"/>
      <c r="N183" s="297">
        <f>SUM(N184:N189)</f>
        <v>11.61</v>
      </c>
      <c r="O183" s="302"/>
      <c r="P183" s="297"/>
      <c r="Q183" s="932">
        <f>SUM(Q184:Q189)</f>
        <v>4.5800000000000018</v>
      </c>
      <c r="R183" s="925">
        <f>SUM(R184:R189)</f>
        <v>3.3600000000000003</v>
      </c>
      <c r="S183" s="154"/>
      <c r="T183" s="154"/>
      <c r="U183" s="154"/>
      <c r="V183" s="154"/>
      <c r="W183" s="1881">
        <v>53</v>
      </c>
      <c r="X183" s="1962">
        <v>632.20000000000005</v>
      </c>
      <c r="Y183" s="164">
        <v>19</v>
      </c>
      <c r="Z183" s="309">
        <v>193.60000610351563</v>
      </c>
      <c r="AB183">
        <v>1</v>
      </c>
      <c r="AE183" s="2461"/>
      <c r="AF183" s="68"/>
    </row>
    <row r="184" spans="1:32" ht="15.5" x14ac:dyDescent="0.35">
      <c r="A184" s="787"/>
      <c r="B184" s="515">
        <v>11437</v>
      </c>
      <c r="C184" s="515"/>
      <c r="D184" s="788"/>
      <c r="E184" s="289" t="s">
        <v>1765</v>
      </c>
      <c r="F184" s="13">
        <v>4</v>
      </c>
      <c r="G184" s="13">
        <v>4</v>
      </c>
      <c r="H184" s="13">
        <v>6</v>
      </c>
      <c r="I184" s="298"/>
      <c r="J184" s="298"/>
      <c r="K184" s="298"/>
      <c r="L184" s="298"/>
      <c r="M184" s="1542"/>
      <c r="N184" s="298">
        <v>7.47</v>
      </c>
      <c r="O184" s="299"/>
      <c r="P184" s="298"/>
      <c r="Q184" s="933"/>
      <c r="R184" s="927"/>
      <c r="S184" s="1944"/>
      <c r="T184" s="1944"/>
      <c r="U184" s="1944"/>
      <c r="V184" s="1944"/>
      <c r="W184" s="1138"/>
      <c r="X184" s="2074"/>
      <c r="Y184" s="1953"/>
      <c r="Z184" s="509"/>
      <c r="AE184" s="2461"/>
      <c r="AF184" s="68"/>
    </row>
    <row r="185" spans="1:32" ht="15.5" x14ac:dyDescent="0.35">
      <c r="A185" s="787"/>
      <c r="B185" s="515">
        <v>11437</v>
      </c>
      <c r="C185" s="515"/>
      <c r="D185" s="788"/>
      <c r="E185" s="838" t="s">
        <v>2412</v>
      </c>
      <c r="F185" s="13" t="s">
        <v>664</v>
      </c>
      <c r="G185" s="13">
        <v>5</v>
      </c>
      <c r="H185" s="92">
        <v>6</v>
      </c>
      <c r="I185" s="298"/>
      <c r="J185" s="298"/>
      <c r="K185" s="298"/>
      <c r="L185" s="298"/>
      <c r="M185" s="1542"/>
      <c r="N185" s="298"/>
      <c r="O185" s="299"/>
      <c r="P185" s="298"/>
      <c r="Q185" s="933"/>
      <c r="R185" s="927">
        <f>10.83-7.47</f>
        <v>3.3600000000000003</v>
      </c>
      <c r="S185" s="1944"/>
      <c r="T185" s="1944"/>
      <c r="U185" s="1944"/>
      <c r="V185" s="1944"/>
      <c r="W185" s="1138"/>
      <c r="X185" s="2074"/>
      <c r="Y185" s="1953"/>
      <c r="Z185" s="509"/>
      <c r="AE185" s="2461"/>
      <c r="AF185" s="68"/>
    </row>
    <row r="186" spans="1:32" ht="15.5" x14ac:dyDescent="0.35">
      <c r="A186" s="787"/>
      <c r="B186" s="515">
        <v>11437</v>
      </c>
      <c r="C186" s="515"/>
      <c r="D186" s="788"/>
      <c r="E186" s="837" t="s">
        <v>1766</v>
      </c>
      <c r="F186" s="13">
        <v>4</v>
      </c>
      <c r="G186" s="13">
        <v>4</v>
      </c>
      <c r="H186" s="13">
        <v>6</v>
      </c>
      <c r="I186" s="298"/>
      <c r="J186" s="298"/>
      <c r="K186" s="298"/>
      <c r="L186" s="298"/>
      <c r="M186" s="1542"/>
      <c r="N186" s="298"/>
      <c r="O186" s="299"/>
      <c r="P186" s="298"/>
      <c r="Q186" s="933">
        <f>11.66-10.83</f>
        <v>0.83000000000000007</v>
      </c>
      <c r="R186" s="927"/>
      <c r="S186" s="1944"/>
      <c r="T186" s="1944"/>
      <c r="U186" s="1944"/>
      <c r="V186" s="1944"/>
      <c r="W186" s="1138"/>
      <c r="X186" s="2074"/>
      <c r="Y186" s="1953"/>
      <c r="Z186" s="509"/>
      <c r="AE186" s="2461"/>
      <c r="AF186" s="68"/>
    </row>
    <row r="187" spans="1:32" ht="15.5" x14ac:dyDescent="0.35">
      <c r="A187" s="787"/>
      <c r="B187" s="515">
        <v>11437</v>
      </c>
      <c r="C187" s="515"/>
      <c r="D187" s="788"/>
      <c r="E187" s="289" t="s">
        <v>1767</v>
      </c>
      <c r="F187" s="13">
        <v>4</v>
      </c>
      <c r="G187" s="13">
        <v>4</v>
      </c>
      <c r="H187" s="13">
        <v>6</v>
      </c>
      <c r="I187" s="298"/>
      <c r="J187" s="298"/>
      <c r="K187" s="298"/>
      <c r="L187" s="298"/>
      <c r="M187" s="1542"/>
      <c r="N187" s="298">
        <f>14.67-11.66</f>
        <v>3.01</v>
      </c>
      <c r="O187" s="299"/>
      <c r="P187" s="298"/>
      <c r="Q187" s="933"/>
      <c r="R187" s="927"/>
      <c r="S187" s="1944"/>
      <c r="T187" s="1944"/>
      <c r="U187" s="1944"/>
      <c r="V187" s="1944"/>
      <c r="W187" s="1138"/>
      <c r="X187" s="2074"/>
      <c r="Y187" s="1953"/>
      <c r="Z187" s="509"/>
      <c r="AE187" s="2461"/>
      <c r="AF187" s="68"/>
    </row>
    <row r="188" spans="1:32" ht="15.5" x14ac:dyDescent="0.35">
      <c r="A188" s="787"/>
      <c r="B188" s="515">
        <v>11437</v>
      </c>
      <c r="C188" s="515"/>
      <c r="D188" s="788"/>
      <c r="E188" s="837" t="s">
        <v>1768</v>
      </c>
      <c r="F188" s="13">
        <v>4</v>
      </c>
      <c r="G188" s="13">
        <v>4</v>
      </c>
      <c r="H188" s="13">
        <v>6</v>
      </c>
      <c r="I188" s="298"/>
      <c r="J188" s="298"/>
      <c r="K188" s="298"/>
      <c r="L188" s="298"/>
      <c r="M188" s="1542"/>
      <c r="N188" s="298"/>
      <c r="O188" s="299"/>
      <c r="P188" s="298"/>
      <c r="Q188" s="933">
        <f>18.42-14.67</f>
        <v>3.7500000000000018</v>
      </c>
      <c r="R188" s="927"/>
      <c r="S188" s="1944"/>
      <c r="T188" s="1944"/>
      <c r="U188" s="1944"/>
      <c r="V188" s="1944"/>
      <c r="W188" s="1138"/>
      <c r="X188" s="2074"/>
      <c r="Y188" s="1953"/>
      <c r="Z188" s="509"/>
      <c r="AE188" s="2461"/>
      <c r="AF188" s="68"/>
    </row>
    <row r="189" spans="1:32" ht="15.5" x14ac:dyDescent="0.35">
      <c r="A189" s="787"/>
      <c r="B189" s="515">
        <v>11437</v>
      </c>
      <c r="C189" s="515"/>
      <c r="D189" s="788"/>
      <c r="E189" s="289" t="s">
        <v>1769</v>
      </c>
      <c r="F189" s="13">
        <v>4</v>
      </c>
      <c r="G189" s="13">
        <v>4</v>
      </c>
      <c r="H189" s="13">
        <v>6</v>
      </c>
      <c r="I189" s="298"/>
      <c r="J189" s="298"/>
      <c r="K189" s="298"/>
      <c r="L189" s="298"/>
      <c r="M189" s="1542"/>
      <c r="N189" s="298">
        <f>19.55-18.42</f>
        <v>1.129999999999999</v>
      </c>
      <c r="O189" s="299"/>
      <c r="P189" s="298"/>
      <c r="Q189" s="933"/>
      <c r="R189" s="927"/>
      <c r="S189" s="1944"/>
      <c r="T189" s="1944"/>
      <c r="U189" s="1944"/>
      <c r="V189" s="1944"/>
      <c r="W189" s="1138"/>
      <c r="X189" s="2074"/>
      <c r="Y189" s="1953"/>
      <c r="Z189" s="509"/>
      <c r="AA189" t="s">
        <v>2630</v>
      </c>
      <c r="AE189" s="2461"/>
      <c r="AF189" s="68"/>
    </row>
    <row r="190" spans="1:32" ht="30.5" x14ac:dyDescent="0.35">
      <c r="A190" s="294">
        <v>87</v>
      </c>
      <c r="B190" s="997">
        <v>11437</v>
      </c>
      <c r="C190" s="997"/>
      <c r="D190" s="2469" t="s">
        <v>6302</v>
      </c>
      <c r="E190" s="511" t="s">
        <v>10792</v>
      </c>
      <c r="F190" s="14">
        <v>5</v>
      </c>
      <c r="G190" s="14">
        <v>5</v>
      </c>
      <c r="H190" s="13">
        <v>6</v>
      </c>
      <c r="I190" s="297">
        <f>J190+K190+L190</f>
        <v>1.1499999999999999</v>
      </c>
      <c r="J190" s="297">
        <f>SUM(M190:R190)</f>
        <v>1.1499999999999999</v>
      </c>
      <c r="K190" s="297"/>
      <c r="L190" s="297"/>
      <c r="M190" s="1541"/>
      <c r="N190" s="297">
        <v>1.1499999999999999</v>
      </c>
      <c r="O190" s="302"/>
      <c r="P190" s="297"/>
      <c r="Q190" s="932"/>
      <c r="R190" s="925"/>
      <c r="S190" s="154"/>
      <c r="T190" s="154"/>
      <c r="U190" s="154"/>
      <c r="V190" s="154"/>
      <c r="W190" s="2445">
        <v>8</v>
      </c>
      <c r="X190" s="2446">
        <v>105.5</v>
      </c>
      <c r="Y190" s="2447">
        <v>3</v>
      </c>
      <c r="Z190" s="2448">
        <v>35.5</v>
      </c>
      <c r="AB190">
        <v>1</v>
      </c>
      <c r="AE190" s="2461"/>
      <c r="AF190" s="68"/>
    </row>
    <row r="191" spans="1:32" ht="60.5" x14ac:dyDescent="0.35">
      <c r="A191" s="294">
        <v>88</v>
      </c>
      <c r="B191" s="997">
        <v>11437</v>
      </c>
      <c r="C191" s="515" t="s">
        <v>1655</v>
      </c>
      <c r="D191" s="2469" t="s">
        <v>6303</v>
      </c>
      <c r="E191" s="288" t="s">
        <v>8016</v>
      </c>
      <c r="F191" s="14" t="s">
        <v>1490</v>
      </c>
      <c r="G191" s="14">
        <v>5</v>
      </c>
      <c r="H191" s="92">
        <v>6</v>
      </c>
      <c r="I191" s="297">
        <v>1.79</v>
      </c>
      <c r="J191" s="297">
        <v>1.79</v>
      </c>
      <c r="K191" s="297"/>
      <c r="L191" s="297"/>
      <c r="M191" s="1541"/>
      <c r="N191" s="297"/>
      <c r="O191" s="302"/>
      <c r="P191" s="297"/>
      <c r="Q191" s="932"/>
      <c r="R191" s="925">
        <v>1.79</v>
      </c>
      <c r="S191" s="154"/>
      <c r="T191" s="154"/>
      <c r="U191" s="154"/>
      <c r="V191" s="154"/>
      <c r="W191" s="1881">
        <v>3</v>
      </c>
      <c r="X191" s="1962">
        <v>22.5</v>
      </c>
      <c r="Y191" s="164"/>
      <c r="Z191" s="309"/>
      <c r="AB191">
        <v>1</v>
      </c>
      <c r="AE191" s="2461"/>
      <c r="AF191" s="68"/>
    </row>
    <row r="192" spans="1:32" ht="75" x14ac:dyDescent="0.35">
      <c r="A192" s="294">
        <v>89</v>
      </c>
      <c r="B192" s="1040">
        <v>11437</v>
      </c>
      <c r="C192" s="693" t="s">
        <v>1656</v>
      </c>
      <c r="D192" s="2469" t="s">
        <v>6304</v>
      </c>
      <c r="E192" s="2187" t="s">
        <v>9007</v>
      </c>
      <c r="F192" s="92" t="s">
        <v>664</v>
      </c>
      <c r="G192" s="92">
        <v>5</v>
      </c>
      <c r="H192" s="92">
        <v>6</v>
      </c>
      <c r="I192" s="2157">
        <f t="shared" ref="I192:I198" si="13">J192+K192+L192</f>
        <v>0.17</v>
      </c>
      <c r="J192" s="2157">
        <f t="shared" ref="J192:J197" si="14">M192+N192+O192+P192+Q192+R192</f>
        <v>0.17</v>
      </c>
      <c r="K192" s="622"/>
      <c r="L192" s="622"/>
      <c r="M192" s="622"/>
      <c r="N192" s="622"/>
      <c r="O192" s="622"/>
      <c r="P192" s="622"/>
      <c r="Q192" s="622"/>
      <c r="R192" s="906">
        <v>0.17</v>
      </c>
      <c r="S192" s="106"/>
      <c r="T192" s="106"/>
      <c r="U192" s="106"/>
      <c r="V192" s="106"/>
      <c r="W192" s="105"/>
      <c r="X192" s="253"/>
      <c r="Y192" s="105"/>
      <c r="Z192" s="323"/>
      <c r="AB192">
        <v>1</v>
      </c>
      <c r="AE192" s="2461"/>
      <c r="AF192" s="68"/>
    </row>
    <row r="193" spans="1:32" ht="45" x14ac:dyDescent="0.35">
      <c r="A193" s="294">
        <v>90</v>
      </c>
      <c r="B193" s="1040">
        <v>11437</v>
      </c>
      <c r="C193" s="693" t="s">
        <v>1656</v>
      </c>
      <c r="D193" s="2469" t="s">
        <v>6305</v>
      </c>
      <c r="E193" s="2187" t="s">
        <v>10793</v>
      </c>
      <c r="F193" s="92" t="s">
        <v>664</v>
      </c>
      <c r="G193" s="92">
        <v>5</v>
      </c>
      <c r="H193" s="92">
        <v>6</v>
      </c>
      <c r="I193" s="2157">
        <f t="shared" si="13"/>
        <v>0.59</v>
      </c>
      <c r="J193" s="2157">
        <f t="shared" si="14"/>
        <v>0.59</v>
      </c>
      <c r="K193" s="622"/>
      <c r="L193" s="622"/>
      <c r="M193" s="622"/>
      <c r="N193" s="622"/>
      <c r="O193" s="622"/>
      <c r="P193" s="622"/>
      <c r="Q193" s="622"/>
      <c r="R193" s="906">
        <v>0.59</v>
      </c>
      <c r="S193" s="106"/>
      <c r="T193" s="106"/>
      <c r="U193" s="106"/>
      <c r="V193" s="106"/>
      <c r="W193" s="105"/>
      <c r="X193" s="253"/>
      <c r="Y193" s="105"/>
      <c r="Z193" s="323"/>
      <c r="AB193">
        <v>1</v>
      </c>
      <c r="AE193" s="2461"/>
      <c r="AF193" s="68"/>
    </row>
    <row r="194" spans="1:32" ht="45" x14ac:dyDescent="0.35">
      <c r="A194" s="294">
        <v>91</v>
      </c>
      <c r="B194" s="1040">
        <v>11437</v>
      </c>
      <c r="C194" s="693" t="s">
        <v>1656</v>
      </c>
      <c r="D194" s="2469" t="s">
        <v>6306</v>
      </c>
      <c r="E194" s="2187" t="s">
        <v>10794</v>
      </c>
      <c r="F194" s="92" t="s">
        <v>664</v>
      </c>
      <c r="G194" s="92">
        <v>5</v>
      </c>
      <c r="H194" s="92">
        <v>6</v>
      </c>
      <c r="I194" s="2157">
        <f t="shared" si="13"/>
        <v>0.2</v>
      </c>
      <c r="J194" s="2157">
        <f t="shared" si="14"/>
        <v>0.2</v>
      </c>
      <c r="K194" s="622"/>
      <c r="L194" s="622"/>
      <c r="M194" s="622"/>
      <c r="N194" s="622"/>
      <c r="O194" s="622"/>
      <c r="P194" s="622"/>
      <c r="Q194" s="622"/>
      <c r="R194" s="906">
        <v>0.2</v>
      </c>
      <c r="S194" s="106"/>
      <c r="T194" s="106"/>
      <c r="U194" s="106"/>
      <c r="V194" s="106"/>
      <c r="W194" s="105"/>
      <c r="X194" s="253"/>
      <c r="Y194" s="105"/>
      <c r="Z194" s="323"/>
      <c r="AB194">
        <v>1</v>
      </c>
      <c r="AE194" s="2461"/>
      <c r="AF194" s="68"/>
    </row>
    <row r="195" spans="1:32" ht="45" x14ac:dyDescent="0.35">
      <c r="A195" s="294">
        <v>92</v>
      </c>
      <c r="B195" s="1040">
        <v>11437</v>
      </c>
      <c r="C195" s="693" t="s">
        <v>1656</v>
      </c>
      <c r="D195" s="2469" t="s">
        <v>6307</v>
      </c>
      <c r="E195" s="2187" t="s">
        <v>9008</v>
      </c>
      <c r="F195" s="92" t="s">
        <v>664</v>
      </c>
      <c r="G195" s="92">
        <v>5</v>
      </c>
      <c r="H195" s="92">
        <v>6</v>
      </c>
      <c r="I195" s="2157">
        <f t="shared" si="13"/>
        <v>0.8</v>
      </c>
      <c r="J195" s="2157">
        <f t="shared" si="14"/>
        <v>0.8</v>
      </c>
      <c r="K195" s="622"/>
      <c r="L195" s="622"/>
      <c r="M195" s="622"/>
      <c r="N195" s="622"/>
      <c r="O195" s="622"/>
      <c r="P195" s="622"/>
      <c r="Q195" s="622"/>
      <c r="R195" s="906">
        <v>0.8</v>
      </c>
      <c r="S195" s="106"/>
      <c r="T195" s="106"/>
      <c r="U195" s="106"/>
      <c r="V195" s="106"/>
      <c r="W195" s="105"/>
      <c r="X195" s="253"/>
      <c r="Y195" s="105"/>
      <c r="Z195" s="323"/>
      <c r="AB195">
        <v>1</v>
      </c>
      <c r="AE195" s="2461"/>
      <c r="AF195" s="68"/>
    </row>
    <row r="196" spans="1:32" ht="45" x14ac:dyDescent="0.35">
      <c r="A196" s="294">
        <v>93</v>
      </c>
      <c r="B196" s="1040">
        <v>11437</v>
      </c>
      <c r="C196" s="693" t="s">
        <v>1656</v>
      </c>
      <c r="D196" s="2469" t="s">
        <v>6308</v>
      </c>
      <c r="E196" s="2187" t="s">
        <v>10795</v>
      </c>
      <c r="F196" s="92" t="s">
        <v>664</v>
      </c>
      <c r="G196" s="92">
        <v>5</v>
      </c>
      <c r="H196" s="92">
        <v>6</v>
      </c>
      <c r="I196" s="2157">
        <f t="shared" si="13"/>
        <v>0.48</v>
      </c>
      <c r="J196" s="2157">
        <f t="shared" si="14"/>
        <v>0.48</v>
      </c>
      <c r="K196" s="622"/>
      <c r="L196" s="622"/>
      <c r="M196" s="622"/>
      <c r="N196" s="622"/>
      <c r="O196" s="622"/>
      <c r="P196" s="622"/>
      <c r="Q196" s="622"/>
      <c r="R196" s="906">
        <v>0.48</v>
      </c>
      <c r="S196" s="106"/>
      <c r="T196" s="106"/>
      <c r="U196" s="106"/>
      <c r="V196" s="106"/>
      <c r="W196" s="105"/>
      <c r="X196" s="253"/>
      <c r="Y196" s="105"/>
      <c r="Z196" s="323"/>
      <c r="AB196">
        <v>1</v>
      </c>
      <c r="AE196" s="2461"/>
      <c r="AF196" s="68"/>
    </row>
    <row r="197" spans="1:32" ht="30" x14ac:dyDescent="0.35">
      <c r="A197" s="294">
        <v>94</v>
      </c>
      <c r="B197" s="1040">
        <v>11437</v>
      </c>
      <c r="C197" s="693" t="s">
        <v>1656</v>
      </c>
      <c r="D197" s="2469" t="s">
        <v>6309</v>
      </c>
      <c r="E197" s="2187" t="s">
        <v>10796</v>
      </c>
      <c r="F197" s="92" t="s">
        <v>664</v>
      </c>
      <c r="G197" s="92">
        <v>5</v>
      </c>
      <c r="H197" s="92">
        <v>6</v>
      </c>
      <c r="I197" s="2157">
        <f t="shared" si="13"/>
        <v>0.26</v>
      </c>
      <c r="J197" s="2157">
        <f t="shared" si="14"/>
        <v>0.26</v>
      </c>
      <c r="K197" s="622"/>
      <c r="L197" s="622"/>
      <c r="M197" s="622"/>
      <c r="N197" s="622"/>
      <c r="O197" s="622"/>
      <c r="P197" s="622"/>
      <c r="Q197" s="622"/>
      <c r="R197" s="906">
        <v>0.26</v>
      </c>
      <c r="S197" s="106"/>
      <c r="T197" s="106"/>
      <c r="U197" s="106"/>
      <c r="V197" s="106"/>
      <c r="W197" s="105"/>
      <c r="X197" s="253"/>
      <c r="Y197" s="105"/>
      <c r="Z197" s="323"/>
      <c r="AB197">
        <v>1</v>
      </c>
      <c r="AE197" s="2461"/>
      <c r="AF197" s="68"/>
    </row>
    <row r="198" spans="1:32" s="63" customFormat="1" ht="16" x14ac:dyDescent="0.4">
      <c r="A198" s="294">
        <v>95</v>
      </c>
      <c r="B198" s="997">
        <v>11438</v>
      </c>
      <c r="C198" s="997"/>
      <c r="D198" s="515" t="s">
        <v>655</v>
      </c>
      <c r="E198" s="288" t="s">
        <v>1770</v>
      </c>
      <c r="F198" s="13"/>
      <c r="G198" s="13" t="s">
        <v>191</v>
      </c>
      <c r="H198" s="13" t="s">
        <v>191</v>
      </c>
      <c r="I198" s="297">
        <f t="shared" si="13"/>
        <v>6.5399999999999991</v>
      </c>
      <c r="J198" s="297">
        <f>SUM(M198:R198)</f>
        <v>5.93</v>
      </c>
      <c r="K198" s="297"/>
      <c r="L198" s="297">
        <f>SUM(L199:L201)</f>
        <v>0.60999999999999988</v>
      </c>
      <c r="M198" s="1541"/>
      <c r="N198" s="297"/>
      <c r="O198" s="302"/>
      <c r="P198" s="297"/>
      <c r="Q198" s="932">
        <f>SUM(Q199:Q201)</f>
        <v>5.93</v>
      </c>
      <c r="R198" s="925"/>
      <c r="S198" s="154"/>
      <c r="T198" s="154"/>
      <c r="U198" s="154"/>
      <c r="V198" s="154"/>
      <c r="W198" s="1881">
        <v>21</v>
      </c>
      <c r="X198" s="1962">
        <v>246.39999389648438</v>
      </c>
      <c r="Y198" s="164">
        <v>10</v>
      </c>
      <c r="Z198" s="309">
        <v>102</v>
      </c>
      <c r="AA198"/>
      <c r="AB198">
        <v>1</v>
      </c>
      <c r="AE198" s="2461"/>
      <c r="AF198" s="68"/>
    </row>
    <row r="199" spans="1:32" s="63" customFormat="1" ht="16" x14ac:dyDescent="0.4">
      <c r="A199" s="294"/>
      <c r="B199" s="997">
        <v>11438</v>
      </c>
      <c r="C199" s="997"/>
      <c r="D199" s="515"/>
      <c r="E199" s="837" t="s">
        <v>1771</v>
      </c>
      <c r="F199" s="13">
        <v>5</v>
      </c>
      <c r="G199" s="13">
        <v>4</v>
      </c>
      <c r="H199" s="13">
        <v>6</v>
      </c>
      <c r="I199" s="298"/>
      <c r="J199" s="298"/>
      <c r="K199" s="298"/>
      <c r="L199" s="298"/>
      <c r="M199" s="1542"/>
      <c r="N199" s="298"/>
      <c r="O199" s="299"/>
      <c r="P199" s="298"/>
      <c r="Q199" s="933">
        <v>3.85</v>
      </c>
      <c r="R199" s="927"/>
      <c r="S199" s="1944"/>
      <c r="T199" s="1944"/>
      <c r="U199" s="1944"/>
      <c r="V199" s="1944"/>
      <c r="W199" s="1138"/>
      <c r="X199" s="1962"/>
      <c r="Y199" s="164"/>
      <c r="Z199" s="309"/>
      <c r="AA199"/>
      <c r="AB199"/>
      <c r="AE199" s="2461"/>
      <c r="AF199" s="68"/>
    </row>
    <row r="200" spans="1:32" ht="31" x14ac:dyDescent="0.35">
      <c r="A200" s="294"/>
      <c r="B200" s="997">
        <v>11438</v>
      </c>
      <c r="C200" s="997"/>
      <c r="D200" s="515"/>
      <c r="E200" s="289" t="s">
        <v>86</v>
      </c>
      <c r="F200" s="13">
        <v>5</v>
      </c>
      <c r="G200" s="13">
        <v>4</v>
      </c>
      <c r="H200" s="13" t="s">
        <v>191</v>
      </c>
      <c r="I200" s="298"/>
      <c r="J200" s="298"/>
      <c r="K200" s="298"/>
      <c r="L200" s="298">
        <f>4.46-3.85</f>
        <v>0.60999999999999988</v>
      </c>
      <c r="M200" s="1542"/>
      <c r="N200" s="298"/>
      <c r="O200" s="299"/>
      <c r="P200" s="298"/>
      <c r="Q200" s="933"/>
      <c r="R200" s="927"/>
      <c r="S200" s="1944"/>
      <c r="T200" s="1944"/>
      <c r="U200" s="1944"/>
      <c r="V200" s="1944"/>
      <c r="W200" s="1138"/>
      <c r="X200" s="1962"/>
      <c r="Y200" s="164"/>
      <c r="Z200" s="309"/>
      <c r="AE200" s="2461"/>
      <c r="AF200" s="68"/>
    </row>
    <row r="201" spans="1:32" ht="15.5" x14ac:dyDescent="0.35">
      <c r="A201" s="294"/>
      <c r="B201" s="997">
        <v>11438</v>
      </c>
      <c r="C201" s="997"/>
      <c r="D201" s="515"/>
      <c r="E201" s="837" t="s">
        <v>87</v>
      </c>
      <c r="F201" s="13">
        <v>5</v>
      </c>
      <c r="G201" s="13">
        <v>4</v>
      </c>
      <c r="H201" s="13">
        <v>6</v>
      </c>
      <c r="I201" s="298"/>
      <c r="J201" s="298"/>
      <c r="K201" s="298"/>
      <c r="L201" s="298"/>
      <c r="M201" s="1542"/>
      <c r="N201" s="298"/>
      <c r="O201" s="299"/>
      <c r="P201" s="298"/>
      <c r="Q201" s="933">
        <v>2.08</v>
      </c>
      <c r="R201" s="927"/>
      <c r="S201" s="1944"/>
      <c r="T201" s="1944"/>
      <c r="U201" s="1944"/>
      <c r="V201" s="1944"/>
      <c r="W201" s="1138"/>
      <c r="X201" s="1962"/>
      <c r="Y201" s="164"/>
      <c r="Z201" s="309"/>
      <c r="AE201" s="2461"/>
      <c r="AF201" s="68"/>
    </row>
    <row r="202" spans="1:32" ht="30" x14ac:dyDescent="0.35">
      <c r="A202" s="525">
        <v>96</v>
      </c>
      <c r="B202" s="1040">
        <v>11438</v>
      </c>
      <c r="C202" s="693" t="s">
        <v>1656</v>
      </c>
      <c r="D202" s="2469" t="s">
        <v>6310</v>
      </c>
      <c r="E202" s="2187" t="s">
        <v>9009</v>
      </c>
      <c r="F202" s="92" t="s">
        <v>664</v>
      </c>
      <c r="G202" s="92">
        <v>5</v>
      </c>
      <c r="H202" s="92">
        <v>6</v>
      </c>
      <c r="I202" s="2157">
        <f>J202+K202+L202</f>
        <v>0.95</v>
      </c>
      <c r="J202" s="2157">
        <f>M202+N202+O202+P202+Q202+R202</f>
        <v>0.95</v>
      </c>
      <c r="K202" s="622"/>
      <c r="L202" s="622"/>
      <c r="M202" s="622"/>
      <c r="N202" s="622"/>
      <c r="O202" s="622"/>
      <c r="P202" s="622"/>
      <c r="Q202" s="622"/>
      <c r="R202" s="906">
        <v>0.95</v>
      </c>
      <c r="S202" s="106"/>
      <c r="T202" s="106"/>
      <c r="U202" s="106"/>
      <c r="V202" s="106"/>
      <c r="W202" s="105"/>
      <c r="X202" s="253"/>
      <c r="Y202" s="105"/>
      <c r="Z202" s="323"/>
      <c r="AB202">
        <v>1</v>
      </c>
      <c r="AE202" s="2461"/>
      <c r="AF202" s="68"/>
    </row>
    <row r="203" spans="1:32" ht="30" x14ac:dyDescent="0.35">
      <c r="A203" s="525">
        <v>97</v>
      </c>
      <c r="B203" s="1040">
        <v>11438</v>
      </c>
      <c r="C203" s="693" t="s">
        <v>1656</v>
      </c>
      <c r="D203" s="2469" t="s">
        <v>6311</v>
      </c>
      <c r="E203" s="2187" t="s">
        <v>9010</v>
      </c>
      <c r="F203" s="92" t="s">
        <v>664</v>
      </c>
      <c r="G203" s="92">
        <v>5</v>
      </c>
      <c r="H203" s="92">
        <v>6</v>
      </c>
      <c r="I203" s="2157">
        <f>J203+K203+L203</f>
        <v>0.16</v>
      </c>
      <c r="J203" s="2157">
        <f>M203+N203+O203+P203+Q203+R203</f>
        <v>0.16</v>
      </c>
      <c r="K203" s="622"/>
      <c r="L203" s="622"/>
      <c r="M203" s="622"/>
      <c r="N203" s="622"/>
      <c r="O203" s="622"/>
      <c r="P203" s="622"/>
      <c r="Q203" s="622"/>
      <c r="R203" s="906">
        <v>0.16</v>
      </c>
      <c r="S203" s="106"/>
      <c r="T203" s="106"/>
      <c r="U203" s="106"/>
      <c r="V203" s="106"/>
      <c r="W203" s="105"/>
      <c r="X203" s="253"/>
      <c r="Y203" s="105"/>
      <c r="Z203" s="323"/>
      <c r="AB203">
        <v>1</v>
      </c>
      <c r="AE203" s="2461"/>
      <c r="AF203" s="68"/>
    </row>
    <row r="204" spans="1:32" ht="15.5" x14ac:dyDescent="0.35">
      <c r="A204" s="525">
        <v>98</v>
      </c>
      <c r="B204" s="997">
        <v>11439</v>
      </c>
      <c r="C204" s="997"/>
      <c r="D204" s="515" t="s">
        <v>656</v>
      </c>
      <c r="E204" s="288" t="s">
        <v>88</v>
      </c>
      <c r="F204" s="13"/>
      <c r="G204" s="13" t="s">
        <v>191</v>
      </c>
      <c r="H204" s="13" t="s">
        <v>191</v>
      </c>
      <c r="I204" s="297">
        <f>J204+K204+L204</f>
        <v>5.76</v>
      </c>
      <c r="J204" s="297">
        <f>SUM(M204:R204)</f>
        <v>5.76</v>
      </c>
      <c r="K204" s="297"/>
      <c r="L204" s="297"/>
      <c r="M204" s="1541"/>
      <c r="N204" s="297">
        <f>SUM(N205:N207)</f>
        <v>1.28</v>
      </c>
      <c r="O204" s="302"/>
      <c r="P204" s="297"/>
      <c r="Q204" s="932">
        <f>SUM(Q205:Q207)</f>
        <v>4.4799999999999995</v>
      </c>
      <c r="R204" s="925"/>
      <c r="S204" s="154"/>
      <c r="T204" s="154"/>
      <c r="U204" s="154"/>
      <c r="V204" s="154"/>
      <c r="W204" s="1881">
        <v>16</v>
      </c>
      <c r="X204" s="1962">
        <v>209.39999389648438</v>
      </c>
      <c r="Y204" s="164">
        <v>7</v>
      </c>
      <c r="Z204" s="309">
        <v>67.800003051757813</v>
      </c>
      <c r="AB204">
        <v>1</v>
      </c>
      <c r="AE204" s="2461"/>
      <c r="AF204" s="68"/>
    </row>
    <row r="205" spans="1:32" ht="15.5" x14ac:dyDescent="0.35">
      <c r="A205" s="787"/>
      <c r="B205" s="997">
        <v>11439</v>
      </c>
      <c r="C205" s="997"/>
      <c r="D205" s="788"/>
      <c r="E205" s="289" t="s">
        <v>674</v>
      </c>
      <c r="F205" s="1138">
        <v>4</v>
      </c>
      <c r="G205" s="13">
        <v>4</v>
      </c>
      <c r="H205" s="13">
        <v>6</v>
      </c>
      <c r="I205" s="298"/>
      <c r="J205" s="298"/>
      <c r="K205" s="298"/>
      <c r="L205" s="298"/>
      <c r="M205" s="1542"/>
      <c r="N205" s="298">
        <v>1.28</v>
      </c>
      <c r="O205" s="299"/>
      <c r="P205" s="298"/>
      <c r="Q205" s="933"/>
      <c r="R205" s="927"/>
      <c r="S205" s="1944"/>
      <c r="T205" s="1944"/>
      <c r="U205" s="1944"/>
      <c r="V205" s="1944"/>
      <c r="W205" s="1138"/>
      <c r="X205" s="2074"/>
      <c r="Y205" s="1953"/>
      <c r="Z205" s="509"/>
      <c r="AE205" s="2461"/>
      <c r="AF205" s="68"/>
    </row>
    <row r="206" spans="1:32" ht="15.5" x14ac:dyDescent="0.35">
      <c r="A206" s="787"/>
      <c r="B206" s="997">
        <v>11439</v>
      </c>
      <c r="C206" s="997"/>
      <c r="D206" s="788"/>
      <c r="E206" s="837" t="s">
        <v>89</v>
      </c>
      <c r="F206" s="1138">
        <v>4</v>
      </c>
      <c r="G206" s="13">
        <v>4</v>
      </c>
      <c r="H206" s="13">
        <v>6</v>
      </c>
      <c r="I206" s="298"/>
      <c r="J206" s="298"/>
      <c r="K206" s="298"/>
      <c r="L206" s="298"/>
      <c r="M206" s="1542"/>
      <c r="N206" s="298"/>
      <c r="O206" s="299"/>
      <c r="P206" s="298"/>
      <c r="Q206" s="933">
        <v>2.79</v>
      </c>
      <c r="R206" s="927"/>
      <c r="S206" s="1944"/>
      <c r="T206" s="1944"/>
      <c r="U206" s="1944"/>
      <c r="V206" s="1944"/>
      <c r="W206" s="1138"/>
      <c r="X206" s="2074"/>
      <c r="Y206" s="1953"/>
      <c r="Z206" s="509"/>
      <c r="AE206" s="2461"/>
      <c r="AF206" s="68"/>
    </row>
    <row r="207" spans="1:32" ht="15.5" x14ac:dyDescent="0.35">
      <c r="A207" s="787"/>
      <c r="B207" s="997">
        <v>11439</v>
      </c>
      <c r="C207" s="997"/>
      <c r="D207" s="788"/>
      <c r="E207" s="837" t="s">
        <v>90</v>
      </c>
      <c r="F207" s="1138" t="s">
        <v>827</v>
      </c>
      <c r="G207" s="13">
        <v>4</v>
      </c>
      <c r="H207" s="13">
        <v>6</v>
      </c>
      <c r="I207" s="298"/>
      <c r="J207" s="298"/>
      <c r="K207" s="298"/>
      <c r="L207" s="298"/>
      <c r="M207" s="1542"/>
      <c r="N207" s="298"/>
      <c r="O207" s="299"/>
      <c r="P207" s="298"/>
      <c r="Q207" s="933">
        <f>5.76-4.07</f>
        <v>1.6899999999999995</v>
      </c>
      <c r="R207" s="927"/>
      <c r="S207" s="1944"/>
      <c r="T207" s="1944"/>
      <c r="U207" s="1944"/>
      <c r="V207" s="1944"/>
      <c r="W207" s="1138"/>
      <c r="X207" s="2074"/>
      <c r="Y207" s="1953"/>
      <c r="Z207" s="509"/>
      <c r="AE207" s="2461"/>
      <c r="AF207" s="68"/>
    </row>
    <row r="208" spans="1:32" ht="30.5" x14ac:dyDescent="0.35">
      <c r="A208" s="789">
        <v>99</v>
      </c>
      <c r="B208" s="1071">
        <v>11439</v>
      </c>
      <c r="C208" s="1071"/>
      <c r="D208" s="2469" t="s">
        <v>6312</v>
      </c>
      <c r="E208" s="288" t="s">
        <v>8017</v>
      </c>
      <c r="F208" s="13"/>
      <c r="G208" s="13" t="s">
        <v>191</v>
      </c>
      <c r="H208" s="13" t="s">
        <v>191</v>
      </c>
      <c r="I208" s="297">
        <f>J208+K208+L208</f>
        <v>0.92</v>
      </c>
      <c r="J208" s="297">
        <f>SUM(M208:R208)</f>
        <v>0.92</v>
      </c>
      <c r="K208" s="489"/>
      <c r="L208" s="489"/>
      <c r="M208" s="1543"/>
      <c r="N208" s="489">
        <f>SUM(N209:N210)</f>
        <v>0.10000000000000009</v>
      </c>
      <c r="O208" s="491"/>
      <c r="P208" s="489"/>
      <c r="Q208" s="932"/>
      <c r="R208" s="929">
        <f>SUM(R209:R210)</f>
        <v>0.82</v>
      </c>
      <c r="S208" s="154"/>
      <c r="T208" s="154"/>
      <c r="U208" s="154"/>
      <c r="V208" s="154"/>
      <c r="W208" s="1881">
        <v>4</v>
      </c>
      <c r="X208" s="1962">
        <v>38.599998474121094</v>
      </c>
      <c r="Y208" s="164">
        <v>2</v>
      </c>
      <c r="Z208" s="309">
        <v>20</v>
      </c>
      <c r="AB208">
        <v>1</v>
      </c>
      <c r="AE208" s="2461"/>
      <c r="AF208" s="68"/>
    </row>
    <row r="209" spans="1:32" ht="15.5" x14ac:dyDescent="0.35">
      <c r="A209" s="789"/>
      <c r="B209" s="1071"/>
      <c r="C209" s="1071"/>
      <c r="D209" s="515"/>
      <c r="E209" s="838" t="s">
        <v>1475</v>
      </c>
      <c r="F209" s="13" t="s">
        <v>827</v>
      </c>
      <c r="G209" s="13">
        <v>5</v>
      </c>
      <c r="H209" s="92">
        <v>6</v>
      </c>
      <c r="I209" s="298"/>
      <c r="J209" s="298"/>
      <c r="K209" s="492"/>
      <c r="L209" s="492"/>
      <c r="M209" s="1543"/>
      <c r="N209" s="489"/>
      <c r="O209" s="491"/>
      <c r="P209" s="489"/>
      <c r="Q209" s="932"/>
      <c r="R209" s="2209">
        <v>0.82</v>
      </c>
      <c r="S209" s="154"/>
      <c r="T209" s="154"/>
      <c r="U209" s="154"/>
      <c r="V209" s="154"/>
      <c r="W209" s="1881"/>
      <c r="X209" s="1962"/>
      <c r="Y209" s="164"/>
      <c r="Z209" s="309"/>
      <c r="AA209" t="s">
        <v>93</v>
      </c>
      <c r="AE209" s="2461"/>
      <c r="AF209" s="68"/>
    </row>
    <row r="210" spans="1:32" ht="15.5" x14ac:dyDescent="0.35">
      <c r="A210" s="789"/>
      <c r="B210" s="1071"/>
      <c r="C210" s="1071"/>
      <c r="D210" s="515"/>
      <c r="E210" s="289" t="s">
        <v>1476</v>
      </c>
      <c r="F210" s="13" t="s">
        <v>827</v>
      </c>
      <c r="G210" s="13">
        <v>5</v>
      </c>
      <c r="H210" s="13">
        <v>6</v>
      </c>
      <c r="I210" s="297"/>
      <c r="J210" s="297"/>
      <c r="K210" s="489"/>
      <c r="L210" s="489"/>
      <c r="M210" s="1543"/>
      <c r="N210" s="492">
        <f>0.92-0.82</f>
        <v>0.10000000000000009</v>
      </c>
      <c r="O210" s="491"/>
      <c r="P210" s="489"/>
      <c r="Q210" s="932"/>
      <c r="R210" s="929"/>
      <c r="S210" s="154"/>
      <c r="T210" s="154"/>
      <c r="U210" s="154"/>
      <c r="V210" s="154"/>
      <c r="W210" s="1881"/>
      <c r="X210" s="1962"/>
      <c r="Y210" s="164"/>
      <c r="Z210" s="309"/>
      <c r="AE210" s="2461"/>
      <c r="AF210" s="68"/>
    </row>
    <row r="211" spans="1:32" ht="45.5" x14ac:dyDescent="0.35">
      <c r="A211" s="441">
        <v>100</v>
      </c>
      <c r="B211" s="515">
        <v>11439</v>
      </c>
      <c r="C211" s="358" t="s">
        <v>1656</v>
      </c>
      <c r="D211" s="2469" t="s">
        <v>6313</v>
      </c>
      <c r="E211" s="511" t="s">
        <v>9011</v>
      </c>
      <c r="F211" s="1138" t="s">
        <v>664</v>
      </c>
      <c r="G211" s="2289">
        <v>5</v>
      </c>
      <c r="H211" s="92">
        <v>6</v>
      </c>
      <c r="I211" s="297">
        <f>J211+K211+L211</f>
        <v>0.6</v>
      </c>
      <c r="J211" s="297">
        <f>SUM(M211:R211)</f>
        <v>0.6</v>
      </c>
      <c r="K211" s="298"/>
      <c r="L211" s="298"/>
      <c r="M211" s="1542"/>
      <c r="N211" s="298"/>
      <c r="O211" s="299"/>
      <c r="P211" s="298"/>
      <c r="Q211" s="933"/>
      <c r="R211" s="1498">
        <v>0.6</v>
      </c>
      <c r="S211" s="1138"/>
      <c r="T211" s="1138"/>
      <c r="U211" s="1944"/>
      <c r="V211" s="1944"/>
      <c r="W211" s="1138"/>
      <c r="X211" s="2074"/>
      <c r="Y211" s="1953"/>
      <c r="Z211" s="509"/>
      <c r="AB211">
        <v>1</v>
      </c>
      <c r="AE211" s="2461"/>
      <c r="AF211" s="68"/>
    </row>
    <row r="212" spans="1:32" ht="46" x14ac:dyDescent="0.4">
      <c r="A212" s="294">
        <v>101</v>
      </c>
      <c r="B212" s="997">
        <v>11441</v>
      </c>
      <c r="C212" s="997"/>
      <c r="D212" s="515" t="s">
        <v>3095</v>
      </c>
      <c r="E212" s="288" t="s">
        <v>10249</v>
      </c>
      <c r="F212" s="13"/>
      <c r="G212" s="13" t="s">
        <v>191</v>
      </c>
      <c r="H212" s="13" t="s">
        <v>191</v>
      </c>
      <c r="I212" s="297">
        <f>J212+K212+L212</f>
        <v>4.2299999999999995</v>
      </c>
      <c r="J212" s="297">
        <f>SUM(M212:R212)</f>
        <v>4.2299999999999995</v>
      </c>
      <c r="K212" s="297"/>
      <c r="L212" s="297"/>
      <c r="M212" s="1541">
        <f>SUM(M213:M214)</f>
        <v>0.28999999999999998</v>
      </c>
      <c r="N212" s="297"/>
      <c r="O212" s="302"/>
      <c r="P212" s="297"/>
      <c r="Q212" s="932">
        <f>SUM(Q213:Q214)</f>
        <v>3.94</v>
      </c>
      <c r="R212" s="925"/>
      <c r="S212" s="154"/>
      <c r="T212" s="154"/>
      <c r="U212" s="154"/>
      <c r="V212" s="154"/>
      <c r="W212" s="1881">
        <v>13</v>
      </c>
      <c r="X212" s="1962">
        <v>158.5</v>
      </c>
      <c r="Y212" s="164">
        <v>5</v>
      </c>
      <c r="Z212" s="309">
        <v>55</v>
      </c>
      <c r="AA212" s="63"/>
      <c r="AB212">
        <v>1</v>
      </c>
      <c r="AE212" s="2461"/>
      <c r="AF212" s="68"/>
    </row>
    <row r="213" spans="1:32" ht="16" x14ac:dyDescent="0.4">
      <c r="A213" s="787"/>
      <c r="B213" s="997">
        <v>11441</v>
      </c>
      <c r="C213" s="997"/>
      <c r="D213" s="788"/>
      <c r="E213" s="979" t="s">
        <v>91</v>
      </c>
      <c r="F213" s="13">
        <v>5</v>
      </c>
      <c r="G213" s="13">
        <v>4</v>
      </c>
      <c r="H213" s="13">
        <v>10</v>
      </c>
      <c r="I213" s="298"/>
      <c r="J213" s="298"/>
      <c r="K213" s="298"/>
      <c r="L213" s="298"/>
      <c r="M213" s="1542">
        <v>0.28999999999999998</v>
      </c>
      <c r="N213" s="298"/>
      <c r="O213" s="299"/>
      <c r="P213" s="298"/>
      <c r="Q213" s="933"/>
      <c r="R213" s="927"/>
      <c r="S213" s="1944"/>
      <c r="T213" s="1944"/>
      <c r="U213" s="1944"/>
      <c r="V213" s="1944"/>
      <c r="W213" s="1138"/>
      <c r="X213" s="2074"/>
      <c r="Y213" s="1953"/>
      <c r="Z213" s="509"/>
      <c r="AA213" s="63"/>
      <c r="AB213" s="63"/>
      <c r="AE213" s="2461"/>
      <c r="AF213" s="68"/>
    </row>
    <row r="214" spans="1:32" ht="15.5" x14ac:dyDescent="0.35">
      <c r="A214" s="787"/>
      <c r="B214" s="997">
        <v>11441</v>
      </c>
      <c r="C214" s="997"/>
      <c r="D214" s="788"/>
      <c r="E214" s="837" t="s">
        <v>92</v>
      </c>
      <c r="F214" s="13">
        <v>5</v>
      </c>
      <c r="G214" s="13">
        <v>4</v>
      </c>
      <c r="H214" s="13">
        <v>6</v>
      </c>
      <c r="I214" s="298"/>
      <c r="J214" s="298"/>
      <c r="K214" s="298"/>
      <c r="L214" s="298"/>
      <c r="M214" s="1542"/>
      <c r="N214" s="298"/>
      <c r="O214" s="299"/>
      <c r="P214" s="298"/>
      <c r="Q214" s="933">
        <v>3.94</v>
      </c>
      <c r="R214" s="927"/>
      <c r="S214" s="1944"/>
      <c r="T214" s="1944"/>
      <c r="U214" s="1944"/>
      <c r="V214" s="1944"/>
      <c r="W214" s="1138"/>
      <c r="X214" s="2074"/>
      <c r="Y214" s="1953"/>
      <c r="Z214" s="509"/>
      <c r="AE214" s="2461"/>
      <c r="AF214" s="68"/>
    </row>
    <row r="215" spans="1:32" ht="60.5" x14ac:dyDescent="0.35">
      <c r="A215" s="294">
        <v>102</v>
      </c>
      <c r="B215" s="997">
        <v>11441</v>
      </c>
      <c r="C215" s="997"/>
      <c r="D215" s="2469" t="s">
        <v>6314</v>
      </c>
      <c r="E215" s="288" t="s">
        <v>10250</v>
      </c>
      <c r="F215" s="13"/>
      <c r="G215" s="13" t="s">
        <v>191</v>
      </c>
      <c r="H215" s="13" t="s">
        <v>191</v>
      </c>
      <c r="I215" s="297">
        <f>J215+K215+L215</f>
        <v>1.7400000000000002</v>
      </c>
      <c r="J215" s="297">
        <f>SUM(M215:R215)</f>
        <v>1.7400000000000002</v>
      </c>
      <c r="K215" s="297"/>
      <c r="L215" s="297"/>
      <c r="M215" s="1541"/>
      <c r="N215" s="297">
        <f>SUM(N216:N217)</f>
        <v>1.1100000000000001</v>
      </c>
      <c r="O215" s="302"/>
      <c r="P215" s="297"/>
      <c r="Q215" s="932">
        <f>SUM(Q216:Q217)</f>
        <v>0.63</v>
      </c>
      <c r="R215" s="925"/>
      <c r="S215" s="154"/>
      <c r="T215" s="154"/>
      <c r="U215" s="154"/>
      <c r="V215" s="154"/>
      <c r="W215" s="1881">
        <v>3</v>
      </c>
      <c r="X215" s="1962">
        <v>31.700000762939453</v>
      </c>
      <c r="Y215" s="164"/>
      <c r="Z215" s="309"/>
      <c r="AB215">
        <v>1</v>
      </c>
      <c r="AE215" s="2461"/>
      <c r="AF215" s="68"/>
    </row>
    <row r="216" spans="1:32" ht="15.5" x14ac:dyDescent="0.35">
      <c r="A216" s="787"/>
      <c r="B216" s="997">
        <v>11441</v>
      </c>
      <c r="C216" s="997"/>
      <c r="D216" s="788"/>
      <c r="E216" s="837" t="s">
        <v>2145</v>
      </c>
      <c r="F216" s="13">
        <v>5</v>
      </c>
      <c r="G216" s="13">
        <v>4</v>
      </c>
      <c r="H216" s="13">
        <v>6</v>
      </c>
      <c r="I216" s="298"/>
      <c r="J216" s="298"/>
      <c r="K216" s="298"/>
      <c r="L216" s="298"/>
      <c r="M216" s="1542"/>
      <c r="N216" s="298"/>
      <c r="O216" s="299"/>
      <c r="P216" s="298"/>
      <c r="Q216" s="933">
        <v>0.63</v>
      </c>
      <c r="R216" s="927"/>
      <c r="S216" s="1944"/>
      <c r="T216" s="1944"/>
      <c r="U216" s="1944"/>
      <c r="V216" s="1944"/>
      <c r="W216" s="1138"/>
      <c r="X216" s="2074"/>
      <c r="Y216" s="1953"/>
      <c r="Z216" s="509"/>
      <c r="AE216" s="2461"/>
      <c r="AF216" s="68"/>
    </row>
    <row r="217" spans="1:32" ht="15.5" x14ac:dyDescent="0.35">
      <c r="A217" s="787"/>
      <c r="B217" s="997">
        <v>11441</v>
      </c>
      <c r="C217" s="997"/>
      <c r="D217" s="788"/>
      <c r="E217" s="289" t="s">
        <v>330</v>
      </c>
      <c r="F217" s="13">
        <v>5</v>
      </c>
      <c r="G217" s="13">
        <v>4</v>
      </c>
      <c r="H217" s="13">
        <v>6</v>
      </c>
      <c r="I217" s="298"/>
      <c r="J217" s="298"/>
      <c r="K217" s="298"/>
      <c r="L217" s="298"/>
      <c r="M217" s="1542"/>
      <c r="N217" s="298">
        <v>1.1100000000000001</v>
      </c>
      <c r="O217" s="299"/>
      <c r="P217" s="298"/>
      <c r="Q217" s="933"/>
      <c r="R217" s="927"/>
      <c r="S217" s="1944"/>
      <c r="T217" s="1944"/>
      <c r="U217" s="1944"/>
      <c r="V217" s="1944"/>
      <c r="W217" s="1138"/>
      <c r="X217" s="2074"/>
      <c r="Y217" s="1953"/>
      <c r="Z217" s="509"/>
      <c r="AE217" s="2461"/>
      <c r="AF217" s="68"/>
    </row>
    <row r="218" spans="1:32" ht="60.5" x14ac:dyDescent="0.35">
      <c r="A218" s="789">
        <v>103</v>
      </c>
      <c r="B218" s="1071">
        <v>11441</v>
      </c>
      <c r="C218" s="1071"/>
      <c r="D218" s="2469" t="s">
        <v>6315</v>
      </c>
      <c r="E218" s="288" t="s">
        <v>10251</v>
      </c>
      <c r="F218" s="13" t="s">
        <v>664</v>
      </c>
      <c r="G218" s="13">
        <v>5</v>
      </c>
      <c r="H218" s="92">
        <v>6</v>
      </c>
      <c r="I218" s="297">
        <f>J218+K218+L218</f>
        <v>2.0699999999999998</v>
      </c>
      <c r="J218" s="297">
        <f>SUM(M218:R218)</f>
        <v>2.0699999999999998</v>
      </c>
      <c r="K218" s="489"/>
      <c r="L218" s="489"/>
      <c r="M218" s="1543"/>
      <c r="N218" s="489"/>
      <c r="O218" s="491"/>
      <c r="P218" s="489"/>
      <c r="Q218" s="932"/>
      <c r="R218" s="929">
        <v>2.0699999999999998</v>
      </c>
      <c r="S218" s="154">
        <v>1</v>
      </c>
      <c r="T218" s="260">
        <v>6.6</v>
      </c>
      <c r="U218" s="154"/>
      <c r="V218" s="154"/>
      <c r="W218" s="1881">
        <v>2</v>
      </c>
      <c r="X218" s="1962">
        <v>30.2</v>
      </c>
      <c r="Y218" s="164"/>
      <c r="Z218" s="309"/>
      <c r="AB218">
        <v>1</v>
      </c>
      <c r="AE218" s="2461"/>
      <c r="AF218" s="68"/>
    </row>
    <row r="219" spans="1:32" ht="60" x14ac:dyDescent="0.35">
      <c r="A219" s="441">
        <v>104</v>
      </c>
      <c r="B219" s="693">
        <v>11441</v>
      </c>
      <c r="C219" s="358" t="s">
        <v>1656</v>
      </c>
      <c r="D219" s="2469" t="s">
        <v>6316</v>
      </c>
      <c r="E219" s="2187" t="s">
        <v>10252</v>
      </c>
      <c r="F219" s="92" t="s">
        <v>664</v>
      </c>
      <c r="G219" s="2289">
        <v>5</v>
      </c>
      <c r="H219" s="92">
        <v>6</v>
      </c>
      <c r="I219" s="297">
        <f>J219+K219+L219</f>
        <v>1.5</v>
      </c>
      <c r="J219" s="297">
        <f>SUM(M219:R219)</f>
        <v>1.5</v>
      </c>
      <c r="K219" s="622"/>
      <c r="L219" s="622"/>
      <c r="M219" s="622"/>
      <c r="N219" s="622"/>
      <c r="O219" s="622"/>
      <c r="P219" s="622"/>
      <c r="Q219" s="622"/>
      <c r="R219" s="906">
        <v>1.5</v>
      </c>
      <c r="S219" s="106"/>
      <c r="T219" s="106"/>
      <c r="U219" s="106"/>
      <c r="V219" s="106"/>
      <c r="W219" s="105"/>
      <c r="X219" s="253"/>
      <c r="Y219" s="105"/>
      <c r="Z219" s="323"/>
      <c r="AB219">
        <v>1</v>
      </c>
      <c r="AE219" s="2461"/>
      <c r="AF219" s="68"/>
    </row>
    <row r="220" spans="1:32" ht="60.5" x14ac:dyDescent="0.35">
      <c r="A220" s="789">
        <v>105</v>
      </c>
      <c r="B220" s="515">
        <v>11441</v>
      </c>
      <c r="C220" s="358" t="s">
        <v>1656</v>
      </c>
      <c r="D220" s="2469" t="s">
        <v>6317</v>
      </c>
      <c r="E220" s="511" t="s">
        <v>10253</v>
      </c>
      <c r="F220" s="1138" t="s">
        <v>664</v>
      </c>
      <c r="G220" s="2289">
        <v>5</v>
      </c>
      <c r="H220" s="92">
        <v>6</v>
      </c>
      <c r="I220" s="297">
        <f>J220+K220+L220</f>
        <v>0.4</v>
      </c>
      <c r="J220" s="297">
        <f>SUM(M220:R220)</f>
        <v>0.4</v>
      </c>
      <c r="K220" s="298"/>
      <c r="L220" s="298"/>
      <c r="M220" s="1542"/>
      <c r="N220" s="298"/>
      <c r="O220" s="299"/>
      <c r="P220" s="298"/>
      <c r="Q220" s="933"/>
      <c r="R220" s="927">
        <v>0.4</v>
      </c>
      <c r="S220" s="1138"/>
      <c r="T220" s="1138"/>
      <c r="U220" s="1944"/>
      <c r="V220" s="1944"/>
      <c r="W220" s="1138"/>
      <c r="X220" s="2074"/>
      <c r="Y220" s="1953"/>
      <c r="Z220" s="509"/>
      <c r="AB220">
        <v>1</v>
      </c>
      <c r="AE220" s="2461"/>
      <c r="AF220" s="68"/>
    </row>
    <row r="221" spans="1:32" ht="60.5" x14ac:dyDescent="0.35">
      <c r="A221" s="441">
        <v>106</v>
      </c>
      <c r="B221" s="515">
        <v>11441</v>
      </c>
      <c r="C221" s="358" t="s">
        <v>1656</v>
      </c>
      <c r="D221" s="2469" t="s">
        <v>6318</v>
      </c>
      <c r="E221" s="511" t="s">
        <v>10254</v>
      </c>
      <c r="F221" s="1138" t="s">
        <v>664</v>
      </c>
      <c r="G221" s="2289">
        <v>5</v>
      </c>
      <c r="H221" s="92">
        <v>6</v>
      </c>
      <c r="I221" s="297">
        <f>J221+K221+L221</f>
        <v>1.5</v>
      </c>
      <c r="J221" s="297">
        <f>SUM(M221:R221)</f>
        <v>1.5</v>
      </c>
      <c r="K221" s="298"/>
      <c r="L221" s="298"/>
      <c r="M221" s="1542"/>
      <c r="N221" s="298"/>
      <c r="O221" s="299"/>
      <c r="P221" s="298"/>
      <c r="Q221" s="933"/>
      <c r="R221" s="927">
        <v>1.5</v>
      </c>
      <c r="S221" s="1138"/>
      <c r="T221" s="1138"/>
      <c r="U221" s="1944"/>
      <c r="V221" s="1944"/>
      <c r="W221" s="1138"/>
      <c r="X221" s="2074"/>
      <c r="Y221" s="1953"/>
      <c r="Z221" s="509"/>
      <c r="AB221">
        <v>1</v>
      </c>
      <c r="AE221" s="2461"/>
      <c r="AF221" s="68"/>
    </row>
    <row r="222" spans="1:32" ht="45.5" x14ac:dyDescent="0.35">
      <c r="A222" s="789">
        <v>107</v>
      </c>
      <c r="B222" s="997">
        <v>11442</v>
      </c>
      <c r="C222" s="997"/>
      <c r="D222" s="515" t="s">
        <v>3096</v>
      </c>
      <c r="E222" s="288" t="s">
        <v>10255</v>
      </c>
      <c r="F222" s="13"/>
      <c r="G222" s="13" t="s">
        <v>191</v>
      </c>
      <c r="H222" s="13" t="s">
        <v>191</v>
      </c>
      <c r="I222" s="297">
        <f>J222+K222+L222</f>
        <v>5.46</v>
      </c>
      <c r="J222" s="297">
        <f>SUM(M222:R222)</f>
        <v>5.46</v>
      </c>
      <c r="K222" s="297"/>
      <c r="L222" s="297"/>
      <c r="M222" s="1541">
        <f>SUM(M223:M225)</f>
        <v>1.76</v>
      </c>
      <c r="N222" s="486">
        <f>SUM(N223:N225)</f>
        <v>3.7</v>
      </c>
      <c r="O222" s="302"/>
      <c r="P222" s="297"/>
      <c r="Q222" s="2706"/>
      <c r="R222" s="925"/>
      <c r="S222" s="154"/>
      <c r="T222" s="154"/>
      <c r="U222" s="154"/>
      <c r="V222" s="154"/>
      <c r="W222" s="1881">
        <v>20</v>
      </c>
      <c r="X222" s="1962">
        <v>254.80000305175781</v>
      </c>
      <c r="Y222" s="164">
        <v>14</v>
      </c>
      <c r="Z222" s="309">
        <v>142.39999389648438</v>
      </c>
      <c r="AB222">
        <v>1</v>
      </c>
      <c r="AE222" s="2461"/>
      <c r="AF222" s="68"/>
    </row>
    <row r="223" spans="1:32" ht="15.5" x14ac:dyDescent="0.35">
      <c r="A223" s="787"/>
      <c r="B223" s="997">
        <v>11442</v>
      </c>
      <c r="C223" s="997"/>
      <c r="D223" s="788"/>
      <c r="E223" s="534" t="s">
        <v>531</v>
      </c>
      <c r="F223" s="13">
        <v>4</v>
      </c>
      <c r="G223" s="13">
        <v>4</v>
      </c>
      <c r="H223" s="13">
        <v>6</v>
      </c>
      <c r="I223" s="298"/>
      <c r="J223" s="298"/>
      <c r="K223" s="298"/>
      <c r="L223" s="298"/>
      <c r="M223" s="1542"/>
      <c r="N223" s="487">
        <v>3.23</v>
      </c>
      <c r="O223" s="299"/>
      <c r="P223" s="298"/>
      <c r="Q223" s="2610"/>
      <c r="R223" s="927"/>
      <c r="S223" s="1944"/>
      <c r="T223" s="1944"/>
      <c r="U223" s="1944"/>
      <c r="V223" s="1944"/>
      <c r="W223" s="1138"/>
      <c r="X223" s="2074"/>
      <c r="Y223" s="1953"/>
      <c r="Z223" s="509"/>
      <c r="AE223" s="2461"/>
      <c r="AF223" s="68"/>
    </row>
    <row r="224" spans="1:32" ht="15.5" x14ac:dyDescent="0.35">
      <c r="A224" s="787"/>
      <c r="B224" s="997">
        <v>11442</v>
      </c>
      <c r="C224" s="997"/>
      <c r="D224" s="788"/>
      <c r="E224" s="289" t="s">
        <v>2374</v>
      </c>
      <c r="F224" s="13">
        <v>4</v>
      </c>
      <c r="G224" s="13">
        <v>4</v>
      </c>
      <c r="H224" s="13">
        <v>6</v>
      </c>
      <c r="I224" s="298"/>
      <c r="J224" s="298"/>
      <c r="K224" s="298"/>
      <c r="L224" s="298"/>
      <c r="M224" s="1542"/>
      <c r="N224" s="487">
        <v>0.47</v>
      </c>
      <c r="O224" s="299"/>
      <c r="P224" s="298"/>
      <c r="Q224" s="933"/>
      <c r="R224" s="927"/>
      <c r="S224" s="1944"/>
      <c r="T224" s="1944"/>
      <c r="U224" s="1944"/>
      <c r="V224" s="1944"/>
      <c r="W224" s="1138"/>
      <c r="X224" s="2074"/>
      <c r="Y224" s="1953"/>
      <c r="Z224" s="509"/>
      <c r="AA224" s="1778"/>
      <c r="AE224" s="2461"/>
      <c r="AF224" s="68"/>
    </row>
    <row r="225" spans="1:32" ht="15.5" x14ac:dyDescent="0.35">
      <c r="A225" s="787"/>
      <c r="B225" s="997">
        <v>11442</v>
      </c>
      <c r="C225" s="997"/>
      <c r="D225" s="788"/>
      <c r="E225" s="979" t="s">
        <v>2375</v>
      </c>
      <c r="F225" s="13">
        <v>4</v>
      </c>
      <c r="G225" s="13">
        <v>4</v>
      </c>
      <c r="H225" s="13">
        <v>10</v>
      </c>
      <c r="I225" s="298"/>
      <c r="J225" s="298"/>
      <c r="K225" s="298"/>
      <c r="L225" s="298"/>
      <c r="M225" s="1542">
        <v>1.76</v>
      </c>
      <c r="N225" s="487"/>
      <c r="O225" s="299"/>
      <c r="P225" s="298"/>
      <c r="Q225" s="933"/>
      <c r="R225" s="927"/>
      <c r="S225" s="1944"/>
      <c r="T225" s="1944"/>
      <c r="U225" s="1944"/>
      <c r="V225" s="1944"/>
      <c r="W225" s="1138"/>
      <c r="X225" s="2074"/>
      <c r="Y225" s="1953"/>
      <c r="Z225" s="509"/>
      <c r="AE225" s="2461"/>
      <c r="AF225" s="68"/>
    </row>
    <row r="226" spans="1:32" ht="60.5" x14ac:dyDescent="0.35">
      <c r="A226" s="789">
        <v>108</v>
      </c>
      <c r="B226" s="1071">
        <v>11442</v>
      </c>
      <c r="C226" s="1071"/>
      <c r="D226" s="2469" t="s">
        <v>6319</v>
      </c>
      <c r="E226" s="288" t="s">
        <v>10256</v>
      </c>
      <c r="F226" s="14">
        <v>5</v>
      </c>
      <c r="G226" s="14">
        <v>4</v>
      </c>
      <c r="H226" s="13">
        <v>6</v>
      </c>
      <c r="I226" s="297">
        <f>J226+K226+L226</f>
        <v>1.23</v>
      </c>
      <c r="J226" s="297">
        <f>SUM(M226:R226)</f>
        <v>1.23</v>
      </c>
      <c r="K226" s="297"/>
      <c r="L226" s="297"/>
      <c r="M226" s="1541"/>
      <c r="N226" s="297">
        <v>1.23</v>
      </c>
      <c r="O226" s="302"/>
      <c r="P226" s="297"/>
      <c r="Q226" s="932"/>
      <c r="R226" s="925"/>
      <c r="S226" s="154"/>
      <c r="T226" s="154"/>
      <c r="U226" s="154"/>
      <c r="V226" s="154"/>
      <c r="W226" s="1881">
        <v>6</v>
      </c>
      <c r="X226" s="1962">
        <v>72.099999999999994</v>
      </c>
      <c r="Y226" s="164">
        <v>2</v>
      </c>
      <c r="Z226" s="309">
        <v>19.3</v>
      </c>
      <c r="AB226">
        <v>1</v>
      </c>
      <c r="AE226" s="2461"/>
      <c r="AF226" s="68"/>
    </row>
    <row r="227" spans="1:32" ht="60.5" x14ac:dyDescent="0.35">
      <c r="A227" s="789">
        <v>109</v>
      </c>
      <c r="B227" s="997">
        <v>11442</v>
      </c>
      <c r="C227" s="997"/>
      <c r="D227" s="2469" t="s">
        <v>6320</v>
      </c>
      <c r="E227" s="288" t="s">
        <v>10257</v>
      </c>
      <c r="F227" s="13" t="s">
        <v>664</v>
      </c>
      <c r="G227" s="14">
        <v>5</v>
      </c>
      <c r="H227" s="92">
        <v>6</v>
      </c>
      <c r="I227" s="297">
        <f>J227+K227+L227</f>
        <v>0.6</v>
      </c>
      <c r="J227" s="297">
        <f>SUM(M227:R227)</f>
        <v>0.6</v>
      </c>
      <c r="K227" s="297"/>
      <c r="L227" s="297"/>
      <c r="M227" s="1541"/>
      <c r="N227" s="297"/>
      <c r="O227" s="302"/>
      <c r="P227" s="297"/>
      <c r="Q227" s="932"/>
      <c r="R227" s="925">
        <v>0.6</v>
      </c>
      <c r="S227" s="154"/>
      <c r="T227" s="154"/>
      <c r="U227" s="154"/>
      <c r="V227" s="154"/>
      <c r="W227" s="154"/>
      <c r="X227" s="260"/>
      <c r="Y227" s="164"/>
      <c r="Z227" s="309"/>
      <c r="AB227">
        <v>1</v>
      </c>
      <c r="AE227" s="2461"/>
      <c r="AF227" s="68"/>
    </row>
    <row r="228" spans="1:32" ht="75.5" x14ac:dyDescent="0.35">
      <c r="A228" s="789">
        <v>110</v>
      </c>
      <c r="B228" s="1071">
        <v>11442</v>
      </c>
      <c r="C228" s="1071"/>
      <c r="D228" s="2469" t="s">
        <v>6321</v>
      </c>
      <c r="E228" s="288" t="s">
        <v>10258</v>
      </c>
      <c r="F228" s="13" t="s">
        <v>664</v>
      </c>
      <c r="G228" s="13">
        <v>5</v>
      </c>
      <c r="H228" s="92">
        <v>6</v>
      </c>
      <c r="I228" s="297">
        <f>J228+K228+L228</f>
        <v>1.3</v>
      </c>
      <c r="J228" s="297">
        <f>SUM(M228:R228)</f>
        <v>1.3</v>
      </c>
      <c r="K228" s="489"/>
      <c r="L228" s="489"/>
      <c r="M228" s="1543"/>
      <c r="N228" s="489"/>
      <c r="O228" s="491"/>
      <c r="P228" s="489"/>
      <c r="Q228" s="932"/>
      <c r="R228" s="929">
        <v>1.3</v>
      </c>
      <c r="S228" s="154"/>
      <c r="T228" s="154"/>
      <c r="U228" s="154"/>
      <c r="V228" s="154"/>
      <c r="W228" s="55"/>
      <c r="X228" s="1962"/>
      <c r="Y228" s="164"/>
      <c r="Z228" s="309"/>
      <c r="AB228">
        <v>1</v>
      </c>
      <c r="AE228" s="2461"/>
      <c r="AF228" s="68"/>
    </row>
    <row r="229" spans="1:32" ht="90" x14ac:dyDescent="0.35">
      <c r="A229" s="789">
        <v>111</v>
      </c>
      <c r="B229" s="1040">
        <v>11442</v>
      </c>
      <c r="C229" s="693" t="s">
        <v>1656</v>
      </c>
      <c r="D229" s="2469" t="s">
        <v>6322</v>
      </c>
      <c r="E229" s="2187" t="s">
        <v>10259</v>
      </c>
      <c r="F229" s="92" t="s">
        <v>664</v>
      </c>
      <c r="G229" s="92">
        <v>5</v>
      </c>
      <c r="H229" s="92">
        <v>6</v>
      </c>
      <c r="I229" s="2157">
        <f>J229+K229+L229</f>
        <v>1.1000000000000001</v>
      </c>
      <c r="J229" s="2157">
        <f>M229+N229+O229+P229+Q229+R229</f>
        <v>1.1000000000000001</v>
      </c>
      <c r="K229" s="622"/>
      <c r="L229" s="622"/>
      <c r="M229" s="622"/>
      <c r="N229" s="622"/>
      <c r="O229" s="622"/>
      <c r="P229" s="622"/>
      <c r="Q229" s="622"/>
      <c r="R229" s="906">
        <v>1.1000000000000001</v>
      </c>
      <c r="S229" s="106"/>
      <c r="T229" s="106"/>
      <c r="U229" s="106"/>
      <c r="V229" s="106"/>
      <c r="W229" s="105"/>
      <c r="X229" s="253"/>
      <c r="Y229" s="105"/>
      <c r="Z229" s="323"/>
      <c r="AB229">
        <v>1</v>
      </c>
      <c r="AE229" s="2461"/>
      <c r="AF229" s="68"/>
    </row>
    <row r="230" spans="1:32" ht="15.5" x14ac:dyDescent="0.35">
      <c r="A230" s="789">
        <v>112</v>
      </c>
      <c r="B230" s="997">
        <v>11443</v>
      </c>
      <c r="C230" s="997"/>
      <c r="D230" s="515" t="s">
        <v>3097</v>
      </c>
      <c r="E230" s="288" t="s">
        <v>1414</v>
      </c>
      <c r="F230" s="13"/>
      <c r="G230" s="13" t="s">
        <v>191</v>
      </c>
      <c r="H230" s="13" t="s">
        <v>191</v>
      </c>
      <c r="I230" s="297">
        <f>J230+K230+L230</f>
        <v>6.66</v>
      </c>
      <c r="J230" s="297">
        <f>SUM(M230:R230)</f>
        <v>6.66</v>
      </c>
      <c r="K230" s="297"/>
      <c r="L230" s="297"/>
      <c r="M230" s="1541"/>
      <c r="N230" s="486">
        <f>SUM(N231:N232)</f>
        <v>0.69000000000000039</v>
      </c>
      <c r="O230" s="302"/>
      <c r="P230" s="297"/>
      <c r="Q230" s="932">
        <f>SUM(Q231:Q232)</f>
        <v>5.97</v>
      </c>
      <c r="R230" s="925"/>
      <c r="S230" s="154"/>
      <c r="T230" s="154"/>
      <c r="U230" s="154"/>
      <c r="V230" s="154"/>
      <c r="W230" s="1881">
        <v>15</v>
      </c>
      <c r="X230" s="1962">
        <v>233.19999694824219</v>
      </c>
      <c r="Y230" s="164">
        <v>3</v>
      </c>
      <c r="Z230" s="309">
        <v>30</v>
      </c>
      <c r="AB230">
        <v>1</v>
      </c>
      <c r="AE230" s="2461"/>
      <c r="AF230" s="68"/>
    </row>
    <row r="231" spans="1:32" ht="15.5" x14ac:dyDescent="0.35">
      <c r="A231" s="787"/>
      <c r="B231" s="997">
        <v>11443</v>
      </c>
      <c r="C231" s="997"/>
      <c r="D231" s="788"/>
      <c r="E231" s="837" t="s">
        <v>1415</v>
      </c>
      <c r="F231" s="13">
        <v>4</v>
      </c>
      <c r="G231" s="13">
        <v>4</v>
      </c>
      <c r="H231" s="13">
        <v>6</v>
      </c>
      <c r="I231" s="298"/>
      <c r="J231" s="298"/>
      <c r="K231" s="298"/>
      <c r="L231" s="298"/>
      <c r="M231" s="1542"/>
      <c r="N231" s="487"/>
      <c r="O231" s="299"/>
      <c r="P231" s="298"/>
      <c r="Q231" s="933">
        <v>5.97</v>
      </c>
      <c r="R231" s="927"/>
      <c r="S231" s="1944"/>
      <c r="T231" s="1944"/>
      <c r="U231" s="1944"/>
      <c r="V231" s="1944"/>
      <c r="W231" s="1138"/>
      <c r="X231" s="2074"/>
      <c r="Y231" s="1953"/>
      <c r="Z231" s="509"/>
      <c r="AE231" s="2461"/>
      <c r="AF231" s="68"/>
    </row>
    <row r="232" spans="1:32" ht="15.5" x14ac:dyDescent="0.35">
      <c r="A232" s="787"/>
      <c r="B232" s="997">
        <v>11443</v>
      </c>
      <c r="C232" s="997"/>
      <c r="D232" s="788"/>
      <c r="E232" s="534" t="s">
        <v>1416</v>
      </c>
      <c r="F232" s="13">
        <v>4</v>
      </c>
      <c r="G232" s="13">
        <v>4</v>
      </c>
      <c r="H232" s="13">
        <v>6</v>
      </c>
      <c r="I232" s="298"/>
      <c r="J232" s="298"/>
      <c r="K232" s="298"/>
      <c r="L232" s="298"/>
      <c r="M232" s="1542"/>
      <c r="N232" s="487">
        <f>6.66-5.97</f>
        <v>0.69000000000000039</v>
      </c>
      <c r="O232" s="299"/>
      <c r="P232" s="298"/>
      <c r="Q232" s="933"/>
      <c r="R232" s="927"/>
      <c r="S232" s="1944"/>
      <c r="T232" s="1944"/>
      <c r="U232" s="1944"/>
      <c r="V232" s="1944"/>
      <c r="W232" s="1138"/>
      <c r="X232" s="2074"/>
      <c r="Y232" s="1953"/>
      <c r="Z232" s="509"/>
      <c r="AE232" s="2461"/>
      <c r="AF232" s="68"/>
    </row>
    <row r="233" spans="1:32" ht="30" x14ac:dyDescent="0.35">
      <c r="A233" s="525">
        <v>113</v>
      </c>
      <c r="B233" s="1040">
        <v>11443</v>
      </c>
      <c r="C233" s="693" t="s">
        <v>1656</v>
      </c>
      <c r="D233" s="2469" t="s">
        <v>6323</v>
      </c>
      <c r="E233" s="2187" t="s">
        <v>11538</v>
      </c>
      <c r="F233" s="92" t="s">
        <v>664</v>
      </c>
      <c r="G233" s="92">
        <v>5</v>
      </c>
      <c r="H233" s="92">
        <v>6</v>
      </c>
      <c r="I233" s="2922">
        <f>J233+K233+L233</f>
        <v>0.77</v>
      </c>
      <c r="J233" s="2922">
        <f>M233+N233+O233+P233+Q233+R233</f>
        <v>0.77</v>
      </c>
      <c r="K233" s="622"/>
      <c r="L233" s="622"/>
      <c r="M233" s="622"/>
      <c r="N233" s="622"/>
      <c r="O233" s="622"/>
      <c r="P233" s="622"/>
      <c r="Q233" s="622"/>
      <c r="R233" s="906">
        <v>0.77</v>
      </c>
      <c r="S233" s="106"/>
      <c r="T233" s="106"/>
      <c r="U233" s="106"/>
      <c r="V233" s="106"/>
      <c r="W233" s="105"/>
      <c r="X233" s="253"/>
      <c r="Y233" s="105"/>
      <c r="Z233" s="323"/>
      <c r="AB233">
        <v>1</v>
      </c>
      <c r="AE233" s="2461"/>
      <c r="AF233" s="68"/>
    </row>
    <row r="234" spans="1:32" ht="30" x14ac:dyDescent="0.35">
      <c r="A234" s="525">
        <v>114</v>
      </c>
      <c r="B234" s="1040">
        <v>11443</v>
      </c>
      <c r="C234" s="693" t="s">
        <v>1656</v>
      </c>
      <c r="D234" s="2469" t="s">
        <v>6324</v>
      </c>
      <c r="E234" s="2187" t="s">
        <v>9012</v>
      </c>
      <c r="F234" s="92" t="s">
        <v>664</v>
      </c>
      <c r="G234" s="92">
        <v>5</v>
      </c>
      <c r="H234" s="92">
        <v>6</v>
      </c>
      <c r="I234" s="2157">
        <f>J234+K234+L234</f>
        <v>0.85</v>
      </c>
      <c r="J234" s="2157">
        <f>M234+N234+O234+P234+Q234+R234</f>
        <v>0.85</v>
      </c>
      <c r="K234" s="622"/>
      <c r="L234" s="622"/>
      <c r="M234" s="622"/>
      <c r="N234" s="622"/>
      <c r="O234" s="622"/>
      <c r="P234" s="622"/>
      <c r="Q234" s="622"/>
      <c r="R234" s="906">
        <v>0.85</v>
      </c>
      <c r="S234" s="106"/>
      <c r="T234" s="106"/>
      <c r="U234" s="106"/>
      <c r="V234" s="106"/>
      <c r="W234" s="105"/>
      <c r="X234" s="253"/>
      <c r="Y234" s="105"/>
      <c r="Z234" s="323"/>
      <c r="AB234">
        <v>1</v>
      </c>
      <c r="AE234" s="2461"/>
      <c r="AF234" s="68"/>
    </row>
    <row r="235" spans="1:32" ht="30" x14ac:dyDescent="0.35">
      <c r="A235" s="525">
        <v>115</v>
      </c>
      <c r="B235" s="1040">
        <v>11443</v>
      </c>
      <c r="C235" s="693" t="s">
        <v>1656</v>
      </c>
      <c r="D235" s="2469" t="s">
        <v>6325</v>
      </c>
      <c r="E235" s="1956" t="s">
        <v>9013</v>
      </c>
      <c r="F235" s="92" t="s">
        <v>664</v>
      </c>
      <c r="G235" s="92">
        <v>5</v>
      </c>
      <c r="H235" s="92">
        <v>6</v>
      </c>
      <c r="I235" s="2157">
        <f>J235+K235+L235</f>
        <v>2.0499999999999998</v>
      </c>
      <c r="J235" s="2157">
        <f>M235+N235+O235+P235+Q235+R235</f>
        <v>2.0499999999999998</v>
      </c>
      <c r="K235" s="622"/>
      <c r="L235" s="622"/>
      <c r="M235" s="622"/>
      <c r="N235" s="622"/>
      <c r="O235" s="622"/>
      <c r="P235" s="622"/>
      <c r="Q235" s="622"/>
      <c r="R235" s="906">
        <v>2.0499999999999998</v>
      </c>
      <c r="S235" s="106"/>
      <c r="T235" s="106"/>
      <c r="U235" s="106"/>
      <c r="V235" s="106"/>
      <c r="W235" s="105"/>
      <c r="X235" s="253"/>
      <c r="Y235" s="105"/>
      <c r="Z235" s="323"/>
      <c r="AB235">
        <v>1</v>
      </c>
      <c r="AE235" s="2461"/>
      <c r="AF235" s="68"/>
    </row>
    <row r="236" spans="1:32" ht="30.5" x14ac:dyDescent="0.35">
      <c r="A236" s="525">
        <v>116</v>
      </c>
      <c r="B236" s="997">
        <v>11444</v>
      </c>
      <c r="C236" s="997"/>
      <c r="D236" s="515" t="s">
        <v>3098</v>
      </c>
      <c r="E236" s="288" t="s">
        <v>7167</v>
      </c>
      <c r="F236" s="13"/>
      <c r="G236" s="13" t="s">
        <v>191</v>
      </c>
      <c r="H236" s="13" t="s">
        <v>191</v>
      </c>
      <c r="I236" s="297">
        <f>J236+K236+L236</f>
        <v>7.83</v>
      </c>
      <c r="J236" s="297">
        <f>SUM(M236:R236)</f>
        <v>7.83</v>
      </c>
      <c r="K236" s="297"/>
      <c r="L236" s="297"/>
      <c r="M236" s="1541"/>
      <c r="N236" s="297">
        <f>SUM(N237:N239)</f>
        <v>5.22</v>
      </c>
      <c r="O236" s="302"/>
      <c r="P236" s="297"/>
      <c r="Q236" s="932"/>
      <c r="R236" s="925">
        <f>SUM(R237:R239)</f>
        <v>2.6100000000000003</v>
      </c>
      <c r="S236" s="154"/>
      <c r="T236" s="154"/>
      <c r="U236" s="154"/>
      <c r="V236" s="154"/>
      <c r="W236" s="1881">
        <v>16</v>
      </c>
      <c r="X236" s="1962">
        <v>232.2</v>
      </c>
      <c r="Y236" s="164">
        <v>2</v>
      </c>
      <c r="Z236" s="309">
        <v>30</v>
      </c>
      <c r="AB236">
        <v>1</v>
      </c>
      <c r="AE236" s="2461"/>
      <c r="AF236" s="68"/>
    </row>
    <row r="237" spans="1:32" ht="15.5" x14ac:dyDescent="0.35">
      <c r="A237" s="787"/>
      <c r="B237" s="997">
        <v>11444</v>
      </c>
      <c r="C237" s="997"/>
      <c r="D237" s="788"/>
      <c r="E237" s="289" t="s">
        <v>1637</v>
      </c>
      <c r="F237" s="13">
        <v>4</v>
      </c>
      <c r="G237" s="13">
        <v>4</v>
      </c>
      <c r="H237" s="13">
        <v>6</v>
      </c>
      <c r="I237" s="298"/>
      <c r="J237" s="298"/>
      <c r="K237" s="298"/>
      <c r="L237" s="298"/>
      <c r="M237" s="1542"/>
      <c r="N237" s="298">
        <v>5.22</v>
      </c>
      <c r="O237" s="299"/>
      <c r="P237" s="298"/>
      <c r="Q237" s="933"/>
      <c r="R237" s="927"/>
      <c r="S237" s="1944"/>
      <c r="T237" s="1944"/>
      <c r="U237" s="1944"/>
      <c r="V237" s="1944"/>
      <c r="W237" s="1138"/>
      <c r="X237" s="2074"/>
      <c r="Y237" s="1953"/>
      <c r="Z237" s="509"/>
      <c r="AE237" s="2461"/>
      <c r="AF237" s="68"/>
    </row>
    <row r="238" spans="1:32" ht="15.5" x14ac:dyDescent="0.35">
      <c r="A238" s="787"/>
      <c r="B238" s="997"/>
      <c r="C238" s="997"/>
      <c r="D238" s="788"/>
      <c r="E238" s="838" t="s">
        <v>821</v>
      </c>
      <c r="F238" s="13" t="s">
        <v>827</v>
      </c>
      <c r="G238" s="13">
        <v>5</v>
      </c>
      <c r="H238" s="92">
        <v>6</v>
      </c>
      <c r="I238" s="298"/>
      <c r="J238" s="298"/>
      <c r="K238" s="298"/>
      <c r="L238" s="298"/>
      <c r="M238" s="1542"/>
      <c r="N238" s="298"/>
      <c r="O238" s="299"/>
      <c r="P238" s="298"/>
      <c r="Q238" s="933"/>
      <c r="R238" s="927">
        <f>6.1-5.22</f>
        <v>0.87999999999999989</v>
      </c>
      <c r="S238" s="1944"/>
      <c r="T238" s="1944"/>
      <c r="U238" s="1944"/>
      <c r="V238" s="1944"/>
      <c r="W238" s="1138"/>
      <c r="X238" s="2074"/>
      <c r="Y238" s="1953"/>
      <c r="Z238" s="509"/>
      <c r="AC238" t="s">
        <v>2570</v>
      </c>
      <c r="AE238" s="2461"/>
      <c r="AF238" s="68"/>
    </row>
    <row r="239" spans="1:32" ht="15.5" x14ac:dyDescent="0.35">
      <c r="A239" s="787"/>
      <c r="B239" s="997">
        <v>11444</v>
      </c>
      <c r="C239" s="997"/>
      <c r="D239" s="788"/>
      <c r="E239" s="838" t="s">
        <v>822</v>
      </c>
      <c r="F239" s="13" t="s">
        <v>664</v>
      </c>
      <c r="G239" s="13">
        <v>5</v>
      </c>
      <c r="H239" s="92">
        <v>6</v>
      </c>
      <c r="I239" s="298"/>
      <c r="J239" s="298"/>
      <c r="K239" s="298"/>
      <c r="L239" s="298"/>
      <c r="M239" s="1542"/>
      <c r="N239" s="298"/>
      <c r="O239" s="299"/>
      <c r="P239" s="298"/>
      <c r="Q239" s="933"/>
      <c r="R239" s="927">
        <f>7.83-6.1</f>
        <v>1.7300000000000004</v>
      </c>
      <c r="S239" s="1944"/>
      <c r="T239" s="1944"/>
      <c r="U239" s="1944"/>
      <c r="V239" s="1944"/>
      <c r="W239" s="1138"/>
      <c r="X239" s="2074"/>
      <c r="Y239" s="1953"/>
      <c r="Z239" s="509"/>
      <c r="AE239" s="2461"/>
      <c r="AF239" s="68"/>
    </row>
    <row r="240" spans="1:32" ht="45" x14ac:dyDescent="0.35">
      <c r="A240" s="525">
        <v>117</v>
      </c>
      <c r="B240" s="1040">
        <v>11444</v>
      </c>
      <c r="C240" s="693" t="s">
        <v>1656</v>
      </c>
      <c r="D240" s="2469" t="s">
        <v>6326</v>
      </c>
      <c r="E240" s="2187" t="s">
        <v>10260</v>
      </c>
      <c r="F240" s="92" t="s">
        <v>664</v>
      </c>
      <c r="G240" s="92">
        <v>5</v>
      </c>
      <c r="H240" s="92">
        <v>6</v>
      </c>
      <c r="I240" s="2157">
        <f>J240+K240+L240</f>
        <v>0.83</v>
      </c>
      <c r="J240" s="2157">
        <f>M240+N240+O240+P240+Q240+R240</f>
        <v>0.83</v>
      </c>
      <c r="K240" s="622"/>
      <c r="L240" s="622"/>
      <c r="M240" s="622"/>
      <c r="N240" s="622"/>
      <c r="O240" s="622"/>
      <c r="P240" s="622"/>
      <c r="Q240" s="622"/>
      <c r="R240" s="906">
        <v>0.83</v>
      </c>
      <c r="S240" s="106"/>
      <c r="T240" s="106"/>
      <c r="U240" s="106"/>
      <c r="V240" s="106"/>
      <c r="W240" s="105"/>
      <c r="X240" s="253"/>
      <c r="Y240" s="105"/>
      <c r="Z240" s="323"/>
      <c r="AB240">
        <v>1</v>
      </c>
      <c r="AE240" s="2461"/>
      <c r="AF240" s="68"/>
    </row>
    <row r="241" spans="1:32" ht="15.5" x14ac:dyDescent="0.35">
      <c r="A241" s="294">
        <v>118</v>
      </c>
      <c r="B241" s="997">
        <v>11445</v>
      </c>
      <c r="C241" s="997"/>
      <c r="D241" s="515" t="s">
        <v>1215</v>
      </c>
      <c r="E241" s="288" t="s">
        <v>1187</v>
      </c>
      <c r="F241" s="13">
        <v>5</v>
      </c>
      <c r="G241" s="13">
        <v>4</v>
      </c>
      <c r="H241" s="13">
        <v>6</v>
      </c>
      <c r="I241" s="297">
        <f>J241+K241+L241</f>
        <v>2.44</v>
      </c>
      <c r="J241" s="297">
        <f>SUM(M241:R241)</f>
        <v>2.44</v>
      </c>
      <c r="K241" s="297"/>
      <c r="L241" s="297"/>
      <c r="M241" s="1541"/>
      <c r="N241" s="297"/>
      <c r="O241" s="302"/>
      <c r="P241" s="297"/>
      <c r="Q241" s="932">
        <v>2.44</v>
      </c>
      <c r="R241" s="925"/>
      <c r="S241" s="154"/>
      <c r="T241" s="154"/>
      <c r="U241" s="154"/>
      <c r="V241" s="154"/>
      <c r="W241" s="1881">
        <v>10</v>
      </c>
      <c r="X241" s="1962">
        <v>144.80000305175781</v>
      </c>
      <c r="Y241" s="164">
        <v>1</v>
      </c>
      <c r="Z241" s="309">
        <v>10</v>
      </c>
      <c r="AB241">
        <v>1</v>
      </c>
      <c r="AE241" s="2461"/>
      <c r="AF241" s="68"/>
    </row>
    <row r="242" spans="1:32" ht="30.5" x14ac:dyDescent="0.35">
      <c r="A242" s="441">
        <v>119</v>
      </c>
      <c r="B242" s="515">
        <v>11445</v>
      </c>
      <c r="C242" s="358" t="s">
        <v>1656</v>
      </c>
      <c r="D242" s="2469" t="s">
        <v>6327</v>
      </c>
      <c r="E242" s="511" t="s">
        <v>9014</v>
      </c>
      <c r="F242" s="1138" t="s">
        <v>664</v>
      </c>
      <c r="G242" s="2289">
        <v>5</v>
      </c>
      <c r="H242" s="92">
        <v>6</v>
      </c>
      <c r="I242" s="297">
        <f>J242+K242+L242</f>
        <v>0.6</v>
      </c>
      <c r="J242" s="297">
        <f>SUM(M242:R242)</f>
        <v>0.6</v>
      </c>
      <c r="K242" s="297"/>
      <c r="L242" s="297"/>
      <c r="M242" s="1541"/>
      <c r="N242" s="297"/>
      <c r="O242" s="302"/>
      <c r="P242" s="297"/>
      <c r="Q242" s="932"/>
      <c r="R242" s="925">
        <v>0.6</v>
      </c>
      <c r="S242" s="55"/>
      <c r="T242" s="1962"/>
      <c r="U242" s="154"/>
      <c r="V242" s="154"/>
      <c r="W242" s="1881"/>
      <c r="X242" s="1962"/>
      <c r="Y242" s="164"/>
      <c r="Z242" s="309"/>
      <c r="AB242">
        <v>1</v>
      </c>
      <c r="AE242" s="2461"/>
      <c r="AF242" s="68"/>
    </row>
    <row r="243" spans="1:32" ht="15.5" x14ac:dyDescent="0.35">
      <c r="A243" s="294">
        <v>120</v>
      </c>
      <c r="B243" s="997">
        <v>11446</v>
      </c>
      <c r="C243" s="997"/>
      <c r="D243" s="515" t="s">
        <v>1216</v>
      </c>
      <c r="E243" s="288" t="s">
        <v>479</v>
      </c>
      <c r="F243" s="13"/>
      <c r="G243" s="13" t="s">
        <v>191</v>
      </c>
      <c r="H243" s="13" t="s">
        <v>191</v>
      </c>
      <c r="I243" s="297">
        <f>J243+K243+L243</f>
        <v>6.6</v>
      </c>
      <c r="J243" s="297">
        <f>SUM(M243:R243)</f>
        <v>6.6</v>
      </c>
      <c r="K243" s="297"/>
      <c r="L243" s="297"/>
      <c r="M243" s="1541"/>
      <c r="N243" s="297">
        <f>SUM(N244:N246)</f>
        <v>0.25</v>
      </c>
      <c r="O243" s="302"/>
      <c r="P243" s="297"/>
      <c r="Q243" s="932">
        <f>SUM(Q244:Q246)</f>
        <v>6.35</v>
      </c>
      <c r="R243" s="925"/>
      <c r="S243" s="154"/>
      <c r="T243" s="154"/>
      <c r="U243" s="154"/>
      <c r="V243" s="154"/>
      <c r="W243" s="2445">
        <v>22</v>
      </c>
      <c r="X243" s="2446">
        <v>335.06</v>
      </c>
      <c r="Y243" s="2447">
        <v>3</v>
      </c>
      <c r="Z243" s="2448">
        <v>35</v>
      </c>
      <c r="AB243">
        <v>1</v>
      </c>
      <c r="AE243" s="2461"/>
      <c r="AF243" s="68"/>
    </row>
    <row r="244" spans="1:32" ht="15.5" x14ac:dyDescent="0.35">
      <c r="A244" s="787"/>
      <c r="B244" s="997">
        <v>11446</v>
      </c>
      <c r="C244" s="997"/>
      <c r="D244" s="788"/>
      <c r="E244" s="837" t="s">
        <v>702</v>
      </c>
      <c r="F244" s="13">
        <v>5</v>
      </c>
      <c r="G244" s="13">
        <v>4</v>
      </c>
      <c r="H244" s="13">
        <v>6</v>
      </c>
      <c r="I244" s="298"/>
      <c r="J244" s="298"/>
      <c r="K244" s="298"/>
      <c r="L244" s="298"/>
      <c r="M244" s="1542"/>
      <c r="N244" s="298"/>
      <c r="O244" s="299"/>
      <c r="P244" s="298"/>
      <c r="Q244" s="933">
        <v>6</v>
      </c>
      <c r="R244" s="927"/>
      <c r="S244" s="1944"/>
      <c r="T244" s="1944"/>
      <c r="U244" s="1944"/>
      <c r="V244" s="1944"/>
      <c r="W244" s="1138"/>
      <c r="X244" s="2074"/>
      <c r="Y244" s="1953"/>
      <c r="Z244" s="509"/>
      <c r="AE244" s="2461"/>
      <c r="AF244" s="68"/>
    </row>
    <row r="245" spans="1:32" ht="15.5" x14ac:dyDescent="0.35">
      <c r="A245" s="787"/>
      <c r="B245" s="997">
        <v>11446</v>
      </c>
      <c r="C245" s="997"/>
      <c r="D245" s="788"/>
      <c r="E245" s="289" t="s">
        <v>480</v>
      </c>
      <c r="F245" s="13">
        <v>5</v>
      </c>
      <c r="G245" s="13">
        <v>4</v>
      </c>
      <c r="H245" s="13">
        <v>6</v>
      </c>
      <c r="I245" s="298"/>
      <c r="J245" s="298"/>
      <c r="K245" s="298"/>
      <c r="L245" s="298"/>
      <c r="M245" s="1542"/>
      <c r="N245" s="298">
        <v>0.25</v>
      </c>
      <c r="O245" s="299"/>
      <c r="P245" s="298"/>
      <c r="Q245" s="933"/>
      <c r="R245" s="927"/>
      <c r="S245" s="1944"/>
      <c r="T245" s="1944"/>
      <c r="U245" s="1944"/>
      <c r="V245" s="1944"/>
      <c r="W245" s="1138"/>
      <c r="X245" s="2074"/>
      <c r="Y245" s="1953"/>
      <c r="Z245" s="509"/>
      <c r="AE245" s="2461"/>
      <c r="AF245" s="68"/>
    </row>
    <row r="246" spans="1:32" ht="15.5" x14ac:dyDescent="0.35">
      <c r="A246" s="787"/>
      <c r="B246" s="997">
        <v>11446</v>
      </c>
      <c r="C246" s="997"/>
      <c r="D246" s="788"/>
      <c r="E246" s="837" t="s">
        <v>1851</v>
      </c>
      <c r="F246" s="13">
        <v>5</v>
      </c>
      <c r="G246" s="13">
        <v>4</v>
      </c>
      <c r="H246" s="13">
        <v>6</v>
      </c>
      <c r="I246" s="298"/>
      <c r="J246" s="298"/>
      <c r="K246" s="298"/>
      <c r="L246" s="298"/>
      <c r="M246" s="1542"/>
      <c r="N246" s="298"/>
      <c r="O246" s="299"/>
      <c r="P246" s="298"/>
      <c r="Q246" s="933">
        <v>0.35</v>
      </c>
      <c r="R246" s="927"/>
      <c r="S246" s="1944"/>
      <c r="T246" s="1944"/>
      <c r="U246" s="1944"/>
      <c r="V246" s="1944"/>
      <c r="W246" s="1138"/>
      <c r="X246" s="2074"/>
      <c r="Y246" s="1953"/>
      <c r="Z246" s="509"/>
      <c r="AE246" s="2461"/>
      <c r="AF246" s="68"/>
    </row>
    <row r="247" spans="1:32" ht="45" x14ac:dyDescent="0.35">
      <c r="A247" s="525">
        <v>121</v>
      </c>
      <c r="B247" s="1040">
        <v>11446</v>
      </c>
      <c r="C247" s="693" t="s">
        <v>1656</v>
      </c>
      <c r="D247" s="2469" t="s">
        <v>6328</v>
      </c>
      <c r="E247" s="2187" t="s">
        <v>9015</v>
      </c>
      <c r="F247" s="92" t="s">
        <v>664</v>
      </c>
      <c r="G247" s="92">
        <v>5</v>
      </c>
      <c r="H247" s="92">
        <v>6</v>
      </c>
      <c r="I247" s="2157">
        <f>J247+K247+L247</f>
        <v>0.35</v>
      </c>
      <c r="J247" s="2157">
        <f>M247+N247+O247+P247+Q247+R247</f>
        <v>0.35</v>
      </c>
      <c r="K247" s="622"/>
      <c r="L247" s="622"/>
      <c r="M247" s="622"/>
      <c r="N247" s="622"/>
      <c r="O247" s="622"/>
      <c r="P247" s="622"/>
      <c r="Q247" s="622"/>
      <c r="R247" s="906">
        <v>0.35</v>
      </c>
      <c r="S247" s="106"/>
      <c r="T247" s="106"/>
      <c r="U247" s="106"/>
      <c r="V247" s="106"/>
      <c r="W247" s="105"/>
      <c r="X247" s="253"/>
      <c r="Y247" s="105"/>
      <c r="Z247" s="323"/>
      <c r="AB247">
        <v>1</v>
      </c>
      <c r="AE247" s="2461"/>
      <c r="AF247" s="68"/>
    </row>
    <row r="248" spans="1:32" ht="30" x14ac:dyDescent="0.35">
      <c r="A248" s="525">
        <v>122</v>
      </c>
      <c r="B248" s="1040">
        <v>11446</v>
      </c>
      <c r="C248" s="693" t="s">
        <v>1656</v>
      </c>
      <c r="D248" s="2469" t="s">
        <v>6329</v>
      </c>
      <c r="E248" s="2187" t="s">
        <v>9016</v>
      </c>
      <c r="F248" s="92" t="s">
        <v>664</v>
      </c>
      <c r="G248" s="92">
        <v>5</v>
      </c>
      <c r="H248" s="92">
        <v>6</v>
      </c>
      <c r="I248" s="2157">
        <f>J248+K248+L248</f>
        <v>1.5</v>
      </c>
      <c r="J248" s="2157">
        <f>M248+N248+O248+P248+Q248+R248</f>
        <v>1.5</v>
      </c>
      <c r="K248" s="622"/>
      <c r="L248" s="622"/>
      <c r="M248" s="622"/>
      <c r="N248" s="622"/>
      <c r="O248" s="622"/>
      <c r="P248" s="622"/>
      <c r="Q248" s="622"/>
      <c r="R248" s="906">
        <v>1.5</v>
      </c>
      <c r="S248" s="106"/>
      <c r="T248" s="106"/>
      <c r="U248" s="106"/>
      <c r="V248" s="106"/>
      <c r="W248" s="105"/>
      <c r="X248" s="253"/>
      <c r="Y248" s="105"/>
      <c r="Z248" s="323"/>
      <c r="AB248">
        <v>1</v>
      </c>
      <c r="AE248" s="2461"/>
      <c r="AF248" s="68"/>
    </row>
    <row r="249" spans="1:32" ht="15.5" x14ac:dyDescent="0.35">
      <c r="A249" s="525">
        <v>123</v>
      </c>
      <c r="B249" s="997">
        <v>11447</v>
      </c>
      <c r="C249" s="997"/>
      <c r="D249" s="515" t="s">
        <v>1594</v>
      </c>
      <c r="E249" s="288" t="s">
        <v>1480</v>
      </c>
      <c r="F249" s="13"/>
      <c r="G249" s="13" t="s">
        <v>191</v>
      </c>
      <c r="H249" s="13" t="s">
        <v>191</v>
      </c>
      <c r="I249" s="297">
        <f>J249+K249+L249</f>
        <v>6.39</v>
      </c>
      <c r="J249" s="297">
        <f>SUM(M249:R249)</f>
        <v>6.39</v>
      </c>
      <c r="K249" s="297"/>
      <c r="L249" s="297"/>
      <c r="M249" s="1541">
        <f>SUM(M250:M251)</f>
        <v>2.37</v>
      </c>
      <c r="N249" s="297"/>
      <c r="O249" s="302"/>
      <c r="P249" s="297"/>
      <c r="Q249" s="932">
        <f>SUM(Q250:Q251)</f>
        <v>4.0199999999999996</v>
      </c>
      <c r="R249" s="925"/>
      <c r="S249" s="154"/>
      <c r="T249" s="154"/>
      <c r="U249" s="154"/>
      <c r="V249" s="154"/>
      <c r="W249" s="1881">
        <v>20</v>
      </c>
      <c r="X249" s="1962">
        <v>252.5</v>
      </c>
      <c r="Y249" s="164">
        <v>9</v>
      </c>
      <c r="Z249" s="309">
        <v>94</v>
      </c>
      <c r="AB249">
        <v>1</v>
      </c>
      <c r="AE249" s="2461"/>
      <c r="AF249" s="68"/>
    </row>
    <row r="250" spans="1:32" ht="15.5" x14ac:dyDescent="0.35">
      <c r="A250" s="787"/>
      <c r="B250" s="997">
        <v>11447</v>
      </c>
      <c r="C250" s="997"/>
      <c r="D250" s="788"/>
      <c r="E250" s="979" t="s">
        <v>1021</v>
      </c>
      <c r="F250" s="13">
        <v>4</v>
      </c>
      <c r="G250" s="13">
        <v>4</v>
      </c>
      <c r="H250" s="13">
        <v>10</v>
      </c>
      <c r="I250" s="298"/>
      <c r="J250" s="298"/>
      <c r="K250" s="298"/>
      <c r="L250" s="298"/>
      <c r="M250" s="1542">
        <v>2.37</v>
      </c>
      <c r="N250" s="298"/>
      <c r="O250" s="299"/>
      <c r="P250" s="298"/>
      <c r="Q250" s="933"/>
      <c r="R250" s="927"/>
      <c r="S250" s="1944"/>
      <c r="T250" s="1944"/>
      <c r="U250" s="1944"/>
      <c r="V250" s="1944"/>
      <c r="W250" s="1138"/>
      <c r="X250" s="2074"/>
      <c r="Y250" s="1953"/>
      <c r="Z250" s="509"/>
      <c r="AE250" s="2461"/>
      <c r="AF250" s="68"/>
    </row>
    <row r="251" spans="1:32" ht="15.5" x14ac:dyDescent="0.35">
      <c r="A251" s="787"/>
      <c r="B251" s="997">
        <v>11447</v>
      </c>
      <c r="C251" s="997"/>
      <c r="D251" s="788"/>
      <c r="E251" s="837" t="s">
        <v>1481</v>
      </c>
      <c r="F251" s="13">
        <v>5</v>
      </c>
      <c r="G251" s="13">
        <v>4</v>
      </c>
      <c r="H251" s="13">
        <v>6</v>
      </c>
      <c r="I251" s="298"/>
      <c r="J251" s="298"/>
      <c r="K251" s="298"/>
      <c r="L251" s="298"/>
      <c r="M251" s="1542"/>
      <c r="N251" s="298"/>
      <c r="O251" s="299"/>
      <c r="P251" s="298"/>
      <c r="Q251" s="933">
        <v>4.0199999999999996</v>
      </c>
      <c r="R251" s="927"/>
      <c r="S251" s="1944"/>
      <c r="T251" s="1944"/>
      <c r="U251" s="1944"/>
      <c r="V251" s="1944"/>
      <c r="W251" s="1138"/>
      <c r="X251" s="2074"/>
      <c r="Y251" s="1953"/>
      <c r="Z251" s="509"/>
      <c r="AE251" s="2461"/>
      <c r="AF251" s="68"/>
    </row>
    <row r="252" spans="1:32" ht="45" x14ac:dyDescent="0.35">
      <c r="A252" s="525">
        <v>124</v>
      </c>
      <c r="B252" s="1040">
        <v>11447</v>
      </c>
      <c r="C252" s="693" t="s">
        <v>1656</v>
      </c>
      <c r="D252" s="2469" t="s">
        <v>6330</v>
      </c>
      <c r="E252" s="2187" t="s">
        <v>9299</v>
      </c>
      <c r="F252" s="92"/>
      <c r="G252" s="92" t="s">
        <v>191</v>
      </c>
      <c r="H252" s="92" t="s">
        <v>191</v>
      </c>
      <c r="I252" s="2157">
        <f>J252+K252+L252</f>
        <v>1</v>
      </c>
      <c r="J252" s="2157">
        <f>M252+N252+O252+P252+Q252+R252</f>
        <v>1</v>
      </c>
      <c r="K252" s="622"/>
      <c r="L252" s="622"/>
      <c r="M252" s="622"/>
      <c r="N252" s="622"/>
      <c r="O252" s="622"/>
      <c r="P252" s="622"/>
      <c r="Q252" s="622"/>
      <c r="R252" s="906">
        <f>SUM(R253:R254)</f>
        <v>1</v>
      </c>
      <c r="S252" s="106"/>
      <c r="T252" s="106"/>
      <c r="U252" s="106"/>
      <c r="V252" s="106"/>
      <c r="W252" s="105">
        <v>3</v>
      </c>
      <c r="X252" s="253">
        <v>25</v>
      </c>
      <c r="Y252" s="105"/>
      <c r="Z252" s="323"/>
      <c r="AB252">
        <v>1</v>
      </c>
      <c r="AC252" t="s">
        <v>2570</v>
      </c>
      <c r="AE252" s="2461"/>
      <c r="AF252" s="68"/>
    </row>
    <row r="253" spans="1:32" ht="15.5" x14ac:dyDescent="0.35">
      <c r="A253" s="525"/>
      <c r="B253" s="1040"/>
      <c r="C253" s="1040"/>
      <c r="D253" s="693"/>
      <c r="E253" s="838" t="s">
        <v>2856</v>
      </c>
      <c r="F253" s="92" t="s">
        <v>827</v>
      </c>
      <c r="G253" s="92">
        <v>5</v>
      </c>
      <c r="H253" s="92">
        <v>6</v>
      </c>
      <c r="I253" s="2116"/>
      <c r="J253" s="2116"/>
      <c r="K253" s="395"/>
      <c r="L253" s="395"/>
      <c r="M253" s="395"/>
      <c r="N253" s="395"/>
      <c r="O253" s="395"/>
      <c r="P253" s="395"/>
      <c r="Q253" s="395"/>
      <c r="R253" s="907">
        <v>0.54</v>
      </c>
      <c r="S253" s="106"/>
      <c r="T253" s="106"/>
      <c r="U253" s="106"/>
      <c r="V253" s="106"/>
      <c r="W253" s="105"/>
      <c r="X253" s="253"/>
      <c r="Y253" s="105"/>
      <c r="Z253" s="323"/>
      <c r="AE253" s="2461"/>
      <c r="AF253" s="68"/>
    </row>
    <row r="254" spans="1:32" ht="15.5" x14ac:dyDescent="0.35">
      <c r="A254" s="525"/>
      <c r="B254" s="1040"/>
      <c r="C254" s="1040"/>
      <c r="D254" s="693"/>
      <c r="E254" s="838" t="s">
        <v>2014</v>
      </c>
      <c r="F254" s="92" t="s">
        <v>1490</v>
      </c>
      <c r="G254" s="92">
        <v>5</v>
      </c>
      <c r="H254" s="92">
        <v>6</v>
      </c>
      <c r="I254" s="2116"/>
      <c r="J254" s="2116"/>
      <c r="K254" s="395"/>
      <c r="L254" s="395"/>
      <c r="M254" s="395"/>
      <c r="N254" s="395"/>
      <c r="O254" s="395"/>
      <c r="P254" s="395"/>
      <c r="Q254" s="395"/>
      <c r="R254" s="907">
        <f>1-0.54</f>
        <v>0.45999999999999996</v>
      </c>
      <c r="S254" s="106"/>
      <c r="T254" s="106"/>
      <c r="U254" s="106"/>
      <c r="V254" s="106"/>
      <c r="W254" s="105"/>
      <c r="X254" s="253"/>
      <c r="Y254" s="105"/>
      <c r="Z254" s="323"/>
      <c r="AE254" s="2461"/>
      <c r="AF254" s="68"/>
    </row>
    <row r="255" spans="1:32" ht="15.5" x14ac:dyDescent="0.35">
      <c r="A255" s="294">
        <v>125</v>
      </c>
      <c r="B255" s="997">
        <v>11448</v>
      </c>
      <c r="C255" s="997"/>
      <c r="D255" s="515" t="s">
        <v>1595</v>
      </c>
      <c r="E255" s="511" t="s">
        <v>1482</v>
      </c>
      <c r="F255" s="13">
        <v>5</v>
      </c>
      <c r="G255" s="13">
        <v>4</v>
      </c>
      <c r="H255" s="13">
        <v>6</v>
      </c>
      <c r="I255" s="297">
        <f>J255+K255+L255</f>
        <v>5.3</v>
      </c>
      <c r="J255" s="297">
        <f>SUM(M255:R255)</f>
        <v>5.3</v>
      </c>
      <c r="K255" s="297"/>
      <c r="L255" s="297"/>
      <c r="M255" s="1541"/>
      <c r="N255" s="297">
        <v>5.3</v>
      </c>
      <c r="O255" s="302"/>
      <c r="P255" s="297"/>
      <c r="Q255" s="932"/>
      <c r="R255" s="925"/>
      <c r="S255" s="154"/>
      <c r="T255" s="154"/>
      <c r="U255" s="154"/>
      <c r="V255" s="154"/>
      <c r="W255" s="1881">
        <v>8</v>
      </c>
      <c r="X255" s="1962">
        <v>98.5</v>
      </c>
      <c r="Y255" s="164">
        <v>4</v>
      </c>
      <c r="Z255" s="309">
        <v>49.5</v>
      </c>
      <c r="AB255">
        <v>1</v>
      </c>
      <c r="AE255" s="2461"/>
      <c r="AF255" s="68"/>
    </row>
    <row r="256" spans="1:32" ht="45.5" x14ac:dyDescent="0.35">
      <c r="A256" s="525">
        <v>126</v>
      </c>
      <c r="B256" s="997">
        <v>11448</v>
      </c>
      <c r="C256" s="515" t="s">
        <v>1655</v>
      </c>
      <c r="D256" s="2469" t="s">
        <v>6331</v>
      </c>
      <c r="E256" s="511" t="s">
        <v>7401</v>
      </c>
      <c r="F256" s="14" t="s">
        <v>664</v>
      </c>
      <c r="G256" s="14">
        <v>5</v>
      </c>
      <c r="H256" s="92">
        <v>6</v>
      </c>
      <c r="I256" s="297">
        <v>0.42</v>
      </c>
      <c r="J256" s="297">
        <v>0.42</v>
      </c>
      <c r="K256" s="297"/>
      <c r="L256" s="297"/>
      <c r="M256" s="1541"/>
      <c r="N256" s="297"/>
      <c r="O256" s="302"/>
      <c r="P256" s="297"/>
      <c r="Q256" s="932"/>
      <c r="R256" s="925">
        <v>0.42</v>
      </c>
      <c r="S256" s="154"/>
      <c r="T256" s="154"/>
      <c r="U256" s="154"/>
      <c r="V256" s="154"/>
      <c r="W256" s="154"/>
      <c r="X256" s="260"/>
      <c r="Y256" s="164"/>
      <c r="Z256" s="309"/>
      <c r="AB256">
        <v>1</v>
      </c>
      <c r="AE256" s="2461"/>
      <c r="AF256" s="68"/>
    </row>
    <row r="257" spans="1:32" ht="45" x14ac:dyDescent="0.35">
      <c r="A257" s="294">
        <v>127</v>
      </c>
      <c r="B257" s="693">
        <v>11448</v>
      </c>
      <c r="C257" s="358" t="s">
        <v>1655</v>
      </c>
      <c r="D257" s="2469" t="s">
        <v>6332</v>
      </c>
      <c r="E257" s="2187" t="s">
        <v>7402</v>
      </c>
      <c r="F257" s="92">
        <v>5</v>
      </c>
      <c r="G257" s="2289">
        <v>5</v>
      </c>
      <c r="H257" s="13">
        <v>6</v>
      </c>
      <c r="I257" s="297">
        <f>J257+K257+L257</f>
        <v>0.5</v>
      </c>
      <c r="J257" s="297">
        <f>SUM(M257:R257)</f>
        <v>0.5</v>
      </c>
      <c r="K257" s="622"/>
      <c r="L257" s="622"/>
      <c r="M257" s="622"/>
      <c r="N257" s="622">
        <v>0.5</v>
      </c>
      <c r="O257" s="622"/>
      <c r="P257" s="622"/>
      <c r="Q257" s="622"/>
      <c r="R257" s="906"/>
      <c r="S257" s="106"/>
      <c r="T257" s="106"/>
      <c r="U257" s="106"/>
      <c r="V257" s="106"/>
      <c r="W257" s="105"/>
      <c r="X257" s="253"/>
      <c r="Y257" s="105"/>
      <c r="Z257" s="323"/>
      <c r="AB257">
        <v>1</v>
      </c>
      <c r="AE257" s="2461"/>
      <c r="AF257" s="68"/>
    </row>
    <row r="258" spans="1:32" ht="30" x14ac:dyDescent="0.35">
      <c r="A258" s="525">
        <v>128</v>
      </c>
      <c r="B258" s="1040">
        <v>11448</v>
      </c>
      <c r="C258" s="693" t="s">
        <v>1656</v>
      </c>
      <c r="D258" s="2469" t="s">
        <v>6333</v>
      </c>
      <c r="E258" s="2187" t="s">
        <v>9017</v>
      </c>
      <c r="F258" s="92" t="s">
        <v>664</v>
      </c>
      <c r="G258" s="92">
        <v>5</v>
      </c>
      <c r="H258" s="92">
        <v>6</v>
      </c>
      <c r="I258" s="2157">
        <f>J258+K258+L258</f>
        <v>2.48</v>
      </c>
      <c r="J258" s="2157">
        <f>M258+N258+O258+P258+Q258+R258</f>
        <v>2.48</v>
      </c>
      <c r="K258" s="622"/>
      <c r="L258" s="622"/>
      <c r="M258" s="622"/>
      <c r="N258" s="622"/>
      <c r="O258" s="622"/>
      <c r="P258" s="622"/>
      <c r="Q258" s="622"/>
      <c r="R258" s="906">
        <v>2.48</v>
      </c>
      <c r="S258" s="106"/>
      <c r="T258" s="106"/>
      <c r="U258" s="106"/>
      <c r="V258" s="106"/>
      <c r="W258" s="105"/>
      <c r="X258" s="253"/>
      <c r="Y258" s="105"/>
      <c r="Z258" s="323"/>
      <c r="AB258">
        <v>1</v>
      </c>
      <c r="AE258" s="2461"/>
      <c r="AF258" s="68"/>
    </row>
    <row r="259" spans="1:32" ht="30.5" x14ac:dyDescent="0.35">
      <c r="A259" s="294">
        <v>129</v>
      </c>
      <c r="B259" s="997">
        <v>11449</v>
      </c>
      <c r="C259" s="997"/>
      <c r="D259" s="515" t="s">
        <v>1596</v>
      </c>
      <c r="E259" s="288" t="s">
        <v>10261</v>
      </c>
      <c r="F259" s="13">
        <v>5</v>
      </c>
      <c r="G259" s="13">
        <v>5</v>
      </c>
      <c r="H259" s="13">
        <v>6</v>
      </c>
      <c r="I259" s="297">
        <f>J259+K259+L259</f>
        <v>2.61</v>
      </c>
      <c r="J259" s="297">
        <f>SUM(M259:R259)</f>
        <v>2.61</v>
      </c>
      <c r="K259" s="297"/>
      <c r="L259" s="297"/>
      <c r="M259" s="1541"/>
      <c r="N259" s="297"/>
      <c r="O259" s="302"/>
      <c r="P259" s="297"/>
      <c r="Q259" s="932">
        <v>2.61</v>
      </c>
      <c r="R259" s="925"/>
      <c r="S259" s="154"/>
      <c r="T259" s="154"/>
      <c r="U259" s="154"/>
      <c r="V259" s="154"/>
      <c r="W259" s="1881">
        <v>6</v>
      </c>
      <c r="X259" s="1962">
        <v>62.5</v>
      </c>
      <c r="Y259" s="164"/>
      <c r="Z259" s="309"/>
      <c r="AB259">
        <v>1</v>
      </c>
      <c r="AE259" s="2461"/>
      <c r="AF259" s="68"/>
    </row>
    <row r="260" spans="1:32" ht="45.5" x14ac:dyDescent="0.35">
      <c r="A260" s="525">
        <v>130</v>
      </c>
      <c r="B260" s="997">
        <v>11450</v>
      </c>
      <c r="C260" s="997"/>
      <c r="D260" s="515" t="s">
        <v>848</v>
      </c>
      <c r="E260" s="511" t="s">
        <v>11051</v>
      </c>
      <c r="F260" s="13"/>
      <c r="G260" s="13" t="s">
        <v>191</v>
      </c>
      <c r="H260" s="13" t="s">
        <v>191</v>
      </c>
      <c r="I260" s="297">
        <f>J260+K260+L260</f>
        <v>4.4000000000000004</v>
      </c>
      <c r="J260" s="297">
        <f>SUM(M260:R260)</f>
        <v>4.4000000000000004</v>
      </c>
      <c r="K260" s="297"/>
      <c r="L260" s="297"/>
      <c r="M260" s="1541"/>
      <c r="N260" s="297"/>
      <c r="O260" s="302"/>
      <c r="P260" s="297"/>
      <c r="Q260" s="932">
        <f>SUM(Q261:Q262)</f>
        <v>3.7</v>
      </c>
      <c r="R260" s="925">
        <f>SUM(R261:R262)</f>
        <v>0.7</v>
      </c>
      <c r="S260" s="154"/>
      <c r="T260" s="154"/>
      <c r="U260" s="154"/>
      <c r="V260" s="154"/>
      <c r="W260" s="1881">
        <v>20</v>
      </c>
      <c r="X260" s="1962">
        <v>261.39999389648438</v>
      </c>
      <c r="Y260" s="164">
        <v>13</v>
      </c>
      <c r="Z260" s="309">
        <v>138</v>
      </c>
      <c r="AB260">
        <v>1</v>
      </c>
      <c r="AE260" s="2461"/>
      <c r="AF260" s="68"/>
    </row>
    <row r="261" spans="1:32" ht="15.5" x14ac:dyDescent="0.35">
      <c r="A261" s="787"/>
      <c r="B261" s="997">
        <v>11450</v>
      </c>
      <c r="C261" s="997"/>
      <c r="D261" s="788"/>
      <c r="E261" s="837" t="s">
        <v>2555</v>
      </c>
      <c r="F261" s="13">
        <v>5</v>
      </c>
      <c r="G261" s="13">
        <v>4</v>
      </c>
      <c r="H261" s="13">
        <v>6</v>
      </c>
      <c r="I261" s="298"/>
      <c r="J261" s="298"/>
      <c r="K261" s="298"/>
      <c r="L261" s="298"/>
      <c r="M261" s="1542"/>
      <c r="N261" s="298"/>
      <c r="O261" s="299"/>
      <c r="P261" s="298"/>
      <c r="Q261" s="933">
        <v>3.7</v>
      </c>
      <c r="R261" s="927"/>
      <c r="S261" s="1944"/>
      <c r="T261" s="1944"/>
      <c r="U261" s="1944"/>
      <c r="V261" s="1944"/>
      <c r="W261" s="1138"/>
      <c r="X261" s="2074"/>
      <c r="Y261" s="1953"/>
      <c r="Z261" s="509"/>
      <c r="AE261" s="2461"/>
      <c r="AF261" s="68"/>
    </row>
    <row r="262" spans="1:32" ht="15.5" x14ac:dyDescent="0.35">
      <c r="A262" s="787"/>
      <c r="B262" s="997">
        <v>11450</v>
      </c>
      <c r="C262" s="997"/>
      <c r="D262" s="788"/>
      <c r="E262" s="838" t="s">
        <v>3046</v>
      </c>
      <c r="F262" s="13" t="s">
        <v>664</v>
      </c>
      <c r="G262" s="13">
        <v>5</v>
      </c>
      <c r="H262" s="92">
        <v>6</v>
      </c>
      <c r="I262" s="298"/>
      <c r="J262" s="298"/>
      <c r="K262" s="298"/>
      <c r="L262" s="298"/>
      <c r="M262" s="1542"/>
      <c r="N262" s="298"/>
      <c r="O262" s="299"/>
      <c r="P262" s="298"/>
      <c r="Q262" s="933"/>
      <c r="R262" s="927">
        <v>0.7</v>
      </c>
      <c r="S262" s="1944"/>
      <c r="T262" s="1944"/>
      <c r="U262" s="1944"/>
      <c r="V262" s="1944"/>
      <c r="W262" s="1138"/>
      <c r="X262" s="2074"/>
      <c r="Y262" s="1953"/>
      <c r="Z262" s="509"/>
      <c r="AE262" s="2461"/>
      <c r="AF262" s="68"/>
    </row>
    <row r="263" spans="1:32" ht="15.5" x14ac:dyDescent="0.35">
      <c r="A263" s="294">
        <v>131</v>
      </c>
      <c r="B263" s="997">
        <v>11451</v>
      </c>
      <c r="C263" s="997"/>
      <c r="D263" s="515" t="s">
        <v>248</v>
      </c>
      <c r="E263" s="288" t="s">
        <v>3047</v>
      </c>
      <c r="F263" s="13">
        <v>5</v>
      </c>
      <c r="G263" s="13">
        <v>5</v>
      </c>
      <c r="H263" s="13">
        <v>6</v>
      </c>
      <c r="I263" s="297">
        <f>J263+K263+L263</f>
        <v>2.62</v>
      </c>
      <c r="J263" s="297">
        <f>SUM(M263:R263)</f>
        <v>2.62</v>
      </c>
      <c r="K263" s="297"/>
      <c r="L263" s="297"/>
      <c r="M263" s="1541"/>
      <c r="N263" s="297"/>
      <c r="O263" s="302"/>
      <c r="P263" s="297"/>
      <c r="Q263" s="932">
        <v>2.62</v>
      </c>
      <c r="R263" s="925"/>
      <c r="S263" s="55">
        <v>1</v>
      </c>
      <c r="T263" s="55">
        <v>24.75</v>
      </c>
      <c r="U263" s="154"/>
      <c r="V263" s="154"/>
      <c r="W263" s="1881">
        <v>3</v>
      </c>
      <c r="X263" s="1962">
        <v>30.100000381469727</v>
      </c>
      <c r="Y263" s="164">
        <v>1</v>
      </c>
      <c r="Z263" s="309">
        <v>5</v>
      </c>
      <c r="AB263">
        <v>1</v>
      </c>
      <c r="AE263" s="2461"/>
      <c r="AF263" s="68"/>
    </row>
    <row r="264" spans="1:32" ht="30.5" x14ac:dyDescent="0.35">
      <c r="A264" s="294">
        <v>132</v>
      </c>
      <c r="B264" s="997">
        <v>11452</v>
      </c>
      <c r="C264" s="997"/>
      <c r="D264" s="515" t="s">
        <v>249</v>
      </c>
      <c r="E264" s="288" t="s">
        <v>10262</v>
      </c>
      <c r="F264" s="13"/>
      <c r="G264" s="13" t="s">
        <v>191</v>
      </c>
      <c r="H264" s="13" t="s">
        <v>191</v>
      </c>
      <c r="I264" s="297">
        <f>J264+K264+L264</f>
        <v>6.94</v>
      </c>
      <c r="J264" s="297">
        <f>SUM(M264:R264)</f>
        <v>6.94</v>
      </c>
      <c r="K264" s="297"/>
      <c r="L264" s="297"/>
      <c r="M264" s="1541"/>
      <c r="N264" s="297">
        <f>SUM(N265:N266)</f>
        <v>2.62</v>
      </c>
      <c r="O264" s="302"/>
      <c r="P264" s="297"/>
      <c r="Q264" s="932">
        <f>SUM(Q265:Q266)</f>
        <v>4.32</v>
      </c>
      <c r="R264" s="925"/>
      <c r="S264" s="55"/>
      <c r="T264" s="55"/>
      <c r="U264" s="154"/>
      <c r="V264" s="154"/>
      <c r="W264" s="1881">
        <v>17</v>
      </c>
      <c r="X264" s="1962">
        <v>177</v>
      </c>
      <c r="Y264" s="164">
        <v>11</v>
      </c>
      <c r="Z264" s="309">
        <v>104.2</v>
      </c>
      <c r="AB264">
        <v>1</v>
      </c>
      <c r="AE264" s="2461"/>
      <c r="AF264" s="68"/>
    </row>
    <row r="265" spans="1:32" ht="15.5" x14ac:dyDescent="0.35">
      <c r="A265" s="787"/>
      <c r="B265" s="997">
        <v>11452</v>
      </c>
      <c r="C265" s="997"/>
      <c r="D265" s="788"/>
      <c r="E265" s="289" t="s">
        <v>1918</v>
      </c>
      <c r="F265" s="13">
        <v>5</v>
      </c>
      <c r="G265" s="13">
        <v>4</v>
      </c>
      <c r="H265" s="13">
        <v>6</v>
      </c>
      <c r="I265" s="298"/>
      <c r="J265" s="298"/>
      <c r="K265" s="298"/>
      <c r="L265" s="298"/>
      <c r="M265" s="1542"/>
      <c r="N265" s="298">
        <v>2.62</v>
      </c>
      <c r="O265" s="299"/>
      <c r="P265" s="298"/>
      <c r="Q265" s="933"/>
      <c r="R265" s="927"/>
      <c r="S265" s="1138"/>
      <c r="T265" s="1138"/>
      <c r="U265" s="1944"/>
      <c r="V265" s="1944"/>
      <c r="W265" s="1138"/>
      <c r="X265" s="2074"/>
      <c r="Y265" s="1953"/>
      <c r="Z265" s="509"/>
      <c r="AA265" s="1778" t="s">
        <v>3226</v>
      </c>
      <c r="AE265" s="2461"/>
      <c r="AF265" s="68"/>
    </row>
    <row r="266" spans="1:32" ht="15.5" x14ac:dyDescent="0.35">
      <c r="A266" s="787"/>
      <c r="B266" s="997">
        <v>11452</v>
      </c>
      <c r="C266" s="997"/>
      <c r="D266" s="788"/>
      <c r="E266" s="837" t="s">
        <v>1917</v>
      </c>
      <c r="F266" s="13">
        <v>5</v>
      </c>
      <c r="G266" s="13">
        <v>4</v>
      </c>
      <c r="H266" s="13">
        <v>6</v>
      </c>
      <c r="I266" s="298"/>
      <c r="J266" s="298"/>
      <c r="K266" s="298"/>
      <c r="L266" s="298"/>
      <c r="M266" s="1542"/>
      <c r="N266" s="298"/>
      <c r="O266" s="299"/>
      <c r="P266" s="298"/>
      <c r="Q266" s="933">
        <f>6.94-2.62</f>
        <v>4.32</v>
      </c>
      <c r="R266" s="927"/>
      <c r="S266" s="1138"/>
      <c r="T266" s="1138"/>
      <c r="U266" s="1944"/>
      <c r="V266" s="1944"/>
      <c r="W266" s="1138"/>
      <c r="X266" s="2074"/>
      <c r="Y266" s="1953"/>
      <c r="Z266" s="509"/>
      <c r="AE266" s="2461"/>
      <c r="AF266" s="68"/>
    </row>
    <row r="267" spans="1:32" ht="60" x14ac:dyDescent="0.35">
      <c r="A267" s="525">
        <v>133</v>
      </c>
      <c r="B267" s="693">
        <v>11452</v>
      </c>
      <c r="C267" s="693"/>
      <c r="D267" s="2469" t="s">
        <v>6334</v>
      </c>
      <c r="E267" s="2187" t="s">
        <v>10263</v>
      </c>
      <c r="F267" s="92" t="s">
        <v>664</v>
      </c>
      <c r="G267" s="2413">
        <v>5</v>
      </c>
      <c r="H267" s="92">
        <v>6</v>
      </c>
      <c r="I267" s="2157">
        <f>J267+K267+L267</f>
        <v>0.43</v>
      </c>
      <c r="J267" s="2157">
        <f>M267+N267+O267+P267+Q267+R267</f>
        <v>0.43</v>
      </c>
      <c r="K267" s="622"/>
      <c r="L267" s="622"/>
      <c r="M267" s="622"/>
      <c r="N267" s="622"/>
      <c r="O267" s="622"/>
      <c r="P267" s="622"/>
      <c r="Q267" s="622"/>
      <c r="R267" s="906">
        <v>0.43</v>
      </c>
      <c r="S267" s="106"/>
      <c r="T267" s="106"/>
      <c r="U267" s="106"/>
      <c r="V267" s="106"/>
      <c r="W267" s="105"/>
      <c r="X267" s="253"/>
      <c r="Y267" s="105"/>
      <c r="Z267" s="323"/>
      <c r="AB267">
        <v>1</v>
      </c>
      <c r="AE267" s="2461"/>
      <c r="AF267" s="68"/>
    </row>
    <row r="268" spans="1:32" ht="30.5" x14ac:dyDescent="0.35">
      <c r="A268" s="294">
        <v>134</v>
      </c>
      <c r="B268" s="997">
        <v>11453</v>
      </c>
      <c r="C268" s="997"/>
      <c r="D268" s="515" t="s">
        <v>250</v>
      </c>
      <c r="E268" s="288" t="s">
        <v>7206</v>
      </c>
      <c r="F268" s="13"/>
      <c r="G268" s="13" t="s">
        <v>191</v>
      </c>
      <c r="H268" s="13" t="s">
        <v>191</v>
      </c>
      <c r="I268" s="297">
        <f>J268+K268+L268</f>
        <v>10.9</v>
      </c>
      <c r="J268" s="297">
        <f>SUM(M268:R268)</f>
        <v>10.9</v>
      </c>
      <c r="K268" s="297"/>
      <c r="L268" s="297"/>
      <c r="M268" s="1541"/>
      <c r="N268" s="297">
        <f>SUM(N269:N271)</f>
        <v>1.2</v>
      </c>
      <c r="O268" s="302"/>
      <c r="P268" s="297"/>
      <c r="Q268" s="932">
        <f>SUM(Q269:Q271)</f>
        <v>6.15</v>
      </c>
      <c r="R268" s="925">
        <f>SUM(R269:R271)</f>
        <v>3.55</v>
      </c>
      <c r="S268" s="55">
        <v>1</v>
      </c>
      <c r="T268" s="55">
        <v>28.65</v>
      </c>
      <c r="U268" s="154"/>
      <c r="V268" s="154"/>
      <c r="W268" s="2445">
        <v>26</v>
      </c>
      <c r="X268" s="2446">
        <v>374.1</v>
      </c>
      <c r="Y268" s="2447">
        <v>15</v>
      </c>
      <c r="Z268" s="2448">
        <v>167.6</v>
      </c>
      <c r="AB268">
        <v>1</v>
      </c>
      <c r="AE268" s="2461"/>
      <c r="AF268" s="68"/>
    </row>
    <row r="269" spans="1:32" ht="16" x14ac:dyDescent="0.4">
      <c r="A269" s="787"/>
      <c r="B269" s="997">
        <v>11453</v>
      </c>
      <c r="C269" s="997"/>
      <c r="D269" s="788"/>
      <c r="E269" s="289" t="s">
        <v>3428</v>
      </c>
      <c r="F269" s="13">
        <v>5</v>
      </c>
      <c r="G269" s="13">
        <v>4</v>
      </c>
      <c r="H269" s="13">
        <v>6</v>
      </c>
      <c r="I269" s="298"/>
      <c r="J269" s="298"/>
      <c r="K269" s="298"/>
      <c r="L269" s="298"/>
      <c r="M269" s="1542"/>
      <c r="N269" s="298">
        <v>1.2</v>
      </c>
      <c r="O269" s="299"/>
      <c r="P269" s="298"/>
      <c r="Q269" s="933"/>
      <c r="R269" s="927"/>
      <c r="S269" s="1138"/>
      <c r="T269" s="1138"/>
      <c r="U269" s="1944"/>
      <c r="V269" s="1944"/>
      <c r="W269" s="1138"/>
      <c r="X269" s="2074"/>
      <c r="Y269" s="1953"/>
      <c r="Z269" s="509"/>
      <c r="AA269" s="63"/>
      <c r="AB269" s="63"/>
      <c r="AE269" s="2461"/>
      <c r="AF269" s="68"/>
    </row>
    <row r="270" spans="1:32" ht="16" x14ac:dyDescent="0.4">
      <c r="A270" s="787"/>
      <c r="B270" s="997">
        <v>11453</v>
      </c>
      <c r="C270" s="997"/>
      <c r="D270" s="788"/>
      <c r="E270" s="837" t="s">
        <v>2410</v>
      </c>
      <c r="F270" s="13">
        <v>5</v>
      </c>
      <c r="G270" s="13">
        <v>4</v>
      </c>
      <c r="H270" s="13">
        <v>6</v>
      </c>
      <c r="I270" s="298"/>
      <c r="J270" s="298"/>
      <c r="K270" s="298"/>
      <c r="L270" s="298"/>
      <c r="M270" s="1542"/>
      <c r="N270" s="298"/>
      <c r="O270" s="299"/>
      <c r="P270" s="298"/>
      <c r="Q270" s="933">
        <v>6.15</v>
      </c>
      <c r="R270" s="927"/>
      <c r="S270" s="1138"/>
      <c r="T270" s="1138"/>
      <c r="U270" s="1944"/>
      <c r="V270" s="1944"/>
      <c r="W270" s="1138"/>
      <c r="X270" s="2074"/>
      <c r="Y270" s="1953"/>
      <c r="Z270" s="509"/>
      <c r="AA270" s="63"/>
      <c r="AB270" s="63"/>
      <c r="AE270" s="2461"/>
      <c r="AF270" s="68"/>
    </row>
    <row r="271" spans="1:32" ht="15.5" x14ac:dyDescent="0.35">
      <c r="A271" s="787"/>
      <c r="B271" s="997">
        <v>11453</v>
      </c>
      <c r="C271" s="997"/>
      <c r="D271" s="788"/>
      <c r="E271" s="838" t="s">
        <v>2913</v>
      </c>
      <c r="F271" s="13" t="s">
        <v>827</v>
      </c>
      <c r="G271" s="13">
        <v>5</v>
      </c>
      <c r="H271" s="92">
        <v>6</v>
      </c>
      <c r="I271" s="298"/>
      <c r="J271" s="298"/>
      <c r="K271" s="298"/>
      <c r="L271" s="298"/>
      <c r="M271" s="1542"/>
      <c r="N271" s="298"/>
      <c r="O271" s="299"/>
      <c r="P271" s="298"/>
      <c r="Q271" s="933"/>
      <c r="R271" s="927">
        <v>3.55</v>
      </c>
      <c r="S271" s="1138"/>
      <c r="T271" s="1138"/>
      <c r="U271" s="1944"/>
      <c r="V271" s="1944"/>
      <c r="W271" s="1138"/>
      <c r="X271" s="2074"/>
      <c r="Y271" s="1953"/>
      <c r="Z271" s="509"/>
      <c r="AE271" s="2461"/>
      <c r="AF271" s="68"/>
    </row>
    <row r="272" spans="1:32" ht="30.5" x14ac:dyDescent="0.35">
      <c r="A272" s="294">
        <v>135</v>
      </c>
      <c r="B272" s="997">
        <v>11453</v>
      </c>
      <c r="C272" s="997"/>
      <c r="D272" s="2469" t="s">
        <v>6335</v>
      </c>
      <c r="E272" s="288" t="s">
        <v>8018</v>
      </c>
      <c r="F272" s="14" t="s">
        <v>1490</v>
      </c>
      <c r="G272" s="14">
        <v>5</v>
      </c>
      <c r="H272" s="92">
        <v>6</v>
      </c>
      <c r="I272" s="297">
        <f>J272+K272+L272</f>
        <v>0.3</v>
      </c>
      <c r="J272" s="297">
        <f>SUM(M272:R272)</f>
        <v>0.3</v>
      </c>
      <c r="K272" s="297"/>
      <c r="L272" s="297"/>
      <c r="M272" s="1541"/>
      <c r="N272" s="297"/>
      <c r="O272" s="302"/>
      <c r="P272" s="297"/>
      <c r="Q272" s="932"/>
      <c r="R272" s="925">
        <v>0.3</v>
      </c>
      <c r="S272" s="154"/>
      <c r="T272" s="154"/>
      <c r="U272" s="154"/>
      <c r="V272" s="154"/>
      <c r="W272" s="154"/>
      <c r="X272" s="260"/>
      <c r="Y272" s="164"/>
      <c r="Z272" s="309"/>
      <c r="AB272">
        <v>1</v>
      </c>
      <c r="AE272" s="2461"/>
      <c r="AF272" s="68"/>
    </row>
    <row r="273" spans="1:32" ht="45" x14ac:dyDescent="0.35">
      <c r="A273" s="525">
        <v>136</v>
      </c>
      <c r="B273" s="1040">
        <v>11453</v>
      </c>
      <c r="C273" s="693" t="s">
        <v>1656</v>
      </c>
      <c r="D273" s="2469" t="s">
        <v>6336</v>
      </c>
      <c r="E273" s="2187" t="s">
        <v>9018</v>
      </c>
      <c r="F273" s="92" t="s">
        <v>664</v>
      </c>
      <c r="G273" s="92">
        <v>5</v>
      </c>
      <c r="H273" s="92">
        <v>6</v>
      </c>
      <c r="I273" s="2157">
        <f>J273+K273+L273</f>
        <v>1.04</v>
      </c>
      <c r="J273" s="2157">
        <f>M273+N273+O273+P273+Q273+R273</f>
        <v>1.04</v>
      </c>
      <c r="K273" s="622"/>
      <c r="L273" s="622"/>
      <c r="M273" s="622"/>
      <c r="N273" s="622"/>
      <c r="O273" s="622"/>
      <c r="P273" s="622"/>
      <c r="Q273" s="622"/>
      <c r="R273" s="906">
        <v>1.04</v>
      </c>
      <c r="S273" s="106"/>
      <c r="T273" s="106"/>
      <c r="U273" s="106"/>
      <c r="V273" s="106"/>
      <c r="W273" s="105"/>
      <c r="X273" s="253"/>
      <c r="Y273" s="105"/>
      <c r="Z273" s="323"/>
      <c r="AB273">
        <v>1</v>
      </c>
      <c r="AE273" s="2461"/>
      <c r="AF273" s="68"/>
    </row>
    <row r="274" spans="1:32" ht="45.5" x14ac:dyDescent="0.35">
      <c r="A274" s="294">
        <v>137</v>
      </c>
      <c r="B274" s="515">
        <v>11453</v>
      </c>
      <c r="C274" s="358" t="s">
        <v>1656</v>
      </c>
      <c r="D274" s="2469" t="s">
        <v>6337</v>
      </c>
      <c r="E274" s="511" t="s">
        <v>9019</v>
      </c>
      <c r="F274" s="1138" t="s">
        <v>664</v>
      </c>
      <c r="G274" s="2289">
        <v>5</v>
      </c>
      <c r="H274" s="92">
        <v>6</v>
      </c>
      <c r="I274" s="297">
        <f>J274+K274+L274</f>
        <v>1.5</v>
      </c>
      <c r="J274" s="297">
        <f>SUM(M274:R274)</f>
        <v>1.5</v>
      </c>
      <c r="K274" s="298"/>
      <c r="L274" s="298"/>
      <c r="M274" s="1542"/>
      <c r="N274" s="298"/>
      <c r="O274" s="299"/>
      <c r="P274" s="298"/>
      <c r="Q274" s="933"/>
      <c r="R274" s="925">
        <v>1.5</v>
      </c>
      <c r="S274" s="1138"/>
      <c r="T274" s="1138"/>
      <c r="U274" s="1944"/>
      <c r="V274" s="1944"/>
      <c r="W274" s="1138"/>
      <c r="X274" s="2074"/>
      <c r="Y274" s="1953"/>
      <c r="Z274" s="509"/>
      <c r="AB274">
        <v>1</v>
      </c>
      <c r="AE274" s="2461"/>
      <c r="AF274" s="68"/>
    </row>
    <row r="275" spans="1:32" ht="15.5" x14ac:dyDescent="0.35">
      <c r="A275" s="525">
        <v>138</v>
      </c>
      <c r="B275" s="997">
        <v>11454</v>
      </c>
      <c r="C275" s="997"/>
      <c r="D275" s="515" t="s">
        <v>2335</v>
      </c>
      <c r="E275" s="288" t="s">
        <v>7168</v>
      </c>
      <c r="F275" s="13"/>
      <c r="G275" s="13" t="s">
        <v>191</v>
      </c>
      <c r="H275" s="13" t="s">
        <v>191</v>
      </c>
      <c r="I275" s="297">
        <f>J275+K275+L275</f>
        <v>8.6</v>
      </c>
      <c r="J275" s="297">
        <f>SUM(M275:R275)</f>
        <v>8.6</v>
      </c>
      <c r="K275" s="297"/>
      <c r="L275" s="297"/>
      <c r="M275" s="1541"/>
      <c r="N275" s="2865">
        <f>SUM(N276:N278)</f>
        <v>2.2999999999999998</v>
      </c>
      <c r="O275" s="302"/>
      <c r="P275" s="297"/>
      <c r="Q275" s="932">
        <f>SUM(Q276:Q278)</f>
        <v>1.1400000000000001</v>
      </c>
      <c r="R275" s="925">
        <f>SUM(R276:R278)</f>
        <v>5.16</v>
      </c>
      <c r="S275" s="55">
        <v>2</v>
      </c>
      <c r="T275" s="1962">
        <f>9.6+42.7</f>
        <v>52.300000000000004</v>
      </c>
      <c r="U275" s="154"/>
      <c r="V275" s="154"/>
      <c r="W275" s="1881">
        <v>8</v>
      </c>
      <c r="X275" s="1962">
        <v>83.8</v>
      </c>
      <c r="Y275" s="164">
        <v>2</v>
      </c>
      <c r="Z275" s="309">
        <v>20</v>
      </c>
      <c r="AB275">
        <v>1</v>
      </c>
      <c r="AE275" s="2461"/>
      <c r="AF275" s="68"/>
    </row>
    <row r="276" spans="1:32" ht="15.5" x14ac:dyDescent="0.35">
      <c r="A276" s="787"/>
      <c r="B276" s="997">
        <v>11454</v>
      </c>
      <c r="C276" s="997"/>
      <c r="D276" s="788"/>
      <c r="E276" s="289" t="s">
        <v>11576</v>
      </c>
      <c r="F276" s="13">
        <v>5</v>
      </c>
      <c r="G276" s="13">
        <v>5</v>
      </c>
      <c r="H276" s="13">
        <v>6</v>
      </c>
      <c r="I276" s="298"/>
      <c r="J276" s="298"/>
      <c r="K276" s="298"/>
      <c r="L276" s="298"/>
      <c r="M276" s="1542"/>
      <c r="N276" s="2535">
        <v>2.2999999999999998</v>
      </c>
      <c r="O276" s="299"/>
      <c r="P276" s="298"/>
      <c r="Q276" s="933"/>
      <c r="R276" s="927"/>
      <c r="S276" s="1138"/>
      <c r="T276" s="1138"/>
      <c r="U276" s="1944"/>
      <c r="V276" s="1944"/>
      <c r="W276" s="1138"/>
      <c r="X276" s="2074"/>
      <c r="Y276" s="1953"/>
      <c r="Z276" s="509"/>
      <c r="AE276" s="2461"/>
      <c r="AF276" s="68"/>
    </row>
    <row r="277" spans="1:32" ht="15.5" x14ac:dyDescent="0.35">
      <c r="A277" s="787"/>
      <c r="B277" s="997"/>
      <c r="C277" s="997"/>
      <c r="D277" s="788"/>
      <c r="E277" s="837" t="s">
        <v>11575</v>
      </c>
      <c r="F277" s="13">
        <v>5</v>
      </c>
      <c r="G277" s="13">
        <v>5</v>
      </c>
      <c r="H277" s="13">
        <v>6</v>
      </c>
      <c r="I277" s="298"/>
      <c r="J277" s="298"/>
      <c r="K277" s="298"/>
      <c r="L277" s="298"/>
      <c r="M277" s="1542"/>
      <c r="N277" s="298"/>
      <c r="O277" s="299"/>
      <c r="P277" s="298"/>
      <c r="Q277" s="933">
        <f>3.44-2.3</f>
        <v>1.1400000000000001</v>
      </c>
      <c r="R277" s="927"/>
      <c r="S277" s="1138"/>
      <c r="T277" s="1138"/>
      <c r="U277" s="1944"/>
      <c r="V277" s="1944"/>
      <c r="W277" s="1138"/>
      <c r="X277" s="2074"/>
      <c r="Y277" s="1953"/>
      <c r="Z277" s="509"/>
      <c r="AE277" s="2461"/>
      <c r="AF277" s="68"/>
    </row>
    <row r="278" spans="1:32" ht="15.5" x14ac:dyDescent="0.35">
      <c r="A278" s="787"/>
      <c r="B278" s="997">
        <v>11454</v>
      </c>
      <c r="C278" s="997"/>
      <c r="D278" s="788"/>
      <c r="E278" s="838" t="s">
        <v>1772</v>
      </c>
      <c r="F278" s="13" t="s">
        <v>827</v>
      </c>
      <c r="G278" s="13">
        <v>5</v>
      </c>
      <c r="H278" s="92">
        <v>6</v>
      </c>
      <c r="I278" s="298"/>
      <c r="J278" s="298"/>
      <c r="K278" s="298"/>
      <c r="L278" s="298"/>
      <c r="M278" s="1542"/>
      <c r="N278" s="298"/>
      <c r="O278" s="299"/>
      <c r="P278" s="298"/>
      <c r="Q278" s="933"/>
      <c r="R278" s="927">
        <v>5.16</v>
      </c>
      <c r="S278" s="1138"/>
      <c r="T278" s="1138"/>
      <c r="U278" s="1944"/>
      <c r="V278" s="1944"/>
      <c r="W278" s="1138"/>
      <c r="X278" s="2074"/>
      <c r="Y278" s="1953"/>
      <c r="Z278" s="509"/>
      <c r="AE278" s="2461"/>
      <c r="AF278" s="68"/>
    </row>
    <row r="279" spans="1:32" ht="30.5" x14ac:dyDescent="0.35">
      <c r="A279" s="294">
        <v>139</v>
      </c>
      <c r="B279" s="997">
        <v>11456</v>
      </c>
      <c r="C279" s="997"/>
      <c r="D279" s="515" t="s">
        <v>2336</v>
      </c>
      <c r="E279" s="288" t="s">
        <v>10264</v>
      </c>
      <c r="F279" s="13"/>
      <c r="G279" s="13" t="s">
        <v>191</v>
      </c>
      <c r="H279" s="13" t="s">
        <v>191</v>
      </c>
      <c r="I279" s="297">
        <f>J279+K279+L279</f>
        <v>3.9899999999999998</v>
      </c>
      <c r="J279" s="297">
        <f>SUM(M279:R279)</f>
        <v>3.9899999999999998</v>
      </c>
      <c r="K279" s="297"/>
      <c r="L279" s="297"/>
      <c r="M279" s="1541"/>
      <c r="N279" s="297">
        <f>SUM(N280:N281)</f>
        <v>1.23</v>
      </c>
      <c r="O279" s="302"/>
      <c r="P279" s="297"/>
      <c r="Q279" s="932">
        <f>SUM(Q280:Q281)</f>
        <v>2.76</v>
      </c>
      <c r="R279" s="925"/>
      <c r="S279" s="154"/>
      <c r="T279" s="154"/>
      <c r="U279" s="154"/>
      <c r="V279" s="154"/>
      <c r="W279" s="1881">
        <v>9</v>
      </c>
      <c r="X279" s="1962">
        <v>119.69999694824219</v>
      </c>
      <c r="Y279" s="164">
        <v>3</v>
      </c>
      <c r="Z279" s="309">
        <v>32</v>
      </c>
      <c r="AB279">
        <v>1</v>
      </c>
      <c r="AE279" s="2461"/>
      <c r="AF279" s="68"/>
    </row>
    <row r="280" spans="1:32" ht="15.5" x14ac:dyDescent="0.35">
      <c r="A280" s="787"/>
      <c r="B280" s="997">
        <v>11456</v>
      </c>
      <c r="C280" s="997"/>
      <c r="D280" s="788"/>
      <c r="E280" s="289" t="s">
        <v>1773</v>
      </c>
      <c r="F280" s="13">
        <v>5</v>
      </c>
      <c r="G280" s="13">
        <v>5</v>
      </c>
      <c r="H280" s="13">
        <v>6</v>
      </c>
      <c r="I280" s="298"/>
      <c r="J280" s="298"/>
      <c r="K280" s="298"/>
      <c r="L280" s="298"/>
      <c r="M280" s="1542"/>
      <c r="N280" s="298">
        <v>1.23</v>
      </c>
      <c r="O280" s="299"/>
      <c r="P280" s="298"/>
      <c r="Q280" s="933"/>
      <c r="R280" s="927"/>
      <c r="S280" s="1944"/>
      <c r="T280" s="1944"/>
      <c r="U280" s="1944"/>
      <c r="V280" s="1944"/>
      <c r="W280" s="1138"/>
      <c r="X280" s="2074"/>
      <c r="Y280" s="1953"/>
      <c r="Z280" s="509"/>
      <c r="AE280" s="2461"/>
      <c r="AF280" s="68"/>
    </row>
    <row r="281" spans="1:32" ht="15.5" x14ac:dyDescent="0.35">
      <c r="A281" s="787"/>
      <c r="B281" s="997">
        <v>11456</v>
      </c>
      <c r="C281" s="997"/>
      <c r="D281" s="788"/>
      <c r="E281" s="837" t="s">
        <v>1774</v>
      </c>
      <c r="F281" s="13">
        <v>5</v>
      </c>
      <c r="G281" s="13">
        <v>5</v>
      </c>
      <c r="H281" s="13">
        <v>6</v>
      </c>
      <c r="I281" s="298"/>
      <c r="J281" s="298"/>
      <c r="K281" s="298"/>
      <c r="L281" s="298"/>
      <c r="M281" s="1542"/>
      <c r="N281" s="298"/>
      <c r="O281" s="299"/>
      <c r="P281" s="298"/>
      <c r="Q281" s="933">
        <v>2.76</v>
      </c>
      <c r="R281" s="927"/>
      <c r="S281" s="1944"/>
      <c r="T281" s="1944"/>
      <c r="U281" s="1944"/>
      <c r="V281" s="1944"/>
      <c r="W281" s="1138"/>
      <c r="X281" s="2074"/>
      <c r="Y281" s="1953"/>
      <c r="Z281" s="509"/>
      <c r="AE281" s="2461"/>
      <c r="AF281" s="68"/>
    </row>
    <row r="282" spans="1:32" ht="30.5" x14ac:dyDescent="0.35">
      <c r="A282" s="294">
        <v>140</v>
      </c>
      <c r="B282" s="997">
        <v>11457</v>
      </c>
      <c r="C282" s="997"/>
      <c r="D282" s="515" t="s">
        <v>2337</v>
      </c>
      <c r="E282" s="288" t="s">
        <v>10265</v>
      </c>
      <c r="F282" s="13"/>
      <c r="G282" s="13" t="s">
        <v>191</v>
      </c>
      <c r="H282" s="13" t="s">
        <v>191</v>
      </c>
      <c r="I282" s="297">
        <f t="shared" ref="I282:I291" si="15">J282+K282+L282</f>
        <v>6.2899999999999991</v>
      </c>
      <c r="J282" s="297">
        <f>SUM(M282:R282)</f>
        <v>6.2899999999999991</v>
      </c>
      <c r="K282" s="297"/>
      <c r="L282" s="297"/>
      <c r="M282" s="1541"/>
      <c r="N282" s="297"/>
      <c r="O282" s="302"/>
      <c r="P282" s="297"/>
      <c r="Q282" s="932">
        <f>SUM(Q283:Q284)</f>
        <v>6.2899999999999991</v>
      </c>
      <c r="R282" s="925"/>
      <c r="S282" s="154"/>
      <c r="T282" s="154"/>
      <c r="U282" s="154"/>
      <c r="V282" s="154"/>
      <c r="W282" s="1881">
        <v>9</v>
      </c>
      <c r="X282" s="1962">
        <v>100.4</v>
      </c>
      <c r="Y282" s="164">
        <v>3</v>
      </c>
      <c r="Z282" s="309">
        <v>20</v>
      </c>
      <c r="AB282">
        <v>1</v>
      </c>
      <c r="AE282" s="2461"/>
      <c r="AF282" s="68"/>
    </row>
    <row r="283" spans="1:32" ht="15.5" x14ac:dyDescent="0.35">
      <c r="A283" s="294"/>
      <c r="B283" s="997">
        <v>11457</v>
      </c>
      <c r="C283" s="997"/>
      <c r="D283" s="515"/>
      <c r="E283" s="837" t="s">
        <v>2190</v>
      </c>
      <c r="F283" s="1138" t="s">
        <v>827</v>
      </c>
      <c r="G283" s="13">
        <v>5</v>
      </c>
      <c r="H283" s="13">
        <v>6</v>
      </c>
      <c r="I283" s="297"/>
      <c r="J283" s="297"/>
      <c r="K283" s="297"/>
      <c r="L283" s="297"/>
      <c r="M283" s="1541"/>
      <c r="N283" s="297"/>
      <c r="O283" s="302"/>
      <c r="P283" s="297"/>
      <c r="Q283" s="1836">
        <v>4.5999999999999996</v>
      </c>
      <c r="R283" s="925"/>
      <c r="S283" s="154"/>
      <c r="T283" s="154"/>
      <c r="U283" s="154"/>
      <c r="V283" s="154"/>
      <c r="W283" s="1881"/>
      <c r="X283" s="1962"/>
      <c r="Y283" s="164"/>
      <c r="Z283" s="309"/>
      <c r="AE283" s="2461"/>
      <c r="AF283" s="68"/>
    </row>
    <row r="284" spans="1:32" ht="15.5" x14ac:dyDescent="0.35">
      <c r="A284" s="294"/>
      <c r="B284" s="997">
        <v>11457</v>
      </c>
      <c r="C284" s="997"/>
      <c r="D284" s="515"/>
      <c r="E284" s="837" t="s">
        <v>1775</v>
      </c>
      <c r="F284" s="1138">
        <v>5</v>
      </c>
      <c r="G284" s="13">
        <v>5</v>
      </c>
      <c r="H284" s="13">
        <v>6</v>
      </c>
      <c r="I284" s="297"/>
      <c r="J284" s="297"/>
      <c r="K284" s="297"/>
      <c r="L284" s="297"/>
      <c r="M284" s="1541"/>
      <c r="N284" s="297"/>
      <c r="O284" s="302"/>
      <c r="P284" s="297"/>
      <c r="Q284" s="1836">
        <v>1.69</v>
      </c>
      <c r="R284" s="925"/>
      <c r="S284" s="154"/>
      <c r="T284" s="154"/>
      <c r="U284" s="154"/>
      <c r="V284" s="154"/>
      <c r="W284" s="1881"/>
      <c r="X284" s="1962"/>
      <c r="Y284" s="164"/>
      <c r="Z284" s="309"/>
      <c r="AE284" s="2461"/>
      <c r="AF284" s="68"/>
    </row>
    <row r="285" spans="1:32" ht="45" x14ac:dyDescent="0.35">
      <c r="A285" s="525">
        <v>141</v>
      </c>
      <c r="B285" s="1040">
        <v>11457</v>
      </c>
      <c r="C285" s="693" t="s">
        <v>1656</v>
      </c>
      <c r="D285" s="2469" t="s">
        <v>6338</v>
      </c>
      <c r="E285" s="2187" t="s">
        <v>10266</v>
      </c>
      <c r="F285" s="92" t="s">
        <v>664</v>
      </c>
      <c r="G285" s="92">
        <v>5</v>
      </c>
      <c r="H285" s="92">
        <v>6</v>
      </c>
      <c r="I285" s="2157">
        <f t="shared" si="15"/>
        <v>0.31</v>
      </c>
      <c r="J285" s="2157">
        <f>M285+N285+O285+P285+Q285+R285</f>
        <v>0.31</v>
      </c>
      <c r="K285" s="622"/>
      <c r="L285" s="622"/>
      <c r="M285" s="622"/>
      <c r="N285" s="622"/>
      <c r="O285" s="622"/>
      <c r="P285" s="622"/>
      <c r="Q285" s="622"/>
      <c r="R285" s="906">
        <v>0.31</v>
      </c>
      <c r="S285" s="106"/>
      <c r="T285" s="106"/>
      <c r="U285" s="106"/>
      <c r="V285" s="106"/>
      <c r="W285" s="105"/>
      <c r="X285" s="253"/>
      <c r="Y285" s="105"/>
      <c r="Z285" s="323"/>
      <c r="AB285">
        <v>1</v>
      </c>
      <c r="AE285" s="2461"/>
      <c r="AF285" s="68"/>
    </row>
    <row r="286" spans="1:32" ht="45" x14ac:dyDescent="0.35">
      <c r="A286" s="294">
        <v>142</v>
      </c>
      <c r="B286" s="1040">
        <v>11457</v>
      </c>
      <c r="C286" s="693" t="s">
        <v>1656</v>
      </c>
      <c r="D286" s="2469" t="s">
        <v>6339</v>
      </c>
      <c r="E286" s="2187" t="s">
        <v>10267</v>
      </c>
      <c r="F286" s="92" t="s">
        <v>664</v>
      </c>
      <c r="G286" s="92">
        <v>5</v>
      </c>
      <c r="H286" s="92">
        <v>6</v>
      </c>
      <c r="I286" s="2157">
        <f t="shared" si="15"/>
        <v>1.24</v>
      </c>
      <c r="J286" s="2157">
        <f>M286+N286+O286+P286+Q286+R286</f>
        <v>1.24</v>
      </c>
      <c r="K286" s="622"/>
      <c r="L286" s="622"/>
      <c r="M286" s="622"/>
      <c r="N286" s="622"/>
      <c r="O286" s="622"/>
      <c r="P286" s="622"/>
      <c r="Q286" s="622"/>
      <c r="R286" s="906">
        <v>1.24</v>
      </c>
      <c r="S286" s="106"/>
      <c r="T286" s="106"/>
      <c r="U286" s="106"/>
      <c r="V286" s="106"/>
      <c r="W286" s="105"/>
      <c r="X286" s="253"/>
      <c r="Y286" s="105"/>
      <c r="Z286" s="323"/>
      <c r="AB286">
        <v>1</v>
      </c>
      <c r="AE286" s="2461"/>
      <c r="AF286" s="68"/>
    </row>
    <row r="287" spans="1:32" ht="15.5" x14ac:dyDescent="0.35">
      <c r="A287" s="525">
        <v>143</v>
      </c>
      <c r="B287" s="997">
        <v>11458</v>
      </c>
      <c r="C287" s="997"/>
      <c r="D287" s="515" t="s">
        <v>2338</v>
      </c>
      <c r="E287" s="288" t="s">
        <v>1081</v>
      </c>
      <c r="F287" s="13"/>
      <c r="G287" s="13" t="s">
        <v>191</v>
      </c>
      <c r="H287" s="13" t="s">
        <v>191</v>
      </c>
      <c r="I287" s="297">
        <f t="shared" si="15"/>
        <v>3.72</v>
      </c>
      <c r="J287" s="297">
        <f>SUM(M287:R287)</f>
        <v>3.72</v>
      </c>
      <c r="K287" s="489"/>
      <c r="L287" s="489"/>
      <c r="M287" s="1543"/>
      <c r="N287" s="490">
        <f>SUM(N288:N289)</f>
        <v>1</v>
      </c>
      <c r="O287" s="491"/>
      <c r="P287" s="489"/>
      <c r="Q287" s="932">
        <f>SUM(Q288:Q289)</f>
        <v>2.72</v>
      </c>
      <c r="R287" s="929"/>
      <c r="S287" s="154"/>
      <c r="T287" s="154"/>
      <c r="U287" s="154"/>
      <c r="V287" s="154"/>
      <c r="W287" s="1881">
        <v>14</v>
      </c>
      <c r="X287" s="1962">
        <v>147.9</v>
      </c>
      <c r="Y287" s="164">
        <v>9</v>
      </c>
      <c r="Z287" s="309">
        <v>90</v>
      </c>
      <c r="AB287">
        <v>1</v>
      </c>
      <c r="AE287" s="2461"/>
      <c r="AF287" s="68"/>
    </row>
    <row r="288" spans="1:32" s="2773" customFormat="1" ht="15.5" x14ac:dyDescent="0.35">
      <c r="A288" s="525"/>
      <c r="B288" s="997"/>
      <c r="C288" s="997"/>
      <c r="D288" s="515"/>
      <c r="E288" s="289" t="s">
        <v>2628</v>
      </c>
      <c r="F288" s="13">
        <v>5</v>
      </c>
      <c r="G288" s="13">
        <v>4</v>
      </c>
      <c r="H288" s="13">
        <v>6</v>
      </c>
      <c r="I288" s="298"/>
      <c r="J288" s="298"/>
      <c r="K288" s="1165"/>
      <c r="L288" s="1165"/>
      <c r="M288" s="2774"/>
      <c r="N288" s="2795">
        <v>1</v>
      </c>
      <c r="O288" s="1166"/>
      <c r="P288" s="1165"/>
      <c r="Q288" s="2775"/>
      <c r="R288" s="1534"/>
      <c r="S288" s="2041"/>
      <c r="T288" s="2041"/>
      <c r="U288" s="2041"/>
      <c r="V288" s="2041"/>
      <c r="W288" s="2526"/>
      <c r="X288" s="2527"/>
      <c r="Y288" s="2282"/>
      <c r="Z288" s="510"/>
      <c r="AE288" s="2461"/>
      <c r="AF288" s="68"/>
    </row>
    <row r="289" spans="1:32" s="2773" customFormat="1" ht="15.5" x14ac:dyDescent="0.35">
      <c r="A289" s="525"/>
      <c r="B289" s="997"/>
      <c r="C289" s="997"/>
      <c r="D289" s="515"/>
      <c r="E289" s="837" t="s">
        <v>11116</v>
      </c>
      <c r="F289" s="13">
        <v>5</v>
      </c>
      <c r="G289" s="13">
        <v>4</v>
      </c>
      <c r="H289" s="13">
        <v>6</v>
      </c>
      <c r="I289" s="298"/>
      <c r="J289" s="298"/>
      <c r="K289" s="1165"/>
      <c r="L289" s="1165"/>
      <c r="M289" s="2774"/>
      <c r="N289" s="1165"/>
      <c r="O289" s="1166"/>
      <c r="P289" s="1165"/>
      <c r="Q289" s="2775">
        <f>3.72-1</f>
        <v>2.72</v>
      </c>
      <c r="R289" s="1534"/>
      <c r="S289" s="2041"/>
      <c r="T289" s="2041"/>
      <c r="U289" s="2041"/>
      <c r="V289" s="2041"/>
      <c r="W289" s="2526"/>
      <c r="X289" s="2527"/>
      <c r="Y289" s="2282"/>
      <c r="Z289" s="510"/>
      <c r="AE289" s="2461"/>
      <c r="AF289" s="68"/>
    </row>
    <row r="290" spans="1:32" ht="15.5" x14ac:dyDescent="0.35">
      <c r="A290" s="294">
        <v>144</v>
      </c>
      <c r="B290" s="997">
        <v>11459</v>
      </c>
      <c r="C290" s="997"/>
      <c r="D290" s="515" t="s">
        <v>2339</v>
      </c>
      <c r="E290" s="288" t="s">
        <v>1825</v>
      </c>
      <c r="F290" s="80">
        <v>5</v>
      </c>
      <c r="G290" s="13">
        <v>4</v>
      </c>
      <c r="H290" s="13">
        <v>6</v>
      </c>
      <c r="I290" s="297">
        <f t="shared" si="15"/>
        <v>4.22</v>
      </c>
      <c r="J290" s="297">
        <f>SUM(M290:R290)</f>
        <v>4.22</v>
      </c>
      <c r="K290" s="1163"/>
      <c r="L290" s="1163"/>
      <c r="M290" s="1545"/>
      <c r="N290" s="1163"/>
      <c r="O290" s="1164"/>
      <c r="P290" s="1163"/>
      <c r="Q290" s="1538">
        <v>4.22</v>
      </c>
      <c r="R290" s="1534"/>
      <c r="S290" s="2041"/>
      <c r="T290" s="2041"/>
      <c r="U290" s="2041"/>
      <c r="V290" s="2041"/>
      <c r="W290" s="2526">
        <v>8</v>
      </c>
      <c r="X290" s="2527">
        <v>106.5</v>
      </c>
      <c r="Y290" s="2282"/>
      <c r="Z290" s="510"/>
      <c r="AB290">
        <v>1</v>
      </c>
      <c r="AE290" s="2461"/>
      <c r="AF290" s="68"/>
    </row>
    <row r="291" spans="1:32" ht="30.5" x14ac:dyDescent="0.35">
      <c r="A291" s="525">
        <v>145</v>
      </c>
      <c r="B291" s="997">
        <v>11459</v>
      </c>
      <c r="C291" s="997"/>
      <c r="D291" s="2469" t="s">
        <v>6340</v>
      </c>
      <c r="E291" s="288" t="s">
        <v>8019</v>
      </c>
      <c r="F291" s="14"/>
      <c r="G291" s="14" t="s">
        <v>191</v>
      </c>
      <c r="H291" s="13" t="s">
        <v>191</v>
      </c>
      <c r="I291" s="297">
        <f t="shared" si="15"/>
        <v>1.3800000000000001</v>
      </c>
      <c r="J291" s="297">
        <f>SUM(M291:R291)</f>
        <v>1.3800000000000001</v>
      </c>
      <c r="K291" s="792"/>
      <c r="L291" s="792"/>
      <c r="M291" s="1546"/>
      <c r="N291" s="792"/>
      <c r="O291" s="793"/>
      <c r="P291" s="792"/>
      <c r="Q291" s="1538">
        <f>SUM(Q292:Q293)</f>
        <v>1.31</v>
      </c>
      <c r="R291" s="1535">
        <f>SUM(R292:R293)</f>
        <v>7.0000000000000007E-2</v>
      </c>
      <c r="S291" s="2041"/>
      <c r="T291" s="2041"/>
      <c r="U291" s="2041"/>
      <c r="V291" s="2041"/>
      <c r="W291" s="2526">
        <v>1</v>
      </c>
      <c r="X291" s="2527">
        <v>13.100000381469727</v>
      </c>
      <c r="Y291" s="2282"/>
      <c r="Z291" s="510"/>
      <c r="AB291">
        <v>1</v>
      </c>
      <c r="AE291" s="2461"/>
      <c r="AF291" s="68"/>
    </row>
    <row r="292" spans="1:32" ht="15.5" x14ac:dyDescent="0.35">
      <c r="A292" s="787"/>
      <c r="B292" s="997">
        <v>11459</v>
      </c>
      <c r="C292" s="997"/>
      <c r="D292" s="788"/>
      <c r="E292" s="837" t="s">
        <v>1286</v>
      </c>
      <c r="F292" s="14">
        <v>5</v>
      </c>
      <c r="G292" s="14">
        <v>5</v>
      </c>
      <c r="H292" s="13">
        <v>6</v>
      </c>
      <c r="I292" s="298"/>
      <c r="J292" s="298"/>
      <c r="K292" s="2162"/>
      <c r="L292" s="2162"/>
      <c r="M292" s="1599"/>
      <c r="N292" s="2162"/>
      <c r="O292" s="2163"/>
      <c r="P292" s="2162"/>
      <c r="Q292" s="1539">
        <v>1.31</v>
      </c>
      <c r="R292" s="1600"/>
      <c r="S292" s="2043"/>
      <c r="T292" s="2043"/>
      <c r="U292" s="2043"/>
      <c r="V292" s="2043"/>
      <c r="W292" s="1944"/>
      <c r="X292" s="2497"/>
      <c r="Y292" s="2283"/>
      <c r="Z292" s="1167"/>
      <c r="AE292" s="2461"/>
      <c r="AF292" s="68"/>
    </row>
    <row r="293" spans="1:32" ht="15.5" x14ac:dyDescent="0.35">
      <c r="A293" s="787"/>
      <c r="B293" s="997">
        <v>11459</v>
      </c>
      <c r="C293" s="997"/>
      <c r="D293" s="788"/>
      <c r="E293" s="838" t="s">
        <v>1456</v>
      </c>
      <c r="F293" s="14">
        <v>5</v>
      </c>
      <c r="G293" s="14">
        <v>5</v>
      </c>
      <c r="H293" s="92">
        <v>6</v>
      </c>
      <c r="I293" s="298"/>
      <c r="J293" s="298"/>
      <c r="K293" s="2162"/>
      <c r="L293" s="2162"/>
      <c r="M293" s="1599"/>
      <c r="N293" s="2162"/>
      <c r="O293" s="2163"/>
      <c r="P293" s="2162"/>
      <c r="Q293" s="1539"/>
      <c r="R293" s="1600">
        <v>7.0000000000000007E-2</v>
      </c>
      <c r="S293" s="2043"/>
      <c r="T293" s="2043"/>
      <c r="U293" s="2043"/>
      <c r="V293" s="2043"/>
      <c r="W293" s="2043"/>
      <c r="X293" s="2528"/>
      <c r="Y293" s="2283"/>
      <c r="Z293" s="1167"/>
      <c r="AE293" s="2461"/>
      <c r="AF293" s="68"/>
    </row>
    <row r="294" spans="1:32" ht="15.5" x14ac:dyDescent="0.35">
      <c r="A294" s="789">
        <v>146</v>
      </c>
      <c r="B294" s="997">
        <v>11460</v>
      </c>
      <c r="C294" s="997"/>
      <c r="D294" s="515" t="s">
        <v>2340</v>
      </c>
      <c r="E294" s="288" t="s">
        <v>1450</v>
      </c>
      <c r="F294" s="80"/>
      <c r="G294" s="13" t="s">
        <v>191</v>
      </c>
      <c r="H294" s="13" t="s">
        <v>191</v>
      </c>
      <c r="I294" s="297">
        <f>J294+K294+L294</f>
        <v>1.8599999999999999</v>
      </c>
      <c r="J294" s="297">
        <f>SUM(M294:R294)</f>
        <v>1.8599999999999999</v>
      </c>
      <c r="K294" s="1163"/>
      <c r="L294" s="1163"/>
      <c r="M294" s="1545"/>
      <c r="N294" s="1163"/>
      <c r="O294" s="1164"/>
      <c r="P294" s="1163"/>
      <c r="Q294" s="1538">
        <f>SUM(Q295:Q296)</f>
        <v>1.02</v>
      </c>
      <c r="R294" s="1535">
        <f>SUM(R295:R296)</f>
        <v>0.84</v>
      </c>
      <c r="S294" s="2041"/>
      <c r="T294" s="2041"/>
      <c r="U294" s="2041"/>
      <c r="V294" s="2041"/>
      <c r="W294" s="1881">
        <v>4</v>
      </c>
      <c r="X294" s="1962">
        <v>45.3</v>
      </c>
      <c r="Y294" s="2282"/>
      <c r="Z294" s="510"/>
      <c r="AB294">
        <v>1</v>
      </c>
      <c r="AE294" s="2461"/>
      <c r="AF294" s="68"/>
    </row>
    <row r="295" spans="1:32" ht="15.5" x14ac:dyDescent="0.35">
      <c r="A295" s="790"/>
      <c r="B295" s="997">
        <v>11460</v>
      </c>
      <c r="C295" s="997"/>
      <c r="D295" s="788"/>
      <c r="E295" s="837" t="s">
        <v>2376</v>
      </c>
      <c r="F295" s="80">
        <v>5</v>
      </c>
      <c r="G295" s="13">
        <v>5</v>
      </c>
      <c r="H295" s="13">
        <v>6</v>
      </c>
      <c r="I295" s="298"/>
      <c r="J295" s="298"/>
      <c r="K295" s="1165"/>
      <c r="L295" s="1165"/>
      <c r="M295" s="1547"/>
      <c r="N295" s="1165"/>
      <c r="O295" s="1166"/>
      <c r="P295" s="1165"/>
      <c r="Q295" s="1539">
        <v>1.02</v>
      </c>
      <c r="R295" s="1536"/>
      <c r="S295" s="2043"/>
      <c r="T295" s="2043"/>
      <c r="U295" s="2043"/>
      <c r="V295" s="2043"/>
      <c r="W295" s="1138"/>
      <c r="X295" s="2074"/>
      <c r="Y295" s="2283"/>
      <c r="Z295" s="1167"/>
      <c r="AE295" s="2461"/>
      <c r="AF295" s="68"/>
    </row>
    <row r="296" spans="1:32" ht="15.5" x14ac:dyDescent="0.35">
      <c r="A296" s="790"/>
      <c r="B296" s="997">
        <v>11460</v>
      </c>
      <c r="C296" s="997"/>
      <c r="D296" s="788"/>
      <c r="E296" s="838" t="s">
        <v>1451</v>
      </c>
      <c r="F296" s="80">
        <v>5</v>
      </c>
      <c r="G296" s="13">
        <v>5</v>
      </c>
      <c r="H296" s="92">
        <v>6</v>
      </c>
      <c r="I296" s="298"/>
      <c r="J296" s="298"/>
      <c r="K296" s="1165"/>
      <c r="L296" s="1165"/>
      <c r="M296" s="1547"/>
      <c r="N296" s="1165"/>
      <c r="O296" s="1166"/>
      <c r="P296" s="1165"/>
      <c r="Q296" s="1539"/>
      <c r="R296" s="1536">
        <v>0.84</v>
      </c>
      <c r="S296" s="2043"/>
      <c r="T296" s="2043"/>
      <c r="U296" s="2043"/>
      <c r="V296" s="2043"/>
      <c r="W296" s="2425"/>
      <c r="X296" s="2529"/>
      <c r="Y296" s="2283"/>
      <c r="Z296" s="1167"/>
      <c r="AE296" s="2461"/>
      <c r="AF296" s="68"/>
    </row>
    <row r="297" spans="1:32" ht="15.5" x14ac:dyDescent="0.35">
      <c r="A297" s="789">
        <v>147</v>
      </c>
      <c r="B297" s="997">
        <v>11461</v>
      </c>
      <c r="C297" s="997"/>
      <c r="D297" s="515" t="s">
        <v>2341</v>
      </c>
      <c r="E297" s="288" t="s">
        <v>1452</v>
      </c>
      <c r="F297" s="80"/>
      <c r="G297" s="13" t="s">
        <v>191</v>
      </c>
      <c r="H297" s="13" t="s">
        <v>191</v>
      </c>
      <c r="I297" s="297">
        <f>J297+K297+L297</f>
        <v>2.2000000000000002</v>
      </c>
      <c r="J297" s="297">
        <f>SUM(M297:R297)</f>
        <v>2.2000000000000002</v>
      </c>
      <c r="K297" s="1163"/>
      <c r="L297" s="1163"/>
      <c r="M297" s="1545"/>
      <c r="N297" s="1163">
        <f>SUM(N298:N299)</f>
        <v>0.44</v>
      </c>
      <c r="O297" s="1164"/>
      <c r="P297" s="1163"/>
      <c r="Q297" s="2164">
        <f>SUM(Q298:Q299)</f>
        <v>1.76</v>
      </c>
      <c r="R297" s="1534"/>
      <c r="S297" s="2041"/>
      <c r="T297" s="2041"/>
      <c r="U297" s="2041"/>
      <c r="V297" s="2041"/>
      <c r="W297" s="2526">
        <v>3</v>
      </c>
      <c r="X297" s="2527">
        <v>45.200000762939453</v>
      </c>
      <c r="Y297" s="2282"/>
      <c r="Z297" s="510"/>
      <c r="AB297">
        <v>1</v>
      </c>
      <c r="AE297" s="2461"/>
      <c r="AF297" s="68"/>
    </row>
    <row r="298" spans="1:32" ht="15.5" x14ac:dyDescent="0.35">
      <c r="A298" s="790"/>
      <c r="B298" s="997">
        <v>11461</v>
      </c>
      <c r="C298" s="997"/>
      <c r="D298" s="788"/>
      <c r="E298" s="289" t="s">
        <v>1453</v>
      </c>
      <c r="F298" s="80">
        <v>5</v>
      </c>
      <c r="G298" s="13">
        <v>5</v>
      </c>
      <c r="H298" s="13">
        <v>6</v>
      </c>
      <c r="I298" s="298"/>
      <c r="J298" s="298"/>
      <c r="K298" s="1165"/>
      <c r="L298" s="1165"/>
      <c r="M298" s="1547"/>
      <c r="N298" s="1165">
        <v>0.44</v>
      </c>
      <c r="O298" s="1166"/>
      <c r="P298" s="1165"/>
      <c r="Q298" s="1539"/>
      <c r="R298" s="1536"/>
      <c r="S298" s="2043"/>
      <c r="T298" s="2043"/>
      <c r="U298" s="2043"/>
      <c r="V298" s="2043"/>
      <c r="W298" s="2425"/>
      <c r="X298" s="2529"/>
      <c r="Y298" s="2283"/>
      <c r="Z298" s="1167"/>
      <c r="AE298" s="2461"/>
      <c r="AF298" s="68"/>
    </row>
    <row r="299" spans="1:32" ht="15.5" x14ac:dyDescent="0.35">
      <c r="A299" s="790"/>
      <c r="B299" s="997">
        <v>11461</v>
      </c>
      <c r="C299" s="997"/>
      <c r="D299" s="788"/>
      <c r="E299" s="837" t="s">
        <v>1454</v>
      </c>
      <c r="F299" s="80">
        <v>5</v>
      </c>
      <c r="G299" s="13">
        <v>5</v>
      </c>
      <c r="H299" s="13">
        <v>6</v>
      </c>
      <c r="I299" s="298"/>
      <c r="J299" s="298"/>
      <c r="K299" s="1165"/>
      <c r="L299" s="1165"/>
      <c r="M299" s="1547"/>
      <c r="N299" s="1165"/>
      <c r="O299" s="1166"/>
      <c r="P299" s="1165"/>
      <c r="Q299" s="1539">
        <v>1.76</v>
      </c>
      <c r="R299" s="1536"/>
      <c r="S299" s="2043"/>
      <c r="T299" s="2043"/>
      <c r="U299" s="2043"/>
      <c r="V299" s="2043"/>
      <c r="W299" s="2425"/>
      <c r="X299" s="2529"/>
      <c r="Y299" s="2283"/>
      <c r="Z299" s="1167"/>
      <c r="AE299" s="2461"/>
      <c r="AF299" s="68"/>
    </row>
    <row r="300" spans="1:32" ht="30.5" x14ac:dyDescent="0.35">
      <c r="A300" s="789">
        <v>148</v>
      </c>
      <c r="B300" s="997">
        <v>11462</v>
      </c>
      <c r="C300" s="997"/>
      <c r="D300" s="515" t="s">
        <v>2342</v>
      </c>
      <c r="E300" s="288" t="s">
        <v>9595</v>
      </c>
      <c r="F300" s="80" t="s">
        <v>664</v>
      </c>
      <c r="G300" s="13">
        <v>5</v>
      </c>
      <c r="H300" s="92">
        <v>6</v>
      </c>
      <c r="I300" s="297">
        <f t="shared" ref="I300:I312" si="16">J300+K300+L300</f>
        <v>3</v>
      </c>
      <c r="J300" s="297">
        <f>SUM(M300:R300)</f>
        <v>3</v>
      </c>
      <c r="K300" s="1163"/>
      <c r="L300" s="1163"/>
      <c r="M300" s="1545"/>
      <c r="N300" s="1163"/>
      <c r="O300" s="1164"/>
      <c r="P300" s="1163"/>
      <c r="Q300" s="1538"/>
      <c r="R300" s="1534">
        <v>3</v>
      </c>
      <c r="S300" s="2041"/>
      <c r="T300" s="2041"/>
      <c r="U300" s="2041"/>
      <c r="V300" s="2041"/>
      <c r="W300" s="55"/>
      <c r="X300" s="1962"/>
      <c r="Y300" s="2282"/>
      <c r="Z300" s="510"/>
      <c r="AB300">
        <v>1</v>
      </c>
      <c r="AE300" s="2461"/>
      <c r="AF300" s="68"/>
    </row>
    <row r="301" spans="1:32" ht="15.5" x14ac:dyDescent="0.35">
      <c r="A301" s="789">
        <v>149</v>
      </c>
      <c r="B301" s="997">
        <v>11463</v>
      </c>
      <c r="C301" s="997"/>
      <c r="D301" s="515" t="s">
        <v>2532</v>
      </c>
      <c r="E301" s="288" t="s">
        <v>7169</v>
      </c>
      <c r="F301" s="80">
        <v>5</v>
      </c>
      <c r="G301" s="13">
        <v>5</v>
      </c>
      <c r="H301" s="13">
        <v>6</v>
      </c>
      <c r="I301" s="297">
        <f t="shared" si="16"/>
        <v>4.24</v>
      </c>
      <c r="J301" s="297">
        <f>SUM(M301:R301)</f>
        <v>4.24</v>
      </c>
      <c r="K301" s="1163"/>
      <c r="L301" s="1163"/>
      <c r="M301" s="1545"/>
      <c r="N301" s="1163"/>
      <c r="O301" s="1164"/>
      <c r="P301" s="1163"/>
      <c r="Q301" s="1538">
        <v>4.24</v>
      </c>
      <c r="R301" s="1534"/>
      <c r="S301" s="2041"/>
      <c r="T301" s="2041"/>
      <c r="U301" s="2041"/>
      <c r="V301" s="2041"/>
      <c r="W301" s="1881">
        <v>11</v>
      </c>
      <c r="X301" s="1962">
        <v>156.80000305175781</v>
      </c>
      <c r="Y301" s="2282">
        <v>4</v>
      </c>
      <c r="Z301" s="510">
        <v>60</v>
      </c>
      <c r="AB301">
        <v>1</v>
      </c>
      <c r="AE301" s="2461"/>
      <c r="AF301" s="68"/>
    </row>
    <row r="302" spans="1:32" ht="30.5" x14ac:dyDescent="0.35">
      <c r="A302" s="789">
        <v>150</v>
      </c>
      <c r="B302" s="1071">
        <v>11463</v>
      </c>
      <c r="C302" s="1071"/>
      <c r="D302" s="2469" t="s">
        <v>6341</v>
      </c>
      <c r="E302" s="288" t="s">
        <v>10268</v>
      </c>
      <c r="F302" s="80" t="s">
        <v>664</v>
      </c>
      <c r="G302" s="13">
        <v>5</v>
      </c>
      <c r="H302" s="92">
        <v>6</v>
      </c>
      <c r="I302" s="297">
        <f t="shared" si="16"/>
        <v>5.66</v>
      </c>
      <c r="J302" s="297">
        <f>SUM(M302:R302)</f>
        <v>5.66</v>
      </c>
      <c r="K302" s="1163"/>
      <c r="L302" s="1163"/>
      <c r="M302" s="1545"/>
      <c r="N302" s="1163"/>
      <c r="O302" s="1164"/>
      <c r="P302" s="1163"/>
      <c r="Q302" s="1538"/>
      <c r="R302" s="1534">
        <v>5.66</v>
      </c>
      <c r="S302" s="2041"/>
      <c r="T302" s="2041"/>
      <c r="U302" s="2041"/>
      <c r="V302" s="2041"/>
      <c r="W302" s="2042"/>
      <c r="X302" s="2527"/>
      <c r="Y302" s="2282"/>
      <c r="Z302" s="510"/>
      <c r="AB302">
        <v>1</v>
      </c>
      <c r="AE302" s="2461"/>
      <c r="AF302" s="68"/>
    </row>
    <row r="303" spans="1:32" ht="45" x14ac:dyDescent="0.35">
      <c r="A303" s="789">
        <v>151</v>
      </c>
      <c r="B303" s="1040">
        <v>11463</v>
      </c>
      <c r="C303" s="693" t="s">
        <v>1656</v>
      </c>
      <c r="D303" s="2469" t="s">
        <v>6342</v>
      </c>
      <c r="E303" s="1956" t="s">
        <v>9020</v>
      </c>
      <c r="F303" s="92" t="s">
        <v>664</v>
      </c>
      <c r="G303" s="92">
        <v>5</v>
      </c>
      <c r="H303" s="92">
        <v>6</v>
      </c>
      <c r="I303" s="2157">
        <f t="shared" si="16"/>
        <v>0.46</v>
      </c>
      <c r="J303" s="2157">
        <f>M303+N303+O303+P303+Q303+R303</f>
        <v>0.46</v>
      </c>
      <c r="K303" s="797"/>
      <c r="L303" s="797"/>
      <c r="M303" s="797"/>
      <c r="N303" s="797"/>
      <c r="O303" s="797"/>
      <c r="P303" s="797"/>
      <c r="Q303" s="797"/>
      <c r="R303" s="2110">
        <v>0.46</v>
      </c>
      <c r="S303" s="1819"/>
      <c r="T303" s="1819"/>
      <c r="U303" s="1819"/>
      <c r="V303" s="1819"/>
      <c r="W303" s="325"/>
      <c r="X303" s="326"/>
      <c r="Y303" s="325"/>
      <c r="Z303" s="2165"/>
      <c r="AB303">
        <v>1</v>
      </c>
      <c r="AE303" s="2461"/>
      <c r="AF303" s="68"/>
    </row>
    <row r="304" spans="1:32" ht="30.5" x14ac:dyDescent="0.35">
      <c r="A304" s="789">
        <v>152</v>
      </c>
      <c r="B304" s="997">
        <v>11464</v>
      </c>
      <c r="C304" s="997"/>
      <c r="D304" s="515" t="s">
        <v>2533</v>
      </c>
      <c r="E304" s="288" t="s">
        <v>7170</v>
      </c>
      <c r="F304" s="13"/>
      <c r="G304" s="13" t="s">
        <v>191</v>
      </c>
      <c r="H304" s="92" t="s">
        <v>191</v>
      </c>
      <c r="I304" s="297">
        <f t="shared" si="16"/>
        <v>10.66</v>
      </c>
      <c r="J304" s="297">
        <f>SUM(M304:R304)</f>
        <v>10.66</v>
      </c>
      <c r="K304" s="1163"/>
      <c r="L304" s="1163"/>
      <c r="M304" s="1545"/>
      <c r="N304" s="1163"/>
      <c r="O304" s="1164"/>
      <c r="P304" s="1163"/>
      <c r="Q304" s="1538"/>
      <c r="R304" s="1534">
        <f>SUM(R305:R306)</f>
        <v>10.66</v>
      </c>
      <c r="S304" s="2041"/>
      <c r="T304" s="2041"/>
      <c r="U304" s="2041"/>
      <c r="V304" s="2041"/>
      <c r="W304" s="2526">
        <v>3</v>
      </c>
      <c r="X304" s="2527">
        <v>27.5</v>
      </c>
      <c r="Y304" s="2282"/>
      <c r="Z304" s="510"/>
      <c r="AB304">
        <v>1</v>
      </c>
      <c r="AE304" s="2461"/>
      <c r="AF304" s="68"/>
    </row>
    <row r="305" spans="1:32" ht="15.5" x14ac:dyDescent="0.35">
      <c r="A305" s="789"/>
      <c r="B305" s="997">
        <v>11464</v>
      </c>
      <c r="C305" s="997"/>
      <c r="D305" s="515"/>
      <c r="E305" s="838" t="s">
        <v>2873</v>
      </c>
      <c r="F305" s="80" t="s">
        <v>827</v>
      </c>
      <c r="G305" s="13">
        <v>5</v>
      </c>
      <c r="H305" s="92">
        <v>6</v>
      </c>
      <c r="I305" s="297"/>
      <c r="J305" s="297"/>
      <c r="K305" s="1163"/>
      <c r="L305" s="1163"/>
      <c r="M305" s="1545"/>
      <c r="N305" s="1163"/>
      <c r="O305" s="1164"/>
      <c r="P305" s="1163"/>
      <c r="Q305" s="1538"/>
      <c r="R305" s="2291">
        <v>3.5</v>
      </c>
      <c r="S305" s="2041"/>
      <c r="T305" s="2041"/>
      <c r="U305" s="2041"/>
      <c r="V305" s="2041"/>
      <c r="W305" s="2526"/>
      <c r="X305" s="2527"/>
      <c r="Y305" s="2282"/>
      <c r="Z305" s="510"/>
      <c r="AE305" s="2461"/>
      <c r="AF305" s="68"/>
    </row>
    <row r="306" spans="1:32" ht="15.5" x14ac:dyDescent="0.35">
      <c r="A306" s="789"/>
      <c r="B306" s="997">
        <v>11464</v>
      </c>
      <c r="C306" s="997"/>
      <c r="D306" s="515"/>
      <c r="E306" s="838" t="s">
        <v>1249</v>
      </c>
      <c r="F306" s="80" t="s">
        <v>664</v>
      </c>
      <c r="G306" s="13">
        <v>5</v>
      </c>
      <c r="H306" s="92">
        <v>6</v>
      </c>
      <c r="I306" s="297"/>
      <c r="J306" s="297"/>
      <c r="K306" s="1163"/>
      <c r="L306" s="1163"/>
      <c r="M306" s="1545"/>
      <c r="N306" s="1163"/>
      <c r="O306" s="1164"/>
      <c r="P306" s="1163"/>
      <c r="Q306" s="1538"/>
      <c r="R306" s="2291">
        <v>7.16</v>
      </c>
      <c r="S306" s="2041"/>
      <c r="T306" s="2041"/>
      <c r="U306" s="2041"/>
      <c r="V306" s="2041"/>
      <c r="W306" s="2526"/>
      <c r="X306" s="2527"/>
      <c r="Y306" s="2282"/>
      <c r="Z306" s="510"/>
      <c r="AE306" s="2461"/>
      <c r="AF306" s="68"/>
    </row>
    <row r="307" spans="1:32" ht="45" x14ac:dyDescent="0.35">
      <c r="A307" s="789">
        <v>153</v>
      </c>
      <c r="B307" s="1040">
        <v>11464</v>
      </c>
      <c r="C307" s="693" t="s">
        <v>1656</v>
      </c>
      <c r="D307" s="2469" t="s">
        <v>6343</v>
      </c>
      <c r="E307" s="2187" t="s">
        <v>9021</v>
      </c>
      <c r="F307" s="2176" t="s">
        <v>664</v>
      </c>
      <c r="G307" s="92">
        <v>5</v>
      </c>
      <c r="H307" s="92">
        <v>6</v>
      </c>
      <c r="I307" s="2157">
        <f t="shared" si="16"/>
        <v>0.77</v>
      </c>
      <c r="J307" s="2157">
        <f>M307+N307+O307+P307+Q307+R307</f>
        <v>0.77</v>
      </c>
      <c r="K307" s="797"/>
      <c r="L307" s="797"/>
      <c r="M307" s="797"/>
      <c r="N307" s="797"/>
      <c r="O307" s="797"/>
      <c r="P307" s="797"/>
      <c r="Q307" s="797"/>
      <c r="R307" s="2110">
        <v>0.77</v>
      </c>
      <c r="S307" s="1819"/>
      <c r="T307" s="1819"/>
      <c r="U307" s="1819"/>
      <c r="V307" s="1819"/>
      <c r="W307" s="325"/>
      <c r="X307" s="326"/>
      <c r="Y307" s="325"/>
      <c r="Z307" s="2165"/>
      <c r="AB307">
        <v>1</v>
      </c>
      <c r="AE307" s="2461"/>
      <c r="AF307" s="68"/>
    </row>
    <row r="308" spans="1:32" ht="15.5" x14ac:dyDescent="0.35">
      <c r="A308" s="789">
        <v>154</v>
      </c>
      <c r="B308" s="997">
        <v>11466</v>
      </c>
      <c r="C308" s="997"/>
      <c r="D308" s="515" t="s">
        <v>2933</v>
      </c>
      <c r="E308" s="511" t="s">
        <v>1724</v>
      </c>
      <c r="F308" s="80"/>
      <c r="G308" s="13" t="s">
        <v>191</v>
      </c>
      <c r="H308" s="92" t="s">
        <v>191</v>
      </c>
      <c r="I308" s="297">
        <f t="shared" si="16"/>
        <v>3.45</v>
      </c>
      <c r="J308" s="297">
        <f>SUM(M308:R308)</f>
        <v>3.45</v>
      </c>
      <c r="K308" s="1163"/>
      <c r="L308" s="1163"/>
      <c r="M308" s="1545"/>
      <c r="N308" s="1163"/>
      <c r="O308" s="1164"/>
      <c r="P308" s="1163"/>
      <c r="Q308" s="1538"/>
      <c r="R308" s="1534">
        <f>SUM(R309:R310)</f>
        <v>3.45</v>
      </c>
      <c r="S308" s="2041"/>
      <c r="T308" s="2041"/>
      <c r="U308" s="2041"/>
      <c r="V308" s="2041"/>
      <c r="W308" s="2526">
        <v>3</v>
      </c>
      <c r="X308" s="2527">
        <v>35.1</v>
      </c>
      <c r="Y308" s="2282">
        <v>1</v>
      </c>
      <c r="Z308" s="510">
        <v>10</v>
      </c>
      <c r="AB308">
        <v>1</v>
      </c>
      <c r="AE308" s="2461"/>
      <c r="AF308" s="68"/>
    </row>
    <row r="309" spans="1:32" ht="15.5" x14ac:dyDescent="0.35">
      <c r="A309" s="789"/>
      <c r="B309" s="997">
        <v>11466</v>
      </c>
      <c r="C309" s="997"/>
      <c r="D309" s="515"/>
      <c r="E309" s="838" t="s">
        <v>1645</v>
      </c>
      <c r="F309" s="80" t="s">
        <v>1490</v>
      </c>
      <c r="G309" s="13">
        <v>5</v>
      </c>
      <c r="H309" s="92">
        <v>6</v>
      </c>
      <c r="I309" s="297"/>
      <c r="J309" s="297"/>
      <c r="K309" s="1163"/>
      <c r="L309" s="1163"/>
      <c r="M309" s="1545"/>
      <c r="N309" s="1163"/>
      <c r="O309" s="1164"/>
      <c r="P309" s="1163"/>
      <c r="Q309" s="1538"/>
      <c r="R309" s="2291">
        <v>1.35</v>
      </c>
      <c r="S309" s="2041"/>
      <c r="T309" s="2041"/>
      <c r="U309" s="2041"/>
      <c r="V309" s="2041"/>
      <c r="W309" s="2526"/>
      <c r="X309" s="2527"/>
      <c r="Y309" s="2282"/>
      <c r="Z309" s="510"/>
      <c r="AE309" s="2461"/>
      <c r="AF309" s="68"/>
    </row>
    <row r="310" spans="1:32" ht="15.5" x14ac:dyDescent="0.35">
      <c r="A310" s="789"/>
      <c r="B310" s="997">
        <v>11466</v>
      </c>
      <c r="C310" s="997"/>
      <c r="D310" s="515"/>
      <c r="E310" s="838" t="s">
        <v>593</v>
      </c>
      <c r="F310" s="80" t="s">
        <v>664</v>
      </c>
      <c r="G310" s="13">
        <v>5</v>
      </c>
      <c r="H310" s="92">
        <v>6</v>
      </c>
      <c r="I310" s="297"/>
      <c r="J310" s="297"/>
      <c r="K310" s="1163"/>
      <c r="L310" s="1163"/>
      <c r="M310" s="1545"/>
      <c r="N310" s="1163"/>
      <c r="O310" s="1164"/>
      <c r="P310" s="1163"/>
      <c r="Q310" s="1538"/>
      <c r="R310" s="2291">
        <f>3.45-1.35</f>
        <v>2.1</v>
      </c>
      <c r="S310" s="2041"/>
      <c r="T310" s="2041"/>
      <c r="U310" s="2041"/>
      <c r="V310" s="2041"/>
      <c r="W310" s="2526"/>
      <c r="X310" s="2527"/>
      <c r="Y310" s="2282"/>
      <c r="Z310" s="510"/>
      <c r="AE310" s="2461"/>
      <c r="AF310" s="68"/>
    </row>
    <row r="311" spans="1:32" ht="30" x14ac:dyDescent="0.35">
      <c r="A311" s="789">
        <v>155</v>
      </c>
      <c r="B311" s="1040">
        <v>11466</v>
      </c>
      <c r="C311" s="693" t="s">
        <v>1656</v>
      </c>
      <c r="D311" s="2469" t="s">
        <v>6344</v>
      </c>
      <c r="E311" s="2187" t="s">
        <v>11542</v>
      </c>
      <c r="F311" s="92" t="s">
        <v>664</v>
      </c>
      <c r="G311" s="92">
        <v>5</v>
      </c>
      <c r="H311" s="92">
        <v>6</v>
      </c>
      <c r="I311" s="2922">
        <f t="shared" si="16"/>
        <v>0.4</v>
      </c>
      <c r="J311" s="2922">
        <f>M311+N311+O311+P311+Q311+R311</f>
        <v>0.4</v>
      </c>
      <c r="K311" s="797"/>
      <c r="L311" s="797"/>
      <c r="M311" s="797"/>
      <c r="N311" s="797"/>
      <c r="O311" s="797"/>
      <c r="P311" s="797"/>
      <c r="Q311" s="797"/>
      <c r="R311" s="2110">
        <v>0.4</v>
      </c>
      <c r="S311" s="1819"/>
      <c r="T311" s="1819"/>
      <c r="U311" s="1819"/>
      <c r="V311" s="1819"/>
      <c r="W311" s="105"/>
      <c r="X311" s="253"/>
      <c r="Y311" s="325"/>
      <c r="Z311" s="2165"/>
      <c r="AB311">
        <v>1</v>
      </c>
      <c r="AE311" s="2461"/>
      <c r="AF311" s="68"/>
    </row>
    <row r="312" spans="1:32" ht="15.5" x14ac:dyDescent="0.35">
      <c r="A312" s="789">
        <v>156</v>
      </c>
      <c r="B312" s="1072">
        <v>11467</v>
      </c>
      <c r="C312" s="1072"/>
      <c r="D312" s="791" t="s">
        <v>1705</v>
      </c>
      <c r="E312" s="512" t="s">
        <v>2380</v>
      </c>
      <c r="F312" s="13"/>
      <c r="G312" s="80" t="s">
        <v>191</v>
      </c>
      <c r="H312" s="92" t="s">
        <v>191</v>
      </c>
      <c r="I312" s="297">
        <f t="shared" si="16"/>
        <v>1.3900000000000001</v>
      </c>
      <c r="J312" s="297">
        <f>SUM(M312:R312)</f>
        <v>1.3900000000000001</v>
      </c>
      <c r="K312" s="1163"/>
      <c r="L312" s="1163"/>
      <c r="M312" s="1545"/>
      <c r="N312" s="1163"/>
      <c r="O312" s="1164"/>
      <c r="P312" s="1163"/>
      <c r="Q312" s="1538"/>
      <c r="R312" s="1534">
        <f>SUM(R313:R314)</f>
        <v>1.3900000000000001</v>
      </c>
      <c r="S312" s="2041"/>
      <c r="T312" s="2041"/>
      <c r="U312" s="2041"/>
      <c r="V312" s="2041"/>
      <c r="W312" s="2445">
        <v>2</v>
      </c>
      <c r="X312" s="2446">
        <v>23</v>
      </c>
      <c r="Y312" s="2976">
        <v>0</v>
      </c>
      <c r="Z312" s="2977">
        <v>0</v>
      </c>
      <c r="AB312">
        <v>1</v>
      </c>
      <c r="AE312" s="2461"/>
      <c r="AF312" s="68"/>
    </row>
    <row r="313" spans="1:32" ht="15.5" x14ac:dyDescent="0.35">
      <c r="A313" s="789"/>
      <c r="B313" s="1072">
        <v>11467</v>
      </c>
      <c r="C313" s="1072"/>
      <c r="D313" s="791"/>
      <c r="E313" s="838" t="s">
        <v>2628</v>
      </c>
      <c r="F313" s="13" t="s">
        <v>664</v>
      </c>
      <c r="G313" s="80">
        <v>5</v>
      </c>
      <c r="H313" s="92">
        <v>6</v>
      </c>
      <c r="I313" s="297"/>
      <c r="J313" s="297"/>
      <c r="K313" s="1163"/>
      <c r="L313" s="1163"/>
      <c r="M313" s="1545"/>
      <c r="N313" s="1163"/>
      <c r="O313" s="1164"/>
      <c r="P313" s="1163"/>
      <c r="Q313" s="1538"/>
      <c r="R313" s="2291">
        <v>1</v>
      </c>
      <c r="S313" s="2041"/>
      <c r="T313" s="2041"/>
      <c r="U313" s="2041"/>
      <c r="V313" s="2041"/>
      <c r="W313" s="1881"/>
      <c r="X313" s="1962"/>
      <c r="Y313" s="2282"/>
      <c r="Z313" s="510"/>
      <c r="AE313" s="2461"/>
      <c r="AF313" s="68"/>
    </row>
    <row r="314" spans="1:32" ht="15.5" x14ac:dyDescent="0.35">
      <c r="A314" s="789"/>
      <c r="B314" s="1072">
        <v>11467</v>
      </c>
      <c r="C314" s="1072"/>
      <c r="D314" s="791"/>
      <c r="E314" s="838" t="s">
        <v>2730</v>
      </c>
      <c r="F314" s="13" t="s">
        <v>827</v>
      </c>
      <c r="G314" s="80">
        <v>5</v>
      </c>
      <c r="H314" s="92">
        <v>6</v>
      </c>
      <c r="I314" s="297"/>
      <c r="J314" s="297"/>
      <c r="K314" s="1163"/>
      <c r="L314" s="1163"/>
      <c r="M314" s="1545"/>
      <c r="N314" s="1163"/>
      <c r="O314" s="1164"/>
      <c r="P314" s="1163"/>
      <c r="Q314" s="1538"/>
      <c r="R314" s="2291">
        <v>0.39</v>
      </c>
      <c r="S314" s="2041"/>
      <c r="T314" s="2041"/>
      <c r="U314" s="2041"/>
      <c r="V314" s="2041"/>
      <c r="W314" s="1881"/>
      <c r="X314" s="1962"/>
      <c r="Y314" s="2282"/>
      <c r="Z314" s="510"/>
      <c r="AC314" t="s">
        <v>2570</v>
      </c>
      <c r="AE314" s="2461"/>
      <c r="AF314" s="68"/>
    </row>
    <row r="315" spans="1:32" ht="30.5" x14ac:dyDescent="0.35">
      <c r="A315" s="789">
        <v>157</v>
      </c>
      <c r="B315" s="1072">
        <v>11468</v>
      </c>
      <c r="C315" s="1072"/>
      <c r="D315" s="791" t="s">
        <v>2215</v>
      </c>
      <c r="E315" s="512" t="s">
        <v>7171</v>
      </c>
      <c r="F315" s="13"/>
      <c r="G315" s="80" t="s">
        <v>191</v>
      </c>
      <c r="H315" s="13" t="s">
        <v>191</v>
      </c>
      <c r="I315" s="297">
        <f>J315+K315+L315</f>
        <v>7.61</v>
      </c>
      <c r="J315" s="297">
        <f>SUM(M315:R315)</f>
        <v>7.5920000000000005</v>
      </c>
      <c r="K315" s="1163"/>
      <c r="L315" s="1163">
        <f>SUM(L316:L326)</f>
        <v>1.8000000000000016E-2</v>
      </c>
      <c r="M315" s="1545"/>
      <c r="N315" s="1163">
        <f>SUM(N316:N326)</f>
        <v>1.4149999999999998</v>
      </c>
      <c r="O315" s="1164"/>
      <c r="P315" s="1163"/>
      <c r="Q315" s="2164">
        <f>SUM(Q316:Q326)</f>
        <v>4.7869999999999999</v>
      </c>
      <c r="R315" s="1534">
        <f>SUM(R316:R326)</f>
        <v>1.3900000000000006</v>
      </c>
      <c r="S315" s="2041"/>
      <c r="T315" s="2041"/>
      <c r="U315" s="2041"/>
      <c r="V315" s="2041"/>
      <c r="W315" s="1881">
        <v>17</v>
      </c>
      <c r="X315" s="1962">
        <v>238.3</v>
      </c>
      <c r="Y315" s="2282">
        <v>7</v>
      </c>
      <c r="Z315" s="510">
        <v>71.5</v>
      </c>
      <c r="AB315">
        <v>1</v>
      </c>
      <c r="AE315" s="2461"/>
      <c r="AF315" s="68"/>
    </row>
    <row r="316" spans="1:32" ht="15.5" x14ac:dyDescent="0.35">
      <c r="A316" s="2159"/>
      <c r="B316" s="1072">
        <v>11468</v>
      </c>
      <c r="C316" s="1072"/>
      <c r="D316" s="2160"/>
      <c r="E316" s="2161" t="s">
        <v>10832</v>
      </c>
      <c r="F316" s="80">
        <v>5</v>
      </c>
      <c r="G316" s="80">
        <v>4</v>
      </c>
      <c r="H316" s="13">
        <v>6</v>
      </c>
      <c r="I316" s="298"/>
      <c r="J316" s="298"/>
      <c r="K316" s="1165"/>
      <c r="L316" s="1165"/>
      <c r="M316" s="1547"/>
      <c r="N316" s="1165">
        <v>0.13100000000000001</v>
      </c>
      <c r="O316" s="1166"/>
      <c r="P316" s="1165"/>
      <c r="Q316" s="1539"/>
      <c r="R316" s="1536"/>
      <c r="S316" s="2043"/>
      <c r="T316" s="2043"/>
      <c r="U316" s="2043"/>
      <c r="V316" s="2043"/>
      <c r="W316" s="1138"/>
      <c r="X316" s="2074"/>
      <c r="Y316" s="2283"/>
      <c r="Z316" s="1167"/>
      <c r="AE316" s="2461"/>
      <c r="AF316" s="68"/>
    </row>
    <row r="317" spans="1:32" s="2725" customFormat="1" ht="15.5" x14ac:dyDescent="0.35">
      <c r="A317" s="2159"/>
      <c r="B317" s="1072"/>
      <c r="C317" s="1072"/>
      <c r="D317" s="2160"/>
      <c r="E317" s="2161" t="s">
        <v>10833</v>
      </c>
      <c r="F317" s="80">
        <v>4</v>
      </c>
      <c r="G317" s="80">
        <v>4</v>
      </c>
      <c r="H317" s="13">
        <v>6</v>
      </c>
      <c r="I317" s="298"/>
      <c r="J317" s="298"/>
      <c r="K317" s="1165"/>
      <c r="L317" s="1165"/>
      <c r="M317" s="1547"/>
      <c r="N317" s="1165">
        <f>1.179-0.131</f>
        <v>1.048</v>
      </c>
      <c r="O317" s="1166"/>
      <c r="P317" s="1165"/>
      <c r="Q317" s="1539"/>
      <c r="R317" s="1536"/>
      <c r="S317" s="2043"/>
      <c r="T317" s="2043"/>
      <c r="U317" s="2043"/>
      <c r="V317" s="2043"/>
      <c r="W317" s="1138"/>
      <c r="X317" s="2074"/>
      <c r="Y317" s="2283"/>
      <c r="Z317" s="1167"/>
      <c r="AE317" s="2461"/>
      <c r="AF317" s="68"/>
    </row>
    <row r="318" spans="1:32" s="2725" customFormat="1" ht="31" x14ac:dyDescent="0.35">
      <c r="A318" s="2159"/>
      <c r="B318" s="1072"/>
      <c r="C318" s="1072"/>
      <c r="D318" s="2160"/>
      <c r="E318" s="711" t="s">
        <v>10829</v>
      </c>
      <c r="F318" s="1160">
        <v>4</v>
      </c>
      <c r="G318" s="1160">
        <v>4</v>
      </c>
      <c r="H318" s="337" t="s">
        <v>191</v>
      </c>
      <c r="I318" s="488"/>
      <c r="J318" s="488"/>
      <c r="K318" s="2796"/>
      <c r="L318" s="2796">
        <f>1.197-1.179</f>
        <v>1.8000000000000016E-2</v>
      </c>
      <c r="M318" s="1547"/>
      <c r="N318" s="1165"/>
      <c r="O318" s="1166"/>
      <c r="P318" s="1165"/>
      <c r="Q318" s="1539"/>
      <c r="R318" s="1536"/>
      <c r="S318" s="2043"/>
      <c r="T318" s="2043"/>
      <c r="U318" s="2043"/>
      <c r="V318" s="2043"/>
      <c r="W318" s="1138"/>
      <c r="X318" s="2074"/>
      <c r="Y318" s="2283"/>
      <c r="Z318" s="1167"/>
      <c r="AE318" s="2461"/>
      <c r="AF318" s="68"/>
    </row>
    <row r="319" spans="1:32" ht="15.5" x14ac:dyDescent="0.35">
      <c r="A319" s="2159"/>
      <c r="B319" s="1072">
        <v>11468</v>
      </c>
      <c r="C319" s="1072"/>
      <c r="D319" s="2160"/>
      <c r="E319" s="837" t="s">
        <v>10834</v>
      </c>
      <c r="F319" s="80">
        <v>4</v>
      </c>
      <c r="G319" s="80">
        <v>4</v>
      </c>
      <c r="H319" s="13">
        <v>6</v>
      </c>
      <c r="I319" s="298"/>
      <c r="J319" s="298"/>
      <c r="K319" s="1165"/>
      <c r="L319" s="1165"/>
      <c r="M319" s="1547"/>
      <c r="N319" s="1165"/>
      <c r="O319" s="1166"/>
      <c r="P319" s="1165"/>
      <c r="Q319" s="1539">
        <f>3.239-1.197</f>
        <v>2.0419999999999998</v>
      </c>
      <c r="R319" s="1536"/>
      <c r="S319" s="2043"/>
      <c r="T319" s="2043"/>
      <c r="U319" s="2043"/>
      <c r="V319" s="2043"/>
      <c r="W319" s="1138"/>
      <c r="X319" s="2074"/>
      <c r="Y319" s="2283"/>
      <c r="Z319" s="1167"/>
      <c r="AE319" s="2461"/>
      <c r="AF319" s="68"/>
    </row>
    <row r="320" spans="1:32" ht="15.5" x14ac:dyDescent="0.35">
      <c r="A320" s="2159"/>
      <c r="B320" s="1072">
        <v>11468</v>
      </c>
      <c r="C320" s="1072"/>
      <c r="D320" s="2160"/>
      <c r="E320" s="837" t="s">
        <v>10835</v>
      </c>
      <c r="F320" s="80">
        <v>5</v>
      </c>
      <c r="G320" s="80">
        <v>4</v>
      </c>
      <c r="H320" s="13">
        <v>6</v>
      </c>
      <c r="I320" s="298"/>
      <c r="J320" s="298"/>
      <c r="K320" s="1165"/>
      <c r="L320" s="1165"/>
      <c r="M320" s="1547"/>
      <c r="N320" s="1165"/>
      <c r="O320" s="1166"/>
      <c r="P320" s="1165"/>
      <c r="Q320" s="1539">
        <f>4.952-3.239</f>
        <v>1.7130000000000001</v>
      </c>
      <c r="R320" s="1536"/>
      <c r="S320" s="2043"/>
      <c r="T320" s="2043"/>
      <c r="U320" s="2043"/>
      <c r="V320" s="2043"/>
      <c r="W320" s="1138"/>
      <c r="X320" s="2074"/>
      <c r="Y320" s="2283"/>
      <c r="Z320" s="1167"/>
      <c r="AE320" s="2461"/>
      <c r="AF320" s="68"/>
    </row>
    <row r="321" spans="1:32" ht="15.5" x14ac:dyDescent="0.35">
      <c r="A321" s="2158"/>
      <c r="B321" s="515">
        <v>11468</v>
      </c>
      <c r="C321" s="515"/>
      <c r="D321" s="788"/>
      <c r="E321" s="289" t="s">
        <v>10830</v>
      </c>
      <c r="F321" s="13" t="s">
        <v>827</v>
      </c>
      <c r="G321" s="13">
        <v>4</v>
      </c>
      <c r="H321" s="13">
        <v>6</v>
      </c>
      <c r="I321" s="298"/>
      <c r="J321" s="298"/>
      <c r="K321" s="492"/>
      <c r="L321" s="492"/>
      <c r="M321" s="1544"/>
      <c r="N321" s="492">
        <f>5.188-4.952</f>
        <v>0.23599999999999977</v>
      </c>
      <c r="O321" s="494"/>
      <c r="P321" s="492"/>
      <c r="Q321" s="933"/>
      <c r="R321" s="1014"/>
      <c r="S321" s="1944"/>
      <c r="T321" s="1944"/>
      <c r="U321" s="1944"/>
      <c r="V321" s="1944"/>
      <c r="W321" s="1138"/>
      <c r="X321" s="2074"/>
      <c r="Y321" s="1953"/>
      <c r="Z321" s="306"/>
      <c r="AE321" s="2461"/>
      <c r="AF321" s="68"/>
    </row>
    <row r="322" spans="1:32" ht="15.5" x14ac:dyDescent="0.35">
      <c r="A322" s="2158"/>
      <c r="B322" s="1072">
        <v>11468</v>
      </c>
      <c r="C322" s="515"/>
      <c r="D322" s="788"/>
      <c r="E322" s="837" t="s">
        <v>10831</v>
      </c>
      <c r="F322" s="13" t="s">
        <v>1490</v>
      </c>
      <c r="G322" s="13">
        <v>4</v>
      </c>
      <c r="H322" s="13">
        <v>6</v>
      </c>
      <c r="I322" s="298"/>
      <c r="J322" s="298"/>
      <c r="K322" s="492"/>
      <c r="L322" s="492"/>
      <c r="M322" s="1544"/>
      <c r="N322" s="492"/>
      <c r="O322" s="494"/>
      <c r="P322" s="492"/>
      <c r="Q322" s="933">
        <f>6.22-5.188</f>
        <v>1.032</v>
      </c>
      <c r="R322" s="1014"/>
      <c r="S322" s="1944"/>
      <c r="T322" s="1944"/>
      <c r="U322" s="1944"/>
      <c r="V322" s="1944"/>
      <c r="W322" s="1138"/>
      <c r="X322" s="2074"/>
      <c r="Y322" s="1953"/>
      <c r="Z322" s="306"/>
      <c r="AE322" s="2461"/>
      <c r="AF322" s="68"/>
    </row>
    <row r="323" spans="1:32" s="2725" customFormat="1" ht="15.5" x14ac:dyDescent="0.35">
      <c r="A323" s="2158"/>
      <c r="B323" s="515">
        <v>11468</v>
      </c>
      <c r="C323" s="515"/>
      <c r="D323" s="788"/>
      <c r="E323" s="838" t="s">
        <v>10860</v>
      </c>
      <c r="F323" s="13" t="s">
        <v>827</v>
      </c>
      <c r="G323" s="13">
        <v>4</v>
      </c>
      <c r="H323" s="92">
        <v>6</v>
      </c>
      <c r="I323" s="298"/>
      <c r="J323" s="298"/>
      <c r="K323" s="492"/>
      <c r="L323" s="492"/>
      <c r="M323" s="1544"/>
      <c r="N323" s="492"/>
      <c r="O323" s="494"/>
      <c r="P323" s="492"/>
      <c r="Q323" s="933"/>
      <c r="R323" s="1014">
        <f>7.083-6.22</f>
        <v>0.86300000000000043</v>
      </c>
      <c r="S323" s="1944"/>
      <c r="T323" s="1944"/>
      <c r="U323" s="1944"/>
      <c r="V323" s="1944"/>
      <c r="W323" s="1138"/>
      <c r="X323" s="2074"/>
      <c r="Y323" s="1953"/>
      <c r="Z323" s="254"/>
      <c r="AA323" s="2731" t="s">
        <v>10862</v>
      </c>
      <c r="AE323" s="2461"/>
      <c r="AF323" s="68"/>
    </row>
    <row r="324" spans="1:32" s="2730" customFormat="1" ht="46.5" x14ac:dyDescent="0.35">
      <c r="A324" s="2158"/>
      <c r="B324" s="515"/>
      <c r="C324" s="515"/>
      <c r="D324" s="788"/>
      <c r="E324" s="838" t="s">
        <v>11143</v>
      </c>
      <c r="F324" s="13" t="s">
        <v>827</v>
      </c>
      <c r="G324" s="13">
        <v>4</v>
      </c>
      <c r="H324" s="92">
        <v>6</v>
      </c>
      <c r="I324" s="298"/>
      <c r="J324" s="298"/>
      <c r="K324" s="492"/>
      <c r="L324" s="2713"/>
      <c r="M324" s="1544"/>
      <c r="N324" s="492"/>
      <c r="O324" s="494"/>
      <c r="P324" s="492"/>
      <c r="Q324" s="933"/>
      <c r="R324" s="1014">
        <f>7.139-7.083</f>
        <v>5.600000000000005E-2</v>
      </c>
      <c r="S324" s="1944"/>
      <c r="T324" s="1944"/>
      <c r="U324" s="1944"/>
      <c r="V324" s="1944"/>
      <c r="W324" s="1138"/>
      <c r="X324" s="2074"/>
      <c r="Y324" s="1953"/>
      <c r="Z324" s="254"/>
      <c r="AE324" s="2461"/>
      <c r="AF324" s="68"/>
    </row>
    <row r="325" spans="1:32" s="2731" customFormat="1" ht="15.5" x14ac:dyDescent="0.35">
      <c r="A325" s="2158"/>
      <c r="B325" s="515"/>
      <c r="C325" s="515"/>
      <c r="D325" s="788"/>
      <c r="E325" s="838" t="s">
        <v>10861</v>
      </c>
      <c r="F325" s="13" t="s">
        <v>827</v>
      </c>
      <c r="G325" s="13">
        <v>4</v>
      </c>
      <c r="H325" s="92">
        <v>6</v>
      </c>
      <c r="I325" s="298"/>
      <c r="J325" s="298"/>
      <c r="K325" s="492"/>
      <c r="L325" s="2713"/>
      <c r="M325" s="1544"/>
      <c r="N325" s="492"/>
      <c r="O325" s="494"/>
      <c r="P325" s="492"/>
      <c r="Q325" s="933"/>
      <c r="R325" s="1014">
        <f>7.161-7.139</f>
        <v>2.1999999999999353E-2</v>
      </c>
      <c r="S325" s="1944"/>
      <c r="T325" s="1944"/>
      <c r="U325" s="1944"/>
      <c r="V325" s="1944"/>
      <c r="W325" s="1138"/>
      <c r="X325" s="2074"/>
      <c r="Y325" s="1953"/>
      <c r="Z325" s="254"/>
      <c r="AE325" s="2461"/>
      <c r="AF325" s="68"/>
    </row>
    <row r="326" spans="1:32" ht="15.5" x14ac:dyDescent="0.35">
      <c r="A326" s="2158"/>
      <c r="B326" s="515">
        <v>11468</v>
      </c>
      <c r="C326" s="515"/>
      <c r="D326" s="788"/>
      <c r="E326" s="838" t="s">
        <v>10836</v>
      </c>
      <c r="F326" s="13" t="s">
        <v>1490</v>
      </c>
      <c r="G326" s="13">
        <v>4</v>
      </c>
      <c r="H326" s="92">
        <v>6</v>
      </c>
      <c r="I326" s="298"/>
      <c r="J326" s="298"/>
      <c r="K326" s="492"/>
      <c r="L326" s="492"/>
      <c r="M326" s="1544"/>
      <c r="N326" s="492"/>
      <c r="O326" s="494"/>
      <c r="P326" s="492"/>
      <c r="Q326" s="933"/>
      <c r="R326" s="1014">
        <f>7.61-7.161</f>
        <v>0.44900000000000073</v>
      </c>
      <c r="S326" s="1944"/>
      <c r="T326" s="1944"/>
      <c r="U326" s="1944"/>
      <c r="V326" s="1944"/>
      <c r="W326" s="1138"/>
      <c r="X326" s="2074"/>
      <c r="Y326" s="1953"/>
      <c r="Z326" s="254"/>
      <c r="AE326" s="2461"/>
      <c r="AF326" s="68"/>
    </row>
    <row r="327" spans="1:32" ht="75.5" x14ac:dyDescent="0.35">
      <c r="A327" s="789">
        <v>158</v>
      </c>
      <c r="B327" s="515">
        <v>11468</v>
      </c>
      <c r="C327" s="515" t="s">
        <v>2436</v>
      </c>
      <c r="D327" s="2469" t="s">
        <v>6345</v>
      </c>
      <c r="E327" s="512" t="s">
        <v>7403</v>
      </c>
      <c r="F327" s="92" t="s">
        <v>664</v>
      </c>
      <c r="G327" s="92">
        <v>5</v>
      </c>
      <c r="H327" s="92">
        <v>6</v>
      </c>
      <c r="I327" s="2157">
        <f>J327+K327+L327</f>
        <v>2.5</v>
      </c>
      <c r="J327" s="2157">
        <f>M327+N327+O327+P327+Q327+R327</f>
        <v>2.5</v>
      </c>
      <c r="K327" s="797"/>
      <c r="L327" s="797"/>
      <c r="M327" s="797"/>
      <c r="N327" s="797"/>
      <c r="O327" s="797"/>
      <c r="P327" s="797"/>
      <c r="Q327" s="797"/>
      <c r="R327" s="2110">
        <v>2.5</v>
      </c>
      <c r="S327" s="1944"/>
      <c r="T327" s="1944"/>
      <c r="U327" s="1944"/>
      <c r="V327" s="1944"/>
      <c r="W327" s="1138"/>
      <c r="X327" s="2074"/>
      <c r="Y327" s="1953"/>
      <c r="Z327" s="254"/>
      <c r="AB327">
        <v>1</v>
      </c>
      <c r="AE327" s="2461"/>
      <c r="AF327" s="68"/>
    </row>
    <row r="328" spans="1:32" ht="15.5" x14ac:dyDescent="0.35">
      <c r="A328" s="1162">
        <v>159</v>
      </c>
      <c r="B328" s="515">
        <v>11469</v>
      </c>
      <c r="C328" s="515"/>
      <c r="D328" s="515" t="s">
        <v>2216</v>
      </c>
      <c r="E328" s="288" t="s">
        <v>7172</v>
      </c>
      <c r="F328" s="13"/>
      <c r="G328" s="13" t="s">
        <v>191</v>
      </c>
      <c r="H328" s="92" t="s">
        <v>191</v>
      </c>
      <c r="I328" s="297">
        <f>J328+K328+L328</f>
        <v>3.98</v>
      </c>
      <c r="J328" s="297">
        <f>SUM(M328:R328)</f>
        <v>3.5599999999999996</v>
      </c>
      <c r="K328" s="489"/>
      <c r="L328" s="489">
        <f>SUM(L329:L331)</f>
        <v>0.42000000000000037</v>
      </c>
      <c r="M328" s="1543"/>
      <c r="N328" s="489"/>
      <c r="O328" s="491"/>
      <c r="P328" s="489"/>
      <c r="Q328" s="932"/>
      <c r="R328" s="929">
        <f>SUM(R329:R331)</f>
        <v>3.5599999999999996</v>
      </c>
      <c r="S328" s="154">
        <v>1</v>
      </c>
      <c r="T328" s="154">
        <v>6.2</v>
      </c>
      <c r="U328" s="154"/>
      <c r="V328" s="154"/>
      <c r="W328" s="1881">
        <v>1</v>
      </c>
      <c r="X328" s="1962">
        <v>10</v>
      </c>
      <c r="Y328" s="164"/>
      <c r="Z328" s="250"/>
      <c r="AB328">
        <v>1</v>
      </c>
      <c r="AE328" s="2461"/>
      <c r="AF328" s="68"/>
    </row>
    <row r="329" spans="1:32" ht="15.5" x14ac:dyDescent="0.35">
      <c r="A329" s="1162"/>
      <c r="B329" s="515">
        <v>11469</v>
      </c>
      <c r="C329" s="515"/>
      <c r="D329" s="515"/>
      <c r="E329" s="838" t="s">
        <v>1979</v>
      </c>
      <c r="F329" s="13" t="s">
        <v>664</v>
      </c>
      <c r="G329" s="13">
        <v>5</v>
      </c>
      <c r="H329" s="92">
        <v>6</v>
      </c>
      <c r="I329" s="298"/>
      <c r="J329" s="298"/>
      <c r="K329" s="492"/>
      <c r="L329" s="492"/>
      <c r="M329" s="1544"/>
      <c r="N329" s="492"/>
      <c r="O329" s="494"/>
      <c r="P329" s="492"/>
      <c r="Q329" s="933"/>
      <c r="R329" s="1014">
        <v>2.2599999999999998</v>
      </c>
      <c r="S329" s="154"/>
      <c r="T329" s="154"/>
      <c r="U329" s="154"/>
      <c r="V329" s="154"/>
      <c r="W329" s="55"/>
      <c r="X329" s="1962"/>
      <c r="Y329" s="164"/>
      <c r="Z329" s="250"/>
      <c r="AE329" s="2461"/>
      <c r="AF329" s="68"/>
    </row>
    <row r="330" spans="1:32" ht="31" x14ac:dyDescent="0.35">
      <c r="A330" s="1162"/>
      <c r="B330" s="515">
        <v>11469</v>
      </c>
      <c r="C330" s="515"/>
      <c r="D330" s="515"/>
      <c r="E330" s="289" t="s">
        <v>1300</v>
      </c>
      <c r="F330" s="13" t="s">
        <v>664</v>
      </c>
      <c r="G330" s="13">
        <v>5</v>
      </c>
      <c r="H330" s="13" t="s">
        <v>191</v>
      </c>
      <c r="I330" s="298"/>
      <c r="J330" s="298"/>
      <c r="K330" s="492"/>
      <c r="L330" s="492">
        <f>2.68-2.26</f>
        <v>0.42000000000000037</v>
      </c>
      <c r="M330" s="1544"/>
      <c r="N330" s="492"/>
      <c r="O330" s="494"/>
      <c r="P330" s="492"/>
      <c r="Q330" s="933"/>
      <c r="R330" s="1014"/>
      <c r="S330" s="154"/>
      <c r="T330" s="154"/>
      <c r="U330" s="154"/>
      <c r="V330" s="154"/>
      <c r="W330" s="55"/>
      <c r="X330" s="1962"/>
      <c r="Y330" s="164"/>
      <c r="Z330" s="250"/>
      <c r="AE330" s="2461"/>
      <c r="AF330" s="68"/>
    </row>
    <row r="331" spans="1:32" ht="15.5" x14ac:dyDescent="0.35">
      <c r="A331" s="1162"/>
      <c r="B331" s="515">
        <v>11469</v>
      </c>
      <c r="C331" s="515"/>
      <c r="D331" s="515"/>
      <c r="E331" s="838" t="s">
        <v>1301</v>
      </c>
      <c r="F331" s="13" t="s">
        <v>664</v>
      </c>
      <c r="G331" s="13">
        <v>5</v>
      </c>
      <c r="H331" s="92">
        <v>6</v>
      </c>
      <c r="I331" s="298"/>
      <c r="J331" s="298"/>
      <c r="K331" s="492"/>
      <c r="L331" s="492"/>
      <c r="M331" s="1544"/>
      <c r="N331" s="492"/>
      <c r="O331" s="494"/>
      <c r="P331" s="492"/>
      <c r="Q331" s="933"/>
      <c r="R331" s="1014">
        <v>1.3</v>
      </c>
      <c r="S331" s="154"/>
      <c r="T331" s="154"/>
      <c r="U331" s="154"/>
      <c r="V331" s="154"/>
      <c r="W331" s="55"/>
      <c r="X331" s="1962"/>
      <c r="Y331" s="164"/>
      <c r="Z331" s="250"/>
      <c r="AE331" s="2461"/>
      <c r="AF331" s="68"/>
    </row>
    <row r="332" spans="1:32" ht="45" x14ac:dyDescent="0.35">
      <c r="A332" s="525">
        <v>160</v>
      </c>
      <c r="B332" s="693">
        <v>11431</v>
      </c>
      <c r="C332" s="693" t="s">
        <v>1656</v>
      </c>
      <c r="D332" s="2469" t="s">
        <v>6266</v>
      </c>
      <c r="E332" s="2187" t="s">
        <v>9022</v>
      </c>
      <c r="F332" s="92" t="s">
        <v>664</v>
      </c>
      <c r="G332" s="92">
        <v>5</v>
      </c>
      <c r="H332" s="92">
        <v>6</v>
      </c>
      <c r="I332" s="2157">
        <f>J332+K332+L332</f>
        <v>0.1</v>
      </c>
      <c r="J332" s="2157">
        <f>M332+N332+O332+P332+Q332+R332</f>
        <v>0.1</v>
      </c>
      <c r="K332" s="622"/>
      <c r="L332" s="622"/>
      <c r="M332" s="622"/>
      <c r="N332" s="622"/>
      <c r="O332" s="622"/>
      <c r="P332" s="622"/>
      <c r="Q332" s="622"/>
      <c r="R332" s="906">
        <v>0.1</v>
      </c>
      <c r="S332" s="106"/>
      <c r="T332" s="106"/>
      <c r="U332" s="106"/>
      <c r="V332" s="106"/>
      <c r="W332" s="105"/>
      <c r="X332" s="253"/>
      <c r="Y332" s="105"/>
      <c r="Z332" s="323"/>
      <c r="AB332">
        <v>1</v>
      </c>
      <c r="AE332" s="2461"/>
      <c r="AF332" s="68"/>
    </row>
    <row r="333" spans="1:32" ht="15.5" x14ac:dyDescent="0.35">
      <c r="A333" s="1162">
        <v>161</v>
      </c>
      <c r="B333" s="515">
        <v>11471</v>
      </c>
      <c r="C333" s="515"/>
      <c r="D333" s="515" t="s">
        <v>2071</v>
      </c>
      <c r="E333" s="288" t="s">
        <v>3393</v>
      </c>
      <c r="F333" s="13"/>
      <c r="G333" s="13" t="s">
        <v>191</v>
      </c>
      <c r="H333" s="13" t="s">
        <v>191</v>
      </c>
      <c r="I333" s="297">
        <f>J333+K333+L333</f>
        <v>3.3800000000000003</v>
      </c>
      <c r="J333" s="297">
        <f>SUM(M333:R333)</f>
        <v>3.3800000000000003</v>
      </c>
      <c r="K333" s="489"/>
      <c r="L333" s="489"/>
      <c r="M333" s="1543">
        <f>SUM(M334:M337)</f>
        <v>0.28999999999999998</v>
      </c>
      <c r="N333" s="489"/>
      <c r="O333" s="491"/>
      <c r="P333" s="489"/>
      <c r="Q333" s="932"/>
      <c r="R333" s="929">
        <f>SUM(R334:R337)</f>
        <v>3.0900000000000003</v>
      </c>
      <c r="S333" s="154"/>
      <c r="T333" s="154"/>
      <c r="U333" s="154"/>
      <c r="V333" s="154"/>
      <c r="W333" s="55">
        <v>8</v>
      </c>
      <c r="X333" s="1962">
        <v>85</v>
      </c>
      <c r="Y333" s="164"/>
      <c r="Z333" s="250"/>
      <c r="AB333">
        <v>1</v>
      </c>
      <c r="AE333" s="2461"/>
      <c r="AF333" s="68"/>
    </row>
    <row r="334" spans="1:32" ht="15.5" x14ac:dyDescent="0.35">
      <c r="A334" s="2158"/>
      <c r="B334" s="515">
        <v>11471</v>
      </c>
      <c r="C334" s="515"/>
      <c r="D334" s="788"/>
      <c r="E334" s="838" t="s">
        <v>1302</v>
      </c>
      <c r="F334" s="13" t="s">
        <v>827</v>
      </c>
      <c r="G334" s="13">
        <v>5</v>
      </c>
      <c r="H334" s="92">
        <v>6</v>
      </c>
      <c r="I334" s="298"/>
      <c r="J334" s="298"/>
      <c r="K334" s="492"/>
      <c r="L334" s="492"/>
      <c r="M334" s="1544"/>
      <c r="N334" s="492"/>
      <c r="O334" s="494"/>
      <c r="P334" s="492"/>
      <c r="Q334" s="933"/>
      <c r="R334" s="1014">
        <v>1.37</v>
      </c>
      <c r="S334" s="1944"/>
      <c r="T334" s="1944"/>
      <c r="U334" s="1944"/>
      <c r="V334" s="1944"/>
      <c r="W334" s="1138"/>
      <c r="X334" s="2074"/>
      <c r="Y334" s="1953"/>
      <c r="Z334" s="254"/>
      <c r="AE334" s="2461"/>
      <c r="AF334" s="68"/>
    </row>
    <row r="335" spans="1:32" ht="15.5" x14ac:dyDescent="0.35">
      <c r="A335" s="2158"/>
      <c r="B335" s="515">
        <v>11471</v>
      </c>
      <c r="C335" s="515"/>
      <c r="D335" s="788"/>
      <c r="E335" s="979" t="s">
        <v>1303</v>
      </c>
      <c r="F335" s="13">
        <v>5</v>
      </c>
      <c r="G335" s="13">
        <v>5</v>
      </c>
      <c r="H335" s="13">
        <v>10</v>
      </c>
      <c r="I335" s="298"/>
      <c r="J335" s="298"/>
      <c r="K335" s="492"/>
      <c r="L335" s="492"/>
      <c r="M335" s="1544">
        <v>0.28999999999999998</v>
      </c>
      <c r="N335" s="492"/>
      <c r="O335" s="494"/>
      <c r="P335" s="492"/>
      <c r="Q335" s="933"/>
      <c r="R335" s="1014"/>
      <c r="S335" s="1944"/>
      <c r="T335" s="1944"/>
      <c r="U335" s="1944"/>
      <c r="V335" s="1944"/>
      <c r="W335" s="1138"/>
      <c r="X335" s="2074"/>
      <c r="Y335" s="1953"/>
      <c r="Z335" s="254"/>
      <c r="AE335" s="2461"/>
      <c r="AF335" s="68"/>
    </row>
    <row r="336" spans="1:32" ht="15.5" x14ac:dyDescent="0.35">
      <c r="A336" s="2158"/>
      <c r="B336" s="515">
        <v>11471</v>
      </c>
      <c r="C336" s="515"/>
      <c r="D336" s="788"/>
      <c r="E336" s="838" t="s">
        <v>2413</v>
      </c>
      <c r="F336" s="13" t="s">
        <v>827</v>
      </c>
      <c r="G336" s="13">
        <v>5</v>
      </c>
      <c r="H336" s="92">
        <v>6</v>
      </c>
      <c r="I336" s="298"/>
      <c r="J336" s="298"/>
      <c r="K336" s="492"/>
      <c r="L336" s="492"/>
      <c r="M336" s="1544"/>
      <c r="N336" s="492"/>
      <c r="O336" s="494"/>
      <c r="P336" s="492"/>
      <c r="Q336" s="933"/>
      <c r="R336" s="1014">
        <f>2.9-1.66</f>
        <v>1.24</v>
      </c>
      <c r="S336" s="1944"/>
      <c r="T336" s="1944"/>
      <c r="U336" s="1944"/>
      <c r="V336" s="1944"/>
      <c r="W336" s="1138"/>
      <c r="X336" s="2074"/>
      <c r="Y336" s="1953"/>
      <c r="Z336" s="254"/>
      <c r="AC336" t="s">
        <v>2570</v>
      </c>
      <c r="AE336" s="2461"/>
      <c r="AF336" s="68"/>
    </row>
    <row r="337" spans="1:32" ht="15.5" x14ac:dyDescent="0.35">
      <c r="A337" s="2402"/>
      <c r="B337" s="515">
        <v>11471</v>
      </c>
      <c r="C337" s="515"/>
      <c r="D337" s="788"/>
      <c r="E337" s="838" t="s">
        <v>1226</v>
      </c>
      <c r="F337" s="13" t="s">
        <v>1490</v>
      </c>
      <c r="G337" s="13">
        <v>5</v>
      </c>
      <c r="H337" s="92">
        <v>6</v>
      </c>
      <c r="I337" s="298"/>
      <c r="J337" s="298"/>
      <c r="K337" s="492"/>
      <c r="L337" s="492"/>
      <c r="M337" s="1544"/>
      <c r="N337" s="492"/>
      <c r="O337" s="494"/>
      <c r="P337" s="492"/>
      <c r="Q337" s="933"/>
      <c r="R337" s="1014">
        <f>3.38-2.9</f>
        <v>0.48</v>
      </c>
      <c r="S337" s="1944"/>
      <c r="T337" s="1944"/>
      <c r="U337" s="1944"/>
      <c r="V337" s="1944"/>
      <c r="W337" s="1138"/>
      <c r="X337" s="2074"/>
      <c r="Y337" s="1953"/>
      <c r="Z337" s="344"/>
      <c r="AE337" s="2461"/>
      <c r="AF337" s="68"/>
    </row>
    <row r="338" spans="1:32" ht="45" x14ac:dyDescent="0.35">
      <c r="A338" s="441">
        <v>162</v>
      </c>
      <c r="B338" s="693">
        <v>11471</v>
      </c>
      <c r="C338" s="358" t="s">
        <v>1656</v>
      </c>
      <c r="D338" s="2469" t="s">
        <v>6346</v>
      </c>
      <c r="E338" s="2187" t="s">
        <v>9023</v>
      </c>
      <c r="F338" s="92" t="s">
        <v>664</v>
      </c>
      <c r="G338" s="2289">
        <v>5</v>
      </c>
      <c r="H338" s="92">
        <v>6</v>
      </c>
      <c r="I338" s="297">
        <f>J338+K338+L338</f>
        <v>0.6</v>
      </c>
      <c r="J338" s="297">
        <f>SUM(M338:R338)</f>
        <v>0.6</v>
      </c>
      <c r="K338" s="622"/>
      <c r="L338" s="622"/>
      <c r="M338" s="622"/>
      <c r="N338" s="622"/>
      <c r="O338" s="622"/>
      <c r="P338" s="622"/>
      <c r="Q338" s="622"/>
      <c r="R338" s="906">
        <v>0.6</v>
      </c>
      <c r="S338" s="106"/>
      <c r="T338" s="106"/>
      <c r="U338" s="106"/>
      <c r="V338" s="106"/>
      <c r="W338" s="105"/>
      <c r="X338" s="253"/>
      <c r="Y338" s="105"/>
      <c r="Z338" s="323"/>
      <c r="AB338">
        <v>1</v>
      </c>
      <c r="AE338" s="2461"/>
      <c r="AF338" s="68"/>
    </row>
    <row r="339" spans="1:32" ht="15.5" x14ac:dyDescent="0.35">
      <c r="A339" s="1162">
        <v>163</v>
      </c>
      <c r="B339" s="515">
        <v>11472</v>
      </c>
      <c r="C339" s="515"/>
      <c r="D339" s="515" t="s">
        <v>916</v>
      </c>
      <c r="E339" s="511" t="s">
        <v>1304</v>
      </c>
      <c r="F339" s="13"/>
      <c r="G339" s="13" t="s">
        <v>191</v>
      </c>
      <c r="H339" s="13" t="s">
        <v>191</v>
      </c>
      <c r="I339" s="297">
        <f>J339+K339+L339</f>
        <v>5.3</v>
      </c>
      <c r="J339" s="297">
        <f>SUM(M339:R339)</f>
        <v>5.3</v>
      </c>
      <c r="K339" s="489"/>
      <c r="L339" s="489"/>
      <c r="M339" s="1543"/>
      <c r="N339" s="489"/>
      <c r="O339" s="491"/>
      <c r="P339" s="489"/>
      <c r="Q339" s="932">
        <f>SUM(Q340:Q342)</f>
        <v>1.9</v>
      </c>
      <c r="R339" s="925">
        <f>SUM(R340:R342)</f>
        <v>3.4</v>
      </c>
      <c r="S339" s="154"/>
      <c r="T339" s="154"/>
      <c r="U339" s="154"/>
      <c r="V339" s="154"/>
      <c r="W339" s="1881">
        <v>6</v>
      </c>
      <c r="X339" s="1962">
        <v>73.699996948242188</v>
      </c>
      <c r="Y339" s="164"/>
      <c r="Z339" s="250"/>
      <c r="AB339">
        <v>1</v>
      </c>
      <c r="AE339" s="2461"/>
      <c r="AF339" s="68"/>
    </row>
    <row r="340" spans="1:32" ht="15.5" x14ac:dyDescent="0.35">
      <c r="A340" s="2158"/>
      <c r="B340" s="515">
        <v>11472</v>
      </c>
      <c r="C340" s="515"/>
      <c r="D340" s="788"/>
      <c r="E340" s="837" t="s">
        <v>430</v>
      </c>
      <c r="F340" s="13">
        <v>5</v>
      </c>
      <c r="G340" s="13">
        <v>5</v>
      </c>
      <c r="H340" s="13">
        <v>6</v>
      </c>
      <c r="I340" s="298"/>
      <c r="J340" s="298"/>
      <c r="K340" s="492"/>
      <c r="L340" s="492"/>
      <c r="M340" s="1544"/>
      <c r="N340" s="492"/>
      <c r="O340" s="494"/>
      <c r="P340" s="492"/>
      <c r="Q340" s="933">
        <v>1.9</v>
      </c>
      <c r="R340" s="1014"/>
      <c r="S340" s="1944"/>
      <c r="T340" s="1944"/>
      <c r="U340" s="1944"/>
      <c r="V340" s="1944"/>
      <c r="W340" s="1138"/>
      <c r="X340" s="2074"/>
      <c r="Y340" s="1953"/>
      <c r="Z340" s="254"/>
      <c r="AE340" s="2461"/>
      <c r="AF340" s="68"/>
    </row>
    <row r="341" spans="1:32" ht="15.5" x14ac:dyDescent="0.35">
      <c r="A341" s="2158"/>
      <c r="B341" s="515"/>
      <c r="C341" s="515"/>
      <c r="D341" s="788"/>
      <c r="E341" s="838" t="s">
        <v>2012</v>
      </c>
      <c r="F341" s="13" t="s">
        <v>827</v>
      </c>
      <c r="G341" s="13">
        <v>5</v>
      </c>
      <c r="H341" s="92">
        <v>6</v>
      </c>
      <c r="I341" s="298"/>
      <c r="J341" s="298"/>
      <c r="K341" s="492"/>
      <c r="L341" s="492"/>
      <c r="M341" s="1544"/>
      <c r="N341" s="492"/>
      <c r="O341" s="494"/>
      <c r="P341" s="492"/>
      <c r="Q341" s="933"/>
      <c r="R341" s="1014">
        <f>4.465-1.9</f>
        <v>2.5649999999999999</v>
      </c>
      <c r="S341" s="1944"/>
      <c r="T341" s="1944"/>
      <c r="U341" s="1944"/>
      <c r="V341" s="1944"/>
      <c r="W341" s="1138"/>
      <c r="X341" s="2074"/>
      <c r="Y341" s="1953"/>
      <c r="Z341" s="254"/>
      <c r="AE341" s="2461"/>
      <c r="AF341" s="68"/>
    </row>
    <row r="342" spans="1:32" ht="15.5" x14ac:dyDescent="0.35">
      <c r="A342" s="2158"/>
      <c r="B342" s="515">
        <v>11472</v>
      </c>
      <c r="C342" s="515"/>
      <c r="D342" s="788"/>
      <c r="E342" s="838" t="s">
        <v>2013</v>
      </c>
      <c r="F342" s="13" t="s">
        <v>1490</v>
      </c>
      <c r="G342" s="13">
        <v>5</v>
      </c>
      <c r="H342" s="92">
        <v>6</v>
      </c>
      <c r="I342" s="298"/>
      <c r="J342" s="298"/>
      <c r="K342" s="492"/>
      <c r="L342" s="492"/>
      <c r="M342" s="1544"/>
      <c r="N342" s="492"/>
      <c r="O342" s="494"/>
      <c r="P342" s="492"/>
      <c r="Q342" s="933"/>
      <c r="R342" s="1014">
        <f>5.3-4.465</f>
        <v>0.83499999999999996</v>
      </c>
      <c r="S342" s="1944"/>
      <c r="T342" s="1944"/>
      <c r="U342" s="1944"/>
      <c r="V342" s="1944"/>
      <c r="W342" s="1138"/>
      <c r="X342" s="2074"/>
      <c r="Y342" s="1953"/>
      <c r="Z342" s="254"/>
      <c r="AC342" t="s">
        <v>2570</v>
      </c>
      <c r="AE342" s="2461"/>
      <c r="AF342" s="68"/>
    </row>
    <row r="343" spans="1:32" ht="30" x14ac:dyDescent="0.35">
      <c r="A343" s="693">
        <v>164</v>
      </c>
      <c r="B343" s="693">
        <v>11472</v>
      </c>
      <c r="C343" s="693" t="s">
        <v>1656</v>
      </c>
      <c r="D343" s="2469" t="s">
        <v>6347</v>
      </c>
      <c r="E343" s="2187" t="s">
        <v>9024</v>
      </c>
      <c r="F343" s="92" t="s">
        <v>664</v>
      </c>
      <c r="G343" s="92">
        <v>5</v>
      </c>
      <c r="H343" s="92">
        <v>6</v>
      </c>
      <c r="I343" s="2157">
        <f>J343+K343+L343</f>
        <v>0.88</v>
      </c>
      <c r="J343" s="2157">
        <f>M343+N343+O343+P343+Q343+R343</f>
        <v>0.88</v>
      </c>
      <c r="K343" s="622"/>
      <c r="L343" s="622"/>
      <c r="M343" s="622"/>
      <c r="N343" s="622"/>
      <c r="O343" s="622"/>
      <c r="P343" s="622"/>
      <c r="Q343" s="622"/>
      <c r="R343" s="906">
        <v>0.88</v>
      </c>
      <c r="S343" s="106"/>
      <c r="T343" s="106"/>
      <c r="U343" s="106"/>
      <c r="V343" s="106"/>
      <c r="W343" s="105"/>
      <c r="X343" s="253"/>
      <c r="Y343" s="105"/>
      <c r="Z343" s="105"/>
      <c r="AB343">
        <v>1</v>
      </c>
      <c r="AE343" s="2461"/>
      <c r="AF343" s="68"/>
    </row>
    <row r="344" spans="1:32" ht="30.5" x14ac:dyDescent="0.35">
      <c r="A344" s="693"/>
      <c r="B344" s="693"/>
      <c r="C344" s="693"/>
      <c r="D344" s="693"/>
      <c r="E344" s="1582" t="s">
        <v>10270</v>
      </c>
      <c r="F344" s="92"/>
      <c r="G344" s="92"/>
      <c r="H344" s="92"/>
      <c r="I344" s="2157"/>
      <c r="J344" s="2157"/>
      <c r="K344" s="622"/>
      <c r="L344" s="622"/>
      <c r="M344" s="622"/>
      <c r="N344" s="622"/>
      <c r="O344" s="622"/>
      <c r="P344" s="622"/>
      <c r="Q344" s="622"/>
      <c r="R344" s="906"/>
      <c r="S344" s="106"/>
      <c r="T344" s="106"/>
      <c r="U344" s="106"/>
      <c r="V344" s="106"/>
      <c r="W344" s="105"/>
      <c r="X344" s="253"/>
      <c r="Y344" s="105"/>
      <c r="Z344" s="105"/>
      <c r="AE344" s="2461"/>
      <c r="AF344" s="68"/>
    </row>
    <row r="345" spans="1:32" ht="45.5" x14ac:dyDescent="0.35">
      <c r="A345" s="789">
        <v>165</v>
      </c>
      <c r="B345" s="997">
        <v>11442</v>
      </c>
      <c r="C345" s="515" t="s">
        <v>1655</v>
      </c>
      <c r="D345" s="2469" t="s">
        <v>6348</v>
      </c>
      <c r="E345" s="288" t="s">
        <v>10269</v>
      </c>
      <c r="F345" s="14" t="s">
        <v>664</v>
      </c>
      <c r="G345" s="14">
        <v>5</v>
      </c>
      <c r="H345" s="92">
        <v>6</v>
      </c>
      <c r="I345" s="297">
        <v>0.95</v>
      </c>
      <c r="J345" s="297">
        <v>0.95</v>
      </c>
      <c r="K345" s="297"/>
      <c r="L345" s="297"/>
      <c r="M345" s="1541"/>
      <c r="N345" s="297"/>
      <c r="O345" s="302"/>
      <c r="P345" s="297"/>
      <c r="Q345" s="932"/>
      <c r="R345" s="925">
        <v>0.95</v>
      </c>
      <c r="S345" s="154"/>
      <c r="T345" s="154"/>
      <c r="U345" s="154"/>
      <c r="V345" s="154"/>
      <c r="W345" s="154"/>
      <c r="X345" s="260"/>
      <c r="Y345" s="164"/>
      <c r="Z345" s="309"/>
      <c r="AB345">
        <v>1</v>
      </c>
      <c r="AE345" s="2461"/>
      <c r="AF345" s="68"/>
    </row>
    <row r="346" spans="1:32" ht="30.5" x14ac:dyDescent="0.35">
      <c r="A346" s="2158"/>
      <c r="B346" s="515" t="s">
        <v>982</v>
      </c>
      <c r="C346" s="515"/>
      <c r="D346" s="788"/>
      <c r="E346" s="1582" t="s">
        <v>1457</v>
      </c>
      <c r="F346" s="13"/>
      <c r="G346" s="13"/>
      <c r="H346" s="13"/>
      <c r="I346" s="298"/>
      <c r="J346" s="298"/>
      <c r="K346" s="492"/>
      <c r="L346" s="492"/>
      <c r="M346" s="1544"/>
      <c r="N346" s="492"/>
      <c r="O346" s="494"/>
      <c r="P346" s="492"/>
      <c r="Q346" s="933"/>
      <c r="R346" s="1014"/>
      <c r="S346" s="1944"/>
      <c r="T346" s="1944"/>
      <c r="U346" s="1944"/>
      <c r="V346" s="1944"/>
      <c r="W346" s="1138"/>
      <c r="X346" s="2074"/>
      <c r="Y346" s="1953"/>
      <c r="Z346" s="254"/>
      <c r="AE346" s="2461"/>
      <c r="AF346" s="68"/>
    </row>
    <row r="347" spans="1:32" ht="30.5" x14ac:dyDescent="0.35">
      <c r="A347" s="515">
        <v>166</v>
      </c>
      <c r="B347" s="515" t="s">
        <v>982</v>
      </c>
      <c r="C347" s="515"/>
      <c r="D347" s="2469" t="s">
        <v>6349</v>
      </c>
      <c r="E347" s="288" t="s">
        <v>10271</v>
      </c>
      <c r="F347" s="14">
        <v>4</v>
      </c>
      <c r="G347" s="14">
        <v>5</v>
      </c>
      <c r="H347" s="13">
        <v>6</v>
      </c>
      <c r="I347" s="297">
        <f>J347+K347+L347</f>
        <v>1.9</v>
      </c>
      <c r="J347" s="297">
        <f>SUM(M347:R347)</f>
        <v>1.9</v>
      </c>
      <c r="K347" s="297"/>
      <c r="L347" s="297"/>
      <c r="M347" s="1541"/>
      <c r="N347" s="486">
        <v>1.9</v>
      </c>
      <c r="O347" s="302"/>
      <c r="P347" s="297"/>
      <c r="Q347" s="932"/>
      <c r="R347" s="925"/>
      <c r="S347" s="154"/>
      <c r="T347" s="154"/>
      <c r="U347" s="154"/>
      <c r="V347" s="154"/>
      <c r="W347" s="1881">
        <v>5</v>
      </c>
      <c r="X347" s="1962">
        <v>75</v>
      </c>
      <c r="Y347" s="164">
        <v>1</v>
      </c>
      <c r="Z347" s="250">
        <v>10</v>
      </c>
      <c r="AB347">
        <v>1</v>
      </c>
      <c r="AE347" s="2461"/>
      <c r="AF347" s="68"/>
    </row>
    <row r="348" spans="1:32" ht="30.5" x14ac:dyDescent="0.35">
      <c r="A348" s="1162">
        <v>167</v>
      </c>
      <c r="B348" s="1162" t="s">
        <v>982</v>
      </c>
      <c r="C348" s="1162"/>
      <c r="D348" s="2469" t="s">
        <v>6350</v>
      </c>
      <c r="E348" s="288" t="s">
        <v>8020</v>
      </c>
      <c r="F348" s="13"/>
      <c r="G348" s="13" t="s">
        <v>191</v>
      </c>
      <c r="H348" s="13" t="s">
        <v>191</v>
      </c>
      <c r="I348" s="297">
        <f>J348+K348+L348</f>
        <v>1.6</v>
      </c>
      <c r="J348" s="297">
        <f>SUM(M348:R348)</f>
        <v>1.6</v>
      </c>
      <c r="K348" s="489"/>
      <c r="L348" s="489"/>
      <c r="M348" s="1543"/>
      <c r="N348" s="489"/>
      <c r="O348" s="491"/>
      <c r="P348" s="489"/>
      <c r="Q348" s="932">
        <f>SUM(Q349:Q350)</f>
        <v>0.37</v>
      </c>
      <c r="R348" s="929">
        <f>SUM(R349:R350)</f>
        <v>1.23</v>
      </c>
      <c r="S348" s="154"/>
      <c r="T348" s="154"/>
      <c r="U348" s="154"/>
      <c r="V348" s="154"/>
      <c r="W348" s="1881">
        <v>4</v>
      </c>
      <c r="X348" s="1962">
        <v>43.400001525878906</v>
      </c>
      <c r="Y348" s="164">
        <v>2</v>
      </c>
      <c r="Z348" s="250">
        <v>20</v>
      </c>
      <c r="AB348">
        <v>1</v>
      </c>
      <c r="AE348" s="2461"/>
      <c r="AF348" s="68"/>
    </row>
    <row r="349" spans="1:32" ht="15.5" x14ac:dyDescent="0.35">
      <c r="A349" s="2158"/>
      <c r="B349" s="1162" t="s">
        <v>982</v>
      </c>
      <c r="C349" s="1162"/>
      <c r="D349" s="788"/>
      <c r="E349" s="289" t="s">
        <v>1346</v>
      </c>
      <c r="F349" s="13">
        <v>5</v>
      </c>
      <c r="G349" s="13">
        <v>5</v>
      </c>
      <c r="H349" s="13">
        <v>6</v>
      </c>
      <c r="I349" s="298"/>
      <c r="J349" s="298"/>
      <c r="K349" s="492"/>
      <c r="L349" s="492"/>
      <c r="M349" s="1544"/>
      <c r="N349" s="492"/>
      <c r="O349" s="494"/>
      <c r="P349" s="492"/>
      <c r="Q349" s="933">
        <v>0.37</v>
      </c>
      <c r="R349" s="1014"/>
      <c r="S349" s="1944"/>
      <c r="T349" s="1944"/>
      <c r="U349" s="1944"/>
      <c r="V349" s="1944"/>
      <c r="W349" s="1138"/>
      <c r="X349" s="2074"/>
      <c r="Y349" s="1953"/>
      <c r="Z349" s="254"/>
      <c r="AE349" s="2461"/>
      <c r="AF349" s="68"/>
    </row>
    <row r="350" spans="1:32" ht="15.5" x14ac:dyDescent="0.35">
      <c r="A350" s="2158"/>
      <c r="B350" s="1162" t="s">
        <v>982</v>
      </c>
      <c r="C350" s="1162"/>
      <c r="D350" s="788"/>
      <c r="E350" s="838" t="s">
        <v>855</v>
      </c>
      <c r="F350" s="13" t="s">
        <v>827</v>
      </c>
      <c r="G350" s="13">
        <v>5</v>
      </c>
      <c r="H350" s="92">
        <v>6</v>
      </c>
      <c r="I350" s="298"/>
      <c r="J350" s="298"/>
      <c r="K350" s="492"/>
      <c r="L350" s="492"/>
      <c r="M350" s="1544"/>
      <c r="N350" s="492"/>
      <c r="O350" s="494"/>
      <c r="P350" s="492"/>
      <c r="Q350" s="933"/>
      <c r="R350" s="1014">
        <v>1.23</v>
      </c>
      <c r="S350" s="1944"/>
      <c r="T350" s="1944"/>
      <c r="U350" s="1944"/>
      <c r="V350" s="1944"/>
      <c r="W350" s="1138"/>
      <c r="X350" s="2074"/>
      <c r="Y350" s="1953"/>
      <c r="Z350" s="254"/>
      <c r="AE350" s="2461"/>
      <c r="AF350" s="68"/>
    </row>
    <row r="351" spans="1:32" ht="45" x14ac:dyDescent="0.35">
      <c r="A351" s="693">
        <v>168</v>
      </c>
      <c r="B351" s="693" t="s">
        <v>982</v>
      </c>
      <c r="C351" s="693" t="s">
        <v>1656</v>
      </c>
      <c r="D351" s="2469" t="s">
        <v>6351</v>
      </c>
      <c r="E351" s="2187" t="s">
        <v>9025</v>
      </c>
      <c r="F351" s="92" t="s">
        <v>664</v>
      </c>
      <c r="G351" s="92">
        <v>5</v>
      </c>
      <c r="H351" s="92">
        <v>6</v>
      </c>
      <c r="I351" s="2157">
        <f t="shared" ref="I351:I359" si="17">J351+K351+L351</f>
        <v>0.57999999999999996</v>
      </c>
      <c r="J351" s="2157">
        <f>M351+N351+O351+P351+Q351+R351</f>
        <v>0.57999999999999996</v>
      </c>
      <c r="K351" s="622"/>
      <c r="L351" s="622"/>
      <c r="M351" s="622"/>
      <c r="N351" s="622"/>
      <c r="O351" s="622"/>
      <c r="P351" s="622"/>
      <c r="Q351" s="622"/>
      <c r="R351" s="906">
        <v>0.57999999999999996</v>
      </c>
      <c r="S351" s="106"/>
      <c r="T351" s="106"/>
      <c r="U351" s="106"/>
      <c r="V351" s="106"/>
      <c r="W351" s="105"/>
      <c r="X351" s="253"/>
      <c r="Y351" s="105"/>
      <c r="Z351" s="105"/>
      <c r="AB351">
        <v>1</v>
      </c>
      <c r="AE351" s="2461"/>
      <c r="AF351" s="68"/>
    </row>
    <row r="352" spans="1:32" ht="30.5" x14ac:dyDescent="0.35">
      <c r="A352" s="1162">
        <v>169</v>
      </c>
      <c r="B352" s="1162" t="s">
        <v>982</v>
      </c>
      <c r="C352" s="1162"/>
      <c r="D352" s="2469" t="s">
        <v>6352</v>
      </c>
      <c r="E352" s="511" t="s">
        <v>8021</v>
      </c>
      <c r="F352" s="13"/>
      <c r="G352" s="13" t="s">
        <v>191</v>
      </c>
      <c r="H352" s="92" t="s">
        <v>191</v>
      </c>
      <c r="I352" s="297">
        <f t="shared" si="17"/>
        <v>1.02</v>
      </c>
      <c r="J352" s="297">
        <f>SUM(M352:R352)</f>
        <v>1.02</v>
      </c>
      <c r="K352" s="489"/>
      <c r="L352" s="489"/>
      <c r="M352" s="1543"/>
      <c r="N352" s="489"/>
      <c r="O352" s="491"/>
      <c r="P352" s="489"/>
      <c r="Q352" s="932"/>
      <c r="R352" s="929">
        <f>SUM(R353:R354)</f>
        <v>1.02</v>
      </c>
      <c r="S352" s="154"/>
      <c r="T352" s="154"/>
      <c r="U352" s="154"/>
      <c r="V352" s="154"/>
      <c r="W352" s="55"/>
      <c r="X352" s="1962"/>
      <c r="Y352" s="164"/>
      <c r="Z352" s="250"/>
      <c r="AB352">
        <v>1</v>
      </c>
      <c r="AE352" s="2461"/>
      <c r="AF352" s="68"/>
    </row>
    <row r="353" spans="1:32" ht="15.5" x14ac:dyDescent="0.35">
      <c r="A353" s="1162"/>
      <c r="B353" s="1162"/>
      <c r="C353" s="1162"/>
      <c r="D353" s="515"/>
      <c r="E353" s="838" t="s">
        <v>365</v>
      </c>
      <c r="F353" s="13" t="s">
        <v>827</v>
      </c>
      <c r="G353" s="13">
        <v>5</v>
      </c>
      <c r="H353" s="92">
        <v>6</v>
      </c>
      <c r="I353" s="297"/>
      <c r="J353" s="297"/>
      <c r="K353" s="489"/>
      <c r="L353" s="489"/>
      <c r="M353" s="1543"/>
      <c r="N353" s="489"/>
      <c r="O353" s="491"/>
      <c r="P353" s="489"/>
      <c r="Q353" s="932"/>
      <c r="R353" s="2209">
        <v>0.6</v>
      </c>
      <c r="S353" s="154"/>
      <c r="T353" s="154"/>
      <c r="U353" s="154"/>
      <c r="V353" s="154"/>
      <c r="W353" s="55"/>
      <c r="X353" s="1962"/>
      <c r="Y353" s="164"/>
      <c r="Z353" s="250"/>
      <c r="AC353" t="s">
        <v>2570</v>
      </c>
      <c r="AE353" s="2461"/>
      <c r="AF353" s="68"/>
    </row>
    <row r="354" spans="1:32" ht="15.5" x14ac:dyDescent="0.35">
      <c r="A354" s="1162"/>
      <c r="B354" s="1162"/>
      <c r="C354" s="1162"/>
      <c r="D354" s="515"/>
      <c r="E354" s="838" t="s">
        <v>1802</v>
      </c>
      <c r="F354" s="13" t="s">
        <v>1490</v>
      </c>
      <c r="G354" s="13">
        <v>5</v>
      </c>
      <c r="H354" s="92">
        <v>6</v>
      </c>
      <c r="I354" s="297"/>
      <c r="J354" s="297"/>
      <c r="K354" s="489"/>
      <c r="L354" s="489"/>
      <c r="M354" s="1543"/>
      <c r="N354" s="489"/>
      <c r="O354" s="491"/>
      <c r="P354" s="489"/>
      <c r="Q354" s="932"/>
      <c r="R354" s="2209">
        <f>1.02-0.6</f>
        <v>0.42000000000000004</v>
      </c>
      <c r="S354" s="154"/>
      <c r="T354" s="154"/>
      <c r="U354" s="154"/>
      <c r="V354" s="154"/>
      <c r="W354" s="55"/>
      <c r="X354" s="1962"/>
      <c r="Y354" s="164"/>
      <c r="Z354" s="250"/>
      <c r="AE354" s="2461"/>
      <c r="AF354" s="68"/>
    </row>
    <row r="355" spans="1:32" ht="30.5" x14ac:dyDescent="0.35">
      <c r="A355" s="1162">
        <v>170</v>
      </c>
      <c r="B355" s="1162" t="s">
        <v>982</v>
      </c>
      <c r="C355" s="1162"/>
      <c r="D355" s="2469" t="s">
        <v>6353</v>
      </c>
      <c r="E355" s="511" t="s">
        <v>8022</v>
      </c>
      <c r="F355" s="13" t="s">
        <v>664</v>
      </c>
      <c r="G355" s="13">
        <v>5</v>
      </c>
      <c r="H355" s="92">
        <v>6</v>
      </c>
      <c r="I355" s="297">
        <f t="shared" si="17"/>
        <v>1.95</v>
      </c>
      <c r="J355" s="297">
        <f>SUM(M355:R355)</f>
        <v>1.95</v>
      </c>
      <c r="K355" s="489"/>
      <c r="L355" s="489"/>
      <c r="M355" s="1543"/>
      <c r="N355" s="489"/>
      <c r="O355" s="491"/>
      <c r="P355" s="489"/>
      <c r="Q355" s="932"/>
      <c r="R355" s="929">
        <v>1.95</v>
      </c>
      <c r="S355" s="154"/>
      <c r="T355" s="154"/>
      <c r="U355" s="154"/>
      <c r="V355" s="154"/>
      <c r="W355" s="1881">
        <v>3</v>
      </c>
      <c r="X355" s="1962">
        <v>25.7</v>
      </c>
      <c r="Y355" s="164"/>
      <c r="Z355" s="250"/>
      <c r="AB355">
        <v>1</v>
      </c>
      <c r="AE355" s="2461"/>
      <c r="AF355" s="68"/>
    </row>
    <row r="356" spans="1:32" ht="30.5" x14ac:dyDescent="0.35">
      <c r="A356" s="693">
        <v>171</v>
      </c>
      <c r="B356" s="515" t="s">
        <v>982</v>
      </c>
      <c r="C356" s="515"/>
      <c r="D356" s="2469" t="s">
        <v>6354</v>
      </c>
      <c r="E356" s="511" t="s">
        <v>8023</v>
      </c>
      <c r="F356" s="13">
        <v>5</v>
      </c>
      <c r="G356" s="13">
        <v>4</v>
      </c>
      <c r="H356" s="13">
        <v>6</v>
      </c>
      <c r="I356" s="297">
        <f t="shared" si="17"/>
        <v>1.8</v>
      </c>
      <c r="J356" s="297">
        <f>SUM(M356:R356)</f>
        <v>1.8</v>
      </c>
      <c r="K356" s="297"/>
      <c r="L356" s="297"/>
      <c r="M356" s="1541"/>
      <c r="N356" s="297"/>
      <c r="O356" s="302"/>
      <c r="P356" s="297"/>
      <c r="Q356" s="932">
        <v>1.8</v>
      </c>
      <c r="R356" s="925"/>
      <c r="S356" s="154"/>
      <c r="T356" s="154"/>
      <c r="U356" s="154"/>
      <c r="V356" s="154"/>
      <c r="W356" s="1881">
        <v>7</v>
      </c>
      <c r="X356" s="1962">
        <v>85.4</v>
      </c>
      <c r="Y356" s="164">
        <v>3</v>
      </c>
      <c r="Z356" s="250">
        <v>31.200000762939453</v>
      </c>
      <c r="AB356">
        <v>1</v>
      </c>
      <c r="AE356" s="2461"/>
      <c r="AF356" s="68"/>
    </row>
    <row r="357" spans="1:32" ht="45" x14ac:dyDescent="0.35">
      <c r="A357" s="1162">
        <v>172</v>
      </c>
      <c r="B357" s="693" t="s">
        <v>982</v>
      </c>
      <c r="C357" s="693" t="s">
        <v>1656</v>
      </c>
      <c r="D357" s="2469" t="s">
        <v>6355</v>
      </c>
      <c r="E357" s="2187" t="s">
        <v>9026</v>
      </c>
      <c r="F357" s="92" t="s">
        <v>664</v>
      </c>
      <c r="G357" s="92">
        <v>5</v>
      </c>
      <c r="H357" s="92">
        <v>6</v>
      </c>
      <c r="I357" s="2157">
        <f t="shared" si="17"/>
        <v>0.92</v>
      </c>
      <c r="J357" s="2157">
        <f>M357+N357+O357+P357+Q357+R357</f>
        <v>0.92</v>
      </c>
      <c r="K357" s="622"/>
      <c r="L357" s="622"/>
      <c r="M357" s="622"/>
      <c r="N357" s="622"/>
      <c r="O357" s="622"/>
      <c r="P357" s="622"/>
      <c r="Q357" s="622"/>
      <c r="R357" s="906">
        <v>0.92</v>
      </c>
      <c r="S357" s="106"/>
      <c r="T357" s="106"/>
      <c r="U357" s="106"/>
      <c r="V357" s="106"/>
      <c r="W357" s="105"/>
      <c r="X357" s="253"/>
      <c r="Y357" s="105"/>
      <c r="Z357" s="105"/>
      <c r="AB357">
        <v>1</v>
      </c>
      <c r="AE357" s="2461"/>
      <c r="AF357" s="68"/>
    </row>
    <row r="358" spans="1:32" ht="45.5" x14ac:dyDescent="0.35">
      <c r="A358" s="693">
        <v>173</v>
      </c>
      <c r="B358" s="515" t="s">
        <v>982</v>
      </c>
      <c r="C358" s="515"/>
      <c r="D358" s="2469" t="s">
        <v>6356</v>
      </c>
      <c r="E358" s="288" t="s">
        <v>10272</v>
      </c>
      <c r="F358" s="13">
        <v>5</v>
      </c>
      <c r="G358" s="13">
        <v>4</v>
      </c>
      <c r="H358" s="13">
        <v>6</v>
      </c>
      <c r="I358" s="297">
        <f t="shared" si="17"/>
        <v>1.67</v>
      </c>
      <c r="J358" s="297">
        <f>SUM(M358:R358)</f>
        <v>1.67</v>
      </c>
      <c r="K358" s="297"/>
      <c r="L358" s="297"/>
      <c r="M358" s="1541"/>
      <c r="N358" s="297">
        <v>1.67</v>
      </c>
      <c r="O358" s="302"/>
      <c r="P358" s="297"/>
      <c r="Q358" s="932"/>
      <c r="R358" s="925"/>
      <c r="S358" s="154"/>
      <c r="T358" s="154"/>
      <c r="U358" s="154"/>
      <c r="V358" s="154"/>
      <c r="W358" s="1881">
        <v>3</v>
      </c>
      <c r="X358" s="1962">
        <v>46</v>
      </c>
      <c r="Y358" s="164">
        <v>1</v>
      </c>
      <c r="Z358" s="250">
        <v>15</v>
      </c>
      <c r="AB358">
        <v>1</v>
      </c>
      <c r="AE358" s="2461"/>
      <c r="AF358" s="68"/>
    </row>
    <row r="359" spans="1:32" ht="30.5" x14ac:dyDescent="0.35">
      <c r="A359" s="1162">
        <v>174</v>
      </c>
      <c r="B359" s="515" t="s">
        <v>982</v>
      </c>
      <c r="C359" s="515"/>
      <c r="D359" s="2469" t="s">
        <v>6357</v>
      </c>
      <c r="E359" s="288" t="s">
        <v>8024</v>
      </c>
      <c r="F359" s="13"/>
      <c r="G359" s="13" t="s">
        <v>191</v>
      </c>
      <c r="H359" s="13" t="s">
        <v>191</v>
      </c>
      <c r="I359" s="297">
        <f t="shared" si="17"/>
        <v>7.5299999999999994</v>
      </c>
      <c r="J359" s="297">
        <f>SUM(M359:R359)</f>
        <v>7.5299999999999994</v>
      </c>
      <c r="K359" s="297"/>
      <c r="L359" s="297"/>
      <c r="M359" s="1541">
        <f>SUM(M360:M362)</f>
        <v>4.05</v>
      </c>
      <c r="N359" s="297">
        <f>SUM(N360:N362)</f>
        <v>0.3</v>
      </c>
      <c r="O359" s="302"/>
      <c r="P359" s="297"/>
      <c r="Q359" s="932">
        <f>SUM(Q360:Q362)</f>
        <v>3.18</v>
      </c>
      <c r="R359" s="925"/>
      <c r="S359" s="55">
        <v>1</v>
      </c>
      <c r="T359" s="1962">
        <v>18.700000762939453</v>
      </c>
      <c r="U359" s="154"/>
      <c r="V359" s="154"/>
      <c r="W359" s="1881">
        <v>17</v>
      </c>
      <c r="X359" s="1962">
        <v>241.1</v>
      </c>
      <c r="Y359" s="164">
        <v>6</v>
      </c>
      <c r="Z359" s="250">
        <v>67.400001525878906</v>
      </c>
      <c r="AB359">
        <v>1</v>
      </c>
      <c r="AE359" s="2461"/>
      <c r="AF359" s="68"/>
    </row>
    <row r="360" spans="1:32" ht="15.5" x14ac:dyDescent="0.35">
      <c r="A360" s="521"/>
      <c r="B360" s="515" t="s">
        <v>982</v>
      </c>
      <c r="C360" s="515"/>
      <c r="D360" s="521"/>
      <c r="E360" s="289" t="s">
        <v>880</v>
      </c>
      <c r="F360" s="13">
        <v>4</v>
      </c>
      <c r="G360" s="13">
        <v>4</v>
      </c>
      <c r="H360" s="13">
        <v>6</v>
      </c>
      <c r="I360" s="298"/>
      <c r="J360" s="298"/>
      <c r="K360" s="298"/>
      <c r="L360" s="298"/>
      <c r="M360" s="1542"/>
      <c r="N360" s="298">
        <v>0.3</v>
      </c>
      <c r="O360" s="299"/>
      <c r="P360" s="298"/>
      <c r="Q360" s="933"/>
      <c r="R360" s="927"/>
      <c r="S360" s="1138"/>
      <c r="T360" s="1138"/>
      <c r="U360" s="1944"/>
      <c r="V360" s="1944"/>
      <c r="W360" s="1138"/>
      <c r="X360" s="2074"/>
      <c r="Y360" s="1953"/>
      <c r="Z360" s="254"/>
      <c r="AE360" s="2461"/>
      <c r="AF360" s="68"/>
    </row>
    <row r="361" spans="1:32" ht="15.5" x14ac:dyDescent="0.35">
      <c r="A361" s="521"/>
      <c r="B361" s="515" t="s">
        <v>982</v>
      </c>
      <c r="C361" s="515"/>
      <c r="D361" s="521"/>
      <c r="E361" s="979" t="s">
        <v>3279</v>
      </c>
      <c r="F361" s="13">
        <v>4</v>
      </c>
      <c r="G361" s="13">
        <v>4</v>
      </c>
      <c r="H361" s="13">
        <v>10</v>
      </c>
      <c r="I361" s="298"/>
      <c r="J361" s="298"/>
      <c r="K361" s="298"/>
      <c r="L361" s="298"/>
      <c r="M361" s="1542">
        <v>4.05</v>
      </c>
      <c r="N361" s="298"/>
      <c r="O361" s="299"/>
      <c r="P361" s="298"/>
      <c r="Q361" s="933"/>
      <c r="R361" s="927"/>
      <c r="S361" s="1138"/>
      <c r="T361" s="1138"/>
      <c r="U361" s="1944"/>
      <c r="V361" s="1944"/>
      <c r="W361" s="1138"/>
      <c r="X361" s="2074"/>
      <c r="Y361" s="1953"/>
      <c r="Z361" s="254"/>
      <c r="AE361" s="2461"/>
      <c r="AF361" s="68"/>
    </row>
    <row r="362" spans="1:32" ht="15.5" x14ac:dyDescent="0.35">
      <c r="A362" s="521"/>
      <c r="B362" s="515" t="s">
        <v>982</v>
      </c>
      <c r="C362" s="515"/>
      <c r="D362" s="521"/>
      <c r="E362" s="837" t="s">
        <v>3024</v>
      </c>
      <c r="F362" s="13">
        <v>5</v>
      </c>
      <c r="G362" s="13">
        <v>4</v>
      </c>
      <c r="H362" s="13">
        <v>6</v>
      </c>
      <c r="I362" s="298"/>
      <c r="J362" s="298"/>
      <c r="K362" s="298"/>
      <c r="L362" s="298"/>
      <c r="M362" s="1542"/>
      <c r="N362" s="298"/>
      <c r="O362" s="299"/>
      <c r="P362" s="298"/>
      <c r="Q362" s="933">
        <v>3.18</v>
      </c>
      <c r="R362" s="927"/>
      <c r="S362" s="1138"/>
      <c r="T362" s="1138"/>
      <c r="U362" s="1944"/>
      <c r="V362" s="1944"/>
      <c r="W362" s="1138"/>
      <c r="X362" s="2074"/>
      <c r="Y362" s="1953"/>
      <c r="Z362" s="254"/>
      <c r="AE362" s="2461"/>
      <c r="AF362" s="68"/>
    </row>
    <row r="363" spans="1:32" ht="45.5" x14ac:dyDescent="0.35">
      <c r="A363" s="515">
        <v>175</v>
      </c>
      <c r="B363" s="515" t="s">
        <v>982</v>
      </c>
      <c r="C363" s="515"/>
      <c r="D363" s="2469" t="s">
        <v>6358</v>
      </c>
      <c r="E363" s="511" t="s">
        <v>11440</v>
      </c>
      <c r="F363" s="14" t="s">
        <v>827</v>
      </c>
      <c r="G363" s="14">
        <v>5</v>
      </c>
      <c r="H363" s="13">
        <v>6</v>
      </c>
      <c r="I363" s="297">
        <f>J363+K363+L363</f>
        <v>0.5</v>
      </c>
      <c r="J363" s="297">
        <f>SUM(M363:R363)</f>
        <v>0.5</v>
      </c>
      <c r="K363" s="297"/>
      <c r="L363" s="297"/>
      <c r="M363" s="1541"/>
      <c r="N363" s="297"/>
      <c r="O363" s="302"/>
      <c r="P363" s="297"/>
      <c r="Q363" s="932">
        <v>0.5</v>
      </c>
      <c r="R363" s="925"/>
      <c r="S363" s="154"/>
      <c r="T363" s="154"/>
      <c r="U363" s="154"/>
      <c r="V363" s="154"/>
      <c r="W363" s="154">
        <v>2</v>
      </c>
      <c r="X363" s="260">
        <v>25</v>
      </c>
      <c r="Y363" s="164">
        <v>1</v>
      </c>
      <c r="Z363" s="250">
        <v>10</v>
      </c>
      <c r="AB363">
        <v>1</v>
      </c>
      <c r="AE363" s="2461"/>
      <c r="AF363" s="68"/>
    </row>
    <row r="364" spans="1:32" ht="45.5" x14ac:dyDescent="0.35">
      <c r="A364" s="693">
        <v>176</v>
      </c>
      <c r="B364" s="1162" t="s">
        <v>982</v>
      </c>
      <c r="C364" s="1162"/>
      <c r="D364" s="2469" t="s">
        <v>6359</v>
      </c>
      <c r="E364" s="511" t="s">
        <v>8025</v>
      </c>
      <c r="F364" s="13" t="s">
        <v>827</v>
      </c>
      <c r="G364" s="13">
        <v>5</v>
      </c>
      <c r="H364" s="92">
        <v>6</v>
      </c>
      <c r="I364" s="297">
        <f>J364+K364+L364</f>
        <v>0.45</v>
      </c>
      <c r="J364" s="297">
        <f>SUM(M364:R364)</f>
        <v>0.45</v>
      </c>
      <c r="K364" s="489"/>
      <c r="L364" s="489"/>
      <c r="M364" s="1543"/>
      <c r="N364" s="489"/>
      <c r="O364" s="491"/>
      <c r="P364" s="489"/>
      <c r="Q364" s="932"/>
      <c r="R364" s="929">
        <v>0.45</v>
      </c>
      <c r="S364" s="154"/>
      <c r="T364" s="260"/>
      <c r="U364" s="154"/>
      <c r="V364" s="154"/>
      <c r="W364" s="2445">
        <v>0</v>
      </c>
      <c r="X364" s="2446">
        <v>0</v>
      </c>
      <c r="Y364" s="164"/>
      <c r="Z364" s="250"/>
      <c r="AB364">
        <v>1</v>
      </c>
      <c r="AE364" s="2461"/>
      <c r="AF364" s="68"/>
    </row>
    <row r="365" spans="1:32" ht="30.5" x14ac:dyDescent="0.35">
      <c r="A365" s="515">
        <v>177</v>
      </c>
      <c r="B365" s="515" t="s">
        <v>982</v>
      </c>
      <c r="C365" s="515"/>
      <c r="D365" s="2469" t="s">
        <v>6360</v>
      </c>
      <c r="E365" s="288" t="s">
        <v>7347</v>
      </c>
      <c r="F365" s="13"/>
      <c r="G365" s="13" t="s">
        <v>191</v>
      </c>
      <c r="H365" s="13" t="s">
        <v>191</v>
      </c>
      <c r="I365" s="297">
        <f>J365+K365+L365</f>
        <v>2.415</v>
      </c>
      <c r="J365" s="297">
        <f>SUM(M365:R365)</f>
        <v>2.415</v>
      </c>
      <c r="K365" s="297"/>
      <c r="L365" s="297"/>
      <c r="M365" s="1541"/>
      <c r="N365" s="297">
        <f>SUM(N366:N369)</f>
        <v>2.415</v>
      </c>
      <c r="O365" s="302"/>
      <c r="P365" s="297"/>
      <c r="Q365" s="932"/>
      <c r="R365" s="925"/>
      <c r="S365" s="154"/>
      <c r="T365" s="154"/>
      <c r="U365" s="154"/>
      <c r="V365" s="154"/>
      <c r="W365" s="1881">
        <v>6</v>
      </c>
      <c r="X365" s="1962">
        <v>49.1</v>
      </c>
      <c r="Y365" s="164">
        <v>3</v>
      </c>
      <c r="Z365" s="1962">
        <v>20</v>
      </c>
      <c r="AB365">
        <v>1</v>
      </c>
      <c r="AE365" s="2461"/>
      <c r="AF365" s="68"/>
    </row>
    <row r="366" spans="1:32" ht="46.5" x14ac:dyDescent="0.35">
      <c r="A366" s="515"/>
      <c r="B366" s="515" t="s">
        <v>982</v>
      </c>
      <c r="C366" s="515"/>
      <c r="D366" s="515"/>
      <c r="E366" s="291" t="s">
        <v>10012</v>
      </c>
      <c r="F366" s="13"/>
      <c r="G366" s="13" t="s">
        <v>191</v>
      </c>
      <c r="H366" s="13" t="s">
        <v>191</v>
      </c>
      <c r="I366" s="297"/>
      <c r="J366" s="297"/>
      <c r="K366" s="297" t="s">
        <v>1516</v>
      </c>
      <c r="L366" s="297"/>
      <c r="M366" s="1541"/>
      <c r="N366" s="297"/>
      <c r="O366" s="302"/>
      <c r="P366" s="297"/>
      <c r="Q366" s="932"/>
      <c r="R366" s="925"/>
      <c r="S366" s="154"/>
      <c r="T366" s="154"/>
      <c r="U366" s="154"/>
      <c r="V366" s="154"/>
      <c r="W366" s="55"/>
      <c r="X366" s="1962"/>
      <c r="Y366" s="164"/>
      <c r="Z366" s="250"/>
      <c r="AE366" s="2461"/>
      <c r="AF366" s="68"/>
    </row>
    <row r="367" spans="1:32" ht="15.5" x14ac:dyDescent="0.35">
      <c r="A367" s="515"/>
      <c r="B367" s="515" t="s">
        <v>982</v>
      </c>
      <c r="C367" s="515"/>
      <c r="D367" s="515"/>
      <c r="E367" s="289" t="s">
        <v>2192</v>
      </c>
      <c r="F367" s="13">
        <v>4</v>
      </c>
      <c r="G367" s="13">
        <v>4</v>
      </c>
      <c r="H367" s="13">
        <v>6</v>
      </c>
      <c r="I367" s="298"/>
      <c r="J367" s="298"/>
      <c r="K367" s="298"/>
      <c r="L367" s="298"/>
      <c r="M367" s="1541"/>
      <c r="N367" s="298">
        <v>1.647</v>
      </c>
      <c r="O367" s="302"/>
      <c r="P367" s="297"/>
      <c r="Q367" s="932"/>
      <c r="R367" s="925"/>
      <c r="S367" s="154"/>
      <c r="T367" s="154"/>
      <c r="U367" s="154"/>
      <c r="V367" s="154"/>
      <c r="W367" s="55"/>
      <c r="X367" s="1962"/>
      <c r="Y367" s="164"/>
      <c r="Z367" s="250"/>
      <c r="AE367" s="2461"/>
      <c r="AF367" s="68"/>
    </row>
    <row r="368" spans="1:32" ht="15.5" x14ac:dyDescent="0.35">
      <c r="A368" s="515"/>
      <c r="B368" s="515" t="s">
        <v>982</v>
      </c>
      <c r="C368" s="515"/>
      <c r="D368" s="515"/>
      <c r="E368" s="289" t="s">
        <v>2193</v>
      </c>
      <c r="F368" s="13">
        <v>5</v>
      </c>
      <c r="G368" s="13">
        <v>4</v>
      </c>
      <c r="H368" s="13">
        <v>6</v>
      </c>
      <c r="I368" s="297"/>
      <c r="J368" s="297"/>
      <c r="K368" s="297"/>
      <c r="L368" s="297"/>
      <c r="M368" s="1541"/>
      <c r="N368" s="298">
        <f>2.148-1.647</f>
        <v>0.50100000000000011</v>
      </c>
      <c r="O368" s="302"/>
      <c r="P368" s="297"/>
      <c r="Q368" s="932"/>
      <c r="R368" s="925"/>
      <c r="S368" s="154"/>
      <c r="T368" s="154"/>
      <c r="U368" s="154"/>
      <c r="V368" s="154"/>
      <c r="W368" s="55"/>
      <c r="X368" s="1962"/>
      <c r="Y368" s="164"/>
      <c r="Z368" s="250"/>
      <c r="AE368" s="2461"/>
      <c r="AF368" s="68"/>
    </row>
    <row r="369" spans="1:32" ht="15.5" x14ac:dyDescent="0.35">
      <c r="A369" s="515"/>
      <c r="B369" s="515" t="s">
        <v>982</v>
      </c>
      <c r="C369" s="515"/>
      <c r="D369" s="515"/>
      <c r="E369" s="289" t="s">
        <v>2194</v>
      </c>
      <c r="F369" s="13" t="s">
        <v>827</v>
      </c>
      <c r="G369" s="13">
        <v>4</v>
      </c>
      <c r="H369" s="13">
        <v>6</v>
      </c>
      <c r="I369" s="297"/>
      <c r="J369" s="297"/>
      <c r="K369" s="297"/>
      <c r="L369" s="297"/>
      <c r="M369" s="1541"/>
      <c r="N369" s="298">
        <f>2.415-2.148</f>
        <v>0.2669999999999999</v>
      </c>
      <c r="O369" s="302"/>
      <c r="P369" s="297"/>
      <c r="Q369" s="932"/>
      <c r="R369" s="925"/>
      <c r="S369" s="154"/>
      <c r="T369" s="154"/>
      <c r="U369" s="154"/>
      <c r="V369" s="154"/>
      <c r="W369" s="55"/>
      <c r="X369" s="1962"/>
      <c r="Y369" s="164"/>
      <c r="Z369" s="250"/>
      <c r="AE369" s="2461"/>
      <c r="AF369" s="68"/>
    </row>
    <row r="370" spans="1:32" ht="45.5" x14ac:dyDescent="0.35">
      <c r="A370" s="515">
        <v>178</v>
      </c>
      <c r="B370" s="515" t="s">
        <v>982</v>
      </c>
      <c r="C370" s="515" t="s">
        <v>1655</v>
      </c>
      <c r="D370" s="2469" t="s">
        <v>6361</v>
      </c>
      <c r="E370" s="511" t="s">
        <v>7348</v>
      </c>
      <c r="F370" s="1138"/>
      <c r="G370" s="1138" t="s">
        <v>191</v>
      </c>
      <c r="H370" s="1138" t="s">
        <v>191</v>
      </c>
      <c r="I370" s="2157">
        <f>J370+K370+L370</f>
        <v>0.18</v>
      </c>
      <c r="J370" s="2157">
        <f>M370+N370+O370+P370+Q370+R370</f>
        <v>0.13799999999999998</v>
      </c>
      <c r="K370" s="486"/>
      <c r="L370" s="486">
        <f>SUM(L371:L372)</f>
        <v>4.2000000000000003E-2</v>
      </c>
      <c r="M370" s="1541"/>
      <c r="N370" s="297"/>
      <c r="O370" s="302"/>
      <c r="P370" s="297"/>
      <c r="Q370" s="932">
        <f>SUM(Q371:Q372)</f>
        <v>0.13799999999999998</v>
      </c>
      <c r="R370" s="2706"/>
      <c r="S370" s="154"/>
      <c r="T370" s="154"/>
      <c r="U370" s="154"/>
      <c r="V370" s="154"/>
      <c r="W370" s="154"/>
      <c r="X370" s="260"/>
      <c r="Y370" s="164"/>
      <c r="Z370" s="250"/>
      <c r="AB370">
        <v>1</v>
      </c>
      <c r="AE370" s="2461"/>
      <c r="AF370" s="68"/>
    </row>
    <row r="371" spans="1:32" s="2851" customFormat="1" ht="31" x14ac:dyDescent="0.35">
      <c r="A371" s="515"/>
      <c r="B371" s="515"/>
      <c r="C371" s="515"/>
      <c r="D371" s="2469"/>
      <c r="E371" s="459" t="s">
        <v>11314</v>
      </c>
      <c r="F371" s="1944">
        <v>4</v>
      </c>
      <c r="G371" s="1944">
        <v>5</v>
      </c>
      <c r="H371" s="1138" t="s">
        <v>191</v>
      </c>
      <c r="I371" s="2116"/>
      <c r="J371" s="2116"/>
      <c r="K371" s="487"/>
      <c r="L371" s="487">
        <v>4.2000000000000003E-2</v>
      </c>
      <c r="M371" s="2702"/>
      <c r="N371" s="298"/>
      <c r="O371" s="299"/>
      <c r="P371" s="298"/>
      <c r="Q371" s="1836"/>
      <c r="R371" s="2706"/>
      <c r="S371" s="154"/>
      <c r="T371" s="154"/>
      <c r="U371" s="154"/>
      <c r="V371" s="154"/>
      <c r="W371" s="154"/>
      <c r="X371" s="260"/>
      <c r="Y371" s="164"/>
      <c r="Z371" s="250"/>
      <c r="AE371" s="2461"/>
      <c r="AF371" s="68"/>
    </row>
    <row r="372" spans="1:32" s="2851" customFormat="1" ht="15.5" x14ac:dyDescent="0.35">
      <c r="A372" s="515"/>
      <c r="B372" s="515"/>
      <c r="C372" s="515"/>
      <c r="D372" s="2469"/>
      <c r="E372" s="837" t="s">
        <v>11313</v>
      </c>
      <c r="F372" s="1944">
        <v>4</v>
      </c>
      <c r="G372" s="1944">
        <v>5</v>
      </c>
      <c r="H372" s="92">
        <v>6</v>
      </c>
      <c r="I372" s="2116"/>
      <c r="J372" s="2116"/>
      <c r="K372" s="298"/>
      <c r="L372" s="298"/>
      <c r="M372" s="2702"/>
      <c r="N372" s="298"/>
      <c r="O372" s="299"/>
      <c r="P372" s="298"/>
      <c r="Q372" s="1836">
        <f>0.18-0.042</f>
        <v>0.13799999999999998</v>
      </c>
      <c r="R372" s="2706"/>
      <c r="S372" s="154"/>
      <c r="T372" s="154"/>
      <c r="U372" s="154"/>
      <c r="V372" s="154"/>
      <c r="W372" s="154"/>
      <c r="X372" s="260"/>
      <c r="Y372" s="164"/>
      <c r="Z372" s="250"/>
      <c r="AE372" s="2461"/>
      <c r="AF372" s="68"/>
    </row>
    <row r="373" spans="1:32" ht="45.5" x14ac:dyDescent="0.35">
      <c r="A373" s="515">
        <v>179</v>
      </c>
      <c r="B373" s="515" t="s">
        <v>982</v>
      </c>
      <c r="C373" s="515" t="s">
        <v>1655</v>
      </c>
      <c r="D373" s="2469" t="s">
        <v>6362</v>
      </c>
      <c r="E373" s="288" t="s">
        <v>7349</v>
      </c>
      <c r="F373" s="14" t="s">
        <v>664</v>
      </c>
      <c r="G373" s="14">
        <v>5</v>
      </c>
      <c r="H373" s="92">
        <v>6</v>
      </c>
      <c r="I373" s="2157">
        <f>J373+K373+L373</f>
        <v>1.7</v>
      </c>
      <c r="J373" s="2157">
        <f>M373+N373+O373+P373+Q373+R373</f>
        <v>1.7</v>
      </c>
      <c r="K373" s="297"/>
      <c r="L373" s="297"/>
      <c r="M373" s="1541"/>
      <c r="N373" s="297"/>
      <c r="O373" s="302"/>
      <c r="P373" s="297"/>
      <c r="Q373" s="932"/>
      <c r="R373" s="925">
        <v>1.7</v>
      </c>
      <c r="S373" s="154"/>
      <c r="T373" s="154"/>
      <c r="U373" s="154"/>
      <c r="V373" s="154"/>
      <c r="W373" s="154"/>
      <c r="X373" s="260"/>
      <c r="Y373" s="164"/>
      <c r="Z373" s="250"/>
      <c r="AB373">
        <v>1</v>
      </c>
      <c r="AE373" s="2461"/>
      <c r="AF373" s="68"/>
    </row>
    <row r="374" spans="1:32" s="2698" customFormat="1" ht="60.5" x14ac:dyDescent="0.35">
      <c r="A374" s="515">
        <v>180</v>
      </c>
      <c r="B374" s="515" t="s">
        <v>982</v>
      </c>
      <c r="C374" s="515" t="s">
        <v>1655</v>
      </c>
      <c r="D374" s="2469" t="s">
        <v>10738</v>
      </c>
      <c r="E374" s="511" t="s">
        <v>11165</v>
      </c>
      <c r="F374" s="1138"/>
      <c r="G374" s="1138" t="s">
        <v>191</v>
      </c>
      <c r="H374" s="1138" t="s">
        <v>191</v>
      </c>
      <c r="I374" s="2157">
        <f>J374+K374+L374</f>
        <v>0.80200000000000005</v>
      </c>
      <c r="J374" s="2157">
        <f>M374+N374+O374+P374+Q374+R374</f>
        <v>0.79</v>
      </c>
      <c r="K374" s="486"/>
      <c r="L374" s="486">
        <f>SUM(L375:L377)</f>
        <v>1.2E-2</v>
      </c>
      <c r="M374" s="1541"/>
      <c r="N374" s="297">
        <f>SUM(N375:N377)</f>
        <v>0.79</v>
      </c>
      <c r="O374" s="302"/>
      <c r="P374" s="297"/>
      <c r="Q374" s="932"/>
      <c r="R374" s="925"/>
      <c r="S374" s="154"/>
      <c r="T374" s="154"/>
      <c r="U374" s="154"/>
      <c r="V374" s="154"/>
      <c r="W374" s="154"/>
      <c r="X374" s="260"/>
      <c r="Y374" s="164"/>
      <c r="Z374" s="250"/>
      <c r="AB374" s="2698">
        <v>1</v>
      </c>
      <c r="AE374" s="2461"/>
      <c r="AF374" s="68"/>
    </row>
    <row r="375" spans="1:32" s="2698" customFormat="1" ht="31" x14ac:dyDescent="0.35">
      <c r="A375" s="515"/>
      <c r="B375" s="515" t="s">
        <v>982</v>
      </c>
      <c r="C375" s="515"/>
      <c r="D375" s="2469"/>
      <c r="E375" s="1022" t="s">
        <v>11166</v>
      </c>
      <c r="F375" s="1944">
        <v>5</v>
      </c>
      <c r="G375" s="1944">
        <v>5</v>
      </c>
      <c r="H375" s="1138" t="s">
        <v>191</v>
      </c>
      <c r="I375" s="2116"/>
      <c r="J375" s="2116"/>
      <c r="K375" s="487"/>
      <c r="L375" s="487">
        <v>1.2E-2</v>
      </c>
      <c r="M375" s="2702"/>
      <c r="N375" s="298"/>
      <c r="O375" s="302"/>
      <c r="P375" s="297"/>
      <c r="Q375" s="932"/>
      <c r="R375" s="925"/>
      <c r="S375" s="154"/>
      <c r="T375" s="154"/>
      <c r="U375" s="154"/>
      <c r="V375" s="154"/>
      <c r="W375" s="154"/>
      <c r="X375" s="260"/>
      <c r="Y375" s="164"/>
      <c r="Z375" s="250"/>
      <c r="AE375" s="2461"/>
      <c r="AF375" s="68"/>
    </row>
    <row r="376" spans="1:32" s="2698" customFormat="1" ht="15.5" x14ac:dyDescent="0.35">
      <c r="A376" s="515"/>
      <c r="B376" s="515" t="s">
        <v>982</v>
      </c>
      <c r="C376" s="515"/>
      <c r="D376" s="2469"/>
      <c r="E376" s="459" t="s">
        <v>11140</v>
      </c>
      <c r="F376" s="1944">
        <v>5</v>
      </c>
      <c r="G376" s="1944">
        <v>5</v>
      </c>
      <c r="H376" s="92">
        <v>6</v>
      </c>
      <c r="I376" s="2116"/>
      <c r="J376" s="2116"/>
      <c r="K376" s="487"/>
      <c r="L376" s="487"/>
      <c r="M376" s="2702"/>
      <c r="N376" s="298">
        <f>0.442-0.012</f>
        <v>0.43</v>
      </c>
      <c r="O376" s="302"/>
      <c r="P376" s="297"/>
      <c r="Q376" s="932"/>
      <c r="R376" s="925"/>
      <c r="S376" s="154"/>
      <c r="T376" s="154"/>
      <c r="U376" s="154"/>
      <c r="V376" s="154"/>
      <c r="W376" s="154"/>
      <c r="X376" s="260"/>
      <c r="Y376" s="164"/>
      <c r="Z376" s="250"/>
      <c r="AE376" s="2461"/>
      <c r="AF376" s="68"/>
    </row>
    <row r="377" spans="1:32" s="2698" customFormat="1" ht="15.5" x14ac:dyDescent="0.35">
      <c r="A377" s="515"/>
      <c r="B377" s="515" t="s">
        <v>982</v>
      </c>
      <c r="C377" s="515"/>
      <c r="D377" s="2469"/>
      <c r="E377" s="459" t="s">
        <v>11141</v>
      </c>
      <c r="F377" s="1944" t="s">
        <v>1490</v>
      </c>
      <c r="G377" s="1944">
        <v>5</v>
      </c>
      <c r="H377" s="92">
        <v>6</v>
      </c>
      <c r="I377" s="2116"/>
      <c r="J377" s="2116"/>
      <c r="K377" s="487"/>
      <c r="L377" s="487"/>
      <c r="M377" s="2702"/>
      <c r="N377" s="298">
        <f>0.802-0.442</f>
        <v>0.36000000000000004</v>
      </c>
      <c r="O377" s="302"/>
      <c r="P377" s="297"/>
      <c r="Q377" s="932"/>
      <c r="R377" s="925"/>
      <c r="S377" s="154"/>
      <c r="T377" s="154"/>
      <c r="U377" s="154"/>
      <c r="V377" s="154"/>
      <c r="W377" s="154"/>
      <c r="X377" s="260"/>
      <c r="Y377" s="164"/>
      <c r="Z377" s="250"/>
      <c r="AE377" s="2461"/>
      <c r="AF377" s="68"/>
    </row>
    <row r="378" spans="1:32" ht="30.5" x14ac:dyDescent="0.35">
      <c r="A378" s="515"/>
      <c r="B378" s="1162" t="s">
        <v>2165</v>
      </c>
      <c r="C378" s="1162"/>
      <c r="D378" s="515"/>
      <c r="E378" s="1582" t="s">
        <v>3166</v>
      </c>
      <c r="F378" s="14"/>
      <c r="G378" s="14"/>
      <c r="H378" s="14"/>
      <c r="I378" s="297"/>
      <c r="J378" s="297"/>
      <c r="K378" s="297"/>
      <c r="L378" s="297"/>
      <c r="M378" s="1541"/>
      <c r="N378" s="297"/>
      <c r="O378" s="302"/>
      <c r="P378" s="297"/>
      <c r="Q378" s="932"/>
      <c r="R378" s="925"/>
      <c r="S378" s="154"/>
      <c r="T378" s="154"/>
      <c r="U378" s="154"/>
      <c r="V378" s="154"/>
      <c r="W378" s="154"/>
      <c r="X378" s="260"/>
      <c r="Y378" s="164"/>
      <c r="Z378" s="250"/>
      <c r="AE378" s="2461"/>
      <c r="AF378" s="68"/>
    </row>
    <row r="379" spans="1:32" ht="45.5" x14ac:dyDescent="0.35">
      <c r="A379" s="1162">
        <v>181</v>
      </c>
      <c r="B379" s="1162" t="s">
        <v>2165</v>
      </c>
      <c r="C379" s="1162"/>
      <c r="D379" s="2469" t="s">
        <v>6363</v>
      </c>
      <c r="E379" s="288" t="s">
        <v>8026</v>
      </c>
      <c r="F379" s="13" t="s">
        <v>827</v>
      </c>
      <c r="G379" s="13">
        <v>5</v>
      </c>
      <c r="H379" s="13">
        <v>6</v>
      </c>
      <c r="I379" s="297">
        <f t="shared" ref="I379:I384" si="18">J379+K379+L379</f>
        <v>1.1759999999999999</v>
      </c>
      <c r="J379" s="297">
        <f t="shared" ref="J379:J384" si="19">SUM(M379:R379)</f>
        <v>1.1759999999999999</v>
      </c>
      <c r="K379" s="489"/>
      <c r="L379" s="489"/>
      <c r="M379" s="1543"/>
      <c r="N379" s="489"/>
      <c r="O379" s="491"/>
      <c r="P379" s="489"/>
      <c r="Q379" s="932">
        <v>1.1759999999999999</v>
      </c>
      <c r="R379" s="929"/>
      <c r="S379" s="154"/>
      <c r="T379" s="154"/>
      <c r="U379" s="154"/>
      <c r="V379" s="154"/>
      <c r="W379" s="1881">
        <v>3</v>
      </c>
      <c r="X379" s="1962">
        <v>27.5</v>
      </c>
      <c r="Y379" s="164"/>
      <c r="Z379" s="250"/>
      <c r="AB379">
        <v>1</v>
      </c>
      <c r="AE379" s="2461"/>
      <c r="AF379" s="68"/>
    </row>
    <row r="380" spans="1:32" ht="45.5" x14ac:dyDescent="0.35">
      <c r="A380" s="1162">
        <v>182</v>
      </c>
      <c r="B380" s="1162" t="s">
        <v>2165</v>
      </c>
      <c r="C380" s="1162"/>
      <c r="D380" s="2469" t="s">
        <v>6364</v>
      </c>
      <c r="E380" s="288" t="s">
        <v>10273</v>
      </c>
      <c r="F380" s="13" t="s">
        <v>664</v>
      </c>
      <c r="G380" s="13">
        <v>5</v>
      </c>
      <c r="H380" s="92">
        <v>6</v>
      </c>
      <c r="I380" s="297">
        <f t="shared" si="18"/>
        <v>6.55</v>
      </c>
      <c r="J380" s="297">
        <f t="shared" si="19"/>
        <v>6.55</v>
      </c>
      <c r="K380" s="489"/>
      <c r="L380" s="489"/>
      <c r="M380" s="1543"/>
      <c r="N380" s="489"/>
      <c r="O380" s="491"/>
      <c r="P380" s="489"/>
      <c r="Q380" s="932"/>
      <c r="R380" s="929">
        <v>6.55</v>
      </c>
      <c r="S380" s="154">
        <v>1</v>
      </c>
      <c r="T380" s="260">
        <v>41</v>
      </c>
      <c r="U380" s="154"/>
      <c r="V380" s="154"/>
      <c r="W380" s="1881">
        <v>4</v>
      </c>
      <c r="X380" s="1962">
        <v>43.4</v>
      </c>
      <c r="Y380" s="164"/>
      <c r="Z380" s="250"/>
      <c r="AB380">
        <v>1</v>
      </c>
      <c r="AE380" s="2461"/>
      <c r="AF380" s="68"/>
    </row>
    <row r="381" spans="1:32" ht="60.5" x14ac:dyDescent="0.35">
      <c r="A381" s="1162">
        <v>183</v>
      </c>
      <c r="B381" s="515" t="s">
        <v>2165</v>
      </c>
      <c r="C381" s="358" t="s">
        <v>1656</v>
      </c>
      <c r="D381" s="2469" t="s">
        <v>6365</v>
      </c>
      <c r="E381" s="511" t="s">
        <v>10274</v>
      </c>
      <c r="F381" s="1138" t="s">
        <v>664</v>
      </c>
      <c r="G381" s="2289">
        <v>5</v>
      </c>
      <c r="H381" s="92">
        <v>6</v>
      </c>
      <c r="I381" s="297">
        <f t="shared" si="18"/>
        <v>0.2</v>
      </c>
      <c r="J381" s="297">
        <f t="shared" si="19"/>
        <v>0.2</v>
      </c>
      <c r="K381" s="298"/>
      <c r="L381" s="298"/>
      <c r="M381" s="1542"/>
      <c r="N381" s="298"/>
      <c r="O381" s="299"/>
      <c r="P381" s="298"/>
      <c r="Q381" s="933"/>
      <c r="R381" s="927">
        <v>0.2</v>
      </c>
      <c r="S381" s="1138"/>
      <c r="T381" s="1138"/>
      <c r="U381" s="1944"/>
      <c r="V381" s="1944"/>
      <c r="W381" s="1138"/>
      <c r="X381" s="2074"/>
      <c r="Y381" s="1953"/>
      <c r="Z381" s="509"/>
      <c r="AB381">
        <v>1</v>
      </c>
      <c r="AE381" s="2461"/>
      <c r="AF381" s="68"/>
    </row>
    <row r="382" spans="1:32" ht="60.5" x14ac:dyDescent="0.35">
      <c r="A382" s="1162">
        <v>184</v>
      </c>
      <c r="B382" s="515" t="s">
        <v>2165</v>
      </c>
      <c r="C382" s="358" t="s">
        <v>1656</v>
      </c>
      <c r="D382" s="2469" t="s">
        <v>6366</v>
      </c>
      <c r="E382" s="511" t="s">
        <v>10275</v>
      </c>
      <c r="F382" s="1138" t="s">
        <v>664</v>
      </c>
      <c r="G382" s="2289">
        <v>5</v>
      </c>
      <c r="H382" s="92">
        <v>6</v>
      </c>
      <c r="I382" s="297">
        <f t="shared" si="18"/>
        <v>0.4</v>
      </c>
      <c r="J382" s="297">
        <f t="shared" si="19"/>
        <v>0.4</v>
      </c>
      <c r="K382" s="298"/>
      <c r="L382" s="298"/>
      <c r="M382" s="1542"/>
      <c r="N382" s="298"/>
      <c r="O382" s="299"/>
      <c r="P382" s="298"/>
      <c r="Q382" s="933"/>
      <c r="R382" s="927">
        <v>0.4</v>
      </c>
      <c r="S382" s="1138"/>
      <c r="T382" s="1138"/>
      <c r="U382" s="1944"/>
      <c r="V382" s="1944"/>
      <c r="W382" s="1138"/>
      <c r="X382" s="2074"/>
      <c r="Y382" s="1953"/>
      <c r="Z382" s="509"/>
      <c r="AB382">
        <v>1</v>
      </c>
      <c r="AE382" s="2461"/>
      <c r="AF382" s="68"/>
    </row>
    <row r="383" spans="1:32" ht="45.5" x14ac:dyDescent="0.35">
      <c r="A383" s="1162">
        <v>185</v>
      </c>
      <c r="B383" s="515" t="s">
        <v>2165</v>
      </c>
      <c r="C383" s="515"/>
      <c r="D383" s="2469" t="s">
        <v>6367</v>
      </c>
      <c r="E383" s="288" t="s">
        <v>8027</v>
      </c>
      <c r="F383" s="13">
        <v>5</v>
      </c>
      <c r="G383" s="13">
        <v>4</v>
      </c>
      <c r="H383" s="13">
        <v>6</v>
      </c>
      <c r="I383" s="297">
        <f t="shared" si="18"/>
        <v>0.44</v>
      </c>
      <c r="J383" s="297">
        <f t="shared" si="19"/>
        <v>0.44</v>
      </c>
      <c r="K383" s="297"/>
      <c r="L383" s="297"/>
      <c r="M383" s="1541"/>
      <c r="N383" s="297">
        <v>0.44</v>
      </c>
      <c r="O383" s="302"/>
      <c r="P383" s="297"/>
      <c r="Q383" s="932"/>
      <c r="R383" s="925"/>
      <c r="S383" s="154"/>
      <c r="T383" s="154"/>
      <c r="U383" s="154"/>
      <c r="V383" s="154"/>
      <c r="W383" s="1881">
        <v>3</v>
      </c>
      <c r="X383" s="1962">
        <v>30.8</v>
      </c>
      <c r="Y383" s="164">
        <v>2</v>
      </c>
      <c r="Z383" s="250">
        <v>20.399999618530273</v>
      </c>
      <c r="AB383">
        <v>1</v>
      </c>
      <c r="AE383" s="2461"/>
      <c r="AF383" s="68"/>
    </row>
    <row r="384" spans="1:32" ht="45.5" x14ac:dyDescent="0.35">
      <c r="A384" s="1162">
        <v>186</v>
      </c>
      <c r="B384" s="515" t="s">
        <v>2165</v>
      </c>
      <c r="C384" s="515"/>
      <c r="D384" s="2469" t="s">
        <v>6368</v>
      </c>
      <c r="E384" s="288" t="s">
        <v>8028</v>
      </c>
      <c r="F384" s="13"/>
      <c r="G384" s="13" t="s">
        <v>191</v>
      </c>
      <c r="H384" s="13" t="s">
        <v>191</v>
      </c>
      <c r="I384" s="297">
        <f t="shared" si="18"/>
        <v>5.24</v>
      </c>
      <c r="J384" s="297">
        <f t="shared" si="19"/>
        <v>5.24</v>
      </c>
      <c r="K384" s="297"/>
      <c r="L384" s="297"/>
      <c r="M384" s="1541"/>
      <c r="N384" s="297"/>
      <c r="O384" s="302"/>
      <c r="P384" s="297"/>
      <c r="Q384" s="932">
        <f>SUM(Q385:Q386)</f>
        <v>5</v>
      </c>
      <c r="R384" s="925">
        <f>SUM(R385:R386)</f>
        <v>0.24</v>
      </c>
      <c r="S384" s="154"/>
      <c r="T384" s="154"/>
      <c r="U384" s="154"/>
      <c r="V384" s="154"/>
      <c r="W384" s="1881">
        <v>20</v>
      </c>
      <c r="X384" s="1962">
        <v>247.89999389648438</v>
      </c>
      <c r="Y384" s="164">
        <v>8</v>
      </c>
      <c r="Z384" s="250">
        <v>96.099998474121094</v>
      </c>
      <c r="AB384">
        <v>1</v>
      </c>
      <c r="AE384" s="2461"/>
      <c r="AF384" s="68"/>
    </row>
    <row r="385" spans="1:32" ht="15.5" x14ac:dyDescent="0.35">
      <c r="A385" s="788"/>
      <c r="B385" s="515" t="s">
        <v>2165</v>
      </c>
      <c r="C385" s="515"/>
      <c r="D385" s="788"/>
      <c r="E385" s="837" t="s">
        <v>1785</v>
      </c>
      <c r="F385" s="13">
        <v>5</v>
      </c>
      <c r="G385" s="13">
        <v>4</v>
      </c>
      <c r="H385" s="13">
        <v>6</v>
      </c>
      <c r="I385" s="298"/>
      <c r="J385" s="298"/>
      <c r="K385" s="298"/>
      <c r="L385" s="298"/>
      <c r="M385" s="1542"/>
      <c r="N385" s="298"/>
      <c r="O385" s="299"/>
      <c r="P385" s="298"/>
      <c r="Q385" s="933">
        <v>5</v>
      </c>
      <c r="R385" s="927"/>
      <c r="S385" s="1944"/>
      <c r="T385" s="1944"/>
      <c r="U385" s="1944"/>
      <c r="V385" s="1944"/>
      <c r="W385" s="1138"/>
      <c r="X385" s="2074"/>
      <c r="Y385" s="1953"/>
      <c r="Z385" s="254"/>
      <c r="AE385" s="2461"/>
      <c r="AF385" s="68"/>
    </row>
    <row r="386" spans="1:32" ht="15.5" x14ac:dyDescent="0.35">
      <c r="A386" s="788"/>
      <c r="B386" s="515" t="s">
        <v>2165</v>
      </c>
      <c r="C386" s="515"/>
      <c r="D386" s="788"/>
      <c r="E386" s="838" t="s">
        <v>1417</v>
      </c>
      <c r="F386" s="13" t="s">
        <v>827</v>
      </c>
      <c r="G386" s="13">
        <v>4</v>
      </c>
      <c r="H386" s="92">
        <v>6</v>
      </c>
      <c r="I386" s="298"/>
      <c r="J386" s="298"/>
      <c r="K386" s="298"/>
      <c r="L386" s="298"/>
      <c r="M386" s="1542"/>
      <c r="N386" s="298"/>
      <c r="O386" s="299"/>
      <c r="P386" s="298"/>
      <c r="Q386" s="933"/>
      <c r="R386" s="927">
        <v>0.24</v>
      </c>
      <c r="S386" s="1944"/>
      <c r="T386" s="1944"/>
      <c r="U386" s="1944"/>
      <c r="V386" s="1944"/>
      <c r="W386" s="1138"/>
      <c r="X386" s="2074"/>
      <c r="Y386" s="1953"/>
      <c r="Z386" s="254"/>
      <c r="AE386" s="2461"/>
      <c r="AF386" s="68"/>
    </row>
    <row r="387" spans="1:32" ht="60" x14ac:dyDescent="0.35">
      <c r="A387" s="693">
        <v>187</v>
      </c>
      <c r="B387" s="693" t="s">
        <v>2165</v>
      </c>
      <c r="C387" s="693" t="s">
        <v>1656</v>
      </c>
      <c r="D387" s="2469" t="s">
        <v>6369</v>
      </c>
      <c r="E387" s="2187" t="s">
        <v>9027</v>
      </c>
      <c r="F387" s="92" t="s">
        <v>664</v>
      </c>
      <c r="G387" s="92">
        <v>5</v>
      </c>
      <c r="H387" s="92">
        <v>6</v>
      </c>
      <c r="I387" s="2157">
        <f>J387+K387+L387</f>
        <v>1</v>
      </c>
      <c r="J387" s="2157">
        <f>M387+N387+O387+P387+Q387+R387</f>
        <v>1</v>
      </c>
      <c r="K387" s="622"/>
      <c r="L387" s="622"/>
      <c r="M387" s="622"/>
      <c r="N387" s="622"/>
      <c r="O387" s="622"/>
      <c r="P387" s="622"/>
      <c r="Q387" s="622"/>
      <c r="R387" s="906">
        <v>1</v>
      </c>
      <c r="S387" s="106"/>
      <c r="T387" s="106"/>
      <c r="U387" s="106"/>
      <c r="V387" s="106"/>
      <c r="W387" s="105"/>
      <c r="X387" s="253"/>
      <c r="Y387" s="105"/>
      <c r="Z387" s="105"/>
      <c r="AB387">
        <v>1</v>
      </c>
      <c r="AE387" s="2461"/>
      <c r="AF387" s="68"/>
    </row>
    <row r="388" spans="1:32" ht="60.5" x14ac:dyDescent="0.35">
      <c r="A388" s="515">
        <v>188</v>
      </c>
      <c r="B388" s="515" t="s">
        <v>2165</v>
      </c>
      <c r="C388" s="515"/>
      <c r="D388" s="2469" t="s">
        <v>6370</v>
      </c>
      <c r="E388" s="288" t="s">
        <v>11452</v>
      </c>
      <c r="F388" s="14"/>
      <c r="G388" s="14" t="s">
        <v>191</v>
      </c>
      <c r="H388" s="13" t="s">
        <v>191</v>
      </c>
      <c r="I388" s="297">
        <f>J388+K388+L388</f>
        <v>0.79600000000000004</v>
      </c>
      <c r="J388" s="297">
        <f>SUM(M388:R388)</f>
        <v>0.79600000000000004</v>
      </c>
      <c r="K388" s="297"/>
      <c r="L388" s="297"/>
      <c r="M388" s="1541"/>
      <c r="N388" s="2865">
        <f>SUM(N390:N390)</f>
        <v>0.79600000000000004</v>
      </c>
      <c r="O388" s="302"/>
      <c r="P388" s="297"/>
      <c r="Q388" s="2706">
        <f>SUM(Q390:Q390)</f>
        <v>0</v>
      </c>
      <c r="R388" s="925"/>
      <c r="S388" s="154"/>
      <c r="T388" s="154"/>
      <c r="U388" s="154"/>
      <c r="V388" s="154"/>
      <c r="W388" s="1881">
        <v>8</v>
      </c>
      <c r="X388" s="1962">
        <v>105.09999847412109</v>
      </c>
      <c r="Y388" s="164">
        <v>6</v>
      </c>
      <c r="Z388" s="250">
        <v>75.900001525878906</v>
      </c>
      <c r="AB388">
        <v>1</v>
      </c>
      <c r="AE388" s="2461"/>
      <c r="AF388" s="68"/>
    </row>
    <row r="389" spans="1:32" ht="46.5" x14ac:dyDescent="0.35">
      <c r="A389" s="515"/>
      <c r="B389" s="515" t="s">
        <v>2165</v>
      </c>
      <c r="C389" s="515"/>
      <c r="D389" s="515"/>
      <c r="E389" s="291" t="s">
        <v>11453</v>
      </c>
      <c r="F389" s="14"/>
      <c r="G389" s="14" t="s">
        <v>191</v>
      </c>
      <c r="H389" s="14" t="s">
        <v>191</v>
      </c>
      <c r="I389" s="297"/>
      <c r="J389" s="297"/>
      <c r="K389" s="297" t="s">
        <v>1516</v>
      </c>
      <c r="L389" s="297"/>
      <c r="M389" s="1541"/>
      <c r="N389" s="297"/>
      <c r="O389" s="302"/>
      <c r="P389" s="297"/>
      <c r="Q389" s="932"/>
      <c r="R389" s="925"/>
      <c r="S389" s="154"/>
      <c r="T389" s="154"/>
      <c r="U389" s="154"/>
      <c r="V389" s="154"/>
      <c r="W389" s="154"/>
      <c r="X389" s="260"/>
      <c r="Y389" s="164"/>
      <c r="Z389" s="250"/>
      <c r="AE389" s="2461"/>
      <c r="AF389" s="68"/>
    </row>
    <row r="390" spans="1:32" ht="15.5" x14ac:dyDescent="0.35">
      <c r="A390" s="515"/>
      <c r="B390" s="515" t="s">
        <v>2165</v>
      </c>
      <c r="C390" s="515"/>
      <c r="D390" s="515"/>
      <c r="E390" s="291" t="s">
        <v>11454</v>
      </c>
      <c r="F390" s="14">
        <v>4</v>
      </c>
      <c r="G390" s="14">
        <v>5</v>
      </c>
      <c r="H390" s="13">
        <v>6</v>
      </c>
      <c r="I390" s="303"/>
      <c r="J390" s="303"/>
      <c r="K390" s="303"/>
      <c r="L390" s="303"/>
      <c r="M390" s="1542"/>
      <c r="N390" s="2610">
        <v>0.79600000000000004</v>
      </c>
      <c r="O390" s="620"/>
      <c r="P390" s="303"/>
      <c r="Q390" s="933"/>
      <c r="R390" s="927"/>
      <c r="S390" s="154"/>
      <c r="T390" s="154"/>
      <c r="U390" s="154"/>
      <c r="V390" s="154"/>
      <c r="W390" s="154"/>
      <c r="X390" s="260"/>
      <c r="Y390" s="164"/>
      <c r="Z390" s="250"/>
      <c r="AE390" s="2461"/>
      <c r="AF390" s="68"/>
    </row>
    <row r="391" spans="1:32" ht="45" x14ac:dyDescent="0.35">
      <c r="A391" s="693">
        <v>189</v>
      </c>
      <c r="B391" s="693" t="s">
        <v>2165</v>
      </c>
      <c r="C391" s="693" t="s">
        <v>1656</v>
      </c>
      <c r="D391" s="2469" t="s">
        <v>6371</v>
      </c>
      <c r="E391" s="2187" t="s">
        <v>9028</v>
      </c>
      <c r="F391" s="92" t="s">
        <v>664</v>
      </c>
      <c r="G391" s="92">
        <v>5</v>
      </c>
      <c r="H391" s="92">
        <v>6</v>
      </c>
      <c r="I391" s="2157">
        <f>J391+K391+L391</f>
        <v>2.16</v>
      </c>
      <c r="J391" s="2157">
        <f>M391+N391+O391+P391+Q391+R391</f>
        <v>2.16</v>
      </c>
      <c r="K391" s="622"/>
      <c r="L391" s="622"/>
      <c r="M391" s="622"/>
      <c r="N391" s="622"/>
      <c r="O391" s="622"/>
      <c r="P391" s="622"/>
      <c r="Q391" s="622"/>
      <c r="R391" s="906">
        <v>2.16</v>
      </c>
      <c r="S391" s="106"/>
      <c r="T391" s="106"/>
      <c r="U391" s="106"/>
      <c r="V391" s="106"/>
      <c r="W391" s="105">
        <v>2</v>
      </c>
      <c r="X391" s="253">
        <v>17.5</v>
      </c>
      <c r="Y391" s="105"/>
      <c r="Z391" s="105"/>
      <c r="AB391">
        <v>1</v>
      </c>
      <c r="AE391" s="2461"/>
      <c r="AF391" s="68"/>
    </row>
    <row r="392" spans="1:32" ht="45" x14ac:dyDescent="0.35">
      <c r="A392" s="693">
        <v>190</v>
      </c>
      <c r="B392" s="693" t="s">
        <v>2165</v>
      </c>
      <c r="C392" s="693" t="s">
        <v>1656</v>
      </c>
      <c r="D392" s="2469" t="s">
        <v>6372</v>
      </c>
      <c r="E392" s="2187" t="s">
        <v>9029</v>
      </c>
      <c r="F392" s="92" t="s">
        <v>664</v>
      </c>
      <c r="G392" s="92">
        <v>5</v>
      </c>
      <c r="H392" s="92">
        <v>6</v>
      </c>
      <c r="I392" s="2157">
        <f>J392+K392+L392</f>
        <v>0.42</v>
      </c>
      <c r="J392" s="2157">
        <f>M392+N392+O392+P392+Q392+R392</f>
        <v>0.42</v>
      </c>
      <c r="K392" s="622"/>
      <c r="L392" s="622"/>
      <c r="M392" s="622"/>
      <c r="N392" s="622"/>
      <c r="O392" s="622"/>
      <c r="P392" s="622"/>
      <c r="Q392" s="622"/>
      <c r="R392" s="906">
        <v>0.42</v>
      </c>
      <c r="S392" s="106"/>
      <c r="T392" s="106"/>
      <c r="U392" s="106"/>
      <c r="V392" s="106"/>
      <c r="W392" s="105"/>
      <c r="X392" s="253"/>
      <c r="Y392" s="105"/>
      <c r="Z392" s="105"/>
      <c r="AB392">
        <v>1</v>
      </c>
      <c r="AE392" s="2461"/>
      <c r="AF392" s="68"/>
    </row>
    <row r="393" spans="1:32" ht="45" x14ac:dyDescent="0.35">
      <c r="A393" s="693">
        <v>191</v>
      </c>
      <c r="B393" s="693" t="s">
        <v>2165</v>
      </c>
      <c r="C393" s="693" t="s">
        <v>1656</v>
      </c>
      <c r="D393" s="2469" t="s">
        <v>6373</v>
      </c>
      <c r="E393" s="2187" t="s">
        <v>9030</v>
      </c>
      <c r="F393" s="92" t="s">
        <v>664</v>
      </c>
      <c r="G393" s="92">
        <v>5</v>
      </c>
      <c r="H393" s="92">
        <v>6</v>
      </c>
      <c r="I393" s="2157">
        <f>J393+K393+L393</f>
        <v>1.97</v>
      </c>
      <c r="J393" s="2157">
        <f>M393+N393+O393+P393+Q393+R393</f>
        <v>1.97</v>
      </c>
      <c r="K393" s="622"/>
      <c r="L393" s="622"/>
      <c r="M393" s="622"/>
      <c r="N393" s="622"/>
      <c r="O393" s="622"/>
      <c r="P393" s="622"/>
      <c r="Q393" s="622"/>
      <c r="R393" s="906">
        <v>1.97</v>
      </c>
      <c r="S393" s="106"/>
      <c r="T393" s="106"/>
      <c r="U393" s="106"/>
      <c r="V393" s="106"/>
      <c r="W393" s="105"/>
      <c r="X393" s="253"/>
      <c r="Y393" s="105"/>
      <c r="Z393" s="105"/>
      <c r="AB393">
        <v>1</v>
      </c>
      <c r="AE393" s="2461"/>
      <c r="AF393" s="68"/>
    </row>
    <row r="394" spans="1:32" ht="45" x14ac:dyDescent="0.35">
      <c r="A394" s="693">
        <v>192</v>
      </c>
      <c r="B394" s="693" t="s">
        <v>2165</v>
      </c>
      <c r="C394" s="693" t="s">
        <v>1656</v>
      </c>
      <c r="D394" s="2469" t="s">
        <v>6374</v>
      </c>
      <c r="E394" s="1845" t="s">
        <v>9300</v>
      </c>
      <c r="F394" s="92" t="s">
        <v>664</v>
      </c>
      <c r="G394" s="92">
        <v>5</v>
      </c>
      <c r="H394" s="92">
        <v>6</v>
      </c>
      <c r="I394" s="2157">
        <f>J394+K394+L394</f>
        <v>0.11</v>
      </c>
      <c r="J394" s="2157">
        <f>M394+N394+O394+P394+Q394+R394</f>
        <v>0.11</v>
      </c>
      <c r="K394" s="622"/>
      <c r="L394" s="622"/>
      <c r="M394" s="622"/>
      <c r="N394" s="622"/>
      <c r="O394" s="622"/>
      <c r="P394" s="622"/>
      <c r="Q394" s="622"/>
      <c r="R394" s="906">
        <v>0.11</v>
      </c>
      <c r="S394" s="106"/>
      <c r="T394" s="106"/>
      <c r="U394" s="106"/>
      <c r="V394" s="106"/>
      <c r="W394" s="105"/>
      <c r="X394" s="253"/>
      <c r="Y394" s="105"/>
      <c r="Z394" s="105"/>
      <c r="AB394">
        <v>1</v>
      </c>
      <c r="AE394" s="2461"/>
      <c r="AF394" s="68"/>
    </row>
    <row r="395" spans="1:32" ht="33" customHeight="1" x14ac:dyDescent="0.35">
      <c r="A395" s="1162"/>
      <c r="B395" s="515" t="s">
        <v>1823</v>
      </c>
      <c r="C395" s="515"/>
      <c r="D395" s="515"/>
      <c r="E395" s="1582" t="s">
        <v>849</v>
      </c>
      <c r="F395" s="13"/>
      <c r="G395" s="13"/>
      <c r="H395" s="13"/>
      <c r="I395" s="297"/>
      <c r="J395" s="297"/>
      <c r="K395" s="489"/>
      <c r="L395" s="489"/>
      <c r="M395" s="1543"/>
      <c r="N395" s="489"/>
      <c r="O395" s="491"/>
      <c r="P395" s="489"/>
      <c r="Q395" s="932"/>
      <c r="R395" s="929"/>
      <c r="S395" s="154"/>
      <c r="T395" s="154"/>
      <c r="U395" s="154"/>
      <c r="V395" s="154"/>
      <c r="W395" s="55"/>
      <c r="X395" s="1962"/>
      <c r="Y395" s="164"/>
      <c r="Z395" s="250"/>
      <c r="AE395" s="2461"/>
      <c r="AF395" s="68"/>
    </row>
    <row r="396" spans="1:32" ht="30.5" x14ac:dyDescent="0.35">
      <c r="A396" s="515">
        <v>193</v>
      </c>
      <c r="B396" s="515" t="s">
        <v>1823</v>
      </c>
      <c r="C396" s="515"/>
      <c r="D396" s="2469" t="s">
        <v>6375</v>
      </c>
      <c r="E396" s="288" t="s">
        <v>8029</v>
      </c>
      <c r="F396" s="13">
        <v>5</v>
      </c>
      <c r="G396" s="13">
        <v>4</v>
      </c>
      <c r="H396" s="13">
        <v>6</v>
      </c>
      <c r="I396" s="297">
        <f t="shared" ref="I396:I401" si="20">J396+K396+L396</f>
        <v>1.88</v>
      </c>
      <c r="J396" s="297">
        <f>SUM(M396:R396)</f>
        <v>1.88</v>
      </c>
      <c r="K396" s="297"/>
      <c r="L396" s="297"/>
      <c r="M396" s="1541"/>
      <c r="N396" s="297">
        <v>1.88</v>
      </c>
      <c r="O396" s="302"/>
      <c r="P396" s="297"/>
      <c r="Q396" s="932"/>
      <c r="R396" s="925"/>
      <c r="S396" s="55">
        <v>1</v>
      </c>
      <c r="T396" s="55">
        <v>27.75</v>
      </c>
      <c r="U396" s="154"/>
      <c r="V396" s="154"/>
      <c r="W396" s="1881">
        <v>10</v>
      </c>
      <c r="X396" s="1962">
        <v>125.80000305175781</v>
      </c>
      <c r="Y396" s="164">
        <v>5</v>
      </c>
      <c r="Z396" s="250">
        <v>52.400001525878906</v>
      </c>
      <c r="AB396">
        <v>1</v>
      </c>
      <c r="AE396" s="2461"/>
      <c r="AF396" s="68"/>
    </row>
    <row r="397" spans="1:32" ht="45" x14ac:dyDescent="0.35">
      <c r="A397" s="693">
        <v>194</v>
      </c>
      <c r="B397" s="693" t="s">
        <v>1823</v>
      </c>
      <c r="C397" s="693" t="s">
        <v>1656</v>
      </c>
      <c r="D397" s="2469" t="s">
        <v>6376</v>
      </c>
      <c r="E397" s="2187" t="s">
        <v>9031</v>
      </c>
      <c r="F397" s="92" t="s">
        <v>664</v>
      </c>
      <c r="G397" s="92">
        <v>5</v>
      </c>
      <c r="H397" s="92">
        <v>6</v>
      </c>
      <c r="I397" s="2157">
        <f t="shared" si="20"/>
        <v>0.9</v>
      </c>
      <c r="J397" s="2157">
        <f>M397+N397+O397+P397+Q397+R397</f>
        <v>0.9</v>
      </c>
      <c r="K397" s="622"/>
      <c r="L397" s="622"/>
      <c r="M397" s="622"/>
      <c r="N397" s="622"/>
      <c r="O397" s="622"/>
      <c r="P397" s="622"/>
      <c r="Q397" s="622"/>
      <c r="R397" s="906">
        <v>0.9</v>
      </c>
      <c r="S397" s="106"/>
      <c r="T397" s="106"/>
      <c r="U397" s="106"/>
      <c r="V397" s="106"/>
      <c r="W397" s="105"/>
      <c r="X397" s="253"/>
      <c r="Y397" s="105"/>
      <c r="Z397" s="105"/>
      <c r="AB397">
        <v>1</v>
      </c>
      <c r="AE397" s="2461"/>
      <c r="AF397" s="68"/>
    </row>
    <row r="398" spans="1:32" ht="45" x14ac:dyDescent="0.35">
      <c r="A398" s="515">
        <v>195</v>
      </c>
      <c r="B398" s="693" t="s">
        <v>1823</v>
      </c>
      <c r="C398" s="693" t="s">
        <v>1656</v>
      </c>
      <c r="D398" s="2469" t="s">
        <v>6377</v>
      </c>
      <c r="E398" s="2187" t="s">
        <v>9032</v>
      </c>
      <c r="F398" s="92" t="s">
        <v>827</v>
      </c>
      <c r="G398" s="92">
        <v>5</v>
      </c>
      <c r="H398" s="13">
        <v>6</v>
      </c>
      <c r="I398" s="2157">
        <f t="shared" si="20"/>
        <v>0.45500000000000002</v>
      </c>
      <c r="J398" s="2157">
        <f>M398+N398+O398+P398+Q398+R398</f>
        <v>0.45500000000000002</v>
      </c>
      <c r="K398" s="622"/>
      <c r="L398" s="622"/>
      <c r="M398" s="622"/>
      <c r="N398" s="622"/>
      <c r="O398" s="622"/>
      <c r="P398" s="622"/>
      <c r="Q398" s="932">
        <v>0.45500000000000002</v>
      </c>
      <c r="R398" s="906"/>
      <c r="S398" s="106"/>
      <c r="T398" s="106"/>
      <c r="U398" s="106"/>
      <c r="V398" s="106"/>
      <c r="W398" s="105">
        <v>1</v>
      </c>
      <c r="X398" s="253">
        <v>15</v>
      </c>
      <c r="Y398" s="105"/>
      <c r="Z398" s="105"/>
      <c r="AB398">
        <v>1</v>
      </c>
      <c r="AE398" s="2461"/>
      <c r="AF398" s="68"/>
    </row>
    <row r="399" spans="1:32" ht="30.5" x14ac:dyDescent="0.35">
      <c r="A399" s="693">
        <v>196</v>
      </c>
      <c r="B399" s="515" t="s">
        <v>1823</v>
      </c>
      <c r="C399" s="515"/>
      <c r="D399" s="2469" t="s">
        <v>6378</v>
      </c>
      <c r="E399" s="511" t="s">
        <v>8030</v>
      </c>
      <c r="F399" s="14">
        <v>5</v>
      </c>
      <c r="G399" s="14">
        <v>4</v>
      </c>
      <c r="H399" s="13">
        <v>6</v>
      </c>
      <c r="I399" s="297">
        <f t="shared" si="20"/>
        <v>1.27</v>
      </c>
      <c r="J399" s="297">
        <f>SUM(M399:R399)</f>
        <v>1.27</v>
      </c>
      <c r="K399" s="297"/>
      <c r="L399" s="297"/>
      <c r="M399" s="1541"/>
      <c r="N399" s="297">
        <v>1.27</v>
      </c>
      <c r="O399" s="302"/>
      <c r="P399" s="297"/>
      <c r="Q399" s="932"/>
      <c r="R399" s="925"/>
      <c r="S399" s="154"/>
      <c r="T399" s="154"/>
      <c r="U399" s="154"/>
      <c r="V399" s="154"/>
      <c r="W399" s="1881">
        <v>5</v>
      </c>
      <c r="X399" s="1962">
        <v>75.5</v>
      </c>
      <c r="Y399" s="164">
        <v>2</v>
      </c>
      <c r="Z399" s="250">
        <v>25</v>
      </c>
      <c r="AB399">
        <v>1</v>
      </c>
      <c r="AE399" s="2461"/>
      <c r="AF399" s="68"/>
    </row>
    <row r="400" spans="1:32" ht="45" x14ac:dyDescent="0.35">
      <c r="A400" s="515">
        <v>197</v>
      </c>
      <c r="B400" s="693" t="s">
        <v>1823</v>
      </c>
      <c r="C400" s="693" t="s">
        <v>1656</v>
      </c>
      <c r="D400" s="2469" t="s">
        <v>6379</v>
      </c>
      <c r="E400" s="1956" t="s">
        <v>9033</v>
      </c>
      <c r="F400" s="92" t="s">
        <v>664</v>
      </c>
      <c r="G400" s="92">
        <v>5</v>
      </c>
      <c r="H400" s="92">
        <v>6</v>
      </c>
      <c r="I400" s="2157">
        <f t="shared" si="20"/>
        <v>1.22</v>
      </c>
      <c r="J400" s="2157">
        <f>M400+N400+O400+P400+Q400+R400</f>
        <v>1.22</v>
      </c>
      <c r="K400" s="622"/>
      <c r="L400" s="622"/>
      <c r="M400" s="622"/>
      <c r="N400" s="622"/>
      <c r="O400" s="622"/>
      <c r="P400" s="622"/>
      <c r="Q400" s="622"/>
      <c r="R400" s="906">
        <v>1.22</v>
      </c>
      <c r="S400" s="106"/>
      <c r="T400" s="106"/>
      <c r="U400" s="106"/>
      <c r="V400" s="106"/>
      <c r="W400" s="105"/>
      <c r="X400" s="253"/>
      <c r="Y400" s="105"/>
      <c r="Z400" s="105"/>
      <c r="AB400">
        <v>1</v>
      </c>
      <c r="AE400" s="2461"/>
      <c r="AF400" s="68"/>
    </row>
    <row r="401" spans="1:32" ht="45.5" x14ac:dyDescent="0.35">
      <c r="A401" s="693">
        <v>198</v>
      </c>
      <c r="B401" s="515" t="s">
        <v>1823</v>
      </c>
      <c r="C401" s="515" t="s">
        <v>1655</v>
      </c>
      <c r="D401" s="2469" t="s">
        <v>6380</v>
      </c>
      <c r="E401" s="288" t="s">
        <v>11451</v>
      </c>
      <c r="F401" s="14"/>
      <c r="G401" s="14" t="s">
        <v>191</v>
      </c>
      <c r="H401" s="13" t="s">
        <v>191</v>
      </c>
      <c r="I401" s="2157">
        <f t="shared" si="20"/>
        <v>2.1269999999999998</v>
      </c>
      <c r="J401" s="2157">
        <f>M401+N401+O401+P401+Q401+R401</f>
        <v>2.0999999999999996</v>
      </c>
      <c r="K401" s="297"/>
      <c r="L401" s="2865">
        <f>SUM(L402:L403)</f>
        <v>2.7E-2</v>
      </c>
      <c r="M401" s="1541"/>
      <c r="N401" s="297"/>
      <c r="O401" s="302"/>
      <c r="P401" s="297"/>
      <c r="Q401" s="932"/>
      <c r="R401" s="925">
        <f>SUM(R402:R403)</f>
        <v>2.0999999999999996</v>
      </c>
      <c r="S401" s="154"/>
      <c r="T401" s="154"/>
      <c r="U401" s="154"/>
      <c r="V401" s="154"/>
      <c r="W401" s="154"/>
      <c r="X401" s="260"/>
      <c r="Y401" s="164"/>
      <c r="Z401" s="250"/>
      <c r="AB401">
        <v>1</v>
      </c>
      <c r="AE401" s="2461"/>
      <c r="AF401" s="68"/>
    </row>
    <row r="402" spans="1:32" s="2863" customFormat="1" ht="31" x14ac:dyDescent="0.35">
      <c r="A402" s="693"/>
      <c r="B402" s="515"/>
      <c r="C402" s="515"/>
      <c r="D402" s="2469"/>
      <c r="E402" s="2868" t="s">
        <v>11449</v>
      </c>
      <c r="F402" s="14" t="s">
        <v>827</v>
      </c>
      <c r="G402" s="14">
        <v>5</v>
      </c>
      <c r="H402" s="13" t="s">
        <v>191</v>
      </c>
      <c r="I402" s="298"/>
      <c r="J402" s="298"/>
      <c r="K402" s="298"/>
      <c r="L402" s="2535">
        <v>2.7E-2</v>
      </c>
      <c r="M402" s="2702"/>
      <c r="N402" s="298"/>
      <c r="O402" s="299"/>
      <c r="P402" s="298"/>
      <c r="Q402" s="1836"/>
      <c r="R402" s="2049"/>
      <c r="S402" s="154"/>
      <c r="T402" s="154"/>
      <c r="U402" s="154"/>
      <c r="V402" s="154"/>
      <c r="W402" s="154"/>
      <c r="X402" s="260"/>
      <c r="Y402" s="164"/>
      <c r="Z402" s="250"/>
      <c r="AE402" s="2461"/>
      <c r="AF402" s="68"/>
    </row>
    <row r="403" spans="1:32" s="2863" customFormat="1" ht="16" x14ac:dyDescent="0.4">
      <c r="A403" s="693"/>
      <c r="B403" s="515"/>
      <c r="C403" s="515"/>
      <c r="D403" s="2469"/>
      <c r="E403" s="838" t="s">
        <v>11450</v>
      </c>
      <c r="F403" s="2809" t="s">
        <v>827</v>
      </c>
      <c r="G403" s="14">
        <v>5</v>
      </c>
      <c r="H403" s="92">
        <v>6</v>
      </c>
      <c r="I403" s="298"/>
      <c r="J403" s="298"/>
      <c r="K403" s="298"/>
      <c r="L403" s="298"/>
      <c r="M403" s="2702"/>
      <c r="N403" s="298"/>
      <c r="O403" s="299"/>
      <c r="P403" s="298"/>
      <c r="Q403" s="1836"/>
      <c r="R403" s="2049">
        <f>2.127-0.027</f>
        <v>2.0999999999999996</v>
      </c>
      <c r="S403" s="154"/>
      <c r="T403" s="154"/>
      <c r="U403" s="154"/>
      <c r="V403" s="154"/>
      <c r="W403" s="154"/>
      <c r="X403" s="260"/>
      <c r="Y403" s="164"/>
      <c r="Z403" s="250"/>
      <c r="AC403" s="63" t="s">
        <v>2570</v>
      </c>
      <c r="AE403" s="2461"/>
      <c r="AF403" s="68"/>
    </row>
    <row r="404" spans="1:32" ht="45.5" x14ac:dyDescent="0.35">
      <c r="A404" s="515">
        <v>199</v>
      </c>
      <c r="B404" s="515" t="s">
        <v>1823</v>
      </c>
      <c r="C404" s="515" t="s">
        <v>1655</v>
      </c>
      <c r="D404" s="2469" t="s">
        <v>6381</v>
      </c>
      <c r="E404" s="288" t="s">
        <v>7350</v>
      </c>
      <c r="F404" s="14" t="s">
        <v>664</v>
      </c>
      <c r="G404" s="14">
        <v>5</v>
      </c>
      <c r="H404" s="92">
        <v>6</v>
      </c>
      <c r="I404" s="297">
        <v>0.78</v>
      </c>
      <c r="J404" s="297">
        <v>0.78</v>
      </c>
      <c r="K404" s="297"/>
      <c r="L404" s="297"/>
      <c r="M404" s="1541"/>
      <c r="N404" s="297"/>
      <c r="O404" s="302"/>
      <c r="P404" s="297"/>
      <c r="Q404" s="932"/>
      <c r="R404" s="925">
        <v>0.78</v>
      </c>
      <c r="S404" s="154"/>
      <c r="T404" s="154"/>
      <c r="U404" s="154"/>
      <c r="V404" s="154"/>
      <c r="W404" s="154"/>
      <c r="X404" s="260"/>
      <c r="Y404" s="164"/>
      <c r="Z404" s="250"/>
      <c r="AB404">
        <v>1</v>
      </c>
      <c r="AE404" s="2461"/>
      <c r="AF404" s="68"/>
    </row>
    <row r="405" spans="1:32" ht="45.5" x14ac:dyDescent="0.35">
      <c r="A405" s="693">
        <v>200</v>
      </c>
      <c r="B405" s="515" t="s">
        <v>1823</v>
      </c>
      <c r="C405" s="515" t="s">
        <v>1655</v>
      </c>
      <c r="D405" s="2469" t="s">
        <v>6382</v>
      </c>
      <c r="E405" s="288" t="s">
        <v>7351</v>
      </c>
      <c r="F405" s="14" t="s">
        <v>664</v>
      </c>
      <c r="G405" s="14">
        <v>5</v>
      </c>
      <c r="H405" s="92">
        <v>6</v>
      </c>
      <c r="I405" s="297">
        <v>1.6</v>
      </c>
      <c r="J405" s="297">
        <v>1.6</v>
      </c>
      <c r="K405" s="297"/>
      <c r="L405" s="297"/>
      <c r="M405" s="1541"/>
      <c r="N405" s="297"/>
      <c r="O405" s="302"/>
      <c r="P405" s="297"/>
      <c r="Q405" s="932"/>
      <c r="R405" s="925">
        <v>1.6</v>
      </c>
      <c r="S405" s="154"/>
      <c r="T405" s="154"/>
      <c r="U405" s="154"/>
      <c r="V405" s="154"/>
      <c r="W405" s="154"/>
      <c r="X405" s="260"/>
      <c r="Y405" s="164"/>
      <c r="Z405" s="250"/>
      <c r="AB405">
        <v>1</v>
      </c>
      <c r="AE405" s="2461"/>
      <c r="AF405" s="68"/>
    </row>
    <row r="406" spans="1:32" ht="45.5" x14ac:dyDescent="0.35">
      <c r="A406" s="515"/>
      <c r="B406" s="1162" t="s">
        <v>1206</v>
      </c>
      <c r="C406" s="1162"/>
      <c r="D406" s="515"/>
      <c r="E406" s="1596" t="s">
        <v>10826</v>
      </c>
      <c r="F406" s="14"/>
      <c r="G406" s="14"/>
      <c r="H406" s="14"/>
      <c r="I406" s="297"/>
      <c r="J406" s="297"/>
      <c r="K406" s="297"/>
      <c r="L406" s="297"/>
      <c r="M406" s="1541"/>
      <c r="N406" s="297"/>
      <c r="O406" s="302"/>
      <c r="P406" s="297"/>
      <c r="Q406" s="932"/>
      <c r="R406" s="925"/>
      <c r="S406" s="154"/>
      <c r="T406" s="154"/>
      <c r="U406" s="154"/>
      <c r="V406" s="154"/>
      <c r="W406" s="154"/>
      <c r="X406" s="260"/>
      <c r="Y406" s="164"/>
      <c r="Z406" s="250"/>
      <c r="AE406" s="2461"/>
      <c r="AF406" s="68"/>
    </row>
    <row r="407" spans="1:32" ht="45.5" x14ac:dyDescent="0.35">
      <c r="A407" s="1162">
        <v>201</v>
      </c>
      <c r="B407" s="1162" t="s">
        <v>1206</v>
      </c>
      <c r="C407" s="1162"/>
      <c r="D407" s="2469" t="s">
        <v>6383</v>
      </c>
      <c r="E407" s="288" t="s">
        <v>8031</v>
      </c>
      <c r="F407" s="13" t="s">
        <v>664</v>
      </c>
      <c r="G407" s="13">
        <v>5</v>
      </c>
      <c r="H407" s="92">
        <v>6</v>
      </c>
      <c r="I407" s="297">
        <f>J407+K407+L407</f>
        <v>1.1499999999999999</v>
      </c>
      <c r="J407" s="297">
        <f>SUM(M407:R407)</f>
        <v>1.1499999999999999</v>
      </c>
      <c r="K407" s="489"/>
      <c r="L407" s="489"/>
      <c r="M407" s="1543"/>
      <c r="N407" s="489"/>
      <c r="O407" s="491"/>
      <c r="P407" s="489"/>
      <c r="Q407" s="932"/>
      <c r="R407" s="929">
        <v>1.1499999999999999</v>
      </c>
      <c r="S407" s="154"/>
      <c r="T407" s="154"/>
      <c r="U407" s="154"/>
      <c r="V407" s="154"/>
      <c r="W407" s="1881">
        <v>1</v>
      </c>
      <c r="X407" s="1962">
        <v>12.3</v>
      </c>
      <c r="Y407" s="164"/>
      <c r="Z407" s="250"/>
      <c r="AB407">
        <v>1</v>
      </c>
      <c r="AE407" s="2461"/>
      <c r="AF407" s="68"/>
    </row>
    <row r="408" spans="1:32" ht="60" x14ac:dyDescent="0.35">
      <c r="A408" s="693">
        <v>202</v>
      </c>
      <c r="B408" s="693" t="s">
        <v>1206</v>
      </c>
      <c r="C408" s="693" t="s">
        <v>1656</v>
      </c>
      <c r="D408" s="2469" t="s">
        <v>6384</v>
      </c>
      <c r="E408" s="2187" t="s">
        <v>9034</v>
      </c>
      <c r="F408" s="92" t="s">
        <v>664</v>
      </c>
      <c r="G408" s="92">
        <v>5</v>
      </c>
      <c r="H408" s="92">
        <v>6</v>
      </c>
      <c r="I408" s="2157">
        <f>J408+K408+L408</f>
        <v>0.35</v>
      </c>
      <c r="J408" s="2157">
        <f>M408+N408+O408+P408+Q408+R408</f>
        <v>0.35</v>
      </c>
      <c r="K408" s="622"/>
      <c r="L408" s="622"/>
      <c r="M408" s="622"/>
      <c r="N408" s="622"/>
      <c r="O408" s="622"/>
      <c r="P408" s="622"/>
      <c r="Q408" s="622"/>
      <c r="R408" s="906">
        <v>0.35</v>
      </c>
      <c r="S408" s="106"/>
      <c r="T408" s="106"/>
      <c r="U408" s="106"/>
      <c r="V408" s="106"/>
      <c r="W408" s="105"/>
      <c r="X408" s="253"/>
      <c r="Y408" s="105"/>
      <c r="Z408" s="105"/>
      <c r="AB408">
        <v>1</v>
      </c>
      <c r="AE408" s="2461"/>
      <c r="AF408" s="68"/>
    </row>
    <row r="409" spans="1:32" ht="45.5" x14ac:dyDescent="0.35">
      <c r="A409" s="1162">
        <v>203</v>
      </c>
      <c r="B409" s="1162" t="s">
        <v>1206</v>
      </c>
      <c r="C409" s="1162"/>
      <c r="D409" s="2469" t="s">
        <v>6385</v>
      </c>
      <c r="E409" s="288" t="s">
        <v>9155</v>
      </c>
      <c r="F409" s="13"/>
      <c r="G409" s="13" t="s">
        <v>191</v>
      </c>
      <c r="H409" s="13" t="s">
        <v>191</v>
      </c>
      <c r="I409" s="297">
        <f>J409+K409+L409</f>
        <v>5.07</v>
      </c>
      <c r="J409" s="297">
        <f>SUM(M409:R409)</f>
        <v>5.07</v>
      </c>
      <c r="K409" s="489"/>
      <c r="L409" s="489"/>
      <c r="M409" s="1543"/>
      <c r="N409" s="489">
        <f>SUM(N410:N411)</f>
        <v>1.25</v>
      </c>
      <c r="O409" s="491"/>
      <c r="P409" s="489"/>
      <c r="Q409" s="932"/>
      <c r="R409" s="929">
        <f>SUM(R410:R411)</f>
        <v>3.82</v>
      </c>
      <c r="S409" s="154"/>
      <c r="T409" s="154"/>
      <c r="U409" s="154"/>
      <c r="V409" s="154"/>
      <c r="W409" s="1881">
        <v>6</v>
      </c>
      <c r="X409" s="2446">
        <v>70.8</v>
      </c>
      <c r="Y409" s="164">
        <v>1</v>
      </c>
      <c r="Z409" s="2533">
        <v>14.2</v>
      </c>
      <c r="AB409">
        <v>1</v>
      </c>
      <c r="AE409" s="2461"/>
      <c r="AF409" s="68"/>
    </row>
    <row r="410" spans="1:32" ht="15.5" x14ac:dyDescent="0.35">
      <c r="A410" s="2158"/>
      <c r="B410" s="1162" t="s">
        <v>1206</v>
      </c>
      <c r="C410" s="1162"/>
      <c r="D410" s="788"/>
      <c r="E410" s="289" t="s">
        <v>2446</v>
      </c>
      <c r="F410" s="13">
        <v>5</v>
      </c>
      <c r="G410" s="13">
        <v>5</v>
      </c>
      <c r="H410" s="13">
        <v>6</v>
      </c>
      <c r="I410" s="298"/>
      <c r="J410" s="298"/>
      <c r="K410" s="492"/>
      <c r="L410" s="492"/>
      <c r="M410" s="1544"/>
      <c r="N410" s="492">
        <v>1.25</v>
      </c>
      <c r="O410" s="494"/>
      <c r="P410" s="492"/>
      <c r="Q410" s="933"/>
      <c r="R410" s="1014"/>
      <c r="S410" s="1944"/>
      <c r="T410" s="1944"/>
      <c r="U410" s="1944"/>
      <c r="V410" s="1944"/>
      <c r="W410" s="1138"/>
      <c r="X410" s="2074"/>
      <c r="Y410" s="1953"/>
      <c r="Z410" s="254"/>
      <c r="AE410" s="2461"/>
      <c r="AF410" s="68"/>
    </row>
    <row r="411" spans="1:32" ht="15.5" x14ac:dyDescent="0.35">
      <c r="A411" s="2158"/>
      <c r="B411" s="1162" t="s">
        <v>1206</v>
      </c>
      <c r="C411" s="1162"/>
      <c r="D411" s="788"/>
      <c r="E411" s="838" t="s">
        <v>783</v>
      </c>
      <c r="F411" s="13" t="s">
        <v>1490</v>
      </c>
      <c r="G411" s="13">
        <v>5</v>
      </c>
      <c r="H411" s="92">
        <v>6</v>
      </c>
      <c r="I411" s="298"/>
      <c r="J411" s="298"/>
      <c r="K411" s="492"/>
      <c r="L411" s="492"/>
      <c r="M411" s="1544"/>
      <c r="N411" s="492"/>
      <c r="O411" s="494"/>
      <c r="P411" s="492"/>
      <c r="Q411" s="933"/>
      <c r="R411" s="1014">
        <v>3.82</v>
      </c>
      <c r="S411" s="1944"/>
      <c r="T411" s="1944"/>
      <c r="U411" s="1944"/>
      <c r="V411" s="1944"/>
      <c r="W411" s="1138"/>
      <c r="X411" s="2074"/>
      <c r="Y411" s="1953"/>
      <c r="Z411" s="254"/>
      <c r="AE411" s="2461"/>
      <c r="AF411" s="68"/>
    </row>
    <row r="412" spans="1:32" ht="75" x14ac:dyDescent="0.35">
      <c r="A412" s="693">
        <v>204</v>
      </c>
      <c r="B412" s="693" t="s">
        <v>1206</v>
      </c>
      <c r="C412" s="693" t="s">
        <v>1656</v>
      </c>
      <c r="D412" s="2469" t="s">
        <v>6386</v>
      </c>
      <c r="E412" s="2187" t="s">
        <v>9156</v>
      </c>
      <c r="F412" s="92" t="s">
        <v>664</v>
      </c>
      <c r="G412" s="92">
        <v>5</v>
      </c>
      <c r="H412" s="92">
        <v>6</v>
      </c>
      <c r="I412" s="2157">
        <f>J412+K412+L412</f>
        <v>0.38</v>
      </c>
      <c r="J412" s="2157">
        <f>M412+N412+O412+P412+Q412+R412</f>
        <v>0.38</v>
      </c>
      <c r="K412" s="622"/>
      <c r="L412" s="622"/>
      <c r="M412" s="622"/>
      <c r="N412" s="622"/>
      <c r="O412" s="622"/>
      <c r="P412" s="622"/>
      <c r="Q412" s="622"/>
      <c r="R412" s="906">
        <v>0.38</v>
      </c>
      <c r="S412" s="106"/>
      <c r="T412" s="106"/>
      <c r="U412" s="106"/>
      <c r="V412" s="106"/>
      <c r="W412" s="105"/>
      <c r="X412" s="253"/>
      <c r="Y412" s="105"/>
      <c r="Z412" s="105"/>
      <c r="AB412">
        <v>1</v>
      </c>
      <c r="AE412" s="2461"/>
      <c r="AF412" s="68"/>
    </row>
    <row r="413" spans="1:32" ht="60.5" x14ac:dyDescent="0.35">
      <c r="A413" s="441">
        <v>205</v>
      </c>
      <c r="B413" s="515" t="s">
        <v>1206</v>
      </c>
      <c r="C413" s="358" t="s">
        <v>1656</v>
      </c>
      <c r="D413" s="2469" t="s">
        <v>6387</v>
      </c>
      <c r="E413" s="511" t="s">
        <v>9157</v>
      </c>
      <c r="F413" s="1138" t="s">
        <v>664</v>
      </c>
      <c r="G413" s="2289">
        <v>5</v>
      </c>
      <c r="H413" s="92">
        <v>6</v>
      </c>
      <c r="I413" s="297">
        <f>J413+K413+L413</f>
        <v>0.6</v>
      </c>
      <c r="J413" s="297">
        <f>SUM(M413:R413)</f>
        <v>0.6</v>
      </c>
      <c r="K413" s="298"/>
      <c r="L413" s="298"/>
      <c r="M413" s="1542"/>
      <c r="N413" s="298"/>
      <c r="O413" s="299"/>
      <c r="P413" s="298"/>
      <c r="Q413" s="933"/>
      <c r="R413" s="927">
        <v>0.6</v>
      </c>
      <c r="S413" s="1138"/>
      <c r="T413" s="1138"/>
      <c r="U413" s="1944"/>
      <c r="V413" s="1944"/>
      <c r="W413" s="1138"/>
      <c r="X413" s="2074"/>
      <c r="Y413" s="1953"/>
      <c r="Z413" s="509"/>
      <c r="AB413">
        <v>1</v>
      </c>
      <c r="AE413" s="2461"/>
      <c r="AF413" s="68"/>
    </row>
    <row r="414" spans="1:32" ht="45.5" x14ac:dyDescent="0.35">
      <c r="A414" s="1162">
        <v>206</v>
      </c>
      <c r="B414" s="1162" t="s">
        <v>1206</v>
      </c>
      <c r="C414" s="1162"/>
      <c r="D414" s="2469" t="s">
        <v>6388</v>
      </c>
      <c r="E414" s="288" t="s">
        <v>8032</v>
      </c>
      <c r="F414" s="13"/>
      <c r="G414" s="13" t="s">
        <v>191</v>
      </c>
      <c r="H414" s="13" t="s">
        <v>191</v>
      </c>
      <c r="I414" s="297">
        <f>J414+K414+L414</f>
        <v>1.2000000000000002</v>
      </c>
      <c r="J414" s="297">
        <f>SUM(M414:R414)</f>
        <v>1.2000000000000002</v>
      </c>
      <c r="K414" s="489"/>
      <c r="L414" s="489"/>
      <c r="M414" s="1543"/>
      <c r="N414" s="489">
        <f>SUM(N415:N416)</f>
        <v>0.11</v>
      </c>
      <c r="O414" s="491"/>
      <c r="P414" s="489"/>
      <c r="Q414" s="932"/>
      <c r="R414" s="929">
        <f>SUM(R415:R416)</f>
        <v>1.0900000000000001</v>
      </c>
      <c r="S414" s="154"/>
      <c r="T414" s="154"/>
      <c r="U414" s="154"/>
      <c r="V414" s="154"/>
      <c r="W414" s="55"/>
      <c r="X414" s="1962"/>
      <c r="Y414" s="164"/>
      <c r="Z414" s="250"/>
      <c r="AB414">
        <v>1</v>
      </c>
      <c r="AE414" s="2461"/>
      <c r="AF414" s="68"/>
    </row>
    <row r="415" spans="1:32" ht="15.5" x14ac:dyDescent="0.35">
      <c r="A415" s="2158"/>
      <c r="B415" s="1162" t="s">
        <v>1206</v>
      </c>
      <c r="C415" s="1162"/>
      <c r="D415" s="788"/>
      <c r="E415" s="289" t="s">
        <v>2279</v>
      </c>
      <c r="F415" s="13" t="s">
        <v>827</v>
      </c>
      <c r="G415" s="13">
        <v>5</v>
      </c>
      <c r="H415" s="13">
        <v>6</v>
      </c>
      <c r="I415" s="298"/>
      <c r="J415" s="298"/>
      <c r="K415" s="492"/>
      <c r="L415" s="492"/>
      <c r="M415" s="1544"/>
      <c r="N415" s="492">
        <v>0.11</v>
      </c>
      <c r="O415" s="494"/>
      <c r="P415" s="492"/>
      <c r="Q415" s="933"/>
      <c r="R415" s="1014"/>
      <c r="S415" s="1944"/>
      <c r="T415" s="1944"/>
      <c r="U415" s="1944"/>
      <c r="V415" s="1944"/>
      <c r="W415" s="1138"/>
      <c r="X415" s="2074"/>
      <c r="Y415" s="1953"/>
      <c r="Z415" s="254"/>
      <c r="AE415" s="2461"/>
      <c r="AF415" s="68"/>
    </row>
    <row r="416" spans="1:32" ht="15.5" x14ac:dyDescent="0.35">
      <c r="A416" s="2158"/>
      <c r="B416" s="1162" t="s">
        <v>1206</v>
      </c>
      <c r="C416" s="1162"/>
      <c r="D416" s="788"/>
      <c r="E416" s="838" t="s">
        <v>784</v>
      </c>
      <c r="F416" s="13" t="s">
        <v>827</v>
      </c>
      <c r="G416" s="13">
        <v>5</v>
      </c>
      <c r="H416" s="92">
        <v>6</v>
      </c>
      <c r="I416" s="298"/>
      <c r="J416" s="298"/>
      <c r="K416" s="492"/>
      <c r="L416" s="492"/>
      <c r="M416" s="1544"/>
      <c r="N416" s="492"/>
      <c r="O416" s="494"/>
      <c r="P416" s="492"/>
      <c r="Q416" s="933"/>
      <c r="R416" s="1014">
        <v>1.0900000000000001</v>
      </c>
      <c r="S416" s="1944"/>
      <c r="T416" s="1944"/>
      <c r="U416" s="1944"/>
      <c r="V416" s="1944"/>
      <c r="W416" s="1138"/>
      <c r="X416" s="2074"/>
      <c r="Y416" s="1953"/>
      <c r="Z416" s="254"/>
      <c r="AE416" s="2461"/>
      <c r="AF416" s="68"/>
    </row>
    <row r="417" spans="1:32" ht="60" x14ac:dyDescent="0.35">
      <c r="A417" s="693">
        <v>207</v>
      </c>
      <c r="B417" s="693" t="s">
        <v>1206</v>
      </c>
      <c r="C417" s="693" t="s">
        <v>1656</v>
      </c>
      <c r="D417" s="2469" t="s">
        <v>6389</v>
      </c>
      <c r="E417" s="2187" t="s">
        <v>9035</v>
      </c>
      <c r="F417" s="92" t="s">
        <v>664</v>
      </c>
      <c r="G417" s="92">
        <v>5</v>
      </c>
      <c r="H417" s="92">
        <v>6</v>
      </c>
      <c r="I417" s="2157">
        <f>J417+K417+L417</f>
        <v>1.22</v>
      </c>
      <c r="J417" s="2157">
        <f>M417+N417+O417+P417+Q417+R417</f>
        <v>1.22</v>
      </c>
      <c r="K417" s="622"/>
      <c r="L417" s="622"/>
      <c r="M417" s="622"/>
      <c r="N417" s="622"/>
      <c r="O417" s="622"/>
      <c r="P417" s="622"/>
      <c r="Q417" s="622"/>
      <c r="R417" s="906">
        <v>1.22</v>
      </c>
      <c r="S417" s="106"/>
      <c r="T417" s="106"/>
      <c r="U417" s="106"/>
      <c r="V417" s="106"/>
      <c r="W417" s="105"/>
      <c r="X417" s="253"/>
      <c r="Y417" s="105"/>
      <c r="Z417" s="105"/>
      <c r="AB417">
        <v>1</v>
      </c>
      <c r="AE417" s="2461"/>
      <c r="AF417" s="68"/>
    </row>
    <row r="418" spans="1:32" ht="45.5" x14ac:dyDescent="0.35">
      <c r="A418" s="1162">
        <v>208</v>
      </c>
      <c r="B418" s="1162" t="s">
        <v>1206</v>
      </c>
      <c r="C418" s="1162"/>
      <c r="D418" s="2469" t="s">
        <v>6390</v>
      </c>
      <c r="E418" s="511" t="s">
        <v>8033</v>
      </c>
      <c r="F418" s="13" t="s">
        <v>664</v>
      </c>
      <c r="G418" s="13">
        <v>5</v>
      </c>
      <c r="H418" s="92">
        <v>6</v>
      </c>
      <c r="I418" s="297">
        <f t="shared" ref="I418:I432" si="21">J418+K418+L418</f>
        <v>2</v>
      </c>
      <c r="J418" s="297">
        <f>SUM(M418:R418)</f>
        <v>2</v>
      </c>
      <c r="K418" s="489"/>
      <c r="L418" s="489"/>
      <c r="M418" s="1543"/>
      <c r="N418" s="489"/>
      <c r="O418" s="491"/>
      <c r="P418" s="489"/>
      <c r="Q418" s="932"/>
      <c r="R418" s="929">
        <v>2</v>
      </c>
      <c r="S418" s="2441">
        <v>0</v>
      </c>
      <c r="T418" s="2723">
        <v>0</v>
      </c>
      <c r="U418" s="154"/>
      <c r="V418" s="154"/>
      <c r="W418" s="1881">
        <v>1</v>
      </c>
      <c r="X418" s="1962">
        <v>10</v>
      </c>
      <c r="Y418" s="164"/>
      <c r="Z418" s="250"/>
      <c r="AB418">
        <v>1</v>
      </c>
      <c r="AE418" s="2461"/>
      <c r="AF418" s="68"/>
    </row>
    <row r="419" spans="1:32" ht="75" x14ac:dyDescent="0.35">
      <c r="A419" s="693">
        <v>209</v>
      </c>
      <c r="B419" s="693" t="s">
        <v>1206</v>
      </c>
      <c r="C419" s="693" t="s">
        <v>1656</v>
      </c>
      <c r="D419" s="2469" t="s">
        <v>6391</v>
      </c>
      <c r="E419" s="2187" t="s">
        <v>9036</v>
      </c>
      <c r="F419" s="92" t="s">
        <v>664</v>
      </c>
      <c r="G419" s="92">
        <v>5</v>
      </c>
      <c r="H419" s="92">
        <v>6</v>
      </c>
      <c r="I419" s="2157">
        <f>J419+K419+L419</f>
        <v>0.32</v>
      </c>
      <c r="J419" s="2157">
        <f>M419+N419+O419+P419+Q419+R419</f>
        <v>0.32</v>
      </c>
      <c r="K419" s="622"/>
      <c r="L419" s="622"/>
      <c r="M419" s="622"/>
      <c r="N419" s="622"/>
      <c r="O419" s="622"/>
      <c r="P419" s="622"/>
      <c r="Q419" s="622"/>
      <c r="R419" s="906">
        <v>0.32</v>
      </c>
      <c r="S419" s="106"/>
      <c r="T419" s="106"/>
      <c r="U419" s="106"/>
      <c r="V419" s="106"/>
      <c r="W419" s="105"/>
      <c r="X419" s="253"/>
      <c r="Y419" s="105"/>
      <c r="Z419" s="105"/>
      <c r="AB419">
        <v>1</v>
      </c>
      <c r="AE419" s="2461"/>
      <c r="AF419" s="68"/>
    </row>
    <row r="420" spans="1:32" ht="45.5" x14ac:dyDescent="0.35">
      <c r="A420" s="1162">
        <v>210</v>
      </c>
      <c r="B420" s="1162" t="s">
        <v>1206</v>
      </c>
      <c r="C420" s="1162"/>
      <c r="D420" s="2469" t="s">
        <v>6392</v>
      </c>
      <c r="E420" s="511" t="s">
        <v>8034</v>
      </c>
      <c r="F420" s="13" t="s">
        <v>1490</v>
      </c>
      <c r="G420" s="13">
        <v>5</v>
      </c>
      <c r="H420" s="92">
        <v>6</v>
      </c>
      <c r="I420" s="297">
        <f t="shared" si="21"/>
        <v>2.2400000000000002</v>
      </c>
      <c r="J420" s="297">
        <f>SUM(M420:R420)</f>
        <v>2.2400000000000002</v>
      </c>
      <c r="K420" s="489"/>
      <c r="L420" s="489"/>
      <c r="M420" s="1543"/>
      <c r="N420" s="489"/>
      <c r="O420" s="491"/>
      <c r="P420" s="489"/>
      <c r="Q420" s="932"/>
      <c r="R420" s="929">
        <v>2.2400000000000002</v>
      </c>
      <c r="S420" s="154"/>
      <c r="T420" s="154"/>
      <c r="U420" s="154"/>
      <c r="V420" s="154"/>
      <c r="W420" s="1881">
        <v>1</v>
      </c>
      <c r="X420" s="1962">
        <v>10</v>
      </c>
      <c r="Y420" s="164"/>
      <c r="Z420" s="250"/>
      <c r="AB420">
        <v>1</v>
      </c>
      <c r="AE420" s="2461"/>
      <c r="AF420" s="68"/>
    </row>
    <row r="421" spans="1:32" ht="60" x14ac:dyDescent="0.35">
      <c r="A421" s="693">
        <v>211</v>
      </c>
      <c r="B421" s="693" t="s">
        <v>1206</v>
      </c>
      <c r="C421" s="693" t="s">
        <v>1656</v>
      </c>
      <c r="D421" s="2469" t="s">
        <v>6393</v>
      </c>
      <c r="E421" s="2187" t="s">
        <v>9037</v>
      </c>
      <c r="F421" s="92" t="s">
        <v>664</v>
      </c>
      <c r="G421" s="92">
        <v>5</v>
      </c>
      <c r="H421" s="92">
        <v>6</v>
      </c>
      <c r="I421" s="2157">
        <f>J421+K421+L421</f>
        <v>1.1299999999999999</v>
      </c>
      <c r="J421" s="2157">
        <f>M421+N421+O421+P421+Q421+R421</f>
        <v>1.1299999999999999</v>
      </c>
      <c r="K421" s="622"/>
      <c r="L421" s="622"/>
      <c r="M421" s="622"/>
      <c r="N421" s="622"/>
      <c r="O421" s="622"/>
      <c r="P421" s="622"/>
      <c r="Q421" s="622"/>
      <c r="R421" s="906">
        <v>1.1299999999999999</v>
      </c>
      <c r="S421" s="106"/>
      <c r="T421" s="106"/>
      <c r="U421" s="106"/>
      <c r="V421" s="106"/>
      <c r="W421" s="105"/>
      <c r="X421" s="253"/>
      <c r="Y421" s="105"/>
      <c r="Z421" s="105"/>
      <c r="AB421">
        <v>1</v>
      </c>
      <c r="AE421" s="2461"/>
      <c r="AF421" s="68"/>
    </row>
    <row r="422" spans="1:32" ht="45.5" x14ac:dyDescent="0.35">
      <c r="A422" s="1162">
        <v>212</v>
      </c>
      <c r="B422" s="1162" t="s">
        <v>1206</v>
      </c>
      <c r="C422" s="1162"/>
      <c r="D422" s="2469" t="s">
        <v>6394</v>
      </c>
      <c r="E422" s="288" t="s">
        <v>8035</v>
      </c>
      <c r="F422" s="13" t="s">
        <v>664</v>
      </c>
      <c r="G422" s="13">
        <v>5</v>
      </c>
      <c r="H422" s="92">
        <v>6</v>
      </c>
      <c r="I422" s="297">
        <f t="shared" si="21"/>
        <v>2.0499999999999998</v>
      </c>
      <c r="J422" s="297">
        <f>SUM(M422:R422)</f>
        <v>2.0499999999999998</v>
      </c>
      <c r="K422" s="489"/>
      <c r="L422" s="489"/>
      <c r="M422" s="1543"/>
      <c r="N422" s="489"/>
      <c r="O422" s="491"/>
      <c r="P422" s="489"/>
      <c r="Q422" s="932"/>
      <c r="R422" s="929">
        <v>2.0499999999999998</v>
      </c>
      <c r="S422" s="154"/>
      <c r="T422" s="154"/>
      <c r="U422" s="154"/>
      <c r="V422" s="154"/>
      <c r="W422" s="1881">
        <v>1</v>
      </c>
      <c r="X422" s="1962">
        <v>9</v>
      </c>
      <c r="Y422" s="164"/>
      <c r="Z422" s="250"/>
      <c r="AB422">
        <v>1</v>
      </c>
      <c r="AC422" s="62" t="s">
        <v>2130</v>
      </c>
      <c r="AD422" s="353">
        <v>36706</v>
      </c>
      <c r="AE422" s="2461"/>
      <c r="AF422" s="68"/>
    </row>
    <row r="423" spans="1:32" ht="75" x14ac:dyDescent="0.35">
      <c r="A423" s="693">
        <v>213</v>
      </c>
      <c r="B423" s="693" t="s">
        <v>1206</v>
      </c>
      <c r="C423" s="693" t="s">
        <v>1656</v>
      </c>
      <c r="D423" s="2469" t="s">
        <v>6395</v>
      </c>
      <c r="E423" s="2187" t="s">
        <v>9038</v>
      </c>
      <c r="F423" s="92" t="s">
        <v>664</v>
      </c>
      <c r="G423" s="92">
        <v>5</v>
      </c>
      <c r="H423" s="92">
        <v>6</v>
      </c>
      <c r="I423" s="2157">
        <f>J423+K423+L423</f>
        <v>0.72</v>
      </c>
      <c r="J423" s="2157">
        <f>M423+N423+O423+P423+Q423+R423</f>
        <v>0.72</v>
      </c>
      <c r="K423" s="622"/>
      <c r="L423" s="622"/>
      <c r="M423" s="622"/>
      <c r="N423" s="622"/>
      <c r="O423" s="622"/>
      <c r="P423" s="622"/>
      <c r="Q423" s="622"/>
      <c r="R423" s="906">
        <v>0.72</v>
      </c>
      <c r="S423" s="106"/>
      <c r="T423" s="106"/>
      <c r="U423" s="106"/>
      <c r="V423" s="106"/>
      <c r="W423" s="105"/>
      <c r="X423" s="253"/>
      <c r="Y423" s="105"/>
      <c r="Z423" s="105"/>
      <c r="AB423">
        <v>1</v>
      </c>
      <c r="AE423" s="2461"/>
      <c r="AF423" s="68"/>
    </row>
    <row r="424" spans="1:32" ht="45.5" x14ac:dyDescent="0.35">
      <c r="A424" s="1162">
        <v>214</v>
      </c>
      <c r="B424" s="515" t="s">
        <v>1206</v>
      </c>
      <c r="C424" s="515"/>
      <c r="D424" s="2469" t="s">
        <v>6396</v>
      </c>
      <c r="E424" s="511" t="s">
        <v>8036</v>
      </c>
      <c r="F424" s="13">
        <v>5</v>
      </c>
      <c r="G424" s="13">
        <v>4</v>
      </c>
      <c r="H424" s="13">
        <v>6</v>
      </c>
      <c r="I424" s="297">
        <f t="shared" si="21"/>
        <v>3.46</v>
      </c>
      <c r="J424" s="297">
        <f>SUM(M424:R424)</f>
        <v>3.46</v>
      </c>
      <c r="K424" s="297"/>
      <c r="L424" s="297"/>
      <c r="M424" s="1541"/>
      <c r="N424" s="297"/>
      <c r="O424" s="302"/>
      <c r="P424" s="297"/>
      <c r="Q424" s="932">
        <v>3.46</v>
      </c>
      <c r="R424" s="925"/>
      <c r="S424" s="154"/>
      <c r="T424" s="154"/>
      <c r="U424" s="154"/>
      <c r="V424" s="154"/>
      <c r="W424" s="1881">
        <v>4</v>
      </c>
      <c r="X424" s="1962">
        <v>55.599998474121094</v>
      </c>
      <c r="Y424" s="164"/>
      <c r="Z424" s="250"/>
      <c r="AB424">
        <v>1</v>
      </c>
      <c r="AE424" s="2461"/>
      <c r="AF424" s="68"/>
    </row>
    <row r="425" spans="1:32" ht="60" x14ac:dyDescent="0.35">
      <c r="A425" s="693">
        <v>215</v>
      </c>
      <c r="B425" s="693" t="s">
        <v>1206</v>
      </c>
      <c r="C425" s="693" t="s">
        <v>1656</v>
      </c>
      <c r="D425" s="2469" t="s">
        <v>6397</v>
      </c>
      <c r="E425" s="2187" t="s">
        <v>9039</v>
      </c>
      <c r="F425" s="92" t="s">
        <v>664</v>
      </c>
      <c r="G425" s="92">
        <v>5</v>
      </c>
      <c r="H425" s="92">
        <v>6</v>
      </c>
      <c r="I425" s="2157">
        <f>J425+K425+L425</f>
        <v>0.77</v>
      </c>
      <c r="J425" s="2157">
        <f>M425+N425+O425+P425+Q425+R425</f>
        <v>0.77</v>
      </c>
      <c r="K425" s="622"/>
      <c r="L425" s="622"/>
      <c r="M425" s="622"/>
      <c r="N425" s="622"/>
      <c r="O425" s="622"/>
      <c r="P425" s="622"/>
      <c r="Q425" s="622"/>
      <c r="R425" s="906">
        <v>0.77</v>
      </c>
      <c r="S425" s="106"/>
      <c r="T425" s="106"/>
      <c r="U425" s="106"/>
      <c r="V425" s="106"/>
      <c r="W425" s="105"/>
      <c r="X425" s="253"/>
      <c r="Y425" s="105"/>
      <c r="Z425" s="105"/>
      <c r="AB425">
        <v>1</v>
      </c>
      <c r="AE425" s="2461"/>
      <c r="AF425" s="68"/>
    </row>
    <row r="426" spans="1:32" ht="45.5" x14ac:dyDescent="0.35">
      <c r="A426" s="1162">
        <v>216</v>
      </c>
      <c r="B426" s="515" t="s">
        <v>1206</v>
      </c>
      <c r="C426" s="515"/>
      <c r="D426" s="2469" t="s">
        <v>6398</v>
      </c>
      <c r="E426" s="288" t="s">
        <v>8037</v>
      </c>
      <c r="F426" s="13">
        <v>5</v>
      </c>
      <c r="G426" s="13">
        <v>4</v>
      </c>
      <c r="H426" s="13">
        <v>6</v>
      </c>
      <c r="I426" s="297">
        <f t="shared" si="21"/>
        <v>1.95</v>
      </c>
      <c r="J426" s="297">
        <f>SUM(M426:R426)</f>
        <v>1.95</v>
      </c>
      <c r="K426" s="297"/>
      <c r="L426" s="297"/>
      <c r="M426" s="1541"/>
      <c r="N426" s="297">
        <v>1.95</v>
      </c>
      <c r="O426" s="302"/>
      <c r="P426" s="297"/>
      <c r="Q426" s="932"/>
      <c r="R426" s="925"/>
      <c r="S426" s="154"/>
      <c r="T426" s="154"/>
      <c r="U426" s="154"/>
      <c r="V426" s="154"/>
      <c r="W426" s="1881">
        <v>7</v>
      </c>
      <c r="X426" s="1962">
        <v>92.5</v>
      </c>
      <c r="Y426" s="164">
        <v>2</v>
      </c>
      <c r="Z426" s="250">
        <v>30</v>
      </c>
      <c r="AB426">
        <v>1</v>
      </c>
      <c r="AE426" s="2461"/>
      <c r="AF426" s="68"/>
    </row>
    <row r="427" spans="1:32" ht="30.5" x14ac:dyDescent="0.35">
      <c r="A427" s="515"/>
      <c r="B427" s="515" t="s">
        <v>981</v>
      </c>
      <c r="C427" s="515"/>
      <c r="D427" s="515"/>
      <c r="E427" s="1596" t="s">
        <v>2419</v>
      </c>
      <c r="F427" s="13"/>
      <c r="G427" s="13"/>
      <c r="H427" s="13"/>
      <c r="I427" s="297"/>
      <c r="J427" s="297"/>
      <c r="K427" s="297"/>
      <c r="L427" s="297"/>
      <c r="M427" s="1541"/>
      <c r="N427" s="297"/>
      <c r="O427" s="302"/>
      <c r="P427" s="297"/>
      <c r="Q427" s="932"/>
      <c r="R427" s="925"/>
      <c r="S427" s="154"/>
      <c r="T427" s="154"/>
      <c r="U427" s="154"/>
      <c r="V427" s="154"/>
      <c r="W427" s="1881"/>
      <c r="X427" s="1962"/>
      <c r="Y427" s="164"/>
      <c r="Z427" s="250"/>
      <c r="AE427" s="2461"/>
      <c r="AF427" s="68"/>
    </row>
    <row r="428" spans="1:32" ht="30" x14ac:dyDescent="0.35">
      <c r="A428" s="693">
        <v>217</v>
      </c>
      <c r="B428" s="693" t="s">
        <v>981</v>
      </c>
      <c r="C428" s="693" t="s">
        <v>1656</v>
      </c>
      <c r="D428" s="2469" t="s">
        <v>6399</v>
      </c>
      <c r="E428" s="2187" t="s">
        <v>9040</v>
      </c>
      <c r="F428" s="92" t="s">
        <v>664</v>
      </c>
      <c r="G428" s="92">
        <v>5</v>
      </c>
      <c r="H428" s="92">
        <v>6</v>
      </c>
      <c r="I428" s="2157">
        <f t="shared" si="21"/>
        <v>0.27</v>
      </c>
      <c r="J428" s="2157">
        <f>M428+N428+O428+P428+Q428+R428</f>
        <v>0.27</v>
      </c>
      <c r="K428" s="622"/>
      <c r="L428" s="622"/>
      <c r="M428" s="622"/>
      <c r="N428" s="622"/>
      <c r="O428" s="622"/>
      <c r="P428" s="622"/>
      <c r="Q428" s="622"/>
      <c r="R428" s="906">
        <v>0.27</v>
      </c>
      <c r="S428" s="106"/>
      <c r="T428" s="106"/>
      <c r="U428" s="106"/>
      <c r="V428" s="106"/>
      <c r="W428" s="105"/>
      <c r="X428" s="253"/>
      <c r="Y428" s="105"/>
      <c r="Z428" s="105"/>
      <c r="AB428">
        <v>1</v>
      </c>
      <c r="AE428" s="2461"/>
      <c r="AF428" s="68"/>
    </row>
    <row r="429" spans="1:32" ht="30" x14ac:dyDescent="0.35">
      <c r="A429" s="693">
        <v>218</v>
      </c>
      <c r="B429" s="693" t="s">
        <v>981</v>
      </c>
      <c r="C429" s="693" t="s">
        <v>1656</v>
      </c>
      <c r="D429" s="2469" t="s">
        <v>6400</v>
      </c>
      <c r="E429" s="2187" t="s">
        <v>9041</v>
      </c>
      <c r="F429" s="92" t="s">
        <v>664</v>
      </c>
      <c r="G429" s="92">
        <v>5</v>
      </c>
      <c r="H429" s="92">
        <v>6</v>
      </c>
      <c r="I429" s="2157">
        <f t="shared" si="21"/>
        <v>0.55000000000000004</v>
      </c>
      <c r="J429" s="2157">
        <f>M429+N429+O429+P429+Q429+R429</f>
        <v>0.55000000000000004</v>
      </c>
      <c r="K429" s="622"/>
      <c r="L429" s="622"/>
      <c r="M429" s="622"/>
      <c r="N429" s="622"/>
      <c r="O429" s="622"/>
      <c r="P429" s="622"/>
      <c r="Q429" s="622"/>
      <c r="R429" s="906">
        <v>0.55000000000000004</v>
      </c>
      <c r="S429" s="106"/>
      <c r="T429" s="106"/>
      <c r="U429" s="106"/>
      <c r="V429" s="106"/>
      <c r="W429" s="105"/>
      <c r="X429" s="253"/>
      <c r="Y429" s="105"/>
      <c r="Z429" s="105"/>
      <c r="AB429">
        <v>1</v>
      </c>
      <c r="AE429" s="2461"/>
      <c r="AF429" s="68"/>
    </row>
    <row r="430" spans="1:32" s="3" customFormat="1" ht="45" x14ac:dyDescent="0.35">
      <c r="A430" s="1954">
        <v>219</v>
      </c>
      <c r="B430" s="1148" t="s">
        <v>981</v>
      </c>
      <c r="C430" s="1979" t="s">
        <v>1655</v>
      </c>
      <c r="D430" s="2471" t="s">
        <v>5709</v>
      </c>
      <c r="E430" s="699" t="s">
        <v>7342</v>
      </c>
      <c r="F430" s="725" t="s">
        <v>664</v>
      </c>
      <c r="G430" s="725">
        <v>5</v>
      </c>
      <c r="H430" s="92">
        <v>6</v>
      </c>
      <c r="I430" s="702">
        <f t="shared" si="21"/>
        <v>1.4</v>
      </c>
      <c r="J430" s="702">
        <f t="shared" ref="J430" si="22">SUM(M430:R430)</f>
        <v>1.4</v>
      </c>
      <c r="K430" s="703"/>
      <c r="L430" s="703"/>
      <c r="M430" s="1387"/>
      <c r="N430" s="703"/>
      <c r="O430" s="1379"/>
      <c r="P430" s="1372"/>
      <c r="Q430" s="1364"/>
      <c r="R430" s="925">
        <v>1.4</v>
      </c>
      <c r="S430" s="730"/>
      <c r="T430" s="1931"/>
      <c r="U430" s="732"/>
      <c r="V430" s="732"/>
      <c r="W430" s="730"/>
      <c r="X430" s="731"/>
      <c r="Y430" s="730"/>
      <c r="Z430" s="731"/>
      <c r="AB430" s="3">
        <v>1</v>
      </c>
      <c r="AE430" s="2461"/>
      <c r="AF430" s="68"/>
    </row>
    <row r="431" spans="1:32" ht="30.5" x14ac:dyDescent="0.35">
      <c r="A431" s="515"/>
      <c r="B431" s="515" t="s">
        <v>981</v>
      </c>
      <c r="C431" s="515"/>
      <c r="D431" s="515"/>
      <c r="E431" s="1596" t="s">
        <v>10827</v>
      </c>
      <c r="F431" s="13"/>
      <c r="G431" s="13"/>
      <c r="H431" s="13"/>
      <c r="I431" s="297"/>
      <c r="J431" s="297"/>
      <c r="K431" s="297"/>
      <c r="L431" s="297"/>
      <c r="M431" s="1541"/>
      <c r="N431" s="297"/>
      <c r="O431" s="302"/>
      <c r="P431" s="297"/>
      <c r="Q431" s="932"/>
      <c r="R431" s="925"/>
      <c r="S431" s="154"/>
      <c r="T431" s="154"/>
      <c r="U431" s="154"/>
      <c r="V431" s="154"/>
      <c r="W431" s="1881"/>
      <c r="X431" s="1962"/>
      <c r="Y431" s="164"/>
      <c r="Z431" s="250"/>
      <c r="AE431" s="2461"/>
      <c r="AF431" s="68"/>
    </row>
    <row r="432" spans="1:32" ht="45.5" x14ac:dyDescent="0.35">
      <c r="A432" s="693">
        <v>220</v>
      </c>
      <c r="B432" s="515" t="s">
        <v>299</v>
      </c>
      <c r="C432" s="358" t="s">
        <v>1656</v>
      </c>
      <c r="D432" s="2469" t="s">
        <v>6401</v>
      </c>
      <c r="E432" s="511" t="s">
        <v>9042</v>
      </c>
      <c r="F432" s="1138" t="s">
        <v>664</v>
      </c>
      <c r="G432" s="2289">
        <v>5</v>
      </c>
      <c r="H432" s="92">
        <v>6</v>
      </c>
      <c r="I432" s="297">
        <f t="shared" si="21"/>
        <v>0.25</v>
      </c>
      <c r="J432" s="297">
        <f>SUM(M432:R432)</f>
        <v>0.25</v>
      </c>
      <c r="K432" s="298"/>
      <c r="L432" s="298"/>
      <c r="M432" s="1542"/>
      <c r="N432" s="298"/>
      <c r="O432" s="299"/>
      <c r="P432" s="298"/>
      <c r="Q432" s="933"/>
      <c r="R432" s="927">
        <v>0.25</v>
      </c>
      <c r="S432" s="1138"/>
      <c r="T432" s="1138"/>
      <c r="U432" s="1944"/>
      <c r="V432" s="1944"/>
      <c r="W432" s="1138"/>
      <c r="X432" s="2074"/>
      <c r="Y432" s="1953"/>
      <c r="Z432" s="509"/>
      <c r="AB432">
        <v>1</v>
      </c>
      <c r="AE432" s="2461"/>
      <c r="AF432" s="68"/>
    </row>
    <row r="433" spans="1:32" ht="45.5" x14ac:dyDescent="0.35">
      <c r="A433" s="693">
        <v>221</v>
      </c>
      <c r="B433" s="1162" t="s">
        <v>2166</v>
      </c>
      <c r="C433" s="1162"/>
      <c r="D433" s="2469" t="s">
        <v>6403</v>
      </c>
      <c r="E433" s="288" t="s">
        <v>10276</v>
      </c>
      <c r="F433" s="13" t="s">
        <v>664</v>
      </c>
      <c r="G433" s="13">
        <v>5</v>
      </c>
      <c r="H433" s="92">
        <v>6</v>
      </c>
      <c r="I433" s="297">
        <f>J433+K433+L433</f>
        <v>2.2799999999999998</v>
      </c>
      <c r="J433" s="297">
        <f>SUM(M433:R433)</f>
        <v>2.2799999999999998</v>
      </c>
      <c r="K433" s="489"/>
      <c r="L433" s="489"/>
      <c r="M433" s="1543"/>
      <c r="N433" s="489"/>
      <c r="O433" s="491"/>
      <c r="P433" s="489"/>
      <c r="Q433" s="932"/>
      <c r="R433" s="929">
        <v>2.2799999999999998</v>
      </c>
      <c r="S433" s="154"/>
      <c r="T433" s="154"/>
      <c r="U433" s="154"/>
      <c r="V433" s="154"/>
      <c r="W433" s="55"/>
      <c r="X433" s="1962"/>
      <c r="Y433" s="164"/>
      <c r="Z433" s="250"/>
      <c r="AB433">
        <v>1</v>
      </c>
      <c r="AE433" s="2461"/>
      <c r="AF433" s="68"/>
    </row>
    <row r="434" spans="1:32" ht="45.5" x14ac:dyDescent="0.35">
      <c r="A434" s="693">
        <v>222</v>
      </c>
      <c r="B434" s="1162" t="s">
        <v>2166</v>
      </c>
      <c r="C434" s="1162"/>
      <c r="D434" s="2469" t="s">
        <v>6404</v>
      </c>
      <c r="E434" s="288" t="s">
        <v>9200</v>
      </c>
      <c r="F434" s="13" t="s">
        <v>664</v>
      </c>
      <c r="G434" s="13">
        <v>5</v>
      </c>
      <c r="H434" s="92">
        <v>6</v>
      </c>
      <c r="I434" s="297">
        <f>J434+K434+L434</f>
        <v>1.2</v>
      </c>
      <c r="J434" s="297">
        <f>SUM(M434:R434)</f>
        <v>1.2</v>
      </c>
      <c r="K434" s="489"/>
      <c r="L434" s="489"/>
      <c r="M434" s="1543"/>
      <c r="N434" s="489"/>
      <c r="O434" s="491"/>
      <c r="P434" s="489"/>
      <c r="Q434" s="932"/>
      <c r="R434" s="929">
        <v>1.2</v>
      </c>
      <c r="S434" s="154"/>
      <c r="T434" s="154"/>
      <c r="U434" s="154"/>
      <c r="V434" s="154"/>
      <c r="W434" s="1881">
        <v>1</v>
      </c>
      <c r="X434" s="1962">
        <v>15</v>
      </c>
      <c r="Y434" s="164"/>
      <c r="Z434" s="250"/>
      <c r="AB434">
        <v>1</v>
      </c>
      <c r="AE434" s="2461"/>
      <c r="AF434" s="68"/>
    </row>
  </sheetData>
  <autoFilter ref="A29:AB434"/>
  <mergeCells count="35">
    <mergeCell ref="P6:P8"/>
    <mergeCell ref="Q6:Q8"/>
    <mergeCell ref="K6:K8"/>
    <mergeCell ref="S6:T6"/>
    <mergeCell ref="H5:H8"/>
    <mergeCell ref="S5:V5"/>
    <mergeCell ref="A2:Z2"/>
    <mergeCell ref="A3:Z3"/>
    <mergeCell ref="F5:F8"/>
    <mergeCell ref="G5:G8"/>
    <mergeCell ref="I5:L5"/>
    <mergeCell ref="M5:R5"/>
    <mergeCell ref="N6:N8"/>
    <mergeCell ref="B5:B8"/>
    <mergeCell ref="W6:X6"/>
    <mergeCell ref="W5:Z5"/>
    <mergeCell ref="I6:I8"/>
    <mergeCell ref="J6:J8"/>
    <mergeCell ref="X7:X8"/>
    <mergeCell ref="U6:V6"/>
    <mergeCell ref="Z7:Z8"/>
    <mergeCell ref="U7:U8"/>
    <mergeCell ref="A5:A8"/>
    <mergeCell ref="D5:D8"/>
    <mergeCell ref="E5:E8"/>
    <mergeCell ref="Y6:Z6"/>
    <mergeCell ref="S7:S8"/>
    <mergeCell ref="T7:T8"/>
    <mergeCell ref="W7:W8"/>
    <mergeCell ref="L6:L8"/>
    <mergeCell ref="M6:M8"/>
    <mergeCell ref="Y7:Y8"/>
    <mergeCell ref="O6:O8"/>
    <mergeCell ref="V7:V8"/>
    <mergeCell ref="R6:R8"/>
  </mergeCells>
  <phoneticPr fontId="0" type="noConversion"/>
  <printOptions horizontalCentered="1"/>
  <pageMargins left="0.39370078740157483" right="0.39370078740157483" top="0.59055118110236227" bottom="0.39370078740157483" header="0.51181102362204722" footer="0.19685039370078741"/>
  <pageSetup paperSize="9" scale="56" fitToHeight="0" orientation="landscape" r:id="rId1"/>
  <headerFooter alignWithMargins="0">
    <oddFooter>&amp;L&amp;"Times New Roman,обычный"&amp;10Чаусское ДРСУ-176&amp;R&amp;"Times New Roman,обычный"&amp;10&amp;P</oddFooter>
  </headerFooter>
  <rowBreaks count="8" manualBreakCount="8">
    <brk id="50" max="24" man="1"/>
    <brk id="87" max="24" man="1"/>
    <brk id="119" max="24" man="1"/>
    <brk id="176" max="24" man="1"/>
    <brk id="203" max="24" man="1"/>
    <brk id="278" max="24" man="1"/>
    <brk id="327" max="24" man="1"/>
    <brk id="394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2:BR288"/>
  <sheetViews>
    <sheetView zoomScale="90" zoomScaleNormal="90"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8.9140625" defaultRowHeight="15.5" x14ac:dyDescent="0.35"/>
  <cols>
    <col min="1" max="1" width="4.4140625" style="155" customWidth="1"/>
    <col min="2" max="3" width="7.25" style="155" hidden="1" customWidth="1"/>
    <col min="4" max="4" width="7.25" style="155" customWidth="1"/>
    <col min="5" max="5" width="43.4140625" style="176" customWidth="1"/>
    <col min="6" max="6" width="6.75" style="5" customWidth="1"/>
    <col min="7" max="8" width="7.25" style="5" customWidth="1"/>
    <col min="9" max="10" width="7.08203125" style="5" customWidth="1"/>
    <col min="11" max="12" width="6.58203125" style="5" customWidth="1"/>
    <col min="13" max="13" width="6.4140625" style="5" customWidth="1"/>
    <col min="14" max="14" width="7" style="5" customWidth="1"/>
    <col min="15" max="15" width="6.6640625" style="5" customWidth="1"/>
    <col min="16" max="17" width="6.58203125" style="5" customWidth="1"/>
    <col min="18" max="18" width="7.25" style="5" customWidth="1"/>
    <col min="19" max="19" width="4.58203125" style="5" customWidth="1"/>
    <col min="20" max="20" width="7.25" style="5" customWidth="1"/>
    <col min="21" max="21" width="4.6640625" style="5" customWidth="1"/>
    <col min="22" max="22" width="5.6640625" style="5" customWidth="1"/>
    <col min="23" max="23" width="4.58203125" style="5" customWidth="1"/>
    <col min="24" max="24" width="7.6640625" style="5" customWidth="1"/>
    <col min="25" max="25" width="4.33203125" style="5" customWidth="1"/>
    <col min="26" max="26" width="7.6640625" style="5" customWidth="1"/>
    <col min="27" max="36" width="8.9140625" style="3"/>
    <col min="37" max="37" width="22.08203125" style="3" customWidth="1"/>
    <col min="38" max="16384" width="8.9140625" style="3"/>
  </cols>
  <sheetData>
    <row r="2" spans="1:70" ht="20" x14ac:dyDescent="0.35">
      <c r="A2" s="3117" t="s">
        <v>10634</v>
      </c>
      <c r="B2" s="3117"/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</row>
    <row r="3" spans="1:70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70" ht="16" thickBot="1" x14ac:dyDescent="0.4">
      <c r="E4" s="176" t="s">
        <v>1516</v>
      </c>
      <c r="J4" s="2314"/>
      <c r="W4" s="65"/>
      <c r="X4" s="2061"/>
    </row>
    <row r="5" spans="1:70" ht="18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70" ht="32.25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70" ht="18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70" ht="18" customHeight="1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70" s="156" customFormat="1" ht="17.25" customHeight="1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</row>
    <row r="10" spans="1:70" s="90" customFormat="1" ht="18" customHeight="1" thickBot="1" x14ac:dyDescent="0.4">
      <c r="A10" s="1526"/>
      <c r="B10" s="1527"/>
      <c r="C10" s="1527"/>
      <c r="D10" s="1528"/>
      <c r="E10" s="1207" t="s">
        <v>2392</v>
      </c>
      <c r="F10" s="1208"/>
      <c r="G10" s="1208"/>
      <c r="H10" s="1208"/>
      <c r="I10" s="845">
        <f>J10+K10+L10</f>
        <v>350.28800000000001</v>
      </c>
      <c r="J10" s="845">
        <f>M10+N10+O10+P10+Q10+R10</f>
        <v>348.74799999999999</v>
      </c>
      <c r="K10" s="845">
        <f t="shared" ref="K10:R10" si="0">K11+K12+K13+K14</f>
        <v>0</v>
      </c>
      <c r="L10" s="845">
        <f t="shared" si="0"/>
        <v>1.5400000000000003</v>
      </c>
      <c r="M10" s="845">
        <f t="shared" si="0"/>
        <v>0</v>
      </c>
      <c r="N10" s="845">
        <f t="shared" si="0"/>
        <v>112.31700000000004</v>
      </c>
      <c r="O10" s="849">
        <f t="shared" si="0"/>
        <v>0</v>
      </c>
      <c r="P10" s="845">
        <f t="shared" si="0"/>
        <v>0</v>
      </c>
      <c r="Q10" s="858">
        <f t="shared" si="0"/>
        <v>77.391999999999982</v>
      </c>
      <c r="R10" s="868">
        <f t="shared" si="0"/>
        <v>159.03899999999999</v>
      </c>
      <c r="S10" s="1268">
        <f>SUM(S30:S930)</f>
        <v>12</v>
      </c>
      <c r="T10" s="1208">
        <f t="shared" ref="T10:Z10" si="1">SUM(T30:T930)</f>
        <v>317.26000076293946</v>
      </c>
      <c r="U10" s="1268">
        <f t="shared" si="1"/>
        <v>1</v>
      </c>
      <c r="V10" s="1208">
        <f t="shared" si="1"/>
        <v>38</v>
      </c>
      <c r="W10" s="1268">
        <f t="shared" si="1"/>
        <v>414</v>
      </c>
      <c r="X10" s="1208">
        <f t="shared" si="1"/>
        <v>5172.5299994277957</v>
      </c>
      <c r="Y10" s="1268">
        <f t="shared" si="1"/>
        <v>131</v>
      </c>
      <c r="Z10" s="1208">
        <f t="shared" si="1"/>
        <v>1364.3000026702882</v>
      </c>
      <c r="AA10" s="3"/>
      <c r="AB10" s="1268">
        <f>SUM(AB30:AB279)</f>
        <v>159</v>
      </c>
      <c r="AC10" s="3"/>
      <c r="AD10" s="3"/>
      <c r="AE10" s="3"/>
      <c r="AF10" s="3"/>
      <c r="AG10" s="3"/>
      <c r="AH10" s="3"/>
      <c r="AI10" s="3"/>
      <c r="AJ10" s="3"/>
      <c r="AK10" s="2150" t="s">
        <v>11226</v>
      </c>
      <c r="AL10" s="43"/>
      <c r="AM10" s="2812" t="s">
        <v>11227</v>
      </c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</row>
    <row r="11" spans="1:70" s="90" customFormat="1" ht="18" customHeight="1" x14ac:dyDescent="0.35">
      <c r="A11" s="445"/>
      <c r="B11" s="1028"/>
      <c r="C11" s="1028"/>
      <c r="D11" s="528"/>
      <c r="E11" s="1264" t="s">
        <v>909</v>
      </c>
      <c r="F11" s="1245">
        <v>3</v>
      </c>
      <c r="G11" s="1245"/>
      <c r="H11" s="1658"/>
      <c r="I11" s="1324"/>
      <c r="J11" s="1324"/>
      <c r="K11" s="1324"/>
      <c r="L11" s="1324"/>
      <c r="M11" s="1324"/>
      <c r="N11" s="1502"/>
      <c r="O11" s="1324"/>
      <c r="P11" s="1324"/>
      <c r="Q11" s="1326"/>
      <c r="R11" s="1327"/>
      <c r="S11" s="447"/>
      <c r="T11" s="446"/>
      <c r="U11" s="446"/>
      <c r="V11" s="446"/>
      <c r="W11" s="447"/>
      <c r="X11" s="446"/>
      <c r="Y11" s="447"/>
      <c r="Z11" s="446"/>
      <c r="AA11" s="3"/>
      <c r="AB11" s="3"/>
      <c r="AC11" s="3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J11" s="3"/>
      <c r="AK11" s="2813" t="s">
        <v>11228</v>
      </c>
      <c r="AL11" s="2576">
        <f>AL13+AL19+AL25</f>
        <v>0</v>
      </c>
      <c r="AM11" s="2814">
        <f>AL11-J18</f>
        <v>0</v>
      </c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</row>
    <row r="12" spans="1:70" s="90" customFormat="1" ht="18" customHeight="1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281">
        <f t="shared" ref="I12:I20" si="2">J12+K12+L12</f>
        <v>136.55200000000002</v>
      </c>
      <c r="J12" s="1250">
        <f t="shared" ref="J12:J20" si="3">R12+Q12+P12+O12+N12+M12</f>
        <v>136.52200000000002</v>
      </c>
      <c r="K12" s="1332">
        <f>SUMIF(F30:F884,4,K30:K884)</f>
        <v>0</v>
      </c>
      <c r="L12" s="1332">
        <f>SUMIF(F30:F884,4,L30:L884)</f>
        <v>3.0000000000000249E-2</v>
      </c>
      <c r="M12" s="1332">
        <f>SUMIF(F30:F884,4,M30:M884)</f>
        <v>0</v>
      </c>
      <c r="N12" s="1332">
        <f>SUMIF(F30:F884,4,N30:N884)</f>
        <v>92.89100000000002</v>
      </c>
      <c r="O12" s="1332">
        <f>SUMIF(F30:F884,4,O30:O884)</f>
        <v>0</v>
      </c>
      <c r="P12" s="1332">
        <f>SUMIF(F30:F884,4,P30:P884)</f>
        <v>0</v>
      </c>
      <c r="Q12" s="1252">
        <f>SUMIF(F30:F884,4,Q30:Q884)</f>
        <v>43.630999999999993</v>
      </c>
      <c r="R12" s="1256">
        <f>SUMIF(F30:F884,4,R30:R884)</f>
        <v>0</v>
      </c>
      <c r="S12" s="228"/>
      <c r="T12" s="275"/>
      <c r="U12" s="275"/>
      <c r="V12" s="275"/>
      <c r="W12" s="228"/>
      <c r="X12" s="275"/>
      <c r="Y12" s="228"/>
      <c r="Z12" s="275"/>
      <c r="AA12" s="3"/>
      <c r="AB12" s="3"/>
      <c r="AC12" s="3"/>
      <c r="AD12" s="2777" t="s">
        <v>11125</v>
      </c>
      <c r="AE12" s="2776"/>
      <c r="AF12" s="2778"/>
      <c r="AG12" s="2776"/>
      <c r="AH12" s="2776"/>
      <c r="AI12" s="2776"/>
      <c r="AJ12" s="3"/>
      <c r="AK12" s="2815" t="s">
        <v>11229</v>
      </c>
      <c r="AL12" s="2816"/>
      <c r="AM12" s="2817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</row>
    <row r="13" spans="1:70" s="90" customFormat="1" ht="18" customHeight="1" x14ac:dyDescent="0.35">
      <c r="A13" s="285"/>
      <c r="B13" s="993"/>
      <c r="C13" s="993"/>
      <c r="D13" s="274"/>
      <c r="E13" s="640"/>
      <c r="F13" s="1249">
        <v>5</v>
      </c>
      <c r="G13" s="1249"/>
      <c r="H13" s="1249"/>
      <c r="I13" s="1281">
        <f t="shared" si="2"/>
        <v>42.449999999999996</v>
      </c>
      <c r="J13" s="1250">
        <f t="shared" si="3"/>
        <v>42.449999999999996</v>
      </c>
      <c r="K13" s="1332">
        <f>SUMIF(F30:F884,5,K30:K884)</f>
        <v>0</v>
      </c>
      <c r="L13" s="1332">
        <f>SUMIF(F30:F884,5,L30:L884)</f>
        <v>0</v>
      </c>
      <c r="M13" s="1332">
        <f>SUMIF(F30:F884,5,M30:M884)</f>
        <v>0</v>
      </c>
      <c r="N13" s="1332">
        <f>SUMIF(F30:F884,5,N30:N884)</f>
        <v>2.6830000000000003</v>
      </c>
      <c r="O13" s="1332">
        <f>SUMIF(F30:F884,5,O30:O884)</f>
        <v>0</v>
      </c>
      <c r="P13" s="1332">
        <f>SUMIF(F30:F884,5,P30:P884)</f>
        <v>0</v>
      </c>
      <c r="Q13" s="1252">
        <f>SUMIF(F30:F884,5,Q30:Q884)</f>
        <v>22.997</v>
      </c>
      <c r="R13" s="1256">
        <f>SUMIF(F30:F884,5,R30:R884)</f>
        <v>16.77</v>
      </c>
      <c r="S13" s="228"/>
      <c r="T13" s="275"/>
      <c r="U13" s="275"/>
      <c r="V13" s="275"/>
      <c r="W13" s="228"/>
      <c r="X13" s="275"/>
      <c r="Y13" s="228"/>
      <c r="Z13" s="275"/>
      <c r="AA13" s="3"/>
      <c r="AB13" s="3"/>
      <c r="AC13" s="3"/>
      <c r="AD13" s="2777" t="s">
        <v>11126</v>
      </c>
      <c r="AE13" s="2776"/>
      <c r="AF13" s="2778">
        <v>79</v>
      </c>
      <c r="AG13" s="2783">
        <f>M12+N12+O12</f>
        <v>92.89100000000002</v>
      </c>
      <c r="AH13" s="2783">
        <f>M13+N13+O13</f>
        <v>2.6830000000000003</v>
      </c>
      <c r="AI13" s="2784">
        <f>M14+N14+O14</f>
        <v>16.743000000000002</v>
      </c>
      <c r="AJ13" s="3"/>
      <c r="AK13" s="2818" t="s">
        <v>7184</v>
      </c>
      <c r="AL13" s="2819">
        <f>AL14+AL15+AL16+AL17+AL18</f>
        <v>0</v>
      </c>
      <c r="AM13" s="2820">
        <f>AL13-AF29</f>
        <v>0</v>
      </c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</row>
    <row r="14" spans="1:70" s="90" customFormat="1" ht="18" customHeight="1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 t="shared" si="2"/>
        <v>171.28599999999997</v>
      </c>
      <c r="J14" s="1250">
        <f t="shared" si="3"/>
        <v>169.77599999999998</v>
      </c>
      <c r="K14" s="1250">
        <f>K15+K16+K17</f>
        <v>0</v>
      </c>
      <c r="L14" s="1250">
        <f>L15+L16+L17</f>
        <v>1.51</v>
      </c>
      <c r="M14" s="1250">
        <f t="shared" ref="M14:R14" si="4">M15+M16+M17</f>
        <v>0</v>
      </c>
      <c r="N14" s="1250">
        <f t="shared" si="4"/>
        <v>16.743000000000002</v>
      </c>
      <c r="O14" s="1251">
        <f t="shared" si="4"/>
        <v>0</v>
      </c>
      <c r="P14" s="1317">
        <f t="shared" si="4"/>
        <v>0</v>
      </c>
      <c r="Q14" s="1252">
        <f t="shared" si="4"/>
        <v>10.763999999999999</v>
      </c>
      <c r="R14" s="1256">
        <f t="shared" si="4"/>
        <v>142.26899999999998</v>
      </c>
      <c r="S14" s="228"/>
      <c r="T14" s="275"/>
      <c r="U14" s="275"/>
      <c r="V14" s="275"/>
      <c r="W14" s="228"/>
      <c r="X14" s="275"/>
      <c r="Y14" s="228"/>
      <c r="Z14" s="275"/>
      <c r="AA14" s="3"/>
      <c r="AB14" s="3"/>
      <c r="AC14" s="3"/>
      <c r="AD14" s="2777" t="s">
        <v>11127</v>
      </c>
      <c r="AE14" s="2776"/>
      <c r="AF14" s="2778">
        <v>80</v>
      </c>
      <c r="AG14" s="2785">
        <f>P12+Q12</f>
        <v>43.630999999999993</v>
      </c>
      <c r="AH14" s="2785">
        <f>P13+Q13</f>
        <v>22.997</v>
      </c>
      <c r="AI14" s="2786">
        <f>P14+Q14</f>
        <v>10.763999999999999</v>
      </c>
      <c r="AJ14" s="3"/>
      <c r="AK14" s="2815" t="s">
        <v>11230</v>
      </c>
      <c r="AL14" s="2579">
        <f>SUMIFS(M30:M951,F30:F951,4,G30:G951,3)</f>
        <v>0</v>
      </c>
      <c r="AM14" s="2817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</row>
    <row r="15" spans="1:70" s="90" customFormat="1" ht="18" customHeight="1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 t="shared" si="2"/>
        <v>42.109000000000009</v>
      </c>
      <c r="J15" s="1318">
        <f t="shared" si="3"/>
        <v>42.109000000000009</v>
      </c>
      <c r="K15" s="1318">
        <f>SUMIF(F30:F922,"=6а",K30:K922)</f>
        <v>0</v>
      </c>
      <c r="L15" s="1318">
        <f>SUMIF(F30:F922,"=6а",L30:L922)</f>
        <v>0</v>
      </c>
      <c r="M15" s="1318">
        <f>SUMIF(F30:F922,"=6а",M30:M922)</f>
        <v>0</v>
      </c>
      <c r="N15" s="1318">
        <f>SUMIF(F30:F922,"=6а",N30:N922)</f>
        <v>16.311000000000003</v>
      </c>
      <c r="O15" s="1319">
        <f>SUMIF(F30:F922,"=6а",O30:O922)</f>
        <v>0</v>
      </c>
      <c r="P15" s="1320">
        <f>SUMIF(F30:F922,"=6а",P30:P922)</f>
        <v>0</v>
      </c>
      <c r="Q15" s="1321">
        <f>SUMIF(F30:F922,"=6а",Q30:Q922)</f>
        <v>9.1639999999999997</v>
      </c>
      <c r="R15" s="1322">
        <f>SUMIF(F30:F922,"=6а",R30:R922)</f>
        <v>16.634</v>
      </c>
      <c r="S15" s="228"/>
      <c r="T15" s="275"/>
      <c r="U15" s="275"/>
      <c r="V15" s="275"/>
      <c r="W15" s="228"/>
      <c r="X15" s="275"/>
      <c r="Y15" s="228"/>
      <c r="Z15" s="275"/>
      <c r="AA15" s="3"/>
      <c r="AB15" s="3"/>
      <c r="AC15" s="3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16.77</v>
      </c>
      <c r="AI15" s="2788">
        <f>R14</f>
        <v>142.26899999999998</v>
      </c>
      <c r="AJ15" s="3"/>
      <c r="AK15" s="2815" t="s">
        <v>11231</v>
      </c>
      <c r="AL15" s="2579">
        <f>SUMIFS(N30:N951,F30:F951,4,G30:G951,3)</f>
        <v>0</v>
      </c>
      <c r="AM15" s="2817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</row>
    <row r="16" spans="1:70" s="90" customFormat="1" ht="18" customHeight="1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 t="shared" si="2"/>
        <v>13.027000000000001</v>
      </c>
      <c r="J16" s="1318">
        <f t="shared" si="3"/>
        <v>13.027000000000001</v>
      </c>
      <c r="K16" s="1318">
        <f>SUMIF(F30:F923,"=6б",K30:K923)</f>
        <v>0</v>
      </c>
      <c r="L16" s="1318">
        <f>SUMIF(F30:F923,"=6б",L30:L923)</f>
        <v>0</v>
      </c>
      <c r="M16" s="1318">
        <f>SUMIF(F30:F923,"=6б",M30:M923)</f>
        <v>0</v>
      </c>
      <c r="N16" s="1318">
        <f>SUMIF(F30:F923,"=6б",N30:N923)</f>
        <v>0.432</v>
      </c>
      <c r="O16" s="1319">
        <f>SUMIF(F30:F923,"=6б",O30:O923)</f>
        <v>0</v>
      </c>
      <c r="P16" s="1320">
        <f>SUMIF(F30:F923,"=6б",P30:P923)</f>
        <v>0</v>
      </c>
      <c r="Q16" s="1321">
        <f>SUMIF(F30:F923,"=6б",Q30:Q923)</f>
        <v>1.6</v>
      </c>
      <c r="R16" s="1322">
        <f>SUMIF(F30:F923,"=6б",R30:R923)</f>
        <v>10.995000000000001</v>
      </c>
      <c r="S16" s="228"/>
      <c r="T16" s="275"/>
      <c r="U16" s="275"/>
      <c r="V16" s="275"/>
      <c r="W16" s="228"/>
      <c r="X16" s="275"/>
      <c r="Y16" s="228"/>
      <c r="Z16" s="275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2815" t="s">
        <v>11232</v>
      </c>
      <c r="AL16" s="2579">
        <f>SUMIFS(O30:O951,F30:F951,4,G30:G951,3)</f>
        <v>0</v>
      </c>
      <c r="AM16" s="2817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</row>
    <row r="17" spans="1:70" s="90" customFormat="1" ht="18" customHeight="1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72">
        <f t="shared" si="2"/>
        <v>116.14999999999999</v>
      </c>
      <c r="J17" s="2272">
        <f t="shared" si="3"/>
        <v>114.63999999999999</v>
      </c>
      <c r="K17" s="2272">
        <f>SUMIF(F30:F924,"=б/к",K30:K924)</f>
        <v>0</v>
      </c>
      <c r="L17" s="2272">
        <f>SUMIF(F30:F924,"=б/к",L30:L924)</f>
        <v>1.51</v>
      </c>
      <c r="M17" s="2272">
        <f>SUMIF(F30:F924,"=б/к",M30:M924)</f>
        <v>0</v>
      </c>
      <c r="N17" s="2272">
        <f>SUMIF(F30:F924,"=б/к",N30:N924)</f>
        <v>0</v>
      </c>
      <c r="O17" s="2272">
        <f>SUMIF(F30:F924,"=б/к",O30:O924)</f>
        <v>0</v>
      </c>
      <c r="P17" s="2272">
        <f>SUMIF(F30:F924,"=б/к",P30:P924)</f>
        <v>0</v>
      </c>
      <c r="Q17" s="2273">
        <f>SUMIF(F30:F924,"=б/к",Q30:Q924)</f>
        <v>0</v>
      </c>
      <c r="R17" s="2274">
        <f>SUMIF(F30:F924,"=б/к",R30:R924)</f>
        <v>114.63999999999999</v>
      </c>
      <c r="S17" s="228"/>
      <c r="T17" s="275"/>
      <c r="U17" s="275"/>
      <c r="V17" s="275"/>
      <c r="W17" s="228"/>
      <c r="X17" s="275"/>
      <c r="Y17" s="228"/>
      <c r="Z17" s="27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2815" t="s">
        <v>11233</v>
      </c>
      <c r="AL17" s="2579">
        <f>SUMIFS(P30:P951,F30:F951,4,G30:G951,3)+SUMIFS(Q30:Q951,F30:F951,4,G30:G951,3)</f>
        <v>0</v>
      </c>
      <c r="AM17" s="2817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</row>
    <row r="18" spans="1:70" s="90" customFormat="1" ht="18" customHeight="1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242">
        <f t="shared" si="2"/>
        <v>0</v>
      </c>
      <c r="J18" s="1242">
        <f t="shared" si="3"/>
        <v>0</v>
      </c>
      <c r="K18" s="1334">
        <f>SUMIF(G30:G884,3,K30:K884)</f>
        <v>0</v>
      </c>
      <c r="L18" s="1334">
        <f>SUMIF(G30:G884,3,L30:L884)</f>
        <v>0</v>
      </c>
      <c r="M18" s="1334">
        <f>SUMIF(G30:G884,3,M30:M884)</f>
        <v>0</v>
      </c>
      <c r="N18" s="1334">
        <f>SUMIF(G30:G884,3,N30:N884)</f>
        <v>0</v>
      </c>
      <c r="O18" s="1334">
        <f>SUMIF(G30:G884,3,O30:O884)</f>
        <v>0</v>
      </c>
      <c r="P18" s="1334">
        <f>SUMIF(G30:G884,3,P30:P884)</f>
        <v>0</v>
      </c>
      <c r="Q18" s="1244">
        <f>SUMIF(G30:G884,3,Q30:Q884)</f>
        <v>0</v>
      </c>
      <c r="R18" s="1257">
        <f>SUMIF(G30:G884,3,R30:R884)</f>
        <v>0</v>
      </c>
      <c r="S18" s="228"/>
      <c r="T18" s="275"/>
      <c r="U18" s="275"/>
      <c r="V18" s="275"/>
      <c r="W18" s="228"/>
      <c r="X18" s="275"/>
      <c r="Y18" s="228"/>
      <c r="Z18" s="27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2815" t="s">
        <v>910</v>
      </c>
      <c r="AL18" s="2579">
        <f>SUMIFS(R30:R951,F30:F951,4,G30:G951,3)</f>
        <v>0</v>
      </c>
      <c r="AM18" s="2817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</row>
    <row r="19" spans="1:70" s="90" customFormat="1" ht="18" customHeight="1" x14ac:dyDescent="0.35">
      <c r="A19" s="285"/>
      <c r="B19" s="993"/>
      <c r="C19" s="993"/>
      <c r="D19" s="274"/>
      <c r="E19" s="98"/>
      <c r="F19" s="1240"/>
      <c r="G19" s="1241">
        <v>4</v>
      </c>
      <c r="H19" s="1241"/>
      <c r="I19" s="1242">
        <f t="shared" si="2"/>
        <v>74.52</v>
      </c>
      <c r="J19" s="1242">
        <f t="shared" si="3"/>
        <v>74.52</v>
      </c>
      <c r="K19" s="1334">
        <f>SUMIF(G30:G884,4,K30:K884)</f>
        <v>0</v>
      </c>
      <c r="L19" s="1334">
        <f>SUMIF(G30:G884,4,L30:L884)</f>
        <v>0</v>
      </c>
      <c r="M19" s="1334">
        <f>SUMIF(G30:G884,4,M30:M884)</f>
        <v>0</v>
      </c>
      <c r="N19" s="1334">
        <f>SUMIF(G30:G884,4,N30:N884)</f>
        <v>63.690999999999995</v>
      </c>
      <c r="O19" s="1334">
        <f>SUMIF(G30:G884,4,O30:O884)</f>
        <v>0</v>
      </c>
      <c r="P19" s="1334">
        <f>SUMIF(G30:G884,4,P30:P884)</f>
        <v>0</v>
      </c>
      <c r="Q19" s="1244">
        <f>SUMIF(G30:G884,4,Q30:Q884)</f>
        <v>10.829000000000001</v>
      </c>
      <c r="R19" s="1257">
        <f>SUMIF(G30:G884,4,R30:R884)</f>
        <v>0</v>
      </c>
      <c r="S19" s="228"/>
      <c r="T19" s="275"/>
      <c r="U19" s="275"/>
      <c r="V19" s="275"/>
      <c r="W19" s="228"/>
      <c r="X19" s="275"/>
      <c r="Y19" s="228"/>
      <c r="Z19" s="275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2818" t="s">
        <v>7185</v>
      </c>
      <c r="AL19" s="2821">
        <f>AL20+AL21+AL22+AL23+AL24</f>
        <v>0</v>
      </c>
      <c r="AM19" s="2820">
        <f>AL19-AG29</f>
        <v>0</v>
      </c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</row>
    <row r="20" spans="1:70" s="90" customFormat="1" ht="18" customHeight="1" x14ac:dyDescent="0.35">
      <c r="A20" s="387"/>
      <c r="B20" s="994"/>
      <c r="C20" s="994"/>
      <c r="D20" s="388"/>
      <c r="E20" s="319"/>
      <c r="F20" s="1258"/>
      <c r="G20" s="1259">
        <v>5</v>
      </c>
      <c r="H20" s="1259"/>
      <c r="I20" s="1260">
        <f t="shared" si="2"/>
        <v>275.76799999999992</v>
      </c>
      <c r="J20" s="1260">
        <f t="shared" si="3"/>
        <v>274.22799999999989</v>
      </c>
      <c r="K20" s="1555">
        <f>SUMIF(G30:G884,5,K30:K884)</f>
        <v>0</v>
      </c>
      <c r="L20" s="1555">
        <f>SUMIF(G30:G884,5,L30:L884)</f>
        <v>1.5400000000000003</v>
      </c>
      <c r="M20" s="1555">
        <f>SUMIF(G30:G884,5,M30:M884)</f>
        <v>0</v>
      </c>
      <c r="N20" s="1555">
        <f>SUMIF(G30:G884,5,N30:N884)</f>
        <v>48.625999999999998</v>
      </c>
      <c r="O20" s="1555">
        <f>SUMIF(G30:G884,5,O30:O884)</f>
        <v>0</v>
      </c>
      <c r="P20" s="1555">
        <f>SUMIF(G30:G884,5,P30:P884)</f>
        <v>0</v>
      </c>
      <c r="Q20" s="1262">
        <f>SUMIF(G30:G884,5,Q30:Q884)</f>
        <v>66.563000000000002</v>
      </c>
      <c r="R20" s="1263">
        <f>SUMIF(G30:G884,5,R30:R884)</f>
        <v>159.03899999999993</v>
      </c>
      <c r="S20" s="760"/>
      <c r="T20" s="404"/>
      <c r="U20" s="404"/>
      <c r="V20" s="404"/>
      <c r="W20" s="760"/>
      <c r="X20" s="404"/>
      <c r="Y20" s="760"/>
      <c r="Z20" s="40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2815" t="s">
        <v>11230</v>
      </c>
      <c r="AL20" s="2579">
        <f>SUMIFS(M30:M951,F30:F951,5,G30:G951,3)</f>
        <v>0</v>
      </c>
      <c r="AM20" s="2817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</row>
    <row r="21" spans="1:70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275"/>
      <c r="AA21" s="3"/>
      <c r="AK21" s="2815" t="s">
        <v>11231</v>
      </c>
      <c r="AL21" s="2579">
        <f>SUMIFS(N30:N951,F30:F951,5,G30:G951,3)</f>
        <v>0</v>
      </c>
      <c r="AM21" s="2817"/>
    </row>
    <row r="22" spans="1:70" customFormat="1" x14ac:dyDescent="0.35">
      <c r="A22" s="285"/>
      <c r="B22" s="993"/>
      <c r="C22" s="993"/>
      <c r="D22" s="538">
        <f>SUMIF(C30:C854,"=сад",AB30:AB854)</f>
        <v>1</v>
      </c>
      <c r="E22" s="2241" t="s">
        <v>2763</v>
      </c>
      <c r="F22" s="98"/>
      <c r="G22" s="226"/>
      <c r="H22" s="226"/>
      <c r="I22" s="2247">
        <f>J22+K22+L22</f>
        <v>1.3</v>
      </c>
      <c r="J22" s="2247">
        <f>R22+Q22+P22+O22+N22+M22</f>
        <v>1.3</v>
      </c>
      <c r="K22" s="2247">
        <f>SUMIF(C30:C854,"=сад",K30:K854)</f>
        <v>0</v>
      </c>
      <c r="L22" s="2247">
        <f>SUMIF(C30:C854,"=сад",L30:L854)</f>
        <v>0</v>
      </c>
      <c r="M22" s="2247">
        <f>SUMIF(C30:C854,"=сад",M30:M854)</f>
        <v>0</v>
      </c>
      <c r="N22" s="2247">
        <f>SUMIF(C30:C854,"=сад",N30:N854)</f>
        <v>0</v>
      </c>
      <c r="O22" s="2248">
        <f>SUMIF(C30:C854,"=сад",O30:O854)</f>
        <v>0</v>
      </c>
      <c r="P22" s="2247">
        <f>SUMIF(C30:C854,"=сад",P30:P854)</f>
        <v>0</v>
      </c>
      <c r="Q22" s="2249">
        <f>SUMIF(C30:C854,"=сад",Q30:Q854)</f>
        <v>0</v>
      </c>
      <c r="R22" s="2250">
        <f>SUMIF(C30:C854,"=сад",R30:R854)</f>
        <v>1.3</v>
      </c>
      <c r="S22" s="275"/>
      <c r="T22" s="275"/>
      <c r="U22" s="275"/>
      <c r="V22" s="275"/>
      <c r="W22" s="275"/>
      <c r="X22" s="275"/>
      <c r="Y22" s="275"/>
      <c r="Z22" s="275"/>
      <c r="AA22" s="3"/>
      <c r="AK22" s="2815" t="s">
        <v>11232</v>
      </c>
      <c r="AL22" s="2579">
        <f>SUMIFS(O30:O951,F30:F951,5,G30:G951,3)</f>
        <v>0</v>
      </c>
      <c r="AM22" s="2817"/>
    </row>
    <row r="23" spans="1:70" customFormat="1" x14ac:dyDescent="0.35">
      <c r="A23" s="285"/>
      <c r="B23" s="993"/>
      <c r="C23" s="993"/>
      <c r="D23" s="538">
        <f>SUMIF(C30:C855,"=индив",AB30:AB855)</f>
        <v>7</v>
      </c>
      <c r="E23" s="2241" t="s">
        <v>2762</v>
      </c>
      <c r="F23" s="98"/>
      <c r="G23" s="226"/>
      <c r="H23" s="226"/>
      <c r="I23" s="2247">
        <f>J23+K23+L23</f>
        <v>3.48</v>
      </c>
      <c r="J23" s="2247">
        <f>R23+Q23+P23+O23+N23+M23</f>
        <v>3.48</v>
      </c>
      <c r="K23" s="2247">
        <f>SUMIF(C30:C855,"=индив",K30:K855)</f>
        <v>0</v>
      </c>
      <c r="L23" s="2247">
        <f>SUMIF(C30:C855,"=индив",L30:L855)</f>
        <v>0</v>
      </c>
      <c r="M23" s="2247">
        <f>SUMIF(C30:C855,"=индив",M30:M855)</f>
        <v>0</v>
      </c>
      <c r="N23" s="2247">
        <f>SUMIF(C30:C855,"=индив",N30:N855)</f>
        <v>0.75</v>
      </c>
      <c r="O23" s="2248">
        <f>SUMIF(C30:C855,"=индив",O30:O855)</f>
        <v>0</v>
      </c>
      <c r="P23" s="2247">
        <f>SUMIF(C30:C855,"=индив",P30:P855)</f>
        <v>0</v>
      </c>
      <c r="Q23" s="2249">
        <f>SUMIF(C30:C855,"=индив",Q30:Q855)</f>
        <v>0</v>
      </c>
      <c r="R23" s="2250">
        <f>SUMIF(C30:C855,"=индив",R30:R855)</f>
        <v>2.73</v>
      </c>
      <c r="S23" s="275"/>
      <c r="T23" s="275"/>
      <c r="U23" s="275"/>
      <c r="V23" s="275"/>
      <c r="W23" s="275"/>
      <c r="X23" s="275"/>
      <c r="Y23" s="275"/>
      <c r="Z23" s="275"/>
      <c r="AA23" s="3"/>
      <c r="AK23" s="2815" t="s">
        <v>11233</v>
      </c>
      <c r="AL23" s="2579">
        <f>SUMIFS(P30:P951,F30:F951,5,G30:G951,3)+SUMIFS(Q30:Q951,F30:F951,5,G30:G951,3)</f>
        <v>0</v>
      </c>
      <c r="AM23" s="2817"/>
    </row>
    <row r="24" spans="1:70" customFormat="1" x14ac:dyDescent="0.35">
      <c r="A24" s="285"/>
      <c r="B24" s="993"/>
      <c r="C24" s="993"/>
      <c r="D24" s="538">
        <f>SUMIF(C30:C856,"=кладб",AB30:AB856)</f>
        <v>74</v>
      </c>
      <c r="E24" s="2241" t="s">
        <v>2761</v>
      </c>
      <c r="F24" s="98"/>
      <c r="G24" s="226"/>
      <c r="H24" s="226"/>
      <c r="I24" s="2247">
        <f>J24+K24+L24</f>
        <v>93.020000000000024</v>
      </c>
      <c r="J24" s="2247">
        <f>R24+Q24+P24+O24+N24+M24</f>
        <v>91.510000000000019</v>
      </c>
      <c r="K24" s="2247">
        <f>SUMIF(C30:C856,"=кладб",K30:K856)</f>
        <v>0</v>
      </c>
      <c r="L24" s="2247">
        <f>SUMIF(C30:C856,"=кладб",L30:L856)</f>
        <v>1.51</v>
      </c>
      <c r="M24" s="2247">
        <f>SUMIF(C30:C856,"=кладб",M30:M856)</f>
        <v>0</v>
      </c>
      <c r="N24" s="2247">
        <f>SUMIF(C30:C856,"=кладб",N30:N856)</f>
        <v>6.1999999999999993</v>
      </c>
      <c r="O24" s="2248">
        <f>SUMIF(C30:C856,"=кладб",O30:O856)</f>
        <v>0</v>
      </c>
      <c r="P24" s="2247">
        <f>SUMIF(C30:C856,"=кладб",P30:P856)</f>
        <v>0</v>
      </c>
      <c r="Q24" s="2249">
        <f>SUMIF(C30:C856,"=кладб",Q30:Q856)</f>
        <v>5.0999999999999996</v>
      </c>
      <c r="R24" s="2250">
        <f>SUMIF(C30:C856,"=кладб",R30:R856)</f>
        <v>80.210000000000022</v>
      </c>
      <c r="S24" s="275"/>
      <c r="T24" s="275"/>
      <c r="U24" s="275"/>
      <c r="V24" s="275"/>
      <c r="W24" s="275"/>
      <c r="X24" s="275"/>
      <c r="Y24" s="275"/>
      <c r="Z24" s="275"/>
      <c r="AA24" s="3"/>
      <c r="AK24" s="2815" t="s">
        <v>910</v>
      </c>
      <c r="AL24" s="2579">
        <f>SUMIFS(R30:R951,F30:F951,5,G30:G951,3)</f>
        <v>0</v>
      </c>
      <c r="AM24" s="2817"/>
    </row>
    <row r="25" spans="1:70" customFormat="1" x14ac:dyDescent="0.35">
      <c r="A25" s="387"/>
      <c r="B25" s="994"/>
      <c r="C25" s="994"/>
      <c r="D25" s="538">
        <f>SUMIF(C30:C857,"=прир",AB30:AB857)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SUMIF(C30:C857,"=прир",K30:K857)</f>
        <v>0</v>
      </c>
      <c r="L25" s="2259">
        <f>SUMIF(C30:C857,"=прир",L30:L857)</f>
        <v>0</v>
      </c>
      <c r="M25" s="2259">
        <f>SUMIF(C30:C857,"=прир",M30:M857)</f>
        <v>0</v>
      </c>
      <c r="N25" s="2259">
        <f>SUMIF(C30:C857,"=прир",N30:N857)</f>
        <v>0</v>
      </c>
      <c r="O25" s="2260">
        <f>SUMIF(C30:C857,"=прир",O30:O857)</f>
        <v>0</v>
      </c>
      <c r="P25" s="2259">
        <f>SUMIF(C30:C857,"=прир",P30:P857)</f>
        <v>0</v>
      </c>
      <c r="Q25" s="2261">
        <f>SUMIF(C30:C857,"=прир",Q30:Q857)</f>
        <v>0</v>
      </c>
      <c r="R25" s="2262">
        <f>SUMIF(C30:C857,"=прир",R30:R857)</f>
        <v>0</v>
      </c>
      <c r="S25" s="404"/>
      <c r="T25" s="404"/>
      <c r="U25" s="404"/>
      <c r="V25" s="404"/>
      <c r="W25" s="404"/>
      <c r="X25" s="404"/>
      <c r="Y25" s="404"/>
      <c r="Z25" s="404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70" customFormat="1" x14ac:dyDescent="0.35">
      <c r="A26" s="387"/>
      <c r="B26" s="994"/>
      <c r="C26" s="994"/>
      <c r="D26" s="538">
        <f>SUMIF(C30:C858,"=ист",AB30:AB858)</f>
        <v>1</v>
      </c>
      <c r="E26" s="2241" t="s">
        <v>1628</v>
      </c>
      <c r="F26" s="319"/>
      <c r="G26" s="2258"/>
      <c r="H26" s="2258"/>
      <c r="I26" s="2259">
        <f>J26+K26+L26</f>
        <v>0.1</v>
      </c>
      <c r="J26" s="2259">
        <f>R26+Q26+P26+O26+N26+M26</f>
        <v>0.1</v>
      </c>
      <c r="K26" s="2259">
        <f>SUMIF(C30:C858,"=ист",K30:K858)</f>
        <v>0</v>
      </c>
      <c r="L26" s="2259">
        <f>SUMIF(C30:C858,"=ист",L30:L858)</f>
        <v>0</v>
      </c>
      <c r="M26" s="2259">
        <f>SUMIF(C30:C858,"=ист",M30:M858)</f>
        <v>0</v>
      </c>
      <c r="N26" s="2259">
        <f>SUMIF(C30:C858,"=ист",N30:N858)</f>
        <v>0</v>
      </c>
      <c r="O26" s="2260">
        <f>SUMIF(C30:C858,"=ист",O30:O858)</f>
        <v>0</v>
      </c>
      <c r="P26" s="2259">
        <f>SUMIF(C30:C858,"=ист",P30:P858)</f>
        <v>0</v>
      </c>
      <c r="Q26" s="2261">
        <f>SUMIF(C30:C858,"=ист",Q30:Q858)</f>
        <v>0.1</v>
      </c>
      <c r="R26" s="2262">
        <f>SUMIF(C30:C858,"=ист",R30:R858)</f>
        <v>0</v>
      </c>
      <c r="S26" s="404"/>
      <c r="T26" s="404"/>
      <c r="U26" s="404"/>
      <c r="V26" s="404"/>
      <c r="W26" s="404"/>
      <c r="X26" s="404"/>
      <c r="Y26" s="404"/>
      <c r="Z26" s="404"/>
      <c r="AA26" s="3"/>
      <c r="AK26" s="2815" t="s">
        <v>11230</v>
      </c>
      <c r="AL26" s="2579">
        <f>SUMIFS(M30:M951,F30:F951,"6а",G30:G951,3)+SUMIFS(M30:M951,F30:F951,"6б",G30:G951,3)+SUMIFS(M30:M951,F30:F951,"б/к",G30:G951,3)</f>
        <v>0</v>
      </c>
      <c r="AM26" s="2817"/>
    </row>
    <row r="27" spans="1:70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278"/>
      <c r="AA27" s="3"/>
      <c r="AK27" s="2815" t="s">
        <v>11231</v>
      </c>
      <c r="AL27" s="2579">
        <f>SUMIFS(N30:N951,F30:F951,"6а",G30:G951,3)+SUMIFS(N30:N951,F30:F951,"6б",G30:G951,3)+SUMIFS(N30:N951,F30:F951,"б/к",G30:G951,3)</f>
        <v>0</v>
      </c>
      <c r="AM27" s="2817"/>
    </row>
    <row r="28" spans="1:70" s="90" customFormat="1" ht="18" customHeight="1" thickBot="1" x14ac:dyDescent="0.4">
      <c r="A28" s="450"/>
      <c r="B28" s="995"/>
      <c r="C28" s="995"/>
      <c r="D28" s="462"/>
      <c r="E28" s="451"/>
      <c r="F28" s="452"/>
      <c r="G28" s="452"/>
      <c r="H28" s="452"/>
      <c r="I28" s="2324">
        <f t="shared" ref="I28:R28" si="5">SUBTOTAL(9,I30:I397)</f>
        <v>350.28800000000001</v>
      </c>
      <c r="J28" s="2324">
        <f t="shared" si="5"/>
        <v>348.74799999999999</v>
      </c>
      <c r="K28" s="2324">
        <f t="shared" si="5"/>
        <v>0</v>
      </c>
      <c r="L28" s="2324">
        <f t="shared" si="5"/>
        <v>3.0800000000000005</v>
      </c>
      <c r="M28" s="2324">
        <f t="shared" si="5"/>
        <v>0</v>
      </c>
      <c r="N28" s="2324">
        <f t="shared" si="5"/>
        <v>195.05600000000004</v>
      </c>
      <c r="O28" s="2324">
        <f t="shared" si="5"/>
        <v>0</v>
      </c>
      <c r="P28" s="2324">
        <f t="shared" si="5"/>
        <v>0</v>
      </c>
      <c r="Q28" s="2324">
        <f t="shared" si="5"/>
        <v>143.85400000000001</v>
      </c>
      <c r="R28" s="2324">
        <f t="shared" si="5"/>
        <v>193.53799999999998</v>
      </c>
      <c r="S28" s="453"/>
      <c r="T28" s="452"/>
      <c r="U28" s="452"/>
      <c r="V28" s="452"/>
      <c r="W28" s="453"/>
      <c r="X28" s="452"/>
      <c r="Y28" s="453"/>
      <c r="Z28" s="452"/>
      <c r="AA28" s="3"/>
      <c r="AB28" s="2334">
        <f>SUBTOTAL(9,AB30:AB397)</f>
        <v>159</v>
      </c>
      <c r="AC28" s="3"/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SUMIFS(O30:O951,F30:F951,"6а",G30:G951,3)+SUMIFS(O30:O951,F30:F951,"6б",G30:G951,3)+SUMIFS(O30:O951,F30:F951,"б/к",G30:G951,3)</f>
        <v>0</v>
      </c>
      <c r="AM28" s="2817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</row>
    <row r="29" spans="1:70" s="157" customFormat="1" x14ac:dyDescent="0.35">
      <c r="A29" s="175"/>
      <c r="B29" s="1073"/>
      <c r="C29" s="1073"/>
      <c r="D29" s="153"/>
      <c r="E29" s="1458" t="s">
        <v>2871</v>
      </c>
      <c r="F29" s="259"/>
      <c r="G29" s="259"/>
      <c r="H29" s="259"/>
      <c r="I29" s="794"/>
      <c r="J29" s="794"/>
      <c r="K29" s="794"/>
      <c r="L29" s="794"/>
      <c r="M29" s="794"/>
      <c r="N29" s="799"/>
      <c r="O29" s="794"/>
      <c r="P29" s="794"/>
      <c r="Q29" s="1552"/>
      <c r="R29" s="1549"/>
      <c r="S29" s="346"/>
      <c r="T29" s="259"/>
      <c r="U29" s="259"/>
      <c r="V29" s="259"/>
      <c r="W29" s="346"/>
      <c r="X29" s="259"/>
      <c r="Y29" s="346"/>
      <c r="Z29" s="259"/>
      <c r="AA29" s="3"/>
      <c r="AB29" s="3"/>
      <c r="AC29" s="3"/>
      <c r="AD29" s="2578" t="s">
        <v>7180</v>
      </c>
      <c r="AE29" s="2579">
        <f>SUMIFS(M30:M885,F30:F885,3,G30:G885,3)+SUMIFS(N30:N885,F30:F885,3,G30:G885,3)+SUMIFS(O30:O885,F30:F885,3,G30:G885,3)+SUMIFS(P30:P885,F30:F885,3,G30:G885,3)+SUMIFS(Q30:Q885,F30:F885,3,G30:G885,3)+SUMIFS(R30:R885,F30:F885,3,G30:G885,3)</f>
        <v>0</v>
      </c>
      <c r="AF29" s="2579">
        <f>SUMIFS(M30:M885,F30:F885,4,G30:G885,3)+SUMIFS(N30:N885,F30:F885,4,G30:G885,3)+SUMIFS(O30:O885,F30:F885,4,G30:G885,3)+SUMIFS(P30:P885,F30:F885,4,G30:G885,3)+SUMIFS(Q30:Q885,F30:F885,4,G30:G885,3)+SUMIFS(R30:R885,F30:F885,4,G30:G885,3)</f>
        <v>0</v>
      </c>
      <c r="AG29" s="2579">
        <f>SUMIFS(M30:M885,F30:F885,5,G30:G885,3)+SUMIFS(N30:N885,F30:F885,5,G30:G885,3)+SUMIFS(O30:O885,F30:F885,5,G30:G885,3)+SUMIFS(P30:P885,F30:F885,5,G30:G885,3)+SUMIFS(Q30:Q885,F30:F885,5,G30:G885,3)+SUMIFS(R30:R885,F30:F885,5,G30:G885,3)</f>
        <v>0</v>
      </c>
      <c r="AH29" s="2579">
        <f>SUMIFS(M30:M885,F30:F885,"6а",G30:G885,3)+SUMIFS(N30:N885,F30:F885,"6а",G30:G885,3)+SUMIFS(O30:O885,F30:F885,"6а",G30:G885,3)+SUMIFS(P30:P885,F30:F885,"6а",G30:G885,3)+SUMIFS(Q30:Q885,F30:F885,"6а",G30:G885,3)+SUMIFS(R30:R885,F30:F885,"6а",G30:G885,3)</f>
        <v>0</v>
      </c>
      <c r="AI29" s="2579">
        <f>SUMIFS(M30:M885,F30:F885,"6б",G30:G885,3)+SUMIFS(N30:N885,F30:F885,"6б",G30:G885,3)+SUMIFS(O30:O885,F30:F885,"6б",G30:G885,3)+SUMIFS(P30:P885,F30:F885,"6б",G30:G885,3)+SUMIFS(Q30:Q885,F30:F885,"6б",G30:G885,3)+SUMIFS(R30:R885,F30:F885,"6б",G30:G885,3)</f>
        <v>0</v>
      </c>
      <c r="AJ29" s="2580">
        <f>SUMIFS(M30:M885,F30:F885,"б/к",G30:G885,3)+SUMIFS(N30:N885,F30:F885,"б/к",G30:G885,3)+SUMIFS(O30:O885,F30:F885,"б/к",G30:G885,3)+SUMIFS(P30:P885,F30:F885,"б/к",G30:G885,3)+SUMIFS(Q30:Q885,F30:F885,"б/к",G30:G885,3)+SUMIFS(R30:R885,F30:F885,"б/к",G30:G885,3)</f>
        <v>0</v>
      </c>
      <c r="AK29" s="2815" t="s">
        <v>11233</v>
      </c>
      <c r="AL29" s="2579">
        <f>SUMIFS(P30:P951,F30:F951,"6а",G30:G951,3)+SUMIFS(Q30:Q951,F30:F951,"6а",G30:G951,3)+SUMIFS(P30:P951,F30:F951,"6б",G30:G951,3)+SUMIFS(Q30:Q951,F30:F951,"6б",G30:G951,3)+SUMIFS(P30:P951,F30:F951,"б/к",G30:G951,3)+SUMIFS(Q30:Q951,F30:F951,"б/к",G30:G951,3)</f>
        <v>0</v>
      </c>
      <c r="AM29" s="2817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</row>
    <row r="30" spans="1:70" x14ac:dyDescent="0.35">
      <c r="A30" s="525">
        <v>1</v>
      </c>
      <c r="B30" s="693">
        <v>10514</v>
      </c>
      <c r="C30" s="693"/>
      <c r="D30" s="693" t="s">
        <v>2021</v>
      </c>
      <c r="E30" s="312" t="s">
        <v>2576</v>
      </c>
      <c r="F30" s="1953">
        <v>5</v>
      </c>
      <c r="G30" s="66">
        <v>5</v>
      </c>
      <c r="H30" s="66">
        <v>6</v>
      </c>
      <c r="I30" s="622">
        <f>J30+K30+L30</f>
        <v>2.06</v>
      </c>
      <c r="J30" s="622">
        <f>SUM(M30:R30)</f>
        <v>2.06</v>
      </c>
      <c r="K30" s="622"/>
      <c r="L30" s="622"/>
      <c r="M30" s="622"/>
      <c r="N30" s="800"/>
      <c r="O30" s="795"/>
      <c r="P30" s="622"/>
      <c r="Q30" s="934"/>
      <c r="R30" s="926">
        <v>2.06</v>
      </c>
      <c r="S30" s="67"/>
      <c r="T30" s="250"/>
      <c r="U30" s="250"/>
      <c r="V30" s="250"/>
      <c r="W30" s="67"/>
      <c r="X30" s="250"/>
      <c r="Y30" s="67"/>
      <c r="Z30" s="250"/>
      <c r="AB30" s="3">
        <v>1</v>
      </c>
      <c r="AC30" s="68"/>
      <c r="AD30" s="2578" t="s">
        <v>7181</v>
      </c>
      <c r="AE30" s="2579">
        <f>SUMIFS(M30:M885,F30:F885,3,G30:G885,4)+SUMIFS(N30:N885,F30:F885,3,G30:G885,4)+SUMIFS(O30:O885,F30:F885,3,G30:G885,4)+SUMIFS(P30:P885,F30:F885,3,G30:G885,4)+SUMIFS(Q30:Q885,F30:F885,3,G30:G885,4)+SUMIFS(R30:R885,F30:F885,3,G30:G885,4)</f>
        <v>0</v>
      </c>
      <c r="AF30" s="2579">
        <f>SUMIFS(M30:M885,F30:F885,4,G30:G885,4)+SUMIFS(N30:N885,F30:F885,4,G30:G885,4)+SUMIFS(O30:O885,F30:F885,4,G30:G885,4)+SUMIFS(P30:P885,F30:F885,4,G30:G885,4)+SUMIFS(Q30:Q885,F30:F885,4,G30:G885,4)+SUMIFS(R30:R885,F30:F885,4,G30:G885,4)</f>
        <v>74.52</v>
      </c>
      <c r="AG30" s="2579">
        <f>SUMIFS(M30:M885,F30:F885,5,G30:G885,4)+SUMIFS(N30:N885,F30:F885,5,G30:G885,4)+SUMIFS(O30:O885,F30:F885,5,G30:G885,4)+SUMIFS(P30:P885,F30:F885,5,G30:G885,4)+SUMIFS(Q30:Q885,F30:F885,5,G30:G885,4)+SUMIFS(R30:R885,F30:F885,5,G30:G885,4)</f>
        <v>0</v>
      </c>
      <c r="AH30" s="2579">
        <f>SUMIFS(M30:M885,F30:F885,"6а",G30:G885,4)+SUMIFS(N30:N885,F30:F885,"6а",G30:G885,4)+SUMIFS(O30:O885,F30:F885,"6а",G30:G885,4)+SUMIFS(P30:P885,F30:F885,"6а",G30:G885,4)+SUMIFS(Q30:Q885,F30:F885,"6а",G30:G885,4)+SUMIFS(R30:R885,F30:F885,"6а",G30:G885,4)</f>
        <v>0</v>
      </c>
      <c r="AI30" s="2579">
        <f>SUMIFS(M30:M885,F30:F885,"6б",G30:G885,4)+SUMIFS(N30:N885,F30:F885,"6б",G30:G885,4)+SUMIFS(O30:O885,F30:F885,"6б",G30:G885,4)+SUMIFS(P30:P885,F30:F885,"6б",G30:G885,4)+SUMIFS(Q30:Q885,F30:F885,"6б",G30:G885,4)+SUMIFS(R30:R885,F30:F885,"6б",G30:G885,4)</f>
        <v>0</v>
      </c>
      <c r="AJ30" s="2580">
        <f>SUMIFS(M30:M885,F30:F885,"б/к",G30:G885,4)+SUMIFS(N30:N885,F30:F885,"б/к",G30:G885,4)+SUMIFS(O30:O885,F30:F885,"б/к",G30:G885,4)+SUMIFS(P30:P885,F30:F885,"б/к",G30:G885,4)+SUMIFS(Q30:Q885,F30:F885,"б/к",G30:G885,4)+SUMIFS(R30:R885,F30:F885,"б/к",G30:G885,4)</f>
        <v>0</v>
      </c>
      <c r="AK30" s="2815" t="s">
        <v>910</v>
      </c>
      <c r="AL30" s="2579">
        <f>SUMIFS(R30:R951,F30:F951,"6а",G30:G951,3)+SUMIFS(R30:R951,F30:F951,"6б",G30:G951,3)+SUMIFS(R30:R951,F30:F951,"б/к",G30:G951,3)</f>
        <v>0</v>
      </c>
      <c r="AM30" s="2817"/>
    </row>
    <row r="31" spans="1:70" x14ac:dyDescent="0.35">
      <c r="A31" s="525">
        <v>2</v>
      </c>
      <c r="B31" s="693">
        <v>10515</v>
      </c>
      <c r="C31" s="693"/>
      <c r="D31" s="693" t="s">
        <v>2022</v>
      </c>
      <c r="E31" s="312" t="s">
        <v>6993</v>
      </c>
      <c r="F31" s="1953"/>
      <c r="G31" s="66"/>
      <c r="H31" s="66" t="s">
        <v>191</v>
      </c>
      <c r="I31" s="622">
        <f>J31+K31+L31</f>
        <v>3.67</v>
      </c>
      <c r="J31" s="622">
        <f>SUM(M31:R31)</f>
        <v>3.67</v>
      </c>
      <c r="K31" s="622"/>
      <c r="L31" s="622"/>
      <c r="M31" s="622"/>
      <c r="N31" s="800"/>
      <c r="O31" s="795"/>
      <c r="P31" s="622"/>
      <c r="Q31" s="934"/>
      <c r="R31" s="926">
        <f>SUM(R32:R33)</f>
        <v>3.67</v>
      </c>
      <c r="S31" s="67"/>
      <c r="T31" s="250"/>
      <c r="U31" s="250"/>
      <c r="V31" s="250"/>
      <c r="W31" s="67">
        <v>5</v>
      </c>
      <c r="X31" s="250">
        <f>40.3+15</f>
        <v>55.3</v>
      </c>
      <c r="Y31" s="67"/>
      <c r="Z31" s="250"/>
      <c r="AB31" s="3">
        <v>1</v>
      </c>
      <c r="AC31" s="68"/>
      <c r="AD31" s="2581" t="s">
        <v>7182</v>
      </c>
      <c r="AE31" s="2582">
        <f>SUMIFS(M30:M885,F30:F885,3,G30:G885,5)+SUMIFS(N30:N885,F30:F885,3,G30:G885,5)+SUMIFS(O30:O885,F30:F885,3,G30:G885,5)+SUMIFS(P30:P885,F30:F885,3,G30:G885,5)+SUMIFS(Q30:Q885,F30:F885,3,G30:G885,5)+SUMIFS(R30:R885,F30:F885,3,G30:G885,5)</f>
        <v>0</v>
      </c>
      <c r="AF31" s="2582">
        <f>SUMIFS(M30:M885,F30:F885,4,G30:G885,5)+SUMIFS(N30:N885,F30:F885,4,G30:G885,5)+SUMIFS(O30:O885,F30:F885,4,G30:G885,5)+SUMIFS(P30:P885,F30:F885,4,G30:G885,5)+SUMIFS(Q30:Q885,F30:F885,4,G30:G885,5)+SUMIFS(R30:R885,F30:F885,4,G30:G885,5)</f>
        <v>62.002000000000002</v>
      </c>
      <c r="AG31" s="2582">
        <f>SUMIFS(M30:M885,F30:F885,5,G30:G885,5)+SUMIFS(N30:N885,F30:F885,5,G30:G885,5)+SUMIFS(O30:O885,F30:F885,5,G30:G885,5)+SUMIFS(P30:P885,F30:F885,5,G30:G885,5)+SUMIFS(Q30:Q885,F30:F885,5,G30:G885,5)+SUMIFS(R30:R885,F30:F885,5,G30:G885,5)</f>
        <v>42.45</v>
      </c>
      <c r="AH31" s="2582">
        <f>SUMIFS(M30:M885,F30:F885,"6а",G30:G885,5)+SUMIFS(N30:N885,F30:F885,"6а",G30:G885,5)+SUMIFS(O30:O885,F30:F885,"6а",G30:G885,5)+SUMIFS(P30:P885,F30:F885,"6а",G30:G885,5)+SUMIFS(Q30:Q885,F30:F885,"6а",G30:G885,5)+SUMIFS(R30:R885,F30:F885,"6а",G30:G885,5)</f>
        <v>42.109000000000002</v>
      </c>
      <c r="AI31" s="2582">
        <f>SUMIFS(M30:M885,F30:F885,"6б",G30:G885,5)+SUMIFS(N30:N885,F30:F885,"6б",G30:G885,5)+SUMIFS(O30:O885,F30:F885,"6б",G30:G885,5)+SUMIFS(P30:P885,F30:F885,"6б",G30:G885,5)+SUMIFS(Q30:Q885,F30:F885,"6б",G30:G885,5)+SUMIFS(R30:R885,F30:F885,"6б",G30:G885,5)</f>
        <v>13.027000000000001</v>
      </c>
      <c r="AJ31" s="2583">
        <f>SUMIFS(M30:M885,F30:F885,"б/к",G30:G885,5)+SUMIFS(N30:N885,F30:F885,"б/к",G30:G885,5)+SUMIFS(O30:O885,F30:F885,"б/к",G30:G885,5)+SUMIFS(P30:P885,F30:F885,"б/к",G30:G885,5)+SUMIFS(Q30:Q885,F30:F885,"б/к",G30:G885,5)+SUMIFS(R30:R885,F30:F885,"б/к",G30:G885,5)</f>
        <v>114.63999999999999</v>
      </c>
      <c r="AK31" s="2815"/>
      <c r="AL31" s="2579"/>
      <c r="AM31" s="2817"/>
    </row>
    <row r="32" spans="1:70" x14ac:dyDescent="0.35">
      <c r="A32" s="525"/>
      <c r="B32" s="693">
        <v>10515</v>
      </c>
      <c r="C32" s="693"/>
      <c r="D32" s="693"/>
      <c r="E32" s="899" t="s">
        <v>430</v>
      </c>
      <c r="F32" s="1953">
        <v>5</v>
      </c>
      <c r="G32" s="66">
        <v>5</v>
      </c>
      <c r="H32" s="66">
        <v>6</v>
      </c>
      <c r="I32" s="622"/>
      <c r="J32" s="622"/>
      <c r="K32" s="622"/>
      <c r="L32" s="622"/>
      <c r="M32" s="622"/>
      <c r="N32" s="800"/>
      <c r="O32" s="795"/>
      <c r="P32" s="622"/>
      <c r="Q32" s="934"/>
      <c r="R32" s="2236">
        <v>1.9</v>
      </c>
      <c r="S32" s="67"/>
      <c r="T32" s="250"/>
      <c r="U32" s="250"/>
      <c r="V32" s="250"/>
      <c r="W32" s="67"/>
      <c r="X32" s="250"/>
      <c r="Y32" s="67"/>
      <c r="Z32" s="250"/>
      <c r="AC32" s="68" t="s">
        <v>2570</v>
      </c>
      <c r="AD32"/>
      <c r="AE32" s="1572"/>
      <c r="AF32"/>
      <c r="AG32"/>
      <c r="AH32"/>
      <c r="AI32" s="2584" t="s">
        <v>7183</v>
      </c>
      <c r="AJ32" s="2585">
        <f>SUMIF(AB30:AB885,"=1",J30:J885)</f>
        <v>348.74799999999999</v>
      </c>
      <c r="AK32" s="2818" t="s">
        <v>11235</v>
      </c>
      <c r="AL32" s="2821">
        <f>AL34+AL40+AL46</f>
        <v>74.52</v>
      </c>
      <c r="AM32" s="2820">
        <f>AL32-J19</f>
        <v>0</v>
      </c>
    </row>
    <row r="33" spans="1:39" x14ac:dyDescent="0.35">
      <c r="A33" s="525"/>
      <c r="B33" s="693">
        <v>10515</v>
      </c>
      <c r="C33" s="693"/>
      <c r="D33" s="693"/>
      <c r="E33" s="899" t="s">
        <v>888</v>
      </c>
      <c r="F33" s="1953">
        <v>5</v>
      </c>
      <c r="G33" s="66">
        <v>5</v>
      </c>
      <c r="H33" s="66">
        <v>6</v>
      </c>
      <c r="I33" s="622"/>
      <c r="J33" s="622"/>
      <c r="K33" s="622"/>
      <c r="L33" s="622"/>
      <c r="M33" s="622"/>
      <c r="N33" s="800"/>
      <c r="O33" s="795"/>
      <c r="P33" s="622"/>
      <c r="Q33" s="934"/>
      <c r="R33" s="2236">
        <f>3.67-1.9</f>
        <v>1.77</v>
      </c>
      <c r="S33" s="67"/>
      <c r="T33" s="250"/>
      <c r="U33" s="250"/>
      <c r="V33" s="250"/>
      <c r="W33" s="67"/>
      <c r="X33" s="250"/>
      <c r="Y33" s="67"/>
      <c r="Z33" s="250"/>
      <c r="AC33" s="68"/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x14ac:dyDescent="0.35">
      <c r="A34" s="525">
        <v>3</v>
      </c>
      <c r="B34" s="693">
        <v>10516</v>
      </c>
      <c r="C34" s="693"/>
      <c r="D34" s="693" t="s">
        <v>2023</v>
      </c>
      <c r="E34" s="312" t="s">
        <v>10540</v>
      </c>
      <c r="F34" s="1953"/>
      <c r="G34" s="66"/>
      <c r="H34" s="66" t="s">
        <v>191</v>
      </c>
      <c r="I34" s="622">
        <f>J34+K34+L34</f>
        <v>1.5740000000000001</v>
      </c>
      <c r="J34" s="622">
        <f>SUM(M34:R34)</f>
        <v>1.5740000000000001</v>
      </c>
      <c r="K34" s="622"/>
      <c r="L34" s="622"/>
      <c r="M34" s="622"/>
      <c r="N34" s="800">
        <f>SUM(N35:N36)</f>
        <v>1.2</v>
      </c>
      <c r="O34" s="795"/>
      <c r="P34" s="622"/>
      <c r="Q34" s="934">
        <f>SUM(Q35:Q36)</f>
        <v>0.37400000000000011</v>
      </c>
      <c r="R34" s="926"/>
      <c r="S34" s="67"/>
      <c r="T34" s="250"/>
      <c r="U34" s="250"/>
      <c r="V34" s="250"/>
      <c r="W34" s="67">
        <v>6</v>
      </c>
      <c r="X34" s="250">
        <v>76.2</v>
      </c>
      <c r="Y34" s="67">
        <v>3</v>
      </c>
      <c r="Z34" s="250">
        <v>25</v>
      </c>
      <c r="AB34" s="3">
        <v>1</v>
      </c>
      <c r="AC34" s="68"/>
      <c r="AD34" s="267"/>
      <c r="AK34" s="2818" t="s">
        <v>7184</v>
      </c>
      <c r="AL34" s="2821">
        <f>AL35+AL36+AL37+AL38+AL39</f>
        <v>74.52</v>
      </c>
      <c r="AM34" s="2820">
        <f>AL34-AF30</f>
        <v>0</v>
      </c>
    </row>
    <row r="35" spans="1:39" x14ac:dyDescent="0.35">
      <c r="A35" s="525"/>
      <c r="B35" s="693">
        <v>10516</v>
      </c>
      <c r="C35" s="693"/>
      <c r="D35" s="693"/>
      <c r="E35" s="313" t="s">
        <v>3428</v>
      </c>
      <c r="F35" s="1953" t="s">
        <v>827</v>
      </c>
      <c r="G35" s="66">
        <v>5</v>
      </c>
      <c r="H35" s="66">
        <v>6</v>
      </c>
      <c r="I35" s="395"/>
      <c r="J35" s="395"/>
      <c r="K35" s="395"/>
      <c r="L35" s="395"/>
      <c r="M35" s="395"/>
      <c r="N35" s="395">
        <v>1.2</v>
      </c>
      <c r="O35" s="796"/>
      <c r="P35" s="395"/>
      <c r="Q35" s="2086"/>
      <c r="R35" s="926"/>
      <c r="S35" s="67"/>
      <c r="T35" s="250"/>
      <c r="U35" s="250"/>
      <c r="V35" s="250"/>
      <c r="W35" s="67"/>
      <c r="X35" s="250"/>
      <c r="Y35" s="67"/>
      <c r="Z35" s="250"/>
      <c r="AC35" s="68"/>
      <c r="AD35" s="267"/>
      <c r="AK35" s="2815" t="s">
        <v>11230</v>
      </c>
      <c r="AL35" s="2579">
        <f>SUMIFS(M30:M951,F30:F951,4,G30:G951,4)</f>
        <v>0</v>
      </c>
      <c r="AM35" s="2817"/>
    </row>
    <row r="36" spans="1:39" x14ac:dyDescent="0.35">
      <c r="A36" s="525"/>
      <c r="B36" s="693">
        <v>10516</v>
      </c>
      <c r="C36" s="693"/>
      <c r="D36" s="693"/>
      <c r="E36" s="1481" t="s">
        <v>6994</v>
      </c>
      <c r="F36" s="1953" t="s">
        <v>827</v>
      </c>
      <c r="G36" s="66">
        <v>5</v>
      </c>
      <c r="H36" s="66">
        <v>6</v>
      </c>
      <c r="I36" s="395"/>
      <c r="J36" s="395"/>
      <c r="K36" s="395"/>
      <c r="L36" s="395"/>
      <c r="M36" s="395"/>
      <c r="N36" s="395"/>
      <c r="O36" s="796"/>
      <c r="P36" s="395"/>
      <c r="Q36" s="2086">
        <f>1.574-1.2</f>
        <v>0.37400000000000011</v>
      </c>
      <c r="R36" s="926"/>
      <c r="S36" s="67"/>
      <c r="T36" s="250"/>
      <c r="U36" s="250"/>
      <c r="V36" s="250"/>
      <c r="W36" s="67"/>
      <c r="X36" s="250"/>
      <c r="Y36" s="67"/>
      <c r="Z36" s="250"/>
      <c r="AC36" s="68"/>
      <c r="AD36" s="267"/>
      <c r="AK36" s="2815" t="s">
        <v>11231</v>
      </c>
      <c r="AL36" s="2579">
        <f>SUMIFS(N30:N951,F30:F951,4,G30:G951,4)</f>
        <v>63.690999999999995</v>
      </c>
      <c r="AM36" s="2817"/>
    </row>
    <row r="37" spans="1:39" x14ac:dyDescent="0.35">
      <c r="A37" s="525">
        <v>4</v>
      </c>
      <c r="B37" s="693">
        <v>10517</v>
      </c>
      <c r="C37" s="693"/>
      <c r="D37" s="693" t="s">
        <v>2024</v>
      </c>
      <c r="E37" s="312" t="s">
        <v>2195</v>
      </c>
      <c r="F37" s="1953"/>
      <c r="G37" s="66"/>
      <c r="H37" s="66" t="s">
        <v>191</v>
      </c>
      <c r="I37" s="622">
        <f>J37+K37+L37</f>
        <v>2.9</v>
      </c>
      <c r="J37" s="622">
        <f>SUM(M37:R37)</f>
        <v>2.9</v>
      </c>
      <c r="K37" s="622"/>
      <c r="L37" s="622"/>
      <c r="M37" s="622"/>
      <c r="N37" s="800">
        <f>SUM(N38:N39)</f>
        <v>0.97799999999999998</v>
      </c>
      <c r="O37" s="795"/>
      <c r="P37" s="622"/>
      <c r="Q37" s="934"/>
      <c r="R37" s="926">
        <f>SUM(R38:R39)</f>
        <v>1.9219999999999999</v>
      </c>
      <c r="S37" s="67"/>
      <c r="T37" s="250"/>
      <c r="U37" s="250"/>
      <c r="V37" s="250"/>
      <c r="W37" s="67">
        <f>3+2</f>
        <v>5</v>
      </c>
      <c r="X37" s="250">
        <f>45.3+20</f>
        <v>65.3</v>
      </c>
      <c r="Y37" s="67">
        <v>2</v>
      </c>
      <c r="Z37" s="250">
        <v>20</v>
      </c>
      <c r="AB37" s="3">
        <v>1</v>
      </c>
      <c r="AC37" s="68"/>
      <c r="AD37" s="267"/>
      <c r="AK37" s="2815" t="s">
        <v>11232</v>
      </c>
      <c r="AL37" s="2579">
        <f>SUMIFS(O30:O951,F30:F951,4,G30:G951,4)</f>
        <v>0</v>
      </c>
      <c r="AM37" s="2817"/>
    </row>
    <row r="38" spans="1:39" x14ac:dyDescent="0.35">
      <c r="A38" s="525"/>
      <c r="B38" s="693">
        <v>10517</v>
      </c>
      <c r="C38" s="693"/>
      <c r="D38" s="693"/>
      <c r="E38" s="313" t="s">
        <v>3358</v>
      </c>
      <c r="F38" s="1953">
        <v>4</v>
      </c>
      <c r="G38" s="66">
        <v>5</v>
      </c>
      <c r="H38" s="66">
        <v>6</v>
      </c>
      <c r="I38" s="622"/>
      <c r="J38" s="622"/>
      <c r="K38" s="622"/>
      <c r="L38" s="622"/>
      <c r="M38" s="622"/>
      <c r="N38" s="801">
        <v>0.97799999999999998</v>
      </c>
      <c r="O38" s="796"/>
      <c r="P38" s="395"/>
      <c r="Q38" s="1212"/>
      <c r="R38" s="928"/>
      <c r="S38" s="67"/>
      <c r="T38" s="250"/>
      <c r="U38" s="250"/>
      <c r="V38" s="250"/>
      <c r="W38" s="67"/>
      <c r="X38" s="250"/>
      <c r="Y38" s="67"/>
      <c r="Z38" s="250"/>
      <c r="AC38" s="68"/>
      <c r="AD38" s="267"/>
      <c r="AK38" s="2815" t="s">
        <v>11233</v>
      </c>
      <c r="AL38" s="2579">
        <f>SUMIFS(P30:P951,F30:F951,4,G30:G951,4)+SUMIFS(Q30:Q951,F30:F951,4,G30:G951,4)</f>
        <v>10.829000000000001</v>
      </c>
      <c r="AM38" s="2817"/>
    </row>
    <row r="39" spans="1:39" x14ac:dyDescent="0.35">
      <c r="A39" s="525"/>
      <c r="B39" s="693">
        <v>10517</v>
      </c>
      <c r="C39" s="693"/>
      <c r="D39" s="693"/>
      <c r="E39" s="899" t="s">
        <v>3359</v>
      </c>
      <c r="F39" s="1953" t="s">
        <v>664</v>
      </c>
      <c r="G39" s="66">
        <v>5</v>
      </c>
      <c r="H39" s="66">
        <v>6</v>
      </c>
      <c r="I39" s="622"/>
      <c r="J39" s="622"/>
      <c r="K39" s="622"/>
      <c r="L39" s="622"/>
      <c r="M39" s="622"/>
      <c r="N39" s="801"/>
      <c r="O39" s="796"/>
      <c r="P39" s="395"/>
      <c r="Q39" s="1212"/>
      <c r="R39" s="928">
        <f>2.9-0.978</f>
        <v>1.9219999999999999</v>
      </c>
      <c r="S39" s="67"/>
      <c r="T39" s="250"/>
      <c r="U39" s="250"/>
      <c r="V39" s="250"/>
      <c r="W39" s="67"/>
      <c r="X39" s="250"/>
      <c r="Y39" s="67"/>
      <c r="Z39" s="250"/>
      <c r="AC39" s="68"/>
      <c r="AD39" s="267"/>
      <c r="AK39" s="2815" t="s">
        <v>910</v>
      </c>
      <c r="AL39" s="2579">
        <f>SUMIFS(R30:R951,F30:F951,4,G30:G951,4)</f>
        <v>0</v>
      </c>
      <c r="AM39" s="2817"/>
    </row>
    <row r="40" spans="1:39" ht="30.5" x14ac:dyDescent="0.35">
      <c r="A40" s="525">
        <v>5</v>
      </c>
      <c r="B40" s="693">
        <v>10517</v>
      </c>
      <c r="C40" s="2166" t="s">
        <v>1656</v>
      </c>
      <c r="D40" s="2469" t="s">
        <v>6405</v>
      </c>
      <c r="E40" s="312" t="s">
        <v>9043</v>
      </c>
      <c r="F40" s="1953" t="s">
        <v>664</v>
      </c>
      <c r="G40" s="66">
        <v>5</v>
      </c>
      <c r="H40" s="66">
        <v>6</v>
      </c>
      <c r="I40" s="622">
        <f>J40+K40+L40</f>
        <v>0.4</v>
      </c>
      <c r="J40" s="622">
        <f>SUM(M40:R40)</f>
        <v>0.4</v>
      </c>
      <c r="K40" s="622"/>
      <c r="L40" s="622"/>
      <c r="M40" s="622"/>
      <c r="N40" s="800"/>
      <c r="O40" s="795"/>
      <c r="P40" s="622"/>
      <c r="Q40" s="934"/>
      <c r="R40" s="926">
        <v>0.4</v>
      </c>
      <c r="S40" s="67"/>
      <c r="T40" s="250"/>
      <c r="U40" s="250"/>
      <c r="V40" s="250"/>
      <c r="W40" s="67"/>
      <c r="X40" s="250"/>
      <c r="Y40" s="67"/>
      <c r="Z40" s="250"/>
      <c r="AB40" s="3">
        <v>1</v>
      </c>
      <c r="AE40" s="2461"/>
      <c r="AF40" s="2462"/>
      <c r="AK40" s="2818" t="s">
        <v>7185</v>
      </c>
      <c r="AL40" s="2821">
        <f>AL41+AL42+AL43+AL44+AL45</f>
        <v>0</v>
      </c>
      <c r="AM40" s="2820">
        <f>AL40-AG30</f>
        <v>0</v>
      </c>
    </row>
    <row r="41" spans="1:39" x14ac:dyDescent="0.35">
      <c r="A41" s="696">
        <v>6</v>
      </c>
      <c r="B41" s="693">
        <v>10518</v>
      </c>
      <c r="C41" s="693"/>
      <c r="D41" s="693" t="s">
        <v>2025</v>
      </c>
      <c r="E41" s="312" t="s">
        <v>2196</v>
      </c>
      <c r="F41" s="1953"/>
      <c r="G41" s="66"/>
      <c r="H41" s="66" t="s">
        <v>191</v>
      </c>
      <c r="I41" s="622">
        <f>J41+K41+L41</f>
        <v>2.4299999999999997</v>
      </c>
      <c r="J41" s="622">
        <f>SUM(M41:R41)</f>
        <v>2.4299999999999997</v>
      </c>
      <c r="K41" s="622"/>
      <c r="L41" s="622"/>
      <c r="M41" s="622"/>
      <c r="N41" s="800">
        <f>SUM(N42:N44)</f>
        <v>0.64100000000000001</v>
      </c>
      <c r="O41" s="795"/>
      <c r="P41" s="622"/>
      <c r="Q41" s="934"/>
      <c r="R41" s="926">
        <f>SUM(R42:R44)</f>
        <v>1.7889999999999999</v>
      </c>
      <c r="S41" s="67"/>
      <c r="T41" s="250"/>
      <c r="U41" s="250"/>
      <c r="V41" s="250"/>
      <c r="W41" s="67">
        <v>5</v>
      </c>
      <c r="X41" s="250">
        <v>50</v>
      </c>
      <c r="Y41" s="67"/>
      <c r="Z41" s="250"/>
      <c r="AB41" s="3">
        <v>1</v>
      </c>
      <c r="AC41" s="62" t="s">
        <v>2219</v>
      </c>
      <c r="AD41" s="353">
        <v>33827</v>
      </c>
      <c r="AE41" s="2461"/>
      <c r="AF41" s="68"/>
      <c r="AK41" s="2815" t="s">
        <v>11230</v>
      </c>
      <c r="AL41" s="2579">
        <f>SUMIFS(M30:M951,F30:F951,5,G30:G951,4)</f>
        <v>0</v>
      </c>
      <c r="AM41" s="2817"/>
    </row>
    <row r="42" spans="1:39" x14ac:dyDescent="0.35">
      <c r="A42" s="525"/>
      <c r="B42" s="693">
        <v>10518</v>
      </c>
      <c r="C42" s="693"/>
      <c r="D42" s="695"/>
      <c r="E42" s="313" t="s">
        <v>1329</v>
      </c>
      <c r="F42" s="1953" t="s">
        <v>827</v>
      </c>
      <c r="G42" s="66">
        <v>5</v>
      </c>
      <c r="H42" s="66">
        <v>6</v>
      </c>
      <c r="I42" s="395"/>
      <c r="J42" s="395"/>
      <c r="K42" s="395"/>
      <c r="L42" s="395"/>
      <c r="M42" s="395"/>
      <c r="N42" s="801">
        <v>0.39600000000000002</v>
      </c>
      <c r="O42" s="796"/>
      <c r="P42" s="395"/>
      <c r="Q42" s="1212"/>
      <c r="R42" s="928"/>
      <c r="S42" s="66"/>
      <c r="T42" s="254"/>
      <c r="U42" s="254"/>
      <c r="V42" s="254"/>
      <c r="W42" s="66"/>
      <c r="X42" s="254"/>
      <c r="Y42" s="66"/>
      <c r="Z42" s="254"/>
      <c r="AC42" s="68"/>
      <c r="AD42" s="267"/>
      <c r="AE42" s="2461"/>
      <c r="AF42" s="68"/>
      <c r="AK42" s="2815" t="s">
        <v>11231</v>
      </c>
      <c r="AL42" s="2579">
        <f>SUMIFS(N30:N951,F30:F951,5,G30:G951,4)</f>
        <v>0</v>
      </c>
      <c r="AM42" s="2817"/>
    </row>
    <row r="43" spans="1:39" x14ac:dyDescent="0.35">
      <c r="A43" s="525"/>
      <c r="B43" s="693">
        <v>10518</v>
      </c>
      <c r="C43" s="693"/>
      <c r="D43" s="695"/>
      <c r="E43" s="899" t="s">
        <v>1203</v>
      </c>
      <c r="F43" s="1953" t="s">
        <v>827</v>
      </c>
      <c r="G43" s="66">
        <v>5</v>
      </c>
      <c r="H43" s="66">
        <v>6</v>
      </c>
      <c r="I43" s="395"/>
      <c r="J43" s="395"/>
      <c r="K43" s="395"/>
      <c r="L43" s="395"/>
      <c r="M43" s="395"/>
      <c r="N43" s="801"/>
      <c r="O43" s="796"/>
      <c r="P43" s="395"/>
      <c r="Q43" s="1212"/>
      <c r="R43" s="928">
        <v>1.7889999999999999</v>
      </c>
      <c r="S43" s="66"/>
      <c r="T43" s="254"/>
      <c r="U43" s="254"/>
      <c r="V43" s="254"/>
      <c r="W43" s="66"/>
      <c r="X43" s="254"/>
      <c r="Y43" s="66"/>
      <c r="Z43" s="254"/>
      <c r="AC43" s="68"/>
      <c r="AD43" s="267"/>
      <c r="AE43" s="2461"/>
      <c r="AF43" s="68"/>
      <c r="AK43" s="2815" t="s">
        <v>11232</v>
      </c>
      <c r="AL43" s="2579">
        <f>SUMIFS(O30:O951,F30:F951,5,G30:G951,4)</f>
        <v>0</v>
      </c>
      <c r="AM43" s="2817"/>
    </row>
    <row r="44" spans="1:39" x14ac:dyDescent="0.35">
      <c r="A44" s="525"/>
      <c r="B44" s="693">
        <v>10518</v>
      </c>
      <c r="C44" s="693"/>
      <c r="D44" s="695"/>
      <c r="E44" s="313" t="s">
        <v>2197</v>
      </c>
      <c r="F44" s="1953" t="s">
        <v>827</v>
      </c>
      <c r="G44" s="66">
        <v>5</v>
      </c>
      <c r="H44" s="66">
        <v>6</v>
      </c>
      <c r="I44" s="395"/>
      <c r="J44" s="395"/>
      <c r="K44" s="395"/>
      <c r="L44" s="395"/>
      <c r="M44" s="395"/>
      <c r="N44" s="801">
        <v>0.245</v>
      </c>
      <c r="O44" s="796"/>
      <c r="P44" s="395"/>
      <c r="Q44" s="1212"/>
      <c r="R44" s="928"/>
      <c r="S44" s="66"/>
      <c r="T44" s="254"/>
      <c r="U44" s="254"/>
      <c r="V44" s="254"/>
      <c r="W44" s="66"/>
      <c r="X44" s="254"/>
      <c r="Y44" s="66"/>
      <c r="Z44" s="254"/>
      <c r="AC44" s="68"/>
      <c r="AD44" s="267"/>
      <c r="AE44" s="2461"/>
      <c r="AF44" s="68"/>
      <c r="AK44" s="2815" t="s">
        <v>11233</v>
      </c>
      <c r="AL44" s="2579">
        <f>SUMIFS(P30:P951,F30:F951,5,G30:G951,4)+SUMIFS(Q30:Q951,F30:F951,5,G30:G951,4)</f>
        <v>0</v>
      </c>
      <c r="AM44" s="2817"/>
    </row>
    <row r="45" spans="1:39" x14ac:dyDescent="0.35">
      <c r="A45" s="525">
        <v>7</v>
      </c>
      <c r="B45" s="693">
        <v>10519</v>
      </c>
      <c r="C45" s="693"/>
      <c r="D45" s="693" t="s">
        <v>1121</v>
      </c>
      <c r="E45" s="312" t="s">
        <v>6995</v>
      </c>
      <c r="F45" s="1953" t="s">
        <v>1490</v>
      </c>
      <c r="G45" s="66">
        <v>5</v>
      </c>
      <c r="H45" s="66">
        <v>6</v>
      </c>
      <c r="I45" s="622">
        <f t="shared" ref="I45:I54" si="6">J45+K45+L45</f>
        <v>1.1599999999999999</v>
      </c>
      <c r="J45" s="622">
        <f>SUM(M45:R45)</f>
        <v>1.1599999999999999</v>
      </c>
      <c r="K45" s="622"/>
      <c r="L45" s="622"/>
      <c r="M45" s="622"/>
      <c r="N45" s="800"/>
      <c r="O45" s="795"/>
      <c r="P45" s="622"/>
      <c r="Q45" s="934"/>
      <c r="R45" s="926">
        <v>1.1599999999999999</v>
      </c>
      <c r="S45" s="67"/>
      <c r="T45" s="250"/>
      <c r="U45" s="250"/>
      <c r="V45" s="250"/>
      <c r="W45" s="67"/>
      <c r="X45" s="250"/>
      <c r="Y45" s="67"/>
      <c r="Z45" s="250"/>
      <c r="AB45" s="3">
        <v>1</v>
      </c>
      <c r="AC45" s="68"/>
      <c r="AD45" s="267"/>
      <c r="AE45" s="2461"/>
      <c r="AF45" s="68"/>
      <c r="AK45" s="2815" t="s">
        <v>910</v>
      </c>
      <c r="AL45" s="2579">
        <f>SUMIFS(R30:R951,F30:F951,5,G30:G951,4)</f>
        <v>0</v>
      </c>
      <c r="AM45" s="2817"/>
    </row>
    <row r="46" spans="1:39" x14ac:dyDescent="0.35">
      <c r="A46" s="525">
        <v>8</v>
      </c>
      <c r="B46" s="693">
        <v>10520</v>
      </c>
      <c r="C46" s="693"/>
      <c r="D46" s="693" t="s">
        <v>1122</v>
      </c>
      <c r="E46" s="312" t="s">
        <v>155</v>
      </c>
      <c r="F46" s="1953" t="s">
        <v>664</v>
      </c>
      <c r="G46" s="66">
        <v>5</v>
      </c>
      <c r="H46" s="66">
        <v>6</v>
      </c>
      <c r="I46" s="622">
        <f t="shared" si="6"/>
        <v>3</v>
      </c>
      <c r="J46" s="622">
        <f>SUM(M46:R46)</f>
        <v>3</v>
      </c>
      <c r="K46" s="622"/>
      <c r="L46" s="622"/>
      <c r="M46" s="622"/>
      <c r="N46" s="800"/>
      <c r="O46" s="795"/>
      <c r="P46" s="622"/>
      <c r="Q46" s="934"/>
      <c r="R46" s="926">
        <v>3</v>
      </c>
      <c r="S46" s="67"/>
      <c r="T46" s="250"/>
      <c r="U46" s="250"/>
      <c r="V46" s="250"/>
      <c r="W46" s="67">
        <v>2</v>
      </c>
      <c r="X46" s="250">
        <v>20.2</v>
      </c>
      <c r="Y46" s="67"/>
      <c r="Z46" s="250"/>
      <c r="AB46" s="3">
        <v>1</v>
      </c>
      <c r="AC46" s="68"/>
      <c r="AD46" s="267"/>
      <c r="AE46" s="2461"/>
      <c r="AF46" s="68"/>
      <c r="AK46" s="2818" t="s">
        <v>11234</v>
      </c>
      <c r="AL46" s="2821">
        <f>AL47+AL48+AL49+AL50+AL51</f>
        <v>0</v>
      </c>
      <c r="AM46" s="2820">
        <f>AL46-AH30-AI30-AJ30</f>
        <v>0</v>
      </c>
    </row>
    <row r="47" spans="1:39" ht="30" x14ac:dyDescent="0.35">
      <c r="A47" s="525">
        <v>9</v>
      </c>
      <c r="B47" s="2166">
        <v>10520</v>
      </c>
      <c r="C47" s="2166" t="s">
        <v>1656</v>
      </c>
      <c r="D47" s="2469" t="s">
        <v>6406</v>
      </c>
      <c r="E47" s="2187" t="s">
        <v>9044</v>
      </c>
      <c r="F47" s="1944" t="s">
        <v>664</v>
      </c>
      <c r="G47" s="92">
        <v>5</v>
      </c>
      <c r="H47" s="66">
        <v>6</v>
      </c>
      <c r="I47" s="2157">
        <f t="shared" si="6"/>
        <v>1.3</v>
      </c>
      <c r="J47" s="2157">
        <f>M47+N47+O47+P47+Q47+R47</f>
        <v>1.3</v>
      </c>
      <c r="K47" s="395"/>
      <c r="L47" s="395"/>
      <c r="M47" s="622"/>
      <c r="N47" s="622"/>
      <c r="O47" s="622"/>
      <c r="P47" s="622"/>
      <c r="Q47" s="2085"/>
      <c r="R47" s="906">
        <v>1.3</v>
      </c>
      <c r="S47" s="46"/>
      <c r="T47" s="46"/>
      <c r="U47" s="46"/>
      <c r="V47" s="46"/>
      <c r="W47" s="46"/>
      <c r="X47" s="109"/>
      <c r="Y47" s="46"/>
      <c r="Z47" s="46"/>
      <c r="AB47" s="3">
        <v>1</v>
      </c>
      <c r="AC47" s="68"/>
      <c r="AD47" s="267"/>
      <c r="AE47" s="2461"/>
      <c r="AF47" s="68"/>
      <c r="AK47" s="2815" t="s">
        <v>11230</v>
      </c>
      <c r="AL47" s="2579">
        <f>SUMIFS(M30:M951,F30:F951,"6а",G30:G951,4)+SUMIFS(M30:M951,F30:F951,"6б",G30:G951,4)+SUMIFS(M30:M951,F30:F951,"б/к",G30:G951,4)</f>
        <v>0</v>
      </c>
      <c r="AM47" s="2817"/>
    </row>
    <row r="48" spans="1:39" ht="45.5" x14ac:dyDescent="0.35">
      <c r="A48" s="525">
        <v>10</v>
      </c>
      <c r="B48" s="693">
        <v>10530</v>
      </c>
      <c r="C48" s="693"/>
      <c r="D48" s="693" t="s">
        <v>3206</v>
      </c>
      <c r="E48" s="312" t="s">
        <v>10277</v>
      </c>
      <c r="F48" s="1953">
        <v>4</v>
      </c>
      <c r="G48" s="66">
        <v>5</v>
      </c>
      <c r="H48" s="66">
        <v>6</v>
      </c>
      <c r="I48" s="622">
        <f t="shared" si="6"/>
        <v>5.8520000000000003</v>
      </c>
      <c r="J48" s="622">
        <f>SUM(M48:R48)</f>
        <v>5.8520000000000003</v>
      </c>
      <c r="K48" s="622"/>
      <c r="L48" s="622"/>
      <c r="M48" s="622"/>
      <c r="N48" s="800">
        <f>28.853-23.001</f>
        <v>5.8520000000000003</v>
      </c>
      <c r="O48" s="795"/>
      <c r="P48" s="622"/>
      <c r="Q48" s="934"/>
      <c r="R48" s="926"/>
      <c r="S48" s="67"/>
      <c r="T48" s="250"/>
      <c r="U48" s="250"/>
      <c r="V48" s="250"/>
      <c r="W48" s="67">
        <f>7+2</f>
        <v>9</v>
      </c>
      <c r="X48" s="2533">
        <f>125.61+25</f>
        <v>150.61000000000001</v>
      </c>
      <c r="Y48" s="67">
        <v>2</v>
      </c>
      <c r="Z48" s="2533">
        <v>25</v>
      </c>
      <c r="AB48" s="3">
        <v>1</v>
      </c>
      <c r="AC48" s="68"/>
      <c r="AD48" s="267"/>
      <c r="AE48" s="2461"/>
      <c r="AF48" s="68"/>
      <c r="AK48" s="2815" t="s">
        <v>11231</v>
      </c>
      <c r="AL48" s="2579">
        <f>SUMIFS(N30:N951,F30:F951,"6а",G30:G951,4)+SUMIFS(N30:N951,F30:F951,"6б",G30:G951,4)+SUMIFS(N30:N951,F30:F951,"б/к",G30:G951,4)</f>
        <v>0</v>
      </c>
      <c r="AM48" s="2817"/>
    </row>
    <row r="49" spans="1:70" ht="60.5" x14ac:dyDescent="0.35">
      <c r="A49" s="525">
        <v>11</v>
      </c>
      <c r="B49" s="693">
        <v>10530</v>
      </c>
      <c r="C49" s="2166" t="s">
        <v>1656</v>
      </c>
      <c r="D49" s="2469" t="s">
        <v>6407</v>
      </c>
      <c r="E49" s="312" t="s">
        <v>10278</v>
      </c>
      <c r="F49" s="1953" t="s">
        <v>664</v>
      </c>
      <c r="G49" s="66">
        <v>5</v>
      </c>
      <c r="H49" s="66">
        <v>6</v>
      </c>
      <c r="I49" s="622">
        <f t="shared" si="6"/>
        <v>1.1000000000000001</v>
      </c>
      <c r="J49" s="622">
        <f>SUM(M49:R49)</f>
        <v>1.1000000000000001</v>
      </c>
      <c r="K49" s="622"/>
      <c r="L49" s="622"/>
      <c r="M49" s="622"/>
      <c r="N49" s="800"/>
      <c r="O49" s="795"/>
      <c r="P49" s="622"/>
      <c r="Q49" s="934"/>
      <c r="R49" s="926">
        <v>1.1000000000000001</v>
      </c>
      <c r="S49" s="67"/>
      <c r="T49" s="250"/>
      <c r="U49" s="250"/>
      <c r="V49" s="250"/>
      <c r="W49" s="67"/>
      <c r="X49" s="250"/>
      <c r="Y49" s="67"/>
      <c r="Z49" s="250"/>
      <c r="AB49" s="3">
        <v>1</v>
      </c>
      <c r="AC49" s="68"/>
      <c r="AD49" s="267"/>
      <c r="AE49" s="2461"/>
      <c r="AF49" s="68"/>
      <c r="AK49" s="2815" t="s">
        <v>11232</v>
      </c>
      <c r="AL49" s="2579">
        <f>SUMIFS(O30:O951,F30:F951,"6а",G30:G951,4)+SUMIFS(O30:O951,F30:F951,"6б",G30:G951,4)+SUMIFS(O30:O951,F30:F951,"б/к",G30:G951,4)</f>
        <v>0</v>
      </c>
      <c r="AM49" s="2817"/>
    </row>
    <row r="50" spans="1:70" ht="60" x14ac:dyDescent="0.35">
      <c r="A50" s="525">
        <v>12</v>
      </c>
      <c r="B50" s="2166">
        <v>10530</v>
      </c>
      <c r="C50" s="2166" t="s">
        <v>1656</v>
      </c>
      <c r="D50" s="2469" t="s">
        <v>6408</v>
      </c>
      <c r="E50" s="2187" t="s">
        <v>10279</v>
      </c>
      <c r="F50" s="1953" t="s">
        <v>664</v>
      </c>
      <c r="G50" s="92">
        <v>5</v>
      </c>
      <c r="H50" s="66">
        <v>6</v>
      </c>
      <c r="I50" s="2157">
        <f t="shared" si="6"/>
        <v>0.55000000000000004</v>
      </c>
      <c r="J50" s="2157">
        <f>M50+N50+O50+P50+Q50+R50</f>
        <v>0.55000000000000004</v>
      </c>
      <c r="K50" s="395"/>
      <c r="L50" s="395"/>
      <c r="M50" s="622"/>
      <c r="N50" s="622"/>
      <c r="O50" s="622"/>
      <c r="P50" s="622"/>
      <c r="Q50" s="2085"/>
      <c r="R50" s="906">
        <v>0.55000000000000004</v>
      </c>
      <c r="S50" s="46"/>
      <c r="T50" s="46"/>
      <c r="U50" s="46"/>
      <c r="V50" s="46"/>
      <c r="W50" s="46"/>
      <c r="X50" s="109"/>
      <c r="Y50" s="46"/>
      <c r="Z50" s="46"/>
      <c r="AB50" s="3">
        <v>1</v>
      </c>
      <c r="AC50" s="68"/>
      <c r="AD50" s="267"/>
      <c r="AE50" s="2461"/>
      <c r="AF50" s="68"/>
      <c r="AK50" s="2815" t="s">
        <v>11233</v>
      </c>
      <c r="AL50" s="2579">
        <f>SUMIFS(P30:P951,F30:F951,"6а",G30:G951,4)+SUMIFS(Q30:Q951,F30:F951,"6а",G30:G951,4)+SUMIFS(P30:P951,F30:F951,"6б",G30:G951,4)+SUMIFS(Q30:Q951,F30:F951,"6б",G30:G951,4)+SUMIFS(O30:O951,F30:F951,"б/к",G30:G951,4)+SUMIFS(P30:P951,F30:F951,"б/к",G30:G951,4)+SUMIFS(Q30:Q951,F30:F951,"б/к",G30:G951,4)</f>
        <v>0</v>
      </c>
      <c r="AM50" s="2817"/>
    </row>
    <row r="51" spans="1:70" ht="90.5" x14ac:dyDescent="0.35">
      <c r="A51" s="525">
        <v>13</v>
      </c>
      <c r="B51" s="693">
        <v>10530</v>
      </c>
      <c r="C51" s="693"/>
      <c r="D51" s="2469" t="s">
        <v>6409</v>
      </c>
      <c r="E51" s="312" t="s">
        <v>10280</v>
      </c>
      <c r="F51" s="1953" t="s">
        <v>827</v>
      </c>
      <c r="G51" s="2289">
        <v>5</v>
      </c>
      <c r="H51" s="66">
        <v>6</v>
      </c>
      <c r="I51" s="297">
        <f>J51+K51+L51</f>
        <v>3.5</v>
      </c>
      <c r="J51" s="297">
        <f>SUM(M51:R51)</f>
        <v>3.5</v>
      </c>
      <c r="K51" s="622"/>
      <c r="L51" s="622"/>
      <c r="M51" s="622"/>
      <c r="N51" s="622">
        <v>3.5</v>
      </c>
      <c r="O51" s="795"/>
      <c r="P51" s="622"/>
      <c r="Q51" s="2085"/>
      <c r="R51" s="2106"/>
      <c r="S51" s="67"/>
      <c r="T51" s="250"/>
      <c r="U51" s="250"/>
      <c r="V51" s="250"/>
      <c r="W51" s="67"/>
      <c r="X51" s="250"/>
      <c r="Y51" s="67"/>
      <c r="Z51" s="250"/>
      <c r="AB51" s="3">
        <v>1</v>
      </c>
      <c r="AC51" s="68"/>
      <c r="AD51" s="267"/>
      <c r="AE51" s="2461"/>
      <c r="AF51" s="68"/>
      <c r="AK51" s="2815" t="s">
        <v>910</v>
      </c>
      <c r="AL51" s="2579">
        <f>SUMIFS(R30:R951,F30:F951,"6а",G30:G951,4)+SUMIFS(R30:R951,F30:F951,"6б",G30:G951,4)+SUMIFS(R30:R951,F30:F951,"б/к",G30:G951,4)</f>
        <v>0</v>
      </c>
      <c r="AM51" s="2817"/>
    </row>
    <row r="52" spans="1:70" ht="60.5" x14ac:dyDescent="0.35">
      <c r="A52" s="693"/>
      <c r="B52" s="2166">
        <v>10826</v>
      </c>
      <c r="C52" s="2251"/>
      <c r="D52" s="805"/>
      <c r="E52" s="2174" t="s">
        <v>10282</v>
      </c>
      <c r="F52" s="2043"/>
      <c r="G52" s="2176"/>
      <c r="H52" s="2176"/>
      <c r="I52" s="2157"/>
      <c r="J52" s="2157"/>
      <c r="K52" s="1170"/>
      <c r="L52" s="1170"/>
      <c r="M52" s="797"/>
      <c r="N52" s="797"/>
      <c r="O52" s="797"/>
      <c r="P52" s="797"/>
      <c r="Q52" s="2124"/>
      <c r="R52" s="2110"/>
      <c r="S52" s="262"/>
      <c r="T52" s="262"/>
      <c r="U52" s="262"/>
      <c r="V52" s="262"/>
      <c r="W52" s="262"/>
      <c r="X52" s="2180"/>
      <c r="Y52" s="262"/>
      <c r="Z52" s="262"/>
      <c r="AC52" s="68"/>
      <c r="AD52" s="267"/>
      <c r="AE52" s="2461"/>
      <c r="AF52" s="68"/>
      <c r="AK52" s="2815"/>
      <c r="AL52" s="2579"/>
      <c r="AM52" s="2817"/>
    </row>
    <row r="53" spans="1:70" ht="60" x14ac:dyDescent="0.35">
      <c r="A53" s="693">
        <v>14</v>
      </c>
      <c r="B53" s="2166">
        <v>10826</v>
      </c>
      <c r="C53" s="2166"/>
      <c r="D53" s="2469" t="s">
        <v>6410</v>
      </c>
      <c r="E53" s="2187" t="s">
        <v>10281</v>
      </c>
      <c r="F53" s="1944" t="s">
        <v>827</v>
      </c>
      <c r="G53" s="92">
        <v>5</v>
      </c>
      <c r="H53" s="66">
        <v>6</v>
      </c>
      <c r="I53" s="2157">
        <f>J53+K53+L53</f>
        <v>0.1</v>
      </c>
      <c r="J53" s="2157">
        <f>M53+N53+O53+P53+Q53+R53</f>
        <v>0.1</v>
      </c>
      <c r="K53" s="395"/>
      <c r="L53" s="395"/>
      <c r="M53" s="622"/>
      <c r="N53" s="622"/>
      <c r="O53" s="622"/>
      <c r="P53" s="622"/>
      <c r="Q53" s="622"/>
      <c r="R53" s="906">
        <v>0.1</v>
      </c>
      <c r="S53" s="46"/>
      <c r="T53" s="46"/>
      <c r="U53" s="46"/>
      <c r="V53" s="46"/>
      <c r="W53" s="46"/>
      <c r="X53" s="46"/>
      <c r="Y53" s="46"/>
      <c r="Z53" s="46"/>
      <c r="AB53" s="3">
        <v>1</v>
      </c>
      <c r="AE53" s="2461"/>
      <c r="AF53" s="68"/>
      <c r="AK53" s="2818" t="s">
        <v>11236</v>
      </c>
      <c r="AL53" s="2821">
        <f>AL55+AL61+AL67</f>
        <v>274.22799999999995</v>
      </c>
      <c r="AM53" s="2820">
        <f>AL53-J20</f>
        <v>0</v>
      </c>
    </row>
    <row r="54" spans="1:70" ht="30.5" x14ac:dyDescent="0.35">
      <c r="A54" s="525">
        <v>15</v>
      </c>
      <c r="B54" s="693">
        <v>11501</v>
      </c>
      <c r="C54" s="693"/>
      <c r="D54" s="693" t="s">
        <v>2770</v>
      </c>
      <c r="E54" s="312" t="s">
        <v>10283</v>
      </c>
      <c r="F54" s="1953"/>
      <c r="G54" s="66"/>
      <c r="H54" s="66" t="s">
        <v>191</v>
      </c>
      <c r="I54" s="622">
        <f t="shared" si="6"/>
        <v>17.145</v>
      </c>
      <c r="J54" s="622">
        <f>SUM(M54:R54)</f>
        <v>17.145</v>
      </c>
      <c r="K54" s="622"/>
      <c r="L54" s="622"/>
      <c r="M54" s="622"/>
      <c r="N54" s="800">
        <f>SUM(N55:N56)</f>
        <v>13.087999999999999</v>
      </c>
      <c r="O54" s="795"/>
      <c r="P54" s="622"/>
      <c r="Q54" s="934">
        <f>SUM(Q55:Q56)</f>
        <v>4.0570000000000004</v>
      </c>
      <c r="R54" s="926"/>
      <c r="S54" s="67">
        <v>1</v>
      </c>
      <c r="T54" s="250">
        <v>18</v>
      </c>
      <c r="U54" s="250"/>
      <c r="V54" s="250"/>
      <c r="W54" s="2830">
        <f>15+11</f>
        <v>26</v>
      </c>
      <c r="X54" s="2533">
        <f>253.18+131</f>
        <v>384.18</v>
      </c>
      <c r="Y54" s="67">
        <v>11</v>
      </c>
      <c r="Z54" s="250">
        <v>131</v>
      </c>
      <c r="AB54" s="3">
        <v>1</v>
      </c>
      <c r="AC54" s="68"/>
      <c r="AD54" s="267"/>
      <c r="AE54" s="2461"/>
      <c r="AF54" s="68"/>
      <c r="AK54" s="2815" t="s">
        <v>11229</v>
      </c>
      <c r="AL54" s="2579"/>
      <c r="AM54" s="2817"/>
    </row>
    <row r="55" spans="1:70" x14ac:dyDescent="0.35">
      <c r="A55" s="525"/>
      <c r="B55" s="693">
        <v>11501</v>
      </c>
      <c r="C55" s="693"/>
      <c r="D55" s="695"/>
      <c r="E55" s="313" t="s">
        <v>1379</v>
      </c>
      <c r="F55" s="1953">
        <v>4</v>
      </c>
      <c r="G55" s="66">
        <v>4</v>
      </c>
      <c r="H55" s="66">
        <v>6</v>
      </c>
      <c r="I55" s="395"/>
      <c r="J55" s="395"/>
      <c r="K55" s="395"/>
      <c r="L55" s="395"/>
      <c r="M55" s="395"/>
      <c r="N55" s="801">
        <v>13.087999999999999</v>
      </c>
      <c r="O55" s="796"/>
      <c r="P55" s="395"/>
      <c r="Q55" s="1212"/>
      <c r="R55" s="928"/>
      <c r="S55" s="66"/>
      <c r="T55" s="254"/>
      <c r="U55" s="254"/>
      <c r="V55" s="254"/>
      <c r="W55" s="66"/>
      <c r="X55" s="254"/>
      <c r="Y55" s="66"/>
      <c r="Z55" s="254"/>
      <c r="AC55" s="68"/>
      <c r="AD55" s="267"/>
      <c r="AE55" s="2461"/>
      <c r="AF55" s="68"/>
      <c r="AK55" s="2818" t="s">
        <v>7184</v>
      </c>
      <c r="AL55" s="2821">
        <f>AL56+AL57+AL58+AL59+AL60</f>
        <v>62.002000000000002</v>
      </c>
      <c r="AM55" s="2820">
        <f>AL55-AF31</f>
        <v>0</v>
      </c>
    </row>
    <row r="56" spans="1:70" x14ac:dyDescent="0.35">
      <c r="A56" s="525"/>
      <c r="B56" s="693">
        <v>11501</v>
      </c>
      <c r="C56" s="693"/>
      <c r="D56" s="695"/>
      <c r="E56" s="1481" t="s">
        <v>11242</v>
      </c>
      <c r="F56" s="1953">
        <v>4</v>
      </c>
      <c r="G56" s="66">
        <v>4</v>
      </c>
      <c r="H56" s="66">
        <v>6</v>
      </c>
      <c r="I56" s="395"/>
      <c r="J56" s="395"/>
      <c r="K56" s="395"/>
      <c r="L56" s="395"/>
      <c r="M56" s="395"/>
      <c r="N56" s="801"/>
      <c r="O56" s="796"/>
      <c r="P56" s="395"/>
      <c r="Q56" s="1212">
        <f>17.145-13.088</f>
        <v>4.0570000000000004</v>
      </c>
      <c r="R56" s="928"/>
      <c r="S56" s="66"/>
      <c r="T56" s="254"/>
      <c r="U56" s="254"/>
      <c r="V56" s="254"/>
      <c r="W56" s="66"/>
      <c r="X56" s="254"/>
      <c r="Y56" s="66"/>
      <c r="Z56" s="254"/>
      <c r="AC56" s="68"/>
      <c r="AD56" s="267"/>
      <c r="AE56" s="2461"/>
      <c r="AF56" s="68"/>
      <c r="AK56" s="2815" t="s">
        <v>11230</v>
      </c>
      <c r="AL56" s="2579">
        <f>SUMIFS(M30:M951,F30:F951,4,G30:G951,5)</f>
        <v>0</v>
      </c>
      <c r="AM56" s="2817"/>
    </row>
    <row r="57" spans="1:70" ht="45.5" x14ac:dyDescent="0.35">
      <c r="A57" s="525">
        <v>16</v>
      </c>
      <c r="B57" s="693">
        <v>11501</v>
      </c>
      <c r="C57" s="693"/>
      <c r="D57" s="2469" t="s">
        <v>6411</v>
      </c>
      <c r="E57" s="312" t="s">
        <v>10284</v>
      </c>
      <c r="F57" s="1953" t="s">
        <v>664</v>
      </c>
      <c r="G57" s="66">
        <v>5</v>
      </c>
      <c r="H57" s="66">
        <v>6</v>
      </c>
      <c r="I57" s="622">
        <f t="shared" ref="I57:I71" si="7">J57+K57+L57</f>
        <v>1.48</v>
      </c>
      <c r="J57" s="622">
        <f t="shared" ref="J57:J68" si="8">SUM(M57:R57)</f>
        <v>1.48</v>
      </c>
      <c r="K57" s="622"/>
      <c r="L57" s="622"/>
      <c r="M57" s="622"/>
      <c r="N57" s="800"/>
      <c r="O57" s="795"/>
      <c r="P57" s="622"/>
      <c r="Q57" s="934"/>
      <c r="R57" s="926">
        <v>1.48</v>
      </c>
      <c r="S57" s="67"/>
      <c r="T57" s="250"/>
      <c r="U57" s="250"/>
      <c r="V57" s="250"/>
      <c r="W57" s="67"/>
      <c r="X57" s="250"/>
      <c r="Y57" s="67"/>
      <c r="Z57" s="250"/>
      <c r="AB57" s="3">
        <v>1</v>
      </c>
      <c r="AC57" s="68"/>
      <c r="AD57" s="267"/>
      <c r="AE57" s="2461"/>
      <c r="AF57" s="68"/>
      <c r="AK57" s="2815" t="s">
        <v>11231</v>
      </c>
      <c r="AL57" s="2579">
        <f>SUMIFS(N30:N951,F30:F951,4,G30:G951,5)</f>
        <v>29.200000000000003</v>
      </c>
      <c r="AM57" s="2817"/>
    </row>
    <row r="58" spans="1:70" s="158" customFormat="1" ht="46" thickBot="1" x14ac:dyDescent="0.4">
      <c r="A58" s="525">
        <v>17</v>
      </c>
      <c r="B58" s="693">
        <v>11501</v>
      </c>
      <c r="C58" s="693"/>
      <c r="D58" s="2469" t="s">
        <v>6412</v>
      </c>
      <c r="E58" s="312" t="s">
        <v>10285</v>
      </c>
      <c r="F58" s="1953" t="s">
        <v>664</v>
      </c>
      <c r="G58" s="66">
        <v>5</v>
      </c>
      <c r="H58" s="66">
        <v>6</v>
      </c>
      <c r="I58" s="622">
        <f t="shared" si="7"/>
        <v>3.61</v>
      </c>
      <c r="J58" s="622">
        <f t="shared" si="8"/>
        <v>3.61</v>
      </c>
      <c r="K58" s="622"/>
      <c r="L58" s="622"/>
      <c r="M58" s="622"/>
      <c r="N58" s="800"/>
      <c r="O58" s="795"/>
      <c r="P58" s="622"/>
      <c r="Q58" s="934"/>
      <c r="R58" s="926">
        <v>3.61</v>
      </c>
      <c r="S58" s="67"/>
      <c r="T58" s="250"/>
      <c r="U58" s="250"/>
      <c r="V58" s="250"/>
      <c r="W58" s="67">
        <v>3</v>
      </c>
      <c r="X58" s="250">
        <v>37.5</v>
      </c>
      <c r="Y58" s="67"/>
      <c r="Z58" s="250"/>
      <c r="AA58" s="3"/>
      <c r="AB58" s="3">
        <v>1</v>
      </c>
      <c r="AC58" s="68"/>
      <c r="AD58" s="267"/>
      <c r="AE58" s="2461"/>
      <c r="AF58" s="68"/>
      <c r="AG58" s="3"/>
      <c r="AH58" s="3"/>
      <c r="AI58" s="3"/>
      <c r="AJ58" s="3"/>
      <c r="AK58" s="2815" t="s">
        <v>11232</v>
      </c>
      <c r="AL58" s="2579">
        <f>SUMIFS(O30:O951,F30:F951,4,G30:G951,5)</f>
        <v>0</v>
      </c>
      <c r="AM58" s="2817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</row>
    <row r="59" spans="1:70" ht="45.5" x14ac:dyDescent="0.35">
      <c r="A59" s="525">
        <v>18</v>
      </c>
      <c r="B59" s="693">
        <v>11501</v>
      </c>
      <c r="C59" s="693"/>
      <c r="D59" s="2469" t="s">
        <v>6413</v>
      </c>
      <c r="E59" s="312" t="s">
        <v>9412</v>
      </c>
      <c r="F59" s="1953" t="s">
        <v>664</v>
      </c>
      <c r="G59" s="66">
        <v>5</v>
      </c>
      <c r="H59" s="66">
        <v>6</v>
      </c>
      <c r="I59" s="622">
        <f t="shared" si="7"/>
        <v>1.45</v>
      </c>
      <c r="J59" s="622">
        <f t="shared" si="8"/>
        <v>1.45</v>
      </c>
      <c r="K59" s="622"/>
      <c r="L59" s="622"/>
      <c r="M59" s="622"/>
      <c r="N59" s="800"/>
      <c r="O59" s="795"/>
      <c r="P59" s="622"/>
      <c r="Q59" s="934"/>
      <c r="R59" s="926">
        <v>1.45</v>
      </c>
      <c r="S59" s="67"/>
      <c r="T59" s="250"/>
      <c r="U59" s="250"/>
      <c r="V59" s="250"/>
      <c r="W59" s="67">
        <v>1</v>
      </c>
      <c r="X59" s="250">
        <v>10.7</v>
      </c>
      <c r="Y59" s="67"/>
      <c r="Z59" s="250"/>
      <c r="AB59" s="3">
        <v>1</v>
      </c>
      <c r="AC59" s="68"/>
      <c r="AD59" s="267"/>
      <c r="AE59" s="2461"/>
      <c r="AF59" s="68"/>
      <c r="AK59" s="2815" t="s">
        <v>11233</v>
      </c>
      <c r="AL59" s="2579">
        <f>SUMIFS(P30:P951,F30:F951,4,G30:G951,5)+SUMIFS(Q30:Q951,F30:F951,4,G30:G951,5)</f>
        <v>32.802</v>
      </c>
      <c r="AM59" s="2817"/>
    </row>
    <row r="60" spans="1:70" s="158" customFormat="1" ht="46" thickBot="1" x14ac:dyDescent="0.4">
      <c r="A60" s="525">
        <v>19</v>
      </c>
      <c r="B60" s="693">
        <v>11501</v>
      </c>
      <c r="C60" s="693"/>
      <c r="D60" s="2469" t="s">
        <v>6414</v>
      </c>
      <c r="E60" s="312" t="s">
        <v>10286</v>
      </c>
      <c r="F60" s="1953" t="s">
        <v>664</v>
      </c>
      <c r="G60" s="66">
        <v>5</v>
      </c>
      <c r="H60" s="66">
        <v>6</v>
      </c>
      <c r="I60" s="622">
        <f t="shared" si="7"/>
        <v>0.82</v>
      </c>
      <c r="J60" s="622">
        <f t="shared" si="8"/>
        <v>0.82</v>
      </c>
      <c r="K60" s="622"/>
      <c r="L60" s="622"/>
      <c r="M60" s="622"/>
      <c r="N60" s="800"/>
      <c r="O60" s="795"/>
      <c r="P60" s="622"/>
      <c r="Q60" s="934"/>
      <c r="R60" s="926">
        <v>0.82</v>
      </c>
      <c r="S60" s="67"/>
      <c r="T60" s="250"/>
      <c r="U60" s="250"/>
      <c r="V60" s="250"/>
      <c r="W60" s="67"/>
      <c r="X60" s="250"/>
      <c r="Y60" s="67"/>
      <c r="Z60" s="250"/>
      <c r="AA60" s="3"/>
      <c r="AB60" s="3">
        <v>1</v>
      </c>
      <c r="AC60" s="68"/>
      <c r="AD60" s="267"/>
      <c r="AE60" s="2461"/>
      <c r="AF60" s="68"/>
      <c r="AG60" s="3"/>
      <c r="AH60" s="3"/>
      <c r="AI60" s="3"/>
      <c r="AJ60" s="3"/>
      <c r="AK60" s="2815" t="s">
        <v>910</v>
      </c>
      <c r="AL60" s="2579">
        <f>SUMIFS(R30:R951,F30:F951,4,G30:G951,5)</f>
        <v>0</v>
      </c>
      <c r="AM60" s="2817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</row>
    <row r="61" spans="1:70" s="158" customFormat="1" ht="61" thickBot="1" x14ac:dyDescent="0.4">
      <c r="A61" s="525">
        <v>20</v>
      </c>
      <c r="B61" s="693">
        <v>11501</v>
      </c>
      <c r="C61" s="2166" t="s">
        <v>1656</v>
      </c>
      <c r="D61" s="2469" t="s">
        <v>6415</v>
      </c>
      <c r="E61" s="312" t="s">
        <v>9413</v>
      </c>
      <c r="F61" s="1953" t="s">
        <v>664</v>
      </c>
      <c r="G61" s="66">
        <v>5</v>
      </c>
      <c r="H61" s="66">
        <v>6</v>
      </c>
      <c r="I61" s="622">
        <f t="shared" si="7"/>
        <v>0.1</v>
      </c>
      <c r="J61" s="622">
        <f t="shared" si="8"/>
        <v>0.1</v>
      </c>
      <c r="K61" s="622"/>
      <c r="L61" s="622"/>
      <c r="M61" s="622"/>
      <c r="N61" s="800"/>
      <c r="O61" s="795"/>
      <c r="P61" s="622"/>
      <c r="Q61" s="934"/>
      <c r="R61" s="926">
        <v>0.1</v>
      </c>
      <c r="S61" s="67"/>
      <c r="T61" s="250"/>
      <c r="U61" s="250"/>
      <c r="V61" s="250"/>
      <c r="W61" s="67"/>
      <c r="X61" s="250"/>
      <c r="Y61" s="67"/>
      <c r="Z61" s="250"/>
      <c r="AA61" s="3"/>
      <c r="AB61" s="3">
        <v>1</v>
      </c>
      <c r="AC61" s="68"/>
      <c r="AD61" s="267"/>
      <c r="AE61" s="2461"/>
      <c r="AF61" s="68"/>
      <c r="AG61" s="3"/>
      <c r="AH61" s="3"/>
      <c r="AI61" s="3"/>
      <c r="AJ61" s="3"/>
      <c r="AK61" s="2818" t="s">
        <v>7185</v>
      </c>
      <c r="AL61" s="2821">
        <f>AL62+AL63+AL64+AL65+AL66</f>
        <v>42.45</v>
      </c>
      <c r="AM61" s="2820">
        <f>AL61-AG31</f>
        <v>0</v>
      </c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</row>
    <row r="62" spans="1:70" s="2" customFormat="1" ht="45.5" x14ac:dyDescent="0.35">
      <c r="A62" s="525">
        <v>21</v>
      </c>
      <c r="B62" s="693">
        <v>11501</v>
      </c>
      <c r="C62" s="693"/>
      <c r="D62" s="2469" t="s">
        <v>6416</v>
      </c>
      <c r="E62" s="312" t="s">
        <v>9414</v>
      </c>
      <c r="F62" s="1953" t="s">
        <v>664</v>
      </c>
      <c r="G62" s="66">
        <v>5</v>
      </c>
      <c r="H62" s="66">
        <v>6</v>
      </c>
      <c r="I62" s="622">
        <f t="shared" si="7"/>
        <v>1.37</v>
      </c>
      <c r="J62" s="622">
        <f t="shared" si="8"/>
        <v>1.37</v>
      </c>
      <c r="K62" s="622"/>
      <c r="L62" s="622"/>
      <c r="M62" s="622"/>
      <c r="N62" s="800"/>
      <c r="O62" s="795"/>
      <c r="P62" s="622"/>
      <c r="Q62" s="934"/>
      <c r="R62" s="926">
        <v>1.37</v>
      </c>
      <c r="S62" s="67"/>
      <c r="T62" s="250"/>
      <c r="U62" s="250"/>
      <c r="V62" s="250"/>
      <c r="W62" s="67">
        <v>2</v>
      </c>
      <c r="X62" s="250">
        <v>30.2</v>
      </c>
      <c r="Y62" s="67"/>
      <c r="Z62" s="250"/>
      <c r="AA62" s="3"/>
      <c r="AB62" s="3">
        <v>1</v>
      </c>
      <c r="AC62" s="68"/>
      <c r="AD62" s="267"/>
      <c r="AE62" s="2461"/>
      <c r="AF62" s="68"/>
      <c r="AG62" s="3"/>
      <c r="AH62" s="3"/>
      <c r="AI62" s="3"/>
      <c r="AJ62" s="3"/>
      <c r="AK62" s="2815" t="s">
        <v>11230</v>
      </c>
      <c r="AL62" s="2579">
        <f>SUMIFS(M30:M951,F30:F951,5,G30:G951,5)</f>
        <v>0</v>
      </c>
      <c r="AM62" s="2817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</row>
    <row r="63" spans="1:70" ht="45.5" x14ac:dyDescent="0.35">
      <c r="A63" s="525">
        <v>22</v>
      </c>
      <c r="B63" s="693">
        <v>11501</v>
      </c>
      <c r="C63" s="693"/>
      <c r="D63" s="2469" t="s">
        <v>6417</v>
      </c>
      <c r="E63" s="312" t="s">
        <v>9415</v>
      </c>
      <c r="F63" s="1953">
        <v>4</v>
      </c>
      <c r="G63" s="66">
        <v>5</v>
      </c>
      <c r="H63" s="66">
        <v>6</v>
      </c>
      <c r="I63" s="622">
        <f t="shared" si="7"/>
        <v>1.32</v>
      </c>
      <c r="J63" s="622">
        <f t="shared" si="8"/>
        <v>1.32</v>
      </c>
      <c r="K63" s="622"/>
      <c r="L63" s="622"/>
      <c r="M63" s="622"/>
      <c r="N63" s="800">
        <v>1.32</v>
      </c>
      <c r="O63" s="795"/>
      <c r="P63" s="622"/>
      <c r="Q63" s="934"/>
      <c r="R63" s="926"/>
      <c r="S63" s="67"/>
      <c r="T63" s="250"/>
      <c r="U63" s="250"/>
      <c r="V63" s="250"/>
      <c r="W63" s="67">
        <v>2</v>
      </c>
      <c r="X63" s="250">
        <v>22.5</v>
      </c>
      <c r="Y63" s="67"/>
      <c r="Z63" s="250"/>
      <c r="AB63" s="3">
        <v>1</v>
      </c>
      <c r="AC63" s="68"/>
      <c r="AD63" s="267"/>
      <c r="AE63" s="2461"/>
      <c r="AF63" s="68"/>
      <c r="AK63" s="2815" t="s">
        <v>11231</v>
      </c>
      <c r="AL63" s="2579">
        <f>SUMIFS(N30:N951,F30:F951,5,G30:G951,5)</f>
        <v>2.6830000000000003</v>
      </c>
      <c r="AM63" s="2817"/>
    </row>
    <row r="64" spans="1:70" ht="60.5" x14ac:dyDescent="0.35">
      <c r="A64" s="525">
        <v>23</v>
      </c>
      <c r="B64" s="693">
        <v>11501</v>
      </c>
      <c r="C64" s="693" t="s">
        <v>1657</v>
      </c>
      <c r="D64" s="2469" t="s">
        <v>6418</v>
      </c>
      <c r="E64" s="312" t="s">
        <v>9416</v>
      </c>
      <c r="F64" s="1953" t="s">
        <v>1490</v>
      </c>
      <c r="G64" s="66">
        <v>5</v>
      </c>
      <c r="H64" s="66">
        <v>6</v>
      </c>
      <c r="I64" s="622">
        <f>J64+K64+L64</f>
        <v>0.45</v>
      </c>
      <c r="J64" s="622">
        <f>SUM(M64:R64)</f>
        <v>0.45</v>
      </c>
      <c r="K64" s="622"/>
      <c r="L64" s="622"/>
      <c r="M64" s="622"/>
      <c r="N64" s="800"/>
      <c r="O64" s="795"/>
      <c r="P64" s="622"/>
      <c r="Q64" s="934"/>
      <c r="R64" s="926">
        <v>0.45</v>
      </c>
      <c r="S64" s="67"/>
      <c r="T64" s="250"/>
      <c r="U64" s="250"/>
      <c r="V64" s="250"/>
      <c r="W64" s="67"/>
      <c r="X64" s="250"/>
      <c r="Y64" s="67"/>
      <c r="Z64" s="250"/>
      <c r="AB64" s="3">
        <v>1</v>
      </c>
      <c r="AC64" s="68"/>
      <c r="AD64" s="267"/>
      <c r="AE64" s="2461"/>
      <c r="AF64" s="68"/>
      <c r="AK64" s="2815" t="s">
        <v>11232</v>
      </c>
      <c r="AL64" s="2579">
        <f>SUMIFS(O30:O951,F30:F951,5,G30:G951,5)</f>
        <v>0</v>
      </c>
      <c r="AM64" s="2817"/>
    </row>
    <row r="65" spans="1:70" ht="45.5" x14ac:dyDescent="0.35">
      <c r="A65" s="525">
        <v>24</v>
      </c>
      <c r="B65" s="693">
        <v>11501</v>
      </c>
      <c r="C65" s="693"/>
      <c r="D65" s="2469" t="s">
        <v>6419</v>
      </c>
      <c r="E65" s="312" t="s">
        <v>9417</v>
      </c>
      <c r="F65" s="1953" t="s">
        <v>827</v>
      </c>
      <c r="G65" s="66">
        <v>5</v>
      </c>
      <c r="H65" s="66">
        <v>6</v>
      </c>
      <c r="I65" s="622">
        <f t="shared" si="7"/>
        <v>3.4</v>
      </c>
      <c r="J65" s="622">
        <f t="shared" si="8"/>
        <v>3.4</v>
      </c>
      <c r="K65" s="622"/>
      <c r="L65" s="622"/>
      <c r="M65" s="622"/>
      <c r="N65" s="800"/>
      <c r="O65" s="795"/>
      <c r="P65" s="622"/>
      <c r="Q65" s="934"/>
      <c r="R65" s="926">
        <v>3.4</v>
      </c>
      <c r="S65" s="67">
        <v>1</v>
      </c>
      <c r="T65" s="250">
        <v>9.91</v>
      </c>
      <c r="U65" s="250"/>
      <c r="V65" s="250"/>
      <c r="W65" s="67"/>
      <c r="X65" s="250"/>
      <c r="Y65" s="67"/>
      <c r="Z65" s="250"/>
      <c r="AB65" s="3">
        <v>1</v>
      </c>
      <c r="AC65" s="68"/>
      <c r="AD65" s="267"/>
      <c r="AE65" s="2461"/>
      <c r="AF65" s="68"/>
      <c r="AK65" s="2815" t="s">
        <v>11233</v>
      </c>
      <c r="AL65" s="2579">
        <f>SUMIFS(P30:P951,F30:F951,5,G30:G951,5)+SUMIFS(Q30:Q951,F30:F951,5,G30:G951,5)</f>
        <v>22.997</v>
      </c>
      <c r="AM65" s="2817"/>
    </row>
    <row r="66" spans="1:70" s="150" customFormat="1" ht="46" thickBot="1" x14ac:dyDescent="0.4">
      <c r="A66" s="525">
        <v>25</v>
      </c>
      <c r="B66" s="693">
        <v>11501</v>
      </c>
      <c r="C66" s="693"/>
      <c r="D66" s="2469" t="s">
        <v>6420</v>
      </c>
      <c r="E66" s="312" t="s">
        <v>10287</v>
      </c>
      <c r="F66" s="1953" t="s">
        <v>664</v>
      </c>
      <c r="G66" s="66">
        <v>5</v>
      </c>
      <c r="H66" s="66">
        <v>6</v>
      </c>
      <c r="I66" s="622">
        <f t="shared" si="7"/>
        <v>1.5</v>
      </c>
      <c r="J66" s="622">
        <f t="shared" si="8"/>
        <v>1.5</v>
      </c>
      <c r="K66" s="622"/>
      <c r="L66" s="622"/>
      <c r="M66" s="622"/>
      <c r="N66" s="800"/>
      <c r="O66" s="795"/>
      <c r="P66" s="622"/>
      <c r="Q66" s="934"/>
      <c r="R66" s="926">
        <v>1.5</v>
      </c>
      <c r="S66" s="67"/>
      <c r="T66" s="250"/>
      <c r="U66" s="250"/>
      <c r="V66" s="250"/>
      <c r="W66" s="67"/>
      <c r="X66" s="250"/>
      <c r="Y66" s="67"/>
      <c r="Z66" s="250"/>
      <c r="AA66" s="3"/>
      <c r="AB66" s="3">
        <v>1</v>
      </c>
      <c r="AC66" s="68"/>
      <c r="AD66" s="267"/>
      <c r="AE66" s="2461"/>
      <c r="AF66" s="68"/>
      <c r="AG66" s="3"/>
      <c r="AH66" s="3"/>
      <c r="AI66" s="3"/>
      <c r="AJ66" s="3"/>
      <c r="AK66" s="2815" t="s">
        <v>910</v>
      </c>
      <c r="AL66" s="2579">
        <f>SUMIFS(R30:R951,F30:F951,5,G30:G951,5)</f>
        <v>16.77</v>
      </c>
      <c r="AM66" s="2817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</row>
    <row r="67" spans="1:70" ht="45.5" x14ac:dyDescent="0.35">
      <c r="A67" s="525">
        <v>26</v>
      </c>
      <c r="B67" s="693">
        <v>11501</v>
      </c>
      <c r="C67" s="693"/>
      <c r="D67" s="2469" t="s">
        <v>6421</v>
      </c>
      <c r="E67" s="312" t="s">
        <v>10288</v>
      </c>
      <c r="F67" s="1953" t="s">
        <v>664</v>
      </c>
      <c r="G67" s="66">
        <v>5</v>
      </c>
      <c r="H67" s="66">
        <v>6</v>
      </c>
      <c r="I67" s="622">
        <f t="shared" si="7"/>
        <v>1</v>
      </c>
      <c r="J67" s="622">
        <f t="shared" si="8"/>
        <v>1</v>
      </c>
      <c r="K67" s="622"/>
      <c r="L67" s="622"/>
      <c r="M67" s="622"/>
      <c r="N67" s="800"/>
      <c r="O67" s="795"/>
      <c r="P67" s="622"/>
      <c r="Q67" s="934"/>
      <c r="R67" s="926">
        <v>1</v>
      </c>
      <c r="S67" s="67"/>
      <c r="T67" s="250"/>
      <c r="U67" s="250"/>
      <c r="V67" s="250"/>
      <c r="W67" s="67"/>
      <c r="X67" s="250"/>
      <c r="Y67" s="67"/>
      <c r="Z67" s="250"/>
      <c r="AB67" s="3">
        <v>1</v>
      </c>
      <c r="AC67" s="68"/>
      <c r="AD67" s="267"/>
      <c r="AE67" s="2461"/>
      <c r="AF67" s="68"/>
      <c r="AK67" s="2818" t="s">
        <v>11234</v>
      </c>
      <c r="AL67" s="2821">
        <f>AL68+AL69+AL70+AL71+AL72</f>
        <v>169.77599999999998</v>
      </c>
      <c r="AM67" s="2820">
        <f>AL67-AH31-AI31-AJ31</f>
        <v>0</v>
      </c>
    </row>
    <row r="68" spans="1:70" ht="60.5" x14ac:dyDescent="0.35">
      <c r="A68" s="525">
        <v>27</v>
      </c>
      <c r="B68" s="693">
        <v>11501</v>
      </c>
      <c r="C68" s="2166" t="s">
        <v>1656</v>
      </c>
      <c r="D68" s="2469" t="s">
        <v>6422</v>
      </c>
      <c r="E68" s="312" t="s">
        <v>9418</v>
      </c>
      <c r="F68" s="1953" t="s">
        <v>664</v>
      </c>
      <c r="G68" s="66">
        <v>5</v>
      </c>
      <c r="H68" s="66">
        <v>6</v>
      </c>
      <c r="I68" s="622">
        <f t="shared" si="7"/>
        <v>0.05</v>
      </c>
      <c r="J68" s="622">
        <f t="shared" si="8"/>
        <v>0.05</v>
      </c>
      <c r="K68" s="622"/>
      <c r="L68" s="622"/>
      <c r="M68" s="622"/>
      <c r="N68" s="800"/>
      <c r="O68" s="795"/>
      <c r="P68" s="622"/>
      <c r="Q68" s="934"/>
      <c r="R68" s="926">
        <v>0.05</v>
      </c>
      <c r="S68" s="67"/>
      <c r="T68" s="250"/>
      <c r="U68" s="250"/>
      <c r="V68" s="250"/>
      <c r="W68" s="67"/>
      <c r="X68" s="250"/>
      <c r="Y68" s="67"/>
      <c r="Z68" s="250"/>
      <c r="AB68" s="3">
        <v>1</v>
      </c>
      <c r="AC68" s="68"/>
      <c r="AD68" s="267"/>
      <c r="AE68" s="2461"/>
      <c r="AF68" s="68"/>
      <c r="AK68" s="2815" t="s">
        <v>11230</v>
      </c>
      <c r="AL68" s="2579">
        <f>SUMIFS(M30:M951,F30:F951,"6а",G30:G951,5)+SUMIFS(M30:M951,F30:F951,"6б",G30:G951,5)+SUMIFS(M30:M951,F30:F951,"б/к",G30:G951,5)</f>
        <v>0</v>
      </c>
      <c r="AM68" s="2817"/>
    </row>
    <row r="69" spans="1:70" ht="45" x14ac:dyDescent="0.35">
      <c r="A69" s="525">
        <v>28</v>
      </c>
      <c r="B69" s="2166">
        <v>11501</v>
      </c>
      <c r="C69" s="2166" t="s">
        <v>1656</v>
      </c>
      <c r="D69" s="2469" t="s">
        <v>6423</v>
      </c>
      <c r="E69" s="2187" t="s">
        <v>10289</v>
      </c>
      <c r="F69" s="1944" t="s">
        <v>664</v>
      </c>
      <c r="G69" s="92">
        <v>5</v>
      </c>
      <c r="H69" s="66">
        <v>6</v>
      </c>
      <c r="I69" s="2157">
        <f t="shared" si="7"/>
        <v>1.25</v>
      </c>
      <c r="J69" s="2157">
        <f>M69+N69+O69+P69+Q69+R69</f>
        <v>1.25</v>
      </c>
      <c r="K69" s="395"/>
      <c r="L69" s="395"/>
      <c r="M69" s="622"/>
      <c r="N69" s="622"/>
      <c r="O69" s="622"/>
      <c r="P69" s="622"/>
      <c r="Q69" s="2085"/>
      <c r="R69" s="906">
        <v>1.25</v>
      </c>
      <c r="S69" s="46"/>
      <c r="T69" s="46"/>
      <c r="U69" s="46"/>
      <c r="V69" s="46"/>
      <c r="W69" s="46"/>
      <c r="X69" s="109"/>
      <c r="Y69" s="46"/>
      <c r="Z69" s="46"/>
      <c r="AB69" s="3">
        <v>1</v>
      </c>
      <c r="AC69" s="68"/>
      <c r="AD69" s="267"/>
      <c r="AE69" s="2461"/>
      <c r="AF69" s="68"/>
      <c r="AK69" s="2815" t="s">
        <v>11231</v>
      </c>
      <c r="AL69" s="2579">
        <f>SUMIFS(N30:N951,F30:F951,"6а",G30:G951,5)+SUMIFS(N30:N951,F30:F951,"6б",G30:G951,5)+SUMIFS(N30:N951,F30:F951,"б/к",G30:G951,5)</f>
        <v>16.743000000000002</v>
      </c>
      <c r="AM69" s="2817"/>
    </row>
    <row r="70" spans="1:70" ht="45" x14ac:dyDescent="0.35">
      <c r="A70" s="525">
        <v>29</v>
      </c>
      <c r="B70" s="2166">
        <v>11501</v>
      </c>
      <c r="C70" s="2166"/>
      <c r="D70" s="2469" t="s">
        <v>6424</v>
      </c>
      <c r="E70" s="2187" t="s">
        <v>10290</v>
      </c>
      <c r="F70" s="1944" t="s">
        <v>664</v>
      </c>
      <c r="G70" s="92">
        <v>5</v>
      </c>
      <c r="H70" s="66">
        <v>6</v>
      </c>
      <c r="I70" s="2157">
        <f>J70+K70+L70</f>
        <v>0.5</v>
      </c>
      <c r="J70" s="2157">
        <f>M70+N70+O70+P70+Q70+R70</f>
        <v>0.5</v>
      </c>
      <c r="K70" s="395"/>
      <c r="L70" s="395"/>
      <c r="M70" s="622"/>
      <c r="N70" s="622"/>
      <c r="O70" s="622"/>
      <c r="P70" s="622"/>
      <c r="Q70" s="622"/>
      <c r="R70" s="906">
        <v>0.5</v>
      </c>
      <c r="S70" s="46"/>
      <c r="T70" s="46"/>
      <c r="U70" s="46"/>
      <c r="V70" s="46"/>
      <c r="W70" s="46"/>
      <c r="X70" s="46"/>
      <c r="Y70" s="46"/>
      <c r="Z70" s="46"/>
      <c r="AB70" s="3">
        <v>1</v>
      </c>
      <c r="AE70" s="2461"/>
      <c r="AF70" s="68"/>
      <c r="AK70" s="2815" t="s">
        <v>11232</v>
      </c>
      <c r="AL70" s="2579">
        <f>SUMIFS(O30:O951,F30:F951,"6а",G30:G951,5)+SUMIFS(O30:O951,F30:F951,"6б",G30:G951,5)+SUMIFS(O30:O951,F30:F951,"б/к",G30:G951,5)</f>
        <v>0</v>
      </c>
      <c r="AM70" s="2817"/>
    </row>
    <row r="71" spans="1:70" x14ac:dyDescent="0.35">
      <c r="A71" s="525">
        <v>30</v>
      </c>
      <c r="B71" s="693">
        <v>11502</v>
      </c>
      <c r="C71" s="693"/>
      <c r="D71" s="693" t="s">
        <v>1981</v>
      </c>
      <c r="E71" s="312" t="s">
        <v>1349</v>
      </c>
      <c r="F71" s="1953"/>
      <c r="G71" s="66"/>
      <c r="H71" s="66" t="s">
        <v>191</v>
      </c>
      <c r="I71" s="622">
        <f t="shared" si="7"/>
        <v>22.48</v>
      </c>
      <c r="J71" s="622">
        <f>SUM(M71:R71)</f>
        <v>22.48</v>
      </c>
      <c r="K71" s="622"/>
      <c r="L71" s="622"/>
      <c r="M71" s="622"/>
      <c r="N71" s="800">
        <f>SUM(N72:N73)</f>
        <v>15.708</v>
      </c>
      <c r="O71" s="795"/>
      <c r="P71" s="622"/>
      <c r="Q71" s="934">
        <f>SUM(Q72:Q73)</f>
        <v>6.7720000000000002</v>
      </c>
      <c r="R71" s="926"/>
      <c r="S71" s="67">
        <v>1</v>
      </c>
      <c r="T71" s="250">
        <v>27.4</v>
      </c>
      <c r="U71" s="250"/>
      <c r="V71" s="250"/>
      <c r="W71" s="67">
        <v>42</v>
      </c>
      <c r="X71" s="250">
        <v>556.62</v>
      </c>
      <c r="Y71" s="67">
        <v>11</v>
      </c>
      <c r="Z71" s="250">
        <v>115</v>
      </c>
      <c r="AB71" s="3">
        <v>1</v>
      </c>
      <c r="AC71" s="68"/>
      <c r="AD71" s="267"/>
      <c r="AE71" s="2461"/>
      <c r="AF71" s="68"/>
      <c r="AK71" s="2815" t="s">
        <v>11233</v>
      </c>
      <c r="AL71" s="2579">
        <f>SUMIFS(P30:P951,F30:F951,"6а",G30:G951,5)+SUMIFS(Q30:Q951,F30:F951,"6а",G30:G951,5)+SUMIFS(P30:P951,F30:F951,"6б",G30:G951,5)+SUMIFS(Q30:Q951,F30:F951,"6б",G30:G951,5)+SUMIFS(P30:P951,F30:F951,"б/к",G30:G951,5)+SUMIFS(Q30:Q951,F30:F951,"б/к",G30:G951,5)</f>
        <v>10.763999999999999</v>
      </c>
      <c r="AM71" s="2817"/>
    </row>
    <row r="72" spans="1:70" s="158" customFormat="1" ht="16" thickBot="1" x14ac:dyDescent="0.4">
      <c r="A72" s="525"/>
      <c r="B72" s="693">
        <v>11502</v>
      </c>
      <c r="C72" s="693"/>
      <c r="D72" s="695"/>
      <c r="E72" s="313" t="s">
        <v>1380</v>
      </c>
      <c r="F72" s="1953">
        <v>4</v>
      </c>
      <c r="G72" s="66">
        <v>4</v>
      </c>
      <c r="H72" s="66">
        <v>6</v>
      </c>
      <c r="I72" s="395"/>
      <c r="J72" s="395"/>
      <c r="K72" s="395"/>
      <c r="L72" s="395"/>
      <c r="M72" s="395"/>
      <c r="N72" s="801">
        <v>15.708</v>
      </c>
      <c r="O72" s="796"/>
      <c r="P72" s="395"/>
      <c r="Q72" s="1212"/>
      <c r="R72" s="928"/>
      <c r="S72" s="66"/>
      <c r="T72" s="254"/>
      <c r="U72" s="254"/>
      <c r="V72" s="254"/>
      <c r="W72" s="66"/>
      <c r="X72" s="254"/>
      <c r="Y72" s="66"/>
      <c r="Z72" s="254"/>
      <c r="AA72" s="3"/>
      <c r="AB72" s="3"/>
      <c r="AC72" s="68"/>
      <c r="AD72" s="267"/>
      <c r="AE72" s="2461"/>
      <c r="AF72" s="68"/>
      <c r="AG72" s="3"/>
      <c r="AH72" s="3"/>
      <c r="AI72" s="3"/>
      <c r="AJ72" s="3"/>
      <c r="AK72" s="2815" t="s">
        <v>910</v>
      </c>
      <c r="AL72" s="2579">
        <f>SUMIFS(R30:R951,F30:F951,"6а",G30:G951,5)+SUMIFS(R30:R951,F30:F951,"6б",G30:G951,5)+SUMIFS(R30:R951,F30:F951,"б/к",G30:G951,5)</f>
        <v>142.26899999999998</v>
      </c>
      <c r="AM72" s="2817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</row>
    <row r="73" spans="1:70" x14ac:dyDescent="0.35">
      <c r="A73" s="525"/>
      <c r="B73" s="693">
        <v>11502</v>
      </c>
      <c r="C73" s="693"/>
      <c r="D73" s="695"/>
      <c r="E73" s="1481" t="s">
        <v>1381</v>
      </c>
      <c r="F73" s="1953">
        <v>4</v>
      </c>
      <c r="G73" s="66">
        <v>4</v>
      </c>
      <c r="H73" s="66">
        <v>6</v>
      </c>
      <c r="I73" s="395"/>
      <c r="J73" s="395"/>
      <c r="K73" s="395"/>
      <c r="L73" s="395"/>
      <c r="M73" s="395"/>
      <c r="N73" s="801"/>
      <c r="O73" s="796"/>
      <c r="P73" s="395"/>
      <c r="Q73" s="1212">
        <f>22.48-15.708</f>
        <v>6.7720000000000002</v>
      </c>
      <c r="R73" s="928"/>
      <c r="S73" s="66"/>
      <c r="T73" s="254"/>
      <c r="U73" s="254"/>
      <c r="V73" s="254"/>
      <c r="W73" s="66"/>
      <c r="X73" s="254"/>
      <c r="Y73" s="66"/>
      <c r="Z73" s="254"/>
      <c r="AC73" s="68"/>
      <c r="AD73" s="267"/>
      <c r="AE73" s="2461"/>
      <c r="AF73" s="68"/>
      <c r="AK73" s="2815"/>
      <c r="AL73" s="2579"/>
      <c r="AM73" s="2817"/>
    </row>
    <row r="74" spans="1:70" s="158" customFormat="1" ht="31" thickBot="1" x14ac:dyDescent="0.4">
      <c r="A74" s="525">
        <v>31</v>
      </c>
      <c r="B74" s="693">
        <v>11502</v>
      </c>
      <c r="C74" s="693"/>
      <c r="D74" s="2469" t="s">
        <v>6425</v>
      </c>
      <c r="E74" s="312" t="s">
        <v>8038</v>
      </c>
      <c r="F74" s="1953"/>
      <c r="G74" s="66"/>
      <c r="H74" s="66" t="s">
        <v>191</v>
      </c>
      <c r="I74" s="622">
        <f>J74+K74+L74</f>
        <v>0.71000000000000008</v>
      </c>
      <c r="J74" s="622">
        <f>SUM(M74:R74)</f>
        <v>0.71000000000000008</v>
      </c>
      <c r="K74" s="622"/>
      <c r="L74" s="622"/>
      <c r="M74" s="622"/>
      <c r="N74" s="800">
        <f>SUM(N75:N76)</f>
        <v>3.7999999999999999E-2</v>
      </c>
      <c r="O74" s="795"/>
      <c r="P74" s="622"/>
      <c r="Q74" s="934">
        <f>SUM(Q75:Q76)</f>
        <v>0.67200000000000004</v>
      </c>
      <c r="R74" s="926"/>
      <c r="S74" s="67"/>
      <c r="T74" s="250"/>
      <c r="U74" s="250"/>
      <c r="V74" s="250"/>
      <c r="W74" s="67">
        <f>3+2</f>
        <v>5</v>
      </c>
      <c r="X74" s="250">
        <f>30+20</f>
        <v>50</v>
      </c>
      <c r="Y74" s="67">
        <v>2</v>
      </c>
      <c r="Z74" s="250">
        <v>20</v>
      </c>
      <c r="AA74" s="3"/>
      <c r="AB74" s="3">
        <v>1</v>
      </c>
      <c r="AC74" s="68"/>
      <c r="AD74" s="267"/>
      <c r="AE74" s="2461"/>
      <c r="AF74" s="68"/>
      <c r="AG74" s="3"/>
      <c r="AH74" s="3"/>
      <c r="AI74" s="3"/>
      <c r="AJ74" s="3"/>
      <c r="AK74" s="2822" t="s">
        <v>11237</v>
      </c>
      <c r="AL74" s="2823">
        <f>AL11+AL32+AL53</f>
        <v>348.74799999999993</v>
      </c>
      <c r="AM74" s="2824">
        <f>AL74-J10</f>
        <v>0</v>
      </c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</row>
    <row r="75" spans="1:70" s="2" customFormat="1" x14ac:dyDescent="0.35">
      <c r="A75" s="525"/>
      <c r="B75" s="693">
        <v>11502</v>
      </c>
      <c r="C75" s="693"/>
      <c r="D75" s="695"/>
      <c r="E75" s="313" t="s">
        <v>583</v>
      </c>
      <c r="F75" s="1953">
        <v>5</v>
      </c>
      <c r="G75" s="66">
        <v>5</v>
      </c>
      <c r="H75" s="66">
        <v>6</v>
      </c>
      <c r="I75" s="395"/>
      <c r="J75" s="395"/>
      <c r="K75" s="395"/>
      <c r="L75" s="395"/>
      <c r="M75" s="395"/>
      <c r="N75" s="801">
        <v>3.7999999999999999E-2</v>
      </c>
      <c r="O75" s="796"/>
      <c r="P75" s="395"/>
      <c r="Q75" s="1212"/>
      <c r="R75" s="928"/>
      <c r="S75" s="66"/>
      <c r="T75" s="254"/>
      <c r="U75" s="254"/>
      <c r="V75" s="254"/>
      <c r="W75" s="66"/>
      <c r="X75" s="254"/>
      <c r="Y75" s="66"/>
      <c r="Z75" s="254"/>
      <c r="AA75" s="3"/>
      <c r="AB75" s="3"/>
      <c r="AC75" s="68"/>
      <c r="AD75" s="267"/>
      <c r="AE75" s="2461"/>
      <c r="AF75" s="68"/>
      <c r="AG75" s="3"/>
      <c r="AH75" s="3"/>
      <c r="AI75" s="3"/>
      <c r="AJ75" s="3"/>
      <c r="AK75" s="2825" t="s">
        <v>11238</v>
      </c>
      <c r="AL75" s="2826">
        <f>AL34+AL55+AL13</f>
        <v>136.52199999999999</v>
      </c>
      <c r="AM75" s="2827">
        <f>AL75-J12</f>
        <v>0</v>
      </c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</row>
    <row r="76" spans="1:70" s="2" customFormat="1" x14ac:dyDescent="0.35">
      <c r="A76" s="525"/>
      <c r="B76" s="693">
        <v>11502</v>
      </c>
      <c r="C76" s="693"/>
      <c r="D76" s="695"/>
      <c r="E76" s="1481" t="s">
        <v>584</v>
      </c>
      <c r="F76" s="1953">
        <v>5</v>
      </c>
      <c r="G76" s="66">
        <v>5</v>
      </c>
      <c r="H76" s="66">
        <v>6</v>
      </c>
      <c r="I76" s="395"/>
      <c r="J76" s="395"/>
      <c r="K76" s="395"/>
      <c r="L76" s="395"/>
      <c r="M76" s="395"/>
      <c r="N76" s="801"/>
      <c r="O76" s="796"/>
      <c r="P76" s="395"/>
      <c r="Q76" s="1212">
        <v>0.67200000000000004</v>
      </c>
      <c r="R76" s="928"/>
      <c r="S76" s="66"/>
      <c r="T76" s="254"/>
      <c r="U76" s="254"/>
      <c r="V76" s="254"/>
      <c r="W76" s="66"/>
      <c r="X76" s="254"/>
      <c r="Y76" s="66"/>
      <c r="Z76" s="254"/>
      <c r="AA76" s="3"/>
      <c r="AB76" s="3"/>
      <c r="AC76" s="68"/>
      <c r="AD76" s="267"/>
      <c r="AE76" s="2461"/>
      <c r="AF76" s="68"/>
      <c r="AG76" s="3"/>
      <c r="AH76" s="3"/>
      <c r="AI76" s="3"/>
      <c r="AJ76" s="3"/>
      <c r="AK76" s="2828" t="s">
        <v>11239</v>
      </c>
      <c r="AL76" s="2826">
        <f>AL19+AL40+AL61</f>
        <v>42.45</v>
      </c>
      <c r="AM76" s="2827">
        <f>AL76-J13</f>
        <v>0</v>
      </c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</row>
    <row r="77" spans="1:70" ht="30.5" x14ac:dyDescent="0.35">
      <c r="A77" s="525">
        <v>32</v>
      </c>
      <c r="B77" s="693">
        <v>11502</v>
      </c>
      <c r="C77" s="693"/>
      <c r="D77" s="2469" t="s">
        <v>6426</v>
      </c>
      <c r="E77" s="312" t="s">
        <v>8039</v>
      </c>
      <c r="F77" s="1953">
        <v>4</v>
      </c>
      <c r="G77" s="66">
        <v>5</v>
      </c>
      <c r="H77" s="66">
        <v>6</v>
      </c>
      <c r="I77" s="622">
        <f>J77+K77+L77</f>
        <v>2.42</v>
      </c>
      <c r="J77" s="622">
        <f>SUM(M77:R77)</f>
        <v>2.42</v>
      </c>
      <c r="K77" s="622"/>
      <c r="L77" s="622"/>
      <c r="M77" s="622"/>
      <c r="N77" s="800">
        <v>2.42</v>
      </c>
      <c r="O77" s="795"/>
      <c r="P77" s="622"/>
      <c r="Q77" s="934"/>
      <c r="R77" s="926"/>
      <c r="S77" s="67"/>
      <c r="T77" s="250"/>
      <c r="U77" s="250"/>
      <c r="V77" s="250"/>
      <c r="W77" s="67">
        <f>6+4</f>
        <v>10</v>
      </c>
      <c r="X77" s="250">
        <f>104.8+45</f>
        <v>149.80000000000001</v>
      </c>
      <c r="Y77" s="67">
        <v>4</v>
      </c>
      <c r="Z77" s="250">
        <v>45</v>
      </c>
      <c r="AA77" s="3" t="s">
        <v>2220</v>
      </c>
      <c r="AB77" s="3">
        <v>1</v>
      </c>
      <c r="AC77" s="68"/>
      <c r="AD77" s="267"/>
      <c r="AE77" s="2461"/>
      <c r="AF77" s="68"/>
      <c r="AK77" s="2828" t="s">
        <v>11240</v>
      </c>
      <c r="AL77" s="2826">
        <f>AL25+AL46+AL67</f>
        <v>169.77599999999998</v>
      </c>
      <c r="AM77" s="2827">
        <f>AL77-J14</f>
        <v>0</v>
      </c>
    </row>
    <row r="78" spans="1:70" ht="30.5" x14ac:dyDescent="0.35">
      <c r="A78" s="525">
        <v>33</v>
      </c>
      <c r="B78" s="693">
        <v>11502</v>
      </c>
      <c r="C78" s="693"/>
      <c r="D78" s="2469" t="s">
        <v>6427</v>
      </c>
      <c r="E78" s="312" t="s">
        <v>8040</v>
      </c>
      <c r="F78" s="1953"/>
      <c r="G78" s="66"/>
      <c r="H78" s="66" t="s">
        <v>191</v>
      </c>
      <c r="I78" s="622">
        <f>J78+K78+L78</f>
        <v>2.4500000000000002</v>
      </c>
      <c r="J78" s="622">
        <f>SUM(M78:R78)</f>
        <v>2.4500000000000002</v>
      </c>
      <c r="K78" s="622"/>
      <c r="L78" s="622"/>
      <c r="M78" s="622"/>
      <c r="N78" s="800"/>
      <c r="O78" s="795"/>
      <c r="P78" s="622"/>
      <c r="Q78" s="934">
        <f>SUM(Q79:Q81)</f>
        <v>1.99</v>
      </c>
      <c r="R78" s="926">
        <f>SUM(R79:R81)</f>
        <v>0.46</v>
      </c>
      <c r="S78" s="67"/>
      <c r="T78" s="250"/>
      <c r="U78" s="250"/>
      <c r="V78" s="250"/>
      <c r="W78" s="67">
        <f>3+7</f>
        <v>10</v>
      </c>
      <c r="X78" s="250">
        <f>35.7+80</f>
        <v>115.7</v>
      </c>
      <c r="Y78" s="67">
        <v>7</v>
      </c>
      <c r="Z78" s="250">
        <v>80</v>
      </c>
      <c r="AB78" s="3">
        <v>1</v>
      </c>
      <c r="AC78" s="68"/>
      <c r="AD78" s="267"/>
      <c r="AE78" s="2461"/>
      <c r="AF78" s="68"/>
    </row>
    <row r="79" spans="1:70" x14ac:dyDescent="0.35">
      <c r="A79" s="525"/>
      <c r="B79" s="693">
        <v>11502</v>
      </c>
      <c r="C79" s="693"/>
      <c r="D79" s="695"/>
      <c r="E79" s="1481" t="s">
        <v>2020</v>
      </c>
      <c r="F79" s="1953" t="s">
        <v>827</v>
      </c>
      <c r="G79" s="66">
        <v>5</v>
      </c>
      <c r="H79" s="66">
        <v>6</v>
      </c>
      <c r="I79" s="395"/>
      <c r="J79" s="395"/>
      <c r="K79" s="395"/>
      <c r="L79" s="395"/>
      <c r="M79" s="395"/>
      <c r="N79" s="801"/>
      <c r="O79" s="796"/>
      <c r="P79" s="395"/>
      <c r="Q79" s="1212">
        <v>1.5</v>
      </c>
      <c r="R79" s="928"/>
      <c r="S79" s="66"/>
      <c r="T79" s="254"/>
      <c r="U79" s="254"/>
      <c r="V79" s="254"/>
      <c r="W79" s="66"/>
      <c r="X79" s="254"/>
      <c r="Y79" s="66"/>
      <c r="Z79" s="254"/>
      <c r="AC79" s="68"/>
      <c r="AD79" s="267"/>
      <c r="AE79" s="2461"/>
      <c r="AF79" s="68"/>
    </row>
    <row r="80" spans="1:70" x14ac:dyDescent="0.35">
      <c r="A80" s="525"/>
      <c r="B80" s="693">
        <v>11502</v>
      </c>
      <c r="C80" s="693"/>
      <c r="D80" s="695"/>
      <c r="E80" s="899" t="s">
        <v>508</v>
      </c>
      <c r="F80" s="1953" t="s">
        <v>827</v>
      </c>
      <c r="G80" s="66">
        <v>5</v>
      </c>
      <c r="H80" s="66">
        <v>6</v>
      </c>
      <c r="I80" s="395"/>
      <c r="J80" s="395"/>
      <c r="K80" s="395"/>
      <c r="L80" s="395"/>
      <c r="M80" s="395"/>
      <c r="N80" s="801"/>
      <c r="O80" s="796"/>
      <c r="P80" s="395"/>
      <c r="Q80" s="1212"/>
      <c r="R80" s="928">
        <v>0.46</v>
      </c>
      <c r="S80" s="66"/>
      <c r="T80" s="254"/>
      <c r="U80" s="254"/>
      <c r="V80" s="254"/>
      <c r="W80" s="66"/>
      <c r="X80" s="254"/>
      <c r="Y80" s="66"/>
      <c r="Z80" s="254"/>
      <c r="AC80" s="68"/>
      <c r="AD80" s="267"/>
      <c r="AE80" s="2461"/>
      <c r="AF80" s="68"/>
    </row>
    <row r="81" spans="1:70" x14ac:dyDescent="0.35">
      <c r="A81" s="525"/>
      <c r="B81" s="693">
        <v>11502</v>
      </c>
      <c r="C81" s="693"/>
      <c r="D81" s="695"/>
      <c r="E81" s="1481" t="s">
        <v>509</v>
      </c>
      <c r="F81" s="1953" t="s">
        <v>827</v>
      </c>
      <c r="G81" s="66">
        <v>5</v>
      </c>
      <c r="H81" s="66">
        <v>6</v>
      </c>
      <c r="I81" s="395"/>
      <c r="J81" s="395"/>
      <c r="K81" s="395"/>
      <c r="L81" s="395"/>
      <c r="M81" s="395"/>
      <c r="N81" s="801"/>
      <c r="O81" s="796"/>
      <c r="P81" s="395"/>
      <c r="Q81" s="1212">
        <v>0.49</v>
      </c>
      <c r="R81" s="928"/>
      <c r="S81" s="66"/>
      <c r="T81" s="254"/>
      <c r="U81" s="254"/>
      <c r="V81" s="254"/>
      <c r="W81" s="66"/>
      <c r="X81" s="254"/>
      <c r="Y81" s="66"/>
      <c r="Z81" s="254"/>
      <c r="AC81" s="68"/>
      <c r="AD81" s="267"/>
      <c r="AE81" s="2461"/>
      <c r="AF81" s="68"/>
    </row>
    <row r="82" spans="1:70" ht="45.5" x14ac:dyDescent="0.35">
      <c r="A82" s="525">
        <v>34</v>
      </c>
      <c r="B82" s="693">
        <v>11502</v>
      </c>
      <c r="C82" s="2166" t="s">
        <v>1656</v>
      </c>
      <c r="D82" s="2469" t="s">
        <v>6428</v>
      </c>
      <c r="E82" s="312" t="s">
        <v>9045</v>
      </c>
      <c r="F82" s="1953" t="s">
        <v>664</v>
      </c>
      <c r="G82" s="66">
        <v>5</v>
      </c>
      <c r="H82" s="66">
        <v>6</v>
      </c>
      <c r="I82" s="622">
        <f t="shared" ref="I82:I88" si="9">J82+K82+L82</f>
        <v>0.5</v>
      </c>
      <c r="J82" s="622">
        <f>SUM(M82:R82)</f>
        <v>0.5</v>
      </c>
      <c r="K82" s="622"/>
      <c r="L82" s="622"/>
      <c r="M82" s="622"/>
      <c r="N82" s="800"/>
      <c r="O82" s="795"/>
      <c r="P82" s="622"/>
      <c r="Q82" s="934"/>
      <c r="R82" s="926">
        <v>0.5</v>
      </c>
      <c r="S82" s="67"/>
      <c r="T82" s="250"/>
      <c r="U82" s="250"/>
      <c r="V82" s="250"/>
      <c r="W82" s="67"/>
      <c r="X82" s="250"/>
      <c r="Y82" s="67"/>
      <c r="Z82" s="250"/>
      <c r="AB82" s="3">
        <v>1</v>
      </c>
      <c r="AC82" s="68"/>
      <c r="AD82" s="267"/>
      <c r="AE82" s="2461"/>
      <c r="AF82" s="68"/>
    </row>
    <row r="83" spans="1:70" ht="30.5" x14ac:dyDescent="0.35">
      <c r="A83" s="525">
        <v>35</v>
      </c>
      <c r="B83" s="693">
        <v>11502</v>
      </c>
      <c r="C83" s="693"/>
      <c r="D83" s="2469" t="s">
        <v>6429</v>
      </c>
      <c r="E83" s="312" t="s">
        <v>8041</v>
      </c>
      <c r="F83" s="1953" t="s">
        <v>1490</v>
      </c>
      <c r="G83" s="66">
        <v>5</v>
      </c>
      <c r="H83" s="66">
        <v>6</v>
      </c>
      <c r="I83" s="622">
        <f t="shared" si="9"/>
        <v>3.3250000000000002</v>
      </c>
      <c r="J83" s="622">
        <f>SUM(M83:R83)</f>
        <v>3.3250000000000002</v>
      </c>
      <c r="K83" s="622"/>
      <c r="L83" s="622"/>
      <c r="M83" s="622"/>
      <c r="N83" s="800"/>
      <c r="O83" s="795"/>
      <c r="P83" s="622"/>
      <c r="Q83" s="934"/>
      <c r="R83" s="926">
        <v>3.3250000000000002</v>
      </c>
      <c r="S83" s="67"/>
      <c r="T83" s="250"/>
      <c r="U83" s="250"/>
      <c r="V83" s="250"/>
      <c r="W83" s="67">
        <v>7</v>
      </c>
      <c r="X83" s="250">
        <v>77.5</v>
      </c>
      <c r="Y83" s="67"/>
      <c r="Z83" s="250"/>
      <c r="AB83" s="3">
        <v>1</v>
      </c>
      <c r="AC83" s="68"/>
      <c r="AD83" s="267"/>
      <c r="AE83" s="2461"/>
      <c r="AF83" s="68"/>
    </row>
    <row r="84" spans="1:70" ht="45.5" x14ac:dyDescent="0.35">
      <c r="A84" s="525">
        <v>36</v>
      </c>
      <c r="B84" s="693">
        <v>11502</v>
      </c>
      <c r="C84" s="2166" t="s">
        <v>1656</v>
      </c>
      <c r="D84" s="2469" t="s">
        <v>6430</v>
      </c>
      <c r="E84" s="312" t="s">
        <v>9046</v>
      </c>
      <c r="F84" s="1953" t="s">
        <v>664</v>
      </c>
      <c r="G84" s="66">
        <v>5</v>
      </c>
      <c r="H84" s="66">
        <v>6</v>
      </c>
      <c r="I84" s="622">
        <f t="shared" si="9"/>
        <v>0.6</v>
      </c>
      <c r="J84" s="622">
        <f>SUM(M84:R84)</f>
        <v>0.6</v>
      </c>
      <c r="K84" s="622"/>
      <c r="L84" s="622"/>
      <c r="M84" s="622"/>
      <c r="N84" s="800"/>
      <c r="O84" s="795"/>
      <c r="P84" s="622"/>
      <c r="Q84" s="934"/>
      <c r="R84" s="926">
        <v>0.6</v>
      </c>
      <c r="S84" s="67"/>
      <c r="T84" s="250"/>
      <c r="U84" s="250"/>
      <c r="V84" s="250"/>
      <c r="W84" s="67"/>
      <c r="X84" s="250"/>
      <c r="Y84" s="67"/>
      <c r="Z84" s="250"/>
      <c r="AB84" s="3">
        <v>1</v>
      </c>
      <c r="AC84" s="68"/>
      <c r="AD84" s="267"/>
      <c r="AE84" s="2461"/>
      <c r="AF84" s="68"/>
    </row>
    <row r="85" spans="1:70" ht="30.5" x14ac:dyDescent="0.35">
      <c r="A85" s="525">
        <v>37</v>
      </c>
      <c r="B85" s="693">
        <v>11502</v>
      </c>
      <c r="C85" s="2166" t="s">
        <v>1656</v>
      </c>
      <c r="D85" s="2469" t="s">
        <v>6431</v>
      </c>
      <c r="E85" s="312" t="s">
        <v>9047</v>
      </c>
      <c r="F85" s="1953" t="s">
        <v>664</v>
      </c>
      <c r="G85" s="66">
        <v>5</v>
      </c>
      <c r="H85" s="66">
        <v>6</v>
      </c>
      <c r="I85" s="622">
        <f t="shared" si="9"/>
        <v>0.6</v>
      </c>
      <c r="J85" s="622">
        <f>SUM(M85:R85)</f>
        <v>0.6</v>
      </c>
      <c r="K85" s="622"/>
      <c r="L85" s="622"/>
      <c r="M85" s="622"/>
      <c r="N85" s="800"/>
      <c r="O85" s="795"/>
      <c r="P85" s="622"/>
      <c r="Q85" s="934"/>
      <c r="R85" s="926">
        <v>0.6</v>
      </c>
      <c r="S85" s="67"/>
      <c r="T85" s="250"/>
      <c r="U85" s="250"/>
      <c r="V85" s="250"/>
      <c r="W85" s="67"/>
      <c r="X85" s="250"/>
      <c r="Y85" s="67"/>
      <c r="Z85" s="250"/>
      <c r="AB85" s="3">
        <v>1</v>
      </c>
      <c r="AC85" s="68"/>
      <c r="AD85" s="267"/>
      <c r="AE85" s="2461"/>
      <c r="AF85" s="68"/>
    </row>
    <row r="86" spans="1:70" s="158" customFormat="1" ht="31" thickBot="1" x14ac:dyDescent="0.4">
      <c r="A86" s="525">
        <v>38</v>
      </c>
      <c r="B86" s="693">
        <v>11502</v>
      </c>
      <c r="C86" s="2166" t="s">
        <v>1656</v>
      </c>
      <c r="D86" s="2469" t="s">
        <v>6432</v>
      </c>
      <c r="E86" s="312" t="s">
        <v>9048</v>
      </c>
      <c r="F86" s="1953" t="s">
        <v>664</v>
      </c>
      <c r="G86" s="66">
        <v>5</v>
      </c>
      <c r="H86" s="66">
        <v>6</v>
      </c>
      <c r="I86" s="622">
        <f t="shared" si="9"/>
        <v>0.7</v>
      </c>
      <c r="J86" s="622">
        <f>SUM(M86:R86)</f>
        <v>0.7</v>
      </c>
      <c r="K86" s="622"/>
      <c r="L86" s="622"/>
      <c r="M86" s="622"/>
      <c r="N86" s="800"/>
      <c r="O86" s="795"/>
      <c r="P86" s="622"/>
      <c r="Q86" s="934"/>
      <c r="R86" s="926">
        <v>0.7</v>
      </c>
      <c r="S86" s="67"/>
      <c r="T86" s="250"/>
      <c r="U86" s="250"/>
      <c r="V86" s="250"/>
      <c r="W86" s="67"/>
      <c r="X86" s="250"/>
      <c r="Y86" s="67"/>
      <c r="Z86" s="250"/>
      <c r="AA86" s="3"/>
      <c r="AB86" s="3">
        <v>1</v>
      </c>
      <c r="AC86" s="68"/>
      <c r="AD86" s="267"/>
      <c r="AE86" s="2461"/>
      <c r="AF86" s="68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</row>
    <row r="87" spans="1:70" s="2" customFormat="1" ht="30" x14ac:dyDescent="0.35">
      <c r="A87" s="525">
        <v>39</v>
      </c>
      <c r="B87" s="2166">
        <v>11502</v>
      </c>
      <c r="C87" s="2166" t="s">
        <v>1656</v>
      </c>
      <c r="D87" s="2469" t="s">
        <v>6433</v>
      </c>
      <c r="E87" s="2187" t="s">
        <v>10291</v>
      </c>
      <c r="F87" s="1953" t="s">
        <v>664</v>
      </c>
      <c r="G87" s="92">
        <v>5</v>
      </c>
      <c r="H87" s="66">
        <v>6</v>
      </c>
      <c r="I87" s="2157">
        <f t="shared" si="9"/>
        <v>0.3</v>
      </c>
      <c r="J87" s="2157">
        <f>M87+N87+O87+P87+Q87+R87</f>
        <v>0.3</v>
      </c>
      <c r="K87" s="395"/>
      <c r="L87" s="395"/>
      <c r="M87" s="622"/>
      <c r="N87" s="622"/>
      <c r="O87" s="622"/>
      <c r="P87" s="622"/>
      <c r="Q87" s="2085"/>
      <c r="R87" s="906">
        <v>0.3</v>
      </c>
      <c r="S87" s="46"/>
      <c r="T87" s="46"/>
      <c r="U87" s="46"/>
      <c r="V87" s="46"/>
      <c r="W87" s="46"/>
      <c r="X87" s="109"/>
      <c r="Y87" s="46"/>
      <c r="Z87" s="46"/>
      <c r="AA87" s="3"/>
      <c r="AB87" s="3">
        <v>1</v>
      </c>
      <c r="AC87" s="68"/>
      <c r="AD87" s="267"/>
      <c r="AE87" s="2461"/>
      <c r="AF87" s="68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</row>
    <row r="88" spans="1:70" s="2" customFormat="1" ht="16" thickBot="1" x14ac:dyDescent="0.4">
      <c r="A88" s="525">
        <v>40</v>
      </c>
      <c r="B88" s="693">
        <v>11503</v>
      </c>
      <c r="C88" s="693"/>
      <c r="D88" s="693" t="s">
        <v>1982</v>
      </c>
      <c r="E88" s="312" t="s">
        <v>1384</v>
      </c>
      <c r="F88" s="1953"/>
      <c r="G88" s="66"/>
      <c r="H88" s="66" t="s">
        <v>191</v>
      </c>
      <c r="I88" s="622">
        <f t="shared" si="9"/>
        <v>25.33</v>
      </c>
      <c r="J88" s="622">
        <f>SUM(M88:R88)</f>
        <v>25.33</v>
      </c>
      <c r="K88" s="622"/>
      <c r="L88" s="622"/>
      <c r="M88" s="622"/>
      <c r="N88" s="800">
        <f>SUM(N89:N92)</f>
        <v>25.33</v>
      </c>
      <c r="O88" s="795"/>
      <c r="P88" s="622"/>
      <c r="Q88" s="934"/>
      <c r="R88" s="926"/>
      <c r="S88" s="67">
        <v>1</v>
      </c>
      <c r="T88" s="250">
        <v>18.3</v>
      </c>
      <c r="U88" s="250"/>
      <c r="V88" s="250"/>
      <c r="W88" s="2830">
        <f>29+8</f>
        <v>37</v>
      </c>
      <c r="X88" s="2533">
        <f>432.7+82</f>
        <v>514.70000000000005</v>
      </c>
      <c r="Y88" s="67">
        <v>8</v>
      </c>
      <c r="Z88" s="250">
        <v>82</v>
      </c>
      <c r="AA88" s="3"/>
      <c r="AB88" s="3">
        <v>1</v>
      </c>
      <c r="AC88" s="68"/>
      <c r="AD88" s="267"/>
      <c r="AE88" s="2461"/>
      <c r="AF88" s="68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</row>
    <row r="89" spans="1:70" s="159" customFormat="1" ht="16" thickBot="1" x14ac:dyDescent="0.4">
      <c r="A89" s="525"/>
      <c r="B89" s="693">
        <v>11503</v>
      </c>
      <c r="C89" s="693"/>
      <c r="D89" s="695"/>
      <c r="E89" s="313" t="s">
        <v>1382</v>
      </c>
      <c r="F89" s="1953">
        <v>4</v>
      </c>
      <c r="G89" s="66">
        <v>4</v>
      </c>
      <c r="H89" s="66">
        <v>6</v>
      </c>
      <c r="I89" s="395"/>
      <c r="J89" s="395"/>
      <c r="K89" s="395"/>
      <c r="L89" s="395"/>
      <c r="M89" s="395"/>
      <c r="N89" s="801">
        <v>10.72</v>
      </c>
      <c r="O89" s="796"/>
      <c r="P89" s="395"/>
      <c r="Q89" s="1212"/>
      <c r="R89" s="928"/>
      <c r="S89" s="66"/>
      <c r="T89" s="254"/>
      <c r="U89" s="254"/>
      <c r="V89" s="254"/>
      <c r="W89" s="66"/>
      <c r="X89" s="254"/>
      <c r="Y89" s="66"/>
      <c r="Z89" s="254"/>
      <c r="AA89" s="3"/>
      <c r="AB89" s="3"/>
      <c r="AC89" s="68"/>
      <c r="AD89" s="267"/>
      <c r="AE89" s="2461"/>
      <c r="AF89" s="68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</row>
    <row r="90" spans="1:70" x14ac:dyDescent="0.35">
      <c r="A90" s="525"/>
      <c r="B90" s="693">
        <v>11503</v>
      </c>
      <c r="C90" s="693"/>
      <c r="D90" s="695"/>
      <c r="E90" s="2611" t="s">
        <v>10455</v>
      </c>
      <c r="F90" s="720">
        <v>4</v>
      </c>
      <c r="G90" s="2762">
        <v>4</v>
      </c>
      <c r="H90" s="2762">
        <v>6</v>
      </c>
      <c r="I90" s="801"/>
      <c r="J90" s="801"/>
      <c r="K90" s="801"/>
      <c r="L90" s="801"/>
      <c r="M90" s="801"/>
      <c r="N90" s="801">
        <f>11.8-10.72</f>
        <v>1.08</v>
      </c>
      <c r="O90" s="796"/>
      <c r="P90" s="395"/>
      <c r="Q90" s="2612"/>
      <c r="R90" s="928"/>
      <c r="S90" s="66"/>
      <c r="T90" s="254"/>
      <c r="U90" s="254"/>
      <c r="V90" s="254"/>
      <c r="W90" s="66"/>
      <c r="X90" s="254"/>
      <c r="Y90" s="66"/>
      <c r="Z90" s="254"/>
      <c r="AC90" s="68"/>
      <c r="AD90" s="267"/>
      <c r="AE90" s="2461"/>
      <c r="AF90" s="68"/>
    </row>
    <row r="91" spans="1:70" x14ac:dyDescent="0.35">
      <c r="A91" s="525"/>
      <c r="B91" s="693">
        <v>11503</v>
      </c>
      <c r="C91" s="693"/>
      <c r="D91" s="695"/>
      <c r="E91" s="2611" t="s">
        <v>10454</v>
      </c>
      <c r="F91" s="1953">
        <v>4</v>
      </c>
      <c r="G91" s="66">
        <v>4</v>
      </c>
      <c r="H91" s="66">
        <v>10</v>
      </c>
      <c r="I91" s="395"/>
      <c r="J91" s="395"/>
      <c r="K91" s="395"/>
      <c r="L91" s="395"/>
      <c r="M91" s="395"/>
      <c r="N91" s="395">
        <f>17.7-11.8</f>
        <v>5.8999999999999986</v>
      </c>
      <c r="O91" s="796"/>
      <c r="P91" s="395"/>
      <c r="Q91" s="1212"/>
      <c r="R91" s="928"/>
      <c r="S91" s="66"/>
      <c r="T91" s="254"/>
      <c r="U91" s="254"/>
      <c r="V91" s="254"/>
      <c r="W91" s="66"/>
      <c r="X91" s="254"/>
      <c r="Y91" s="66"/>
      <c r="Z91" s="254"/>
      <c r="AC91" s="68"/>
      <c r="AD91" s="267"/>
      <c r="AE91" s="2461"/>
      <c r="AF91" s="68"/>
    </row>
    <row r="92" spans="1:70" x14ac:dyDescent="0.35">
      <c r="A92" s="525"/>
      <c r="B92" s="1040">
        <v>11503</v>
      </c>
      <c r="C92" s="1040"/>
      <c r="D92" s="695"/>
      <c r="E92" s="313" t="s">
        <v>1383</v>
      </c>
      <c r="F92" s="1953">
        <v>4</v>
      </c>
      <c r="G92" s="66">
        <v>4</v>
      </c>
      <c r="H92" s="66">
        <v>6</v>
      </c>
      <c r="I92" s="395"/>
      <c r="J92" s="395"/>
      <c r="K92" s="395"/>
      <c r="L92" s="395"/>
      <c r="M92" s="395"/>
      <c r="N92" s="801">
        <f>25.33-17.7</f>
        <v>7.629999999999999</v>
      </c>
      <c r="O92" s="796"/>
      <c r="P92" s="395"/>
      <c r="Q92" s="1212"/>
      <c r="R92" s="928"/>
      <c r="S92" s="66"/>
      <c r="T92" s="254"/>
      <c r="U92" s="254"/>
      <c r="V92" s="254"/>
      <c r="W92" s="66"/>
      <c r="X92" s="254"/>
      <c r="Y92" s="66"/>
      <c r="Z92" s="254"/>
      <c r="AC92" s="68"/>
      <c r="AD92" s="267"/>
      <c r="AE92" s="2461"/>
      <c r="AF92" s="68"/>
    </row>
    <row r="93" spans="1:70" ht="30.5" x14ac:dyDescent="0.35">
      <c r="A93" s="525">
        <v>41</v>
      </c>
      <c r="B93" s="1040">
        <v>11503</v>
      </c>
      <c r="C93" s="1040"/>
      <c r="D93" s="2469" t="s">
        <v>6434</v>
      </c>
      <c r="E93" s="312" t="s">
        <v>8042</v>
      </c>
      <c r="F93" s="1953" t="s">
        <v>1490</v>
      </c>
      <c r="G93" s="66">
        <v>5</v>
      </c>
      <c r="H93" s="66">
        <v>6</v>
      </c>
      <c r="I93" s="622">
        <f t="shared" ref="I93:I97" si="10">J93+K93+L93</f>
        <v>1.26</v>
      </c>
      <c r="J93" s="622">
        <f t="shared" ref="J93:J97" si="11">SUM(M93:R93)</f>
        <v>1.26</v>
      </c>
      <c r="K93" s="622"/>
      <c r="L93" s="622"/>
      <c r="M93" s="622"/>
      <c r="N93" s="800"/>
      <c r="O93" s="795"/>
      <c r="P93" s="622"/>
      <c r="Q93" s="934"/>
      <c r="R93" s="926">
        <v>1.26</v>
      </c>
      <c r="S93" s="67"/>
      <c r="T93" s="250"/>
      <c r="U93" s="250"/>
      <c r="V93" s="250"/>
      <c r="W93" s="67">
        <v>2</v>
      </c>
      <c r="X93" s="250">
        <v>20</v>
      </c>
      <c r="Y93" s="67"/>
      <c r="Z93" s="250"/>
      <c r="AB93" s="3">
        <v>1</v>
      </c>
      <c r="AC93" s="68"/>
      <c r="AD93" s="267"/>
      <c r="AE93" s="2461"/>
      <c r="AF93" s="68"/>
    </row>
    <row r="94" spans="1:70" ht="30.5" x14ac:dyDescent="0.35">
      <c r="A94" s="525">
        <v>42</v>
      </c>
      <c r="B94" s="1040">
        <v>11503</v>
      </c>
      <c r="C94" s="1040"/>
      <c r="D94" s="2469" t="s">
        <v>6435</v>
      </c>
      <c r="E94" s="312" t="s">
        <v>9201</v>
      </c>
      <c r="F94" s="1953" t="s">
        <v>664</v>
      </c>
      <c r="G94" s="66">
        <v>5</v>
      </c>
      <c r="H94" s="66">
        <v>6</v>
      </c>
      <c r="I94" s="622">
        <f t="shared" si="10"/>
        <v>1.2</v>
      </c>
      <c r="J94" s="622">
        <f t="shared" si="11"/>
        <v>1.2</v>
      </c>
      <c r="K94" s="622"/>
      <c r="L94" s="622"/>
      <c r="M94" s="622"/>
      <c r="N94" s="800"/>
      <c r="O94" s="795"/>
      <c r="P94" s="622"/>
      <c r="Q94" s="934"/>
      <c r="R94" s="926">
        <v>1.2</v>
      </c>
      <c r="S94" s="67"/>
      <c r="T94" s="250"/>
      <c r="U94" s="250"/>
      <c r="V94" s="250"/>
      <c r="W94" s="67">
        <v>1</v>
      </c>
      <c r="X94" s="250">
        <v>10</v>
      </c>
      <c r="Y94" s="67"/>
      <c r="Z94" s="250"/>
      <c r="AB94" s="3">
        <v>1</v>
      </c>
      <c r="AC94" s="68"/>
      <c r="AD94" s="267"/>
      <c r="AE94" s="2461"/>
      <c r="AF94" s="68"/>
    </row>
    <row r="95" spans="1:70" s="158" customFormat="1" ht="46" thickBot="1" x14ac:dyDescent="0.4">
      <c r="A95" s="441">
        <v>43</v>
      </c>
      <c r="B95" s="1040">
        <v>11503</v>
      </c>
      <c r="C95" s="1040"/>
      <c r="D95" s="2469" t="s">
        <v>6436</v>
      </c>
      <c r="E95" s="312" t="s">
        <v>9516</v>
      </c>
      <c r="F95" s="1953" t="s">
        <v>664</v>
      </c>
      <c r="G95" s="66">
        <v>5</v>
      </c>
      <c r="H95" s="66">
        <v>6</v>
      </c>
      <c r="I95" s="622">
        <f t="shared" si="10"/>
        <v>2.87</v>
      </c>
      <c r="J95" s="622">
        <f t="shared" si="11"/>
        <v>2.87</v>
      </c>
      <c r="K95" s="622"/>
      <c r="L95" s="622"/>
      <c r="M95" s="622"/>
      <c r="N95" s="800"/>
      <c r="O95" s="795"/>
      <c r="P95" s="622"/>
      <c r="Q95" s="934"/>
      <c r="R95" s="926">
        <v>2.87</v>
      </c>
      <c r="S95" s="67"/>
      <c r="T95" s="250"/>
      <c r="U95" s="250"/>
      <c r="V95" s="250"/>
      <c r="W95" s="67"/>
      <c r="X95" s="250"/>
      <c r="Y95" s="67"/>
      <c r="Z95" s="250"/>
      <c r="AA95" s="3"/>
      <c r="AB95" s="3">
        <v>1</v>
      </c>
      <c r="AC95" s="68"/>
      <c r="AD95" s="267"/>
      <c r="AE95" s="2461"/>
      <c r="AF95" s="68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</row>
    <row r="96" spans="1:70" s="2" customFormat="1" ht="30.5" x14ac:dyDescent="0.35">
      <c r="A96" s="525">
        <v>44</v>
      </c>
      <c r="B96" s="1040">
        <v>11503</v>
      </c>
      <c r="C96" s="1040"/>
      <c r="D96" s="2469" t="s">
        <v>6437</v>
      </c>
      <c r="E96" s="312" t="s">
        <v>9202</v>
      </c>
      <c r="F96" s="1953" t="s">
        <v>664</v>
      </c>
      <c r="G96" s="66">
        <v>5</v>
      </c>
      <c r="H96" s="66">
        <v>6</v>
      </c>
      <c r="I96" s="622">
        <f t="shared" si="10"/>
        <v>1.25</v>
      </c>
      <c r="J96" s="622">
        <f t="shared" si="11"/>
        <v>1.25</v>
      </c>
      <c r="K96" s="622"/>
      <c r="L96" s="622"/>
      <c r="M96" s="622"/>
      <c r="N96" s="800"/>
      <c r="O96" s="795"/>
      <c r="P96" s="622"/>
      <c r="Q96" s="934"/>
      <c r="R96" s="926">
        <v>1.25</v>
      </c>
      <c r="S96" s="67"/>
      <c r="T96" s="250"/>
      <c r="U96" s="250"/>
      <c r="V96" s="250"/>
      <c r="W96" s="67"/>
      <c r="X96" s="250"/>
      <c r="Y96" s="67"/>
      <c r="Z96" s="250"/>
      <c r="AA96" s="3"/>
      <c r="AB96" s="3">
        <v>1</v>
      </c>
      <c r="AC96" s="68"/>
      <c r="AD96" s="267"/>
      <c r="AE96" s="2461"/>
      <c r="AF96" s="68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</row>
    <row r="97" spans="1:70" ht="30.5" x14ac:dyDescent="0.35">
      <c r="A97" s="441">
        <v>45</v>
      </c>
      <c r="B97" s="1040">
        <v>11503</v>
      </c>
      <c r="C97" s="1040"/>
      <c r="D97" s="2469" t="s">
        <v>6438</v>
      </c>
      <c r="E97" s="312" t="s">
        <v>9203</v>
      </c>
      <c r="F97" s="1953"/>
      <c r="G97" s="66"/>
      <c r="H97" s="66" t="s">
        <v>191</v>
      </c>
      <c r="I97" s="622">
        <f t="shared" si="10"/>
        <v>2.7</v>
      </c>
      <c r="J97" s="622">
        <f t="shared" si="11"/>
        <v>2.7</v>
      </c>
      <c r="K97" s="622"/>
      <c r="L97" s="622"/>
      <c r="M97" s="622"/>
      <c r="N97" s="800">
        <f>SUM(N98:N99)</f>
        <v>0.93</v>
      </c>
      <c r="O97" s="795"/>
      <c r="P97" s="622"/>
      <c r="Q97" s="934"/>
      <c r="R97" s="926">
        <f>SUM(R98:R99)</f>
        <v>1.77</v>
      </c>
      <c r="S97" s="67"/>
      <c r="T97" s="250"/>
      <c r="U97" s="250"/>
      <c r="V97" s="250"/>
      <c r="W97" s="67">
        <v>3</v>
      </c>
      <c r="X97" s="250">
        <v>35.700000000000003</v>
      </c>
      <c r="Y97" s="67"/>
      <c r="Z97" s="250"/>
      <c r="AB97" s="3">
        <v>1</v>
      </c>
      <c r="AC97" s="68"/>
      <c r="AD97" s="267"/>
      <c r="AE97" s="2461"/>
      <c r="AF97" s="68"/>
    </row>
    <row r="98" spans="1:70" s="174" customFormat="1" x14ac:dyDescent="0.35">
      <c r="A98" s="525"/>
      <c r="B98" s="1040">
        <v>11503</v>
      </c>
      <c r="C98" s="1040"/>
      <c r="D98" s="695"/>
      <c r="E98" s="313" t="s">
        <v>927</v>
      </c>
      <c r="F98" s="1953" t="s">
        <v>827</v>
      </c>
      <c r="G98" s="66">
        <v>5</v>
      </c>
      <c r="H98" s="66">
        <v>6</v>
      </c>
      <c r="I98" s="395"/>
      <c r="J98" s="395"/>
      <c r="K98" s="395"/>
      <c r="L98" s="395"/>
      <c r="M98" s="395"/>
      <c r="N98" s="801">
        <v>0.93</v>
      </c>
      <c r="O98" s="796"/>
      <c r="P98" s="395"/>
      <c r="Q98" s="1212"/>
      <c r="R98" s="928"/>
      <c r="S98" s="66"/>
      <c r="T98" s="254"/>
      <c r="U98" s="254"/>
      <c r="V98" s="254"/>
      <c r="W98" s="66"/>
      <c r="X98" s="254"/>
      <c r="Y98" s="66"/>
      <c r="Z98" s="254"/>
      <c r="AA98" s="3"/>
      <c r="AB98" s="3"/>
      <c r="AC98" s="68"/>
      <c r="AD98" s="267"/>
      <c r="AE98" s="2461"/>
      <c r="AF98" s="68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</row>
    <row r="99" spans="1:70" x14ac:dyDescent="0.35">
      <c r="A99" s="525"/>
      <c r="B99" s="1040">
        <v>11503</v>
      </c>
      <c r="C99" s="1040"/>
      <c r="D99" s="695"/>
      <c r="E99" s="899" t="s">
        <v>928</v>
      </c>
      <c r="F99" s="1953" t="s">
        <v>827</v>
      </c>
      <c r="G99" s="66">
        <v>5</v>
      </c>
      <c r="H99" s="66">
        <v>6</v>
      </c>
      <c r="I99" s="395"/>
      <c r="J99" s="395"/>
      <c r="K99" s="395"/>
      <c r="L99" s="395"/>
      <c r="M99" s="395"/>
      <c r="N99" s="801"/>
      <c r="O99" s="796"/>
      <c r="P99" s="395"/>
      <c r="Q99" s="1212"/>
      <c r="R99" s="928">
        <v>1.77</v>
      </c>
      <c r="S99" s="66"/>
      <c r="T99" s="254"/>
      <c r="U99" s="254"/>
      <c r="V99" s="254"/>
      <c r="W99" s="66"/>
      <c r="X99" s="254"/>
      <c r="Y99" s="66"/>
      <c r="Z99" s="254"/>
      <c r="AC99" s="68"/>
      <c r="AD99" s="267"/>
      <c r="AE99" s="2461"/>
      <c r="AF99" s="68"/>
    </row>
    <row r="100" spans="1:70" ht="45" x14ac:dyDescent="0.35">
      <c r="A100" s="525">
        <v>46</v>
      </c>
      <c r="B100" s="2170">
        <v>11503</v>
      </c>
      <c r="C100" s="2166" t="s">
        <v>1656</v>
      </c>
      <c r="D100" s="2469" t="s">
        <v>6439</v>
      </c>
      <c r="E100" s="2187" t="s">
        <v>9220</v>
      </c>
      <c r="F100" s="1944" t="s">
        <v>664</v>
      </c>
      <c r="G100" s="92">
        <v>5</v>
      </c>
      <c r="H100" s="66">
        <v>6</v>
      </c>
      <c r="I100" s="2157">
        <f>J100+K100+L100</f>
        <v>0.9</v>
      </c>
      <c r="J100" s="2157">
        <f>M100+N100+O100+P100+Q100+R100</f>
        <v>0.9</v>
      </c>
      <c r="K100" s="395"/>
      <c r="L100" s="395"/>
      <c r="M100" s="622"/>
      <c r="N100" s="622"/>
      <c r="O100" s="622"/>
      <c r="P100" s="622"/>
      <c r="Q100" s="2085"/>
      <c r="R100" s="906">
        <v>0.9</v>
      </c>
      <c r="S100" s="46"/>
      <c r="T100" s="46"/>
      <c r="U100" s="46"/>
      <c r="V100" s="46"/>
      <c r="W100" s="46"/>
      <c r="X100" s="109"/>
      <c r="Y100" s="46"/>
      <c r="Z100" s="46"/>
      <c r="AB100" s="3">
        <v>1</v>
      </c>
      <c r="AC100" s="68"/>
      <c r="AD100" s="267"/>
      <c r="AE100" s="2461"/>
      <c r="AF100" s="68"/>
    </row>
    <row r="101" spans="1:70" ht="45.5" x14ac:dyDescent="0.35">
      <c r="A101" s="525">
        <v>47</v>
      </c>
      <c r="B101" s="1040">
        <v>11503</v>
      </c>
      <c r="C101" s="1040"/>
      <c r="D101" s="2469" t="s">
        <v>6440</v>
      </c>
      <c r="E101" s="312" t="s">
        <v>9158</v>
      </c>
      <c r="F101" s="1944"/>
      <c r="G101" s="66"/>
      <c r="H101" s="66" t="s">
        <v>191</v>
      </c>
      <c r="I101" s="622">
        <f>J101+K101+L101</f>
        <v>2.6</v>
      </c>
      <c r="J101" s="622">
        <f>SUM(M101:R101)</f>
        <v>2.6</v>
      </c>
      <c r="K101" s="622"/>
      <c r="L101" s="622"/>
      <c r="M101" s="622"/>
      <c r="N101" s="800">
        <f>SUM(N102:N103)</f>
        <v>0.432</v>
      </c>
      <c r="O101" s="795"/>
      <c r="P101" s="622"/>
      <c r="Q101" s="934"/>
      <c r="R101" s="926">
        <f>SUM(R102:R103)</f>
        <v>2.1680000000000001</v>
      </c>
      <c r="S101" s="67"/>
      <c r="T101" s="250"/>
      <c r="U101" s="250"/>
      <c r="V101" s="250"/>
      <c r="W101" s="67">
        <v>1</v>
      </c>
      <c r="X101" s="250">
        <v>10</v>
      </c>
      <c r="Y101" s="67"/>
      <c r="Z101" s="250"/>
      <c r="AB101" s="3">
        <v>1</v>
      </c>
      <c r="AC101" s="68"/>
      <c r="AD101" s="267"/>
      <c r="AE101" s="2461"/>
      <c r="AF101" s="68"/>
    </row>
    <row r="102" spans="1:70" x14ac:dyDescent="0.35">
      <c r="A102" s="525"/>
      <c r="B102" s="1040">
        <v>11503</v>
      </c>
      <c r="C102" s="1040"/>
      <c r="D102" s="695"/>
      <c r="E102" s="313" t="s">
        <v>1641</v>
      </c>
      <c r="F102" s="1953" t="s">
        <v>1490</v>
      </c>
      <c r="G102" s="66">
        <v>5</v>
      </c>
      <c r="H102" s="66">
        <v>6</v>
      </c>
      <c r="I102" s="395"/>
      <c r="J102" s="395"/>
      <c r="K102" s="395"/>
      <c r="L102" s="395"/>
      <c r="M102" s="395"/>
      <c r="N102" s="801">
        <v>0.432</v>
      </c>
      <c r="O102" s="796"/>
      <c r="P102" s="395"/>
      <c r="Q102" s="1212"/>
      <c r="R102" s="928"/>
      <c r="S102" s="66"/>
      <c r="T102" s="254"/>
      <c r="U102" s="254"/>
      <c r="V102" s="254"/>
      <c r="W102" s="66"/>
      <c r="X102" s="254"/>
      <c r="Y102" s="66"/>
      <c r="Z102" s="254"/>
      <c r="AC102" s="68"/>
      <c r="AD102" s="267"/>
      <c r="AE102" s="2461"/>
      <c r="AF102" s="68"/>
    </row>
    <row r="103" spans="1:70" x14ac:dyDescent="0.35">
      <c r="A103" s="525"/>
      <c r="B103" s="1040">
        <v>11503</v>
      </c>
      <c r="C103" s="1040"/>
      <c r="D103" s="695"/>
      <c r="E103" s="899" t="s">
        <v>1412</v>
      </c>
      <c r="F103" s="1953" t="s">
        <v>664</v>
      </c>
      <c r="G103" s="66">
        <v>5</v>
      </c>
      <c r="H103" s="66">
        <v>6</v>
      </c>
      <c r="I103" s="395"/>
      <c r="J103" s="395"/>
      <c r="K103" s="395"/>
      <c r="L103" s="395"/>
      <c r="M103" s="395"/>
      <c r="N103" s="801"/>
      <c r="O103" s="796"/>
      <c r="P103" s="395"/>
      <c r="Q103" s="1212"/>
      <c r="R103" s="928">
        <v>2.1680000000000001</v>
      </c>
      <c r="S103" s="66"/>
      <c r="T103" s="254"/>
      <c r="U103" s="254"/>
      <c r="V103" s="254"/>
      <c r="W103" s="66"/>
      <c r="X103" s="254"/>
      <c r="Y103" s="66"/>
      <c r="Z103" s="254"/>
      <c r="AC103" s="68"/>
      <c r="AD103" s="267"/>
      <c r="AE103" s="2461"/>
      <c r="AF103" s="68"/>
    </row>
    <row r="104" spans="1:70" ht="75.5" x14ac:dyDescent="0.35">
      <c r="A104" s="525">
        <v>48</v>
      </c>
      <c r="B104" s="1040">
        <v>11503</v>
      </c>
      <c r="C104" s="2166" t="s">
        <v>1656</v>
      </c>
      <c r="D104" s="2469" t="s">
        <v>6441</v>
      </c>
      <c r="E104" s="312" t="s">
        <v>9159</v>
      </c>
      <c r="F104" s="1953" t="s">
        <v>664</v>
      </c>
      <c r="G104" s="66">
        <v>5</v>
      </c>
      <c r="H104" s="66">
        <v>6</v>
      </c>
      <c r="I104" s="622">
        <f t="shared" ref="I104:I124" si="12">J104+K104+L104</f>
        <v>0.5</v>
      </c>
      <c r="J104" s="622">
        <f t="shared" ref="J104:J118" si="13">SUM(M104:R104)</f>
        <v>0.5</v>
      </c>
      <c r="K104" s="622"/>
      <c r="L104" s="622"/>
      <c r="M104" s="622"/>
      <c r="N104" s="800"/>
      <c r="O104" s="795"/>
      <c r="P104" s="622"/>
      <c r="Q104" s="934"/>
      <c r="R104" s="926">
        <v>0.5</v>
      </c>
      <c r="S104" s="67"/>
      <c r="T104" s="250"/>
      <c r="U104" s="250"/>
      <c r="V104" s="250"/>
      <c r="W104" s="67"/>
      <c r="X104" s="250"/>
      <c r="Y104" s="67"/>
      <c r="Z104" s="250"/>
      <c r="AB104" s="3">
        <v>1</v>
      </c>
      <c r="AC104" s="68"/>
      <c r="AD104" s="267"/>
      <c r="AE104" s="2461"/>
      <c r="AF104" s="68"/>
    </row>
    <row r="105" spans="1:70" ht="30.5" x14ac:dyDescent="0.35">
      <c r="A105" s="525">
        <v>49</v>
      </c>
      <c r="B105" s="1040">
        <v>11503</v>
      </c>
      <c r="C105" s="1040"/>
      <c r="D105" s="2469" t="s">
        <v>6442</v>
      </c>
      <c r="E105" s="312" t="s">
        <v>8043</v>
      </c>
      <c r="F105" s="1953" t="s">
        <v>664</v>
      </c>
      <c r="G105" s="66">
        <v>5</v>
      </c>
      <c r="H105" s="66">
        <v>6</v>
      </c>
      <c r="I105" s="622">
        <f t="shared" si="12"/>
        <v>0.8</v>
      </c>
      <c r="J105" s="622">
        <f t="shared" si="13"/>
        <v>0.8</v>
      </c>
      <c r="K105" s="622"/>
      <c r="L105" s="622"/>
      <c r="M105" s="622"/>
      <c r="N105" s="800"/>
      <c r="O105" s="795"/>
      <c r="P105" s="622"/>
      <c r="Q105" s="934"/>
      <c r="R105" s="926">
        <v>0.8</v>
      </c>
      <c r="S105" s="67"/>
      <c r="T105" s="250"/>
      <c r="U105" s="250"/>
      <c r="V105" s="250"/>
      <c r="W105" s="67">
        <v>1</v>
      </c>
      <c r="X105" s="250">
        <v>15.1</v>
      </c>
      <c r="Y105" s="67"/>
      <c r="Z105" s="250"/>
      <c r="AB105" s="3">
        <v>1</v>
      </c>
      <c r="AC105" s="68"/>
      <c r="AD105" s="267"/>
      <c r="AE105" s="2461"/>
      <c r="AF105" s="68"/>
    </row>
    <row r="106" spans="1:70" ht="30.5" x14ac:dyDescent="0.35">
      <c r="A106" s="525">
        <v>50</v>
      </c>
      <c r="B106" s="1040">
        <v>11503</v>
      </c>
      <c r="C106" s="1040"/>
      <c r="D106" s="2469" t="s">
        <v>6443</v>
      </c>
      <c r="E106" s="312" t="s">
        <v>8044</v>
      </c>
      <c r="F106" s="1953" t="s">
        <v>1490</v>
      </c>
      <c r="G106" s="66">
        <v>5</v>
      </c>
      <c r="H106" s="66">
        <v>6</v>
      </c>
      <c r="I106" s="622">
        <f t="shared" si="12"/>
        <v>0.67</v>
      </c>
      <c r="J106" s="622">
        <f t="shared" si="13"/>
        <v>0.67</v>
      </c>
      <c r="K106" s="622"/>
      <c r="L106" s="622"/>
      <c r="M106" s="622"/>
      <c r="N106" s="800"/>
      <c r="O106" s="795"/>
      <c r="P106" s="622"/>
      <c r="Q106" s="934"/>
      <c r="R106" s="926">
        <v>0.67</v>
      </c>
      <c r="S106" s="67"/>
      <c r="T106" s="250"/>
      <c r="U106" s="250"/>
      <c r="V106" s="250"/>
      <c r="W106" s="67">
        <v>3</v>
      </c>
      <c r="X106" s="250">
        <v>30</v>
      </c>
      <c r="Y106" s="67"/>
      <c r="Z106" s="250"/>
      <c r="AB106" s="3">
        <v>1</v>
      </c>
      <c r="AC106" s="68"/>
      <c r="AD106" s="267"/>
      <c r="AE106" s="2461"/>
      <c r="AF106" s="68"/>
    </row>
    <row r="107" spans="1:70" s="158" customFormat="1" ht="61" thickBot="1" x14ac:dyDescent="0.4">
      <c r="A107" s="525">
        <v>51</v>
      </c>
      <c r="B107" s="1040">
        <v>11503</v>
      </c>
      <c r="C107" s="1040"/>
      <c r="D107" s="2469" t="s">
        <v>6444</v>
      </c>
      <c r="E107" s="312" t="s">
        <v>7404</v>
      </c>
      <c r="F107" s="1953">
        <v>4</v>
      </c>
      <c r="G107" s="66">
        <v>5</v>
      </c>
      <c r="H107" s="66">
        <v>6</v>
      </c>
      <c r="I107" s="622">
        <f>J107+K107+L107</f>
        <v>0.5</v>
      </c>
      <c r="J107" s="622">
        <f>SUM(M107:R107)</f>
        <v>0.5</v>
      </c>
      <c r="K107" s="622"/>
      <c r="L107" s="622"/>
      <c r="M107" s="622"/>
      <c r="N107" s="800">
        <v>0.5</v>
      </c>
      <c r="O107" s="795"/>
      <c r="P107" s="622"/>
      <c r="Q107" s="934"/>
      <c r="R107" s="926"/>
      <c r="S107" s="67"/>
      <c r="T107" s="250"/>
      <c r="U107" s="250"/>
      <c r="V107" s="250"/>
      <c r="W107" s="67"/>
      <c r="X107" s="250"/>
      <c r="Y107" s="67"/>
      <c r="Z107" s="250"/>
      <c r="AA107" s="3" t="s">
        <v>1559</v>
      </c>
      <c r="AB107" s="3">
        <v>1</v>
      </c>
      <c r="AC107" s="68"/>
      <c r="AD107" s="267"/>
      <c r="AE107" s="2461"/>
      <c r="AF107" s="68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</row>
    <row r="108" spans="1:70" ht="75.5" x14ac:dyDescent="0.35">
      <c r="A108" s="525">
        <v>52</v>
      </c>
      <c r="B108" s="1040">
        <v>11503</v>
      </c>
      <c r="C108" s="2166" t="s">
        <v>1656</v>
      </c>
      <c r="D108" s="2469" t="s">
        <v>6445</v>
      </c>
      <c r="E108" s="312" t="s">
        <v>9049</v>
      </c>
      <c r="F108" s="1953" t="s">
        <v>664</v>
      </c>
      <c r="G108" s="66">
        <v>5</v>
      </c>
      <c r="H108" s="66">
        <v>6</v>
      </c>
      <c r="I108" s="622">
        <f>J108+K108+L108</f>
        <v>1</v>
      </c>
      <c r="J108" s="622">
        <f>SUM(M108:R108)</f>
        <v>1</v>
      </c>
      <c r="K108" s="622"/>
      <c r="L108" s="622"/>
      <c r="M108" s="622"/>
      <c r="N108" s="800"/>
      <c r="O108" s="795"/>
      <c r="P108" s="622"/>
      <c r="Q108" s="934"/>
      <c r="R108" s="926">
        <v>1</v>
      </c>
      <c r="S108" s="67"/>
      <c r="T108" s="250"/>
      <c r="U108" s="250"/>
      <c r="V108" s="250"/>
      <c r="W108" s="67"/>
      <c r="X108" s="250"/>
      <c r="Y108" s="67"/>
      <c r="Z108" s="250"/>
      <c r="AB108" s="3">
        <v>1</v>
      </c>
      <c r="AC108" s="68"/>
      <c r="AD108" s="267"/>
      <c r="AE108" s="2461"/>
      <c r="AF108" s="68"/>
    </row>
    <row r="109" spans="1:70" ht="30.5" x14ac:dyDescent="0.35">
      <c r="A109" s="525">
        <v>53</v>
      </c>
      <c r="B109" s="1040">
        <v>11503</v>
      </c>
      <c r="C109" s="2166" t="s">
        <v>1656</v>
      </c>
      <c r="D109" s="2469" t="s">
        <v>6446</v>
      </c>
      <c r="E109" s="312" t="s">
        <v>9050</v>
      </c>
      <c r="F109" s="1953" t="s">
        <v>664</v>
      </c>
      <c r="G109" s="66">
        <v>5</v>
      </c>
      <c r="H109" s="66">
        <v>6</v>
      </c>
      <c r="I109" s="622">
        <f t="shared" si="12"/>
        <v>0.1</v>
      </c>
      <c r="J109" s="622">
        <f t="shared" si="13"/>
        <v>0.1</v>
      </c>
      <c r="K109" s="622"/>
      <c r="L109" s="622"/>
      <c r="M109" s="622"/>
      <c r="N109" s="800"/>
      <c r="O109" s="795"/>
      <c r="P109" s="622"/>
      <c r="Q109" s="934"/>
      <c r="R109" s="926">
        <v>0.1</v>
      </c>
      <c r="S109" s="67"/>
      <c r="T109" s="250"/>
      <c r="U109" s="250"/>
      <c r="V109" s="250"/>
      <c r="W109" s="67"/>
      <c r="X109" s="250"/>
      <c r="Y109" s="67"/>
      <c r="Z109" s="250"/>
      <c r="AB109" s="3">
        <v>1</v>
      </c>
      <c r="AC109" s="68"/>
      <c r="AD109" s="267"/>
      <c r="AE109" s="2461"/>
      <c r="AF109" s="68"/>
    </row>
    <row r="110" spans="1:70" ht="30.5" x14ac:dyDescent="0.35">
      <c r="A110" s="525">
        <v>54</v>
      </c>
      <c r="B110" s="1040">
        <v>11503</v>
      </c>
      <c r="C110" s="2166" t="s">
        <v>1656</v>
      </c>
      <c r="D110" s="2469" t="s">
        <v>6447</v>
      </c>
      <c r="E110" s="312" t="s">
        <v>9051</v>
      </c>
      <c r="F110" s="1953" t="s">
        <v>664</v>
      </c>
      <c r="G110" s="66">
        <v>5</v>
      </c>
      <c r="H110" s="66">
        <v>6</v>
      </c>
      <c r="I110" s="622">
        <f t="shared" si="12"/>
        <v>1.5</v>
      </c>
      <c r="J110" s="622">
        <f t="shared" si="13"/>
        <v>1.5</v>
      </c>
      <c r="K110" s="622"/>
      <c r="L110" s="622"/>
      <c r="M110" s="622"/>
      <c r="N110" s="800"/>
      <c r="O110" s="795"/>
      <c r="P110" s="622"/>
      <c r="Q110" s="934"/>
      <c r="R110" s="926">
        <v>1.5</v>
      </c>
      <c r="S110" s="67"/>
      <c r="T110" s="250"/>
      <c r="U110" s="250"/>
      <c r="V110" s="250"/>
      <c r="W110" s="67"/>
      <c r="X110" s="250"/>
      <c r="Y110" s="67"/>
      <c r="Z110" s="250"/>
      <c r="AB110" s="3">
        <v>1</v>
      </c>
      <c r="AC110" s="68"/>
      <c r="AD110" s="267"/>
      <c r="AE110" s="2461"/>
      <c r="AF110" s="68"/>
    </row>
    <row r="111" spans="1:70" s="158" customFormat="1" ht="31" thickBot="1" x14ac:dyDescent="0.4">
      <c r="A111" s="525">
        <v>55</v>
      </c>
      <c r="B111" s="1040">
        <v>11503</v>
      </c>
      <c r="C111" s="2166" t="s">
        <v>1656</v>
      </c>
      <c r="D111" s="2469" t="s">
        <v>6448</v>
      </c>
      <c r="E111" s="312" t="s">
        <v>9052</v>
      </c>
      <c r="F111" s="1953"/>
      <c r="G111" s="66"/>
      <c r="H111" s="66" t="s">
        <v>191</v>
      </c>
      <c r="I111" s="622">
        <f>J111+K111+L111</f>
        <v>0.38</v>
      </c>
      <c r="J111" s="622">
        <f t="shared" si="13"/>
        <v>0.17</v>
      </c>
      <c r="K111" s="622"/>
      <c r="L111" s="622">
        <f>SUM(L112:L114)</f>
        <v>0.21</v>
      </c>
      <c r="M111" s="622"/>
      <c r="N111" s="800"/>
      <c r="O111" s="795"/>
      <c r="P111" s="622"/>
      <c r="Q111" s="934"/>
      <c r="R111" s="926">
        <f>SUM(R112:R114)</f>
        <v>0.17</v>
      </c>
      <c r="S111" s="67"/>
      <c r="T111" s="250"/>
      <c r="U111" s="250"/>
      <c r="V111" s="250"/>
      <c r="W111" s="67"/>
      <c r="X111" s="250"/>
      <c r="Y111" s="67"/>
      <c r="Z111" s="250"/>
      <c r="AA111" s="3"/>
      <c r="AB111" s="3">
        <v>1</v>
      </c>
      <c r="AC111" s="68"/>
      <c r="AD111" s="267"/>
      <c r="AE111" s="2461"/>
      <c r="AF111" s="68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</row>
    <row r="112" spans="1:70" s="2" customFormat="1" x14ac:dyDescent="0.35">
      <c r="A112" s="525"/>
      <c r="B112" s="1040"/>
      <c r="C112" s="2166"/>
      <c r="D112" s="2469"/>
      <c r="E112" s="289" t="s">
        <v>6996</v>
      </c>
      <c r="F112" s="1953" t="s">
        <v>664</v>
      </c>
      <c r="G112" s="66">
        <v>5</v>
      </c>
      <c r="H112" s="66" t="s">
        <v>191</v>
      </c>
      <c r="I112" s="395"/>
      <c r="J112" s="395"/>
      <c r="K112" s="395"/>
      <c r="L112" s="395">
        <v>0.15</v>
      </c>
      <c r="M112" s="395"/>
      <c r="N112" s="395"/>
      <c r="O112" s="796"/>
      <c r="P112" s="395"/>
      <c r="Q112" s="2086"/>
      <c r="R112" s="2236"/>
      <c r="S112" s="67"/>
      <c r="T112" s="250"/>
      <c r="U112" s="250"/>
      <c r="V112" s="250"/>
      <c r="W112" s="67"/>
      <c r="X112" s="250"/>
      <c r="Y112" s="67"/>
      <c r="Z112" s="250"/>
      <c r="AA112" s="3"/>
      <c r="AB112" s="3"/>
      <c r="AC112" s="68"/>
      <c r="AD112" s="267"/>
      <c r="AE112" s="2461"/>
      <c r="AF112" s="68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</row>
    <row r="113" spans="1:70" s="2" customFormat="1" ht="62" x14ac:dyDescent="0.35">
      <c r="A113" s="525"/>
      <c r="B113" s="1040"/>
      <c r="C113" s="2166"/>
      <c r="D113" s="2469"/>
      <c r="E113" s="289" t="s">
        <v>10842</v>
      </c>
      <c r="F113" s="1953" t="s">
        <v>664</v>
      </c>
      <c r="G113" s="66">
        <v>5</v>
      </c>
      <c r="H113" s="66" t="s">
        <v>191</v>
      </c>
      <c r="I113" s="395"/>
      <c r="J113" s="395"/>
      <c r="K113" s="395"/>
      <c r="L113" s="395">
        <f>0.21-0.15</f>
        <v>0.06</v>
      </c>
      <c r="M113" s="395"/>
      <c r="N113" s="395"/>
      <c r="O113" s="796"/>
      <c r="P113" s="395"/>
      <c r="Q113" s="2086"/>
      <c r="R113" s="2236"/>
      <c r="S113" s="67"/>
      <c r="T113" s="250"/>
      <c r="U113" s="250"/>
      <c r="V113" s="250"/>
      <c r="W113" s="67"/>
      <c r="X113" s="250"/>
      <c r="Y113" s="67"/>
      <c r="Z113" s="250"/>
      <c r="AA113" s="3"/>
      <c r="AB113" s="3"/>
      <c r="AC113" s="68"/>
      <c r="AD113" s="267"/>
      <c r="AE113" s="2461"/>
      <c r="AF113" s="68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</row>
    <row r="114" spans="1:70" s="2" customFormat="1" x14ac:dyDescent="0.35">
      <c r="A114" s="525"/>
      <c r="B114" s="1040"/>
      <c r="C114" s="2166"/>
      <c r="D114" s="2469"/>
      <c r="E114" s="899" t="s">
        <v>6997</v>
      </c>
      <c r="F114" s="1953" t="s">
        <v>664</v>
      </c>
      <c r="G114" s="66">
        <v>5</v>
      </c>
      <c r="H114" s="66">
        <v>6</v>
      </c>
      <c r="I114" s="395"/>
      <c r="J114" s="395"/>
      <c r="K114" s="395"/>
      <c r="L114" s="395"/>
      <c r="M114" s="395"/>
      <c r="N114" s="395"/>
      <c r="O114" s="796"/>
      <c r="P114" s="395"/>
      <c r="Q114" s="2086"/>
      <c r="R114" s="2236">
        <f>0.38-0.21</f>
        <v>0.17</v>
      </c>
      <c r="S114" s="67"/>
      <c r="T114" s="250"/>
      <c r="U114" s="250"/>
      <c r="V114" s="250"/>
      <c r="W114" s="67"/>
      <c r="X114" s="250"/>
      <c r="Y114" s="67"/>
      <c r="Z114" s="250"/>
      <c r="AA114" s="3"/>
      <c r="AB114" s="3"/>
      <c r="AC114" s="68"/>
      <c r="AD114" s="267"/>
      <c r="AE114" s="2461"/>
      <c r="AF114" s="68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</row>
    <row r="115" spans="1:70" ht="45.5" x14ac:dyDescent="0.35">
      <c r="A115" s="525">
        <v>56</v>
      </c>
      <c r="B115" s="693">
        <v>11503</v>
      </c>
      <c r="C115" s="693"/>
      <c r="D115" s="2469" t="s">
        <v>6449</v>
      </c>
      <c r="E115" s="312" t="s">
        <v>9053</v>
      </c>
      <c r="F115" s="1953" t="s">
        <v>827</v>
      </c>
      <c r="G115" s="2289">
        <v>5</v>
      </c>
      <c r="H115" s="66">
        <v>6</v>
      </c>
      <c r="I115" s="297">
        <f>J115+K115+L115</f>
        <v>0.97</v>
      </c>
      <c r="J115" s="297">
        <f>SUM(M115:R115)</f>
        <v>0.97</v>
      </c>
      <c r="K115" s="622"/>
      <c r="L115" s="622"/>
      <c r="M115" s="622"/>
      <c r="N115" s="622">
        <v>0.97</v>
      </c>
      <c r="O115" s="795"/>
      <c r="P115" s="622"/>
      <c r="Q115" s="2085"/>
      <c r="R115" s="2106"/>
      <c r="S115" s="67"/>
      <c r="T115" s="250"/>
      <c r="U115" s="250"/>
      <c r="V115" s="250"/>
      <c r="W115" s="67">
        <f>1+9</f>
        <v>10</v>
      </c>
      <c r="X115" s="250">
        <f>10+45</f>
        <v>55</v>
      </c>
      <c r="Y115" s="67">
        <v>9</v>
      </c>
      <c r="Z115" s="250">
        <v>45</v>
      </c>
      <c r="AB115" s="3">
        <v>1</v>
      </c>
      <c r="AC115" s="68"/>
      <c r="AD115" s="267"/>
      <c r="AE115" s="2461"/>
      <c r="AF115" s="68"/>
    </row>
    <row r="116" spans="1:70" ht="30.5" x14ac:dyDescent="0.35">
      <c r="A116" s="525">
        <v>57</v>
      </c>
      <c r="B116" s="1040">
        <v>11503</v>
      </c>
      <c r="C116" s="1040" t="s">
        <v>1656</v>
      </c>
      <c r="D116" s="2469" t="s">
        <v>6450</v>
      </c>
      <c r="E116" s="312" t="s">
        <v>8045</v>
      </c>
      <c r="F116" s="1953" t="s">
        <v>664</v>
      </c>
      <c r="G116" s="66">
        <v>5</v>
      </c>
      <c r="H116" s="66">
        <v>6</v>
      </c>
      <c r="I116" s="622">
        <f t="shared" si="12"/>
        <v>2</v>
      </c>
      <c r="J116" s="622">
        <f t="shared" si="13"/>
        <v>2</v>
      </c>
      <c r="K116" s="622"/>
      <c r="L116" s="622"/>
      <c r="M116" s="622"/>
      <c r="N116" s="800"/>
      <c r="O116" s="795"/>
      <c r="P116" s="622"/>
      <c r="Q116" s="934"/>
      <c r="R116" s="926">
        <v>2</v>
      </c>
      <c r="S116" s="67"/>
      <c r="T116" s="250"/>
      <c r="U116" s="250"/>
      <c r="V116" s="250"/>
      <c r="W116" s="67"/>
      <c r="X116" s="250"/>
      <c r="Y116" s="67"/>
      <c r="Z116" s="250"/>
      <c r="AB116" s="3">
        <v>1</v>
      </c>
      <c r="AC116" s="68"/>
      <c r="AD116" s="267"/>
      <c r="AE116" s="2461"/>
      <c r="AF116" s="68"/>
    </row>
    <row r="117" spans="1:70" s="158" customFormat="1" ht="61" thickBot="1" x14ac:dyDescent="0.4">
      <c r="A117" s="525">
        <v>58</v>
      </c>
      <c r="B117" s="1040">
        <v>11503</v>
      </c>
      <c r="C117" s="1040" t="s">
        <v>2435</v>
      </c>
      <c r="D117" s="2469" t="s">
        <v>6451</v>
      </c>
      <c r="E117" s="312" t="s">
        <v>9332</v>
      </c>
      <c r="F117" s="1953">
        <v>5</v>
      </c>
      <c r="G117" s="66">
        <v>5</v>
      </c>
      <c r="H117" s="66">
        <v>6</v>
      </c>
      <c r="I117" s="622">
        <f t="shared" si="12"/>
        <v>0.1</v>
      </c>
      <c r="J117" s="622">
        <f t="shared" si="13"/>
        <v>0.1</v>
      </c>
      <c r="K117" s="622"/>
      <c r="L117" s="622"/>
      <c r="M117" s="622"/>
      <c r="N117" s="800"/>
      <c r="O117" s="795"/>
      <c r="P117" s="622"/>
      <c r="Q117" s="934">
        <v>0.1</v>
      </c>
      <c r="R117" s="926"/>
      <c r="S117" s="67"/>
      <c r="T117" s="250"/>
      <c r="U117" s="250"/>
      <c r="V117" s="250"/>
      <c r="W117" s="67"/>
      <c r="X117" s="250"/>
      <c r="Y117" s="67"/>
      <c r="Z117" s="250"/>
      <c r="AA117" s="3"/>
      <c r="AB117" s="3">
        <v>1</v>
      </c>
      <c r="AC117" s="68"/>
      <c r="AD117" s="267"/>
      <c r="AE117" s="2461"/>
      <c r="AF117" s="68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</row>
    <row r="118" spans="1:70" s="2" customFormat="1" ht="45.5" x14ac:dyDescent="0.35">
      <c r="A118" s="525">
        <v>59</v>
      </c>
      <c r="B118" s="1040">
        <v>11503</v>
      </c>
      <c r="C118" s="693" t="s">
        <v>1657</v>
      </c>
      <c r="D118" s="2469" t="s">
        <v>6452</v>
      </c>
      <c r="E118" s="312" t="s">
        <v>8046</v>
      </c>
      <c r="F118" s="1953" t="s">
        <v>664</v>
      </c>
      <c r="G118" s="66">
        <v>5</v>
      </c>
      <c r="H118" s="66">
        <v>6</v>
      </c>
      <c r="I118" s="622">
        <f t="shared" si="12"/>
        <v>0.8</v>
      </c>
      <c r="J118" s="622">
        <f t="shared" si="13"/>
        <v>0.8</v>
      </c>
      <c r="K118" s="622"/>
      <c r="L118" s="622"/>
      <c r="M118" s="622"/>
      <c r="N118" s="800"/>
      <c r="O118" s="795"/>
      <c r="P118" s="622"/>
      <c r="Q118" s="934"/>
      <c r="R118" s="926">
        <v>0.8</v>
      </c>
      <c r="S118" s="67"/>
      <c r="T118" s="250"/>
      <c r="U118" s="250"/>
      <c r="V118" s="250"/>
      <c r="W118" s="67"/>
      <c r="X118" s="250"/>
      <c r="Y118" s="67"/>
      <c r="Z118" s="250"/>
      <c r="AA118" s="3"/>
      <c r="AB118" s="3">
        <v>1</v>
      </c>
      <c r="AC118" s="68"/>
      <c r="AD118" s="267"/>
      <c r="AE118" s="2461"/>
      <c r="AF118" s="68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</row>
    <row r="119" spans="1:70" ht="45" x14ac:dyDescent="0.35">
      <c r="A119" s="525">
        <v>60</v>
      </c>
      <c r="B119" s="2170">
        <v>11503</v>
      </c>
      <c r="C119" s="2166" t="s">
        <v>1656</v>
      </c>
      <c r="D119" s="2469" t="s">
        <v>6453</v>
      </c>
      <c r="E119" s="2187" t="s">
        <v>9054</v>
      </c>
      <c r="F119" s="1944" t="s">
        <v>664</v>
      </c>
      <c r="G119" s="92">
        <v>5</v>
      </c>
      <c r="H119" s="66">
        <v>6</v>
      </c>
      <c r="I119" s="2157">
        <f t="shared" si="12"/>
        <v>3.8</v>
      </c>
      <c r="J119" s="2157">
        <f>M119+N119+O119+P119+Q119+R119</f>
        <v>3.8</v>
      </c>
      <c r="K119" s="395"/>
      <c r="L119" s="395"/>
      <c r="M119" s="622"/>
      <c r="N119" s="622"/>
      <c r="O119" s="622"/>
      <c r="P119" s="622"/>
      <c r="Q119" s="2085"/>
      <c r="R119" s="906">
        <v>3.8</v>
      </c>
      <c r="S119" s="46"/>
      <c r="T119" s="46"/>
      <c r="U119" s="46"/>
      <c r="V119" s="46"/>
      <c r="W119" s="46"/>
      <c r="X119" s="109"/>
      <c r="Y119" s="46"/>
      <c r="Z119" s="46"/>
      <c r="AB119" s="3">
        <v>1</v>
      </c>
      <c r="AC119" s="68"/>
      <c r="AD119" s="267"/>
      <c r="AE119" s="2461"/>
      <c r="AF119" s="68"/>
    </row>
    <row r="120" spans="1:70" ht="30" x14ac:dyDescent="0.35">
      <c r="A120" s="525">
        <v>61</v>
      </c>
      <c r="B120" s="2166">
        <v>11503</v>
      </c>
      <c r="C120" s="2166"/>
      <c r="D120" s="2469" t="s">
        <v>6454</v>
      </c>
      <c r="E120" s="2187" t="s">
        <v>11626</v>
      </c>
      <c r="F120" s="1944"/>
      <c r="G120" s="92"/>
      <c r="H120" s="66" t="s">
        <v>191</v>
      </c>
      <c r="I120" s="2922">
        <f>J120+K120+L120</f>
        <v>0.74</v>
      </c>
      <c r="J120" s="2922">
        <f>M120+N120+O120+P120+Q120+R120</f>
        <v>0.74</v>
      </c>
      <c r="K120" s="395"/>
      <c r="L120" s="395"/>
      <c r="M120" s="622"/>
      <c r="N120" s="2961">
        <f>SUM(N121:N123)</f>
        <v>0.47000000000000003</v>
      </c>
      <c r="O120" s="622"/>
      <c r="P120" s="622"/>
      <c r="Q120" s="622"/>
      <c r="R120" s="906">
        <f>SUM(R121:R123)</f>
        <v>0.26999999999999996</v>
      </c>
      <c r="S120" s="46"/>
      <c r="T120" s="46"/>
      <c r="U120" s="46"/>
      <c r="V120" s="46"/>
      <c r="W120" s="46"/>
      <c r="X120" s="46"/>
      <c r="Y120" s="46"/>
      <c r="Z120" s="46"/>
      <c r="AB120" s="3">
        <v>1</v>
      </c>
      <c r="AE120" s="2461"/>
      <c r="AF120" s="68"/>
    </row>
    <row r="121" spans="1:70" x14ac:dyDescent="0.35">
      <c r="A121" s="2166"/>
      <c r="B121" s="2166">
        <v>11503</v>
      </c>
      <c r="C121" s="2166"/>
      <c r="D121" s="2166"/>
      <c r="E121" s="313" t="s">
        <v>11627</v>
      </c>
      <c r="F121" s="1944" t="s">
        <v>827</v>
      </c>
      <c r="G121" s="92">
        <v>5</v>
      </c>
      <c r="H121" s="66">
        <v>6</v>
      </c>
      <c r="I121" s="92"/>
      <c r="J121" s="92"/>
      <c r="K121" s="395"/>
      <c r="L121" s="395"/>
      <c r="M121" s="395"/>
      <c r="N121" s="2930">
        <v>0.34</v>
      </c>
      <c r="O121" s="395"/>
      <c r="P121" s="395"/>
      <c r="Q121" s="395"/>
      <c r="R121" s="2236"/>
      <c r="S121" s="92"/>
      <c r="T121" s="92"/>
      <c r="U121" s="92"/>
      <c r="V121" s="92"/>
      <c r="W121" s="92"/>
      <c r="X121" s="92"/>
      <c r="Y121" s="92"/>
      <c r="Z121" s="92"/>
      <c r="AE121" s="2461"/>
      <c r="AF121" s="68"/>
    </row>
    <row r="122" spans="1:70" x14ac:dyDescent="0.35">
      <c r="A122" s="2166"/>
      <c r="B122" s="2166">
        <v>11503</v>
      </c>
      <c r="C122" s="2166"/>
      <c r="D122" s="2166"/>
      <c r="E122" s="2297" t="s">
        <v>11629</v>
      </c>
      <c r="F122" s="1944" t="s">
        <v>827</v>
      </c>
      <c r="G122" s="92">
        <v>5</v>
      </c>
      <c r="H122" s="66">
        <v>6</v>
      </c>
      <c r="I122" s="92"/>
      <c r="J122" s="92"/>
      <c r="K122" s="395"/>
      <c r="L122" s="395"/>
      <c r="M122" s="395"/>
      <c r="N122" s="2930"/>
      <c r="O122" s="395"/>
      <c r="P122" s="395"/>
      <c r="Q122" s="395"/>
      <c r="R122" s="2236">
        <f>0.61-0.34</f>
        <v>0.26999999999999996</v>
      </c>
      <c r="S122" s="92"/>
      <c r="T122" s="92"/>
      <c r="U122" s="92"/>
      <c r="V122" s="92"/>
      <c r="W122" s="92"/>
      <c r="X122" s="92"/>
      <c r="Y122" s="92"/>
      <c r="Z122" s="92"/>
      <c r="AE122" s="2461"/>
      <c r="AF122" s="68"/>
    </row>
    <row r="123" spans="1:70" x14ac:dyDescent="0.35">
      <c r="A123" s="2170"/>
      <c r="B123" s="2170"/>
      <c r="C123" s="2170"/>
      <c r="D123" s="2166"/>
      <c r="E123" s="2962" t="s">
        <v>11628</v>
      </c>
      <c r="F123" s="1944" t="s">
        <v>827</v>
      </c>
      <c r="G123" s="92">
        <v>5</v>
      </c>
      <c r="H123" s="66">
        <v>6</v>
      </c>
      <c r="I123" s="92"/>
      <c r="J123" s="92"/>
      <c r="K123" s="395"/>
      <c r="L123" s="395"/>
      <c r="M123" s="395"/>
      <c r="N123" s="2930">
        <f>0.74-0.61</f>
        <v>0.13</v>
      </c>
      <c r="O123" s="395"/>
      <c r="P123" s="395"/>
      <c r="Q123" s="395"/>
      <c r="R123" s="2236"/>
      <c r="S123" s="92"/>
      <c r="T123" s="92"/>
      <c r="U123" s="92"/>
      <c r="V123" s="92"/>
      <c r="W123" s="92"/>
      <c r="X123" s="92"/>
      <c r="Y123" s="92"/>
      <c r="Z123" s="92"/>
      <c r="AE123" s="2461"/>
      <c r="AF123" s="68"/>
    </row>
    <row r="124" spans="1:70" x14ac:dyDescent="0.35">
      <c r="A124" s="525">
        <v>62</v>
      </c>
      <c r="B124" s="1040">
        <v>11504</v>
      </c>
      <c r="C124" s="1040"/>
      <c r="D124" s="693" t="s">
        <v>1123</v>
      </c>
      <c r="E124" s="312" t="s">
        <v>1256</v>
      </c>
      <c r="F124" s="1953"/>
      <c r="G124" s="66"/>
      <c r="H124" s="66" t="s">
        <v>191</v>
      </c>
      <c r="I124" s="622">
        <f t="shared" si="12"/>
        <v>15.075000000000001</v>
      </c>
      <c r="J124" s="622">
        <f>SUM(M124:R124)</f>
        <v>15.075000000000001</v>
      </c>
      <c r="K124" s="622"/>
      <c r="L124" s="622"/>
      <c r="M124" s="622"/>
      <c r="N124" s="800">
        <f>SUM(N125:N131)</f>
        <v>3.9169999999999998</v>
      </c>
      <c r="O124" s="795"/>
      <c r="P124" s="622"/>
      <c r="Q124" s="934">
        <f>SUM(Q125:Q131)</f>
        <v>9.8580000000000005</v>
      </c>
      <c r="R124" s="926">
        <f>SUM(R125:R131)</f>
        <v>1.3</v>
      </c>
      <c r="S124" s="67">
        <v>1</v>
      </c>
      <c r="T124" s="250">
        <v>19.100000000000001</v>
      </c>
      <c r="U124" s="250"/>
      <c r="V124" s="250"/>
      <c r="W124" s="67">
        <f>15+4</f>
        <v>19</v>
      </c>
      <c r="X124" s="250">
        <f>218.78+39.2</f>
        <v>257.98</v>
      </c>
      <c r="Y124" s="67">
        <v>4</v>
      </c>
      <c r="Z124" s="250">
        <v>39.200000762939453</v>
      </c>
      <c r="AB124" s="3">
        <v>1</v>
      </c>
      <c r="AC124" s="68"/>
      <c r="AD124" s="267"/>
      <c r="AE124" s="2461"/>
      <c r="AF124" s="68"/>
    </row>
    <row r="125" spans="1:70" x14ac:dyDescent="0.35">
      <c r="A125" s="525"/>
      <c r="B125" s="1040">
        <v>11504</v>
      </c>
      <c r="C125" s="1040"/>
      <c r="D125" s="695"/>
      <c r="E125" s="899" t="s">
        <v>2032</v>
      </c>
      <c r="F125" s="1953" t="s">
        <v>827</v>
      </c>
      <c r="G125" s="66">
        <v>5</v>
      </c>
      <c r="H125" s="66">
        <v>6</v>
      </c>
      <c r="I125" s="395"/>
      <c r="J125" s="395"/>
      <c r="K125" s="395"/>
      <c r="L125" s="395"/>
      <c r="M125" s="395"/>
      <c r="N125" s="801"/>
      <c r="O125" s="796"/>
      <c r="P125" s="395"/>
      <c r="Q125" s="1212"/>
      <c r="R125" s="928">
        <v>1.3</v>
      </c>
      <c r="S125" s="66"/>
      <c r="T125" s="254"/>
      <c r="U125" s="254"/>
      <c r="V125" s="254"/>
      <c r="W125" s="66"/>
      <c r="X125" s="254"/>
      <c r="Y125" s="66"/>
      <c r="Z125" s="254"/>
      <c r="AC125" s="68"/>
      <c r="AD125" s="267"/>
      <c r="AE125" s="2461"/>
      <c r="AF125" s="68"/>
    </row>
    <row r="126" spans="1:70" x14ac:dyDescent="0.35">
      <c r="A126" s="525"/>
      <c r="B126" s="1040">
        <v>11504</v>
      </c>
      <c r="C126" s="1040"/>
      <c r="D126" s="695"/>
      <c r="E126" s="1481" t="s">
        <v>11296</v>
      </c>
      <c r="F126" s="1953">
        <v>4</v>
      </c>
      <c r="G126" s="66">
        <v>5</v>
      </c>
      <c r="H126" s="66">
        <v>6</v>
      </c>
      <c r="I126" s="395"/>
      <c r="J126" s="395"/>
      <c r="K126" s="395"/>
      <c r="L126" s="395"/>
      <c r="M126" s="395"/>
      <c r="N126" s="801"/>
      <c r="O126" s="796"/>
      <c r="P126" s="395"/>
      <c r="Q126" s="1212">
        <f>4.093-1.3</f>
        <v>2.7930000000000001</v>
      </c>
      <c r="R126" s="928"/>
      <c r="S126" s="66"/>
      <c r="T126" s="254"/>
      <c r="U126" s="254"/>
      <c r="V126" s="254"/>
      <c r="W126" s="66"/>
      <c r="X126" s="254"/>
      <c r="Y126" s="66"/>
      <c r="Z126" s="254"/>
      <c r="AC126" s="68"/>
      <c r="AD126" s="267"/>
      <c r="AE126" s="2461"/>
      <c r="AF126" s="68"/>
    </row>
    <row r="127" spans="1:70" x14ac:dyDescent="0.35">
      <c r="A127" s="525"/>
      <c r="B127" s="1040"/>
      <c r="C127" s="1040"/>
      <c r="D127" s="695"/>
      <c r="E127" s="313" t="s">
        <v>11441</v>
      </c>
      <c r="F127" s="1953">
        <v>4</v>
      </c>
      <c r="G127" s="66">
        <v>5</v>
      </c>
      <c r="H127" s="66">
        <v>6</v>
      </c>
      <c r="I127" s="395"/>
      <c r="J127" s="395"/>
      <c r="K127" s="395"/>
      <c r="L127" s="395"/>
      <c r="M127" s="395"/>
      <c r="N127" s="801">
        <f>4.427-4.093</f>
        <v>0.33399999999999963</v>
      </c>
      <c r="O127" s="796"/>
      <c r="P127" s="395"/>
      <c r="Q127" s="1212"/>
      <c r="R127" s="928"/>
      <c r="S127" s="66"/>
      <c r="T127" s="254"/>
      <c r="U127" s="254"/>
      <c r="V127" s="254"/>
      <c r="W127" s="66"/>
      <c r="X127" s="254"/>
      <c r="Y127" s="66"/>
      <c r="Z127" s="254"/>
      <c r="AC127" s="68"/>
      <c r="AD127" s="267"/>
      <c r="AE127" s="2461"/>
      <c r="AF127" s="68"/>
    </row>
    <row r="128" spans="1:70" x14ac:dyDescent="0.35">
      <c r="A128" s="525"/>
      <c r="B128" s="1040"/>
      <c r="C128" s="1040"/>
      <c r="D128" s="695"/>
      <c r="E128" s="1481" t="s">
        <v>1575</v>
      </c>
      <c r="F128" s="1953">
        <v>4</v>
      </c>
      <c r="G128" s="66">
        <v>5</v>
      </c>
      <c r="H128" s="66">
        <v>6</v>
      </c>
      <c r="I128" s="395"/>
      <c r="J128" s="395"/>
      <c r="K128" s="395"/>
      <c r="L128" s="395"/>
      <c r="M128" s="395"/>
      <c r="N128" s="801"/>
      <c r="O128" s="796"/>
      <c r="P128" s="395"/>
      <c r="Q128" s="1212">
        <f>9.184-4.427</f>
        <v>4.7569999999999997</v>
      </c>
      <c r="R128" s="928"/>
      <c r="S128" s="66"/>
      <c r="T128" s="254"/>
      <c r="U128" s="254"/>
      <c r="V128" s="254"/>
      <c r="W128" s="66"/>
      <c r="X128" s="254"/>
      <c r="Y128" s="66"/>
      <c r="Z128" s="254"/>
      <c r="AC128" s="68"/>
      <c r="AD128" s="267"/>
      <c r="AE128" s="2461"/>
      <c r="AF128" s="68"/>
    </row>
    <row r="129" spans="1:70" x14ac:dyDescent="0.35">
      <c r="A129" s="525"/>
      <c r="B129" s="1040">
        <v>11504</v>
      </c>
      <c r="C129" s="1040"/>
      <c r="D129" s="695"/>
      <c r="E129" s="313" t="s">
        <v>3404</v>
      </c>
      <c r="F129" s="1953">
        <v>4</v>
      </c>
      <c r="G129" s="66">
        <v>5</v>
      </c>
      <c r="H129" s="66">
        <v>6</v>
      </c>
      <c r="I129" s="395"/>
      <c r="J129" s="395"/>
      <c r="K129" s="395"/>
      <c r="L129" s="395"/>
      <c r="M129" s="395"/>
      <c r="N129" s="801">
        <v>1.6559999999999999</v>
      </c>
      <c r="O129" s="796"/>
      <c r="P129" s="395"/>
      <c r="Q129" s="1212"/>
      <c r="R129" s="928"/>
      <c r="S129" s="66"/>
      <c r="T129" s="254"/>
      <c r="U129" s="254"/>
      <c r="V129" s="254"/>
      <c r="W129" s="66"/>
      <c r="X129" s="254"/>
      <c r="Y129" s="66"/>
      <c r="Z129" s="254"/>
      <c r="AC129" s="68"/>
      <c r="AD129" s="267"/>
      <c r="AE129" s="2461"/>
      <c r="AF129" s="68"/>
    </row>
    <row r="130" spans="1:70" s="174" customFormat="1" x14ac:dyDescent="0.35">
      <c r="A130" s="525"/>
      <c r="B130" s="1040">
        <v>11504</v>
      </c>
      <c r="C130" s="1040"/>
      <c r="D130" s="695"/>
      <c r="E130" s="1481" t="s">
        <v>259</v>
      </c>
      <c r="F130" s="1953">
        <v>4</v>
      </c>
      <c r="G130" s="66">
        <v>5</v>
      </c>
      <c r="H130" s="66">
        <v>6</v>
      </c>
      <c r="I130" s="395"/>
      <c r="J130" s="395"/>
      <c r="K130" s="395"/>
      <c r="L130" s="395"/>
      <c r="M130" s="395"/>
      <c r="N130" s="801"/>
      <c r="O130" s="796"/>
      <c r="P130" s="395"/>
      <c r="Q130" s="1212">
        <v>2.3079999999999998</v>
      </c>
      <c r="R130" s="928"/>
      <c r="S130" s="66"/>
      <c r="T130" s="254"/>
      <c r="U130" s="254"/>
      <c r="V130" s="254"/>
      <c r="W130" s="66"/>
      <c r="X130" s="254"/>
      <c r="Y130" s="66"/>
      <c r="Z130" s="254"/>
      <c r="AA130" s="3"/>
      <c r="AB130" s="3"/>
      <c r="AC130" s="68"/>
      <c r="AD130" s="267"/>
      <c r="AE130" s="2461"/>
      <c r="AF130" s="68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</row>
    <row r="131" spans="1:70" x14ac:dyDescent="0.35">
      <c r="A131" s="525"/>
      <c r="B131" s="1040">
        <v>11504</v>
      </c>
      <c r="C131" s="1040"/>
      <c r="D131" s="695"/>
      <c r="E131" s="313" t="s">
        <v>3278</v>
      </c>
      <c r="F131" s="1953">
        <v>4</v>
      </c>
      <c r="G131" s="66">
        <v>5</v>
      </c>
      <c r="H131" s="66">
        <v>6</v>
      </c>
      <c r="I131" s="395"/>
      <c r="J131" s="395"/>
      <c r="K131" s="395"/>
      <c r="L131" s="395"/>
      <c r="M131" s="395"/>
      <c r="N131" s="801">
        <v>1.927</v>
      </c>
      <c r="O131" s="796"/>
      <c r="P131" s="395"/>
      <c r="Q131" s="1212"/>
      <c r="R131" s="928"/>
      <c r="S131" s="66"/>
      <c r="T131" s="254"/>
      <c r="U131" s="254"/>
      <c r="V131" s="254"/>
      <c r="W131" s="66"/>
      <c r="X131" s="254"/>
      <c r="Y131" s="66"/>
      <c r="Z131" s="254"/>
      <c r="AC131" s="68"/>
      <c r="AD131" s="267"/>
      <c r="AE131" s="2461"/>
      <c r="AF131" s="68"/>
    </row>
    <row r="132" spans="1:70" ht="30.5" x14ac:dyDescent="0.35">
      <c r="A132" s="525">
        <v>63</v>
      </c>
      <c r="B132" s="1040">
        <v>11504</v>
      </c>
      <c r="C132" s="1040"/>
      <c r="D132" s="2469" t="s">
        <v>6455</v>
      </c>
      <c r="E132" s="312" t="s">
        <v>8047</v>
      </c>
      <c r="F132" s="1953" t="s">
        <v>1490</v>
      </c>
      <c r="G132" s="66">
        <v>5</v>
      </c>
      <c r="H132" s="66">
        <v>6</v>
      </c>
      <c r="I132" s="622">
        <f t="shared" ref="I132:I148" si="14">J132+K132+L132</f>
        <v>1.5</v>
      </c>
      <c r="J132" s="622">
        <f>SUM(M132:R132)</f>
        <v>1.5</v>
      </c>
      <c r="K132" s="622"/>
      <c r="L132" s="622"/>
      <c r="M132" s="622"/>
      <c r="N132" s="800"/>
      <c r="O132" s="795"/>
      <c r="P132" s="622"/>
      <c r="Q132" s="934"/>
      <c r="R132" s="926">
        <v>1.5</v>
      </c>
      <c r="S132" s="67"/>
      <c r="T132" s="250"/>
      <c r="U132" s="250"/>
      <c r="V132" s="250"/>
      <c r="W132" s="67"/>
      <c r="X132" s="250"/>
      <c r="Y132" s="67"/>
      <c r="Z132" s="250"/>
      <c r="AB132" s="3">
        <v>1</v>
      </c>
      <c r="AC132" s="68"/>
      <c r="AD132" s="267"/>
      <c r="AE132" s="2461"/>
      <c r="AF132" s="68"/>
    </row>
    <row r="133" spans="1:70" ht="30.5" x14ac:dyDescent="0.35">
      <c r="A133" s="525">
        <v>64</v>
      </c>
      <c r="B133" s="1040">
        <v>11504</v>
      </c>
      <c r="C133" s="2166" t="s">
        <v>1656</v>
      </c>
      <c r="D133" s="2469" t="s">
        <v>6457</v>
      </c>
      <c r="E133" s="312" t="s">
        <v>9055</v>
      </c>
      <c r="F133" s="1953" t="s">
        <v>664</v>
      </c>
      <c r="G133" s="66">
        <v>5</v>
      </c>
      <c r="H133" s="66">
        <v>6</v>
      </c>
      <c r="I133" s="622">
        <f t="shared" si="14"/>
        <v>0.6</v>
      </c>
      <c r="J133" s="622">
        <f>SUM(M133:R133)</f>
        <v>0.6</v>
      </c>
      <c r="K133" s="622"/>
      <c r="L133" s="622"/>
      <c r="M133" s="622"/>
      <c r="N133" s="800"/>
      <c r="O133" s="795"/>
      <c r="P133" s="622"/>
      <c r="Q133" s="934"/>
      <c r="R133" s="926">
        <v>0.6</v>
      </c>
      <c r="S133" s="67"/>
      <c r="T133" s="250"/>
      <c r="U133" s="250"/>
      <c r="V133" s="250"/>
      <c r="W133" s="67"/>
      <c r="X133" s="250"/>
      <c r="Y133" s="67"/>
      <c r="Z133" s="250"/>
      <c r="AB133" s="3">
        <v>1</v>
      </c>
      <c r="AC133" s="68"/>
      <c r="AD133" s="267"/>
      <c r="AE133" s="2461"/>
      <c r="AF133" s="68"/>
    </row>
    <row r="134" spans="1:70" s="158" customFormat="1" ht="31" thickBot="1" x14ac:dyDescent="0.4">
      <c r="A134" s="525">
        <v>65</v>
      </c>
      <c r="B134" s="1040">
        <v>11504</v>
      </c>
      <c r="C134" s="2166" t="s">
        <v>1656</v>
      </c>
      <c r="D134" s="2469" t="s">
        <v>6458</v>
      </c>
      <c r="E134" s="312" t="s">
        <v>9056</v>
      </c>
      <c r="F134" s="1953" t="s">
        <v>664</v>
      </c>
      <c r="G134" s="66">
        <v>5</v>
      </c>
      <c r="H134" s="66">
        <v>6</v>
      </c>
      <c r="I134" s="622">
        <f t="shared" si="14"/>
        <v>0.6</v>
      </c>
      <c r="J134" s="622">
        <f>SUM(M134:R134)</f>
        <v>0.6</v>
      </c>
      <c r="K134" s="622"/>
      <c r="L134" s="622"/>
      <c r="M134" s="622"/>
      <c r="N134" s="800"/>
      <c r="O134" s="795"/>
      <c r="P134" s="622"/>
      <c r="Q134" s="934"/>
      <c r="R134" s="926">
        <v>0.6</v>
      </c>
      <c r="S134" s="67"/>
      <c r="T134" s="250"/>
      <c r="U134" s="250"/>
      <c r="V134" s="250"/>
      <c r="W134" s="67"/>
      <c r="X134" s="250"/>
      <c r="Y134" s="67"/>
      <c r="Z134" s="250"/>
      <c r="AA134" s="3"/>
      <c r="AB134" s="3">
        <v>1</v>
      </c>
      <c r="AC134" s="68"/>
      <c r="AD134" s="267"/>
      <c r="AE134" s="2461"/>
      <c r="AF134" s="68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</row>
    <row r="135" spans="1:70" ht="60" x14ac:dyDescent="0.35">
      <c r="A135" s="525">
        <v>66</v>
      </c>
      <c r="B135" s="2170">
        <v>11504</v>
      </c>
      <c r="C135" s="2166" t="s">
        <v>1656</v>
      </c>
      <c r="D135" s="2469" t="s">
        <v>6459</v>
      </c>
      <c r="E135" s="2187" t="s">
        <v>9057</v>
      </c>
      <c r="F135" s="1953" t="s">
        <v>664</v>
      </c>
      <c r="G135" s="92">
        <v>5</v>
      </c>
      <c r="H135" s="66">
        <v>6</v>
      </c>
      <c r="I135" s="2157">
        <f t="shared" si="14"/>
        <v>1.3</v>
      </c>
      <c r="J135" s="2157">
        <f>M135+N135+O135+P135+Q135+R135</f>
        <v>1.3</v>
      </c>
      <c r="K135" s="395"/>
      <c r="L135" s="395"/>
      <c r="M135" s="622"/>
      <c r="N135" s="622"/>
      <c r="O135" s="622"/>
      <c r="P135" s="622"/>
      <c r="Q135" s="2085"/>
      <c r="R135" s="906">
        <v>1.3</v>
      </c>
      <c r="S135" s="46"/>
      <c r="T135" s="46"/>
      <c r="U135" s="46"/>
      <c r="V135" s="46"/>
      <c r="W135" s="46"/>
      <c r="X135" s="109"/>
      <c r="Y135" s="46"/>
      <c r="Z135" s="46"/>
      <c r="AB135" s="3">
        <v>1</v>
      </c>
      <c r="AC135" s="68"/>
      <c r="AD135" s="267"/>
      <c r="AE135" s="2461"/>
      <c r="AF135" s="68"/>
    </row>
    <row r="136" spans="1:70" ht="30.5" x14ac:dyDescent="0.35">
      <c r="A136" s="525">
        <v>67</v>
      </c>
      <c r="B136" s="693">
        <v>11504</v>
      </c>
      <c r="C136" s="358" t="s">
        <v>1656</v>
      </c>
      <c r="D136" s="2469" t="s">
        <v>6460</v>
      </c>
      <c r="E136" s="312" t="s">
        <v>9058</v>
      </c>
      <c r="F136" s="1953" t="s">
        <v>664</v>
      </c>
      <c r="G136" s="2289">
        <v>5</v>
      </c>
      <c r="H136" s="66">
        <v>6</v>
      </c>
      <c r="I136" s="297">
        <f>J136+K136+L136</f>
        <v>0.2</v>
      </c>
      <c r="J136" s="297">
        <f>SUM(M136:R136)</f>
        <v>0.2</v>
      </c>
      <c r="K136" s="622"/>
      <c r="L136" s="622"/>
      <c r="M136" s="622"/>
      <c r="N136" s="622"/>
      <c r="O136" s="795"/>
      <c r="P136" s="622"/>
      <c r="Q136" s="2085"/>
      <c r="R136" s="2106">
        <v>0.2</v>
      </c>
      <c r="S136" s="67"/>
      <c r="T136" s="250"/>
      <c r="U136" s="250"/>
      <c r="V136" s="250"/>
      <c r="W136" s="67"/>
      <c r="X136" s="250"/>
      <c r="Y136" s="67"/>
      <c r="Z136" s="250"/>
      <c r="AB136" s="3">
        <v>1</v>
      </c>
      <c r="AC136" s="68"/>
      <c r="AD136" s="267"/>
      <c r="AE136" s="2461"/>
      <c r="AF136" s="68"/>
    </row>
    <row r="137" spans="1:70" ht="45.5" x14ac:dyDescent="0.35">
      <c r="A137" s="525">
        <v>68</v>
      </c>
      <c r="B137" s="1040">
        <v>11504</v>
      </c>
      <c r="C137" s="1040"/>
      <c r="D137" s="2469" t="s">
        <v>6461</v>
      </c>
      <c r="E137" s="312" t="s">
        <v>8048</v>
      </c>
      <c r="F137" s="1953" t="s">
        <v>827</v>
      </c>
      <c r="G137" s="66">
        <v>5</v>
      </c>
      <c r="H137" s="66">
        <v>6</v>
      </c>
      <c r="I137" s="622">
        <f t="shared" si="14"/>
        <v>0.5</v>
      </c>
      <c r="J137" s="622">
        <f>SUM(M137:R137)</f>
        <v>0.5</v>
      </c>
      <c r="K137" s="622"/>
      <c r="L137" s="622"/>
      <c r="M137" s="622"/>
      <c r="N137" s="800"/>
      <c r="O137" s="795"/>
      <c r="P137" s="622"/>
      <c r="Q137" s="934"/>
      <c r="R137" s="926">
        <v>0.5</v>
      </c>
      <c r="S137" s="67"/>
      <c r="T137" s="250"/>
      <c r="U137" s="250"/>
      <c r="V137" s="250"/>
      <c r="W137" s="67"/>
      <c r="X137" s="250"/>
      <c r="Y137" s="67"/>
      <c r="Z137" s="250"/>
      <c r="AB137" s="3">
        <v>1</v>
      </c>
      <c r="AC137" s="68"/>
      <c r="AD137" s="267"/>
      <c r="AE137" s="2461"/>
      <c r="AF137" s="68"/>
    </row>
    <row r="138" spans="1:70" ht="45.5" x14ac:dyDescent="0.35">
      <c r="A138" s="525">
        <v>69</v>
      </c>
      <c r="B138" s="1040">
        <v>11504</v>
      </c>
      <c r="C138" s="693" t="s">
        <v>1657</v>
      </c>
      <c r="D138" s="2469" t="s">
        <v>6462</v>
      </c>
      <c r="E138" s="312" t="s">
        <v>9333</v>
      </c>
      <c r="F138" s="1953" t="s">
        <v>827</v>
      </c>
      <c r="G138" s="66">
        <v>5</v>
      </c>
      <c r="H138" s="66">
        <v>10</v>
      </c>
      <c r="I138" s="622">
        <f t="shared" si="14"/>
        <v>0.35</v>
      </c>
      <c r="J138" s="622">
        <f>SUM(M138:R138)</f>
        <v>0.35</v>
      </c>
      <c r="K138" s="622"/>
      <c r="L138" s="622"/>
      <c r="M138" s="622"/>
      <c r="N138" s="800">
        <v>0.35</v>
      </c>
      <c r="O138" s="795"/>
      <c r="P138" s="622"/>
      <c r="Q138" s="934"/>
      <c r="R138" s="926"/>
      <c r="S138" s="67"/>
      <c r="T138" s="250"/>
      <c r="U138" s="250"/>
      <c r="V138" s="250"/>
      <c r="W138" s="67"/>
      <c r="X138" s="250"/>
      <c r="Y138" s="67"/>
      <c r="Z138" s="250"/>
      <c r="AB138" s="3">
        <v>1</v>
      </c>
      <c r="AC138" s="68"/>
      <c r="AD138" s="267"/>
      <c r="AE138" s="2461"/>
      <c r="AF138" s="68"/>
    </row>
    <row r="139" spans="1:70" ht="45.5" x14ac:dyDescent="0.35">
      <c r="A139" s="525">
        <v>70</v>
      </c>
      <c r="B139" s="1040">
        <v>11504</v>
      </c>
      <c r="C139" s="693" t="s">
        <v>1657</v>
      </c>
      <c r="D139" s="2469" t="s">
        <v>6463</v>
      </c>
      <c r="E139" s="312" t="s">
        <v>9334</v>
      </c>
      <c r="F139" s="1953" t="s">
        <v>827</v>
      </c>
      <c r="G139" s="66">
        <v>5</v>
      </c>
      <c r="H139" s="66">
        <v>6</v>
      </c>
      <c r="I139" s="622">
        <f t="shared" si="14"/>
        <v>0.3</v>
      </c>
      <c r="J139" s="622">
        <f>SUM(M139:R139)</f>
        <v>0.3</v>
      </c>
      <c r="K139" s="622"/>
      <c r="L139" s="622"/>
      <c r="M139" s="622"/>
      <c r="N139" s="800"/>
      <c r="O139" s="795"/>
      <c r="P139" s="622"/>
      <c r="Q139" s="934"/>
      <c r="R139" s="926">
        <v>0.3</v>
      </c>
      <c r="S139" s="67"/>
      <c r="T139" s="250"/>
      <c r="U139" s="250"/>
      <c r="V139" s="250"/>
      <c r="W139" s="67"/>
      <c r="X139" s="250"/>
      <c r="Y139" s="67"/>
      <c r="Z139" s="250"/>
      <c r="AB139" s="3">
        <v>1</v>
      </c>
      <c r="AC139" s="68"/>
      <c r="AD139" s="267"/>
      <c r="AE139" s="2461"/>
      <c r="AF139" s="68"/>
    </row>
    <row r="140" spans="1:70" ht="45" x14ac:dyDescent="0.35">
      <c r="A140" s="525">
        <v>71</v>
      </c>
      <c r="B140" s="2170">
        <v>11504</v>
      </c>
      <c r="C140" s="2166" t="s">
        <v>1656</v>
      </c>
      <c r="D140" s="2469" t="s">
        <v>6464</v>
      </c>
      <c r="E140" s="2187" t="s">
        <v>9059</v>
      </c>
      <c r="F140" s="1944" t="s">
        <v>664</v>
      </c>
      <c r="G140" s="92">
        <v>5</v>
      </c>
      <c r="H140" s="66">
        <v>6</v>
      </c>
      <c r="I140" s="2157">
        <f t="shared" si="14"/>
        <v>1.1000000000000001</v>
      </c>
      <c r="J140" s="2157">
        <f>M140+N140+O140+P140+Q140+R140</f>
        <v>1.1000000000000001</v>
      </c>
      <c r="K140" s="395"/>
      <c r="L140" s="395"/>
      <c r="M140" s="622"/>
      <c r="N140" s="622"/>
      <c r="O140" s="622"/>
      <c r="P140" s="622"/>
      <c r="Q140" s="2085"/>
      <c r="R140" s="906">
        <v>1.1000000000000001</v>
      </c>
      <c r="S140" s="46"/>
      <c r="T140" s="46"/>
      <c r="U140" s="46"/>
      <c r="V140" s="46"/>
      <c r="W140" s="46"/>
      <c r="X140" s="109"/>
      <c r="Y140" s="46"/>
      <c r="Z140" s="46"/>
      <c r="AB140" s="3">
        <v>1</v>
      </c>
      <c r="AC140" s="68"/>
      <c r="AD140" s="267"/>
      <c r="AE140" s="2461"/>
      <c r="AF140" s="68"/>
    </row>
    <row r="141" spans="1:70" s="158" customFormat="1" ht="75.5" thickBot="1" x14ac:dyDescent="0.4">
      <c r="A141" s="525">
        <v>72</v>
      </c>
      <c r="B141" s="2170">
        <v>11504</v>
      </c>
      <c r="C141" s="2166" t="s">
        <v>1656</v>
      </c>
      <c r="D141" s="2469" t="s">
        <v>6465</v>
      </c>
      <c r="E141" s="2187" t="s">
        <v>9060</v>
      </c>
      <c r="F141" s="1944" t="s">
        <v>664</v>
      </c>
      <c r="G141" s="92">
        <v>5</v>
      </c>
      <c r="H141" s="66">
        <v>6</v>
      </c>
      <c r="I141" s="2157">
        <f t="shared" si="14"/>
        <v>0.6</v>
      </c>
      <c r="J141" s="2157">
        <f>M141+N141+O141+P141+Q141+R141</f>
        <v>0.6</v>
      </c>
      <c r="K141" s="395"/>
      <c r="L141" s="395"/>
      <c r="M141" s="622"/>
      <c r="N141" s="622"/>
      <c r="O141" s="622"/>
      <c r="P141" s="622"/>
      <c r="Q141" s="2085"/>
      <c r="R141" s="906">
        <v>0.6</v>
      </c>
      <c r="S141" s="46"/>
      <c r="T141" s="46"/>
      <c r="U141" s="46"/>
      <c r="V141" s="46"/>
      <c r="W141" s="46"/>
      <c r="X141" s="109"/>
      <c r="Y141" s="46"/>
      <c r="Z141" s="46"/>
      <c r="AA141" s="3"/>
      <c r="AB141" s="3">
        <v>1</v>
      </c>
      <c r="AC141" s="68"/>
      <c r="AD141" s="267"/>
      <c r="AE141" s="2461"/>
      <c r="AF141" s="68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</row>
    <row r="142" spans="1:70" s="2" customFormat="1" ht="45" x14ac:dyDescent="0.35">
      <c r="A142" s="525">
        <v>73</v>
      </c>
      <c r="B142" s="2170">
        <v>11504</v>
      </c>
      <c r="C142" s="2166" t="s">
        <v>1656</v>
      </c>
      <c r="D142" s="2469" t="s">
        <v>6466</v>
      </c>
      <c r="E142" s="2187" t="s">
        <v>9061</v>
      </c>
      <c r="F142" s="1944" t="s">
        <v>664</v>
      </c>
      <c r="G142" s="92">
        <v>5</v>
      </c>
      <c r="H142" s="66">
        <v>6</v>
      </c>
      <c r="I142" s="2157">
        <f t="shared" si="14"/>
        <v>1.2</v>
      </c>
      <c r="J142" s="2157">
        <f>M142+N142+O142+P142+Q142+R142</f>
        <v>1.2</v>
      </c>
      <c r="K142" s="395"/>
      <c r="L142" s="395"/>
      <c r="M142" s="622"/>
      <c r="N142" s="622"/>
      <c r="O142" s="622"/>
      <c r="P142" s="622"/>
      <c r="Q142" s="2085"/>
      <c r="R142" s="906">
        <v>1.2</v>
      </c>
      <c r="S142" s="46"/>
      <c r="T142" s="46"/>
      <c r="U142" s="46"/>
      <c r="V142" s="46"/>
      <c r="W142" s="46"/>
      <c r="X142" s="109"/>
      <c r="Y142" s="46"/>
      <c r="Z142" s="46"/>
      <c r="AA142" s="3"/>
      <c r="AB142" s="3">
        <v>1</v>
      </c>
      <c r="AC142" s="68"/>
      <c r="AD142" s="267"/>
      <c r="AE142" s="2461"/>
      <c r="AF142" s="6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</row>
    <row r="143" spans="1:70" ht="45.5" x14ac:dyDescent="0.35">
      <c r="A143" s="525">
        <v>74</v>
      </c>
      <c r="B143" s="2170">
        <v>11504</v>
      </c>
      <c r="C143" s="2166" t="s">
        <v>1656</v>
      </c>
      <c r="D143" s="2469" t="s">
        <v>6467</v>
      </c>
      <c r="E143" s="312" t="s">
        <v>9062</v>
      </c>
      <c r="F143" s="1953" t="s">
        <v>664</v>
      </c>
      <c r="G143" s="66">
        <v>5</v>
      </c>
      <c r="H143" s="66">
        <v>6</v>
      </c>
      <c r="I143" s="622">
        <f>J143+K143+L143</f>
        <v>0.6</v>
      </c>
      <c r="J143" s="622">
        <f>SUM(M143:R143)</f>
        <v>0.6</v>
      </c>
      <c r="K143" s="622"/>
      <c r="L143" s="622"/>
      <c r="M143" s="622"/>
      <c r="N143" s="800"/>
      <c r="O143" s="795"/>
      <c r="P143" s="622"/>
      <c r="Q143" s="934"/>
      <c r="R143" s="926">
        <v>0.6</v>
      </c>
      <c r="S143" s="67"/>
      <c r="T143" s="250"/>
      <c r="U143" s="250"/>
      <c r="V143" s="250"/>
      <c r="W143" s="67"/>
      <c r="X143" s="250"/>
      <c r="Y143" s="67"/>
      <c r="Z143" s="250"/>
      <c r="AB143" s="3">
        <v>1</v>
      </c>
      <c r="AE143" s="2461"/>
      <c r="AF143" s="68"/>
    </row>
    <row r="144" spans="1:70" x14ac:dyDescent="0.35">
      <c r="A144" s="525">
        <v>75</v>
      </c>
      <c r="B144" s="1040">
        <v>11505</v>
      </c>
      <c r="C144" s="1040"/>
      <c r="D144" s="693" t="s">
        <v>1985</v>
      </c>
      <c r="E144" s="312" t="s">
        <v>1401</v>
      </c>
      <c r="F144" s="1953"/>
      <c r="G144" s="66"/>
      <c r="H144" s="66" t="s">
        <v>191</v>
      </c>
      <c r="I144" s="622">
        <f t="shared" si="14"/>
        <v>2.4849999999999999</v>
      </c>
      <c r="J144" s="622">
        <f>SUM(M144:R144)</f>
        <v>2.4849999999999999</v>
      </c>
      <c r="K144" s="622"/>
      <c r="L144" s="622"/>
      <c r="M144" s="622"/>
      <c r="N144" s="800">
        <f>SUM(N145:N146)</f>
        <v>1.7849999999999999</v>
      </c>
      <c r="O144" s="795"/>
      <c r="P144" s="622"/>
      <c r="Q144" s="934"/>
      <c r="R144" s="926">
        <f>SUM(R145:R146)</f>
        <v>0.7</v>
      </c>
      <c r="S144" s="67"/>
      <c r="T144" s="250"/>
      <c r="U144" s="250"/>
      <c r="V144" s="250"/>
      <c r="W144" s="67">
        <f>2+4</f>
        <v>6</v>
      </c>
      <c r="X144" s="250">
        <f>30+45</f>
        <v>75</v>
      </c>
      <c r="Y144" s="67">
        <v>4</v>
      </c>
      <c r="Z144" s="250">
        <v>45</v>
      </c>
      <c r="AA144" s="3" t="s">
        <v>7352</v>
      </c>
      <c r="AB144" s="3">
        <v>1</v>
      </c>
      <c r="AC144" s="68"/>
      <c r="AD144" s="267"/>
      <c r="AE144" s="2461"/>
      <c r="AF144" s="68"/>
    </row>
    <row r="145" spans="1:70" x14ac:dyDescent="0.35">
      <c r="A145" s="525"/>
      <c r="B145" s="1040">
        <v>11505</v>
      </c>
      <c r="C145" s="1040"/>
      <c r="D145" s="693"/>
      <c r="E145" s="313" t="s">
        <v>3184</v>
      </c>
      <c r="F145" s="1953">
        <v>4</v>
      </c>
      <c r="G145" s="66">
        <v>5</v>
      </c>
      <c r="H145" s="66">
        <v>6</v>
      </c>
      <c r="I145" s="395"/>
      <c r="J145" s="395"/>
      <c r="K145" s="395"/>
      <c r="L145" s="395"/>
      <c r="M145" s="395"/>
      <c r="N145" s="395">
        <v>1.7849999999999999</v>
      </c>
      <c r="O145" s="796"/>
      <c r="P145" s="395"/>
      <c r="Q145" s="2086"/>
      <c r="R145" s="2236"/>
      <c r="S145" s="67"/>
      <c r="T145" s="250"/>
      <c r="U145" s="250"/>
      <c r="V145" s="250"/>
      <c r="W145" s="67"/>
      <c r="X145" s="250"/>
      <c r="Y145" s="67"/>
      <c r="Z145" s="250"/>
      <c r="AC145" s="68"/>
      <c r="AD145" s="267"/>
      <c r="AE145" s="2461"/>
      <c r="AF145" s="68"/>
    </row>
    <row r="146" spans="1:70" x14ac:dyDescent="0.35">
      <c r="A146" s="525"/>
      <c r="B146" s="1040">
        <v>11505</v>
      </c>
      <c r="C146" s="1040"/>
      <c r="D146" s="693"/>
      <c r="E146" s="899" t="s">
        <v>1400</v>
      </c>
      <c r="F146" s="1953" t="s">
        <v>664</v>
      </c>
      <c r="G146" s="66">
        <v>5</v>
      </c>
      <c r="H146" s="66">
        <v>6</v>
      </c>
      <c r="I146" s="395"/>
      <c r="J146" s="395"/>
      <c r="K146" s="395"/>
      <c r="L146" s="395"/>
      <c r="M146" s="395"/>
      <c r="N146" s="395"/>
      <c r="O146" s="796"/>
      <c r="P146" s="395"/>
      <c r="Q146" s="2086"/>
      <c r="R146" s="2236">
        <f>2.485-1.785</f>
        <v>0.7</v>
      </c>
      <c r="S146" s="67"/>
      <c r="T146" s="250"/>
      <c r="U146" s="250"/>
      <c r="V146" s="250"/>
      <c r="W146" s="67"/>
      <c r="X146" s="250"/>
      <c r="Y146" s="67"/>
      <c r="Z146" s="250"/>
      <c r="AC146" s="68"/>
      <c r="AD146" s="267"/>
      <c r="AE146" s="2461"/>
      <c r="AF146" s="68"/>
    </row>
    <row r="147" spans="1:70" ht="30.5" x14ac:dyDescent="0.35">
      <c r="A147" s="525">
        <v>76</v>
      </c>
      <c r="B147" s="1040">
        <v>11505</v>
      </c>
      <c r="C147" s="2166" t="s">
        <v>1656</v>
      </c>
      <c r="D147" s="2469" t="s">
        <v>6468</v>
      </c>
      <c r="E147" s="312" t="s">
        <v>9063</v>
      </c>
      <c r="F147" s="1953" t="s">
        <v>664</v>
      </c>
      <c r="G147" s="66">
        <v>5</v>
      </c>
      <c r="H147" s="66">
        <v>6</v>
      </c>
      <c r="I147" s="622">
        <f t="shared" si="14"/>
        <v>0.3</v>
      </c>
      <c r="J147" s="622">
        <f>SUM(M147:R147)</f>
        <v>0.3</v>
      </c>
      <c r="K147" s="622"/>
      <c r="L147" s="622"/>
      <c r="M147" s="622"/>
      <c r="N147" s="800"/>
      <c r="O147" s="795"/>
      <c r="P147" s="622"/>
      <c r="Q147" s="934"/>
      <c r="R147" s="926">
        <v>0.3</v>
      </c>
      <c r="S147" s="67"/>
      <c r="T147" s="250"/>
      <c r="U147" s="250"/>
      <c r="V147" s="250"/>
      <c r="W147" s="67"/>
      <c r="X147" s="250"/>
      <c r="Y147" s="67"/>
      <c r="Z147" s="250"/>
      <c r="AB147" s="3">
        <v>1</v>
      </c>
      <c r="AC147" s="68"/>
      <c r="AD147" s="267"/>
      <c r="AE147" s="2461"/>
      <c r="AF147" s="68"/>
    </row>
    <row r="148" spans="1:70" s="158" customFormat="1" ht="16" thickBot="1" x14ac:dyDescent="0.4">
      <c r="A148" s="525">
        <v>77</v>
      </c>
      <c r="B148" s="1040">
        <v>11506</v>
      </c>
      <c r="C148" s="1040"/>
      <c r="D148" s="693" t="s">
        <v>1986</v>
      </c>
      <c r="E148" s="312" t="s">
        <v>619</v>
      </c>
      <c r="F148" s="1953"/>
      <c r="G148" s="66"/>
      <c r="H148" s="66" t="s">
        <v>191</v>
      </c>
      <c r="I148" s="622">
        <f t="shared" si="14"/>
        <v>6.3849999999999998</v>
      </c>
      <c r="J148" s="622">
        <f>SUM(M148:R148)</f>
        <v>6.3849999999999998</v>
      </c>
      <c r="K148" s="622"/>
      <c r="L148" s="622"/>
      <c r="M148" s="622"/>
      <c r="N148" s="800">
        <f>SUM(N149:N151)</f>
        <v>6.3849999999999998</v>
      </c>
      <c r="O148" s="795"/>
      <c r="P148" s="622"/>
      <c r="Q148" s="2613"/>
      <c r="R148" s="926"/>
      <c r="S148" s="67">
        <v>2</v>
      </c>
      <c r="T148" s="250">
        <v>37.1</v>
      </c>
      <c r="U148" s="250"/>
      <c r="V148" s="250"/>
      <c r="W148" s="67">
        <v>15</v>
      </c>
      <c r="X148" s="250">
        <v>167.5</v>
      </c>
      <c r="Y148" s="67">
        <v>8</v>
      </c>
      <c r="Z148" s="250">
        <v>83</v>
      </c>
      <c r="AA148" s="3"/>
      <c r="AB148" s="3">
        <v>1</v>
      </c>
      <c r="AC148" s="68"/>
      <c r="AD148" s="267"/>
      <c r="AE148" s="2461"/>
      <c r="AF148" s="6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</row>
    <row r="149" spans="1:70" x14ac:dyDescent="0.35">
      <c r="A149" s="525"/>
      <c r="B149" s="1040">
        <v>11506</v>
      </c>
      <c r="C149" s="1040"/>
      <c r="D149" s="695"/>
      <c r="E149" s="313" t="s">
        <v>10451</v>
      </c>
      <c r="F149" s="1953">
        <v>4</v>
      </c>
      <c r="G149" s="66">
        <v>4</v>
      </c>
      <c r="H149" s="66">
        <v>6</v>
      </c>
      <c r="I149" s="395"/>
      <c r="J149" s="395"/>
      <c r="K149" s="395"/>
      <c r="L149" s="395"/>
      <c r="M149" s="395"/>
      <c r="N149" s="801">
        <v>2.5779999999999998</v>
      </c>
      <c r="O149" s="796"/>
      <c r="P149" s="395"/>
      <c r="Q149" s="1212"/>
      <c r="R149" s="928"/>
      <c r="S149" s="66"/>
      <c r="T149" s="254"/>
      <c r="U149" s="254"/>
      <c r="V149" s="254"/>
      <c r="W149" s="66"/>
      <c r="X149" s="254"/>
      <c r="Y149" s="66"/>
      <c r="Z149" s="254"/>
      <c r="AC149" s="68"/>
      <c r="AD149" s="267"/>
      <c r="AE149" s="2461"/>
      <c r="AF149" s="68"/>
    </row>
    <row r="150" spans="1:70" x14ac:dyDescent="0.35">
      <c r="A150" s="525"/>
      <c r="B150" s="1040">
        <v>11506</v>
      </c>
      <c r="C150" s="1040"/>
      <c r="D150" s="695"/>
      <c r="E150" s="2611" t="s">
        <v>10452</v>
      </c>
      <c r="F150" s="1953">
        <v>4</v>
      </c>
      <c r="G150" s="66">
        <v>4</v>
      </c>
      <c r="H150" s="66">
        <v>10</v>
      </c>
      <c r="I150" s="395"/>
      <c r="J150" s="395"/>
      <c r="K150" s="395"/>
      <c r="L150" s="395"/>
      <c r="M150" s="395"/>
      <c r="N150" s="395">
        <f>5.604-2.578</f>
        <v>3.0260000000000002</v>
      </c>
      <c r="O150" s="796"/>
      <c r="P150" s="395"/>
      <c r="Q150" s="1212"/>
      <c r="R150" s="928"/>
      <c r="S150" s="66"/>
      <c r="T150" s="254"/>
      <c r="U150" s="254"/>
      <c r="V150" s="254"/>
      <c r="W150" s="66"/>
      <c r="X150" s="254"/>
      <c r="Y150" s="66"/>
      <c r="Z150" s="254"/>
      <c r="AC150" s="68"/>
      <c r="AD150" s="267"/>
      <c r="AE150" s="2461"/>
      <c r="AF150" s="68"/>
    </row>
    <row r="151" spans="1:70" x14ac:dyDescent="0.35">
      <c r="A151" s="525"/>
      <c r="B151" s="1040">
        <v>11506</v>
      </c>
      <c r="C151" s="1040"/>
      <c r="D151" s="695"/>
      <c r="E151" s="313" t="s">
        <v>10453</v>
      </c>
      <c r="F151" s="1953">
        <v>4</v>
      </c>
      <c r="G151" s="66">
        <v>4</v>
      </c>
      <c r="H151" s="66">
        <v>6</v>
      </c>
      <c r="I151" s="395"/>
      <c r="J151" s="395"/>
      <c r="K151" s="395"/>
      <c r="L151" s="395"/>
      <c r="M151" s="395"/>
      <c r="N151" s="801">
        <f>6.385-5.604</f>
        <v>0.78099999999999969</v>
      </c>
      <c r="O151" s="796"/>
      <c r="P151" s="395"/>
      <c r="Q151" s="1212"/>
      <c r="R151" s="928"/>
      <c r="S151" s="66"/>
      <c r="T151" s="254"/>
      <c r="U151" s="254"/>
      <c r="V151" s="254"/>
      <c r="W151" s="66"/>
      <c r="X151" s="254"/>
      <c r="Y151" s="66"/>
      <c r="Z151" s="254"/>
      <c r="AC151" s="68"/>
      <c r="AD151" s="267"/>
      <c r="AE151" s="2461"/>
      <c r="AF151" s="68"/>
    </row>
    <row r="152" spans="1:70" ht="30.5" x14ac:dyDescent="0.35">
      <c r="A152" s="441">
        <v>78</v>
      </c>
      <c r="B152" s="693">
        <v>11506</v>
      </c>
      <c r="C152" s="358" t="s">
        <v>1656</v>
      </c>
      <c r="D152" s="2469" t="s">
        <v>6469</v>
      </c>
      <c r="E152" s="312" t="s">
        <v>9301</v>
      </c>
      <c r="F152" s="1953" t="s">
        <v>664</v>
      </c>
      <c r="G152" s="2289">
        <v>5</v>
      </c>
      <c r="H152" s="66">
        <v>6</v>
      </c>
      <c r="I152" s="297">
        <f>J152+K152+L152</f>
        <v>0.24</v>
      </c>
      <c r="J152" s="297">
        <f>SUM(M152:R152)</f>
        <v>0.24</v>
      </c>
      <c r="K152" s="622"/>
      <c r="L152" s="622"/>
      <c r="M152" s="622"/>
      <c r="N152" s="622"/>
      <c r="O152" s="795"/>
      <c r="P152" s="622"/>
      <c r="Q152" s="2085"/>
      <c r="R152" s="2106">
        <v>0.24</v>
      </c>
      <c r="S152" s="67"/>
      <c r="T152" s="250"/>
      <c r="U152" s="250"/>
      <c r="V152" s="250"/>
      <c r="W152" s="67"/>
      <c r="X152" s="250"/>
      <c r="Y152" s="67"/>
      <c r="Z152" s="250"/>
      <c r="AB152" s="3">
        <v>1</v>
      </c>
      <c r="AC152" s="68"/>
      <c r="AD152" s="267"/>
      <c r="AE152" s="2461"/>
      <c r="AF152" s="68"/>
    </row>
    <row r="153" spans="1:70" ht="30.5" x14ac:dyDescent="0.35">
      <c r="A153" s="441">
        <v>79</v>
      </c>
      <c r="B153" s="693">
        <v>11506</v>
      </c>
      <c r="C153" s="358" t="s">
        <v>1656</v>
      </c>
      <c r="D153" s="2469" t="s">
        <v>6470</v>
      </c>
      <c r="E153" s="312" t="s">
        <v>9064</v>
      </c>
      <c r="F153" s="1953" t="s">
        <v>664</v>
      </c>
      <c r="G153" s="2289">
        <v>5</v>
      </c>
      <c r="H153" s="66">
        <v>6</v>
      </c>
      <c r="I153" s="297">
        <f>J153+K153+L153</f>
        <v>0.25</v>
      </c>
      <c r="J153" s="297">
        <f>SUM(M153:R153)</f>
        <v>0.25</v>
      </c>
      <c r="K153" s="622"/>
      <c r="L153" s="622"/>
      <c r="M153" s="622"/>
      <c r="N153" s="622"/>
      <c r="O153" s="795"/>
      <c r="P153" s="622"/>
      <c r="Q153" s="2085"/>
      <c r="R153" s="2106">
        <v>0.25</v>
      </c>
      <c r="S153" s="67"/>
      <c r="T153" s="250"/>
      <c r="U153" s="250"/>
      <c r="V153" s="250"/>
      <c r="W153" s="67"/>
      <c r="X153" s="250"/>
      <c r="Y153" s="67"/>
      <c r="Z153" s="250"/>
      <c r="AB153" s="3">
        <v>1</v>
      </c>
      <c r="AE153" s="2461"/>
      <c r="AF153" s="68"/>
    </row>
    <row r="154" spans="1:70" ht="30.5" x14ac:dyDescent="0.35">
      <c r="A154" s="441">
        <v>80</v>
      </c>
      <c r="B154" s="693">
        <v>11506</v>
      </c>
      <c r="C154" s="693"/>
      <c r="D154" s="2469" t="s">
        <v>6471</v>
      </c>
      <c r="E154" s="312" t="s">
        <v>9335</v>
      </c>
      <c r="F154" s="1953" t="s">
        <v>664</v>
      </c>
      <c r="G154" s="2289">
        <v>5</v>
      </c>
      <c r="H154" s="66">
        <v>6</v>
      </c>
      <c r="I154" s="297">
        <f>J154+K154+L154</f>
        <v>1.5</v>
      </c>
      <c r="J154" s="297">
        <f>SUM(M154:R154)</f>
        <v>1.5</v>
      </c>
      <c r="K154" s="395"/>
      <c r="L154" s="395"/>
      <c r="M154" s="622"/>
      <c r="N154" s="622"/>
      <c r="O154" s="795"/>
      <c r="P154" s="622"/>
      <c r="Q154" s="2085"/>
      <c r="R154" s="2106">
        <v>1.5</v>
      </c>
      <c r="S154" s="66"/>
      <c r="T154" s="254"/>
      <c r="U154" s="254"/>
      <c r="V154" s="254"/>
      <c r="W154" s="66"/>
      <c r="X154" s="254"/>
      <c r="Y154" s="66"/>
      <c r="Z154" s="254"/>
      <c r="AB154" s="3">
        <v>1</v>
      </c>
      <c r="AC154" s="62"/>
      <c r="AD154" s="353"/>
      <c r="AE154" s="2461"/>
      <c r="AF154" s="68"/>
    </row>
    <row r="155" spans="1:70" ht="45" x14ac:dyDescent="0.35">
      <c r="A155" s="441">
        <v>81</v>
      </c>
      <c r="B155" s="2166">
        <v>11506</v>
      </c>
      <c r="C155" s="2166"/>
      <c r="D155" s="2469" t="s">
        <v>6472</v>
      </c>
      <c r="E155" s="2187" t="s">
        <v>10292</v>
      </c>
      <c r="F155" s="1944">
        <v>4</v>
      </c>
      <c r="G155" s="92">
        <v>5</v>
      </c>
      <c r="H155" s="66">
        <v>6</v>
      </c>
      <c r="I155" s="2157">
        <f>J155+K155+L155</f>
        <v>1.85</v>
      </c>
      <c r="J155" s="2157">
        <f>M155+N155+O155+P155+Q155+R155</f>
        <v>1.85</v>
      </c>
      <c r="K155" s="395"/>
      <c r="L155" s="395"/>
      <c r="M155" s="622"/>
      <c r="N155" s="622">
        <v>1.85</v>
      </c>
      <c r="O155" s="622"/>
      <c r="P155" s="622"/>
      <c r="Q155" s="622"/>
      <c r="R155" s="906"/>
      <c r="S155" s="46"/>
      <c r="T155" s="46"/>
      <c r="U155" s="46"/>
      <c r="V155" s="46"/>
      <c r="W155" s="46"/>
      <c r="X155" s="46"/>
      <c r="Y155" s="46"/>
      <c r="Z155" s="46"/>
      <c r="AB155" s="3">
        <v>1</v>
      </c>
      <c r="AE155" s="2461"/>
      <c r="AF155" s="68"/>
    </row>
    <row r="156" spans="1:70" x14ac:dyDescent="0.35">
      <c r="A156" s="441">
        <v>82</v>
      </c>
      <c r="B156" s="1040">
        <v>11507</v>
      </c>
      <c r="C156" s="1040"/>
      <c r="D156" s="693" t="s">
        <v>2235</v>
      </c>
      <c r="E156" s="312" t="s">
        <v>1385</v>
      </c>
      <c r="F156" s="1953"/>
      <c r="G156" s="66"/>
      <c r="H156" s="66" t="s">
        <v>191</v>
      </c>
      <c r="I156" s="622">
        <f>J156+K156+L156</f>
        <v>8.7330000000000005</v>
      </c>
      <c r="J156" s="622">
        <f>SUM(M156:R156)</f>
        <v>8.7330000000000005</v>
      </c>
      <c r="K156" s="622"/>
      <c r="L156" s="622"/>
      <c r="M156" s="622"/>
      <c r="N156" s="800">
        <f>SUM(N157:N158)</f>
        <v>2.1000000000000796E-2</v>
      </c>
      <c r="O156" s="795"/>
      <c r="P156" s="622"/>
      <c r="Q156" s="934">
        <f>SUM(Q157:Q158)</f>
        <v>8.7119999999999997</v>
      </c>
      <c r="R156" s="926"/>
      <c r="S156" s="67">
        <v>1</v>
      </c>
      <c r="T156" s="250">
        <v>13</v>
      </c>
      <c r="U156" s="250"/>
      <c r="V156" s="250"/>
      <c r="W156" s="67">
        <v>19</v>
      </c>
      <c r="X156" s="250">
        <v>255.4</v>
      </c>
      <c r="Y156" s="67">
        <v>6</v>
      </c>
      <c r="Z156" s="250">
        <v>66</v>
      </c>
      <c r="AB156" s="3">
        <v>1</v>
      </c>
      <c r="AC156" s="68"/>
      <c r="AD156" s="267"/>
      <c r="AE156" s="2461"/>
      <c r="AF156" s="68"/>
    </row>
    <row r="157" spans="1:70" x14ac:dyDescent="0.35">
      <c r="A157" s="525"/>
      <c r="B157" s="1040">
        <v>11507</v>
      </c>
      <c r="C157" s="1040"/>
      <c r="D157" s="695"/>
      <c r="E157" s="1481" t="s">
        <v>1875</v>
      </c>
      <c r="F157" s="1953">
        <v>4</v>
      </c>
      <c r="G157" s="66">
        <v>5</v>
      </c>
      <c r="H157" s="66">
        <v>6</v>
      </c>
      <c r="I157" s="395"/>
      <c r="J157" s="395"/>
      <c r="K157" s="395"/>
      <c r="L157" s="395"/>
      <c r="M157" s="395"/>
      <c r="N157" s="801"/>
      <c r="O157" s="796"/>
      <c r="P157" s="395"/>
      <c r="Q157" s="1212">
        <v>8.7119999999999997</v>
      </c>
      <c r="R157" s="928"/>
      <c r="S157" s="66"/>
      <c r="T157" s="254"/>
      <c r="U157" s="254"/>
      <c r="V157" s="254"/>
      <c r="W157" s="66"/>
      <c r="X157" s="254"/>
      <c r="Y157" s="66"/>
      <c r="Z157" s="254"/>
      <c r="AC157" s="68"/>
      <c r="AD157" s="267"/>
      <c r="AE157" s="2461"/>
      <c r="AF157" s="68"/>
    </row>
    <row r="158" spans="1:70" x14ac:dyDescent="0.35">
      <c r="A158" s="525"/>
      <c r="B158" s="1040">
        <v>11507</v>
      </c>
      <c r="C158" s="1040"/>
      <c r="D158" s="695"/>
      <c r="E158" s="313" t="s">
        <v>1876</v>
      </c>
      <c r="F158" s="1953">
        <v>4</v>
      </c>
      <c r="G158" s="66">
        <v>5</v>
      </c>
      <c r="H158" s="66">
        <v>6</v>
      </c>
      <c r="I158" s="395"/>
      <c r="J158" s="395"/>
      <c r="K158" s="395"/>
      <c r="L158" s="395"/>
      <c r="M158" s="395"/>
      <c r="N158" s="801">
        <f>8.733-8.712</f>
        <v>2.1000000000000796E-2</v>
      </c>
      <c r="O158" s="796"/>
      <c r="P158" s="395"/>
      <c r="Q158" s="1212"/>
      <c r="R158" s="928"/>
      <c r="S158" s="66"/>
      <c r="T158" s="254"/>
      <c r="U158" s="254"/>
      <c r="V158" s="254"/>
      <c r="W158" s="66"/>
      <c r="X158" s="254"/>
      <c r="Y158" s="66"/>
      <c r="Z158" s="254"/>
      <c r="AC158" s="68"/>
      <c r="AD158" s="267"/>
      <c r="AE158" s="2461"/>
      <c r="AF158" s="68"/>
    </row>
    <row r="159" spans="1:70" ht="30.5" x14ac:dyDescent="0.35">
      <c r="A159" s="525">
        <v>83</v>
      </c>
      <c r="B159" s="1040">
        <v>11507</v>
      </c>
      <c r="C159" s="1040"/>
      <c r="D159" s="2469" t="s">
        <v>6473</v>
      </c>
      <c r="E159" s="312" t="s">
        <v>10293</v>
      </c>
      <c r="F159" s="1953"/>
      <c r="G159" s="66"/>
      <c r="H159" s="66" t="s">
        <v>191</v>
      </c>
      <c r="I159" s="622">
        <f>J159+K159+L159</f>
        <v>3.18</v>
      </c>
      <c r="J159" s="622">
        <f>SUM(M159:R159)</f>
        <v>3.18</v>
      </c>
      <c r="K159" s="622"/>
      <c r="L159" s="622"/>
      <c r="M159" s="622"/>
      <c r="N159" s="800"/>
      <c r="O159" s="795"/>
      <c r="P159" s="622"/>
      <c r="Q159" s="934">
        <f>SUM(Q160:Q161)</f>
        <v>0.6</v>
      </c>
      <c r="R159" s="926">
        <f>SUM(R160:R161)</f>
        <v>2.58</v>
      </c>
      <c r="S159" s="67"/>
      <c r="T159" s="250"/>
      <c r="U159" s="250"/>
      <c r="V159" s="250"/>
      <c r="W159" s="67">
        <v>4</v>
      </c>
      <c r="X159" s="250">
        <v>37.299999999999997</v>
      </c>
      <c r="Y159" s="67"/>
      <c r="Z159" s="250"/>
      <c r="AB159" s="3">
        <v>1</v>
      </c>
      <c r="AC159" s="68"/>
      <c r="AD159" s="267"/>
      <c r="AE159" s="2461"/>
      <c r="AF159" s="68"/>
    </row>
    <row r="160" spans="1:70" s="158" customFormat="1" ht="16" thickBot="1" x14ac:dyDescent="0.4">
      <c r="A160" s="525"/>
      <c r="B160" s="1040">
        <v>11507</v>
      </c>
      <c r="C160" s="1040"/>
      <c r="D160" s="695"/>
      <c r="E160" s="1481" t="s">
        <v>365</v>
      </c>
      <c r="F160" s="1953" t="s">
        <v>1490</v>
      </c>
      <c r="G160" s="66">
        <v>5</v>
      </c>
      <c r="H160" s="66">
        <v>6</v>
      </c>
      <c r="I160" s="395"/>
      <c r="J160" s="395"/>
      <c r="K160" s="395"/>
      <c r="L160" s="395"/>
      <c r="M160" s="395"/>
      <c r="N160" s="801"/>
      <c r="O160" s="796"/>
      <c r="P160" s="395"/>
      <c r="Q160" s="1212">
        <v>0.6</v>
      </c>
      <c r="R160" s="928"/>
      <c r="S160" s="66"/>
      <c r="T160" s="254"/>
      <c r="U160" s="254"/>
      <c r="V160" s="254"/>
      <c r="W160" s="66"/>
      <c r="X160" s="254"/>
      <c r="Y160" s="66"/>
      <c r="Z160" s="254"/>
      <c r="AA160" s="3"/>
      <c r="AB160" s="3"/>
      <c r="AC160" s="68"/>
      <c r="AD160" s="267"/>
      <c r="AE160" s="2461"/>
      <c r="AF160" s="6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</row>
    <row r="161" spans="1:70" s="2" customFormat="1" x14ac:dyDescent="0.35">
      <c r="A161" s="525"/>
      <c r="B161" s="1040">
        <v>11507</v>
      </c>
      <c r="C161" s="1040"/>
      <c r="D161" s="695"/>
      <c r="E161" s="899" t="s">
        <v>1557</v>
      </c>
      <c r="F161" s="1953" t="s">
        <v>1490</v>
      </c>
      <c r="G161" s="66">
        <v>5</v>
      </c>
      <c r="H161" s="66">
        <v>6</v>
      </c>
      <c r="I161" s="395"/>
      <c r="J161" s="395"/>
      <c r="K161" s="395"/>
      <c r="L161" s="395"/>
      <c r="M161" s="395"/>
      <c r="N161" s="801"/>
      <c r="O161" s="796"/>
      <c r="P161" s="395"/>
      <c r="Q161" s="1212"/>
      <c r="R161" s="928">
        <v>2.58</v>
      </c>
      <c r="S161" s="66"/>
      <c r="T161" s="254"/>
      <c r="U161" s="254"/>
      <c r="V161" s="254"/>
      <c r="W161" s="66"/>
      <c r="X161" s="254"/>
      <c r="Y161" s="66"/>
      <c r="Z161" s="254"/>
      <c r="AA161" s="3"/>
      <c r="AB161" s="3"/>
      <c r="AC161" s="68"/>
      <c r="AD161" s="267"/>
      <c r="AE161" s="2461"/>
      <c r="AF161" s="6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</row>
    <row r="162" spans="1:70" s="2" customFormat="1" ht="60.5" x14ac:dyDescent="0.35">
      <c r="A162" s="525">
        <v>84</v>
      </c>
      <c r="B162" s="1040">
        <v>11507</v>
      </c>
      <c r="C162" s="2166" t="s">
        <v>1656</v>
      </c>
      <c r="D162" s="2469" t="s">
        <v>6474</v>
      </c>
      <c r="E162" s="312" t="s">
        <v>10294</v>
      </c>
      <c r="F162" s="1953" t="s">
        <v>664</v>
      </c>
      <c r="G162" s="66">
        <v>5</v>
      </c>
      <c r="H162" s="66">
        <v>6</v>
      </c>
      <c r="I162" s="622">
        <f t="shared" ref="I162:I168" si="15">J162+K162+L162</f>
        <v>1.5</v>
      </c>
      <c r="J162" s="622">
        <f>SUM(M162:R162)</f>
        <v>1.5</v>
      </c>
      <c r="K162" s="622"/>
      <c r="L162" s="622"/>
      <c r="M162" s="622"/>
      <c r="N162" s="800"/>
      <c r="O162" s="795"/>
      <c r="P162" s="622"/>
      <c r="Q162" s="934"/>
      <c r="R162" s="926">
        <v>1.5</v>
      </c>
      <c r="S162" s="67"/>
      <c r="T162" s="250"/>
      <c r="U162" s="250"/>
      <c r="V162" s="250"/>
      <c r="W162" s="67"/>
      <c r="X162" s="250"/>
      <c r="Y162" s="67"/>
      <c r="Z162" s="250"/>
      <c r="AA162" s="3"/>
      <c r="AB162" s="3">
        <v>1</v>
      </c>
      <c r="AC162" s="68"/>
      <c r="AD162" s="267"/>
      <c r="AE162" s="2461"/>
      <c r="AF162" s="6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</row>
    <row r="163" spans="1:70" s="2" customFormat="1" ht="30.5" x14ac:dyDescent="0.35">
      <c r="A163" s="525">
        <v>85</v>
      </c>
      <c r="B163" s="1040">
        <v>11507</v>
      </c>
      <c r="C163" s="2166" t="s">
        <v>1656</v>
      </c>
      <c r="D163" s="2469" t="s">
        <v>6475</v>
      </c>
      <c r="E163" s="312" t="s">
        <v>9221</v>
      </c>
      <c r="F163" s="1953" t="s">
        <v>664</v>
      </c>
      <c r="G163" s="66">
        <v>5</v>
      </c>
      <c r="H163" s="66">
        <v>6</v>
      </c>
      <c r="I163" s="622">
        <f t="shared" si="15"/>
        <v>1.5</v>
      </c>
      <c r="J163" s="622">
        <f>SUM(M163:R163)</f>
        <v>1.5</v>
      </c>
      <c r="K163" s="622"/>
      <c r="L163" s="622"/>
      <c r="M163" s="622"/>
      <c r="N163" s="800"/>
      <c r="O163" s="795"/>
      <c r="P163" s="622"/>
      <c r="Q163" s="934"/>
      <c r="R163" s="926">
        <v>1.5</v>
      </c>
      <c r="S163" s="67"/>
      <c r="T163" s="250"/>
      <c r="U163" s="250"/>
      <c r="V163" s="250"/>
      <c r="W163" s="67"/>
      <c r="X163" s="250"/>
      <c r="Y163" s="67"/>
      <c r="Z163" s="250"/>
      <c r="AA163" s="3"/>
      <c r="AB163" s="3">
        <v>1</v>
      </c>
      <c r="AC163" s="68"/>
      <c r="AD163" s="267"/>
      <c r="AE163" s="2461"/>
      <c r="AF163" s="68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</row>
    <row r="164" spans="1:70" ht="30" x14ac:dyDescent="0.35">
      <c r="A164" s="525">
        <v>86</v>
      </c>
      <c r="B164" s="2170">
        <v>11507</v>
      </c>
      <c r="C164" s="2166" t="s">
        <v>1656</v>
      </c>
      <c r="D164" s="2469" t="s">
        <v>6476</v>
      </c>
      <c r="E164" s="2187" t="s">
        <v>9065</v>
      </c>
      <c r="F164" s="1953" t="s">
        <v>664</v>
      </c>
      <c r="G164" s="92">
        <v>5</v>
      </c>
      <c r="H164" s="66">
        <v>6</v>
      </c>
      <c r="I164" s="2157">
        <f t="shared" si="15"/>
        <v>1.1000000000000001</v>
      </c>
      <c r="J164" s="2157">
        <f>M164+N164+O164+P164+Q164+R164</f>
        <v>1.1000000000000001</v>
      </c>
      <c r="K164" s="395"/>
      <c r="L164" s="395"/>
      <c r="M164" s="622"/>
      <c r="N164" s="622"/>
      <c r="O164" s="622"/>
      <c r="P164" s="622"/>
      <c r="Q164" s="2085"/>
      <c r="R164" s="906">
        <v>1.1000000000000001</v>
      </c>
      <c r="S164" s="46"/>
      <c r="T164" s="46"/>
      <c r="U164" s="46"/>
      <c r="V164" s="46"/>
      <c r="W164" s="46"/>
      <c r="X164" s="109"/>
      <c r="Y164" s="46"/>
      <c r="Z164" s="46"/>
      <c r="AB164" s="3">
        <v>1</v>
      </c>
      <c r="AC164" s="68"/>
      <c r="AD164" s="267"/>
      <c r="AE164" s="2461"/>
      <c r="AF164" s="68"/>
    </row>
    <row r="165" spans="1:70" ht="30.5" x14ac:dyDescent="0.35">
      <c r="A165" s="525">
        <v>87</v>
      </c>
      <c r="B165" s="693">
        <v>11507</v>
      </c>
      <c r="C165" s="358" t="s">
        <v>1656</v>
      </c>
      <c r="D165" s="2469" t="s">
        <v>6477</v>
      </c>
      <c r="E165" s="312" t="s">
        <v>9066</v>
      </c>
      <c r="F165" s="1953" t="s">
        <v>664</v>
      </c>
      <c r="G165" s="2289">
        <v>5</v>
      </c>
      <c r="H165" s="66">
        <v>6</v>
      </c>
      <c r="I165" s="297">
        <f t="shared" si="15"/>
        <v>1.5</v>
      </c>
      <c r="J165" s="297">
        <f>SUM(M165:R165)</f>
        <v>1.5</v>
      </c>
      <c r="K165" s="622"/>
      <c r="L165" s="622"/>
      <c r="M165" s="622"/>
      <c r="N165" s="622"/>
      <c r="O165" s="795"/>
      <c r="P165" s="622"/>
      <c r="Q165" s="2085"/>
      <c r="R165" s="2106">
        <v>1.5</v>
      </c>
      <c r="S165" s="67"/>
      <c r="T165" s="250"/>
      <c r="U165" s="250"/>
      <c r="V165" s="250"/>
      <c r="W165" s="67"/>
      <c r="X165" s="250"/>
      <c r="Y165" s="67"/>
      <c r="Z165" s="250"/>
      <c r="AB165" s="3">
        <v>1</v>
      </c>
      <c r="AC165" s="68"/>
      <c r="AD165" s="267"/>
      <c r="AE165" s="2461"/>
      <c r="AF165" s="68"/>
    </row>
    <row r="166" spans="1:70" ht="30.5" x14ac:dyDescent="0.35">
      <c r="A166" s="525">
        <v>88</v>
      </c>
      <c r="B166" s="693">
        <v>11507</v>
      </c>
      <c r="C166" s="358" t="s">
        <v>1656</v>
      </c>
      <c r="D166" s="2469" t="s">
        <v>6478</v>
      </c>
      <c r="E166" s="312" t="s">
        <v>9067</v>
      </c>
      <c r="F166" s="1953" t="s">
        <v>664</v>
      </c>
      <c r="G166" s="2289">
        <v>5</v>
      </c>
      <c r="H166" s="66">
        <v>6</v>
      </c>
      <c r="I166" s="297">
        <f t="shared" si="15"/>
        <v>0.45</v>
      </c>
      <c r="J166" s="297">
        <f>SUM(M166:R166)</f>
        <v>0.45</v>
      </c>
      <c r="K166" s="622"/>
      <c r="L166" s="622"/>
      <c r="M166" s="622"/>
      <c r="N166" s="622"/>
      <c r="O166" s="795"/>
      <c r="P166" s="622"/>
      <c r="Q166" s="2085"/>
      <c r="R166" s="2106">
        <v>0.45</v>
      </c>
      <c r="S166" s="67"/>
      <c r="T166" s="250"/>
      <c r="U166" s="250"/>
      <c r="V166" s="250"/>
      <c r="W166" s="67"/>
      <c r="X166" s="250"/>
      <c r="Y166" s="67"/>
      <c r="Z166" s="250"/>
      <c r="AB166" s="3">
        <v>1</v>
      </c>
      <c r="AC166" s="68"/>
      <c r="AD166" s="267"/>
      <c r="AE166" s="2461"/>
      <c r="AF166" s="68"/>
    </row>
    <row r="167" spans="1:70" ht="45.5" x14ac:dyDescent="0.35">
      <c r="A167" s="525">
        <v>89</v>
      </c>
      <c r="B167" s="1040">
        <v>11507</v>
      </c>
      <c r="C167" s="693" t="s">
        <v>1657</v>
      </c>
      <c r="D167" s="2469" t="s">
        <v>6479</v>
      </c>
      <c r="E167" s="312" t="s">
        <v>9336</v>
      </c>
      <c r="F167" s="1953" t="s">
        <v>827</v>
      </c>
      <c r="G167" s="66">
        <v>5</v>
      </c>
      <c r="H167" s="66">
        <v>6</v>
      </c>
      <c r="I167" s="622">
        <f t="shared" si="15"/>
        <v>0.8</v>
      </c>
      <c r="J167" s="622">
        <f>SUM(M167:R167)</f>
        <v>0.8</v>
      </c>
      <c r="K167" s="622"/>
      <c r="L167" s="622"/>
      <c r="M167" s="622"/>
      <c r="N167" s="800"/>
      <c r="O167" s="795"/>
      <c r="P167" s="622"/>
      <c r="Q167" s="934"/>
      <c r="R167" s="926">
        <v>0.8</v>
      </c>
      <c r="S167" s="67"/>
      <c r="T167" s="250"/>
      <c r="U167" s="250"/>
      <c r="V167" s="250"/>
      <c r="W167" s="67"/>
      <c r="X167" s="250"/>
      <c r="Y167" s="67"/>
      <c r="Z167" s="250"/>
      <c r="AB167" s="3">
        <v>1</v>
      </c>
      <c r="AC167" s="68"/>
      <c r="AD167" s="267"/>
      <c r="AE167" s="2461"/>
      <c r="AF167" s="68"/>
    </row>
    <row r="168" spans="1:70" ht="45.5" x14ac:dyDescent="0.35">
      <c r="A168" s="525">
        <v>90</v>
      </c>
      <c r="B168" s="1040">
        <v>11508</v>
      </c>
      <c r="C168" s="1040"/>
      <c r="D168" s="693" t="s">
        <v>2236</v>
      </c>
      <c r="E168" s="312" t="s">
        <v>10295</v>
      </c>
      <c r="F168" s="1953"/>
      <c r="G168" s="66"/>
      <c r="H168" s="66" t="s">
        <v>191</v>
      </c>
      <c r="I168" s="622">
        <f t="shared" si="15"/>
        <v>6.71</v>
      </c>
      <c r="J168" s="622">
        <f>SUM(M168:R168)</f>
        <v>6.68</v>
      </c>
      <c r="K168" s="622"/>
      <c r="L168" s="622">
        <f>SUM(L169:L171)</f>
        <v>3.0000000000000249E-2</v>
      </c>
      <c r="M168" s="622"/>
      <c r="N168" s="800">
        <f>SUM(N169:N171)</f>
        <v>0.52300000000000002</v>
      </c>
      <c r="O168" s="795"/>
      <c r="P168" s="622"/>
      <c r="Q168" s="934">
        <f>SUM(Q169:Q171)</f>
        <v>6.157</v>
      </c>
      <c r="R168" s="926"/>
      <c r="S168" s="67"/>
      <c r="T168" s="250"/>
      <c r="U168" s="250"/>
      <c r="V168" s="250"/>
      <c r="W168" s="67">
        <f>10+14</f>
        <v>24</v>
      </c>
      <c r="X168" s="250">
        <f>111.1+147.5</f>
        <v>258.60000000000002</v>
      </c>
      <c r="Y168" s="67">
        <v>14</v>
      </c>
      <c r="Z168" s="250">
        <v>147.5</v>
      </c>
      <c r="AB168" s="3">
        <v>1</v>
      </c>
      <c r="AC168" s="68"/>
      <c r="AD168" s="267"/>
      <c r="AE168" s="2461"/>
      <c r="AF168" s="68"/>
    </row>
    <row r="169" spans="1:70" x14ac:dyDescent="0.35">
      <c r="A169" s="525"/>
      <c r="B169" s="1040">
        <v>11508</v>
      </c>
      <c r="C169" s="1040"/>
      <c r="D169" s="695"/>
      <c r="E169" s="313" t="s">
        <v>1112</v>
      </c>
      <c r="F169" s="1953">
        <v>4</v>
      </c>
      <c r="G169" s="66">
        <v>5</v>
      </c>
      <c r="H169" s="66">
        <v>6</v>
      </c>
      <c r="I169" s="395"/>
      <c r="J169" s="395"/>
      <c r="K169" s="395"/>
      <c r="L169" s="395"/>
      <c r="M169" s="395"/>
      <c r="N169" s="801">
        <v>0.52300000000000002</v>
      </c>
      <c r="O169" s="796"/>
      <c r="P169" s="395"/>
      <c r="Q169" s="1212"/>
      <c r="R169" s="928"/>
      <c r="S169" s="66"/>
      <c r="T169" s="254"/>
      <c r="U169" s="254"/>
      <c r="V169" s="254"/>
      <c r="W169" s="66"/>
      <c r="X169" s="254"/>
      <c r="Y169" s="66"/>
      <c r="Z169" s="254"/>
      <c r="AC169" s="68"/>
      <c r="AD169" s="267"/>
      <c r="AE169" s="2461"/>
      <c r="AF169" s="68"/>
    </row>
    <row r="170" spans="1:70" x14ac:dyDescent="0.35">
      <c r="A170" s="525"/>
      <c r="B170" s="1040">
        <v>11508</v>
      </c>
      <c r="C170" s="1040"/>
      <c r="D170" s="695"/>
      <c r="E170" s="1560" t="s">
        <v>11287</v>
      </c>
      <c r="F170" s="1953">
        <v>4</v>
      </c>
      <c r="G170" s="66">
        <v>5</v>
      </c>
      <c r="H170" s="66">
        <v>6</v>
      </c>
      <c r="I170" s="395"/>
      <c r="J170" s="395"/>
      <c r="K170" s="395"/>
      <c r="L170" s="395"/>
      <c r="M170" s="395"/>
      <c r="N170" s="801"/>
      <c r="O170" s="796"/>
      <c r="P170" s="395"/>
      <c r="Q170" s="1212">
        <f>6.68-0.523</f>
        <v>6.157</v>
      </c>
      <c r="R170" s="928"/>
      <c r="S170" s="66"/>
      <c r="T170" s="254"/>
      <c r="U170" s="254"/>
      <c r="V170" s="254"/>
      <c r="W170" s="66"/>
      <c r="X170" s="254"/>
      <c r="Y170" s="66"/>
      <c r="Z170" s="254"/>
      <c r="AC170" s="68"/>
      <c r="AD170" s="267"/>
      <c r="AE170" s="2461"/>
      <c r="AF170" s="68"/>
    </row>
    <row r="171" spans="1:70" ht="46.5" x14ac:dyDescent="0.35">
      <c r="A171" s="525"/>
      <c r="B171" s="1040"/>
      <c r="C171" s="1040"/>
      <c r="D171" s="695"/>
      <c r="E171" s="1175" t="s">
        <v>11133</v>
      </c>
      <c r="F171" s="1953">
        <v>4</v>
      </c>
      <c r="G171" s="66">
        <v>5</v>
      </c>
      <c r="H171" s="66" t="s">
        <v>191</v>
      </c>
      <c r="I171" s="395"/>
      <c r="J171" s="395"/>
      <c r="K171" s="395"/>
      <c r="L171" s="395">
        <f>6.71-6.68</f>
        <v>3.0000000000000249E-2</v>
      </c>
      <c r="M171" s="395"/>
      <c r="N171" s="801"/>
      <c r="O171" s="796"/>
      <c r="P171" s="395"/>
      <c r="Q171" s="1212"/>
      <c r="R171" s="928"/>
      <c r="S171" s="66"/>
      <c r="T171" s="254"/>
      <c r="U171" s="254"/>
      <c r="V171" s="254"/>
      <c r="W171" s="66"/>
      <c r="X171" s="254"/>
      <c r="Y171" s="66"/>
      <c r="Z171" s="254"/>
      <c r="AC171" s="68"/>
      <c r="AD171" s="267"/>
      <c r="AE171" s="2461"/>
      <c r="AF171" s="68"/>
    </row>
    <row r="172" spans="1:70" ht="60.5" x14ac:dyDescent="0.35">
      <c r="A172" s="525">
        <v>91</v>
      </c>
      <c r="B172" s="1040">
        <v>11508</v>
      </c>
      <c r="C172" s="1040"/>
      <c r="D172" s="2469" t="s">
        <v>6480</v>
      </c>
      <c r="E172" s="312" t="s">
        <v>10296</v>
      </c>
      <c r="F172" s="1953" t="s">
        <v>827</v>
      </c>
      <c r="G172" s="66">
        <v>5</v>
      </c>
      <c r="H172" s="66">
        <v>6</v>
      </c>
      <c r="I172" s="622">
        <f t="shared" ref="I172:I179" si="16">J172+K172+L172</f>
        <v>0.96</v>
      </c>
      <c r="J172" s="622">
        <f t="shared" ref="J172:J179" si="17">SUM(M172:R172)</f>
        <v>0.96</v>
      </c>
      <c r="K172" s="622"/>
      <c r="L172" s="622"/>
      <c r="M172" s="622"/>
      <c r="N172" s="800"/>
      <c r="O172" s="795"/>
      <c r="P172" s="622"/>
      <c r="Q172" s="934"/>
      <c r="R172" s="926">
        <v>0.96</v>
      </c>
      <c r="S172" s="67"/>
      <c r="T172" s="250"/>
      <c r="U172" s="250"/>
      <c r="V172" s="250"/>
      <c r="W172" s="67">
        <v>3</v>
      </c>
      <c r="X172" s="250">
        <v>30</v>
      </c>
      <c r="Y172" s="67"/>
      <c r="Z172" s="250"/>
      <c r="AB172" s="3">
        <v>1</v>
      </c>
      <c r="AC172" s="68" t="s">
        <v>1041</v>
      </c>
      <c r="AD172" s="267"/>
      <c r="AE172" s="2461"/>
      <c r="AF172" s="68"/>
    </row>
    <row r="173" spans="1:70" ht="60.5" x14ac:dyDescent="0.35">
      <c r="A173" s="804">
        <v>92</v>
      </c>
      <c r="B173" s="1074">
        <v>11508</v>
      </c>
      <c r="C173" s="1074"/>
      <c r="D173" s="2469" t="s">
        <v>6481</v>
      </c>
      <c r="E173" s="345" t="s">
        <v>10297</v>
      </c>
      <c r="F173" s="2283">
        <v>4</v>
      </c>
      <c r="G173" s="1169">
        <v>5</v>
      </c>
      <c r="H173" s="66">
        <v>6</v>
      </c>
      <c r="I173" s="622">
        <f t="shared" si="16"/>
        <v>0.66</v>
      </c>
      <c r="J173" s="622">
        <f t="shared" si="17"/>
        <v>0.66</v>
      </c>
      <c r="K173" s="797"/>
      <c r="L173" s="797"/>
      <c r="M173" s="797"/>
      <c r="N173" s="802">
        <v>0.66</v>
      </c>
      <c r="O173" s="798"/>
      <c r="P173" s="797"/>
      <c r="Q173" s="1554"/>
      <c r="R173" s="1551"/>
      <c r="S173" s="264"/>
      <c r="T173" s="263"/>
      <c r="U173" s="263"/>
      <c r="V173" s="263"/>
      <c r="W173" s="264">
        <v>1</v>
      </c>
      <c r="X173" s="263">
        <v>12.699999809265137</v>
      </c>
      <c r="Y173" s="264"/>
      <c r="Z173" s="263"/>
      <c r="AA173" s="3" t="s">
        <v>1287</v>
      </c>
      <c r="AB173" s="3">
        <v>1</v>
      </c>
      <c r="AC173" s="68"/>
      <c r="AD173" s="267"/>
      <c r="AE173" s="2461"/>
      <c r="AF173" s="68"/>
    </row>
    <row r="174" spans="1:70" ht="60.5" x14ac:dyDescent="0.35">
      <c r="A174" s="525">
        <v>93</v>
      </c>
      <c r="B174" s="1074">
        <v>11508</v>
      </c>
      <c r="C174" s="1074"/>
      <c r="D174" s="2469" t="s">
        <v>6482</v>
      </c>
      <c r="E174" s="345" t="s">
        <v>10298</v>
      </c>
      <c r="F174" s="2283">
        <v>5</v>
      </c>
      <c r="G174" s="1169">
        <v>5</v>
      </c>
      <c r="H174" s="66">
        <v>6</v>
      </c>
      <c r="I174" s="622">
        <f t="shared" si="16"/>
        <v>3.17</v>
      </c>
      <c r="J174" s="622">
        <f t="shared" si="17"/>
        <v>3.17</v>
      </c>
      <c r="K174" s="797"/>
      <c r="L174" s="797"/>
      <c r="M174" s="797"/>
      <c r="N174" s="802"/>
      <c r="O174" s="798"/>
      <c r="P174" s="797"/>
      <c r="Q174" s="1554">
        <v>3.17</v>
      </c>
      <c r="R174" s="1551"/>
      <c r="S174" s="264"/>
      <c r="T174" s="263"/>
      <c r="U174" s="263"/>
      <c r="V174" s="263"/>
      <c r="W174" s="264">
        <v>10</v>
      </c>
      <c r="X174" s="263">
        <v>120.8</v>
      </c>
      <c r="Y174" s="264"/>
      <c r="Z174" s="263"/>
      <c r="AB174" s="3">
        <v>1</v>
      </c>
      <c r="AC174" s="68"/>
      <c r="AD174" s="267"/>
      <c r="AE174" s="2461"/>
      <c r="AF174" s="68"/>
    </row>
    <row r="175" spans="1:70" ht="75.5" x14ac:dyDescent="0.35">
      <c r="A175" s="804">
        <v>94</v>
      </c>
      <c r="B175" s="693">
        <v>11508</v>
      </c>
      <c r="C175" s="358" t="s">
        <v>1656</v>
      </c>
      <c r="D175" s="2469" t="s">
        <v>6483</v>
      </c>
      <c r="E175" s="312" t="s">
        <v>10299</v>
      </c>
      <c r="F175" s="1953" t="s">
        <v>664</v>
      </c>
      <c r="G175" s="2289">
        <v>5</v>
      </c>
      <c r="H175" s="66">
        <v>6</v>
      </c>
      <c r="I175" s="297">
        <f t="shared" si="16"/>
        <v>0.16</v>
      </c>
      <c r="J175" s="297">
        <f t="shared" si="17"/>
        <v>0.16</v>
      </c>
      <c r="K175" s="622"/>
      <c r="L175" s="622"/>
      <c r="M175" s="622"/>
      <c r="N175" s="622"/>
      <c r="O175" s="795"/>
      <c r="P175" s="622"/>
      <c r="Q175" s="2085"/>
      <c r="R175" s="2106">
        <v>0.16</v>
      </c>
      <c r="S175" s="67"/>
      <c r="T175" s="250"/>
      <c r="U175" s="250"/>
      <c r="V175" s="250"/>
      <c r="W175" s="67"/>
      <c r="X175" s="250"/>
      <c r="Y175" s="67"/>
      <c r="Z175" s="250"/>
      <c r="AB175" s="3">
        <v>1</v>
      </c>
      <c r="AC175" s="68"/>
      <c r="AD175" s="267"/>
      <c r="AE175" s="2461"/>
      <c r="AF175" s="68"/>
    </row>
    <row r="176" spans="1:70" ht="60.5" x14ac:dyDescent="0.35">
      <c r="A176" s="525">
        <v>95</v>
      </c>
      <c r="B176" s="1074">
        <v>11508</v>
      </c>
      <c r="C176" s="2166" t="s">
        <v>1656</v>
      </c>
      <c r="D176" s="2469" t="s">
        <v>6484</v>
      </c>
      <c r="E176" s="312" t="s">
        <v>10300</v>
      </c>
      <c r="F176" s="2283"/>
      <c r="G176" s="1169"/>
      <c r="H176" s="66" t="s">
        <v>191</v>
      </c>
      <c r="I176" s="622">
        <f t="shared" si="16"/>
        <v>1</v>
      </c>
      <c r="J176" s="622">
        <f t="shared" si="17"/>
        <v>0.2</v>
      </c>
      <c r="K176" s="797"/>
      <c r="L176" s="797">
        <f>SUM(L177:L178)</f>
        <v>0.8</v>
      </c>
      <c r="M176" s="797"/>
      <c r="N176" s="802"/>
      <c r="O176" s="798"/>
      <c r="P176" s="797"/>
      <c r="Q176" s="1554"/>
      <c r="R176" s="1551">
        <f>SUM(R177:R178)</f>
        <v>0.2</v>
      </c>
      <c r="S176" s="264"/>
      <c r="T176" s="263"/>
      <c r="U176" s="263"/>
      <c r="V176" s="263"/>
      <c r="W176" s="264"/>
      <c r="X176" s="263"/>
      <c r="Y176" s="264"/>
      <c r="Z176" s="263"/>
      <c r="AB176" s="3">
        <v>1</v>
      </c>
      <c r="AC176" s="68"/>
      <c r="AD176" s="267"/>
      <c r="AE176" s="2461"/>
      <c r="AF176" s="68"/>
    </row>
    <row r="177" spans="1:32" x14ac:dyDescent="0.35">
      <c r="A177" s="804"/>
      <c r="B177" s="1074"/>
      <c r="C177" s="2171"/>
      <c r="D177" s="2552"/>
      <c r="E177" s="289" t="s">
        <v>6998</v>
      </c>
      <c r="F177" s="2283" t="s">
        <v>664</v>
      </c>
      <c r="G177" s="1169">
        <v>5</v>
      </c>
      <c r="H177" s="66" t="s">
        <v>191</v>
      </c>
      <c r="I177" s="395"/>
      <c r="J177" s="395"/>
      <c r="K177" s="1170"/>
      <c r="L177" s="1170">
        <v>0.8</v>
      </c>
      <c r="M177" s="1170"/>
      <c r="N177" s="1170"/>
      <c r="O177" s="1172"/>
      <c r="P177" s="1170"/>
      <c r="Q177" s="2177"/>
      <c r="R177" s="2553"/>
      <c r="S177" s="264"/>
      <c r="T177" s="263"/>
      <c r="U177" s="263"/>
      <c r="V177" s="263"/>
      <c r="W177" s="264"/>
      <c r="X177" s="263"/>
      <c r="Y177" s="264"/>
      <c r="Z177" s="263"/>
      <c r="AC177" s="68"/>
      <c r="AD177" s="267"/>
      <c r="AE177" s="2461"/>
      <c r="AF177" s="68"/>
    </row>
    <row r="178" spans="1:32" x14ac:dyDescent="0.35">
      <c r="A178" s="804"/>
      <c r="B178" s="1074"/>
      <c r="C178" s="2171"/>
      <c r="D178" s="2552"/>
      <c r="E178" s="1558" t="s">
        <v>1418</v>
      </c>
      <c r="F178" s="2283" t="s">
        <v>664</v>
      </c>
      <c r="G178" s="1169">
        <v>5</v>
      </c>
      <c r="H178" s="66">
        <v>6</v>
      </c>
      <c r="I178" s="395"/>
      <c r="J178" s="395"/>
      <c r="K178" s="1170"/>
      <c r="L178" s="1170"/>
      <c r="M178" s="1170"/>
      <c r="N178" s="1170"/>
      <c r="O178" s="1172"/>
      <c r="P178" s="1170"/>
      <c r="Q178" s="2177"/>
      <c r="R178" s="2553">
        <v>0.2</v>
      </c>
      <c r="S178" s="264"/>
      <c r="T178" s="263"/>
      <c r="U178" s="263"/>
      <c r="V178" s="263"/>
      <c r="W178" s="264"/>
      <c r="X178" s="263"/>
      <c r="Y178" s="264"/>
      <c r="Z178" s="263"/>
      <c r="AC178" s="68"/>
      <c r="AD178" s="267"/>
      <c r="AE178" s="2461"/>
      <c r="AF178" s="68"/>
    </row>
    <row r="179" spans="1:32" ht="30.5" x14ac:dyDescent="0.35">
      <c r="A179" s="804">
        <v>96</v>
      </c>
      <c r="B179" s="1074">
        <v>11509</v>
      </c>
      <c r="C179" s="1074"/>
      <c r="D179" s="805" t="s">
        <v>990</v>
      </c>
      <c r="E179" s="345" t="s">
        <v>11052</v>
      </c>
      <c r="F179" s="2283"/>
      <c r="G179" s="1169"/>
      <c r="H179" s="66" t="s">
        <v>191</v>
      </c>
      <c r="I179" s="622">
        <f t="shared" si="16"/>
        <v>1.55</v>
      </c>
      <c r="J179" s="622">
        <f t="shared" si="17"/>
        <v>1.55</v>
      </c>
      <c r="K179" s="797"/>
      <c r="L179" s="797"/>
      <c r="M179" s="797"/>
      <c r="N179" s="802"/>
      <c r="O179" s="798"/>
      <c r="P179" s="797"/>
      <c r="Q179" s="1554">
        <f>SUM(Q180:Q181)</f>
        <v>1.26</v>
      </c>
      <c r="R179" s="1551">
        <f>SUM(R180:R181)</f>
        <v>0.28999999999999998</v>
      </c>
      <c r="S179" s="264"/>
      <c r="T179" s="263"/>
      <c r="U179" s="263"/>
      <c r="V179" s="263"/>
      <c r="W179" s="67">
        <v>4</v>
      </c>
      <c r="X179" s="250">
        <v>57.3</v>
      </c>
      <c r="Y179" s="264"/>
      <c r="Z179" s="263"/>
      <c r="AA179" s="3" t="s">
        <v>3044</v>
      </c>
      <c r="AB179" s="3">
        <v>1</v>
      </c>
      <c r="AC179" s="68"/>
      <c r="AD179" s="267"/>
      <c r="AE179" s="2461"/>
      <c r="AF179" s="68"/>
    </row>
    <row r="180" spans="1:32" x14ac:dyDescent="0.35">
      <c r="A180" s="525"/>
      <c r="B180" s="1074">
        <v>11509</v>
      </c>
      <c r="C180" s="1074"/>
      <c r="D180" s="1168"/>
      <c r="E180" s="1561" t="s">
        <v>2640</v>
      </c>
      <c r="F180" s="2283">
        <v>5</v>
      </c>
      <c r="G180" s="1169">
        <v>5</v>
      </c>
      <c r="H180" s="66">
        <v>6</v>
      </c>
      <c r="I180" s="395"/>
      <c r="J180" s="395"/>
      <c r="K180" s="1170"/>
      <c r="L180" s="1170"/>
      <c r="M180" s="1170"/>
      <c r="N180" s="1171"/>
      <c r="O180" s="1172"/>
      <c r="P180" s="1170"/>
      <c r="Q180" s="1553">
        <v>1.26</v>
      </c>
      <c r="R180" s="1550"/>
      <c r="S180" s="1169"/>
      <c r="T180" s="1173"/>
      <c r="U180" s="1173"/>
      <c r="V180" s="1173"/>
      <c r="W180" s="1169"/>
      <c r="X180" s="1173"/>
      <c r="Y180" s="1169"/>
      <c r="Z180" s="1173"/>
      <c r="AC180" s="68"/>
      <c r="AD180" s="267"/>
      <c r="AE180" s="2461"/>
      <c r="AF180" s="68"/>
    </row>
    <row r="181" spans="1:32" x14ac:dyDescent="0.35">
      <c r="A181" s="525"/>
      <c r="B181" s="1074">
        <v>11509</v>
      </c>
      <c r="C181" s="1074"/>
      <c r="D181" s="1168"/>
      <c r="E181" s="1558" t="s">
        <v>2885</v>
      </c>
      <c r="F181" s="2283">
        <v>5</v>
      </c>
      <c r="G181" s="1169">
        <v>5</v>
      </c>
      <c r="H181" s="66">
        <v>6</v>
      </c>
      <c r="I181" s="395"/>
      <c r="J181" s="395"/>
      <c r="K181" s="1170"/>
      <c r="L181" s="1170"/>
      <c r="M181" s="1170"/>
      <c r="N181" s="1171"/>
      <c r="O181" s="1172"/>
      <c r="P181" s="1170"/>
      <c r="Q181" s="1553"/>
      <c r="R181" s="1550">
        <v>0.28999999999999998</v>
      </c>
      <c r="S181" s="1169"/>
      <c r="T181" s="1173"/>
      <c r="U181" s="1173"/>
      <c r="V181" s="1173"/>
      <c r="W181" s="1169"/>
      <c r="X181" s="1173"/>
      <c r="Y181" s="1169"/>
      <c r="Z181" s="1173"/>
      <c r="AC181" s="68"/>
      <c r="AD181" s="267"/>
      <c r="AE181" s="2461"/>
      <c r="AF181" s="68"/>
    </row>
    <row r="182" spans="1:32" ht="60.5" x14ac:dyDescent="0.35">
      <c r="A182" s="525">
        <v>97</v>
      </c>
      <c r="B182" s="1074">
        <v>11509</v>
      </c>
      <c r="C182" s="2166" t="s">
        <v>1656</v>
      </c>
      <c r="D182" s="2469" t="s">
        <v>6485</v>
      </c>
      <c r="E182" s="345" t="s">
        <v>11053</v>
      </c>
      <c r="F182" s="2283" t="s">
        <v>664</v>
      </c>
      <c r="G182" s="1169">
        <v>5</v>
      </c>
      <c r="H182" s="66">
        <v>6</v>
      </c>
      <c r="I182" s="622">
        <f>J182+K182+L182</f>
        <v>1.4</v>
      </c>
      <c r="J182" s="622">
        <f>SUM(M182:R182)</f>
        <v>1.4</v>
      </c>
      <c r="K182" s="797"/>
      <c r="L182" s="797"/>
      <c r="M182" s="797"/>
      <c r="N182" s="802"/>
      <c r="O182" s="798"/>
      <c r="P182" s="797"/>
      <c r="Q182" s="1554"/>
      <c r="R182" s="1551">
        <v>1.4</v>
      </c>
      <c r="S182" s="264"/>
      <c r="T182" s="263"/>
      <c r="U182" s="263"/>
      <c r="V182" s="263"/>
      <c r="W182" s="264"/>
      <c r="X182" s="263"/>
      <c r="Y182" s="264"/>
      <c r="Z182" s="263"/>
      <c r="AB182" s="3">
        <v>1</v>
      </c>
      <c r="AC182" s="68"/>
      <c r="AD182" s="267"/>
      <c r="AE182" s="2461"/>
      <c r="AF182" s="68"/>
    </row>
    <row r="183" spans="1:32" ht="45.5" x14ac:dyDescent="0.35">
      <c r="A183" s="804">
        <v>98</v>
      </c>
      <c r="B183" s="1074">
        <v>11510</v>
      </c>
      <c r="C183" s="1074"/>
      <c r="D183" s="805" t="s">
        <v>372</v>
      </c>
      <c r="E183" s="345" t="s">
        <v>6999</v>
      </c>
      <c r="F183" s="2283">
        <v>4</v>
      </c>
      <c r="G183" s="1169">
        <v>5</v>
      </c>
      <c r="H183" s="66">
        <v>6</v>
      </c>
      <c r="I183" s="622">
        <f>J183+K183+L183</f>
        <v>1.4330000000000001</v>
      </c>
      <c r="J183" s="622">
        <f>SUM(M183:R183)</f>
        <v>1.4330000000000001</v>
      </c>
      <c r="K183" s="797"/>
      <c r="L183" s="797"/>
      <c r="M183" s="797"/>
      <c r="N183" s="802">
        <v>1.4330000000000001</v>
      </c>
      <c r="O183" s="798"/>
      <c r="P183" s="797"/>
      <c r="Q183" s="1554"/>
      <c r="R183" s="1551"/>
      <c r="S183" s="264"/>
      <c r="T183" s="263"/>
      <c r="U183" s="263"/>
      <c r="V183" s="263"/>
      <c r="W183" s="264">
        <f>2+5</f>
        <v>7</v>
      </c>
      <c r="X183" s="263">
        <f>27.2+50.3</f>
        <v>77.5</v>
      </c>
      <c r="Y183" s="264">
        <v>5</v>
      </c>
      <c r="Z183" s="263">
        <v>50.3</v>
      </c>
      <c r="AB183" s="3">
        <v>1</v>
      </c>
      <c r="AC183" s="68"/>
      <c r="AD183" s="267"/>
      <c r="AE183" s="2461"/>
      <c r="AF183" s="68"/>
    </row>
    <row r="184" spans="1:32" ht="46.5" x14ac:dyDescent="0.35">
      <c r="A184" s="525"/>
      <c r="B184" s="1074">
        <v>11510</v>
      </c>
      <c r="C184" s="1074"/>
      <c r="D184" s="805"/>
      <c r="E184" s="1175" t="s">
        <v>10013</v>
      </c>
      <c r="F184" s="2283"/>
      <c r="G184" s="1169" t="s">
        <v>191</v>
      </c>
      <c r="H184" s="1169" t="s">
        <v>191</v>
      </c>
      <c r="I184" s="622"/>
      <c r="J184" s="622"/>
      <c r="K184" s="797"/>
      <c r="L184" s="797"/>
      <c r="M184" s="797"/>
      <c r="N184" s="1171"/>
      <c r="O184" s="798"/>
      <c r="P184" s="797"/>
      <c r="Q184" s="1554"/>
      <c r="R184" s="1551"/>
      <c r="S184" s="264"/>
      <c r="T184" s="263"/>
      <c r="U184" s="263"/>
      <c r="V184" s="263"/>
      <c r="W184" s="67"/>
      <c r="X184" s="250"/>
      <c r="Y184" s="264"/>
      <c r="Z184" s="263"/>
      <c r="AC184" s="68"/>
      <c r="AD184" s="267"/>
      <c r="AE184" s="2461"/>
      <c r="AF184" s="68"/>
    </row>
    <row r="185" spans="1:32" ht="75.5" x14ac:dyDescent="0.35">
      <c r="A185" s="525">
        <v>99</v>
      </c>
      <c r="B185" s="1074">
        <v>11510</v>
      </c>
      <c r="C185" s="693" t="s">
        <v>1657</v>
      </c>
      <c r="D185" s="2469" t="s">
        <v>6486</v>
      </c>
      <c r="E185" s="345" t="s">
        <v>10015</v>
      </c>
      <c r="F185" s="2283" t="s">
        <v>827</v>
      </c>
      <c r="G185" s="1169">
        <v>5</v>
      </c>
      <c r="H185" s="66">
        <v>6</v>
      </c>
      <c r="I185" s="622">
        <f>J185+K185+L185</f>
        <v>0.4</v>
      </c>
      <c r="J185" s="622">
        <f>SUM(M185:R185)</f>
        <v>0.4</v>
      </c>
      <c r="K185" s="797"/>
      <c r="L185" s="797"/>
      <c r="M185" s="797"/>
      <c r="N185" s="802">
        <v>0.4</v>
      </c>
      <c r="O185" s="798"/>
      <c r="P185" s="797"/>
      <c r="Q185" s="1554"/>
      <c r="R185" s="1551"/>
      <c r="S185" s="264"/>
      <c r="T185" s="263"/>
      <c r="U185" s="263"/>
      <c r="V185" s="263"/>
      <c r="W185" s="67"/>
      <c r="X185" s="250"/>
      <c r="Y185" s="264"/>
      <c r="Z185" s="263"/>
      <c r="AB185" s="3">
        <v>1</v>
      </c>
      <c r="AC185" s="68"/>
      <c r="AD185" s="267"/>
      <c r="AE185" s="2461"/>
      <c r="AF185" s="68"/>
    </row>
    <row r="186" spans="1:32" ht="46.5" x14ac:dyDescent="0.35">
      <c r="A186" s="525"/>
      <c r="B186" s="1074">
        <v>11510</v>
      </c>
      <c r="C186" s="1074"/>
      <c r="D186" s="805"/>
      <c r="E186" s="1175" t="s">
        <v>10014</v>
      </c>
      <c r="F186" s="2283"/>
      <c r="G186" s="1169" t="s">
        <v>191</v>
      </c>
      <c r="H186" s="1169" t="s">
        <v>191</v>
      </c>
      <c r="I186" s="622"/>
      <c r="J186" s="622"/>
      <c r="K186" s="797"/>
      <c r="L186" s="797"/>
      <c r="M186" s="797"/>
      <c r="N186" s="802"/>
      <c r="O186" s="798"/>
      <c r="P186" s="797"/>
      <c r="Q186" s="1554"/>
      <c r="R186" s="1551"/>
      <c r="S186" s="264"/>
      <c r="T186" s="263"/>
      <c r="U186" s="263"/>
      <c r="V186" s="263"/>
      <c r="W186" s="67"/>
      <c r="X186" s="250"/>
      <c r="Y186" s="264"/>
      <c r="Z186" s="263"/>
      <c r="AC186" s="68"/>
      <c r="AD186" s="267"/>
      <c r="AE186" s="2461"/>
      <c r="AF186" s="68"/>
    </row>
    <row r="187" spans="1:32" x14ac:dyDescent="0.35">
      <c r="A187" s="525">
        <v>100</v>
      </c>
      <c r="B187" s="1074">
        <v>11511</v>
      </c>
      <c r="C187" s="1074"/>
      <c r="D187" s="805" t="s">
        <v>1124</v>
      </c>
      <c r="E187" s="345" t="s">
        <v>68</v>
      </c>
      <c r="F187" s="2283"/>
      <c r="G187" s="1169"/>
      <c r="H187" s="66" t="s">
        <v>191</v>
      </c>
      <c r="I187" s="622">
        <f>J187+K187+L187</f>
        <v>4</v>
      </c>
      <c r="J187" s="622">
        <f>SUM(M187:R187)</f>
        <v>4</v>
      </c>
      <c r="K187" s="797"/>
      <c r="L187" s="797"/>
      <c r="M187" s="797"/>
      <c r="N187" s="802">
        <f>SUM(N188:N190)</f>
        <v>0.6</v>
      </c>
      <c r="O187" s="798"/>
      <c r="P187" s="797"/>
      <c r="Q187" s="1554"/>
      <c r="R187" s="1551">
        <f>SUM(R188:R190)</f>
        <v>3.4</v>
      </c>
      <c r="S187" s="264"/>
      <c r="T187" s="263"/>
      <c r="U187" s="263"/>
      <c r="V187" s="263"/>
      <c r="W187" s="67">
        <f>6+4</f>
        <v>10</v>
      </c>
      <c r="X187" s="250">
        <f>79.5+45</f>
        <v>124.5</v>
      </c>
      <c r="Y187" s="264">
        <v>4</v>
      </c>
      <c r="Z187" s="263">
        <v>45</v>
      </c>
      <c r="AB187" s="3">
        <v>1</v>
      </c>
      <c r="AC187" s="68"/>
      <c r="AD187" s="267"/>
      <c r="AE187" s="2461"/>
      <c r="AF187" s="68"/>
    </row>
    <row r="188" spans="1:32" x14ac:dyDescent="0.35">
      <c r="A188" s="525"/>
      <c r="B188" s="1074">
        <v>11511</v>
      </c>
      <c r="C188" s="1074"/>
      <c r="D188" s="1168"/>
      <c r="E188" s="1175" t="s">
        <v>2901</v>
      </c>
      <c r="F188" s="2283">
        <v>5</v>
      </c>
      <c r="G188" s="1169">
        <v>5</v>
      </c>
      <c r="H188" s="66">
        <v>6</v>
      </c>
      <c r="I188" s="395"/>
      <c r="J188" s="395"/>
      <c r="K188" s="1170"/>
      <c r="L188" s="1170"/>
      <c r="M188" s="1170"/>
      <c r="N188" s="1171">
        <v>0.45</v>
      </c>
      <c r="O188" s="1172"/>
      <c r="P188" s="1170"/>
      <c r="Q188" s="1553"/>
      <c r="R188" s="1550"/>
      <c r="S188" s="1169"/>
      <c r="T188" s="1173"/>
      <c r="U188" s="1173"/>
      <c r="V188" s="1173"/>
      <c r="W188" s="66"/>
      <c r="X188" s="254"/>
      <c r="Y188" s="1169"/>
      <c r="Z188" s="1173"/>
      <c r="AC188" s="68"/>
      <c r="AD188" s="267"/>
      <c r="AE188" s="2461"/>
      <c r="AF188" s="68"/>
    </row>
    <row r="189" spans="1:32" x14ac:dyDescent="0.35">
      <c r="A189" s="525"/>
      <c r="B189" s="1074">
        <v>11511</v>
      </c>
      <c r="C189" s="1074"/>
      <c r="D189" s="1168"/>
      <c r="E189" s="1559" t="s">
        <v>69</v>
      </c>
      <c r="F189" s="2283">
        <v>5</v>
      </c>
      <c r="G189" s="1169">
        <v>5</v>
      </c>
      <c r="H189" s="66">
        <v>6</v>
      </c>
      <c r="I189" s="395"/>
      <c r="J189" s="395"/>
      <c r="K189" s="1170"/>
      <c r="L189" s="1170"/>
      <c r="M189" s="1170"/>
      <c r="N189" s="1171"/>
      <c r="O189" s="1172"/>
      <c r="P189" s="1170"/>
      <c r="Q189" s="1553"/>
      <c r="R189" s="1550">
        <v>3.4</v>
      </c>
      <c r="S189" s="1169"/>
      <c r="T189" s="1173"/>
      <c r="U189" s="1173"/>
      <c r="V189" s="1173"/>
      <c r="W189" s="66"/>
      <c r="X189" s="254"/>
      <c r="Y189" s="1169"/>
      <c r="Z189" s="1173"/>
      <c r="AC189" s="68"/>
      <c r="AD189" s="267"/>
      <c r="AE189" s="2461"/>
      <c r="AF189" s="68"/>
    </row>
    <row r="190" spans="1:32" x14ac:dyDescent="0.35">
      <c r="A190" s="525"/>
      <c r="B190" s="1074">
        <v>11511</v>
      </c>
      <c r="C190" s="1074"/>
      <c r="D190" s="1168"/>
      <c r="E190" s="1556" t="s">
        <v>70</v>
      </c>
      <c r="F190" s="2283">
        <v>5</v>
      </c>
      <c r="G190" s="1169">
        <v>5</v>
      </c>
      <c r="H190" s="66">
        <v>6</v>
      </c>
      <c r="I190" s="395"/>
      <c r="J190" s="395"/>
      <c r="K190" s="1170"/>
      <c r="L190" s="1170"/>
      <c r="M190" s="1170"/>
      <c r="N190" s="1171">
        <v>0.15</v>
      </c>
      <c r="O190" s="1172"/>
      <c r="P190" s="1170"/>
      <c r="Q190" s="1553"/>
      <c r="R190" s="1550"/>
      <c r="S190" s="1169"/>
      <c r="T190" s="1173"/>
      <c r="U190" s="1173"/>
      <c r="V190" s="1173"/>
      <c r="W190" s="66"/>
      <c r="X190" s="254"/>
      <c r="Y190" s="1169"/>
      <c r="Z190" s="1173"/>
      <c r="AC190" s="68"/>
      <c r="AD190" s="267"/>
      <c r="AE190" s="2461"/>
      <c r="AF190" s="68"/>
    </row>
    <row r="191" spans="1:32" ht="45.5" x14ac:dyDescent="0.35">
      <c r="A191" s="693">
        <v>101</v>
      </c>
      <c r="B191" s="693">
        <v>11511</v>
      </c>
      <c r="C191" s="693" t="s">
        <v>1657</v>
      </c>
      <c r="D191" s="2469" t="s">
        <v>6487</v>
      </c>
      <c r="E191" s="312" t="s">
        <v>11054</v>
      </c>
      <c r="F191" s="1953" t="s">
        <v>827</v>
      </c>
      <c r="G191" s="66">
        <v>5</v>
      </c>
      <c r="H191" s="66">
        <v>6</v>
      </c>
      <c r="I191" s="622">
        <f>J191+K191+L191</f>
        <v>0.38</v>
      </c>
      <c r="J191" s="622">
        <f>SUM(M191:R191)</f>
        <v>0.38</v>
      </c>
      <c r="K191" s="622"/>
      <c r="L191" s="622"/>
      <c r="M191" s="622"/>
      <c r="N191" s="800"/>
      <c r="O191" s="795"/>
      <c r="P191" s="622"/>
      <c r="Q191" s="934"/>
      <c r="R191" s="926">
        <v>0.38</v>
      </c>
      <c r="S191" s="67"/>
      <c r="T191" s="250"/>
      <c r="U191" s="250"/>
      <c r="V191" s="250"/>
      <c r="W191" s="67"/>
      <c r="X191" s="250"/>
      <c r="Y191" s="67"/>
      <c r="Z191" s="250"/>
      <c r="AB191" s="3">
        <v>1</v>
      </c>
      <c r="AE191" s="2461"/>
      <c r="AF191" s="68"/>
    </row>
    <row r="192" spans="1:32" x14ac:dyDescent="0.35">
      <c r="A192" s="693">
        <v>102</v>
      </c>
      <c r="B192" s="693">
        <v>11512</v>
      </c>
      <c r="C192" s="693"/>
      <c r="D192" s="693" t="s">
        <v>2234</v>
      </c>
      <c r="E192" s="312" t="s">
        <v>2997</v>
      </c>
      <c r="F192" s="2283"/>
      <c r="G192" s="1169"/>
      <c r="H192" s="66" t="s">
        <v>191</v>
      </c>
      <c r="I192" s="622">
        <f>J192+K192+L192</f>
        <v>4.7</v>
      </c>
      <c r="J192" s="622">
        <f>SUM(M192:R192)</f>
        <v>4.7</v>
      </c>
      <c r="K192" s="622"/>
      <c r="L192" s="622"/>
      <c r="M192" s="622"/>
      <c r="N192" s="800"/>
      <c r="O192" s="795"/>
      <c r="P192" s="622"/>
      <c r="Q192" s="934">
        <f>SUM(Q193:Q194)</f>
        <v>0.2</v>
      </c>
      <c r="R192" s="926">
        <f>SUM(R193:R194)</f>
        <v>4.5</v>
      </c>
      <c r="S192" s="67"/>
      <c r="T192" s="250"/>
      <c r="U192" s="250"/>
      <c r="V192" s="250"/>
      <c r="W192" s="67">
        <v>3</v>
      </c>
      <c r="X192" s="250">
        <v>27</v>
      </c>
      <c r="Y192" s="67"/>
      <c r="Z192" s="250"/>
      <c r="AB192" s="3">
        <v>1</v>
      </c>
      <c r="AE192" s="2461"/>
      <c r="AF192" s="68"/>
    </row>
    <row r="193" spans="1:32" x14ac:dyDescent="0.35">
      <c r="A193" s="693"/>
      <c r="B193" s="693"/>
      <c r="C193" s="693"/>
      <c r="D193" s="693"/>
      <c r="E193" s="1561" t="s">
        <v>1795</v>
      </c>
      <c r="F193" s="2927">
        <v>5</v>
      </c>
      <c r="G193" s="2928">
        <v>5</v>
      </c>
      <c r="H193" s="2929">
        <v>6</v>
      </c>
      <c r="I193" s="395"/>
      <c r="J193" s="395"/>
      <c r="K193" s="395"/>
      <c r="L193" s="395"/>
      <c r="M193" s="395"/>
      <c r="N193" s="395"/>
      <c r="O193" s="796"/>
      <c r="P193" s="395"/>
      <c r="Q193" s="2086">
        <v>0.2</v>
      </c>
      <c r="R193" s="2236"/>
      <c r="S193" s="67"/>
      <c r="T193" s="250"/>
      <c r="U193" s="250"/>
      <c r="V193" s="250"/>
      <c r="W193" s="67"/>
      <c r="X193" s="250"/>
      <c r="Y193" s="67"/>
      <c r="Z193" s="250"/>
      <c r="AE193" s="2461"/>
      <c r="AF193" s="68"/>
    </row>
    <row r="194" spans="1:32" x14ac:dyDescent="0.35">
      <c r="A194" s="693"/>
      <c r="B194" s="693"/>
      <c r="C194" s="693"/>
      <c r="D194" s="693"/>
      <c r="E194" s="1558" t="s">
        <v>11564</v>
      </c>
      <c r="F194" s="2283">
        <v>5</v>
      </c>
      <c r="G194" s="1169">
        <v>5</v>
      </c>
      <c r="H194" s="66">
        <v>6</v>
      </c>
      <c r="I194" s="395"/>
      <c r="J194" s="395"/>
      <c r="K194" s="395"/>
      <c r="L194" s="395"/>
      <c r="M194" s="395"/>
      <c r="N194" s="395"/>
      <c r="O194" s="796"/>
      <c r="P194" s="395"/>
      <c r="Q194" s="2086"/>
      <c r="R194" s="2930">
        <f>4.7-0.2</f>
        <v>4.5</v>
      </c>
      <c r="S194" s="67"/>
      <c r="T194" s="250"/>
      <c r="U194" s="250"/>
      <c r="V194" s="250"/>
      <c r="W194" s="67"/>
      <c r="X194" s="250"/>
      <c r="Y194" s="67"/>
      <c r="Z194" s="250"/>
      <c r="AE194" s="2461"/>
      <c r="AF194" s="68"/>
    </row>
    <row r="195" spans="1:32" ht="30.5" x14ac:dyDescent="0.35">
      <c r="A195" s="693">
        <v>103</v>
      </c>
      <c r="B195" s="693">
        <v>11512</v>
      </c>
      <c r="C195" s="2166" t="s">
        <v>1656</v>
      </c>
      <c r="D195" s="2469" t="s">
        <v>6488</v>
      </c>
      <c r="E195" s="312" t="s">
        <v>9068</v>
      </c>
      <c r="F195" s="1953" t="s">
        <v>664</v>
      </c>
      <c r="G195" s="66">
        <v>5</v>
      </c>
      <c r="H195" s="66">
        <v>6</v>
      </c>
      <c r="I195" s="622">
        <f>J195+K195+L195</f>
        <v>0.5</v>
      </c>
      <c r="J195" s="622">
        <f>SUM(M195:R195)</f>
        <v>0.5</v>
      </c>
      <c r="K195" s="622"/>
      <c r="L195" s="622"/>
      <c r="M195" s="622"/>
      <c r="N195" s="800"/>
      <c r="O195" s="795"/>
      <c r="P195" s="622"/>
      <c r="Q195" s="934"/>
      <c r="R195" s="926">
        <v>0.5</v>
      </c>
      <c r="S195" s="67"/>
      <c r="T195" s="250"/>
      <c r="U195" s="250"/>
      <c r="V195" s="250"/>
      <c r="W195" s="67"/>
      <c r="X195" s="250"/>
      <c r="Y195" s="67"/>
      <c r="Z195" s="250"/>
      <c r="AB195" s="3">
        <v>1</v>
      </c>
      <c r="AE195" s="2461"/>
      <c r="AF195" s="68"/>
    </row>
    <row r="196" spans="1:32" ht="30.5" x14ac:dyDescent="0.35">
      <c r="A196" s="693">
        <v>104</v>
      </c>
      <c r="B196" s="1074">
        <v>11512</v>
      </c>
      <c r="C196" s="2166" t="s">
        <v>1656</v>
      </c>
      <c r="D196" s="2469" t="s">
        <v>6489</v>
      </c>
      <c r="E196" s="345" t="s">
        <v>9069</v>
      </c>
      <c r="F196" s="2283" t="s">
        <v>664</v>
      </c>
      <c r="G196" s="1169">
        <v>5</v>
      </c>
      <c r="H196" s="66">
        <v>6</v>
      </c>
      <c r="I196" s="622">
        <f>J196+K196+L196</f>
        <v>0.2</v>
      </c>
      <c r="J196" s="622">
        <f>SUM(M196:R196)</f>
        <v>0.2</v>
      </c>
      <c r="K196" s="797"/>
      <c r="L196" s="797"/>
      <c r="M196" s="797"/>
      <c r="N196" s="802"/>
      <c r="O196" s="798"/>
      <c r="P196" s="797"/>
      <c r="Q196" s="1554"/>
      <c r="R196" s="1551">
        <v>0.2</v>
      </c>
      <c r="S196" s="264"/>
      <c r="T196" s="263"/>
      <c r="U196" s="263"/>
      <c r="V196" s="263"/>
      <c r="W196" s="264"/>
      <c r="X196" s="263"/>
      <c r="Y196" s="264"/>
      <c r="Z196" s="263"/>
      <c r="AB196" s="3">
        <v>1</v>
      </c>
      <c r="AC196" s="68"/>
      <c r="AD196" s="267"/>
      <c r="AE196" s="2461"/>
      <c r="AF196" s="68"/>
    </row>
    <row r="197" spans="1:32" ht="45" x14ac:dyDescent="0.35">
      <c r="A197" s="693">
        <v>105</v>
      </c>
      <c r="B197" s="2171">
        <v>11512</v>
      </c>
      <c r="C197" s="2166" t="s">
        <v>1656</v>
      </c>
      <c r="D197" s="2469" t="s">
        <v>6490</v>
      </c>
      <c r="E197" s="2358" t="s">
        <v>9070</v>
      </c>
      <c r="F197" s="2043" t="s">
        <v>664</v>
      </c>
      <c r="G197" s="2176">
        <v>5</v>
      </c>
      <c r="H197" s="66">
        <v>6</v>
      </c>
      <c r="I197" s="2157">
        <f>J197+K197+L197</f>
        <v>3.7</v>
      </c>
      <c r="J197" s="2157">
        <f>M197+N197+O197+P197+Q197+R197</f>
        <v>3.7</v>
      </c>
      <c r="K197" s="1170"/>
      <c r="L197" s="1170"/>
      <c r="M197" s="797"/>
      <c r="N197" s="797"/>
      <c r="O197" s="797"/>
      <c r="P197" s="797"/>
      <c r="Q197" s="2124"/>
      <c r="R197" s="2110">
        <v>3.7</v>
      </c>
      <c r="S197" s="262"/>
      <c r="T197" s="262"/>
      <c r="U197" s="262"/>
      <c r="V197" s="262"/>
      <c r="W197" s="262"/>
      <c r="X197" s="2180"/>
      <c r="Y197" s="262"/>
      <c r="Z197" s="262"/>
      <c r="AB197" s="3">
        <v>1</v>
      </c>
      <c r="AC197" s="68"/>
      <c r="AD197" s="267"/>
      <c r="AE197" s="2461"/>
      <c r="AF197" s="68"/>
    </row>
    <row r="198" spans="1:32" ht="30.5" x14ac:dyDescent="0.35">
      <c r="A198" s="525"/>
      <c r="B198" s="1074" t="s">
        <v>982</v>
      </c>
      <c r="C198" s="1074"/>
      <c r="D198" s="805"/>
      <c r="E198" s="2174" t="s">
        <v>1457</v>
      </c>
      <c r="F198" s="2283"/>
      <c r="G198" s="1169"/>
      <c r="H198" s="1169"/>
      <c r="I198" s="622"/>
      <c r="J198" s="622"/>
      <c r="K198" s="797"/>
      <c r="L198" s="797"/>
      <c r="M198" s="797"/>
      <c r="N198" s="802"/>
      <c r="O198" s="798"/>
      <c r="P198" s="797"/>
      <c r="Q198" s="1554"/>
      <c r="R198" s="1551"/>
      <c r="S198" s="264"/>
      <c r="T198" s="263"/>
      <c r="U198" s="263"/>
      <c r="V198" s="263"/>
      <c r="W198" s="264"/>
      <c r="X198" s="263"/>
      <c r="Y198" s="264"/>
      <c r="Z198" s="263"/>
      <c r="AC198" s="68"/>
      <c r="AD198" s="267"/>
      <c r="AE198" s="2461"/>
      <c r="AF198" s="68"/>
    </row>
    <row r="199" spans="1:32" ht="30.5" x14ac:dyDescent="0.35">
      <c r="A199" s="525">
        <v>106</v>
      </c>
      <c r="B199" s="1074" t="s">
        <v>982</v>
      </c>
      <c r="C199" s="1074"/>
      <c r="D199" s="2469" t="s">
        <v>6491</v>
      </c>
      <c r="E199" s="345" t="s">
        <v>8049</v>
      </c>
      <c r="F199" s="2283" t="s">
        <v>827</v>
      </c>
      <c r="G199" s="1169">
        <v>5</v>
      </c>
      <c r="H199" s="66">
        <v>6</v>
      </c>
      <c r="I199" s="622">
        <f t="shared" ref="I199:I213" si="18">J199+K199+L199</f>
        <v>1.58</v>
      </c>
      <c r="J199" s="622">
        <f t="shared" ref="J199:J212" si="19">SUM(M199:R199)</f>
        <v>1.58</v>
      </c>
      <c r="K199" s="797"/>
      <c r="L199" s="797"/>
      <c r="M199" s="797"/>
      <c r="N199" s="802"/>
      <c r="O199" s="798"/>
      <c r="P199" s="797"/>
      <c r="Q199" s="1554"/>
      <c r="R199" s="1551">
        <v>1.58</v>
      </c>
      <c r="S199" s="264"/>
      <c r="T199" s="263"/>
      <c r="U199" s="263"/>
      <c r="V199" s="263"/>
      <c r="W199" s="264">
        <v>1</v>
      </c>
      <c r="X199" s="263">
        <v>8.1</v>
      </c>
      <c r="Y199" s="264"/>
      <c r="Z199" s="263"/>
      <c r="AB199" s="3">
        <v>1</v>
      </c>
      <c r="AC199" s="68"/>
      <c r="AD199" s="267"/>
      <c r="AE199" s="2461"/>
      <c r="AF199" s="68"/>
    </row>
    <row r="200" spans="1:32" ht="45.5" x14ac:dyDescent="0.35">
      <c r="A200" s="804">
        <v>107</v>
      </c>
      <c r="B200" s="1074" t="s">
        <v>982</v>
      </c>
      <c r="C200" s="2166" t="s">
        <v>1656</v>
      </c>
      <c r="D200" s="2469" t="s">
        <v>6492</v>
      </c>
      <c r="E200" s="345" t="s">
        <v>9071</v>
      </c>
      <c r="F200" s="2283" t="s">
        <v>664</v>
      </c>
      <c r="G200" s="1169">
        <v>5</v>
      </c>
      <c r="H200" s="66">
        <v>6</v>
      </c>
      <c r="I200" s="622">
        <f t="shared" si="18"/>
        <v>0.6</v>
      </c>
      <c r="J200" s="622">
        <f t="shared" si="19"/>
        <v>0.6</v>
      </c>
      <c r="K200" s="797"/>
      <c r="L200" s="797"/>
      <c r="M200" s="797"/>
      <c r="N200" s="802"/>
      <c r="O200" s="798"/>
      <c r="P200" s="797"/>
      <c r="Q200" s="1554"/>
      <c r="R200" s="1551">
        <v>0.6</v>
      </c>
      <c r="S200" s="264"/>
      <c r="T200" s="263"/>
      <c r="U200" s="263"/>
      <c r="V200" s="263"/>
      <c r="W200" s="67"/>
      <c r="X200" s="250"/>
      <c r="Y200" s="264"/>
      <c r="Z200" s="263"/>
      <c r="AB200" s="3">
        <v>1</v>
      </c>
      <c r="AC200" s="68"/>
      <c r="AD200" s="267"/>
      <c r="AE200" s="2461"/>
      <c r="AF200" s="68"/>
    </row>
    <row r="201" spans="1:32" ht="30.5" x14ac:dyDescent="0.35">
      <c r="A201" s="525">
        <v>108</v>
      </c>
      <c r="B201" s="1074" t="s">
        <v>982</v>
      </c>
      <c r="C201" s="1074"/>
      <c r="D201" s="2469" t="s">
        <v>6493</v>
      </c>
      <c r="E201" s="312" t="s">
        <v>9391</v>
      </c>
      <c r="F201" s="2283">
        <v>4</v>
      </c>
      <c r="G201" s="1169">
        <v>5</v>
      </c>
      <c r="H201" s="66">
        <v>6</v>
      </c>
      <c r="I201" s="622">
        <f t="shared" si="18"/>
        <v>1.92</v>
      </c>
      <c r="J201" s="622">
        <f t="shared" si="19"/>
        <v>1.92</v>
      </c>
      <c r="K201" s="797"/>
      <c r="L201" s="797"/>
      <c r="M201" s="797"/>
      <c r="N201" s="802">
        <v>1.92</v>
      </c>
      <c r="O201" s="798"/>
      <c r="P201" s="797"/>
      <c r="Q201" s="1554"/>
      <c r="R201" s="1551"/>
      <c r="S201" s="264"/>
      <c r="T201" s="263"/>
      <c r="U201" s="263"/>
      <c r="V201" s="263"/>
      <c r="W201" s="264">
        <f>4+3</f>
        <v>7</v>
      </c>
      <c r="X201" s="263">
        <f>65+40</f>
        <v>105</v>
      </c>
      <c r="Y201" s="264">
        <v>3</v>
      </c>
      <c r="Z201" s="263">
        <v>40</v>
      </c>
      <c r="AB201" s="3">
        <v>1</v>
      </c>
      <c r="AC201" s="68"/>
      <c r="AD201" s="267"/>
      <c r="AE201" s="2461"/>
      <c r="AF201" s="68"/>
    </row>
    <row r="202" spans="1:32" ht="45.5" x14ac:dyDescent="0.35">
      <c r="A202" s="804">
        <v>109</v>
      </c>
      <c r="B202" s="693" t="s">
        <v>982</v>
      </c>
      <c r="C202" s="2166" t="s">
        <v>1656</v>
      </c>
      <c r="D202" s="2469" t="s">
        <v>6494</v>
      </c>
      <c r="E202" s="312" t="s">
        <v>9392</v>
      </c>
      <c r="F202" s="1953"/>
      <c r="G202" s="66"/>
      <c r="H202" s="66" t="s">
        <v>191</v>
      </c>
      <c r="I202" s="622">
        <f t="shared" si="18"/>
        <v>0.85</v>
      </c>
      <c r="J202" s="622">
        <f t="shared" si="19"/>
        <v>0.35</v>
      </c>
      <c r="K202" s="622"/>
      <c r="L202" s="622">
        <f>SUM(L203:L204)</f>
        <v>0.5</v>
      </c>
      <c r="M202" s="622"/>
      <c r="N202" s="800"/>
      <c r="O202" s="795"/>
      <c r="P202" s="622"/>
      <c r="Q202" s="934"/>
      <c r="R202" s="926">
        <f>SUM(R203:R204)</f>
        <v>0.35</v>
      </c>
      <c r="S202" s="67"/>
      <c r="T202" s="250"/>
      <c r="U202" s="250"/>
      <c r="V202" s="250"/>
      <c r="W202" s="67"/>
      <c r="X202" s="250"/>
      <c r="Y202" s="67"/>
      <c r="Z202" s="250"/>
      <c r="AB202" s="3">
        <v>1</v>
      </c>
      <c r="AE202" s="2461"/>
      <c r="AF202" s="68"/>
    </row>
    <row r="203" spans="1:32" x14ac:dyDescent="0.35">
      <c r="A203" s="804"/>
      <c r="B203" s="1074"/>
      <c r="C203" s="2171"/>
      <c r="D203" s="2469"/>
      <c r="E203" s="289" t="s">
        <v>7000</v>
      </c>
      <c r="F203" s="1953" t="s">
        <v>664</v>
      </c>
      <c r="G203" s="66">
        <v>5</v>
      </c>
      <c r="H203" s="66" t="s">
        <v>191</v>
      </c>
      <c r="I203" s="395"/>
      <c r="J203" s="395"/>
      <c r="K203" s="1170"/>
      <c r="L203" s="1170">
        <v>0.5</v>
      </c>
      <c r="M203" s="1170"/>
      <c r="N203" s="1170"/>
      <c r="O203" s="1172"/>
      <c r="P203" s="1170"/>
      <c r="Q203" s="2177"/>
      <c r="R203" s="2553"/>
      <c r="S203" s="264"/>
      <c r="T203" s="263"/>
      <c r="U203" s="263"/>
      <c r="V203" s="263"/>
      <c r="W203" s="67"/>
      <c r="X203" s="250"/>
      <c r="Y203" s="264"/>
      <c r="Z203" s="263"/>
      <c r="AE203" s="2461"/>
      <c r="AF203" s="68"/>
    </row>
    <row r="204" spans="1:32" x14ac:dyDescent="0.35">
      <c r="A204" s="804"/>
      <c r="B204" s="1074"/>
      <c r="C204" s="2171"/>
      <c r="D204" s="2469"/>
      <c r="E204" s="1558" t="s">
        <v>7001</v>
      </c>
      <c r="F204" s="1953" t="s">
        <v>664</v>
      </c>
      <c r="G204" s="66">
        <v>5</v>
      </c>
      <c r="H204" s="66">
        <v>6</v>
      </c>
      <c r="I204" s="395"/>
      <c r="J204" s="395"/>
      <c r="K204" s="1170"/>
      <c r="L204" s="1170"/>
      <c r="M204" s="1170"/>
      <c r="N204" s="1170"/>
      <c r="O204" s="1172"/>
      <c r="P204" s="1170"/>
      <c r="Q204" s="2177"/>
      <c r="R204" s="2553">
        <f>0.85-0.5</f>
        <v>0.35</v>
      </c>
      <c r="S204" s="264"/>
      <c r="T204" s="263"/>
      <c r="U204" s="263"/>
      <c r="V204" s="263"/>
      <c r="W204" s="67"/>
      <c r="X204" s="250"/>
      <c r="Y204" s="264"/>
      <c r="Z204" s="263"/>
      <c r="AE204" s="2461"/>
      <c r="AF204" s="68"/>
    </row>
    <row r="205" spans="1:32" ht="30.5" x14ac:dyDescent="0.35">
      <c r="A205" s="525">
        <v>110</v>
      </c>
      <c r="B205" s="1074" t="s">
        <v>982</v>
      </c>
      <c r="C205" s="1074"/>
      <c r="D205" s="2469" t="s">
        <v>6495</v>
      </c>
      <c r="E205" s="345" t="s">
        <v>8050</v>
      </c>
      <c r="F205" s="2283">
        <v>4</v>
      </c>
      <c r="G205" s="1169">
        <v>4</v>
      </c>
      <c r="H205" s="66">
        <v>6</v>
      </c>
      <c r="I205" s="622">
        <f t="shared" si="18"/>
        <v>3.18</v>
      </c>
      <c r="J205" s="622">
        <f t="shared" si="19"/>
        <v>3.18</v>
      </c>
      <c r="K205" s="797"/>
      <c r="L205" s="797"/>
      <c r="M205" s="797"/>
      <c r="N205" s="802">
        <v>3.18</v>
      </c>
      <c r="O205" s="798"/>
      <c r="P205" s="797"/>
      <c r="Q205" s="1554"/>
      <c r="R205" s="1551"/>
      <c r="S205" s="264"/>
      <c r="T205" s="263"/>
      <c r="U205" s="263"/>
      <c r="V205" s="263"/>
      <c r="W205" s="67">
        <f>6+2</f>
        <v>8</v>
      </c>
      <c r="X205" s="250">
        <f>81.6+20.6</f>
        <v>102.19999999999999</v>
      </c>
      <c r="Y205" s="264">
        <v>2</v>
      </c>
      <c r="Z205" s="263">
        <v>20.600000381469727</v>
      </c>
      <c r="AB205" s="3">
        <v>1</v>
      </c>
      <c r="AC205" s="68"/>
      <c r="AD205" s="267"/>
      <c r="AE205" s="2461"/>
      <c r="AF205" s="68"/>
    </row>
    <row r="206" spans="1:32" ht="60.5" x14ac:dyDescent="0.35">
      <c r="A206" s="804">
        <v>111</v>
      </c>
      <c r="B206" s="693" t="s">
        <v>982</v>
      </c>
      <c r="C206" s="693"/>
      <c r="D206" s="2469" t="s">
        <v>6496</v>
      </c>
      <c r="E206" s="312" t="s">
        <v>8051</v>
      </c>
      <c r="F206" s="1953" t="s">
        <v>827</v>
      </c>
      <c r="G206" s="2289">
        <v>5</v>
      </c>
      <c r="H206" s="66">
        <v>6</v>
      </c>
      <c r="I206" s="297">
        <f>J206+K206+L206</f>
        <v>0.9</v>
      </c>
      <c r="J206" s="297">
        <f>SUM(M206:R206)</f>
        <v>0.9</v>
      </c>
      <c r="K206" s="395"/>
      <c r="L206" s="395"/>
      <c r="M206" s="622"/>
      <c r="N206" s="622">
        <v>0.9</v>
      </c>
      <c r="O206" s="795"/>
      <c r="P206" s="622"/>
      <c r="Q206" s="2085"/>
      <c r="R206" s="2106"/>
      <c r="S206" s="66"/>
      <c r="T206" s="254"/>
      <c r="U206" s="254"/>
      <c r="V206" s="254"/>
      <c r="W206" s="66"/>
      <c r="X206" s="254"/>
      <c r="Y206" s="66"/>
      <c r="Z206" s="254"/>
      <c r="AB206" s="3">
        <v>1</v>
      </c>
      <c r="AC206" s="68"/>
      <c r="AD206" s="267"/>
      <c r="AE206" s="2461"/>
      <c r="AF206" s="68"/>
    </row>
    <row r="207" spans="1:32" ht="30.5" x14ac:dyDescent="0.35">
      <c r="A207" s="525">
        <v>112</v>
      </c>
      <c r="B207" s="1074" t="s">
        <v>982</v>
      </c>
      <c r="C207" s="1074"/>
      <c r="D207" s="2469" t="s">
        <v>6497</v>
      </c>
      <c r="E207" s="345" t="s">
        <v>8052</v>
      </c>
      <c r="F207" s="2283"/>
      <c r="G207" s="1169"/>
      <c r="H207" s="66" t="s">
        <v>191</v>
      </c>
      <c r="I207" s="622">
        <f t="shared" si="18"/>
        <v>3.15</v>
      </c>
      <c r="J207" s="622">
        <f t="shared" si="19"/>
        <v>3.15</v>
      </c>
      <c r="K207" s="797"/>
      <c r="L207" s="797"/>
      <c r="M207" s="797"/>
      <c r="N207" s="802">
        <f>SUM(N208:N209)</f>
        <v>0.75</v>
      </c>
      <c r="O207" s="798"/>
      <c r="P207" s="797"/>
      <c r="Q207" s="1554">
        <f>SUM(Q208:Q209)</f>
        <v>2.4</v>
      </c>
      <c r="R207" s="1551"/>
      <c r="S207" s="264"/>
      <c r="T207" s="263"/>
      <c r="U207" s="263"/>
      <c r="V207" s="263"/>
      <c r="W207" s="264">
        <f>5+3</f>
        <v>8</v>
      </c>
      <c r="X207" s="263">
        <f>73+32.5</f>
        <v>105.5</v>
      </c>
      <c r="Y207" s="264">
        <v>3</v>
      </c>
      <c r="Z207" s="263">
        <v>32.5</v>
      </c>
      <c r="AB207" s="3">
        <v>1</v>
      </c>
      <c r="AC207" s="68"/>
      <c r="AD207" s="267"/>
      <c r="AE207" s="2461"/>
      <c r="AF207" s="68"/>
    </row>
    <row r="208" spans="1:32" x14ac:dyDescent="0.35">
      <c r="A208" s="804"/>
      <c r="B208" s="1074" t="s">
        <v>982</v>
      </c>
      <c r="C208" s="1074"/>
      <c r="D208" s="805"/>
      <c r="E208" s="1481" t="s">
        <v>2916</v>
      </c>
      <c r="F208" s="2283">
        <v>4</v>
      </c>
      <c r="G208" s="1169">
        <v>5</v>
      </c>
      <c r="H208" s="66">
        <v>6</v>
      </c>
      <c r="I208" s="395"/>
      <c r="J208" s="395"/>
      <c r="K208" s="1170"/>
      <c r="L208" s="1170"/>
      <c r="M208" s="1170"/>
      <c r="N208" s="1170"/>
      <c r="O208" s="1172"/>
      <c r="P208" s="1170"/>
      <c r="Q208" s="2177">
        <v>2.4</v>
      </c>
      <c r="R208" s="1551"/>
      <c r="S208" s="264"/>
      <c r="T208" s="263"/>
      <c r="U208" s="263"/>
      <c r="V208" s="263"/>
      <c r="W208" s="264"/>
      <c r="X208" s="263"/>
      <c r="Y208" s="264"/>
      <c r="Z208" s="263"/>
      <c r="AC208" s="68"/>
      <c r="AD208" s="267"/>
      <c r="AE208" s="2461"/>
      <c r="AF208" s="68"/>
    </row>
    <row r="209" spans="1:32" x14ac:dyDescent="0.35">
      <c r="A209" s="804"/>
      <c r="B209" s="1074" t="s">
        <v>982</v>
      </c>
      <c r="C209" s="1074"/>
      <c r="D209" s="805"/>
      <c r="E209" s="1556" t="s">
        <v>1325</v>
      </c>
      <c r="F209" s="2283" t="s">
        <v>827</v>
      </c>
      <c r="G209" s="1169">
        <v>5</v>
      </c>
      <c r="H209" s="66">
        <v>6</v>
      </c>
      <c r="I209" s="395"/>
      <c r="J209" s="395"/>
      <c r="K209" s="1170"/>
      <c r="L209" s="1170"/>
      <c r="M209" s="1170"/>
      <c r="N209" s="1170">
        <f>3.15-2.4</f>
        <v>0.75</v>
      </c>
      <c r="O209" s="1172"/>
      <c r="P209" s="1170"/>
      <c r="Q209" s="2177"/>
      <c r="R209" s="1551"/>
      <c r="S209" s="264"/>
      <c r="T209" s="263"/>
      <c r="U209" s="263"/>
      <c r="V209" s="263"/>
      <c r="W209" s="264"/>
      <c r="X209" s="263"/>
      <c r="Y209" s="264"/>
      <c r="Z209" s="263"/>
      <c r="AC209" s="68"/>
      <c r="AD209" s="267"/>
      <c r="AE209" s="2461"/>
      <c r="AF209" s="68"/>
    </row>
    <row r="210" spans="1:32" ht="30.5" x14ac:dyDescent="0.35">
      <c r="A210" s="525">
        <v>113</v>
      </c>
      <c r="B210" s="1074" t="s">
        <v>982</v>
      </c>
      <c r="C210" s="1074"/>
      <c r="D210" s="2469" t="s">
        <v>6498</v>
      </c>
      <c r="E210" s="345" t="s">
        <v>8053</v>
      </c>
      <c r="F210" s="2283">
        <v>5</v>
      </c>
      <c r="G210" s="1169">
        <v>5</v>
      </c>
      <c r="H210" s="66">
        <v>6</v>
      </c>
      <c r="I210" s="622">
        <f t="shared" si="18"/>
        <v>1.74</v>
      </c>
      <c r="J210" s="622">
        <f t="shared" si="19"/>
        <v>1.74</v>
      </c>
      <c r="K210" s="797"/>
      <c r="L210" s="797"/>
      <c r="M210" s="797"/>
      <c r="N210" s="802"/>
      <c r="O210" s="798"/>
      <c r="P210" s="797"/>
      <c r="Q210" s="1554">
        <v>1.74</v>
      </c>
      <c r="R210" s="1551"/>
      <c r="S210" s="264"/>
      <c r="T210" s="263"/>
      <c r="U210" s="263"/>
      <c r="V210" s="263"/>
      <c r="W210" s="264">
        <f>4+1</f>
        <v>5</v>
      </c>
      <c r="X210" s="263">
        <f>41.2+10</f>
        <v>51.2</v>
      </c>
      <c r="Y210" s="264">
        <v>1</v>
      </c>
      <c r="Z210" s="263">
        <v>10</v>
      </c>
      <c r="AB210" s="3">
        <v>1</v>
      </c>
      <c r="AC210" s="68"/>
      <c r="AD210" s="267"/>
      <c r="AE210" s="2461"/>
      <c r="AF210" s="68"/>
    </row>
    <row r="211" spans="1:32" ht="60.5" x14ac:dyDescent="0.35">
      <c r="A211" s="804">
        <v>114</v>
      </c>
      <c r="B211" s="693" t="s">
        <v>982</v>
      </c>
      <c r="C211" s="2166" t="s">
        <v>1656</v>
      </c>
      <c r="D211" s="2469" t="s">
        <v>6499</v>
      </c>
      <c r="E211" s="312" t="s">
        <v>9072</v>
      </c>
      <c r="F211" s="1953" t="s">
        <v>664</v>
      </c>
      <c r="G211" s="66">
        <v>5</v>
      </c>
      <c r="H211" s="66">
        <v>6</v>
      </c>
      <c r="I211" s="622">
        <f t="shared" si="18"/>
        <v>1.5</v>
      </c>
      <c r="J211" s="622">
        <f t="shared" si="19"/>
        <v>1.5</v>
      </c>
      <c r="K211" s="622"/>
      <c r="L211" s="622"/>
      <c r="M211" s="622"/>
      <c r="N211" s="800"/>
      <c r="O211" s="795"/>
      <c r="P211" s="622"/>
      <c r="Q211" s="934"/>
      <c r="R211" s="926">
        <v>1.5</v>
      </c>
      <c r="S211" s="67"/>
      <c r="T211" s="250"/>
      <c r="U211" s="250"/>
      <c r="V211" s="250"/>
      <c r="W211" s="67"/>
      <c r="X211" s="250"/>
      <c r="Y211" s="67"/>
      <c r="Z211" s="250"/>
      <c r="AB211" s="3">
        <v>1</v>
      </c>
      <c r="AE211" s="2461"/>
      <c r="AF211" s="68"/>
    </row>
    <row r="212" spans="1:32" ht="30.5" x14ac:dyDescent="0.35">
      <c r="A212" s="525">
        <v>115</v>
      </c>
      <c r="B212" s="1074" t="s">
        <v>982</v>
      </c>
      <c r="C212" s="1074"/>
      <c r="D212" s="2469" t="s">
        <v>6500</v>
      </c>
      <c r="E212" s="345" t="s">
        <v>8054</v>
      </c>
      <c r="F212" s="2283">
        <v>5</v>
      </c>
      <c r="G212" s="1169">
        <v>5</v>
      </c>
      <c r="H212" s="66">
        <v>6</v>
      </c>
      <c r="I212" s="622">
        <f t="shared" si="18"/>
        <v>1.49</v>
      </c>
      <c r="J212" s="622">
        <f t="shared" si="19"/>
        <v>1.49</v>
      </c>
      <c r="K212" s="797"/>
      <c r="L212" s="797"/>
      <c r="M212" s="797"/>
      <c r="N212" s="802"/>
      <c r="O212" s="798"/>
      <c r="P212" s="797"/>
      <c r="Q212" s="1554"/>
      <c r="R212" s="1551">
        <v>1.49</v>
      </c>
      <c r="S212" s="264"/>
      <c r="T212" s="263"/>
      <c r="U212" s="263"/>
      <c r="V212" s="263"/>
      <c r="W212" s="67">
        <v>3</v>
      </c>
      <c r="X212" s="250">
        <v>45.3</v>
      </c>
      <c r="Y212" s="264"/>
      <c r="Z212" s="263"/>
      <c r="AB212" s="3">
        <v>1</v>
      </c>
      <c r="AC212" s="68"/>
      <c r="AD212" s="267"/>
      <c r="AE212" s="2461"/>
      <c r="AF212" s="68"/>
    </row>
    <row r="213" spans="1:32" ht="45" x14ac:dyDescent="0.35">
      <c r="A213" s="804">
        <v>116</v>
      </c>
      <c r="B213" s="2171" t="s">
        <v>982</v>
      </c>
      <c r="C213" s="2166" t="s">
        <v>1656</v>
      </c>
      <c r="D213" s="2469" t="s">
        <v>6501</v>
      </c>
      <c r="E213" s="2358" t="s">
        <v>9073</v>
      </c>
      <c r="F213" s="2043" t="s">
        <v>664</v>
      </c>
      <c r="G213" s="2176">
        <v>5</v>
      </c>
      <c r="H213" s="66">
        <v>6</v>
      </c>
      <c r="I213" s="2157">
        <f t="shared" si="18"/>
        <v>0.3</v>
      </c>
      <c r="J213" s="2157">
        <f>M213+N213+O213+P213+Q213+R213</f>
        <v>0.3</v>
      </c>
      <c r="K213" s="1170"/>
      <c r="L213" s="1170"/>
      <c r="M213" s="797"/>
      <c r="N213" s="797"/>
      <c r="O213" s="797"/>
      <c r="P213" s="797"/>
      <c r="Q213" s="2124"/>
      <c r="R213" s="2110">
        <v>0.3</v>
      </c>
      <c r="S213" s="262"/>
      <c r="T213" s="262"/>
      <c r="U213" s="262"/>
      <c r="V213" s="262"/>
      <c r="W213" s="46"/>
      <c r="X213" s="109"/>
      <c r="Y213" s="262"/>
      <c r="Z213" s="262"/>
      <c r="AB213" s="3">
        <v>1</v>
      </c>
      <c r="AC213" s="68"/>
      <c r="AD213" s="267"/>
      <c r="AE213" s="2461"/>
      <c r="AF213" s="68"/>
    </row>
    <row r="214" spans="1:32" ht="45" x14ac:dyDescent="0.35">
      <c r="A214" s="525">
        <v>117</v>
      </c>
      <c r="B214" s="2171" t="s">
        <v>982</v>
      </c>
      <c r="C214" s="2166" t="s">
        <v>1656</v>
      </c>
      <c r="D214" s="2469" t="s">
        <v>6502</v>
      </c>
      <c r="E214" s="2358" t="s">
        <v>9074</v>
      </c>
      <c r="F214" s="2043" t="s">
        <v>664</v>
      </c>
      <c r="G214" s="2176">
        <v>5</v>
      </c>
      <c r="H214" s="66">
        <v>6</v>
      </c>
      <c r="I214" s="2157">
        <f t="shared" ref="I214:I224" si="20">J214+K214+L214</f>
        <v>0.15</v>
      </c>
      <c r="J214" s="2157">
        <f t="shared" ref="J214:J224" si="21">M214+N214+O214+P214+Q214+R214</f>
        <v>0.15</v>
      </c>
      <c r="K214" s="1170"/>
      <c r="L214" s="1170"/>
      <c r="M214" s="797"/>
      <c r="N214" s="797"/>
      <c r="O214" s="797"/>
      <c r="P214" s="797"/>
      <c r="Q214" s="2124"/>
      <c r="R214" s="2110">
        <v>0.15</v>
      </c>
      <c r="S214" s="262"/>
      <c r="T214" s="262"/>
      <c r="U214" s="262"/>
      <c r="V214" s="262"/>
      <c r="W214" s="262"/>
      <c r="X214" s="2180"/>
      <c r="Y214" s="262"/>
      <c r="Z214" s="262"/>
      <c r="AB214" s="3">
        <v>1</v>
      </c>
      <c r="AC214" s="68"/>
      <c r="AD214" s="267"/>
      <c r="AE214" s="2461"/>
      <c r="AF214" s="68"/>
    </row>
    <row r="215" spans="1:32" ht="45" x14ac:dyDescent="0.35">
      <c r="A215" s="804">
        <v>118</v>
      </c>
      <c r="B215" s="2171" t="s">
        <v>982</v>
      </c>
      <c r="C215" s="2166" t="s">
        <v>1656</v>
      </c>
      <c r="D215" s="2469" t="s">
        <v>6503</v>
      </c>
      <c r="E215" s="2358" t="s">
        <v>9075</v>
      </c>
      <c r="F215" s="2043" t="s">
        <v>827</v>
      </c>
      <c r="G215" s="2176">
        <v>5</v>
      </c>
      <c r="H215" s="66">
        <v>6</v>
      </c>
      <c r="I215" s="2157">
        <f t="shared" si="20"/>
        <v>0.7</v>
      </c>
      <c r="J215" s="2157">
        <f t="shared" si="21"/>
        <v>0.7</v>
      </c>
      <c r="K215" s="1170"/>
      <c r="L215" s="1170"/>
      <c r="M215" s="797"/>
      <c r="N215" s="797">
        <v>0.7</v>
      </c>
      <c r="O215" s="797"/>
      <c r="P215" s="797"/>
      <c r="Q215" s="2124"/>
      <c r="R215" s="2110"/>
      <c r="S215" s="262"/>
      <c r="T215" s="262"/>
      <c r="U215" s="262"/>
      <c r="V215" s="262"/>
      <c r="W215" s="262"/>
      <c r="X215" s="2180"/>
      <c r="Y215" s="262"/>
      <c r="Z215" s="262"/>
      <c r="AB215" s="3">
        <v>1</v>
      </c>
      <c r="AC215" s="68"/>
      <c r="AD215" s="267"/>
      <c r="AE215" s="2461"/>
      <c r="AF215" s="68"/>
    </row>
    <row r="216" spans="1:32" ht="45" x14ac:dyDescent="0.35">
      <c r="A216" s="525">
        <v>119</v>
      </c>
      <c r="B216" s="2171" t="s">
        <v>982</v>
      </c>
      <c r="C216" s="2166" t="s">
        <v>1656</v>
      </c>
      <c r="D216" s="2469" t="s">
        <v>6504</v>
      </c>
      <c r="E216" s="2358" t="s">
        <v>9076</v>
      </c>
      <c r="F216" s="2043"/>
      <c r="G216" s="2176"/>
      <c r="H216" s="66" t="s">
        <v>191</v>
      </c>
      <c r="I216" s="2157">
        <f>J216+K216+L216</f>
        <v>3.7</v>
      </c>
      <c r="J216" s="2157">
        <f>M216+N216+O216+P216+Q216+R216</f>
        <v>3.7</v>
      </c>
      <c r="K216" s="1170"/>
      <c r="L216" s="1170"/>
      <c r="M216" s="797"/>
      <c r="N216" s="797">
        <f>SUM(N217:N218)</f>
        <v>1.4</v>
      </c>
      <c r="O216" s="797"/>
      <c r="P216" s="797"/>
      <c r="Q216" s="2124"/>
      <c r="R216" s="2178">
        <f>SUM(R217:R218)</f>
        <v>2.3000000000000003</v>
      </c>
      <c r="S216" s="262"/>
      <c r="T216" s="262"/>
      <c r="U216" s="262"/>
      <c r="V216" s="262"/>
      <c r="W216" s="46"/>
      <c r="X216" s="109"/>
      <c r="Y216" s="262"/>
      <c r="Z216" s="262"/>
      <c r="AB216" s="3">
        <v>1</v>
      </c>
      <c r="AC216" s="68"/>
      <c r="AD216" s="267"/>
      <c r="AE216" s="2461"/>
      <c r="AF216" s="68"/>
    </row>
    <row r="217" spans="1:32" x14ac:dyDescent="0.35">
      <c r="A217" s="804"/>
      <c r="B217" s="2171" t="s">
        <v>982</v>
      </c>
      <c r="C217" s="2171"/>
      <c r="D217" s="805"/>
      <c r="E217" s="2175" t="s">
        <v>1844</v>
      </c>
      <c r="F217" s="2043" t="s">
        <v>827</v>
      </c>
      <c r="G217" s="2176">
        <v>5</v>
      </c>
      <c r="H217" s="66">
        <v>6</v>
      </c>
      <c r="I217" s="2116"/>
      <c r="J217" s="2116"/>
      <c r="K217" s="1170"/>
      <c r="L217" s="1170"/>
      <c r="M217" s="1170"/>
      <c r="N217" s="1170">
        <v>1.4</v>
      </c>
      <c r="O217" s="1170"/>
      <c r="P217" s="1170"/>
      <c r="Q217" s="2177"/>
      <c r="R217" s="2179"/>
      <c r="S217" s="262"/>
      <c r="T217" s="262"/>
      <c r="U217" s="262"/>
      <c r="V217" s="262"/>
      <c r="W217" s="262"/>
      <c r="X217" s="2180"/>
      <c r="Y217" s="262"/>
      <c r="Z217" s="262"/>
      <c r="AC217" s="68"/>
      <c r="AD217" s="267"/>
      <c r="AE217" s="2461"/>
      <c r="AF217" s="68"/>
    </row>
    <row r="218" spans="1:32" x14ac:dyDescent="0.35">
      <c r="A218" s="804"/>
      <c r="B218" s="2171" t="s">
        <v>982</v>
      </c>
      <c r="C218" s="2171"/>
      <c r="D218" s="805"/>
      <c r="E218" s="2173" t="s">
        <v>7002</v>
      </c>
      <c r="F218" s="2043" t="s">
        <v>664</v>
      </c>
      <c r="G218" s="2176">
        <v>5</v>
      </c>
      <c r="H218" s="66">
        <v>6</v>
      </c>
      <c r="I218" s="2116"/>
      <c r="J218" s="2116"/>
      <c r="K218" s="1170"/>
      <c r="L218" s="1170"/>
      <c r="M218" s="1170"/>
      <c r="N218" s="1170"/>
      <c r="O218" s="1170"/>
      <c r="P218" s="1170"/>
      <c r="Q218" s="2177"/>
      <c r="R218" s="2179">
        <f>3.7-1.4</f>
        <v>2.3000000000000003</v>
      </c>
      <c r="S218" s="262"/>
      <c r="T218" s="262"/>
      <c r="U218" s="262"/>
      <c r="V218" s="262"/>
      <c r="W218" s="262"/>
      <c r="X218" s="2180"/>
      <c r="Y218" s="262"/>
      <c r="Z218" s="262"/>
      <c r="AC218" s="68"/>
      <c r="AD218" s="267"/>
      <c r="AE218" s="2461"/>
      <c r="AF218" s="68"/>
    </row>
    <row r="219" spans="1:32" ht="60" x14ac:dyDescent="0.35">
      <c r="A219" s="804">
        <v>120</v>
      </c>
      <c r="B219" s="2171" t="s">
        <v>982</v>
      </c>
      <c r="C219" s="2166" t="s">
        <v>1656</v>
      </c>
      <c r="D219" s="2469" t="s">
        <v>6505</v>
      </c>
      <c r="E219" s="2358" t="s">
        <v>9077</v>
      </c>
      <c r="F219" s="2043" t="s">
        <v>664</v>
      </c>
      <c r="G219" s="2176">
        <v>5</v>
      </c>
      <c r="H219" s="66">
        <v>6</v>
      </c>
      <c r="I219" s="2157">
        <f>J219+K219+L219</f>
        <v>6.5</v>
      </c>
      <c r="J219" s="2157">
        <f>M219+N219+O219+P219+Q219+R219</f>
        <v>6.5</v>
      </c>
      <c r="K219" s="1170"/>
      <c r="L219" s="1170"/>
      <c r="M219" s="797"/>
      <c r="N219" s="797"/>
      <c r="O219" s="797"/>
      <c r="P219" s="797"/>
      <c r="Q219" s="2124"/>
      <c r="R219" s="2110">
        <v>6.5</v>
      </c>
      <c r="S219" s="262"/>
      <c r="T219" s="262"/>
      <c r="U219" s="262"/>
      <c r="V219" s="262"/>
      <c r="W219" s="262"/>
      <c r="X219" s="2180"/>
      <c r="Y219" s="262"/>
      <c r="Z219" s="262"/>
      <c r="AB219" s="3">
        <v>1</v>
      </c>
      <c r="AC219" s="68"/>
      <c r="AD219" s="267"/>
      <c r="AE219" s="2461"/>
      <c r="AF219" s="68"/>
    </row>
    <row r="220" spans="1:32" ht="90" x14ac:dyDescent="0.35">
      <c r="A220" s="804">
        <v>121</v>
      </c>
      <c r="B220" s="2171" t="s">
        <v>982</v>
      </c>
      <c r="C220" s="2166" t="s">
        <v>1656</v>
      </c>
      <c r="D220" s="2469" t="s">
        <v>6506</v>
      </c>
      <c r="E220" s="2358" t="s">
        <v>9078</v>
      </c>
      <c r="F220" s="2043" t="s">
        <v>664</v>
      </c>
      <c r="G220" s="2176">
        <v>5</v>
      </c>
      <c r="H220" s="66">
        <v>6</v>
      </c>
      <c r="I220" s="2157">
        <f>J220+K220+L220</f>
        <v>2.1</v>
      </c>
      <c r="J220" s="2157">
        <f>M220+N220+O220+P220+Q220+R220</f>
        <v>2.1</v>
      </c>
      <c r="K220" s="1170"/>
      <c r="L220" s="1170"/>
      <c r="M220" s="797"/>
      <c r="N220" s="797"/>
      <c r="O220" s="797"/>
      <c r="P220" s="797"/>
      <c r="Q220" s="2124"/>
      <c r="R220" s="2110">
        <v>2.1</v>
      </c>
      <c r="S220" s="262"/>
      <c r="T220" s="262"/>
      <c r="U220" s="262"/>
      <c r="V220" s="262"/>
      <c r="W220" s="262">
        <v>1</v>
      </c>
      <c r="X220" s="2180">
        <v>10</v>
      </c>
      <c r="Y220" s="262"/>
      <c r="Z220" s="262"/>
      <c r="AB220" s="3">
        <v>1</v>
      </c>
      <c r="AC220" s="68"/>
      <c r="AD220" s="267"/>
      <c r="AE220" s="2461"/>
      <c r="AF220" s="68"/>
    </row>
    <row r="221" spans="1:32" ht="45" x14ac:dyDescent="0.35">
      <c r="A221" s="804">
        <v>122</v>
      </c>
      <c r="B221" s="2171" t="s">
        <v>982</v>
      </c>
      <c r="C221" s="2166" t="s">
        <v>1656</v>
      </c>
      <c r="D221" s="2469" t="s">
        <v>6507</v>
      </c>
      <c r="E221" s="2358" t="s">
        <v>9079</v>
      </c>
      <c r="F221" s="2043" t="s">
        <v>664</v>
      </c>
      <c r="G221" s="2176">
        <v>5</v>
      </c>
      <c r="H221" s="66">
        <v>6</v>
      </c>
      <c r="I221" s="2157">
        <f t="shared" si="20"/>
        <v>0.42</v>
      </c>
      <c r="J221" s="2157">
        <f t="shared" si="21"/>
        <v>0.42</v>
      </c>
      <c r="K221" s="1170"/>
      <c r="L221" s="1170"/>
      <c r="M221" s="797"/>
      <c r="N221" s="797"/>
      <c r="O221" s="797"/>
      <c r="P221" s="797"/>
      <c r="Q221" s="2124"/>
      <c r="R221" s="2110">
        <v>0.42</v>
      </c>
      <c r="S221" s="262"/>
      <c r="T221" s="262"/>
      <c r="U221" s="262"/>
      <c r="V221" s="262"/>
      <c r="W221" s="46"/>
      <c r="X221" s="109"/>
      <c r="Y221" s="262"/>
      <c r="Z221" s="262"/>
      <c r="AB221" s="3">
        <v>1</v>
      </c>
      <c r="AC221" s="68"/>
      <c r="AD221" s="267"/>
      <c r="AE221" s="2461"/>
      <c r="AF221" s="68"/>
    </row>
    <row r="222" spans="1:32" ht="45" x14ac:dyDescent="0.35">
      <c r="A222" s="804">
        <v>123</v>
      </c>
      <c r="B222" s="2171" t="s">
        <v>982</v>
      </c>
      <c r="C222" s="2166" t="s">
        <v>1656</v>
      </c>
      <c r="D222" s="2469" t="s">
        <v>6508</v>
      </c>
      <c r="E222" s="2358" t="s">
        <v>10301</v>
      </c>
      <c r="F222" s="2043" t="s">
        <v>827</v>
      </c>
      <c r="G222" s="2176">
        <v>5</v>
      </c>
      <c r="H222" s="66">
        <v>6</v>
      </c>
      <c r="I222" s="2157">
        <f t="shared" si="20"/>
        <v>2.2000000000000002</v>
      </c>
      <c r="J222" s="2157">
        <f t="shared" si="21"/>
        <v>2.2000000000000002</v>
      </c>
      <c r="K222" s="1170"/>
      <c r="L222" s="1170"/>
      <c r="M222" s="797"/>
      <c r="N222" s="797">
        <v>2.2000000000000002</v>
      </c>
      <c r="O222" s="797"/>
      <c r="P222" s="797"/>
      <c r="Q222" s="2124"/>
      <c r="R222" s="2110"/>
      <c r="S222" s="262"/>
      <c r="T222" s="262"/>
      <c r="U222" s="262"/>
      <c r="V222" s="262"/>
      <c r="W222" s="262"/>
      <c r="X222" s="2180"/>
      <c r="Y222" s="262"/>
      <c r="Z222" s="262"/>
      <c r="AB222" s="3">
        <v>1</v>
      </c>
      <c r="AC222" s="68"/>
      <c r="AD222" s="267"/>
      <c r="AE222" s="2461"/>
      <c r="AF222" s="68"/>
    </row>
    <row r="223" spans="1:32" ht="60" x14ac:dyDescent="0.35">
      <c r="A223" s="804">
        <v>124</v>
      </c>
      <c r="B223" s="2171" t="s">
        <v>982</v>
      </c>
      <c r="C223" s="2166" t="s">
        <v>1656</v>
      </c>
      <c r="D223" s="2469" t="s">
        <v>6509</v>
      </c>
      <c r="E223" s="2358" t="s">
        <v>9080</v>
      </c>
      <c r="F223" s="2043" t="s">
        <v>664</v>
      </c>
      <c r="G223" s="2176">
        <v>5</v>
      </c>
      <c r="H223" s="66">
        <v>6</v>
      </c>
      <c r="I223" s="2157">
        <f t="shared" si="20"/>
        <v>2.2000000000000002</v>
      </c>
      <c r="J223" s="2157">
        <f t="shared" si="21"/>
        <v>2.2000000000000002</v>
      </c>
      <c r="K223" s="1170"/>
      <c r="L223" s="1170"/>
      <c r="M223" s="797"/>
      <c r="N223" s="797"/>
      <c r="O223" s="797"/>
      <c r="P223" s="797"/>
      <c r="Q223" s="2124"/>
      <c r="R223" s="2110">
        <v>2.2000000000000002</v>
      </c>
      <c r="S223" s="262"/>
      <c r="T223" s="262"/>
      <c r="U223" s="262"/>
      <c r="V223" s="262"/>
      <c r="W223" s="262"/>
      <c r="X223" s="2180"/>
      <c r="Y223" s="262"/>
      <c r="Z223" s="262"/>
      <c r="AB223" s="3">
        <v>1</v>
      </c>
      <c r="AC223" s="68"/>
      <c r="AD223" s="267"/>
      <c r="AE223" s="2461"/>
      <c r="AF223" s="68"/>
    </row>
    <row r="224" spans="1:32" ht="45" x14ac:dyDescent="0.35">
      <c r="A224" s="804">
        <v>125</v>
      </c>
      <c r="B224" s="2171" t="s">
        <v>982</v>
      </c>
      <c r="C224" s="2166" t="s">
        <v>1656</v>
      </c>
      <c r="D224" s="2469" t="s">
        <v>6510</v>
      </c>
      <c r="E224" s="2358" t="s">
        <v>9081</v>
      </c>
      <c r="F224" s="2043" t="s">
        <v>664</v>
      </c>
      <c r="G224" s="2176">
        <v>5</v>
      </c>
      <c r="H224" s="66">
        <v>6</v>
      </c>
      <c r="I224" s="2157">
        <f t="shared" si="20"/>
        <v>0.35</v>
      </c>
      <c r="J224" s="2157">
        <f t="shared" si="21"/>
        <v>0.35</v>
      </c>
      <c r="K224" s="1170"/>
      <c r="L224" s="1170"/>
      <c r="M224" s="797"/>
      <c r="N224" s="797"/>
      <c r="O224" s="797"/>
      <c r="P224" s="797"/>
      <c r="Q224" s="2124"/>
      <c r="R224" s="2110">
        <v>0.35</v>
      </c>
      <c r="S224" s="262"/>
      <c r="T224" s="262"/>
      <c r="U224" s="262"/>
      <c r="V224" s="262"/>
      <c r="W224" s="262"/>
      <c r="X224" s="2180"/>
      <c r="Y224" s="262"/>
      <c r="Z224" s="262"/>
      <c r="AB224" s="3">
        <v>1</v>
      </c>
      <c r="AC224" s="68"/>
      <c r="AD224" s="267"/>
      <c r="AE224" s="2461"/>
      <c r="AF224" s="68"/>
    </row>
    <row r="225" spans="1:32" ht="45.5" x14ac:dyDescent="0.35">
      <c r="A225" s="804">
        <v>126</v>
      </c>
      <c r="B225" s="693" t="s">
        <v>982</v>
      </c>
      <c r="C225" s="358" t="s">
        <v>1656</v>
      </c>
      <c r="D225" s="2469" t="s">
        <v>6511</v>
      </c>
      <c r="E225" s="312" t="s">
        <v>9082</v>
      </c>
      <c r="F225" s="1953" t="s">
        <v>1490</v>
      </c>
      <c r="G225" s="2289">
        <v>5</v>
      </c>
      <c r="H225" s="66">
        <v>6</v>
      </c>
      <c r="I225" s="297">
        <f>J225+K225+L225</f>
        <v>0.05</v>
      </c>
      <c r="J225" s="297">
        <f>SUM(M225:R225)</f>
        <v>0.05</v>
      </c>
      <c r="K225" s="622"/>
      <c r="L225" s="622"/>
      <c r="M225" s="622"/>
      <c r="N225" s="622"/>
      <c r="O225" s="795"/>
      <c r="P225" s="622"/>
      <c r="Q225" s="2085"/>
      <c r="R225" s="2106">
        <v>0.05</v>
      </c>
      <c r="S225" s="67"/>
      <c r="T225" s="250"/>
      <c r="U225" s="250"/>
      <c r="V225" s="250"/>
      <c r="W225" s="67"/>
      <c r="X225" s="250"/>
      <c r="Y225" s="67"/>
      <c r="Z225" s="250"/>
      <c r="AB225" s="3">
        <v>1</v>
      </c>
      <c r="AC225" s="68"/>
      <c r="AD225" s="267"/>
      <c r="AE225" s="2461"/>
      <c r="AF225" s="68"/>
    </row>
    <row r="226" spans="1:32" ht="60.5" x14ac:dyDescent="0.35">
      <c r="A226" s="804"/>
      <c r="B226" s="1074" t="s">
        <v>164</v>
      </c>
      <c r="C226" s="1074"/>
      <c r="D226" s="805"/>
      <c r="E226" s="2172" t="s">
        <v>1115</v>
      </c>
      <c r="F226" s="2283"/>
      <c r="G226" s="1169"/>
      <c r="H226" s="1169"/>
      <c r="I226" s="622"/>
      <c r="J226" s="622"/>
      <c r="K226" s="797"/>
      <c r="L226" s="797"/>
      <c r="M226" s="797"/>
      <c r="N226" s="802"/>
      <c r="O226" s="798"/>
      <c r="P226" s="797"/>
      <c r="Q226" s="1554"/>
      <c r="R226" s="1551"/>
      <c r="S226" s="264"/>
      <c r="T226" s="263"/>
      <c r="U226" s="263"/>
      <c r="V226" s="263"/>
      <c r="W226" s="264"/>
      <c r="X226" s="263"/>
      <c r="Y226" s="264"/>
      <c r="Z226" s="263"/>
      <c r="AC226" s="68"/>
      <c r="AD226" s="267"/>
      <c r="AE226" s="2461"/>
      <c r="AF226" s="68"/>
    </row>
    <row r="227" spans="1:32" ht="60.5" x14ac:dyDescent="0.35">
      <c r="A227" s="525">
        <v>127</v>
      </c>
      <c r="B227" s="1074" t="s">
        <v>164</v>
      </c>
      <c r="C227" s="1074"/>
      <c r="D227" s="2469" t="s">
        <v>6512</v>
      </c>
      <c r="E227" s="312" t="s">
        <v>8055</v>
      </c>
      <c r="F227" s="2283"/>
      <c r="G227" s="1169"/>
      <c r="H227" s="66" t="s">
        <v>191</v>
      </c>
      <c r="I227" s="622">
        <v>2.71</v>
      </c>
      <c r="J227" s="622">
        <v>2.71</v>
      </c>
      <c r="K227" s="797"/>
      <c r="L227" s="797"/>
      <c r="M227" s="797"/>
      <c r="N227" s="802">
        <f>SUM(N228:N229)</f>
        <v>1.2150000000000001</v>
      </c>
      <c r="O227" s="1174"/>
      <c r="P227" s="1174"/>
      <c r="Q227" s="1554">
        <f>SUM(Q228:Q229)</f>
        <v>1.4950000000000001</v>
      </c>
      <c r="R227" s="1551"/>
      <c r="S227" s="264">
        <v>1</v>
      </c>
      <c r="T227" s="263">
        <v>45.799999237060547</v>
      </c>
      <c r="U227" s="263"/>
      <c r="V227" s="263"/>
      <c r="W227" s="264">
        <f>3+3</f>
        <v>6</v>
      </c>
      <c r="X227" s="263">
        <f>38.6+30.4</f>
        <v>69</v>
      </c>
      <c r="Y227" s="264">
        <v>3</v>
      </c>
      <c r="Z227" s="263">
        <v>30.4</v>
      </c>
      <c r="AB227" s="3">
        <v>1</v>
      </c>
      <c r="AC227" s="68"/>
      <c r="AD227" s="267"/>
      <c r="AE227" s="2461"/>
      <c r="AF227" s="68"/>
    </row>
    <row r="228" spans="1:32" x14ac:dyDescent="0.35">
      <c r="A228" s="525"/>
      <c r="B228" s="1074" t="s">
        <v>164</v>
      </c>
      <c r="C228" s="1074"/>
      <c r="D228" s="805"/>
      <c r="E228" s="1175" t="s">
        <v>493</v>
      </c>
      <c r="F228" s="2283">
        <v>5</v>
      </c>
      <c r="G228" s="1169">
        <v>5</v>
      </c>
      <c r="H228" s="66">
        <v>6</v>
      </c>
      <c r="I228" s="395"/>
      <c r="J228" s="395"/>
      <c r="K228" s="1170"/>
      <c r="L228" s="1170"/>
      <c r="M228" s="1170"/>
      <c r="N228" s="1171">
        <v>1.2150000000000001</v>
      </c>
      <c r="O228" s="1172"/>
      <c r="P228" s="1170"/>
      <c r="Q228" s="1553"/>
      <c r="R228" s="1551"/>
      <c r="S228" s="264"/>
      <c r="T228" s="263"/>
      <c r="U228" s="263"/>
      <c r="V228" s="263"/>
      <c r="W228" s="264"/>
      <c r="X228" s="263"/>
      <c r="Y228" s="264"/>
      <c r="Z228" s="263"/>
      <c r="AC228" s="68"/>
      <c r="AD228" s="267"/>
      <c r="AE228" s="2461"/>
      <c r="AF228" s="68"/>
    </row>
    <row r="229" spans="1:32" x14ac:dyDescent="0.35">
      <c r="A229" s="525"/>
      <c r="B229" s="1074" t="s">
        <v>164</v>
      </c>
      <c r="C229" s="1074"/>
      <c r="D229" s="805"/>
      <c r="E229" s="1561" t="s">
        <v>2050</v>
      </c>
      <c r="F229" s="2283">
        <v>5</v>
      </c>
      <c r="G229" s="1169">
        <v>5</v>
      </c>
      <c r="H229" s="66">
        <v>6</v>
      </c>
      <c r="I229" s="395"/>
      <c r="J229" s="395"/>
      <c r="K229" s="1170"/>
      <c r="L229" s="1170"/>
      <c r="M229" s="1170"/>
      <c r="N229" s="1171"/>
      <c r="O229" s="1172"/>
      <c r="P229" s="1170"/>
      <c r="Q229" s="1553">
        <v>1.4950000000000001</v>
      </c>
      <c r="R229" s="1551"/>
      <c r="S229" s="264"/>
      <c r="T229" s="263"/>
      <c r="U229" s="263"/>
      <c r="V229" s="263"/>
      <c r="W229" s="67"/>
      <c r="X229" s="250"/>
      <c r="Y229" s="264"/>
      <c r="Z229" s="263"/>
      <c r="AC229" s="68"/>
      <c r="AD229" s="267"/>
      <c r="AE229" s="2461"/>
      <c r="AF229" s="68"/>
    </row>
    <row r="230" spans="1:32" ht="90.5" x14ac:dyDescent="0.35">
      <c r="A230" s="525">
        <v>128</v>
      </c>
      <c r="B230" s="1074" t="s">
        <v>164</v>
      </c>
      <c r="C230" s="1074"/>
      <c r="D230" s="2469" t="s">
        <v>6513</v>
      </c>
      <c r="E230" s="345" t="s">
        <v>8056</v>
      </c>
      <c r="F230" s="2283">
        <v>5</v>
      </c>
      <c r="G230" s="1169">
        <v>5</v>
      </c>
      <c r="H230" s="66">
        <v>6</v>
      </c>
      <c r="I230" s="622">
        <v>1.64</v>
      </c>
      <c r="J230" s="622">
        <v>1.64</v>
      </c>
      <c r="K230" s="797"/>
      <c r="L230" s="797"/>
      <c r="M230" s="797"/>
      <c r="N230" s="802"/>
      <c r="O230" s="1174"/>
      <c r="P230" s="1174"/>
      <c r="Q230" s="1554">
        <v>1.64</v>
      </c>
      <c r="R230" s="1551"/>
      <c r="S230" s="264"/>
      <c r="T230" s="263"/>
      <c r="U230" s="263"/>
      <c r="V230" s="263"/>
      <c r="W230" s="264">
        <v>3</v>
      </c>
      <c r="X230" s="263">
        <v>40.799999999999997</v>
      </c>
      <c r="Y230" s="264"/>
      <c r="Z230" s="263"/>
      <c r="AB230" s="3">
        <v>1</v>
      </c>
      <c r="AC230" s="68"/>
      <c r="AD230" s="267"/>
      <c r="AE230" s="2461"/>
      <c r="AF230" s="68"/>
    </row>
    <row r="231" spans="1:32" ht="90.5" x14ac:dyDescent="0.35">
      <c r="A231" s="525">
        <v>129</v>
      </c>
      <c r="B231" s="1074" t="s">
        <v>164</v>
      </c>
      <c r="C231" s="1074"/>
      <c r="D231" s="2469" t="s">
        <v>6514</v>
      </c>
      <c r="E231" s="345" t="s">
        <v>8057</v>
      </c>
      <c r="F231" s="2283"/>
      <c r="G231" s="1169"/>
      <c r="H231" s="66" t="s">
        <v>191</v>
      </c>
      <c r="I231" s="622">
        <v>2.06</v>
      </c>
      <c r="J231" s="622">
        <v>2.06</v>
      </c>
      <c r="K231" s="797"/>
      <c r="L231" s="797"/>
      <c r="M231" s="797"/>
      <c r="N231" s="802"/>
      <c r="O231" s="1174"/>
      <c r="P231" s="1174"/>
      <c r="Q231" s="1554">
        <v>0.7</v>
      </c>
      <c r="R231" s="1551">
        <v>1.36</v>
      </c>
      <c r="S231" s="264"/>
      <c r="T231" s="263"/>
      <c r="U231" s="263"/>
      <c r="V231" s="263"/>
      <c r="W231" s="264">
        <v>5</v>
      </c>
      <c r="X231" s="263">
        <v>66.5</v>
      </c>
      <c r="Y231" s="264"/>
      <c r="Z231" s="263"/>
      <c r="AB231" s="3">
        <v>1</v>
      </c>
      <c r="AC231" s="68"/>
      <c r="AD231" s="267"/>
      <c r="AE231" s="2461"/>
      <c r="AF231" s="68"/>
    </row>
    <row r="232" spans="1:32" x14ac:dyDescent="0.35">
      <c r="A232" s="525"/>
      <c r="B232" s="1074" t="s">
        <v>164</v>
      </c>
      <c r="C232" s="1074"/>
      <c r="D232" s="805"/>
      <c r="E232" s="1561" t="s">
        <v>2585</v>
      </c>
      <c r="F232" s="2283">
        <v>5</v>
      </c>
      <c r="G232" s="1169">
        <v>5</v>
      </c>
      <c r="H232" s="66">
        <v>6</v>
      </c>
      <c r="I232" s="395"/>
      <c r="J232" s="395"/>
      <c r="K232" s="1170"/>
      <c r="L232" s="1170"/>
      <c r="M232" s="1170"/>
      <c r="N232" s="1171"/>
      <c r="O232" s="1172"/>
      <c r="P232" s="1170"/>
      <c r="Q232" s="1553">
        <v>0.7</v>
      </c>
      <c r="R232" s="1550"/>
      <c r="S232" s="264"/>
      <c r="T232" s="263"/>
      <c r="U232" s="263"/>
      <c r="V232" s="263"/>
      <c r="W232" s="67"/>
      <c r="X232" s="250"/>
      <c r="Y232" s="264"/>
      <c r="Z232" s="263"/>
      <c r="AC232" s="68"/>
      <c r="AD232" s="267"/>
      <c r="AE232" s="2461"/>
      <c r="AF232" s="68"/>
    </row>
    <row r="233" spans="1:32" x14ac:dyDescent="0.35">
      <c r="A233" s="804"/>
      <c r="B233" s="1074" t="s">
        <v>164</v>
      </c>
      <c r="C233" s="1074"/>
      <c r="D233" s="805"/>
      <c r="E233" s="1558" t="s">
        <v>2051</v>
      </c>
      <c r="F233" s="2283">
        <v>5</v>
      </c>
      <c r="G233" s="1169">
        <v>5</v>
      </c>
      <c r="H233" s="66">
        <v>6</v>
      </c>
      <c r="I233" s="395"/>
      <c r="J233" s="395"/>
      <c r="K233" s="1170"/>
      <c r="L233" s="1170"/>
      <c r="M233" s="1170"/>
      <c r="N233" s="1171"/>
      <c r="O233" s="1172"/>
      <c r="P233" s="1170"/>
      <c r="Q233" s="1553"/>
      <c r="R233" s="1550">
        <v>1.36</v>
      </c>
      <c r="S233" s="264"/>
      <c r="T233" s="263"/>
      <c r="U233" s="263"/>
      <c r="V233" s="263"/>
      <c r="W233" s="264"/>
      <c r="X233" s="263"/>
      <c r="Y233" s="264"/>
      <c r="Z233" s="263"/>
      <c r="AC233" s="68"/>
      <c r="AD233" s="267"/>
      <c r="AE233" s="2461"/>
      <c r="AF233" s="68"/>
    </row>
    <row r="234" spans="1:32" ht="90" x14ac:dyDescent="0.35">
      <c r="A234" s="525">
        <v>130</v>
      </c>
      <c r="B234" s="2171" t="s">
        <v>164</v>
      </c>
      <c r="C234" s="2166" t="s">
        <v>1656</v>
      </c>
      <c r="D234" s="2469" t="s">
        <v>6515</v>
      </c>
      <c r="E234" s="2358" t="s">
        <v>9083</v>
      </c>
      <c r="F234" s="2043"/>
      <c r="G234" s="2176"/>
      <c r="H234" s="66" t="s">
        <v>191</v>
      </c>
      <c r="I234" s="2157">
        <f>J234+K234+L234</f>
        <v>0.7</v>
      </c>
      <c r="J234" s="2157">
        <f>M234+N234+O234+P234+Q234+R234</f>
        <v>0.7</v>
      </c>
      <c r="K234" s="1170"/>
      <c r="L234" s="1170"/>
      <c r="M234" s="797"/>
      <c r="N234" s="797">
        <f>SUM(N235:N236)</f>
        <v>0.3</v>
      </c>
      <c r="O234" s="797"/>
      <c r="P234" s="797"/>
      <c r="Q234" s="2124"/>
      <c r="R234" s="2178">
        <f>SUM(R235:R236)</f>
        <v>0.4</v>
      </c>
      <c r="S234" s="262"/>
      <c r="T234" s="262"/>
      <c r="U234" s="262"/>
      <c r="V234" s="262"/>
      <c r="W234" s="262"/>
      <c r="X234" s="2180"/>
      <c r="Y234" s="262"/>
      <c r="Z234" s="262"/>
      <c r="AB234" s="3">
        <v>1</v>
      </c>
      <c r="AC234" s="68"/>
      <c r="AD234" s="267"/>
      <c r="AE234" s="2461"/>
      <c r="AF234" s="68"/>
    </row>
    <row r="235" spans="1:32" x14ac:dyDescent="0.35">
      <c r="A235" s="693"/>
      <c r="B235" s="2166" t="s">
        <v>164</v>
      </c>
      <c r="C235" s="2166"/>
      <c r="D235" s="693"/>
      <c r="E235" s="2092" t="s">
        <v>880</v>
      </c>
      <c r="F235" s="1944" t="s">
        <v>827</v>
      </c>
      <c r="G235" s="92">
        <v>5</v>
      </c>
      <c r="H235" s="66">
        <v>6</v>
      </c>
      <c r="I235" s="2116"/>
      <c r="J235" s="2116"/>
      <c r="K235" s="395"/>
      <c r="L235" s="395"/>
      <c r="M235" s="395"/>
      <c r="N235" s="395">
        <v>0.3</v>
      </c>
      <c r="O235" s="395"/>
      <c r="P235" s="395"/>
      <c r="Q235" s="2086"/>
      <c r="R235" s="907"/>
      <c r="S235" s="46"/>
      <c r="T235" s="46"/>
      <c r="U235" s="46"/>
      <c r="V235" s="46"/>
      <c r="W235" s="46"/>
      <c r="X235" s="109"/>
      <c r="Y235" s="46"/>
      <c r="Z235" s="46"/>
      <c r="AE235" s="2461"/>
      <c r="AF235" s="68"/>
    </row>
    <row r="236" spans="1:32" x14ac:dyDescent="0.35">
      <c r="A236" s="693"/>
      <c r="B236" s="2166" t="s">
        <v>164</v>
      </c>
      <c r="C236" s="2166"/>
      <c r="D236" s="693"/>
      <c r="E236" s="2091" t="s">
        <v>1874</v>
      </c>
      <c r="F236" s="1944" t="s">
        <v>664</v>
      </c>
      <c r="G236" s="92">
        <v>5</v>
      </c>
      <c r="H236" s="66">
        <v>6</v>
      </c>
      <c r="I236" s="2116"/>
      <c r="J236" s="2116"/>
      <c r="K236" s="395"/>
      <c r="L236" s="395"/>
      <c r="M236" s="395"/>
      <c r="N236" s="395"/>
      <c r="O236" s="395"/>
      <c r="P236" s="395"/>
      <c r="Q236" s="2086"/>
      <c r="R236" s="907">
        <v>0.4</v>
      </c>
      <c r="S236" s="46"/>
      <c r="T236" s="46"/>
      <c r="U236" s="46"/>
      <c r="V236" s="46"/>
      <c r="W236" s="46"/>
      <c r="X236" s="109"/>
      <c r="Y236" s="46"/>
      <c r="Z236" s="46"/>
      <c r="AE236" s="2461"/>
      <c r="AF236" s="68"/>
    </row>
    <row r="237" spans="1:32" ht="60" x14ac:dyDescent="0.35">
      <c r="A237" s="693">
        <v>131</v>
      </c>
      <c r="B237" s="2166" t="s">
        <v>164</v>
      </c>
      <c r="C237" s="2166"/>
      <c r="D237" s="2469" t="s">
        <v>6516</v>
      </c>
      <c r="E237" s="2187" t="s">
        <v>8058</v>
      </c>
      <c r="F237" s="1944"/>
      <c r="G237" s="92"/>
      <c r="H237" s="66" t="s">
        <v>191</v>
      </c>
      <c r="I237" s="2157">
        <f>J237+K237+L237</f>
        <v>3.4</v>
      </c>
      <c r="J237" s="2157">
        <f>M237+N237+O237+P237+Q237+R237</f>
        <v>3.4</v>
      </c>
      <c r="K237" s="395"/>
      <c r="L237" s="395"/>
      <c r="M237" s="622"/>
      <c r="N237" s="580"/>
      <c r="O237" s="622"/>
      <c r="P237" s="622"/>
      <c r="Q237" s="913">
        <f>SUM(Q238:Q239)</f>
        <v>1.7</v>
      </c>
      <c r="R237" s="906">
        <f>SUM(R238:R239)</f>
        <v>1.7</v>
      </c>
      <c r="S237" s="46"/>
      <c r="T237" s="46"/>
      <c r="U237" s="46"/>
      <c r="V237" s="46"/>
      <c r="W237" s="46"/>
      <c r="X237" s="46"/>
      <c r="Y237" s="46"/>
      <c r="Z237" s="46"/>
      <c r="AB237" s="3">
        <v>1</v>
      </c>
      <c r="AE237" s="2461"/>
      <c r="AF237" s="68"/>
    </row>
    <row r="238" spans="1:32" x14ac:dyDescent="0.35">
      <c r="A238" s="2166"/>
      <c r="B238" s="2166" t="s">
        <v>164</v>
      </c>
      <c r="C238" s="2166"/>
      <c r="D238" s="2166"/>
      <c r="E238" s="2301" t="s">
        <v>1738</v>
      </c>
      <c r="F238" s="1944" t="s">
        <v>827</v>
      </c>
      <c r="G238" s="92">
        <v>5</v>
      </c>
      <c r="H238" s="66">
        <v>6</v>
      </c>
      <c r="I238" s="92"/>
      <c r="J238" s="92"/>
      <c r="K238" s="395"/>
      <c r="L238" s="395"/>
      <c r="M238" s="395"/>
      <c r="N238" s="395"/>
      <c r="O238" s="395"/>
      <c r="P238" s="395"/>
      <c r="Q238" s="2086">
        <v>1.7</v>
      </c>
      <c r="R238" s="2236"/>
      <c r="S238" s="92"/>
      <c r="T238" s="92"/>
      <c r="U238" s="92"/>
      <c r="V238" s="92"/>
      <c r="W238" s="92"/>
      <c r="X238" s="92"/>
      <c r="Y238" s="92"/>
      <c r="Z238" s="92"/>
      <c r="AE238" s="2461"/>
      <c r="AF238" s="68"/>
    </row>
    <row r="239" spans="1:32" x14ac:dyDescent="0.35">
      <c r="A239" s="2166"/>
      <c r="B239" s="2166" t="s">
        <v>164</v>
      </c>
      <c r="C239" s="2166"/>
      <c r="D239" s="2166"/>
      <c r="E239" s="2297" t="s">
        <v>2632</v>
      </c>
      <c r="F239" s="1944" t="s">
        <v>664</v>
      </c>
      <c r="G239" s="92">
        <v>5</v>
      </c>
      <c r="H239" s="66">
        <v>6</v>
      </c>
      <c r="I239" s="92"/>
      <c r="J239" s="92"/>
      <c r="K239" s="395"/>
      <c r="L239" s="395"/>
      <c r="M239" s="395"/>
      <c r="N239" s="395"/>
      <c r="O239" s="395"/>
      <c r="P239" s="395"/>
      <c r="Q239" s="395"/>
      <c r="R239" s="2236">
        <v>1.7</v>
      </c>
      <c r="S239" s="92"/>
      <c r="T239" s="92"/>
      <c r="U239" s="92"/>
      <c r="V239" s="92"/>
      <c r="W239" s="92"/>
      <c r="X239" s="92"/>
      <c r="Y239" s="92"/>
      <c r="Z239" s="92"/>
      <c r="AE239" s="2461"/>
      <c r="AF239" s="68"/>
    </row>
    <row r="240" spans="1:32" ht="60.5" x14ac:dyDescent="0.35">
      <c r="A240" s="525">
        <v>132</v>
      </c>
      <c r="B240" s="1074" t="s">
        <v>164</v>
      </c>
      <c r="C240" s="1074"/>
      <c r="D240" s="2469" t="s">
        <v>6517</v>
      </c>
      <c r="E240" s="345" t="s">
        <v>8059</v>
      </c>
      <c r="F240" s="2283">
        <v>5</v>
      </c>
      <c r="G240" s="1169">
        <v>5</v>
      </c>
      <c r="H240" s="66">
        <v>6</v>
      </c>
      <c r="I240" s="622">
        <f t="shared" ref="I240:I246" si="22">J240+K240+L240</f>
        <v>4.28</v>
      </c>
      <c r="J240" s="622">
        <f>SUM(M240:R240)</f>
        <v>4.28</v>
      </c>
      <c r="K240" s="797"/>
      <c r="L240" s="797"/>
      <c r="M240" s="797"/>
      <c r="N240" s="802"/>
      <c r="O240" s="798"/>
      <c r="P240" s="797"/>
      <c r="Q240" s="1554">
        <v>4.28</v>
      </c>
      <c r="R240" s="1551"/>
      <c r="S240" s="264"/>
      <c r="T240" s="263"/>
      <c r="U240" s="263"/>
      <c r="V240" s="263"/>
      <c r="W240" s="264">
        <f>12+3</f>
        <v>15</v>
      </c>
      <c r="X240" s="263">
        <f>121.2+30</f>
        <v>151.19999999999999</v>
      </c>
      <c r="Y240" s="264">
        <v>3</v>
      </c>
      <c r="Z240" s="263">
        <v>30</v>
      </c>
      <c r="AB240" s="3">
        <v>1</v>
      </c>
      <c r="AC240" s="68"/>
      <c r="AD240" s="267"/>
      <c r="AE240" s="2461"/>
      <c r="AF240" s="68"/>
    </row>
    <row r="241" spans="1:32" ht="90.5" x14ac:dyDescent="0.35">
      <c r="A241" s="693">
        <v>133</v>
      </c>
      <c r="B241" s="1040" t="s">
        <v>164</v>
      </c>
      <c r="C241" s="2166" t="s">
        <v>1656</v>
      </c>
      <c r="D241" s="2469" t="s">
        <v>6518</v>
      </c>
      <c r="E241" s="312" t="s">
        <v>9084</v>
      </c>
      <c r="F241" s="1953" t="s">
        <v>664</v>
      </c>
      <c r="G241" s="66">
        <v>5</v>
      </c>
      <c r="H241" s="66">
        <v>6</v>
      </c>
      <c r="I241" s="622">
        <f t="shared" si="22"/>
        <v>0.8</v>
      </c>
      <c r="J241" s="622">
        <f>SUM(M241:R241)</f>
        <v>0.8</v>
      </c>
      <c r="K241" s="622"/>
      <c r="L241" s="622"/>
      <c r="M241" s="622"/>
      <c r="N241" s="800"/>
      <c r="O241" s="795"/>
      <c r="P241" s="622"/>
      <c r="Q241" s="934"/>
      <c r="R241" s="926">
        <v>0.8</v>
      </c>
      <c r="S241" s="67"/>
      <c r="T241" s="250"/>
      <c r="U241" s="250"/>
      <c r="V241" s="250"/>
      <c r="W241" s="67"/>
      <c r="X241" s="250"/>
      <c r="Y241" s="67"/>
      <c r="Z241" s="250"/>
      <c r="AB241" s="3">
        <v>1</v>
      </c>
      <c r="AC241" s="68"/>
      <c r="AD241" s="267"/>
      <c r="AE241" s="2461"/>
      <c r="AF241" s="68"/>
    </row>
    <row r="242" spans="1:32" ht="105" x14ac:dyDescent="0.35">
      <c r="A242" s="525">
        <v>134</v>
      </c>
      <c r="B242" s="2166" t="s">
        <v>164</v>
      </c>
      <c r="C242" s="2166" t="s">
        <v>1656</v>
      </c>
      <c r="D242" s="2469" t="s">
        <v>6519</v>
      </c>
      <c r="E242" s="2187" t="s">
        <v>9085</v>
      </c>
      <c r="F242" s="1944" t="s">
        <v>664</v>
      </c>
      <c r="G242" s="92">
        <v>5</v>
      </c>
      <c r="H242" s="66">
        <v>6</v>
      </c>
      <c r="I242" s="2157">
        <f t="shared" si="22"/>
        <v>2.5</v>
      </c>
      <c r="J242" s="2157">
        <f>M242+N242+O242+P242+Q242+R242</f>
        <v>2.5</v>
      </c>
      <c r="K242" s="395"/>
      <c r="L242" s="395"/>
      <c r="M242" s="622"/>
      <c r="N242" s="622"/>
      <c r="O242" s="622"/>
      <c r="P242" s="622"/>
      <c r="Q242" s="2085"/>
      <c r="R242" s="906">
        <v>2.5</v>
      </c>
      <c r="S242" s="46"/>
      <c r="T242" s="46"/>
      <c r="U242" s="46"/>
      <c r="V242" s="46"/>
      <c r="W242" s="46"/>
      <c r="X242" s="109"/>
      <c r="Y242" s="46"/>
      <c r="Z242" s="46"/>
      <c r="AB242" s="3">
        <v>1</v>
      </c>
      <c r="AE242" s="2461"/>
      <c r="AF242" s="68"/>
    </row>
    <row r="243" spans="1:32" ht="82.5" customHeight="1" x14ac:dyDescent="0.35">
      <c r="A243" s="693">
        <v>135</v>
      </c>
      <c r="B243" s="1040">
        <v>11506</v>
      </c>
      <c r="C243" s="2166" t="s">
        <v>1656</v>
      </c>
      <c r="D243" s="2469" t="s">
        <v>6520</v>
      </c>
      <c r="E243" s="312" t="s">
        <v>9086</v>
      </c>
      <c r="F243" s="1953" t="s">
        <v>664</v>
      </c>
      <c r="G243" s="66">
        <v>5</v>
      </c>
      <c r="H243" s="66">
        <v>6</v>
      </c>
      <c r="I243" s="622">
        <f>J243+K243+L243</f>
        <v>0.5</v>
      </c>
      <c r="J243" s="622">
        <f>SUM(M243:R243)</f>
        <v>0.5</v>
      </c>
      <c r="K243" s="622"/>
      <c r="L243" s="622"/>
      <c r="M243" s="622"/>
      <c r="N243" s="800"/>
      <c r="O243" s="795"/>
      <c r="P243" s="622"/>
      <c r="Q243" s="934"/>
      <c r="R243" s="926">
        <v>0.5</v>
      </c>
      <c r="S243" s="67"/>
      <c r="T243" s="250"/>
      <c r="U243" s="250"/>
      <c r="V243" s="250"/>
      <c r="W243" s="67"/>
      <c r="X243" s="250"/>
      <c r="Y243" s="67"/>
      <c r="Z243" s="250"/>
      <c r="AB243" s="3">
        <v>1</v>
      </c>
      <c r="AC243" s="68"/>
      <c r="AD243" s="267"/>
      <c r="AE243" s="2461"/>
      <c r="AF243" s="68"/>
    </row>
    <row r="244" spans="1:32" ht="75.5" x14ac:dyDescent="0.35">
      <c r="A244" s="525">
        <v>136</v>
      </c>
      <c r="B244" s="1074" t="s">
        <v>164</v>
      </c>
      <c r="C244" s="1074" t="s">
        <v>1655</v>
      </c>
      <c r="D244" s="2469" t="s">
        <v>6521</v>
      </c>
      <c r="E244" s="345" t="s">
        <v>7353</v>
      </c>
      <c r="F244" s="2283" t="s">
        <v>664</v>
      </c>
      <c r="G244" s="1169">
        <v>5</v>
      </c>
      <c r="H244" s="66">
        <v>6</v>
      </c>
      <c r="I244" s="622">
        <f t="shared" si="22"/>
        <v>1.3</v>
      </c>
      <c r="J244" s="622">
        <f>SUM(M244:R244)</f>
        <v>1.3</v>
      </c>
      <c r="K244" s="797"/>
      <c r="L244" s="797"/>
      <c r="M244" s="797"/>
      <c r="N244" s="802"/>
      <c r="O244" s="798"/>
      <c r="P244" s="797"/>
      <c r="Q244" s="1554"/>
      <c r="R244" s="1551">
        <v>1.3</v>
      </c>
      <c r="S244" s="264"/>
      <c r="T244" s="263"/>
      <c r="U244" s="263"/>
      <c r="V244" s="263"/>
      <c r="W244" s="264"/>
      <c r="X244" s="263"/>
      <c r="Y244" s="264"/>
      <c r="Z244" s="263"/>
      <c r="AB244" s="3">
        <v>1</v>
      </c>
      <c r="AC244" s="68"/>
      <c r="AD244" s="267"/>
      <c r="AE244" s="2461"/>
      <c r="AF244" s="68"/>
    </row>
    <row r="245" spans="1:32" ht="75.5" x14ac:dyDescent="0.35">
      <c r="A245" s="693">
        <v>137</v>
      </c>
      <c r="B245" s="693" t="s">
        <v>164</v>
      </c>
      <c r="C245" s="693"/>
      <c r="D245" s="2469" t="s">
        <v>6522</v>
      </c>
      <c r="E245" s="312" t="s">
        <v>7354</v>
      </c>
      <c r="F245" s="1953">
        <v>4</v>
      </c>
      <c r="G245" s="66">
        <v>5</v>
      </c>
      <c r="H245" s="66">
        <v>6</v>
      </c>
      <c r="I245" s="622">
        <f t="shared" si="22"/>
        <v>0.15</v>
      </c>
      <c r="J245" s="622">
        <f>SUM(M245:R245)</f>
        <v>0.15</v>
      </c>
      <c r="K245" s="395"/>
      <c r="L245" s="395"/>
      <c r="M245" s="395"/>
      <c r="N245" s="800">
        <v>0.15</v>
      </c>
      <c r="O245" s="395"/>
      <c r="P245" s="395"/>
      <c r="Q245" s="1212"/>
      <c r="R245" s="926"/>
      <c r="S245" s="66"/>
      <c r="T245" s="254"/>
      <c r="U245" s="254"/>
      <c r="V245" s="254"/>
      <c r="W245" s="66"/>
      <c r="X245" s="254"/>
      <c r="Y245" s="66"/>
      <c r="Z245" s="254"/>
      <c r="AB245" s="3">
        <v>1</v>
      </c>
      <c r="AE245" s="2461"/>
      <c r="AF245" s="68"/>
    </row>
    <row r="246" spans="1:32" ht="90" x14ac:dyDescent="0.35">
      <c r="A246" s="525">
        <v>138</v>
      </c>
      <c r="B246" s="2166" t="s">
        <v>164</v>
      </c>
      <c r="C246" s="2166" t="s">
        <v>1656</v>
      </c>
      <c r="D246" s="2469" t="s">
        <v>6523</v>
      </c>
      <c r="E246" s="2187" t="s">
        <v>9087</v>
      </c>
      <c r="F246" s="1944" t="s">
        <v>664</v>
      </c>
      <c r="G246" s="92">
        <v>5</v>
      </c>
      <c r="H246" s="66">
        <v>6</v>
      </c>
      <c r="I246" s="2157">
        <f t="shared" si="22"/>
        <v>3.1</v>
      </c>
      <c r="J246" s="2157">
        <f>M246+N246+O246+P246+Q246+R246</f>
        <v>3.1</v>
      </c>
      <c r="K246" s="395"/>
      <c r="L246" s="395"/>
      <c r="M246" s="622"/>
      <c r="N246" s="622"/>
      <c r="O246" s="622"/>
      <c r="P246" s="622"/>
      <c r="Q246" s="2085"/>
      <c r="R246" s="906">
        <v>3.1</v>
      </c>
      <c r="S246" s="46"/>
      <c r="T246" s="46"/>
      <c r="U246" s="46"/>
      <c r="V246" s="46"/>
      <c r="W246" s="46"/>
      <c r="X246" s="109"/>
      <c r="Y246" s="46"/>
      <c r="Z246" s="46"/>
      <c r="AB246" s="3">
        <v>1</v>
      </c>
      <c r="AE246" s="2461"/>
      <c r="AF246" s="68"/>
    </row>
    <row r="247" spans="1:32" ht="30.5" x14ac:dyDescent="0.35">
      <c r="A247" s="1040"/>
      <c r="B247" s="2166"/>
      <c r="C247" s="2166"/>
      <c r="D247" s="693"/>
      <c r="E247" s="1596" t="s">
        <v>6768</v>
      </c>
      <c r="F247" s="1944"/>
      <c r="G247" s="92"/>
      <c r="H247" s="92"/>
      <c r="I247" s="2157"/>
      <c r="J247" s="2157"/>
      <c r="K247" s="395"/>
      <c r="L247" s="395"/>
      <c r="M247" s="622"/>
      <c r="N247" s="622"/>
      <c r="O247" s="622"/>
      <c r="P247" s="622"/>
      <c r="Q247" s="622"/>
      <c r="R247" s="906"/>
      <c r="S247" s="46"/>
      <c r="T247" s="46"/>
      <c r="U247" s="46"/>
      <c r="V247" s="46"/>
      <c r="W247" s="46"/>
      <c r="X247" s="46"/>
      <c r="Y247" s="46"/>
      <c r="Z247" s="46"/>
      <c r="AE247" s="2461"/>
      <c r="AF247" s="68"/>
    </row>
    <row r="248" spans="1:32" ht="45" x14ac:dyDescent="0.35">
      <c r="A248" s="693">
        <v>139</v>
      </c>
      <c r="B248" s="2166" t="s">
        <v>164</v>
      </c>
      <c r="C248" s="2166" t="s">
        <v>1656</v>
      </c>
      <c r="D248" s="2469" t="s">
        <v>6524</v>
      </c>
      <c r="E248" s="2187" t="s">
        <v>9088</v>
      </c>
      <c r="F248" s="1944" t="s">
        <v>827</v>
      </c>
      <c r="G248" s="92">
        <v>5</v>
      </c>
      <c r="H248" s="66">
        <v>6</v>
      </c>
      <c r="I248" s="2157">
        <f>J248+K248+L248</f>
        <v>0.56000000000000005</v>
      </c>
      <c r="J248" s="2157">
        <f>M248+N248+O248+P248+Q248+R248</f>
        <v>0.56000000000000005</v>
      </c>
      <c r="K248" s="395"/>
      <c r="L248" s="395"/>
      <c r="M248" s="622"/>
      <c r="N248" s="622"/>
      <c r="O248" s="622"/>
      <c r="P248" s="622"/>
      <c r="Q248" s="622"/>
      <c r="R248" s="906">
        <v>0.56000000000000005</v>
      </c>
      <c r="S248" s="46"/>
      <c r="T248" s="46"/>
      <c r="U248" s="46"/>
      <c r="V248" s="46"/>
      <c r="W248" s="46"/>
      <c r="X248" s="46"/>
      <c r="Y248" s="46"/>
      <c r="Z248" s="46"/>
      <c r="AB248" s="3">
        <v>1</v>
      </c>
      <c r="AE248" s="2461"/>
      <c r="AF248" s="68"/>
    </row>
    <row r="249" spans="1:32" ht="60.5" x14ac:dyDescent="0.35">
      <c r="A249" s="693">
        <v>140</v>
      </c>
      <c r="B249" s="693" t="s">
        <v>164</v>
      </c>
      <c r="C249" s="693"/>
      <c r="D249" s="2469" t="s">
        <v>6525</v>
      </c>
      <c r="E249" s="312" t="s">
        <v>8060</v>
      </c>
      <c r="F249" s="1953">
        <v>4</v>
      </c>
      <c r="G249" s="66">
        <v>5</v>
      </c>
      <c r="H249" s="66">
        <v>6</v>
      </c>
      <c r="I249" s="622">
        <f>J249+K249+L249</f>
        <v>0.67300000000000004</v>
      </c>
      <c r="J249" s="622">
        <f>SUM(M249:R249)</f>
        <v>0.67300000000000004</v>
      </c>
      <c r="K249" s="622"/>
      <c r="L249" s="622"/>
      <c r="M249" s="622"/>
      <c r="N249" s="800">
        <v>0.67300000000000004</v>
      </c>
      <c r="O249" s="795"/>
      <c r="P249" s="622"/>
      <c r="Q249" s="934"/>
      <c r="R249" s="926"/>
      <c r="S249" s="67"/>
      <c r="T249" s="250"/>
      <c r="U249" s="250"/>
      <c r="V249" s="250"/>
      <c r="W249" s="67">
        <v>2</v>
      </c>
      <c r="X249" s="250">
        <v>29.399999618530273</v>
      </c>
      <c r="Y249" s="67"/>
      <c r="Z249" s="250"/>
      <c r="AB249" s="3">
        <v>1</v>
      </c>
      <c r="AE249" s="2461"/>
      <c r="AF249" s="68"/>
    </row>
    <row r="250" spans="1:32" ht="30.5" x14ac:dyDescent="0.35">
      <c r="A250" s="1040"/>
      <c r="B250" s="2166"/>
      <c r="C250" s="2166"/>
      <c r="D250" s="693"/>
      <c r="E250" s="1596" t="s">
        <v>6769</v>
      </c>
      <c r="F250" s="1944"/>
      <c r="G250" s="92"/>
      <c r="H250" s="92"/>
      <c r="I250" s="2157"/>
      <c r="J250" s="2157"/>
      <c r="K250" s="395"/>
      <c r="L250" s="395"/>
      <c r="M250" s="622"/>
      <c r="N250" s="622"/>
      <c r="O250" s="622"/>
      <c r="P250" s="622"/>
      <c r="Q250" s="622"/>
      <c r="R250" s="906"/>
      <c r="S250" s="46"/>
      <c r="T250" s="46"/>
      <c r="U250" s="46"/>
      <c r="V250" s="46"/>
      <c r="W250" s="46"/>
      <c r="X250" s="46"/>
      <c r="Y250" s="46"/>
      <c r="Z250" s="46"/>
      <c r="AE250" s="2461"/>
      <c r="AF250" s="68"/>
    </row>
    <row r="251" spans="1:32" ht="45.5" x14ac:dyDescent="0.35">
      <c r="A251" s="693">
        <v>141</v>
      </c>
      <c r="B251" s="693" t="s">
        <v>164</v>
      </c>
      <c r="C251" s="693"/>
      <c r="D251" s="2469" t="s">
        <v>6526</v>
      </c>
      <c r="E251" s="312" t="s">
        <v>8061</v>
      </c>
      <c r="F251" s="1953"/>
      <c r="G251" s="66"/>
      <c r="H251" s="66" t="s">
        <v>191</v>
      </c>
      <c r="I251" s="622">
        <v>5</v>
      </c>
      <c r="J251" s="622">
        <v>5</v>
      </c>
      <c r="K251" s="622"/>
      <c r="L251" s="622"/>
      <c r="M251" s="622"/>
      <c r="N251" s="800">
        <f>SUM(N252:N253)</f>
        <v>4</v>
      </c>
      <c r="O251" s="795"/>
      <c r="P251" s="622"/>
      <c r="Q251" s="934">
        <f t="shared" ref="Q251:R251" si="23">SUM(Q252:Q253)</f>
        <v>1</v>
      </c>
      <c r="R251" s="926">
        <f t="shared" si="23"/>
        <v>0</v>
      </c>
      <c r="S251" s="67"/>
      <c r="T251" s="250"/>
      <c r="U251" s="250"/>
      <c r="V251" s="250"/>
      <c r="W251" s="67">
        <f>5+4</f>
        <v>9</v>
      </c>
      <c r="X251" s="250">
        <f>81.34+45.4</f>
        <v>126.74000000000001</v>
      </c>
      <c r="Y251" s="67">
        <v>4</v>
      </c>
      <c r="Z251" s="250">
        <v>45.4</v>
      </c>
      <c r="AB251" s="3">
        <v>1</v>
      </c>
      <c r="AE251" s="2461"/>
      <c r="AF251" s="68"/>
    </row>
    <row r="252" spans="1:32" x14ac:dyDescent="0.35">
      <c r="A252" s="525"/>
      <c r="B252" s="1074" t="s">
        <v>164</v>
      </c>
      <c r="C252" s="1074"/>
      <c r="D252" s="805"/>
      <c r="E252" s="1175" t="s">
        <v>441</v>
      </c>
      <c r="F252" s="2283">
        <v>4</v>
      </c>
      <c r="G252" s="1169">
        <v>5</v>
      </c>
      <c r="H252" s="66">
        <v>6</v>
      </c>
      <c r="I252" s="395"/>
      <c r="J252" s="395"/>
      <c r="K252" s="1170"/>
      <c r="L252" s="1170"/>
      <c r="M252" s="1170"/>
      <c r="N252" s="1170">
        <v>4</v>
      </c>
      <c r="O252" s="1172"/>
      <c r="P252" s="1170"/>
      <c r="Q252" s="2177"/>
      <c r="R252" s="2553"/>
      <c r="S252" s="264"/>
      <c r="T252" s="263"/>
      <c r="U252" s="263"/>
      <c r="V252" s="263"/>
      <c r="W252" s="264"/>
      <c r="X252" s="263"/>
      <c r="Y252" s="264"/>
      <c r="Z252" s="263"/>
      <c r="AC252" s="68"/>
      <c r="AD252" s="267"/>
      <c r="AE252" s="2461"/>
      <c r="AF252" s="68"/>
    </row>
    <row r="253" spans="1:32" x14ac:dyDescent="0.35">
      <c r="A253" s="525"/>
      <c r="B253" s="1074" t="s">
        <v>164</v>
      </c>
      <c r="C253" s="1074"/>
      <c r="D253" s="805"/>
      <c r="E253" s="2301" t="s">
        <v>442</v>
      </c>
      <c r="F253" s="2283" t="s">
        <v>1490</v>
      </c>
      <c r="G253" s="1169">
        <v>5</v>
      </c>
      <c r="H253" s="2929">
        <v>6</v>
      </c>
      <c r="I253" s="395"/>
      <c r="J253" s="395"/>
      <c r="K253" s="1170"/>
      <c r="L253" s="1170"/>
      <c r="M253" s="1170"/>
      <c r="N253" s="1170"/>
      <c r="O253" s="1172"/>
      <c r="P253" s="1170"/>
      <c r="Q253" s="2177">
        <f>5-4</f>
        <v>1</v>
      </c>
      <c r="R253" s="2939">
        <v>0</v>
      </c>
      <c r="S253" s="264"/>
      <c r="T253" s="263"/>
      <c r="U253" s="263"/>
      <c r="V253" s="263"/>
      <c r="W253" s="264"/>
      <c r="X253" s="263"/>
      <c r="Y253" s="264"/>
      <c r="Z253" s="263"/>
      <c r="AC253" s="68" t="s">
        <v>2570</v>
      </c>
      <c r="AD253" s="267"/>
      <c r="AE253" s="2461"/>
      <c r="AF253" s="68"/>
    </row>
    <row r="254" spans="1:32" ht="75.5" x14ac:dyDescent="0.35">
      <c r="A254" s="693">
        <v>142</v>
      </c>
      <c r="B254" s="693"/>
      <c r="C254" s="2166"/>
      <c r="D254" s="2469" t="s">
        <v>6456</v>
      </c>
      <c r="E254" s="312" t="s">
        <v>11581</v>
      </c>
      <c r="F254" s="1953">
        <v>4</v>
      </c>
      <c r="G254" s="66">
        <v>5</v>
      </c>
      <c r="H254" s="66">
        <v>6</v>
      </c>
      <c r="I254" s="622">
        <f>J254+K254+L254</f>
        <v>0.6</v>
      </c>
      <c r="J254" s="622">
        <f>SUM(M254:R254)</f>
        <v>0.6</v>
      </c>
      <c r="K254" s="622"/>
      <c r="L254" s="622"/>
      <c r="M254" s="622"/>
      <c r="N254" s="800">
        <v>0.6</v>
      </c>
      <c r="O254" s="795"/>
      <c r="P254" s="622"/>
      <c r="Q254" s="934"/>
      <c r="R254" s="926"/>
      <c r="S254" s="67"/>
      <c r="T254" s="250"/>
      <c r="U254" s="250"/>
      <c r="V254" s="250"/>
      <c r="W254" s="67"/>
      <c r="X254" s="250"/>
      <c r="Y254" s="67"/>
      <c r="Z254" s="250"/>
      <c r="AB254" s="3">
        <v>1</v>
      </c>
      <c r="AC254" s="68"/>
      <c r="AD254" s="267"/>
      <c r="AE254" s="2461"/>
      <c r="AF254" s="68"/>
    </row>
    <row r="255" spans="1:32" ht="75.5" x14ac:dyDescent="0.35">
      <c r="A255" s="693">
        <v>143</v>
      </c>
      <c r="B255" s="693" t="s">
        <v>164</v>
      </c>
      <c r="C255" s="2166" t="s">
        <v>1656</v>
      </c>
      <c r="D255" s="2469" t="s">
        <v>6527</v>
      </c>
      <c r="E255" s="312" t="s">
        <v>8062</v>
      </c>
      <c r="F255" s="1953" t="s">
        <v>664</v>
      </c>
      <c r="G255" s="66">
        <v>5</v>
      </c>
      <c r="H255" s="66">
        <v>6</v>
      </c>
      <c r="I255" s="622">
        <f>J255+K255+L255</f>
        <v>0.2</v>
      </c>
      <c r="J255" s="622">
        <f>SUM(M255:R255)</f>
        <v>0.2</v>
      </c>
      <c r="K255" s="622"/>
      <c r="L255" s="622"/>
      <c r="M255" s="622"/>
      <c r="N255" s="800"/>
      <c r="O255" s="795"/>
      <c r="P255" s="622"/>
      <c r="Q255" s="934"/>
      <c r="R255" s="926">
        <v>0.2</v>
      </c>
      <c r="S255" s="67"/>
      <c r="T255" s="250"/>
      <c r="U255" s="250"/>
      <c r="V255" s="250"/>
      <c r="W255" s="67"/>
      <c r="X255" s="250"/>
      <c r="Y255" s="67"/>
      <c r="Z255" s="250"/>
      <c r="AB255" s="3">
        <v>1</v>
      </c>
      <c r="AE255" s="2461"/>
      <c r="AF255" s="68"/>
    </row>
    <row r="256" spans="1:32" ht="45.5" x14ac:dyDescent="0.35">
      <c r="A256" s="693"/>
      <c r="B256" s="693" t="s">
        <v>2921</v>
      </c>
      <c r="C256" s="693"/>
      <c r="D256" s="693"/>
      <c r="E256" s="1596" t="s">
        <v>3379</v>
      </c>
      <c r="F256" s="1953"/>
      <c r="G256" s="66"/>
      <c r="H256" s="66"/>
      <c r="I256" s="622"/>
      <c r="J256" s="622"/>
      <c r="K256" s="395"/>
      <c r="L256" s="395"/>
      <c r="M256" s="395"/>
      <c r="N256" s="800"/>
      <c r="O256" s="395"/>
      <c r="P256" s="395"/>
      <c r="Q256" s="1212"/>
      <c r="R256" s="926"/>
      <c r="S256" s="66"/>
      <c r="T256" s="254"/>
      <c r="U256" s="254"/>
      <c r="V256" s="254"/>
      <c r="W256" s="66"/>
      <c r="X256" s="254"/>
      <c r="Y256" s="66"/>
      <c r="Z256" s="254"/>
      <c r="AE256" s="2461"/>
      <c r="AF256" s="68"/>
    </row>
    <row r="257" spans="1:32" ht="45.5" x14ac:dyDescent="0.35">
      <c r="A257" s="693">
        <v>144</v>
      </c>
      <c r="B257" s="693" t="s">
        <v>2921</v>
      </c>
      <c r="C257" s="693"/>
      <c r="D257" s="2469" t="s">
        <v>6528</v>
      </c>
      <c r="E257" s="312" t="s">
        <v>8063</v>
      </c>
      <c r="F257" s="1953" t="s">
        <v>827</v>
      </c>
      <c r="G257" s="66">
        <v>5</v>
      </c>
      <c r="H257" s="66">
        <v>6</v>
      </c>
      <c r="I257" s="622">
        <f>J257+K257+L257</f>
        <v>2.4649999999999999</v>
      </c>
      <c r="J257" s="622">
        <f>SUM(M257:R257)</f>
        <v>2.4649999999999999</v>
      </c>
      <c r="K257" s="622"/>
      <c r="L257" s="622"/>
      <c r="M257" s="622"/>
      <c r="N257" s="800"/>
      <c r="O257" s="795"/>
      <c r="P257" s="622"/>
      <c r="Q257" s="934"/>
      <c r="R257" s="926">
        <v>2.4649999999999999</v>
      </c>
      <c r="S257" s="67">
        <v>1</v>
      </c>
      <c r="T257" s="250">
        <v>38</v>
      </c>
      <c r="U257" s="67">
        <v>1</v>
      </c>
      <c r="V257" s="250">
        <v>38</v>
      </c>
      <c r="W257" s="67"/>
      <c r="X257" s="250"/>
      <c r="Y257" s="67"/>
      <c r="Z257" s="250"/>
      <c r="AB257" s="3">
        <v>1</v>
      </c>
      <c r="AE257" s="2461"/>
      <c r="AF257" s="68"/>
    </row>
    <row r="258" spans="1:32" ht="60.5" x14ac:dyDescent="0.35">
      <c r="A258" s="693">
        <v>145</v>
      </c>
      <c r="B258" s="693" t="s">
        <v>2921</v>
      </c>
      <c r="C258" s="2166" t="s">
        <v>1656</v>
      </c>
      <c r="D258" s="2469" t="s">
        <v>6529</v>
      </c>
      <c r="E258" s="312" t="s">
        <v>9089</v>
      </c>
      <c r="F258" s="1953" t="s">
        <v>664</v>
      </c>
      <c r="G258" s="66">
        <v>5</v>
      </c>
      <c r="H258" s="66">
        <v>6</v>
      </c>
      <c r="I258" s="622">
        <f>J258+K258+L258</f>
        <v>0.6</v>
      </c>
      <c r="J258" s="622">
        <f>SUM(M258:R258)</f>
        <v>0.6</v>
      </c>
      <c r="K258" s="622"/>
      <c r="L258" s="622"/>
      <c r="M258" s="622"/>
      <c r="N258" s="800"/>
      <c r="O258" s="795"/>
      <c r="P258" s="622"/>
      <c r="Q258" s="934"/>
      <c r="R258" s="926">
        <v>0.6</v>
      </c>
      <c r="S258" s="67"/>
      <c r="T258" s="250"/>
      <c r="U258" s="250"/>
      <c r="V258" s="250"/>
      <c r="W258" s="67"/>
      <c r="X258" s="250"/>
      <c r="Y258" s="67"/>
      <c r="Z258" s="250"/>
      <c r="AB258" s="3">
        <v>1</v>
      </c>
      <c r="AE258" s="2461"/>
      <c r="AF258" s="68"/>
    </row>
    <row r="259" spans="1:32" ht="45.5" x14ac:dyDescent="0.35">
      <c r="A259" s="693">
        <v>146</v>
      </c>
      <c r="B259" s="693" t="s">
        <v>2921</v>
      </c>
      <c r="C259" s="693"/>
      <c r="D259" s="2469" t="s">
        <v>6530</v>
      </c>
      <c r="E259" s="312" t="s">
        <v>8064</v>
      </c>
      <c r="F259" s="1953"/>
      <c r="G259" s="66"/>
      <c r="H259" s="66" t="s">
        <v>191</v>
      </c>
      <c r="I259" s="622">
        <f>J259+K259+L259</f>
        <v>8.57</v>
      </c>
      <c r="J259" s="622">
        <f>SUM(M259:R259)</f>
        <v>8.57</v>
      </c>
      <c r="K259" s="622"/>
      <c r="L259" s="622"/>
      <c r="M259" s="622"/>
      <c r="N259" s="800">
        <f>SUM(N260:N261)</f>
        <v>0.83</v>
      </c>
      <c r="O259" s="795"/>
      <c r="P259" s="622"/>
      <c r="Q259" s="934">
        <f>SUM(Q260:Q261)</f>
        <v>7.74</v>
      </c>
      <c r="R259" s="926"/>
      <c r="S259" s="67">
        <v>1</v>
      </c>
      <c r="T259" s="250">
        <v>72.150001525878906</v>
      </c>
      <c r="U259" s="250"/>
      <c r="V259" s="250"/>
      <c r="W259" s="67">
        <f>5+2</f>
        <v>7</v>
      </c>
      <c r="X259" s="250">
        <f>67.3+35.4</f>
        <v>102.69999999999999</v>
      </c>
      <c r="Y259" s="67">
        <v>2</v>
      </c>
      <c r="Z259" s="250">
        <v>35.400001525878906</v>
      </c>
      <c r="AB259" s="3">
        <v>1</v>
      </c>
      <c r="AE259" s="2461"/>
      <c r="AF259" s="68"/>
    </row>
    <row r="260" spans="1:32" x14ac:dyDescent="0.35">
      <c r="A260" s="693"/>
      <c r="B260" s="693" t="s">
        <v>2921</v>
      </c>
      <c r="C260" s="693"/>
      <c r="D260" s="695"/>
      <c r="E260" s="1481" t="s">
        <v>2594</v>
      </c>
      <c r="F260" s="1953">
        <v>5</v>
      </c>
      <c r="G260" s="66">
        <v>5</v>
      </c>
      <c r="H260" s="66">
        <v>6</v>
      </c>
      <c r="I260" s="395"/>
      <c r="J260" s="395"/>
      <c r="K260" s="395"/>
      <c r="L260" s="395"/>
      <c r="M260" s="395"/>
      <c r="N260" s="801"/>
      <c r="O260" s="796"/>
      <c r="P260" s="395"/>
      <c r="Q260" s="1212">
        <v>7.74</v>
      </c>
      <c r="R260" s="928"/>
      <c r="S260" s="66"/>
      <c r="T260" s="254"/>
      <c r="U260" s="254"/>
      <c r="V260" s="254"/>
      <c r="W260" s="66"/>
      <c r="X260" s="254"/>
      <c r="Y260" s="66"/>
      <c r="Z260" s="254"/>
      <c r="AE260" s="2461"/>
      <c r="AF260" s="68"/>
    </row>
    <row r="261" spans="1:32" x14ac:dyDescent="0.35">
      <c r="A261" s="693"/>
      <c r="B261" s="693" t="s">
        <v>2921</v>
      </c>
      <c r="C261" s="693"/>
      <c r="D261" s="695"/>
      <c r="E261" s="313" t="s">
        <v>2867</v>
      </c>
      <c r="F261" s="1953">
        <v>5</v>
      </c>
      <c r="G261" s="66">
        <v>5</v>
      </c>
      <c r="H261" s="66">
        <v>6</v>
      </c>
      <c r="I261" s="395"/>
      <c r="J261" s="395"/>
      <c r="K261" s="395"/>
      <c r="L261" s="395"/>
      <c r="M261" s="395"/>
      <c r="N261" s="801">
        <v>0.83</v>
      </c>
      <c r="O261" s="796"/>
      <c r="P261" s="395"/>
      <c r="Q261" s="1212"/>
      <c r="R261" s="928"/>
      <c r="S261" s="66"/>
      <c r="T261" s="254"/>
      <c r="U261" s="254"/>
      <c r="V261" s="254"/>
      <c r="W261" s="66"/>
      <c r="X261" s="254"/>
      <c r="Y261" s="66"/>
      <c r="Z261" s="254"/>
      <c r="AE261" s="2461"/>
      <c r="AF261" s="68"/>
    </row>
    <row r="262" spans="1:32" ht="75" x14ac:dyDescent="0.35">
      <c r="A262" s="693">
        <v>147</v>
      </c>
      <c r="B262" s="2166" t="s">
        <v>2921</v>
      </c>
      <c r="C262" s="2166" t="s">
        <v>1656</v>
      </c>
      <c r="D262" s="2469" t="s">
        <v>6531</v>
      </c>
      <c r="E262" s="2187" t="s">
        <v>10302</v>
      </c>
      <c r="F262" s="1944" t="s">
        <v>664</v>
      </c>
      <c r="G262" s="92">
        <v>5</v>
      </c>
      <c r="H262" s="66">
        <v>6</v>
      </c>
      <c r="I262" s="2157">
        <f>J262+K262+L262</f>
        <v>0.6</v>
      </c>
      <c r="J262" s="2157">
        <f>M262+N262+O262+P262+Q262+R262</f>
        <v>0.6</v>
      </c>
      <c r="K262" s="395"/>
      <c r="L262" s="395"/>
      <c r="M262" s="622"/>
      <c r="N262" s="622"/>
      <c r="O262" s="622"/>
      <c r="P262" s="622"/>
      <c r="Q262" s="622"/>
      <c r="R262" s="906">
        <v>0.6</v>
      </c>
      <c r="S262" s="46"/>
      <c r="T262" s="46"/>
      <c r="U262" s="46"/>
      <c r="V262" s="46"/>
      <c r="W262" s="46"/>
      <c r="X262" s="46"/>
      <c r="Y262" s="46"/>
      <c r="Z262" s="46"/>
      <c r="AB262" s="3">
        <v>1</v>
      </c>
      <c r="AE262" s="2461"/>
      <c r="AF262" s="68"/>
    </row>
    <row r="263" spans="1:32" ht="75" x14ac:dyDescent="0.35">
      <c r="A263" s="693">
        <v>148</v>
      </c>
      <c r="B263" s="2166" t="s">
        <v>2921</v>
      </c>
      <c r="C263" s="2166" t="s">
        <v>1656</v>
      </c>
      <c r="D263" s="2469" t="s">
        <v>6532</v>
      </c>
      <c r="E263" s="2187" t="s">
        <v>9090</v>
      </c>
      <c r="F263" s="1944" t="s">
        <v>664</v>
      </c>
      <c r="G263" s="92">
        <v>5</v>
      </c>
      <c r="H263" s="66">
        <v>6</v>
      </c>
      <c r="I263" s="2157">
        <f>J263+K263+L263</f>
        <v>5.8</v>
      </c>
      <c r="J263" s="2157">
        <f>M263+N263+O263+P263+Q263+R263</f>
        <v>5.8</v>
      </c>
      <c r="K263" s="395"/>
      <c r="L263" s="395"/>
      <c r="M263" s="622"/>
      <c r="N263" s="622"/>
      <c r="O263" s="622"/>
      <c r="P263" s="622"/>
      <c r="Q263" s="2085"/>
      <c r="R263" s="906">
        <v>5.8</v>
      </c>
      <c r="S263" s="46"/>
      <c r="T263" s="46"/>
      <c r="U263" s="46"/>
      <c r="V263" s="46"/>
      <c r="W263" s="46"/>
      <c r="X263" s="109"/>
      <c r="Y263" s="46"/>
      <c r="Z263" s="46"/>
      <c r="AB263" s="3">
        <v>1</v>
      </c>
      <c r="AE263" s="2461"/>
      <c r="AF263" s="68"/>
    </row>
    <row r="264" spans="1:32" ht="60.5" x14ac:dyDescent="0.35">
      <c r="A264" s="693">
        <v>149</v>
      </c>
      <c r="B264" s="693" t="s">
        <v>2921</v>
      </c>
      <c r="C264" s="693"/>
      <c r="D264" s="2469" t="s">
        <v>6533</v>
      </c>
      <c r="E264" s="312" t="s">
        <v>8065</v>
      </c>
      <c r="F264" s="1953" t="s">
        <v>664</v>
      </c>
      <c r="G264" s="66">
        <v>5</v>
      </c>
      <c r="H264" s="66">
        <v>6</v>
      </c>
      <c r="I264" s="622">
        <f>J264+K264+L264</f>
        <v>2</v>
      </c>
      <c r="J264" s="622">
        <f>SUM(M264:R264)</f>
        <v>2</v>
      </c>
      <c r="K264" s="622"/>
      <c r="L264" s="622"/>
      <c r="M264" s="622"/>
      <c r="N264" s="800"/>
      <c r="O264" s="795"/>
      <c r="P264" s="622"/>
      <c r="Q264" s="934"/>
      <c r="R264" s="926">
        <v>2</v>
      </c>
      <c r="S264" s="67"/>
      <c r="T264" s="250"/>
      <c r="U264" s="250"/>
      <c r="V264" s="250"/>
      <c r="W264" s="67"/>
      <c r="X264" s="250"/>
      <c r="Y264" s="67"/>
      <c r="Z264" s="250"/>
      <c r="AB264" s="3">
        <v>1</v>
      </c>
      <c r="AE264" s="2461"/>
      <c r="AF264" s="68"/>
    </row>
    <row r="265" spans="1:32" ht="90" x14ac:dyDescent="0.35">
      <c r="A265" s="693">
        <v>150</v>
      </c>
      <c r="B265" s="2166" t="s">
        <v>2921</v>
      </c>
      <c r="C265" s="2166" t="s">
        <v>1656</v>
      </c>
      <c r="D265" s="2469" t="s">
        <v>6534</v>
      </c>
      <c r="E265" s="2187" t="s">
        <v>10303</v>
      </c>
      <c r="F265" s="1944" t="s">
        <v>664</v>
      </c>
      <c r="G265" s="92">
        <v>5</v>
      </c>
      <c r="H265" s="66">
        <v>6</v>
      </c>
      <c r="I265" s="2157">
        <f>J265+K265+L265</f>
        <v>1.5</v>
      </c>
      <c r="J265" s="2157">
        <f>M265+N265+O265+P265+Q265+R265</f>
        <v>1.5</v>
      </c>
      <c r="K265" s="395"/>
      <c r="L265" s="395"/>
      <c r="M265" s="622"/>
      <c r="N265" s="622"/>
      <c r="O265" s="622"/>
      <c r="P265" s="622"/>
      <c r="Q265" s="2085"/>
      <c r="R265" s="906">
        <v>1.5</v>
      </c>
      <c r="S265" s="46"/>
      <c r="T265" s="46"/>
      <c r="U265" s="46"/>
      <c r="V265" s="46"/>
      <c r="W265" s="46"/>
      <c r="X265" s="109"/>
      <c r="Y265" s="46"/>
      <c r="Z265" s="46"/>
      <c r="AB265" s="3">
        <v>1</v>
      </c>
      <c r="AE265" s="2461"/>
      <c r="AF265" s="68"/>
    </row>
    <row r="266" spans="1:32" ht="45.5" x14ac:dyDescent="0.35">
      <c r="A266" s="693">
        <v>151</v>
      </c>
      <c r="B266" s="693" t="s">
        <v>2921</v>
      </c>
      <c r="C266" s="693"/>
      <c r="D266" s="2469" t="s">
        <v>6535</v>
      </c>
      <c r="E266" s="312" t="s">
        <v>8066</v>
      </c>
      <c r="F266" s="1953"/>
      <c r="G266" s="66"/>
      <c r="H266" s="66" t="s">
        <v>191</v>
      </c>
      <c r="I266" s="622">
        <f>J266+K266+L266</f>
        <v>6.2729999999999997</v>
      </c>
      <c r="J266" s="622">
        <f>SUM(M266:R266)</f>
        <v>6.2729999999999997</v>
      </c>
      <c r="K266" s="622"/>
      <c r="L266" s="622"/>
      <c r="M266" s="622"/>
      <c r="N266" s="800">
        <f>SUM(N267:N268)</f>
        <v>0.59799999999999998</v>
      </c>
      <c r="O266" s="795"/>
      <c r="P266" s="622"/>
      <c r="Q266" s="934">
        <f>SUM(Q267:Q268)</f>
        <v>5.6749999999999998</v>
      </c>
      <c r="R266" s="926"/>
      <c r="S266" s="67">
        <v>1</v>
      </c>
      <c r="T266" s="250">
        <v>18.5</v>
      </c>
      <c r="U266" s="250"/>
      <c r="V266" s="250"/>
      <c r="W266" s="67">
        <f>5+6</f>
        <v>11</v>
      </c>
      <c r="X266" s="250">
        <f>58.5+56</f>
        <v>114.5</v>
      </c>
      <c r="Y266" s="67">
        <v>6</v>
      </c>
      <c r="Z266" s="250">
        <v>56</v>
      </c>
      <c r="AB266" s="3">
        <v>1</v>
      </c>
      <c r="AE266" s="2461"/>
      <c r="AF266" s="68"/>
    </row>
    <row r="267" spans="1:32" x14ac:dyDescent="0.35">
      <c r="A267" s="693"/>
      <c r="B267" s="693" t="s">
        <v>2921</v>
      </c>
      <c r="C267" s="693"/>
      <c r="D267" s="695"/>
      <c r="E267" s="1481" t="s">
        <v>491</v>
      </c>
      <c r="F267" s="1953">
        <v>4</v>
      </c>
      <c r="G267" s="66">
        <v>5</v>
      </c>
      <c r="H267" s="66">
        <v>6</v>
      </c>
      <c r="I267" s="395"/>
      <c r="J267" s="395"/>
      <c r="K267" s="395"/>
      <c r="L267" s="395"/>
      <c r="M267" s="395"/>
      <c r="N267" s="801"/>
      <c r="O267" s="796"/>
      <c r="P267" s="395"/>
      <c r="Q267" s="1212">
        <v>5.6749999999999998</v>
      </c>
      <c r="R267" s="928"/>
      <c r="S267" s="66"/>
      <c r="T267" s="254"/>
      <c r="U267" s="254"/>
      <c r="V267" s="254"/>
      <c r="W267" s="66"/>
      <c r="X267" s="254"/>
      <c r="Y267" s="66"/>
      <c r="Z267" s="254"/>
      <c r="AE267" s="2461"/>
      <c r="AF267" s="68"/>
    </row>
    <row r="268" spans="1:32" x14ac:dyDescent="0.35">
      <c r="A268" s="693"/>
      <c r="B268" s="693" t="s">
        <v>2921</v>
      </c>
      <c r="C268" s="693"/>
      <c r="D268" s="695"/>
      <c r="E268" s="313" t="s">
        <v>492</v>
      </c>
      <c r="F268" s="1953">
        <v>4</v>
      </c>
      <c r="G268" s="66">
        <v>5</v>
      </c>
      <c r="H268" s="66">
        <v>6</v>
      </c>
      <c r="I268" s="395"/>
      <c r="J268" s="395"/>
      <c r="K268" s="395"/>
      <c r="L268" s="395"/>
      <c r="M268" s="395"/>
      <c r="N268" s="801">
        <v>0.59799999999999998</v>
      </c>
      <c r="O268" s="796"/>
      <c r="P268" s="395"/>
      <c r="Q268" s="1212"/>
      <c r="R268" s="928"/>
      <c r="S268" s="66"/>
      <c r="T268" s="254"/>
      <c r="U268" s="254"/>
      <c r="V268" s="254"/>
      <c r="W268" s="66"/>
      <c r="X268" s="254"/>
      <c r="Y268" s="66"/>
      <c r="Z268" s="254"/>
      <c r="AE268" s="2461"/>
      <c r="AF268" s="68"/>
    </row>
    <row r="269" spans="1:32" ht="60.5" x14ac:dyDescent="0.35">
      <c r="A269" s="693">
        <v>152</v>
      </c>
      <c r="B269" s="693" t="s">
        <v>2921</v>
      </c>
      <c r="C269" s="2166" t="s">
        <v>1656</v>
      </c>
      <c r="D269" s="2469" t="s">
        <v>6536</v>
      </c>
      <c r="E269" s="312" t="s">
        <v>9091</v>
      </c>
      <c r="F269" s="1953" t="s">
        <v>664</v>
      </c>
      <c r="G269" s="66">
        <v>5</v>
      </c>
      <c r="H269" s="66">
        <v>6</v>
      </c>
      <c r="I269" s="622">
        <f>J269+K269+L269</f>
        <v>0.26</v>
      </c>
      <c r="J269" s="622">
        <f>SUM(M269:R269)</f>
        <v>0.26</v>
      </c>
      <c r="K269" s="622"/>
      <c r="L269" s="622"/>
      <c r="M269" s="622"/>
      <c r="N269" s="800"/>
      <c r="O269" s="795"/>
      <c r="P269" s="622"/>
      <c r="Q269" s="934"/>
      <c r="R269" s="926">
        <v>0.26</v>
      </c>
      <c r="S269" s="67"/>
      <c r="T269" s="250"/>
      <c r="U269" s="250"/>
      <c r="V269" s="250"/>
      <c r="W269" s="67"/>
      <c r="X269" s="250"/>
      <c r="Y269" s="67"/>
      <c r="Z269" s="250"/>
      <c r="AB269" s="3">
        <v>1</v>
      </c>
      <c r="AE269" s="2461"/>
      <c r="AF269" s="68"/>
    </row>
    <row r="270" spans="1:32" ht="60.5" x14ac:dyDescent="0.35">
      <c r="A270" s="693">
        <v>153</v>
      </c>
      <c r="B270" s="693" t="s">
        <v>2921</v>
      </c>
      <c r="C270" s="2166" t="s">
        <v>1656</v>
      </c>
      <c r="D270" s="2469" t="s">
        <v>6537</v>
      </c>
      <c r="E270" s="312" t="s">
        <v>9164</v>
      </c>
      <c r="F270" s="1953" t="s">
        <v>664</v>
      </c>
      <c r="G270" s="66">
        <v>5</v>
      </c>
      <c r="H270" s="66">
        <v>6</v>
      </c>
      <c r="I270" s="622">
        <f>J270+K270+L270</f>
        <v>0.5</v>
      </c>
      <c r="J270" s="622">
        <f>SUM(M270:R270)</f>
        <v>0.5</v>
      </c>
      <c r="K270" s="622"/>
      <c r="L270" s="622"/>
      <c r="M270" s="622"/>
      <c r="N270" s="800"/>
      <c r="O270" s="795"/>
      <c r="P270" s="622"/>
      <c r="Q270" s="934"/>
      <c r="R270" s="926">
        <v>0.5</v>
      </c>
      <c r="S270" s="67"/>
      <c r="T270" s="250"/>
      <c r="U270" s="250"/>
      <c r="V270" s="250"/>
      <c r="W270" s="67"/>
      <c r="X270" s="250"/>
      <c r="Y270" s="67"/>
      <c r="Z270" s="250"/>
      <c r="AB270" s="3">
        <v>1</v>
      </c>
      <c r="AE270" s="2461"/>
      <c r="AF270" s="68"/>
    </row>
    <row r="271" spans="1:32" ht="75" x14ac:dyDescent="0.35">
      <c r="A271" s="693">
        <v>154</v>
      </c>
      <c r="B271" s="2166" t="s">
        <v>2921</v>
      </c>
      <c r="C271" s="2166" t="s">
        <v>1656</v>
      </c>
      <c r="D271" s="2469" t="s">
        <v>6538</v>
      </c>
      <c r="E271" s="2187" t="s">
        <v>9165</v>
      </c>
      <c r="F271" s="1953" t="s">
        <v>664</v>
      </c>
      <c r="G271" s="92">
        <v>5</v>
      </c>
      <c r="H271" s="66">
        <v>6</v>
      </c>
      <c r="I271" s="2157">
        <f>J271+K271+L271</f>
        <v>2.6</v>
      </c>
      <c r="J271" s="2157">
        <f>M271+N271+O271+P271+Q271+R271</f>
        <v>2.6</v>
      </c>
      <c r="K271" s="395"/>
      <c r="L271" s="395"/>
      <c r="M271" s="622"/>
      <c r="N271" s="622"/>
      <c r="O271" s="622"/>
      <c r="P271" s="622"/>
      <c r="Q271" s="2085"/>
      <c r="R271" s="906">
        <v>2.6</v>
      </c>
      <c r="S271" s="46"/>
      <c r="T271" s="46"/>
      <c r="U271" s="46"/>
      <c r="V271" s="46"/>
      <c r="W271" s="46"/>
      <c r="X271" s="109"/>
      <c r="Y271" s="46"/>
      <c r="Z271" s="46"/>
      <c r="AB271" s="3">
        <v>1</v>
      </c>
      <c r="AE271" s="2461"/>
      <c r="AF271" s="68"/>
    </row>
    <row r="272" spans="1:32" ht="75" x14ac:dyDescent="0.35">
      <c r="A272" s="693">
        <v>155</v>
      </c>
      <c r="B272" s="2166" t="s">
        <v>2921</v>
      </c>
      <c r="C272" s="2166" t="s">
        <v>1656</v>
      </c>
      <c r="D272" s="2469" t="s">
        <v>6539</v>
      </c>
      <c r="E272" s="2187" t="s">
        <v>9092</v>
      </c>
      <c r="F272" s="1944"/>
      <c r="G272" s="92"/>
      <c r="H272" s="66" t="s">
        <v>191</v>
      </c>
      <c r="I272" s="2157">
        <f>J272+K272+L272</f>
        <v>9.8999999999999986</v>
      </c>
      <c r="J272" s="2157">
        <f>M272+N272+O272+P272+Q272+R272</f>
        <v>9.8999999999999986</v>
      </c>
      <c r="K272" s="395"/>
      <c r="L272" s="395"/>
      <c r="M272" s="622"/>
      <c r="N272" s="622">
        <f>SUM(N273:N275)</f>
        <v>1.6</v>
      </c>
      <c r="O272" s="622"/>
      <c r="P272" s="622"/>
      <c r="Q272" s="2085">
        <f>SUM(Q273:Q275)</f>
        <v>5.0999999999999996</v>
      </c>
      <c r="R272" s="2106">
        <f>SUM(R273:R275)</f>
        <v>3.2</v>
      </c>
      <c r="S272" s="46"/>
      <c r="T272" s="46"/>
      <c r="U272" s="46"/>
      <c r="V272" s="46"/>
      <c r="W272" s="46"/>
      <c r="X272" s="109"/>
      <c r="Y272" s="46"/>
      <c r="Z272" s="46"/>
      <c r="AB272" s="3">
        <v>1</v>
      </c>
      <c r="AE272" s="2461"/>
      <c r="AF272" s="68"/>
    </row>
    <row r="273" spans="1:32" x14ac:dyDescent="0.35">
      <c r="A273" s="693"/>
      <c r="B273" s="2166" t="s">
        <v>2921</v>
      </c>
      <c r="C273" s="2166"/>
      <c r="D273" s="693"/>
      <c r="E273" s="2092" t="s">
        <v>3285</v>
      </c>
      <c r="F273" s="1944" t="s">
        <v>827</v>
      </c>
      <c r="G273" s="92">
        <v>5</v>
      </c>
      <c r="H273" s="66">
        <v>6</v>
      </c>
      <c r="I273" s="2116"/>
      <c r="J273" s="2116"/>
      <c r="K273" s="395"/>
      <c r="L273" s="395"/>
      <c r="M273" s="395"/>
      <c r="N273" s="395">
        <v>1.6</v>
      </c>
      <c r="O273" s="395"/>
      <c r="P273" s="395"/>
      <c r="Q273" s="2086"/>
      <c r="R273" s="907"/>
      <c r="S273" s="46"/>
      <c r="T273" s="46"/>
      <c r="U273" s="46"/>
      <c r="V273" s="46"/>
      <c r="W273" s="46"/>
      <c r="X273" s="109"/>
      <c r="Y273" s="46"/>
      <c r="Z273" s="46"/>
      <c r="AE273" s="2461"/>
      <c r="AF273" s="68"/>
    </row>
    <row r="274" spans="1:32" x14ac:dyDescent="0.35">
      <c r="A274" s="693"/>
      <c r="B274" s="2166" t="s">
        <v>2921</v>
      </c>
      <c r="C274" s="2166"/>
      <c r="D274" s="693"/>
      <c r="E274" s="2105" t="s">
        <v>1843</v>
      </c>
      <c r="F274" s="1944" t="s">
        <v>827</v>
      </c>
      <c r="G274" s="92">
        <v>5</v>
      </c>
      <c r="H274" s="66">
        <v>6</v>
      </c>
      <c r="I274" s="2116"/>
      <c r="J274" s="2116"/>
      <c r="K274" s="395"/>
      <c r="L274" s="395"/>
      <c r="M274" s="395"/>
      <c r="N274" s="395"/>
      <c r="O274" s="395"/>
      <c r="P274" s="395"/>
      <c r="Q274" s="2086">
        <v>5.0999999999999996</v>
      </c>
      <c r="R274" s="907"/>
      <c r="S274" s="46"/>
      <c r="T274" s="46"/>
      <c r="U274" s="46"/>
      <c r="V274" s="46"/>
      <c r="W274" s="46"/>
      <c r="X274" s="109"/>
      <c r="Y274" s="46"/>
      <c r="Z274" s="46"/>
      <c r="AE274" s="2461"/>
      <c r="AF274" s="68"/>
    </row>
    <row r="275" spans="1:32" x14ac:dyDescent="0.35">
      <c r="A275" s="693"/>
      <c r="B275" s="2166" t="s">
        <v>2921</v>
      </c>
      <c r="C275" s="2166"/>
      <c r="D275" s="693"/>
      <c r="E275" s="2091" t="s">
        <v>305</v>
      </c>
      <c r="F275" s="1944" t="s">
        <v>664</v>
      </c>
      <c r="G275" s="92">
        <v>5</v>
      </c>
      <c r="H275" s="66">
        <v>6</v>
      </c>
      <c r="I275" s="2116"/>
      <c r="J275" s="2116"/>
      <c r="K275" s="395"/>
      <c r="L275" s="395"/>
      <c r="M275" s="395"/>
      <c r="N275" s="395"/>
      <c r="O275" s="395"/>
      <c r="P275" s="395"/>
      <c r="Q275" s="2086"/>
      <c r="R275" s="907">
        <v>3.2</v>
      </c>
      <c r="S275" s="46"/>
      <c r="T275" s="46"/>
      <c r="U275" s="46"/>
      <c r="V275" s="46"/>
      <c r="W275" s="46"/>
      <c r="X275" s="109"/>
      <c r="Y275" s="46"/>
      <c r="Z275" s="46"/>
      <c r="AE275" s="2461"/>
      <c r="AF275" s="68"/>
    </row>
    <row r="276" spans="1:32" ht="105" x14ac:dyDescent="0.35">
      <c r="A276" s="693">
        <v>156</v>
      </c>
      <c r="B276" s="2166" t="s">
        <v>2921</v>
      </c>
      <c r="C276" s="2166" t="s">
        <v>1656</v>
      </c>
      <c r="D276" s="2469" t="s">
        <v>6540</v>
      </c>
      <c r="E276" s="2187" t="s">
        <v>9093</v>
      </c>
      <c r="F276" s="1944" t="s">
        <v>664</v>
      </c>
      <c r="G276" s="92">
        <v>5</v>
      </c>
      <c r="H276" s="66">
        <v>6</v>
      </c>
      <c r="I276" s="2157">
        <f>J276+K276+L276</f>
        <v>1.8</v>
      </c>
      <c r="J276" s="2157">
        <f>M276+N276+O276+P276+Q276+R276</f>
        <v>1.8</v>
      </c>
      <c r="K276" s="395"/>
      <c r="L276" s="395"/>
      <c r="M276" s="622"/>
      <c r="N276" s="622"/>
      <c r="O276" s="622"/>
      <c r="P276" s="622"/>
      <c r="Q276" s="2085"/>
      <c r="R276" s="906">
        <v>1.8</v>
      </c>
      <c r="S276" s="46"/>
      <c r="T276" s="46"/>
      <c r="U276" s="46"/>
      <c r="V276" s="46"/>
      <c r="W276" s="46"/>
      <c r="X276" s="109"/>
      <c r="Y276" s="46"/>
      <c r="Z276" s="46"/>
      <c r="AB276" s="3">
        <v>1</v>
      </c>
      <c r="AE276" s="2461"/>
      <c r="AF276" s="68"/>
    </row>
    <row r="277" spans="1:32" ht="105" x14ac:dyDescent="0.35">
      <c r="A277" s="693">
        <v>157</v>
      </c>
      <c r="B277" s="2166" t="s">
        <v>2921</v>
      </c>
      <c r="C277" s="2166" t="s">
        <v>1656</v>
      </c>
      <c r="D277" s="2469" t="s">
        <v>6541</v>
      </c>
      <c r="E277" s="2187" t="s">
        <v>9094</v>
      </c>
      <c r="F277" s="1944" t="s">
        <v>664</v>
      </c>
      <c r="G277" s="92">
        <v>5</v>
      </c>
      <c r="H277" s="66">
        <v>6</v>
      </c>
      <c r="I277" s="2157">
        <f>J277+K277+L277</f>
        <v>0.65</v>
      </c>
      <c r="J277" s="2157">
        <f>M277+N277+O277+P277+Q277+R277</f>
        <v>0.65</v>
      </c>
      <c r="K277" s="395"/>
      <c r="L277" s="395"/>
      <c r="M277" s="622"/>
      <c r="N277" s="622"/>
      <c r="O277" s="622"/>
      <c r="P277" s="622"/>
      <c r="Q277" s="2085"/>
      <c r="R277" s="906">
        <v>0.65</v>
      </c>
      <c r="S277" s="46"/>
      <c r="T277" s="46"/>
      <c r="U277" s="46"/>
      <c r="V277" s="46"/>
      <c r="W277" s="46"/>
      <c r="X277" s="109"/>
      <c r="Y277" s="46"/>
      <c r="Z277" s="46"/>
      <c r="AB277" s="3">
        <v>1</v>
      </c>
      <c r="AE277" s="2461"/>
      <c r="AF277" s="68"/>
    </row>
    <row r="278" spans="1:32" ht="105" x14ac:dyDescent="0.35">
      <c r="A278" s="693">
        <v>158</v>
      </c>
      <c r="B278" s="2166" t="s">
        <v>2921</v>
      </c>
      <c r="C278" s="2166" t="s">
        <v>1656</v>
      </c>
      <c r="D278" s="2469" t="s">
        <v>6542</v>
      </c>
      <c r="E278" s="2187" t="s">
        <v>9095</v>
      </c>
      <c r="F278" s="1944" t="s">
        <v>664</v>
      </c>
      <c r="G278" s="92">
        <v>5</v>
      </c>
      <c r="H278" s="66">
        <v>6</v>
      </c>
      <c r="I278" s="2157">
        <f>J278+K278+L278</f>
        <v>1.2</v>
      </c>
      <c r="J278" s="2157">
        <f>M278+N278+O278+P278+Q278+R278</f>
        <v>1.2</v>
      </c>
      <c r="K278" s="395"/>
      <c r="L278" s="395"/>
      <c r="M278" s="622"/>
      <c r="N278" s="622"/>
      <c r="O278" s="622"/>
      <c r="P278" s="622"/>
      <c r="Q278" s="2085"/>
      <c r="R278" s="906">
        <v>1.2</v>
      </c>
      <c r="S278" s="46"/>
      <c r="T278" s="46"/>
      <c r="U278" s="46"/>
      <c r="V278" s="46"/>
      <c r="W278" s="46"/>
      <c r="X278" s="109"/>
      <c r="Y278" s="46"/>
      <c r="Z278" s="46"/>
      <c r="AB278" s="3">
        <v>1</v>
      </c>
      <c r="AE278" s="2461"/>
      <c r="AF278" s="68"/>
    </row>
    <row r="279" spans="1:32" ht="45.5" x14ac:dyDescent="0.35">
      <c r="A279" s="693">
        <v>159</v>
      </c>
      <c r="B279" s="693" t="s">
        <v>2921</v>
      </c>
      <c r="C279" s="693"/>
      <c r="D279" s="2469" t="s">
        <v>6543</v>
      </c>
      <c r="E279" s="312" t="s">
        <v>9204</v>
      </c>
      <c r="F279" s="1953" t="s">
        <v>664</v>
      </c>
      <c r="G279" s="66">
        <v>5</v>
      </c>
      <c r="H279" s="66">
        <v>6</v>
      </c>
      <c r="I279" s="622">
        <f>J279+K279+L279</f>
        <v>2.1</v>
      </c>
      <c r="J279" s="622">
        <f>SUM(M279:R279)</f>
        <v>2.1</v>
      </c>
      <c r="K279" s="622"/>
      <c r="L279" s="622"/>
      <c r="M279" s="622"/>
      <c r="N279" s="800"/>
      <c r="O279" s="795"/>
      <c r="P279" s="622"/>
      <c r="Q279" s="934"/>
      <c r="R279" s="926">
        <v>2.1</v>
      </c>
      <c r="S279" s="67"/>
      <c r="T279" s="250"/>
      <c r="U279" s="250"/>
      <c r="V279" s="250"/>
      <c r="W279" s="67"/>
      <c r="X279" s="250"/>
      <c r="Y279" s="67"/>
      <c r="Z279" s="250"/>
      <c r="AB279" s="3">
        <v>1</v>
      </c>
      <c r="AE279" s="2461"/>
      <c r="AF279" s="68"/>
    </row>
    <row r="280" spans="1:32" x14ac:dyDescent="0.35">
      <c r="A280" s="2167"/>
      <c r="B280" s="2167"/>
      <c r="C280" s="2167"/>
      <c r="D280" s="2167"/>
      <c r="E280" s="2168"/>
      <c r="F280" s="2169"/>
      <c r="G280" s="2169"/>
      <c r="H280" s="2169"/>
      <c r="I280" s="2169"/>
      <c r="J280" s="2169"/>
      <c r="K280" s="2169"/>
      <c r="L280" s="2169"/>
      <c r="M280" s="2169"/>
      <c r="N280" s="2169"/>
      <c r="O280" s="2169"/>
      <c r="P280" s="2169"/>
      <c r="Q280" s="2169"/>
      <c r="R280" s="2169"/>
      <c r="S280" s="2169"/>
      <c r="T280" s="2169"/>
      <c r="U280" s="2169"/>
      <c r="V280" s="2169"/>
      <c r="W280" s="2169"/>
      <c r="X280" s="2169"/>
      <c r="Y280" s="2169"/>
      <c r="Z280" s="2169"/>
    </row>
    <row r="281" spans="1:32" x14ac:dyDescent="0.35">
      <c r="E281" s="1557"/>
    </row>
    <row r="282" spans="1:32" x14ac:dyDescent="0.35">
      <c r="E282" s="1557"/>
    </row>
    <row r="283" spans="1:32" x14ac:dyDescent="0.35">
      <c r="E283" s="1557"/>
    </row>
    <row r="284" spans="1:32" x14ac:dyDescent="0.35">
      <c r="E284" s="1557"/>
    </row>
    <row r="285" spans="1:32" x14ac:dyDescent="0.35">
      <c r="E285" s="1557"/>
    </row>
    <row r="286" spans="1:32" x14ac:dyDescent="0.35">
      <c r="E286" s="1557"/>
    </row>
    <row r="287" spans="1:32" x14ac:dyDescent="0.35">
      <c r="E287" s="1557"/>
    </row>
    <row r="288" spans="1:32" x14ac:dyDescent="0.35">
      <c r="E288" s="1557"/>
    </row>
  </sheetData>
  <autoFilter ref="A29:AB279"/>
  <mergeCells count="35">
    <mergeCell ref="U6:V6"/>
    <mergeCell ref="U7:U8"/>
    <mergeCell ref="V7:V8"/>
    <mergeCell ref="N6:N8"/>
    <mergeCell ref="O6:O8"/>
    <mergeCell ref="W7:W8"/>
    <mergeCell ref="A5:A8"/>
    <mergeCell ref="D5:D8"/>
    <mergeCell ref="E5:E8"/>
    <mergeCell ref="F5:F8"/>
    <mergeCell ref="B5:B8"/>
    <mergeCell ref="H5:H8"/>
    <mergeCell ref="I5:L5"/>
    <mergeCell ref="I6:I8"/>
    <mergeCell ref="S5:V5"/>
    <mergeCell ref="J6:J8"/>
    <mergeCell ref="K6:K8"/>
    <mergeCell ref="L6:L8"/>
    <mergeCell ref="M5:R5"/>
    <mergeCell ref="X7:X8"/>
    <mergeCell ref="R6:R8"/>
    <mergeCell ref="S6:T6"/>
    <mergeCell ref="A2:Z2"/>
    <mergeCell ref="A3:Z3"/>
    <mergeCell ref="W6:X6"/>
    <mergeCell ref="Y6:Z6"/>
    <mergeCell ref="P6:P8"/>
    <mergeCell ref="Q6:Q8"/>
    <mergeCell ref="G5:G8"/>
    <mergeCell ref="S7:S8"/>
    <mergeCell ref="T7:T8"/>
    <mergeCell ref="Y7:Y8"/>
    <mergeCell ref="Z7:Z8"/>
    <mergeCell ref="W5:Z5"/>
    <mergeCell ref="M6:M8"/>
  </mergeCells>
  <phoneticPr fontId="0" type="noConversion"/>
  <printOptions horizontalCentered="1"/>
  <pageMargins left="0.19685039370078741" right="0.19685039370078741" top="0.71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Roman,обычный"&amp;10Чериковское ДРСУ-215&amp;R&amp;"Times New Roman,обычный"&amp;10&amp;P</oddFooter>
  </headerFooter>
  <rowBreaks count="6" manualBreakCount="6">
    <brk id="49" max="24" man="1"/>
    <brk id="73" max="24" man="1"/>
    <brk id="221" max="24" man="1"/>
    <brk id="240" max="24" man="1"/>
    <brk id="255" max="24" man="1"/>
    <brk id="271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2:AM578"/>
  <sheetViews>
    <sheetView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8.9140625" defaultRowHeight="15.5" x14ac:dyDescent="0.35"/>
  <cols>
    <col min="1" max="1" width="5.08203125" style="176" customWidth="1"/>
    <col min="2" max="3" width="7.25" style="176" hidden="1" customWidth="1"/>
    <col min="4" max="4" width="7.33203125" style="176" customWidth="1"/>
    <col min="5" max="5" width="43.4140625" style="176" customWidth="1"/>
    <col min="6" max="6" width="6.75" style="176" customWidth="1"/>
    <col min="7" max="8" width="7.25" style="176" customWidth="1"/>
    <col min="9" max="10" width="7.33203125" style="176" customWidth="1"/>
    <col min="11" max="11" width="6.6640625" style="176" customWidth="1"/>
    <col min="12" max="12" width="6.58203125" style="176" customWidth="1"/>
    <col min="13" max="13" width="6.4140625" style="176" customWidth="1"/>
    <col min="14" max="14" width="7" style="176" customWidth="1"/>
    <col min="15" max="16" width="6.6640625" style="176" customWidth="1"/>
    <col min="17" max="18" width="6.9140625" style="176" customWidth="1"/>
    <col min="19" max="19" width="4.58203125" style="176" customWidth="1"/>
    <col min="20" max="20" width="7.25" style="176" customWidth="1"/>
    <col min="21" max="21" width="4.33203125" style="176" customWidth="1"/>
    <col min="22" max="22" width="5.9140625" style="176" customWidth="1"/>
    <col min="23" max="23" width="4.6640625" style="177" customWidth="1"/>
    <col min="24" max="24" width="7.6640625" style="177" customWidth="1"/>
    <col min="25" max="25" width="4.33203125" style="177" customWidth="1"/>
    <col min="26" max="26" width="7.9140625" style="177" customWidth="1"/>
    <col min="27" max="36" width="8.9140625" style="176"/>
    <col min="37" max="37" width="20.58203125" style="176" customWidth="1"/>
    <col min="38" max="16384" width="8.9140625" style="176"/>
  </cols>
  <sheetData>
    <row r="2" spans="1:39" ht="20" x14ac:dyDescent="0.35">
      <c r="A2" s="3117" t="s">
        <v>10635</v>
      </c>
      <c r="B2" s="3117"/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J4" s="1828"/>
      <c r="N4" s="2311"/>
      <c r="O4" s="2311"/>
      <c r="P4" s="2311"/>
      <c r="Q4" s="2311"/>
      <c r="R4" s="2311"/>
      <c r="X4" s="2062"/>
    </row>
    <row r="5" spans="1:39" ht="1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3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  <c r="AB6" s="1828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  <c r="AD8" s="1828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" thickBot="1" x14ac:dyDescent="0.4">
      <c r="A10" s="450"/>
      <c r="B10" s="995"/>
      <c r="C10" s="995"/>
      <c r="D10" s="462"/>
      <c r="E10" s="1207" t="s">
        <v>2392</v>
      </c>
      <c r="F10" s="1176"/>
      <c r="G10" s="1176"/>
      <c r="H10" s="1176"/>
      <c r="I10" s="1177">
        <f>J10+K10+L10</f>
        <v>638.02</v>
      </c>
      <c r="J10" s="1177">
        <f>M10+N10+O10+P10+Q10+R10</f>
        <v>624.399</v>
      </c>
      <c r="K10" s="1177">
        <f t="shared" ref="K10:R10" si="0">K11+K12+K13+K14</f>
        <v>0</v>
      </c>
      <c r="L10" s="1177">
        <f t="shared" si="0"/>
        <v>13.621</v>
      </c>
      <c r="M10" s="1188">
        <f t="shared" si="0"/>
        <v>1.2</v>
      </c>
      <c r="N10" s="1177">
        <f>N11+N12+N13+N14</f>
        <v>201.25299999999993</v>
      </c>
      <c r="O10" s="822">
        <f t="shared" si="0"/>
        <v>0</v>
      </c>
      <c r="P10" s="1177">
        <f t="shared" si="0"/>
        <v>0</v>
      </c>
      <c r="Q10" s="1184">
        <f t="shared" si="0"/>
        <v>211.98600000000002</v>
      </c>
      <c r="R10" s="1180">
        <f t="shared" si="0"/>
        <v>209.96</v>
      </c>
      <c r="S10" s="1178">
        <f>SUM(S30:S1106)</f>
        <v>20</v>
      </c>
      <c r="T10" s="1179">
        <f t="shared" ref="T10:Z10" si="1">SUM(T30:T1106)</f>
        <v>385.16240295639034</v>
      </c>
      <c r="U10" s="1178">
        <f t="shared" si="1"/>
        <v>0</v>
      </c>
      <c r="V10" s="1179">
        <f t="shared" si="1"/>
        <v>0</v>
      </c>
      <c r="W10" s="1178">
        <f t="shared" si="1"/>
        <v>778</v>
      </c>
      <c r="X10" s="1179">
        <f t="shared" si="1"/>
        <v>10003.759999999998</v>
      </c>
      <c r="Y10" s="1178">
        <f t="shared" si="1"/>
        <v>206</v>
      </c>
      <c r="Z10" s="1741">
        <f t="shared" si="1"/>
        <v>2222.92</v>
      </c>
      <c r="AB10" s="1178">
        <f>SUM(AB30:AB533)</f>
        <v>278</v>
      </c>
      <c r="AK10" s="2150" t="s">
        <v>11226</v>
      </c>
      <c r="AL10" s="43"/>
      <c r="AM10" s="2812" t="s">
        <v>11227</v>
      </c>
    </row>
    <row r="11" spans="1:39" x14ac:dyDescent="0.35">
      <c r="A11" s="134"/>
      <c r="B11" s="134"/>
      <c r="C11" s="134"/>
      <c r="D11" s="183"/>
      <c r="E11" s="1264" t="s">
        <v>909</v>
      </c>
      <c r="F11" s="1245">
        <v>3</v>
      </c>
      <c r="G11" s="1245"/>
      <c r="H11" s="1245"/>
      <c r="I11" s="1505"/>
      <c r="J11" s="1505"/>
      <c r="K11" s="1505"/>
      <c r="L11" s="1505"/>
      <c r="M11" s="1506"/>
      <c r="N11" s="1505"/>
      <c r="O11" s="1507"/>
      <c r="P11" s="1505"/>
      <c r="Q11" s="1508"/>
      <c r="R11" s="1509"/>
      <c r="S11" s="466"/>
      <c r="T11" s="465"/>
      <c r="U11" s="465"/>
      <c r="V11" s="465"/>
      <c r="W11" s="466"/>
      <c r="X11" s="465"/>
      <c r="Y11" s="466"/>
      <c r="Z11" s="1734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22.053999999999998</v>
      </c>
      <c r="AM11" s="2814">
        <f>AL11-J18</f>
        <v>0</v>
      </c>
    </row>
    <row r="12" spans="1:39" x14ac:dyDescent="0.35">
      <c r="A12" s="173"/>
      <c r="B12" s="173"/>
      <c r="C12" s="173"/>
      <c r="D12" s="274"/>
      <c r="E12" s="640"/>
      <c r="F12" s="1249">
        <v>4</v>
      </c>
      <c r="G12" s="1249"/>
      <c r="H12" s="1249"/>
      <c r="I12" s="1281">
        <f t="shared" ref="I12:I20" si="2">J12+K12+L12</f>
        <v>261.7829999999999</v>
      </c>
      <c r="J12" s="1250">
        <f t="shared" ref="J12:J20" si="3">R12+Q12+P12+O12+N12+M12</f>
        <v>252.77699999999993</v>
      </c>
      <c r="K12" s="1510">
        <f>SUMIF(F30:F1050,4,K30:K1050)</f>
        <v>0</v>
      </c>
      <c r="L12" s="1510">
        <f>SUMIF(F30:F1050,4,L30:L1050)</f>
        <v>9.0060000000000002</v>
      </c>
      <c r="M12" s="1511">
        <f>SUMIF(F30:F1050,4,M30:M1050)</f>
        <v>1.2</v>
      </c>
      <c r="N12" s="1510">
        <f>SUMIF(F30:F1050,4,N30:N1050)</f>
        <v>147.38099999999994</v>
      </c>
      <c r="O12" s="1512">
        <f>SUMIF(F30:F1050,4,O30:O1050)</f>
        <v>0</v>
      </c>
      <c r="P12" s="1510">
        <f>SUMIF(F30:F1050,4,P30:P1050)</f>
        <v>0</v>
      </c>
      <c r="Q12" s="1513">
        <f>SUMIF(F30:F1050,4,Q30:Q1050)</f>
        <v>104.19600000000001</v>
      </c>
      <c r="R12" s="1514">
        <f>SUMIF(F30:F1050,4,R30:R1050)</f>
        <v>0</v>
      </c>
      <c r="S12" s="467"/>
      <c r="T12" s="467"/>
      <c r="U12" s="467"/>
      <c r="V12" s="467"/>
      <c r="W12" s="468"/>
      <c r="X12" s="467"/>
      <c r="Y12" s="468"/>
      <c r="Z12" s="1735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173"/>
      <c r="B13" s="173"/>
      <c r="C13" s="173"/>
      <c r="D13" s="274"/>
      <c r="E13" s="640"/>
      <c r="F13" s="1249">
        <v>5</v>
      </c>
      <c r="G13" s="1249"/>
      <c r="H13" s="1249"/>
      <c r="I13" s="1281">
        <f t="shared" si="2"/>
        <v>113.199</v>
      </c>
      <c r="J13" s="1250">
        <f t="shared" si="3"/>
        <v>110.34399999999999</v>
      </c>
      <c r="K13" s="1510">
        <f>SUMIF(F30:F1050,5,K30:K1050)</f>
        <v>0</v>
      </c>
      <c r="L13" s="1510">
        <f>SUMIF(F30:F1050,5,L30:L1050)</f>
        <v>2.8550000000000004</v>
      </c>
      <c r="M13" s="1511">
        <f>SUMIF(F30:F1050,5,M30:M1050)</f>
        <v>0</v>
      </c>
      <c r="N13" s="1510">
        <f>SUMIF(F30:F1050,5,N30:N1050)</f>
        <v>38.204999999999991</v>
      </c>
      <c r="O13" s="1512">
        <f>SUMIF(F30:F1050,5,O30:O1050)</f>
        <v>0</v>
      </c>
      <c r="P13" s="1510">
        <f>SUMIF(F30:F1050,5,P30:P1050)</f>
        <v>0</v>
      </c>
      <c r="Q13" s="1513">
        <f>SUMIF(F30:F1050,5,Q30:Q1050)</f>
        <v>59.147000000000006</v>
      </c>
      <c r="R13" s="1514">
        <f>SUMIF(F30:F1050,5,R30:R1050)</f>
        <v>12.992000000000001</v>
      </c>
      <c r="S13" s="467"/>
      <c r="T13" s="467"/>
      <c r="U13" s="467"/>
      <c r="V13" s="467"/>
      <c r="W13" s="468"/>
      <c r="X13" s="467"/>
      <c r="Y13" s="468"/>
      <c r="Z13" s="1735"/>
      <c r="AD13" s="2777" t="s">
        <v>11126</v>
      </c>
      <c r="AE13" s="2776"/>
      <c r="AF13" s="2778">
        <v>79</v>
      </c>
      <c r="AG13" s="2783">
        <f>M12+N12+O12</f>
        <v>148.58099999999993</v>
      </c>
      <c r="AH13" s="2783">
        <f>M13+N13+O13</f>
        <v>38.204999999999991</v>
      </c>
      <c r="AI13" s="2784">
        <f>M14+N14+O14</f>
        <v>15.667</v>
      </c>
      <c r="AK13" s="2818" t="s">
        <v>7184</v>
      </c>
      <c r="AL13" s="2819">
        <f>AL14+AL15+AL16+AL17+AL18</f>
        <v>22.053999999999998</v>
      </c>
      <c r="AM13" s="2820">
        <f>AL13-AF29</f>
        <v>0</v>
      </c>
    </row>
    <row r="14" spans="1:39" x14ac:dyDescent="0.35">
      <c r="A14" s="173"/>
      <c r="B14" s="173"/>
      <c r="C14" s="173"/>
      <c r="D14" s="274"/>
      <c r="E14" s="640"/>
      <c r="F14" s="1249" t="s">
        <v>448</v>
      </c>
      <c r="G14" s="1249"/>
      <c r="H14" s="1249"/>
      <c r="I14" s="1250">
        <f>J14+K14+L14</f>
        <v>263.03800000000001</v>
      </c>
      <c r="J14" s="1250">
        <f t="shared" si="3"/>
        <v>261.27800000000002</v>
      </c>
      <c r="K14" s="1250">
        <f>K15+K16+K17</f>
        <v>0</v>
      </c>
      <c r="L14" s="1250">
        <f>L15+L16+L17</f>
        <v>1.7599999999999998</v>
      </c>
      <c r="M14" s="1250">
        <f t="shared" ref="M14:R14" si="4">M15+M16+M17</f>
        <v>0</v>
      </c>
      <c r="N14" s="1250">
        <f t="shared" si="4"/>
        <v>15.667</v>
      </c>
      <c r="O14" s="1251">
        <f t="shared" si="4"/>
        <v>0</v>
      </c>
      <c r="P14" s="1317">
        <f t="shared" si="4"/>
        <v>0</v>
      </c>
      <c r="Q14" s="1252">
        <f t="shared" si="4"/>
        <v>48.643000000000001</v>
      </c>
      <c r="R14" s="1256">
        <f t="shared" si="4"/>
        <v>196.96800000000002</v>
      </c>
      <c r="S14" s="467"/>
      <c r="T14" s="467"/>
      <c r="U14" s="467"/>
      <c r="V14" s="467"/>
      <c r="W14" s="468"/>
      <c r="X14" s="467"/>
      <c r="Y14" s="468"/>
      <c r="Z14" s="1735"/>
      <c r="AD14" s="2777" t="s">
        <v>11127</v>
      </c>
      <c r="AE14" s="2776"/>
      <c r="AF14" s="2778">
        <v>80</v>
      </c>
      <c r="AG14" s="2785">
        <f>P12+Q12</f>
        <v>104.19600000000001</v>
      </c>
      <c r="AH14" s="2785">
        <f>P13+Q13</f>
        <v>59.147000000000006</v>
      </c>
      <c r="AI14" s="2786">
        <f>P14+Q14</f>
        <v>48.643000000000001</v>
      </c>
      <c r="AK14" s="2815" t="s">
        <v>11230</v>
      </c>
      <c r="AL14" s="2579">
        <f>SUMIFS(M30:M953,F30:F953,4,G30:G953,3)</f>
        <v>0</v>
      </c>
      <c r="AM14" s="2817"/>
    </row>
    <row r="15" spans="1:39" x14ac:dyDescent="0.35">
      <c r="A15" s="173"/>
      <c r="B15" s="173"/>
      <c r="C15" s="173"/>
      <c r="D15" s="274"/>
      <c r="E15" s="640"/>
      <c r="F15" s="1253" t="s">
        <v>827</v>
      </c>
      <c r="G15" s="1249"/>
      <c r="H15" s="1249"/>
      <c r="I15" s="1318">
        <f>J15+K15+L15</f>
        <v>97.835000000000008</v>
      </c>
      <c r="J15" s="1318">
        <f t="shared" si="3"/>
        <v>97.205000000000013</v>
      </c>
      <c r="K15" s="1318">
        <f>SUMIF(F30:F1097,"=6а",K30:K1097)</f>
        <v>0</v>
      </c>
      <c r="L15" s="1318">
        <f>SUMIF(F30:F1097,"=6а",L30:L1097)</f>
        <v>0.63</v>
      </c>
      <c r="M15" s="1318">
        <f>SUMIF(F30:F1097,"=6а",M30:M1097)</f>
        <v>0</v>
      </c>
      <c r="N15" s="1318">
        <f>SUMIF(F30:F1097,"=6а",N30:N1097)</f>
        <v>9.3979999999999997</v>
      </c>
      <c r="O15" s="1319">
        <f>SUMIF(F30:F1097,"=6а",O30:O1097)</f>
        <v>0</v>
      </c>
      <c r="P15" s="1320">
        <f>SUMIF(F30:F1097,"=6а",P30:P1097)</f>
        <v>0</v>
      </c>
      <c r="Q15" s="1321">
        <f>SUMIF(F30:F1097,"=6а",Q30:Q1097)</f>
        <v>38.734999999999999</v>
      </c>
      <c r="R15" s="1322">
        <f>SUMIF(F30:F1097,"=6а",R30:R1097)</f>
        <v>49.072000000000017</v>
      </c>
      <c r="S15" s="468"/>
      <c r="T15" s="467"/>
      <c r="U15" s="467"/>
      <c r="V15" s="467"/>
      <c r="W15" s="468"/>
      <c r="X15" s="467"/>
      <c r="Y15" s="468"/>
      <c r="Z15" s="1735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12.992000000000001</v>
      </c>
      <c r="AI15" s="2788">
        <f>R14</f>
        <v>196.96800000000002</v>
      </c>
      <c r="AK15" s="2815" t="s">
        <v>11231</v>
      </c>
      <c r="AL15" s="2579">
        <f>SUMIFS(N30:N953,F30:F953,4,G30:G953,3)</f>
        <v>16.591999999999999</v>
      </c>
      <c r="AM15" s="2817"/>
    </row>
    <row r="16" spans="1:39" x14ac:dyDescent="0.35">
      <c r="A16" s="173"/>
      <c r="B16" s="173"/>
      <c r="C16" s="173"/>
      <c r="D16" s="274"/>
      <c r="E16" s="1265"/>
      <c r="F16" s="1254" t="s">
        <v>1490</v>
      </c>
      <c r="G16" s="1249"/>
      <c r="H16" s="1249"/>
      <c r="I16" s="1318">
        <f>J16+K16+L16</f>
        <v>56.537000000000013</v>
      </c>
      <c r="J16" s="1318">
        <f t="shared" si="3"/>
        <v>56.537000000000013</v>
      </c>
      <c r="K16" s="1318">
        <f>SUMIF(F30:F1098,"=6б",K30:K1098)</f>
        <v>0</v>
      </c>
      <c r="L16" s="1318">
        <f>SUMIF(F30:F1098,"=6б",L30:L1098)</f>
        <v>0</v>
      </c>
      <c r="M16" s="1318">
        <f>SUMIF(F30:F1098,"=6б",M30:M1098)</f>
        <v>0</v>
      </c>
      <c r="N16" s="1318">
        <f>SUMIF(F30:F1098,"=6б",N30:N1098)</f>
        <v>3.2690000000000001</v>
      </c>
      <c r="O16" s="1319">
        <f>SUMIF(F30:F1098,"=6б",O30:O1098)</f>
        <v>0</v>
      </c>
      <c r="P16" s="1320">
        <f>SUMIF(F30:F1098,"=6б",P30:P1098)</f>
        <v>0</v>
      </c>
      <c r="Q16" s="1321">
        <f>SUMIF(F30:F1098,"=6б",Q30:Q1098)</f>
        <v>9.9079999999999977</v>
      </c>
      <c r="R16" s="1322">
        <f>SUMIF(F30:F1098,"=6б",R30:R1098)</f>
        <v>43.360000000000014</v>
      </c>
      <c r="S16" s="468"/>
      <c r="T16" s="467"/>
      <c r="U16" s="467"/>
      <c r="V16" s="467"/>
      <c r="W16" s="468"/>
      <c r="X16" s="467"/>
      <c r="Y16" s="468"/>
      <c r="Z16" s="1735"/>
      <c r="AK16" s="2815" t="s">
        <v>11232</v>
      </c>
      <c r="AL16" s="2579">
        <f>SUMIFS(O30:O953,F30:F953,4,G30:G953,3)</f>
        <v>0</v>
      </c>
      <c r="AM16" s="2817"/>
    </row>
    <row r="17" spans="1:39" x14ac:dyDescent="0.35">
      <c r="A17" s="173"/>
      <c r="B17" s="173"/>
      <c r="C17" s="173"/>
      <c r="D17" s="274"/>
      <c r="E17" s="1265"/>
      <c r="F17" s="2271" t="s">
        <v>449</v>
      </c>
      <c r="G17" s="1249"/>
      <c r="H17" s="1249"/>
      <c r="I17" s="2272">
        <f>J17+K17+L17</f>
        <v>108.66599999999997</v>
      </c>
      <c r="J17" s="2272">
        <f t="shared" si="3"/>
        <v>107.53599999999997</v>
      </c>
      <c r="K17" s="2272">
        <f>SUMIF(F30:F1099,"=б/к",K30:K1099)</f>
        <v>0</v>
      </c>
      <c r="L17" s="2272">
        <f>SUMIF(F30:F1099,"=б/к",L30:L1099)</f>
        <v>1.1299999999999999</v>
      </c>
      <c r="M17" s="2272">
        <f>SUMIF(F30:F1099,"=б/к",M30:M1099)</f>
        <v>0</v>
      </c>
      <c r="N17" s="2272">
        <f>SUMIF(F30:F1099,"=б/к",N30:N1099)</f>
        <v>3</v>
      </c>
      <c r="O17" s="2272">
        <f>SUMIF(F30:F1099,"=б/к",O30:O1099)</f>
        <v>0</v>
      </c>
      <c r="P17" s="2272">
        <f>SUMIF(F30:F1099,"=б/к",P30:P1099)</f>
        <v>0</v>
      </c>
      <c r="Q17" s="2273">
        <f>SUMIF(F30:F1099,"=б/к",Q30:Q1099)</f>
        <v>0</v>
      </c>
      <c r="R17" s="2274">
        <f>SUMIF(F30:F1099,"=б/к",R30:R1099)</f>
        <v>104.53599999999997</v>
      </c>
      <c r="S17" s="468"/>
      <c r="T17" s="467"/>
      <c r="U17" s="467"/>
      <c r="V17" s="467"/>
      <c r="W17" s="468"/>
      <c r="X17" s="467"/>
      <c r="Y17" s="468"/>
      <c r="Z17" s="1735"/>
      <c r="AK17" s="2815" t="s">
        <v>11233</v>
      </c>
      <c r="AL17" s="2579">
        <f>SUMIFS(P30:P953,F30:F953,4,G30:G953,3)+SUMIFS(Q30:Q953,F30:F953,4,G30:G953,3)</f>
        <v>5.4619999999999997</v>
      </c>
      <c r="AM17" s="2817"/>
    </row>
    <row r="18" spans="1:39" x14ac:dyDescent="0.35">
      <c r="A18" s="173"/>
      <c r="B18" s="173"/>
      <c r="C18" s="173"/>
      <c r="D18" s="274"/>
      <c r="E18" s="1266"/>
      <c r="F18" s="1266" t="s">
        <v>3303</v>
      </c>
      <c r="G18" s="1241">
        <v>3</v>
      </c>
      <c r="H18" s="1241"/>
      <c r="I18" s="1515">
        <f t="shared" si="2"/>
        <v>22.053999999999998</v>
      </c>
      <c r="J18" s="1515">
        <f t="shared" si="3"/>
        <v>22.053999999999998</v>
      </c>
      <c r="K18" s="1515">
        <f>SUMIF(G30:G1050,3,K30:K1050)</f>
        <v>0</v>
      </c>
      <c r="L18" s="1515">
        <f>SUMIF(G30:G1050,3,L30:L1050)</f>
        <v>0</v>
      </c>
      <c r="M18" s="1516">
        <f>SUMIF(G30:G1050,3,M30:M1050)</f>
        <v>0</v>
      </c>
      <c r="N18" s="1515">
        <f>SUMIF(G30:G1050,3,N30:N1050)</f>
        <v>16.591999999999999</v>
      </c>
      <c r="O18" s="1517">
        <f>SUMIF(G30:G1050,3,O30:O1050)</f>
        <v>0</v>
      </c>
      <c r="P18" s="1515">
        <f>SUMIF(G30:G1050,3,P30:P1050)</f>
        <v>0</v>
      </c>
      <c r="Q18" s="1518">
        <f>SUMIF(G30:G1050,3,Q30:Q1050)</f>
        <v>5.4619999999999997</v>
      </c>
      <c r="R18" s="1519">
        <f>SUMIF(G30:G1050,3,R30:R1050)</f>
        <v>0</v>
      </c>
      <c r="S18" s="468"/>
      <c r="T18" s="467"/>
      <c r="U18" s="467"/>
      <c r="V18" s="467"/>
      <c r="W18" s="468"/>
      <c r="X18" s="467"/>
      <c r="Y18" s="468"/>
      <c r="Z18" s="1735"/>
      <c r="AK18" s="2815" t="s">
        <v>910</v>
      </c>
      <c r="AL18" s="2579">
        <f>SUMIFS(R30:R953,F30:F953,4,G30:G953,3)</f>
        <v>0</v>
      </c>
      <c r="AM18" s="2817"/>
    </row>
    <row r="19" spans="1:39" x14ac:dyDescent="0.35">
      <c r="A19" s="173"/>
      <c r="B19" s="173"/>
      <c r="C19" s="173"/>
      <c r="D19" s="274"/>
      <c r="E19" s="98"/>
      <c r="F19" s="1240"/>
      <c r="G19" s="1241">
        <v>4</v>
      </c>
      <c r="H19" s="1241"/>
      <c r="I19" s="1515">
        <f t="shared" si="2"/>
        <v>229.584</v>
      </c>
      <c r="J19" s="1515">
        <f t="shared" si="3"/>
        <v>221.16300000000001</v>
      </c>
      <c r="K19" s="1515">
        <f>SUMIF(G30:G1050,4,K30:K1050)</f>
        <v>0</v>
      </c>
      <c r="L19" s="1515">
        <f>SUMIF(G30:G1050,4,L30:L1050)</f>
        <v>8.4209999999999994</v>
      </c>
      <c r="M19" s="1516">
        <f>SUMIF(G30:G1050,4,M30:M1050)</f>
        <v>0</v>
      </c>
      <c r="N19" s="1515">
        <f>SUMIF(G30:G1050,4,N30:N1050)</f>
        <v>126.32499999999999</v>
      </c>
      <c r="O19" s="1517">
        <f>SUMIF(G30:G1050,4,O30:O1050)</f>
        <v>0</v>
      </c>
      <c r="P19" s="1515">
        <f>SUMIF(G30:G1050,4,P30:P1050)</f>
        <v>0</v>
      </c>
      <c r="Q19" s="1518">
        <f>SUMIF(G30:G1050,4,Q30:Q1050)</f>
        <v>89.76700000000001</v>
      </c>
      <c r="R19" s="1519">
        <f>SUMIF(G30:G1050,4,R30:R1050)</f>
        <v>5.0709999999999997</v>
      </c>
      <c r="S19" s="468"/>
      <c r="T19" s="467"/>
      <c r="U19" s="467"/>
      <c r="V19" s="467"/>
      <c r="W19" s="468"/>
      <c r="X19" s="467"/>
      <c r="Y19" s="468"/>
      <c r="Z19" s="1735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469"/>
      <c r="B20" s="469"/>
      <c r="C20" s="469"/>
      <c r="D20" s="388"/>
      <c r="E20" s="319"/>
      <c r="F20" s="1258"/>
      <c r="G20" s="1259">
        <v>5</v>
      </c>
      <c r="H20" s="1259"/>
      <c r="I20" s="1515">
        <f t="shared" si="2"/>
        <v>386.38199999999978</v>
      </c>
      <c r="J20" s="1515">
        <f t="shared" si="3"/>
        <v>381.18199999999979</v>
      </c>
      <c r="K20" s="1520">
        <f>SUMIF(G30:G1050,5,K30:K1050)</f>
        <v>0</v>
      </c>
      <c r="L20" s="1520">
        <f>SUMIF(G30:G1050,5,L30:L1050)</f>
        <v>5.2</v>
      </c>
      <c r="M20" s="1521">
        <f>SUMIF(G30:G1050,5,M30:M1050)</f>
        <v>1.2</v>
      </c>
      <c r="N20" s="1520">
        <f>SUMIF(G30:G1050,5,N30:N1050)</f>
        <v>58.335999999999977</v>
      </c>
      <c r="O20" s="1522">
        <f>SUMIF(G30:G1050,5,O30:O1050)</f>
        <v>0</v>
      </c>
      <c r="P20" s="1520">
        <f>SUMIF(G30:G1050,5,P30:P1050)</f>
        <v>0</v>
      </c>
      <c r="Q20" s="1523">
        <f>SUMIF(G30:G1050,5,Q30:Q1050)</f>
        <v>116.75700000000002</v>
      </c>
      <c r="R20" s="1524">
        <f>SUMIF(G30:G1050,5,R30:R1050)</f>
        <v>204.88899999999984</v>
      </c>
      <c r="S20" s="471"/>
      <c r="T20" s="470"/>
      <c r="U20" s="470"/>
      <c r="V20" s="470"/>
      <c r="W20" s="471"/>
      <c r="X20" s="470"/>
      <c r="Y20" s="471"/>
      <c r="Z20" s="1736"/>
      <c r="AK20" s="2815" t="s">
        <v>11230</v>
      </c>
      <c r="AL20" s="2579">
        <f>SUMIFS(M30:M953,F30:F953,5,G30:G953,3)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SUMIFS(N30:N953,F30:F953,5,G30:G953,3)</f>
        <v>0</v>
      </c>
      <c r="AM21" s="2817"/>
    </row>
    <row r="22" spans="1:39" customFormat="1" x14ac:dyDescent="0.35">
      <c r="A22" s="285"/>
      <c r="B22" s="993"/>
      <c r="C22" s="993"/>
      <c r="D22" s="538">
        <f>SUMIF(C30:C1029,"=сад",AB30:AB1029)</f>
        <v>14</v>
      </c>
      <c r="E22" s="2241" t="s">
        <v>2763</v>
      </c>
      <c r="F22" s="98"/>
      <c r="G22" s="226"/>
      <c r="H22" s="226"/>
      <c r="I22" s="2247">
        <f>J22+K22+L22</f>
        <v>18.034000000000002</v>
      </c>
      <c r="J22" s="2247">
        <f>R22+Q22+P22+O22+N22+M22</f>
        <v>17.774000000000001</v>
      </c>
      <c r="K22" s="2247">
        <f>SUMIF(C30:C1029,"=сад",K30:K1029)</f>
        <v>0</v>
      </c>
      <c r="L22" s="2247">
        <f>SUMIF(C30:C1029,"=сад",L30:L1029)</f>
        <v>0.26</v>
      </c>
      <c r="M22" s="2247">
        <f>SUMIF(C30:C1029,"=сад",M30:M1029)</f>
        <v>0</v>
      </c>
      <c r="N22" s="2247">
        <f>SUMIF(C30:C1029,"=сад",N30:N1029)</f>
        <v>2.1189999999999998</v>
      </c>
      <c r="O22" s="2248">
        <f>SUMIF(C30:C1029,"=сад",O30:O1029)</f>
        <v>0</v>
      </c>
      <c r="P22" s="2247">
        <f>SUMIF(C30:C1029,"=сад",P30:P1029)</f>
        <v>0</v>
      </c>
      <c r="Q22" s="2249">
        <f>SUMIF(C30:C1029,"=сад",Q30:Q1029)</f>
        <v>5.6589999999999998</v>
      </c>
      <c r="R22" s="2250">
        <f>SUMIF(C30:C1029,"=сад",R30:R1029)</f>
        <v>9.9960000000000004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SUMIFS(O30:O953,F30:F953,5,G30:G953,3)</f>
        <v>0</v>
      </c>
      <c r="AM22" s="2817"/>
    </row>
    <row r="23" spans="1:39" customFormat="1" x14ac:dyDescent="0.35">
      <c r="A23" s="285"/>
      <c r="B23" s="993"/>
      <c r="C23" s="993"/>
      <c r="D23" s="538">
        <f>SUMIF(C30:C1030,"=индив",AB30:AB1030)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SUMIF(C30:C1030,"=индив",K30:K1030)</f>
        <v>0</v>
      </c>
      <c r="L23" s="2247">
        <f>SUMIF(C30:C1030,"=индив",L30:L1030)</f>
        <v>0</v>
      </c>
      <c r="M23" s="2247">
        <f>SUMIF(C30:C1030,"=индив",M30:M1030)</f>
        <v>0</v>
      </c>
      <c r="N23" s="2247">
        <f>SUMIF(C30:C1030,"=индив",N30:N1030)</f>
        <v>0</v>
      </c>
      <c r="O23" s="2248">
        <f>SUMIF(C30:C1030,"=индив",O30:O1030)</f>
        <v>0</v>
      </c>
      <c r="P23" s="2247">
        <f>SUMIF(C30:C1030,"=индив",P30:P1030)</f>
        <v>0</v>
      </c>
      <c r="Q23" s="2249">
        <f>SUMIF(C30:C1030,"=индив",Q30:Q1030)</f>
        <v>0</v>
      </c>
      <c r="R23" s="2250">
        <f>SUMIF(C30:C1030,"=индив",R30:R1030)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SUMIFS(P30:P953,F30:F953,5,G30:G953,3)+SUMIFS(Q30:Q953,F30:F953,5,G30:G953,3)</f>
        <v>0</v>
      </c>
      <c r="AM23" s="2817"/>
    </row>
    <row r="24" spans="1:39" customFormat="1" x14ac:dyDescent="0.35">
      <c r="A24" s="285"/>
      <c r="B24" s="993"/>
      <c r="C24" s="993"/>
      <c r="D24" s="538">
        <f>SUMIF(C30:C1031,"=кладб",AB30:AB1031)</f>
        <v>114</v>
      </c>
      <c r="E24" s="2241" t="s">
        <v>2761</v>
      </c>
      <c r="F24" s="98"/>
      <c r="G24" s="226"/>
      <c r="H24" s="226"/>
      <c r="I24" s="2247">
        <f>J24+K24+L24</f>
        <v>77.443999999999988</v>
      </c>
      <c r="J24" s="2247">
        <f>R24+Q24+P24+O24+N24+M24</f>
        <v>76.173999999999992</v>
      </c>
      <c r="K24" s="2247">
        <f>SUMIF(C30:C1031,"=кладб",K30:K1031)</f>
        <v>0</v>
      </c>
      <c r="L24" s="2247">
        <f>SUMIF(C30:C1031,"=кладб",L30:L1031)</f>
        <v>1.27</v>
      </c>
      <c r="M24" s="2247">
        <f>SUMIF(C30:C1031,"=кладб",M30:M1031)</f>
        <v>0</v>
      </c>
      <c r="N24" s="2247">
        <f>SUMIF(C30:C1031,"=кладб",N30:N1031)</f>
        <v>6.58</v>
      </c>
      <c r="O24" s="2248">
        <f>SUMIF(C30:C1031,"=кладб",O30:O1031)</f>
        <v>0</v>
      </c>
      <c r="P24" s="2247">
        <f>SUMIF(C30:C1031,"=кладб",P30:P1031)</f>
        <v>0</v>
      </c>
      <c r="Q24" s="2249">
        <f>SUMIF(C30:C1031,"=кладб",Q30:Q1031)</f>
        <v>2.327</v>
      </c>
      <c r="R24" s="2250">
        <f>SUMIF(C30:C1031,"=кладб",R30:R1031)</f>
        <v>67.266999999999996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SUMIFS(R30:R953,F30:F953,5,G30:G953,3)</f>
        <v>0</v>
      </c>
      <c r="AM24" s="2817"/>
    </row>
    <row r="25" spans="1:39" customFormat="1" x14ac:dyDescent="0.35">
      <c r="A25" s="387"/>
      <c r="B25" s="994"/>
      <c r="C25" s="994"/>
      <c r="D25" s="538">
        <f>SUMIF(C30:C1032,"=прир",AB30:AB1032)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SUMIF(C30:C1032,"=прир",K30:K1032)</f>
        <v>0</v>
      </c>
      <c r="L25" s="2259">
        <f>SUMIF(C30:C1032,"=прир",L30:L1032)</f>
        <v>0</v>
      </c>
      <c r="M25" s="2259">
        <f>SUMIF(C30:C1032,"=прир",M30:M1032)</f>
        <v>0</v>
      </c>
      <c r="N25" s="2259">
        <f>SUMIF(C30:C1032,"=прир",N30:N1032)</f>
        <v>0</v>
      </c>
      <c r="O25" s="2260">
        <f>SUMIF(C30:C1032,"=прир",O30:O1032)</f>
        <v>0</v>
      </c>
      <c r="P25" s="2259">
        <f>SUMIF(C30:C1032,"=прир",P30:P1032)</f>
        <v>0</v>
      </c>
      <c r="Q25" s="2261">
        <f>SUMIF(C30:C1032,"=прир",Q30:Q1032)</f>
        <v>0</v>
      </c>
      <c r="R25" s="2262">
        <f>SUMIF(C30:C1032,"=прир",R30:R1032)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SUMIF(C30:C1033,"=ист",AB30:AB1033)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SUMIF(C30:C1033,"=ист",K30:K1033)</f>
        <v>0</v>
      </c>
      <c r="L26" s="2259">
        <f>SUMIF(C30:C1033,"=ист",L30:L1033)</f>
        <v>0</v>
      </c>
      <c r="M26" s="2259">
        <f>SUMIF(C30:C1033,"=ист",M30:M1033)</f>
        <v>0</v>
      </c>
      <c r="N26" s="2259">
        <f>SUMIF(C30:C1033,"=ист",N30:N1033)</f>
        <v>0</v>
      </c>
      <c r="O26" s="2260">
        <f>SUMIF(C30:C1033,"=ист",O30:O1033)</f>
        <v>0</v>
      </c>
      <c r="P26" s="2259">
        <f>SUMIF(C30:C1033,"=ист",P30:P1033)</f>
        <v>0</v>
      </c>
      <c r="Q26" s="2261">
        <f>SUMIF(C30:C1033,"=ист",Q30:Q1033)</f>
        <v>0</v>
      </c>
      <c r="R26" s="2262">
        <f>SUMIF(C30:C1033,"=ист",R30:R1033)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SUMIFS(M30:M953,F30:F953,"6а",G30:G953,3)+SUMIFS(M30:M953,F30:F953,"6б",G30:G953,3)+SUMIFS(M30:M953,F30:F953,"б/к",G30:G953,3)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SUMIFS(N30:N953,F30:F953,"6а",G30:G953,3)+SUMIFS(N30:N953,F30:F953,"6б",G30:G953,3)+SUMIFS(N30:N953,F30:F953,"б/к",G30:G953,3)</f>
        <v>0</v>
      </c>
      <c r="AM27" s="2817"/>
    </row>
    <row r="28" spans="1:39" ht="16" thickBot="1" x14ac:dyDescent="0.4">
      <c r="A28" s="450"/>
      <c r="B28" s="995"/>
      <c r="C28" s="995"/>
      <c r="D28" s="462"/>
      <c r="E28" s="451"/>
      <c r="F28" s="451"/>
      <c r="G28" s="472"/>
      <c r="H28" s="472"/>
      <c r="I28" s="2324">
        <f t="shared" ref="I28:R28" si="5">SUBTOTAL(9,I30:I565)</f>
        <v>638.0200000000001</v>
      </c>
      <c r="J28" s="2324">
        <f t="shared" si="5"/>
        <v>624.39900000000023</v>
      </c>
      <c r="K28" s="2324">
        <f t="shared" si="5"/>
        <v>0</v>
      </c>
      <c r="L28" s="2324">
        <f t="shared" si="5"/>
        <v>27.242000000000012</v>
      </c>
      <c r="M28" s="2324">
        <f t="shared" si="5"/>
        <v>1.2</v>
      </c>
      <c r="N28" s="2324">
        <f t="shared" si="5"/>
        <v>352.97100000000023</v>
      </c>
      <c r="O28" s="2324">
        <f t="shared" si="5"/>
        <v>0</v>
      </c>
      <c r="P28" s="2324">
        <f t="shared" si="5"/>
        <v>0</v>
      </c>
      <c r="Q28" s="2324">
        <f t="shared" si="5"/>
        <v>401.53299999999973</v>
      </c>
      <c r="R28" s="2324">
        <f t="shared" si="5"/>
        <v>256.97399999999982</v>
      </c>
      <c r="S28" s="464"/>
      <c r="T28" s="463"/>
      <c r="U28" s="463"/>
      <c r="V28" s="463"/>
      <c r="W28" s="464"/>
      <c r="X28" s="463"/>
      <c r="Y28" s="464"/>
      <c r="Z28" s="1737"/>
      <c r="AB28" s="2334">
        <f>SUBTOTAL(9,AB30:AB565)</f>
        <v>278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SUMIFS(O30:O953,F30:F953,"6а",G30:G953,3)+SUMIFS(O30:O953,F30:F953,"6б",G30:G953,3)+SUMIFS(O30:O953,F30:F953,"б/к",G30:G953,3)</f>
        <v>0</v>
      </c>
      <c r="AM28" s="2817"/>
    </row>
    <row r="29" spans="1:39" x14ac:dyDescent="0.35">
      <c r="A29" s="182"/>
      <c r="B29" s="992"/>
      <c r="C29" s="992"/>
      <c r="D29" s="183"/>
      <c r="E29" s="1458" t="s">
        <v>2871</v>
      </c>
      <c r="F29" s="806"/>
      <c r="G29" s="806"/>
      <c r="H29" s="806"/>
      <c r="I29" s="465"/>
      <c r="J29" s="465"/>
      <c r="K29" s="465"/>
      <c r="L29" s="465"/>
      <c r="M29" s="1189"/>
      <c r="N29" s="465"/>
      <c r="O29" s="823"/>
      <c r="P29" s="465"/>
      <c r="Q29" s="1185"/>
      <c r="R29" s="1181"/>
      <c r="S29" s="466"/>
      <c r="T29" s="465"/>
      <c r="U29" s="465"/>
      <c r="V29" s="465"/>
      <c r="W29" s="465"/>
      <c r="X29" s="465"/>
      <c r="Y29" s="466"/>
      <c r="Z29" s="1738"/>
      <c r="AD29" s="2578" t="s">
        <v>7180</v>
      </c>
      <c r="AE29" s="2579">
        <f>SUMIFS(M30:M907,F30:F907,3,G30:G907,3)+SUMIFS(N30:N907,F30:F907,3,G30:G907,3)+SUMIFS(O30:O907,F30:F907,3,G30:G907,3)+SUMIFS(P30:P907,F30:F907,3,G30:G907,3)+SUMIFS(Q30:Q907,F30:F907,3,G30:G907,3)+SUMIFS(R30:R907,F30:F907,3,G30:G907,3)</f>
        <v>0</v>
      </c>
      <c r="AF29" s="2579">
        <f>SUMIFS(M30:M907,F30:F907,4,G30:G907,3)+SUMIFS(N30:N907,F30:F907,4,G30:G907,3)+SUMIFS(O30:O907,F30:F907,4,G30:G907,3)+SUMIFS(P30:P907,F30:F907,4,G30:G907,3)+SUMIFS(Q30:Q907,F30:F907,4,G30:G907,3)+SUMIFS(R30:R907,F30:F907,4,G30:G907,3)</f>
        <v>22.053999999999998</v>
      </c>
      <c r="AG29" s="2579">
        <f>SUMIFS(M30:M907,F30:F907,5,G30:G907,3)+SUMIFS(N30:N907,F30:F907,5,G30:G907,3)+SUMIFS(O30:O907,F30:F907,5,G30:G907,3)+SUMIFS(P30:P907,F30:F907,5,G30:G907,3)+SUMIFS(Q30:Q907,F30:F907,5,G30:G907,3)+SUMIFS(R30:R907,F30:F907,5,G30:G907,3)</f>
        <v>0</v>
      </c>
      <c r="AH29" s="2579">
        <f>SUMIFS(M30:M907,F30:F907,"6а",G30:G907,3)+SUMIFS(N30:N907,F30:F907,"6а",G30:G907,3)+SUMIFS(O30:O907,F30:F907,"6а",G30:G907,3)+SUMIFS(P30:P907,F30:F907,"6а",G30:G907,3)+SUMIFS(Q30:Q907,F30:F907,"6а",G30:G907,3)+SUMIFS(R30:R907,F30:F907,"6а",G30:G907,3)</f>
        <v>0</v>
      </c>
      <c r="AI29" s="2579">
        <f>SUMIFS(M30:M907,F30:F907,"6б",G30:G907,3)+SUMIFS(N30:N907,F30:F907,"6б",G30:G907,3)+SUMIFS(O30:O907,F30:F907,"6б",G30:G907,3)+SUMIFS(P30:P907,F30:F907,"6б",G30:G907,3)+SUMIFS(Q30:Q907,F30:F907,"6б",G30:G907,3)+SUMIFS(R30:R907,F30:F907,"6б",G30:G907,3)</f>
        <v>0</v>
      </c>
      <c r="AJ29" s="2580">
        <f>SUMIFS(M30:M907,F30:F907,"б/к",G30:G907,3)+SUMIFS(N30:N907,F30:F907,"б/к",G30:G907,3)+SUMIFS(O30:O907,F30:F907,"б/к",G30:G907,3)+SUMIFS(P30:P907,F30:F907,"б/к",G30:G907,3)+SUMIFS(Q30:Q907,F30:F907,"б/к",G30:G907,3)+SUMIFS(R30:R907,F30:F907,"б/к",G30:G907,3)</f>
        <v>0</v>
      </c>
      <c r="AK29" s="2815" t="s">
        <v>11233</v>
      </c>
      <c r="AL29" s="2579">
        <f>SUMIFS(P30:P953,F30:F953,"6а",G30:G953,3)+SUMIFS(Q30:Q953,F30:F953,"6а",G30:G953,3)+SUMIFS(P30:P953,F30:F953,"6б",G30:G953,3)+SUMIFS(Q30:Q953,F30:F953,"6б",G30:G953,3)+SUMIFS(P30:P953,F30:F953,"б/к",G30:G953,3)+SUMIFS(Q30:Q953,F30:F953,"б/к",G30:G953,3)</f>
        <v>0</v>
      </c>
      <c r="AM29" s="2817"/>
    </row>
    <row r="30" spans="1:39" ht="45" x14ac:dyDescent="0.35">
      <c r="A30" s="1573">
        <v>1</v>
      </c>
      <c r="B30" s="1574">
        <v>10000</v>
      </c>
      <c r="C30" s="1574"/>
      <c r="D30" s="1575" t="s">
        <v>1779</v>
      </c>
      <c r="E30" s="807" t="s">
        <v>10304</v>
      </c>
      <c r="F30" s="811"/>
      <c r="G30" s="812" t="s">
        <v>191</v>
      </c>
      <c r="H30" s="812" t="s">
        <v>191</v>
      </c>
      <c r="I30" s="808">
        <f>J30+K30+L30</f>
        <v>22.053999999999998</v>
      </c>
      <c r="J30" s="808">
        <f>SUM(M30:R30)</f>
        <v>22.053999999999998</v>
      </c>
      <c r="K30" s="808"/>
      <c r="L30" s="808"/>
      <c r="M30" s="1190"/>
      <c r="N30" s="808">
        <f>SUM(N31:N32)</f>
        <v>16.591999999999999</v>
      </c>
      <c r="O30" s="820"/>
      <c r="P30" s="808"/>
      <c r="Q30" s="1186">
        <f>SUM(Q31:Q32)</f>
        <v>5.4619999999999997</v>
      </c>
      <c r="R30" s="1182"/>
      <c r="S30" s="809">
        <v>2</v>
      </c>
      <c r="T30" s="810">
        <v>12</v>
      </c>
      <c r="U30" s="810"/>
      <c r="V30" s="810"/>
      <c r="W30" s="809">
        <v>40</v>
      </c>
      <c r="X30" s="810">
        <v>592.86</v>
      </c>
      <c r="Y30" s="809">
        <v>14</v>
      </c>
      <c r="Z30" s="1739">
        <v>155.5</v>
      </c>
      <c r="AB30" s="176">
        <v>1</v>
      </c>
      <c r="AD30" s="2578" t="s">
        <v>7181</v>
      </c>
      <c r="AE30" s="2579">
        <f>SUMIFS(M30:M907,F30:F907,3,G30:G907,4)+SUMIFS(N30:N907,F30:F907,3,G30:G907,4)+SUMIFS(O30:O907,F30:F907,3,G30:G907,4)+SUMIFS(P30:P907,F30:F907,3,G30:G907,4)+SUMIFS(Q30:Q907,F30:F907,3,G30:G907,4)+SUMIFS(R30:R907,F30:F907,3,G30:G907,4)</f>
        <v>0</v>
      </c>
      <c r="AF30" s="2579">
        <f>SUMIFS(M30:M907,F30:F907,4,G30:G907,4)+SUMIFS(N30:N907,F30:F907,4,G30:G907,4)+SUMIFS(O30:O907,F30:F907,4,G30:G907,4)+SUMIFS(P30:P907,F30:F907,4,G30:G907,4)+SUMIFS(Q30:Q907,F30:F907,4,G30:G907,4)+SUMIFS(R30:R907,F30:F907,4,G30:G907,4)</f>
        <v>196.90899999999999</v>
      </c>
      <c r="AG30" s="2579">
        <f>SUMIFS(M30:M907,F30:F907,5,G30:G907,4)+SUMIFS(N30:N907,F30:F907,5,G30:G907,4)+SUMIFS(O30:O907,F30:F907,5,G30:G907,4)+SUMIFS(P30:P907,F30:F907,5,G30:G907,4)+SUMIFS(Q30:Q907,F30:F907,5,G30:G907,4)+SUMIFS(R30:R907,F30:F907,5,G30:G907,4)</f>
        <v>14.345000000000002</v>
      </c>
      <c r="AH30" s="2579">
        <f>SUMIFS(M30:M907,F30:F907,"6а",G30:G907,4)+SUMIFS(N30:N907,F30:F907,"6а",G30:G907,4)+SUMIFS(O30:O907,F30:F907,"6а",G30:G907,4)+SUMIFS(P30:P907,F30:F907,"6а",G30:G907,4)+SUMIFS(Q30:Q907,F30:F907,"6а",G30:G907,4)+SUMIFS(R30:R907,F30:F907,"6а",G30:G907,4)</f>
        <v>8.3079999999999998</v>
      </c>
      <c r="AI30" s="2579">
        <f>SUMIFS(M30:M907,F30:F907,"6б",G30:G907,4)+SUMIFS(N30:N907,F30:F907,"6б",G30:G907,4)+SUMIFS(O30:O907,F30:F907,"6б",G30:G907,4)+SUMIFS(P30:P907,F30:F907,"6б",G30:G907,4)+SUMIFS(Q30:Q907,F30:F907,"6б",G30:G907,4)+SUMIFS(R30:R907,F30:F907,"6б",G30:G907,4)</f>
        <v>1.6009999999999973</v>
      </c>
      <c r="AJ30" s="2580">
        <f>SUMIFS(M30:M907,F30:F907,"б/к",G30:G907,4)+SUMIFS(N30:N907,F30:F907,"б/к",G30:G907,4)+SUMIFS(O30:O907,F30:F907,"б/к",G30:G907,4)+SUMIFS(P30:P907,F30:F907,"б/к",G30:G907,4)+SUMIFS(Q30:Q907,F30:F907,"б/к",G30:G907,4)+SUMIFS(R30:R907,F30:F907,"б/к",G30:G907,4)</f>
        <v>0</v>
      </c>
      <c r="AK30" s="2815" t="s">
        <v>910</v>
      </c>
      <c r="AL30" s="2579">
        <f>SUMIFS(R30:R953,F30:F953,"6а",G30:G953,3)+SUMIFS(R30:R953,F30:F953,"6б",G30:G953,3)+SUMIFS(R30:R953,F30:F953,"б/к",G30:G953,3)</f>
        <v>0</v>
      </c>
      <c r="AM30" s="2817"/>
    </row>
    <row r="31" spans="1:39" x14ac:dyDescent="0.35">
      <c r="A31" s="1576"/>
      <c r="B31" s="1574">
        <v>10000</v>
      </c>
      <c r="C31" s="1574"/>
      <c r="D31" s="1577"/>
      <c r="E31" s="1195" t="s">
        <v>3420</v>
      </c>
      <c r="F31" s="811">
        <v>4</v>
      </c>
      <c r="G31" s="812">
        <v>3</v>
      </c>
      <c r="H31" s="812">
        <v>6</v>
      </c>
      <c r="I31" s="813"/>
      <c r="J31" s="813"/>
      <c r="K31" s="813"/>
      <c r="L31" s="813"/>
      <c r="M31" s="1191"/>
      <c r="N31" s="813"/>
      <c r="O31" s="819"/>
      <c r="P31" s="813"/>
      <c r="Q31" s="1187">
        <f>28.671-23.209</f>
        <v>5.4619999999999997</v>
      </c>
      <c r="R31" s="1183"/>
      <c r="S31" s="814"/>
      <c r="T31" s="815"/>
      <c r="U31" s="815"/>
      <c r="V31" s="815"/>
      <c r="W31" s="814"/>
      <c r="X31" s="815"/>
      <c r="Y31" s="814"/>
      <c r="Z31" s="1740"/>
      <c r="AD31" s="2581" t="s">
        <v>7182</v>
      </c>
      <c r="AE31" s="2582">
        <f>SUMIFS(M30:M907,F30:F907,3,G30:G907,5)+SUMIFS(N30:N907,F30:F907,3,G30:G907,5)+SUMIFS(O30:O907,F30:F907,3,G30:G907,5)+SUMIFS(P30:P907,F30:F907,3,G30:G907,5)+SUMIFS(Q30:Q907,F30:F907,3,G30:G907,5)+SUMIFS(R30:R907,F30:F907,3,G30:G907,5)</f>
        <v>0</v>
      </c>
      <c r="AF31" s="2582">
        <f>SUMIFS(M30:M907,F30:F907,4,G30:G907,5)+SUMIFS(N30:N907,F30:F907,4,G30:G907,5)+SUMIFS(O30:O907,F30:F907,4,G30:G907,5)+SUMIFS(P30:P907,F30:F907,4,G30:G907,5)+SUMIFS(Q30:Q907,F30:F907,4,G30:G907,5)+SUMIFS(R30:R907,F30:F907,4,G30:G907,5)</f>
        <v>33.813999999999993</v>
      </c>
      <c r="AG31" s="2582">
        <f>SUMIFS(M30:M907,F30:F907,5,G30:G907,5)+SUMIFS(N30:N907,F30:F907,5,G30:G907,5)+SUMIFS(O30:O907,F30:F907,5,G30:G907,5)+SUMIFS(P30:P907,F30:F907,5,G30:G907,5)+SUMIFS(Q30:Q907,F30:F907,5,G30:G907,5)+SUMIFS(R30:R907,F30:F907,5,G30:G907,5)</f>
        <v>95.999000000000024</v>
      </c>
      <c r="AH31" s="2582">
        <f>SUMIFS(M30:M907,F30:F907,"6а",G30:G907,5)+SUMIFS(N30:N907,F30:F907,"6а",G30:G907,5)+SUMIFS(O30:O907,F30:F907,"6а",G30:G907,5)+SUMIFS(P30:P907,F30:F907,"6а",G30:G907,5)+SUMIFS(Q30:Q907,F30:F907,"6а",G30:G907,5)+SUMIFS(R30:R907,F30:F907,"6а",G30:G907,5)</f>
        <v>88.89700000000002</v>
      </c>
      <c r="AI31" s="2582">
        <f>SUMIFS(M30:M907,F30:F907,"6б",G30:G907,5)+SUMIFS(N30:N907,F30:F907,"6б",G30:G907,5)+SUMIFS(O30:O907,F30:F907,"6б",G30:G907,5)+SUMIFS(P30:P907,F30:F907,"6б",G30:G907,5)+SUMIFS(Q30:Q907,F30:F907,"6б",G30:G907,5)+SUMIFS(R30:R907,F30:F907,"6б",G30:G907,5)</f>
        <v>54.936000000000007</v>
      </c>
      <c r="AJ31" s="2583">
        <f>SUMIFS(M30:M907,F30:F907,"б/к",G30:G907,5)+SUMIFS(N30:N907,F30:F907,"б/к",G30:G907,5)+SUMIFS(O30:O907,F30:F907,"б/к",G30:G907,5)+SUMIFS(P30:P907,F30:F907,"б/к",G30:G907,5)+SUMIFS(Q30:Q907,F30:F907,"б/к",G30:G907,5)+SUMIFS(R30:R907,F30:F907,"б/к",G30:G907,5)</f>
        <v>107.53599999999997</v>
      </c>
      <c r="AK31" s="2815"/>
      <c r="AL31" s="2579"/>
      <c r="AM31" s="2817"/>
    </row>
    <row r="32" spans="1:39" x14ac:dyDescent="0.35">
      <c r="A32" s="1576"/>
      <c r="B32" s="1574">
        <v>10000</v>
      </c>
      <c r="C32" s="1574"/>
      <c r="D32" s="1577"/>
      <c r="E32" s="816" t="s">
        <v>3421</v>
      </c>
      <c r="F32" s="811">
        <v>4</v>
      </c>
      <c r="G32" s="812">
        <v>3</v>
      </c>
      <c r="H32" s="812">
        <v>6</v>
      </c>
      <c r="I32" s="813"/>
      <c r="J32" s="813"/>
      <c r="K32" s="813"/>
      <c r="L32" s="813"/>
      <c r="M32" s="1191"/>
      <c r="N32" s="813">
        <f>45.263-28.671</f>
        <v>16.591999999999999</v>
      </c>
      <c r="O32" s="819"/>
      <c r="P32" s="813"/>
      <c r="Q32" s="1187"/>
      <c r="R32" s="1183"/>
      <c r="S32" s="814"/>
      <c r="T32" s="815"/>
      <c r="U32" s="815"/>
      <c r="V32" s="815"/>
      <c r="W32" s="814"/>
      <c r="X32" s="815"/>
      <c r="Y32" s="814"/>
      <c r="Z32" s="1740"/>
      <c r="AD32"/>
      <c r="AE32" s="1572"/>
      <c r="AF32"/>
      <c r="AG32"/>
      <c r="AH32"/>
      <c r="AI32" s="2584" t="s">
        <v>7183</v>
      </c>
      <c r="AJ32" s="2585">
        <f>SUMIF(AB30:AB907,"=1",J30:J907)</f>
        <v>624.39900000000023</v>
      </c>
      <c r="AK32" s="2818" t="s">
        <v>11235</v>
      </c>
      <c r="AL32" s="2821">
        <f>AL34+AL40+AL46</f>
        <v>221.16299999999998</v>
      </c>
      <c r="AM32" s="2820">
        <f>AL32-J19</f>
        <v>0</v>
      </c>
    </row>
    <row r="33" spans="1:39" ht="60" x14ac:dyDescent="0.35">
      <c r="A33" s="1573">
        <v>2</v>
      </c>
      <c r="B33" s="1574">
        <v>10000</v>
      </c>
      <c r="C33" s="1574"/>
      <c r="D33" s="2473" t="s">
        <v>6544</v>
      </c>
      <c r="E33" s="817" t="s">
        <v>10305</v>
      </c>
      <c r="F33" s="811">
        <v>5</v>
      </c>
      <c r="G33" s="812">
        <v>5</v>
      </c>
      <c r="H33" s="812">
        <v>6</v>
      </c>
      <c r="I33" s="808">
        <f>J33+K33+L33</f>
        <v>2.4</v>
      </c>
      <c r="J33" s="808">
        <f>SUM(M33:R33)</f>
        <v>2.4</v>
      </c>
      <c r="K33" s="808"/>
      <c r="L33" s="808"/>
      <c r="M33" s="1190"/>
      <c r="N33" s="808"/>
      <c r="O33" s="820"/>
      <c r="P33" s="808"/>
      <c r="Q33" s="1186"/>
      <c r="R33" s="1182">
        <v>2.4</v>
      </c>
      <c r="S33" s="809"/>
      <c r="T33" s="810"/>
      <c r="U33" s="810"/>
      <c r="V33" s="810"/>
      <c r="W33" s="809"/>
      <c r="X33" s="810"/>
      <c r="Y33" s="809"/>
      <c r="Z33" s="1739"/>
      <c r="AB33" s="176">
        <v>1</v>
      </c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ht="75" x14ac:dyDescent="0.35">
      <c r="A34" s="1573">
        <v>3</v>
      </c>
      <c r="B34" s="1052">
        <v>10000</v>
      </c>
      <c r="C34" s="1052" t="s">
        <v>1656</v>
      </c>
      <c r="D34" s="2473" t="s">
        <v>6545</v>
      </c>
      <c r="E34" s="817" t="s">
        <v>10306</v>
      </c>
      <c r="F34" s="92" t="s">
        <v>664</v>
      </c>
      <c r="G34" s="2289">
        <v>5</v>
      </c>
      <c r="H34" s="812">
        <v>6</v>
      </c>
      <c r="I34" s="297">
        <f>J34+K34+L34</f>
        <v>0.28999999999999998</v>
      </c>
      <c r="J34" s="297">
        <f>SUM(M34:R34)</f>
        <v>0.28999999999999998</v>
      </c>
      <c r="K34" s="490"/>
      <c r="L34" s="490"/>
      <c r="M34" s="490"/>
      <c r="N34" s="490"/>
      <c r="O34" s="490"/>
      <c r="P34" s="490"/>
      <c r="Q34" s="490"/>
      <c r="R34" s="2207">
        <v>0.28999999999999998</v>
      </c>
      <c r="S34" s="101"/>
      <c r="T34" s="101"/>
      <c r="U34" s="101"/>
      <c r="V34" s="101"/>
      <c r="W34" s="1969"/>
      <c r="X34" s="1969"/>
      <c r="Y34" s="1969"/>
      <c r="Z34" s="2186"/>
      <c r="AB34" s="176">
        <v>1</v>
      </c>
      <c r="AE34" s="2461"/>
      <c r="AF34" s="68"/>
      <c r="AK34" s="2818" t="s">
        <v>7184</v>
      </c>
      <c r="AL34" s="2821">
        <f>AL35+AL36+AL37+AL38+AL39</f>
        <v>196.90899999999999</v>
      </c>
      <c r="AM34" s="2820">
        <f>AL34-AF30</f>
        <v>0</v>
      </c>
    </row>
    <row r="35" spans="1:39" ht="75" x14ac:dyDescent="0.35">
      <c r="A35" s="1573">
        <v>4</v>
      </c>
      <c r="B35" s="1052">
        <v>10000</v>
      </c>
      <c r="C35" s="1052" t="s">
        <v>1656</v>
      </c>
      <c r="D35" s="2473" t="s">
        <v>6546</v>
      </c>
      <c r="E35" s="807" t="s">
        <v>10307</v>
      </c>
      <c r="F35" s="811" t="s">
        <v>664</v>
      </c>
      <c r="G35" s="2289">
        <v>5</v>
      </c>
      <c r="H35" s="812">
        <v>6</v>
      </c>
      <c r="I35" s="297">
        <f>J35+K35+L35</f>
        <v>0.51700000000000002</v>
      </c>
      <c r="J35" s="297">
        <f>SUM(M35:R35)</f>
        <v>0.51700000000000002</v>
      </c>
      <c r="K35" s="808"/>
      <c r="L35" s="808"/>
      <c r="M35" s="1190"/>
      <c r="N35" s="808"/>
      <c r="O35" s="820"/>
      <c r="P35" s="808"/>
      <c r="Q35" s="1186"/>
      <c r="R35" s="1182">
        <v>0.51700000000000002</v>
      </c>
      <c r="S35" s="809"/>
      <c r="T35" s="810"/>
      <c r="U35" s="810"/>
      <c r="V35" s="810"/>
      <c r="W35" s="809"/>
      <c r="X35" s="810"/>
      <c r="Y35" s="809"/>
      <c r="Z35" s="1739"/>
      <c r="AB35" s="176">
        <v>1</v>
      </c>
      <c r="AE35" s="2461"/>
      <c r="AF35" s="68"/>
      <c r="AK35" s="2815" t="s">
        <v>11230</v>
      </c>
      <c r="AL35" s="2579">
        <f>SUMIFS(M30:M953,F30:F953,4,G30:G953,4)</f>
        <v>0</v>
      </c>
      <c r="AM35" s="2817"/>
    </row>
    <row r="36" spans="1:39" ht="60" x14ac:dyDescent="0.35">
      <c r="A36" s="441">
        <v>5</v>
      </c>
      <c r="B36" s="1574">
        <v>10000</v>
      </c>
      <c r="C36" s="1575"/>
      <c r="D36" s="2473" t="s">
        <v>6547</v>
      </c>
      <c r="E36" s="807" t="s">
        <v>10308</v>
      </c>
      <c r="F36" s="811"/>
      <c r="G36" s="2289" t="s">
        <v>191</v>
      </c>
      <c r="H36" s="812" t="s">
        <v>191</v>
      </c>
      <c r="I36" s="297">
        <f>J36+K36+L36</f>
        <v>2</v>
      </c>
      <c r="J36" s="297">
        <f>SUM(M36:R36)</f>
        <v>2</v>
      </c>
      <c r="K36" s="813"/>
      <c r="L36" s="813"/>
      <c r="M36" s="1190"/>
      <c r="N36" s="808">
        <f>SUM(N37:N38)</f>
        <v>1.7</v>
      </c>
      <c r="O36" s="820"/>
      <c r="P36" s="808"/>
      <c r="Q36" s="1186">
        <f>SUM(Q37:Q38)</f>
        <v>0.30000000000000004</v>
      </c>
      <c r="R36" s="1182"/>
      <c r="S36" s="809"/>
      <c r="T36" s="810"/>
      <c r="U36" s="810"/>
      <c r="V36" s="810"/>
      <c r="W36" s="809"/>
      <c r="X36" s="810"/>
      <c r="Y36" s="809"/>
      <c r="Z36" s="1739"/>
      <c r="AB36" s="176">
        <v>1</v>
      </c>
      <c r="AE36" s="2461"/>
      <c r="AF36" s="68"/>
      <c r="AK36" s="2815" t="s">
        <v>11231</v>
      </c>
      <c r="AL36" s="2579">
        <f>SUMIFS(N30:N953,F30:F953,4,G30:G953,4)</f>
        <v>115.14699999999999</v>
      </c>
      <c r="AM36" s="2817"/>
    </row>
    <row r="37" spans="1:39" x14ac:dyDescent="0.35">
      <c r="A37" s="441"/>
      <c r="B37" s="1574">
        <v>10000</v>
      </c>
      <c r="C37" s="1574"/>
      <c r="D37" s="1575"/>
      <c r="E37" s="816" t="s">
        <v>1738</v>
      </c>
      <c r="F37" s="811">
        <v>5</v>
      </c>
      <c r="G37" s="2289">
        <v>5</v>
      </c>
      <c r="H37" s="812">
        <v>6</v>
      </c>
      <c r="I37" s="297"/>
      <c r="J37" s="297"/>
      <c r="K37" s="813"/>
      <c r="L37" s="813"/>
      <c r="M37" s="1190"/>
      <c r="N37" s="808">
        <v>1.7</v>
      </c>
      <c r="O37" s="820"/>
      <c r="P37" s="808"/>
      <c r="Q37" s="1186"/>
      <c r="R37" s="1182"/>
      <c r="S37" s="809"/>
      <c r="T37" s="810"/>
      <c r="U37" s="810"/>
      <c r="V37" s="810"/>
      <c r="W37" s="809"/>
      <c r="X37" s="810"/>
      <c r="Y37" s="809"/>
      <c r="Z37" s="1739"/>
      <c r="AE37" s="2461"/>
      <c r="AF37" s="68"/>
      <c r="AK37" s="2815" t="s">
        <v>11232</v>
      </c>
      <c r="AL37" s="2579">
        <f>SUMIFS(O30:O953,F30:F953,4,G30:G953,4)</f>
        <v>0</v>
      </c>
      <c r="AM37" s="2817"/>
    </row>
    <row r="38" spans="1:39" x14ac:dyDescent="0.35">
      <c r="A38" s="441"/>
      <c r="B38" s="1574">
        <v>10000</v>
      </c>
      <c r="C38" s="1574"/>
      <c r="D38" s="1575"/>
      <c r="E38" s="1195" t="s">
        <v>1789</v>
      </c>
      <c r="F38" s="811">
        <v>5</v>
      </c>
      <c r="G38" s="2289">
        <v>5</v>
      </c>
      <c r="H38" s="812">
        <v>6</v>
      </c>
      <c r="I38" s="297"/>
      <c r="J38" s="297"/>
      <c r="K38" s="813"/>
      <c r="L38" s="813"/>
      <c r="M38" s="1190"/>
      <c r="N38" s="808"/>
      <c r="O38" s="820"/>
      <c r="P38" s="808"/>
      <c r="Q38" s="1186">
        <f>2-1.7</f>
        <v>0.30000000000000004</v>
      </c>
      <c r="R38" s="1182"/>
      <c r="S38" s="809"/>
      <c r="T38" s="810"/>
      <c r="U38" s="810"/>
      <c r="V38" s="810"/>
      <c r="W38" s="809"/>
      <c r="X38" s="810"/>
      <c r="Y38" s="809"/>
      <c r="Z38" s="1739"/>
      <c r="AE38" s="2461"/>
      <c r="AF38" s="68"/>
      <c r="AK38" s="2815" t="s">
        <v>11233</v>
      </c>
      <c r="AL38" s="2579">
        <f>SUMIFS(P30:P953,F30:F953,4,G30:G953,4)+SUMIFS(Q30:Q953,F30:F953,4,G30:G953,4)</f>
        <v>81.762000000000015</v>
      </c>
      <c r="AM38" s="2817"/>
    </row>
    <row r="39" spans="1:39" ht="60" x14ac:dyDescent="0.35">
      <c r="A39" s="1573">
        <v>6</v>
      </c>
      <c r="B39" s="1574">
        <v>10000</v>
      </c>
      <c r="C39" s="1574"/>
      <c r="D39" s="2473" t="s">
        <v>6548</v>
      </c>
      <c r="E39" s="817" t="s">
        <v>10309</v>
      </c>
      <c r="F39" s="811" t="s">
        <v>827</v>
      </c>
      <c r="G39" s="812">
        <v>5</v>
      </c>
      <c r="H39" s="812">
        <v>6</v>
      </c>
      <c r="I39" s="808">
        <f t="shared" ref="I39:I47" si="6">J39+K39+L39</f>
        <v>2</v>
      </c>
      <c r="J39" s="808">
        <f>SUM(M39:R39)</f>
        <v>2</v>
      </c>
      <c r="K39" s="808"/>
      <c r="L39" s="808"/>
      <c r="M39" s="1190"/>
      <c r="N39" s="808"/>
      <c r="O39" s="820"/>
      <c r="P39" s="808"/>
      <c r="Q39" s="1186"/>
      <c r="R39" s="1182">
        <v>2</v>
      </c>
      <c r="S39" s="809"/>
      <c r="T39" s="810"/>
      <c r="U39" s="810"/>
      <c r="V39" s="810"/>
      <c r="W39" s="809"/>
      <c r="X39" s="810"/>
      <c r="Y39" s="809"/>
      <c r="Z39" s="1739"/>
      <c r="AB39" s="176">
        <v>1</v>
      </c>
      <c r="AE39" s="2461"/>
      <c r="AF39" s="68"/>
      <c r="AK39" s="2815" t="s">
        <v>910</v>
      </c>
      <c r="AL39" s="2579">
        <f>SUMIFS(R30:R953,F30:F953,4,G30:G953,4)</f>
        <v>0</v>
      </c>
      <c r="AM39" s="2817"/>
    </row>
    <row r="40" spans="1:39" ht="75" x14ac:dyDescent="0.35">
      <c r="A40" s="1573">
        <v>7</v>
      </c>
      <c r="B40" s="1052">
        <v>10000</v>
      </c>
      <c r="C40" s="1052" t="s">
        <v>1656</v>
      </c>
      <c r="D40" s="2473" t="s">
        <v>6549</v>
      </c>
      <c r="E40" s="2187" t="s">
        <v>10310</v>
      </c>
      <c r="F40" s="811" t="s">
        <v>664</v>
      </c>
      <c r="G40" s="93">
        <v>5</v>
      </c>
      <c r="H40" s="812">
        <v>6</v>
      </c>
      <c r="I40" s="2157">
        <f t="shared" si="6"/>
        <v>0.4</v>
      </c>
      <c r="J40" s="2157">
        <f>M40+N40+O40+P40+Q40+R40</f>
        <v>0.4</v>
      </c>
      <c r="K40" s="490"/>
      <c r="L40" s="490"/>
      <c r="M40" s="490"/>
      <c r="N40" s="490"/>
      <c r="O40" s="490"/>
      <c r="P40" s="490"/>
      <c r="Q40" s="2182"/>
      <c r="R40" s="906">
        <v>0.4</v>
      </c>
      <c r="S40" s="101"/>
      <c r="T40" s="101"/>
      <c r="U40" s="101"/>
      <c r="V40" s="101"/>
      <c r="W40" s="1969"/>
      <c r="X40" s="1969"/>
      <c r="Y40" s="1969"/>
      <c r="Z40" s="2186"/>
      <c r="AB40" s="176">
        <v>1</v>
      </c>
      <c r="AE40" s="2461"/>
      <c r="AF40" s="68"/>
      <c r="AK40" s="2818" t="s">
        <v>7185</v>
      </c>
      <c r="AL40" s="2821">
        <f>AL41+AL42+AL43+AL44+AL45</f>
        <v>14.345000000000002</v>
      </c>
      <c r="AM40" s="2820">
        <f>AL40-AG30</f>
        <v>0</v>
      </c>
    </row>
    <row r="41" spans="1:39" ht="60" x14ac:dyDescent="0.35">
      <c r="A41" s="1573">
        <v>8</v>
      </c>
      <c r="B41" s="1574">
        <v>10000</v>
      </c>
      <c r="C41" s="1574"/>
      <c r="D41" s="2473" t="s">
        <v>6550</v>
      </c>
      <c r="E41" s="817" t="s">
        <v>10311</v>
      </c>
      <c r="F41" s="811" t="s">
        <v>1490</v>
      </c>
      <c r="G41" s="812">
        <v>5</v>
      </c>
      <c r="H41" s="812">
        <v>6</v>
      </c>
      <c r="I41" s="808">
        <f t="shared" si="6"/>
        <v>1.5</v>
      </c>
      <c r="J41" s="808">
        <f t="shared" ref="J41:J47" si="7">SUM(M41:R41)</f>
        <v>1.5</v>
      </c>
      <c r="K41" s="808"/>
      <c r="L41" s="808"/>
      <c r="M41" s="1190"/>
      <c r="N41" s="808"/>
      <c r="O41" s="820"/>
      <c r="P41" s="808"/>
      <c r="Q41" s="1186"/>
      <c r="R41" s="1182">
        <v>1.5</v>
      </c>
      <c r="S41" s="809"/>
      <c r="T41" s="810"/>
      <c r="U41" s="810"/>
      <c r="V41" s="810"/>
      <c r="W41" s="809"/>
      <c r="X41" s="810"/>
      <c r="Y41" s="809"/>
      <c r="Z41" s="1739"/>
      <c r="AB41" s="176">
        <v>1</v>
      </c>
      <c r="AE41" s="2461"/>
      <c r="AF41" s="68"/>
      <c r="AK41" s="2815" t="s">
        <v>11230</v>
      </c>
      <c r="AL41" s="2579">
        <f>SUMIFS(M30:M953,F30:F953,5,G30:G953,4)</f>
        <v>0</v>
      </c>
      <c r="AM41" s="2817"/>
    </row>
    <row r="42" spans="1:39" ht="60" x14ac:dyDescent="0.35">
      <c r="A42" s="1573">
        <v>9</v>
      </c>
      <c r="B42" s="1574">
        <v>10000</v>
      </c>
      <c r="C42" s="358" t="s">
        <v>1656</v>
      </c>
      <c r="D42" s="2473" t="s">
        <v>6551</v>
      </c>
      <c r="E42" s="1845" t="s">
        <v>10312</v>
      </c>
      <c r="F42" s="811" t="s">
        <v>664</v>
      </c>
      <c r="G42" s="2289">
        <v>5</v>
      </c>
      <c r="H42" s="812">
        <v>6</v>
      </c>
      <c r="I42" s="297">
        <f t="shared" si="6"/>
        <v>0.4</v>
      </c>
      <c r="J42" s="297">
        <f t="shared" si="7"/>
        <v>0.4</v>
      </c>
      <c r="K42" s="813"/>
      <c r="L42" s="813"/>
      <c r="M42" s="1190"/>
      <c r="N42" s="808"/>
      <c r="O42" s="820"/>
      <c r="P42" s="808"/>
      <c r="Q42" s="1186"/>
      <c r="R42" s="1182">
        <v>0.4</v>
      </c>
      <c r="S42" s="809"/>
      <c r="T42" s="810"/>
      <c r="U42" s="810"/>
      <c r="V42" s="810"/>
      <c r="W42" s="809"/>
      <c r="X42" s="810"/>
      <c r="Y42" s="809"/>
      <c r="Z42" s="1739"/>
      <c r="AB42" s="176">
        <v>1</v>
      </c>
      <c r="AE42" s="2461"/>
      <c r="AF42" s="68"/>
      <c r="AK42" s="2815" t="s">
        <v>11231</v>
      </c>
      <c r="AL42" s="2579">
        <f>SUMIFS(N30:N953,F30:F953,5,G30:G953,4)</f>
        <v>9.3770000000000007</v>
      </c>
      <c r="AM42" s="2817"/>
    </row>
    <row r="43" spans="1:39" ht="75" x14ac:dyDescent="0.35">
      <c r="A43" s="1573">
        <v>10</v>
      </c>
      <c r="B43" s="1574">
        <v>10000</v>
      </c>
      <c r="C43" s="358" t="s">
        <v>1656</v>
      </c>
      <c r="D43" s="2473" t="s">
        <v>6552</v>
      </c>
      <c r="E43" s="2187" t="s">
        <v>10313</v>
      </c>
      <c r="F43" s="811" t="s">
        <v>664</v>
      </c>
      <c r="G43" s="2289">
        <v>5</v>
      </c>
      <c r="H43" s="812">
        <v>6</v>
      </c>
      <c r="I43" s="297">
        <f t="shared" si="6"/>
        <v>0.8</v>
      </c>
      <c r="J43" s="297">
        <f t="shared" si="7"/>
        <v>0.8</v>
      </c>
      <c r="K43" s="490"/>
      <c r="L43" s="490"/>
      <c r="M43" s="490"/>
      <c r="N43" s="490"/>
      <c r="O43" s="490"/>
      <c r="P43" s="490"/>
      <c r="Q43" s="2182"/>
      <c r="R43" s="906">
        <v>0.8</v>
      </c>
      <c r="S43" s="101"/>
      <c r="T43" s="101"/>
      <c r="U43" s="101"/>
      <c r="V43" s="101"/>
      <c r="W43" s="1969"/>
      <c r="X43" s="1969"/>
      <c r="Y43" s="1969"/>
      <c r="Z43" s="2186"/>
      <c r="AB43" s="176">
        <v>1</v>
      </c>
      <c r="AE43" s="2461"/>
      <c r="AF43" s="68"/>
      <c r="AK43" s="2815" t="s">
        <v>11232</v>
      </c>
      <c r="AL43" s="2579">
        <f>SUMIFS(O30:O953,F30:F953,5,G30:G953,4)</f>
        <v>0</v>
      </c>
      <c r="AM43" s="2817"/>
    </row>
    <row r="44" spans="1:39" ht="60" x14ac:dyDescent="0.35">
      <c r="A44" s="1573">
        <v>11</v>
      </c>
      <c r="B44" s="1574">
        <v>11607</v>
      </c>
      <c r="C44" s="1052" t="s">
        <v>1656</v>
      </c>
      <c r="D44" s="2473" t="s">
        <v>6643</v>
      </c>
      <c r="E44" s="817" t="s">
        <v>10314</v>
      </c>
      <c r="F44" s="811" t="s">
        <v>664</v>
      </c>
      <c r="G44" s="93">
        <v>5</v>
      </c>
      <c r="H44" s="812">
        <v>6</v>
      </c>
      <c r="I44" s="2157">
        <f t="shared" si="6"/>
        <v>1.3</v>
      </c>
      <c r="J44" s="2157">
        <f>M44+N44+O44+P44+Q44+R44</f>
        <v>1.3</v>
      </c>
      <c r="K44" s="813"/>
      <c r="L44" s="813"/>
      <c r="M44" s="1191"/>
      <c r="N44" s="813"/>
      <c r="O44" s="819"/>
      <c r="P44" s="813"/>
      <c r="Q44" s="1187"/>
      <c r="R44" s="1182">
        <v>1.3</v>
      </c>
      <c r="S44" s="814"/>
      <c r="T44" s="815"/>
      <c r="U44" s="815"/>
      <c r="V44" s="815"/>
      <c r="W44" s="814"/>
      <c r="X44" s="815"/>
      <c r="Y44" s="814"/>
      <c r="Z44" s="1740"/>
      <c r="AB44" s="176">
        <v>1</v>
      </c>
      <c r="AE44" s="2461"/>
      <c r="AF44" s="68"/>
      <c r="AK44" s="2815" t="s">
        <v>11233</v>
      </c>
      <c r="AL44" s="2579">
        <f>SUMIFS(P30:P953,F30:F953,5,G30:G953,4)+SUMIFS(Q30:Q953,F30:F953,5,G30:G953,4)</f>
        <v>4.9680000000000017</v>
      </c>
      <c r="AM44" s="2817"/>
    </row>
    <row r="45" spans="1:39" ht="45" x14ac:dyDescent="0.35">
      <c r="A45" s="1573">
        <v>12</v>
      </c>
      <c r="B45" s="1574">
        <v>10002</v>
      </c>
      <c r="C45" s="1574"/>
      <c r="D45" s="1575" t="s">
        <v>1780</v>
      </c>
      <c r="E45" s="807" t="s">
        <v>10315</v>
      </c>
      <c r="F45" s="811">
        <v>4</v>
      </c>
      <c r="G45" s="812">
        <v>4</v>
      </c>
      <c r="H45" s="812">
        <v>6</v>
      </c>
      <c r="I45" s="808">
        <f t="shared" si="6"/>
        <v>1.9580000000000002</v>
      </c>
      <c r="J45" s="808">
        <f t="shared" si="7"/>
        <v>1.9580000000000002</v>
      </c>
      <c r="K45" s="808"/>
      <c r="L45" s="808"/>
      <c r="M45" s="1190"/>
      <c r="N45" s="808">
        <f>14.855-12.897</f>
        <v>1.9580000000000002</v>
      </c>
      <c r="O45" s="820"/>
      <c r="P45" s="808"/>
      <c r="Q45" s="1186"/>
      <c r="R45" s="1182"/>
      <c r="S45" s="809"/>
      <c r="T45" s="810"/>
      <c r="U45" s="810"/>
      <c r="V45" s="810"/>
      <c r="W45" s="809">
        <v>4</v>
      </c>
      <c r="X45" s="810">
        <v>67.7</v>
      </c>
      <c r="Y45" s="809">
        <v>1</v>
      </c>
      <c r="Z45" s="1739">
        <v>15</v>
      </c>
      <c r="AB45" s="176">
        <v>1</v>
      </c>
      <c r="AE45" s="2461"/>
      <c r="AF45" s="68"/>
      <c r="AK45" s="2815" t="s">
        <v>910</v>
      </c>
      <c r="AL45" s="2579">
        <f>SUMIFS(R30:R953,F30:F953,5,G30:G953,4)</f>
        <v>0</v>
      </c>
      <c r="AM45" s="2817"/>
    </row>
    <row r="46" spans="1:39" ht="30" x14ac:dyDescent="0.35">
      <c r="A46" s="1573">
        <v>13</v>
      </c>
      <c r="B46" s="1574">
        <v>11577</v>
      </c>
      <c r="C46" s="1574"/>
      <c r="D46" s="1575" t="s">
        <v>1487</v>
      </c>
      <c r="E46" s="807" t="s">
        <v>6953</v>
      </c>
      <c r="F46" s="811">
        <v>4</v>
      </c>
      <c r="G46" s="812">
        <v>4</v>
      </c>
      <c r="H46" s="812">
        <v>6</v>
      </c>
      <c r="I46" s="808">
        <f t="shared" si="6"/>
        <v>10.53</v>
      </c>
      <c r="J46" s="808">
        <f t="shared" si="7"/>
        <v>10.53</v>
      </c>
      <c r="K46" s="808"/>
      <c r="L46" s="808"/>
      <c r="M46" s="1190"/>
      <c r="N46" s="808">
        <v>10.53</v>
      </c>
      <c r="O46" s="820"/>
      <c r="P46" s="808"/>
      <c r="Q46" s="1186"/>
      <c r="R46" s="1182"/>
      <c r="S46" s="809">
        <v>1</v>
      </c>
      <c r="T46" s="810">
        <v>30.299999237060547</v>
      </c>
      <c r="U46" s="810"/>
      <c r="V46" s="810"/>
      <c r="W46" s="809">
        <v>21</v>
      </c>
      <c r="X46" s="810">
        <v>287.79000000000002</v>
      </c>
      <c r="Y46" s="809">
        <v>11</v>
      </c>
      <c r="Z46" s="1739">
        <v>121</v>
      </c>
      <c r="AB46" s="176">
        <v>1</v>
      </c>
      <c r="AE46" s="2461"/>
      <c r="AF46" s="68"/>
      <c r="AK46" s="2818" t="s">
        <v>11234</v>
      </c>
      <c r="AL46" s="2821">
        <f>AL47+AL48+AL49+AL50+AL51</f>
        <v>9.9089999999999989</v>
      </c>
      <c r="AM46" s="2820">
        <f>AL46-AH30-AI30-AJ30</f>
        <v>1.7763568394002505E-15</v>
      </c>
    </row>
    <row r="47" spans="1:39" ht="45" x14ac:dyDescent="0.35">
      <c r="A47" s="1573">
        <v>14</v>
      </c>
      <c r="B47" s="1574">
        <v>11577</v>
      </c>
      <c r="C47" s="1574"/>
      <c r="D47" s="2473" t="s">
        <v>6553</v>
      </c>
      <c r="E47" s="817" t="s">
        <v>8067</v>
      </c>
      <c r="F47" s="811"/>
      <c r="G47" s="812" t="s">
        <v>191</v>
      </c>
      <c r="H47" s="812" t="s">
        <v>191</v>
      </c>
      <c r="I47" s="808">
        <f t="shared" si="6"/>
        <v>2.9</v>
      </c>
      <c r="J47" s="808">
        <f t="shared" si="7"/>
        <v>2.9</v>
      </c>
      <c r="K47" s="808"/>
      <c r="L47" s="808"/>
      <c r="M47" s="1190"/>
      <c r="N47" s="808"/>
      <c r="O47" s="820"/>
      <c r="P47" s="808"/>
      <c r="Q47" s="1186">
        <f>SUM(Q48:Q49)</f>
        <v>1.9</v>
      </c>
      <c r="R47" s="1182">
        <f>SUM(R48:R49)</f>
        <v>1</v>
      </c>
      <c r="S47" s="809"/>
      <c r="T47" s="810"/>
      <c r="U47" s="810"/>
      <c r="V47" s="810"/>
      <c r="W47" s="809">
        <v>3</v>
      </c>
      <c r="X47" s="810">
        <v>42.55</v>
      </c>
      <c r="Y47" s="809"/>
      <c r="Z47" s="1739"/>
      <c r="AA47" s="176" t="s">
        <v>890</v>
      </c>
      <c r="AB47" s="176">
        <v>1</v>
      </c>
      <c r="AE47" s="2461"/>
      <c r="AF47" s="68"/>
      <c r="AK47" s="2815" t="s">
        <v>11230</v>
      </c>
      <c r="AL47" s="2579">
        <f>SUMIFS(M30:M953,F30:F953,"6а",G30:G953,4)+SUMIFS(M30:M953,F30:F953,"6б",G30:G953,4)+SUMIFS(M30:M953,F30:F953,"б/к",G30:G953,4)</f>
        <v>0</v>
      </c>
      <c r="AM47" s="2817"/>
    </row>
    <row r="48" spans="1:39" x14ac:dyDescent="0.35">
      <c r="A48" s="1573"/>
      <c r="B48" s="1574">
        <v>11577</v>
      </c>
      <c r="C48" s="1574"/>
      <c r="D48" s="1575"/>
      <c r="E48" s="1827" t="s">
        <v>430</v>
      </c>
      <c r="F48" s="811">
        <v>4</v>
      </c>
      <c r="G48" s="812">
        <v>5</v>
      </c>
      <c r="H48" s="812">
        <v>6</v>
      </c>
      <c r="I48" s="813"/>
      <c r="J48" s="813"/>
      <c r="K48" s="813"/>
      <c r="L48" s="813"/>
      <c r="M48" s="1869"/>
      <c r="N48" s="813"/>
      <c r="O48" s="1870"/>
      <c r="P48" s="813"/>
      <c r="Q48" s="1771">
        <v>1.9</v>
      </c>
      <c r="R48" s="1772"/>
      <c r="S48" s="809"/>
      <c r="T48" s="810"/>
      <c r="U48" s="810"/>
      <c r="V48" s="810"/>
      <c r="W48" s="809"/>
      <c r="X48" s="810"/>
      <c r="Y48" s="809"/>
      <c r="Z48" s="1739"/>
      <c r="AE48" s="2461"/>
      <c r="AF48" s="68"/>
      <c r="AK48" s="2815" t="s">
        <v>11231</v>
      </c>
      <c r="AL48" s="2579">
        <f>SUMIFS(N30:N953,F30:F953,"6а",G30:G953,4)+SUMIFS(N30:N953,F30:F953,"6б",G30:G953,4)+SUMIFS(N30:N953,F30:F953,"б/к",G30:G953,4)</f>
        <v>1.8010000000000002</v>
      </c>
      <c r="AM48" s="2817"/>
    </row>
    <row r="49" spans="1:39" x14ac:dyDescent="0.35">
      <c r="A49" s="1573"/>
      <c r="B49" s="1574">
        <v>11577</v>
      </c>
      <c r="C49" s="1574"/>
      <c r="D49" s="1575"/>
      <c r="E49" s="2237" t="s">
        <v>1201</v>
      </c>
      <c r="F49" s="811" t="s">
        <v>1490</v>
      </c>
      <c r="G49" s="812">
        <v>5</v>
      </c>
      <c r="H49" s="812">
        <v>6</v>
      </c>
      <c r="I49" s="813"/>
      <c r="J49" s="813"/>
      <c r="K49" s="813"/>
      <c r="L49" s="813"/>
      <c r="M49" s="1869"/>
      <c r="N49" s="813"/>
      <c r="O49" s="1870"/>
      <c r="P49" s="813"/>
      <c r="Q49" s="1771"/>
      <c r="R49" s="1772">
        <v>1</v>
      </c>
      <c r="S49" s="809"/>
      <c r="T49" s="810"/>
      <c r="U49" s="810"/>
      <c r="V49" s="810"/>
      <c r="W49" s="809"/>
      <c r="X49" s="810"/>
      <c r="Y49" s="809"/>
      <c r="Z49" s="1739"/>
      <c r="AE49" s="2461"/>
      <c r="AF49" s="68"/>
      <c r="AK49" s="2815" t="s">
        <v>11232</v>
      </c>
      <c r="AL49" s="2579">
        <f>SUMIFS(O30:O953,F30:F953,"6а",G30:G953,4)+SUMIFS(O30:O953,F30:F953,"6б",G30:G953,4)+SUMIFS(O30:O953,F30:F953,"б/к",G30:G953,4)</f>
        <v>0</v>
      </c>
      <c r="AM49" s="2817"/>
    </row>
    <row r="50" spans="1:39" ht="60" x14ac:dyDescent="0.35">
      <c r="A50" s="441">
        <v>15</v>
      </c>
      <c r="B50" s="1574">
        <v>11577</v>
      </c>
      <c r="C50" s="358" t="s">
        <v>1656</v>
      </c>
      <c r="D50" s="2473" t="s">
        <v>6554</v>
      </c>
      <c r="E50" s="807" t="s">
        <v>9096</v>
      </c>
      <c r="F50" s="811" t="s">
        <v>664</v>
      </c>
      <c r="G50" s="2289">
        <v>5</v>
      </c>
      <c r="H50" s="812">
        <v>6</v>
      </c>
      <c r="I50" s="297">
        <f t="shared" ref="I50:I55" si="8">J50+K50+L50</f>
        <v>1</v>
      </c>
      <c r="J50" s="297">
        <f>SUM(M50:R50)</f>
        <v>1</v>
      </c>
      <c r="K50" s="813"/>
      <c r="L50" s="813"/>
      <c r="M50" s="1869"/>
      <c r="N50" s="813"/>
      <c r="O50" s="1870"/>
      <c r="P50" s="813"/>
      <c r="Q50" s="1771"/>
      <c r="R50" s="1182">
        <v>1</v>
      </c>
      <c r="S50" s="809"/>
      <c r="T50" s="810"/>
      <c r="U50" s="810"/>
      <c r="V50" s="810"/>
      <c r="W50" s="809"/>
      <c r="X50" s="810"/>
      <c r="Y50" s="809"/>
      <c r="Z50" s="1739"/>
      <c r="AB50" s="176">
        <v>1</v>
      </c>
      <c r="AE50" s="2461"/>
      <c r="AF50" s="68"/>
      <c r="AK50" s="2815" t="s">
        <v>11233</v>
      </c>
      <c r="AL50" s="2579">
        <f>SUMIFS(P30:P953,F30:F953,"6а",G30:G953,4)+SUMIFS(Q30:Q953,F30:F953,"6а",G30:G953,4)+SUMIFS(P30:P953,F30:F953,"6б",G30:G953,4)+SUMIFS(Q30:Q953,F30:F953,"6б",G30:G953,4)+SUMIFS(O30:O953,F30:F953,"б/к",G30:G953,4)+SUMIFS(P30:P953,F30:F953,"б/к",G30:G953,4)+SUMIFS(Q30:Q953,F30:F953,"б/к",G30:G953,4)</f>
        <v>3.0369999999999981</v>
      </c>
      <c r="AM50" s="2817"/>
    </row>
    <row r="51" spans="1:39" ht="60" x14ac:dyDescent="0.35">
      <c r="A51" s="1573">
        <v>16</v>
      </c>
      <c r="B51" s="1574">
        <v>11577</v>
      </c>
      <c r="C51" s="1574"/>
      <c r="D51" s="2473" t="s">
        <v>6555</v>
      </c>
      <c r="E51" s="817" t="s">
        <v>7405</v>
      </c>
      <c r="F51" s="811">
        <v>5</v>
      </c>
      <c r="G51" s="812">
        <v>5</v>
      </c>
      <c r="H51" s="812">
        <v>6</v>
      </c>
      <c r="I51" s="808">
        <f t="shared" si="8"/>
        <v>1.9590000000000001</v>
      </c>
      <c r="J51" s="808">
        <f>SUM(M51:R51)</f>
        <v>1.9590000000000001</v>
      </c>
      <c r="K51" s="808"/>
      <c r="L51" s="808"/>
      <c r="M51" s="1190"/>
      <c r="N51" s="808"/>
      <c r="O51" s="820"/>
      <c r="P51" s="808"/>
      <c r="Q51" s="1186">
        <v>1.9590000000000001</v>
      </c>
      <c r="R51" s="1182"/>
      <c r="S51" s="809"/>
      <c r="T51" s="810"/>
      <c r="U51" s="810"/>
      <c r="V51" s="810"/>
      <c r="W51" s="809">
        <v>6</v>
      </c>
      <c r="X51" s="810">
        <v>60.6</v>
      </c>
      <c r="Y51" s="809">
        <v>3</v>
      </c>
      <c r="Z51" s="1739">
        <v>30</v>
      </c>
      <c r="AB51" s="176">
        <v>1</v>
      </c>
      <c r="AE51" s="2461"/>
      <c r="AF51" s="68"/>
      <c r="AK51" s="2815" t="s">
        <v>910</v>
      </c>
      <c r="AL51" s="2579">
        <f>SUMIFS(R30:R953,F30:F953,"6а",G30:G953,4)+SUMIFS(R30:R953,F30:F953,"6б",G30:G953,4)+SUMIFS(R30:R953,F30:F953,"б/к",G30:G953,4)</f>
        <v>5.0709999999999997</v>
      </c>
      <c r="AM51" s="2817"/>
    </row>
    <row r="52" spans="1:39" ht="45" x14ac:dyDescent="0.35">
      <c r="A52" s="441">
        <v>17</v>
      </c>
      <c r="B52" s="1574">
        <v>11577</v>
      </c>
      <c r="C52" s="1574"/>
      <c r="D52" s="2473" t="s">
        <v>6556</v>
      </c>
      <c r="E52" s="821" t="s">
        <v>8068</v>
      </c>
      <c r="F52" s="811" t="s">
        <v>1490</v>
      </c>
      <c r="G52" s="812">
        <v>5</v>
      </c>
      <c r="H52" s="812">
        <v>6</v>
      </c>
      <c r="I52" s="808">
        <f t="shared" si="8"/>
        <v>0.65</v>
      </c>
      <c r="J52" s="808">
        <f>SUM(M52:R52)</f>
        <v>0.65</v>
      </c>
      <c r="K52" s="808"/>
      <c r="L52" s="808"/>
      <c r="M52" s="1190"/>
      <c r="N52" s="808"/>
      <c r="O52" s="820"/>
      <c r="P52" s="808"/>
      <c r="Q52" s="1186"/>
      <c r="R52" s="1182">
        <v>0.65</v>
      </c>
      <c r="S52" s="809"/>
      <c r="T52" s="810"/>
      <c r="U52" s="810"/>
      <c r="V52" s="810"/>
      <c r="W52" s="809"/>
      <c r="X52" s="810"/>
      <c r="Y52" s="809"/>
      <c r="Z52" s="1739"/>
      <c r="AB52" s="176">
        <v>1</v>
      </c>
      <c r="AC52" s="176" t="s">
        <v>10790</v>
      </c>
      <c r="AE52" s="2461"/>
      <c r="AF52" s="68"/>
      <c r="AK52" s="2815"/>
      <c r="AL52" s="2579"/>
      <c r="AM52" s="2817"/>
    </row>
    <row r="53" spans="1:39" ht="60" x14ac:dyDescent="0.35">
      <c r="A53" s="1573">
        <v>18</v>
      </c>
      <c r="B53" s="1574">
        <v>11577</v>
      </c>
      <c r="C53" s="1574"/>
      <c r="D53" s="2473" t="s">
        <v>6954</v>
      </c>
      <c r="E53" s="821" t="s">
        <v>8069</v>
      </c>
      <c r="F53" s="811" t="s">
        <v>1490</v>
      </c>
      <c r="G53" s="812">
        <v>5</v>
      </c>
      <c r="H53" s="812">
        <v>6</v>
      </c>
      <c r="I53" s="808">
        <f t="shared" si="8"/>
        <v>0.3</v>
      </c>
      <c r="J53" s="808">
        <f>SUM(M53:R53)</f>
        <v>0.3</v>
      </c>
      <c r="K53" s="808"/>
      <c r="L53" s="808"/>
      <c r="M53" s="1190"/>
      <c r="N53" s="808"/>
      <c r="O53" s="820"/>
      <c r="P53" s="808"/>
      <c r="Q53" s="1186"/>
      <c r="R53" s="1182">
        <v>0.3</v>
      </c>
      <c r="S53" s="809"/>
      <c r="T53" s="810"/>
      <c r="U53" s="810"/>
      <c r="V53" s="810"/>
      <c r="W53" s="809"/>
      <c r="X53" s="810"/>
      <c r="Y53" s="809"/>
      <c r="Z53" s="1739"/>
      <c r="AB53" s="176">
        <v>1</v>
      </c>
      <c r="AE53" s="2461"/>
      <c r="AF53" s="68"/>
      <c r="AK53" s="2818" t="s">
        <v>11236</v>
      </c>
      <c r="AL53" s="2821">
        <f>AL55+AL61+AL67</f>
        <v>381.18200000000002</v>
      </c>
      <c r="AM53" s="2820">
        <f>AL53-J20</f>
        <v>0</v>
      </c>
    </row>
    <row r="54" spans="1:39" ht="45" x14ac:dyDescent="0.35">
      <c r="A54" s="441">
        <v>19</v>
      </c>
      <c r="B54" s="1052">
        <v>11577</v>
      </c>
      <c r="C54" s="1052" t="s">
        <v>1656</v>
      </c>
      <c r="D54" s="2473" t="s">
        <v>10541</v>
      </c>
      <c r="E54" s="2187" t="s">
        <v>9097</v>
      </c>
      <c r="F54" s="811" t="s">
        <v>664</v>
      </c>
      <c r="G54" s="93">
        <v>5</v>
      </c>
      <c r="H54" s="812">
        <v>6</v>
      </c>
      <c r="I54" s="2157">
        <f t="shared" si="8"/>
        <v>0.8</v>
      </c>
      <c r="J54" s="2157">
        <f>M54+N54+O54+P54+Q54+R54</f>
        <v>0.8</v>
      </c>
      <c r="K54" s="490"/>
      <c r="L54" s="490"/>
      <c r="M54" s="490"/>
      <c r="N54" s="490"/>
      <c r="O54" s="490"/>
      <c r="P54" s="490"/>
      <c r="Q54" s="2182"/>
      <c r="R54" s="906">
        <v>0.8</v>
      </c>
      <c r="S54" s="101"/>
      <c r="T54" s="101"/>
      <c r="U54" s="101"/>
      <c r="V54" s="101"/>
      <c r="W54" s="1969"/>
      <c r="X54" s="1969"/>
      <c r="Y54" s="1969"/>
      <c r="Z54" s="2186"/>
      <c r="AB54" s="176">
        <v>1</v>
      </c>
      <c r="AE54" s="2461"/>
      <c r="AF54" s="68"/>
      <c r="AK54" s="2815" t="s">
        <v>11229</v>
      </c>
      <c r="AL54" s="2579"/>
      <c r="AM54" s="2817"/>
    </row>
    <row r="55" spans="1:39" ht="45" x14ac:dyDescent="0.35">
      <c r="A55" s="1573">
        <v>20</v>
      </c>
      <c r="B55" s="1574">
        <v>11578</v>
      </c>
      <c r="C55" s="1574"/>
      <c r="D55" s="1575" t="s">
        <v>1488</v>
      </c>
      <c r="E55" s="807" t="s">
        <v>10316</v>
      </c>
      <c r="F55" s="811"/>
      <c r="G55" s="812" t="s">
        <v>191</v>
      </c>
      <c r="H55" s="812" t="s">
        <v>191</v>
      </c>
      <c r="I55" s="808">
        <f t="shared" si="8"/>
        <v>19.731999999999999</v>
      </c>
      <c r="J55" s="808">
        <f>SUM(M55:R55)</f>
        <v>19.731999999999999</v>
      </c>
      <c r="K55" s="808"/>
      <c r="L55" s="808"/>
      <c r="M55" s="1190"/>
      <c r="N55" s="808">
        <f>SUM(N56:N65)</f>
        <v>15.119</v>
      </c>
      <c r="O55" s="820"/>
      <c r="P55" s="808"/>
      <c r="Q55" s="1186">
        <f>SUM(Q56:Q65)</f>
        <v>4.6129999999999995</v>
      </c>
      <c r="R55" s="1182"/>
      <c r="S55" s="809">
        <v>1</v>
      </c>
      <c r="T55" s="810">
        <v>9.8000001907348633</v>
      </c>
      <c r="U55" s="810"/>
      <c r="V55" s="810"/>
      <c r="W55" s="809">
        <v>36</v>
      </c>
      <c r="X55" s="810">
        <v>506.31</v>
      </c>
      <c r="Y55" s="809">
        <v>12</v>
      </c>
      <c r="Z55" s="1739">
        <v>153.5</v>
      </c>
      <c r="AB55" s="176">
        <v>1</v>
      </c>
      <c r="AE55" s="2461"/>
      <c r="AF55" s="68"/>
      <c r="AK55" s="2818" t="s">
        <v>7184</v>
      </c>
      <c r="AL55" s="2821">
        <f>AL56+AL57+AL58+AL59+AL60</f>
        <v>33.813999999999993</v>
      </c>
      <c r="AM55" s="2820">
        <f>AL55-AF31</f>
        <v>0</v>
      </c>
    </row>
    <row r="56" spans="1:39" x14ac:dyDescent="0.35">
      <c r="A56" s="1576"/>
      <c r="B56" s="1574">
        <v>11578</v>
      </c>
      <c r="C56" s="1574"/>
      <c r="D56" s="1577"/>
      <c r="E56" s="816" t="s">
        <v>3220</v>
      </c>
      <c r="F56" s="811">
        <v>4</v>
      </c>
      <c r="G56" s="812">
        <v>4</v>
      </c>
      <c r="H56" s="812">
        <v>6</v>
      </c>
      <c r="I56" s="813"/>
      <c r="J56" s="813"/>
      <c r="K56" s="813"/>
      <c r="L56" s="813"/>
      <c r="M56" s="1191"/>
      <c r="N56" s="813">
        <v>10.792999999999999</v>
      </c>
      <c r="O56" s="819"/>
      <c r="P56" s="813"/>
      <c r="Q56" s="1187"/>
      <c r="R56" s="1183"/>
      <c r="S56" s="814"/>
      <c r="T56" s="815"/>
      <c r="U56" s="815"/>
      <c r="V56" s="815"/>
      <c r="W56" s="814"/>
      <c r="X56" s="815"/>
      <c r="Y56" s="814"/>
      <c r="Z56" s="1740"/>
      <c r="AE56" s="2461"/>
      <c r="AF56" s="68"/>
      <c r="AK56" s="2815" t="s">
        <v>11230</v>
      </c>
      <c r="AL56" s="2579">
        <f>SUMIFS(M30:M953,F30:F953,4,G30:G953,5)</f>
        <v>1.2</v>
      </c>
      <c r="AM56" s="2817"/>
    </row>
    <row r="57" spans="1:39" x14ac:dyDescent="0.35">
      <c r="A57" s="1576"/>
      <c r="B57" s="1574">
        <v>11578</v>
      </c>
      <c r="C57" s="1574"/>
      <c r="D57" s="1577"/>
      <c r="E57" s="1195" t="s">
        <v>3221</v>
      </c>
      <c r="F57" s="811">
        <v>4</v>
      </c>
      <c r="G57" s="812">
        <v>4</v>
      </c>
      <c r="H57" s="812">
        <v>6</v>
      </c>
      <c r="I57" s="813"/>
      <c r="J57" s="813"/>
      <c r="K57" s="813"/>
      <c r="L57" s="813"/>
      <c r="M57" s="1191"/>
      <c r="N57" s="813"/>
      <c r="O57" s="819"/>
      <c r="P57" s="813"/>
      <c r="Q57" s="1187">
        <f>12.079-10.793</f>
        <v>1.2860000000000014</v>
      </c>
      <c r="R57" s="1183"/>
      <c r="S57" s="814"/>
      <c r="T57" s="815"/>
      <c r="U57" s="815"/>
      <c r="V57" s="815"/>
      <c r="W57" s="814"/>
      <c r="X57" s="815"/>
      <c r="Y57" s="814"/>
      <c r="Z57" s="1740"/>
      <c r="AE57" s="2461"/>
      <c r="AF57" s="68"/>
      <c r="AK57" s="2815" t="s">
        <v>11231</v>
      </c>
      <c r="AL57" s="2579">
        <f>SUMIFS(N30:N953,F30:F953,4,G30:G953,5)</f>
        <v>15.641999999999999</v>
      </c>
      <c r="AM57" s="2817"/>
    </row>
    <row r="58" spans="1:39" x14ac:dyDescent="0.35">
      <c r="A58" s="1576"/>
      <c r="B58" s="1574">
        <v>11578</v>
      </c>
      <c r="C58" s="1574"/>
      <c r="D58" s="1577"/>
      <c r="E58" s="816" t="s">
        <v>27</v>
      </c>
      <c r="F58" s="811">
        <v>5</v>
      </c>
      <c r="G58" s="812">
        <v>4</v>
      </c>
      <c r="H58" s="812">
        <v>6</v>
      </c>
      <c r="I58" s="813"/>
      <c r="J58" s="813"/>
      <c r="K58" s="813"/>
      <c r="L58" s="813"/>
      <c r="M58" s="1191"/>
      <c r="N58" s="813">
        <f>12.256-12.079</f>
        <v>0.1769999999999996</v>
      </c>
      <c r="O58" s="819"/>
      <c r="P58" s="813"/>
      <c r="Q58" s="1187"/>
      <c r="R58" s="1183"/>
      <c r="S58" s="814"/>
      <c r="T58" s="815"/>
      <c r="U58" s="815"/>
      <c r="V58" s="815"/>
      <c r="W58" s="814"/>
      <c r="X58" s="815"/>
      <c r="Y58" s="814"/>
      <c r="Z58" s="1740"/>
      <c r="AE58" s="2461"/>
      <c r="AF58" s="68"/>
      <c r="AK58" s="2815" t="s">
        <v>11232</v>
      </c>
      <c r="AL58" s="2579">
        <f>SUMIFS(O30:O953,F30:F953,4,G30:G953,5)</f>
        <v>0</v>
      </c>
      <c r="AM58" s="2817"/>
    </row>
    <row r="59" spans="1:39" x14ac:dyDescent="0.35">
      <c r="A59" s="1576"/>
      <c r="B59" s="1574">
        <v>11578</v>
      </c>
      <c r="C59" s="1574"/>
      <c r="D59" s="1577"/>
      <c r="E59" s="1195" t="s">
        <v>28</v>
      </c>
      <c r="F59" s="811">
        <v>5</v>
      </c>
      <c r="G59" s="812">
        <v>4</v>
      </c>
      <c r="H59" s="812">
        <v>6</v>
      </c>
      <c r="I59" s="813"/>
      <c r="J59" s="813"/>
      <c r="K59" s="813"/>
      <c r="L59" s="813"/>
      <c r="M59" s="1191"/>
      <c r="N59" s="813"/>
      <c r="O59" s="819"/>
      <c r="P59" s="813"/>
      <c r="Q59" s="1187">
        <f>12.689-12.256</f>
        <v>0.43299999999999983</v>
      </c>
      <c r="R59" s="1183"/>
      <c r="S59" s="814"/>
      <c r="T59" s="815"/>
      <c r="U59" s="815"/>
      <c r="V59" s="815"/>
      <c r="W59" s="814"/>
      <c r="X59" s="815"/>
      <c r="Y59" s="814"/>
      <c r="Z59" s="1740"/>
      <c r="AE59" s="2461"/>
      <c r="AF59" s="68"/>
      <c r="AK59" s="2815" t="s">
        <v>11233</v>
      </c>
      <c r="AL59" s="2579">
        <f>SUMIFS(P30:P953,F30:F953,4,G30:G953,5)+SUMIFS(Q30:Q953,F30:F953,4,G30:G953,5)</f>
        <v>16.971999999999998</v>
      </c>
      <c r="AM59" s="2817"/>
    </row>
    <row r="60" spans="1:39" x14ac:dyDescent="0.35">
      <c r="A60" s="1576"/>
      <c r="B60" s="1574">
        <v>11578</v>
      </c>
      <c r="C60" s="1574"/>
      <c r="D60" s="1577"/>
      <c r="E60" s="1195" t="s">
        <v>29</v>
      </c>
      <c r="F60" s="811">
        <v>4</v>
      </c>
      <c r="G60" s="812">
        <v>4</v>
      </c>
      <c r="H60" s="812">
        <v>6</v>
      </c>
      <c r="I60" s="813"/>
      <c r="J60" s="813"/>
      <c r="K60" s="813"/>
      <c r="L60" s="813"/>
      <c r="M60" s="1191"/>
      <c r="N60" s="813"/>
      <c r="O60" s="819"/>
      <c r="P60" s="813"/>
      <c r="Q60" s="1187">
        <f>14.337-12.689</f>
        <v>1.6479999999999997</v>
      </c>
      <c r="R60" s="1183"/>
      <c r="S60" s="814"/>
      <c r="T60" s="815"/>
      <c r="U60" s="815"/>
      <c r="V60" s="815"/>
      <c r="W60" s="814"/>
      <c r="X60" s="815"/>
      <c r="Y60" s="814"/>
      <c r="Z60" s="1740"/>
      <c r="AE60" s="2461"/>
      <c r="AF60" s="68"/>
      <c r="AK60" s="2815" t="s">
        <v>910</v>
      </c>
      <c r="AL60" s="2579">
        <f>SUMIFS(R30:R953,F30:F953,4,G30:G953,5)</f>
        <v>0</v>
      </c>
      <c r="AM60" s="2817"/>
    </row>
    <row r="61" spans="1:39" x14ac:dyDescent="0.35">
      <c r="A61" s="1576"/>
      <c r="B61" s="1574">
        <v>11578</v>
      </c>
      <c r="C61" s="1574"/>
      <c r="D61" s="1577"/>
      <c r="E61" s="1195" t="s">
        <v>6806</v>
      </c>
      <c r="F61" s="811">
        <v>5</v>
      </c>
      <c r="G61" s="812">
        <v>4</v>
      </c>
      <c r="H61" s="812">
        <v>6</v>
      </c>
      <c r="I61" s="813"/>
      <c r="J61" s="813"/>
      <c r="K61" s="813"/>
      <c r="L61" s="813"/>
      <c r="M61" s="1191"/>
      <c r="N61" s="813"/>
      <c r="O61" s="819"/>
      <c r="P61" s="813"/>
      <c r="Q61" s="1187">
        <f>14.364-14.337</f>
        <v>2.7000000000001023E-2</v>
      </c>
      <c r="R61" s="1183"/>
      <c r="S61" s="814"/>
      <c r="T61" s="815"/>
      <c r="U61" s="815"/>
      <c r="V61" s="815"/>
      <c r="W61" s="814"/>
      <c r="X61" s="815"/>
      <c r="Y61" s="814"/>
      <c r="Z61" s="1740"/>
      <c r="AE61" s="2461"/>
      <c r="AF61" s="68"/>
      <c r="AK61" s="2818" t="s">
        <v>7185</v>
      </c>
      <c r="AL61" s="2821">
        <f>AL62+AL63+AL64+AL65+AL66</f>
        <v>95.999000000000024</v>
      </c>
      <c r="AM61" s="2820">
        <f>AL61-AG31</f>
        <v>0</v>
      </c>
    </row>
    <row r="62" spans="1:39" x14ac:dyDescent="0.35">
      <c r="A62" s="1576"/>
      <c r="B62" s="1574">
        <v>11578</v>
      </c>
      <c r="C62" s="1574"/>
      <c r="D62" s="1577"/>
      <c r="E62" s="816" t="s">
        <v>6807</v>
      </c>
      <c r="F62" s="811">
        <v>5</v>
      </c>
      <c r="G62" s="812">
        <v>4</v>
      </c>
      <c r="H62" s="812">
        <v>6</v>
      </c>
      <c r="I62" s="813"/>
      <c r="J62" s="813"/>
      <c r="K62" s="813"/>
      <c r="L62" s="813"/>
      <c r="M62" s="1191"/>
      <c r="N62" s="813">
        <f>16.435-14.364</f>
        <v>2.070999999999998</v>
      </c>
      <c r="O62" s="819"/>
      <c r="P62" s="813"/>
      <c r="Q62" s="1187"/>
      <c r="R62" s="1183"/>
      <c r="S62" s="814"/>
      <c r="T62" s="815"/>
      <c r="U62" s="815"/>
      <c r="V62" s="815"/>
      <c r="W62" s="814"/>
      <c r="X62" s="815"/>
      <c r="Y62" s="814"/>
      <c r="Z62" s="1740"/>
      <c r="AE62" s="2461"/>
      <c r="AF62" s="68"/>
      <c r="AK62" s="2815" t="s">
        <v>11230</v>
      </c>
      <c r="AL62" s="2579">
        <f>SUMIFS(M30:M953,F30:F953,5,G30:G953,5)</f>
        <v>0</v>
      </c>
      <c r="AM62" s="2817"/>
    </row>
    <row r="63" spans="1:39" x14ac:dyDescent="0.35">
      <c r="A63" s="1576"/>
      <c r="B63" s="1574">
        <v>11578</v>
      </c>
      <c r="C63" s="1574"/>
      <c r="D63" s="1577"/>
      <c r="E63" s="1195" t="s">
        <v>6808</v>
      </c>
      <c r="F63" s="811">
        <v>5</v>
      </c>
      <c r="G63" s="812">
        <v>4</v>
      </c>
      <c r="H63" s="812">
        <v>6</v>
      </c>
      <c r="I63" s="813"/>
      <c r="J63" s="813"/>
      <c r="K63" s="813"/>
      <c r="L63" s="813"/>
      <c r="M63" s="1191"/>
      <c r="N63" s="813"/>
      <c r="O63" s="819"/>
      <c r="P63" s="813"/>
      <c r="Q63" s="1187">
        <f>17.054-16.435</f>
        <v>0.61899999999999977</v>
      </c>
      <c r="R63" s="1183"/>
      <c r="S63" s="814"/>
      <c r="T63" s="815"/>
      <c r="U63" s="815"/>
      <c r="V63" s="815"/>
      <c r="W63" s="814"/>
      <c r="X63" s="815"/>
      <c r="Y63" s="814"/>
      <c r="Z63" s="1740"/>
      <c r="AE63" s="2461"/>
      <c r="AF63" s="68"/>
      <c r="AK63" s="2815" t="s">
        <v>11231</v>
      </c>
      <c r="AL63" s="2579">
        <f>SUMIFS(N30:N953,F30:F953,5,G30:G953,5)</f>
        <v>28.828000000000003</v>
      </c>
      <c r="AM63" s="2817"/>
    </row>
    <row r="64" spans="1:39" x14ac:dyDescent="0.35">
      <c r="A64" s="1576"/>
      <c r="B64" s="1574">
        <v>11578</v>
      </c>
      <c r="C64" s="1574"/>
      <c r="D64" s="1577"/>
      <c r="E64" s="816" t="s">
        <v>6809</v>
      </c>
      <c r="F64" s="811">
        <v>5</v>
      </c>
      <c r="G64" s="812">
        <v>4</v>
      </c>
      <c r="H64" s="812">
        <v>6</v>
      </c>
      <c r="I64" s="813"/>
      <c r="J64" s="813"/>
      <c r="K64" s="813"/>
      <c r="L64" s="813"/>
      <c r="M64" s="1191"/>
      <c r="N64" s="813">
        <f>19.132-17.054</f>
        <v>2.078000000000003</v>
      </c>
      <c r="O64" s="819"/>
      <c r="P64" s="813"/>
      <c r="Q64" s="1187"/>
      <c r="R64" s="1183"/>
      <c r="S64" s="814"/>
      <c r="T64" s="815"/>
      <c r="U64" s="815"/>
      <c r="V64" s="815"/>
      <c r="W64" s="814"/>
      <c r="X64" s="815"/>
      <c r="Y64" s="814"/>
      <c r="Z64" s="1740"/>
      <c r="AE64" s="2461"/>
      <c r="AF64" s="68"/>
      <c r="AK64" s="2815" t="s">
        <v>11232</v>
      </c>
      <c r="AL64" s="2579">
        <f>SUMIFS(O30:O953,F30:F953,5,G30:G953,5)</f>
        <v>0</v>
      </c>
      <c r="AM64" s="2817"/>
    </row>
    <row r="65" spans="1:39" x14ac:dyDescent="0.35">
      <c r="A65" s="1576"/>
      <c r="B65" s="1574">
        <v>11578</v>
      </c>
      <c r="C65" s="1574"/>
      <c r="D65" s="1577"/>
      <c r="E65" s="1195" t="s">
        <v>30</v>
      </c>
      <c r="F65" s="811" t="s">
        <v>1490</v>
      </c>
      <c r="G65" s="812">
        <v>4</v>
      </c>
      <c r="H65" s="812">
        <v>6</v>
      </c>
      <c r="I65" s="813"/>
      <c r="J65" s="813"/>
      <c r="K65" s="813"/>
      <c r="L65" s="813"/>
      <c r="M65" s="1191"/>
      <c r="N65" s="813"/>
      <c r="O65" s="819"/>
      <c r="P65" s="813"/>
      <c r="Q65" s="1187">
        <f>19.732-19.132</f>
        <v>0.59999999999999787</v>
      </c>
      <c r="R65" s="1183"/>
      <c r="S65" s="814"/>
      <c r="T65" s="815"/>
      <c r="U65" s="815"/>
      <c r="V65" s="815"/>
      <c r="W65" s="814"/>
      <c r="X65" s="815"/>
      <c r="Y65" s="814"/>
      <c r="Z65" s="1740"/>
      <c r="AE65" s="2461"/>
      <c r="AF65" s="68"/>
      <c r="AK65" s="2815" t="s">
        <v>11233</v>
      </c>
      <c r="AL65" s="2579">
        <f>SUMIFS(P30:P953,F30:F953,5,G30:G953,5)+SUMIFS(Q30:Q953,F30:F953,5,G30:G953,5)</f>
        <v>54.179000000000016</v>
      </c>
      <c r="AM65" s="2817"/>
    </row>
    <row r="66" spans="1:39" ht="45" x14ac:dyDescent="0.35">
      <c r="A66" s="1573">
        <v>21</v>
      </c>
      <c r="B66" s="1574">
        <v>11578</v>
      </c>
      <c r="C66" s="1574"/>
      <c r="D66" s="2473" t="s">
        <v>6557</v>
      </c>
      <c r="E66" s="807" t="s">
        <v>10882</v>
      </c>
      <c r="F66" s="811">
        <v>5</v>
      </c>
      <c r="G66" s="812">
        <v>5</v>
      </c>
      <c r="H66" s="812">
        <v>6</v>
      </c>
      <c r="I66" s="808">
        <f t="shared" ref="I66:I81" si="9">J66+K66+L66</f>
        <v>1.45</v>
      </c>
      <c r="J66" s="808">
        <f t="shared" ref="J66:J71" si="10">SUM(M66:R66)</f>
        <v>1.45</v>
      </c>
      <c r="K66" s="808"/>
      <c r="L66" s="808"/>
      <c r="M66" s="808"/>
      <c r="N66" s="808">
        <v>1.45</v>
      </c>
      <c r="O66" s="820"/>
      <c r="P66" s="808"/>
      <c r="Q66" s="1186"/>
      <c r="R66" s="1182"/>
      <c r="S66" s="809"/>
      <c r="T66" s="810"/>
      <c r="U66" s="810"/>
      <c r="V66" s="810"/>
      <c r="W66" s="809">
        <v>2</v>
      </c>
      <c r="X66" s="810">
        <v>20.399999999999999</v>
      </c>
      <c r="Y66" s="809"/>
      <c r="Z66" s="1739"/>
      <c r="AB66" s="176">
        <v>1</v>
      </c>
      <c r="AE66" s="2461"/>
      <c r="AF66" s="68"/>
      <c r="AK66" s="2815" t="s">
        <v>910</v>
      </c>
      <c r="AL66" s="2579">
        <f>SUMIFS(R30:R953,F30:F953,5,G30:G953,5)</f>
        <v>12.992000000000001</v>
      </c>
      <c r="AM66" s="2817"/>
    </row>
    <row r="67" spans="1:39" ht="60" x14ac:dyDescent="0.35">
      <c r="A67" s="697">
        <v>22</v>
      </c>
      <c r="B67" s="697">
        <v>11578</v>
      </c>
      <c r="C67" s="697"/>
      <c r="D67" s="2473" t="s">
        <v>6558</v>
      </c>
      <c r="E67" s="817" t="s">
        <v>10883</v>
      </c>
      <c r="F67" s="811">
        <v>5</v>
      </c>
      <c r="G67" s="812">
        <v>5</v>
      </c>
      <c r="H67" s="812">
        <v>6</v>
      </c>
      <c r="I67" s="808">
        <f>J67+K67+L67</f>
        <v>0.57999999999999996</v>
      </c>
      <c r="J67" s="808">
        <f t="shared" si="10"/>
        <v>0.57999999999999996</v>
      </c>
      <c r="K67" s="490"/>
      <c r="L67" s="490"/>
      <c r="M67" s="490"/>
      <c r="N67" s="1804">
        <v>0.57999999999999996</v>
      </c>
      <c r="O67" s="490"/>
      <c r="P67" s="490"/>
      <c r="Q67" s="490"/>
      <c r="R67" s="490"/>
      <c r="S67" s="101"/>
      <c r="T67" s="101"/>
      <c r="U67" s="101"/>
      <c r="V67" s="101"/>
      <c r="W67" s="1969"/>
      <c r="X67" s="1969"/>
      <c r="Y67" s="1969"/>
      <c r="Z67" s="1969"/>
      <c r="AB67" s="176">
        <v>1</v>
      </c>
      <c r="AE67" s="2461"/>
      <c r="AF67" s="68"/>
      <c r="AK67" s="2818" t="s">
        <v>11234</v>
      </c>
      <c r="AL67" s="2821">
        <f>AL68+AL69+AL70+AL71+AL72</f>
        <v>251.369</v>
      </c>
      <c r="AM67" s="2820">
        <f>AL67-AH31-AI31-AJ31</f>
        <v>0</v>
      </c>
    </row>
    <row r="68" spans="1:39" ht="45" x14ac:dyDescent="0.35">
      <c r="A68" s="1573">
        <v>23</v>
      </c>
      <c r="B68" s="1574">
        <v>11578</v>
      </c>
      <c r="C68" s="1574"/>
      <c r="D68" s="2473" t="s">
        <v>6564</v>
      </c>
      <c r="E68" s="817" t="s">
        <v>9419</v>
      </c>
      <c r="F68" s="811" t="s">
        <v>827</v>
      </c>
      <c r="G68" s="812">
        <v>5</v>
      </c>
      <c r="H68" s="812">
        <v>6</v>
      </c>
      <c r="I68" s="808">
        <f t="shared" si="9"/>
        <v>3.37</v>
      </c>
      <c r="J68" s="808">
        <f t="shared" si="10"/>
        <v>3.37</v>
      </c>
      <c r="K68" s="808"/>
      <c r="L68" s="808"/>
      <c r="M68" s="1190"/>
      <c r="N68" s="808"/>
      <c r="O68" s="820"/>
      <c r="P68" s="808"/>
      <c r="Q68" s="1186">
        <v>3.37</v>
      </c>
      <c r="R68" s="1182"/>
      <c r="S68" s="809"/>
      <c r="T68" s="810"/>
      <c r="U68" s="810"/>
      <c r="V68" s="810"/>
      <c r="W68" s="809">
        <v>8</v>
      </c>
      <c r="X68" s="810">
        <v>87.67</v>
      </c>
      <c r="Y68" s="809"/>
      <c r="Z68" s="1739"/>
      <c r="AB68" s="176">
        <v>1</v>
      </c>
      <c r="AE68" s="2461"/>
      <c r="AF68" s="68"/>
      <c r="AK68" s="2815" t="s">
        <v>11230</v>
      </c>
      <c r="AL68" s="2579">
        <f>SUMIFS(M30:M953,F30:F953,"6а",G30:G953,5)+SUMIFS(M30:M953,F30:F953,"6б",G30:G953,5)+SUMIFS(M30:M953,F30:F953,"б/к",G30:G953,5)</f>
        <v>0</v>
      </c>
      <c r="AM68" s="2817"/>
    </row>
    <row r="69" spans="1:39" ht="60" x14ac:dyDescent="0.35">
      <c r="A69" s="697">
        <v>24</v>
      </c>
      <c r="B69" s="1574">
        <v>11578</v>
      </c>
      <c r="C69" s="1574"/>
      <c r="D69" s="2473" t="s">
        <v>6955</v>
      </c>
      <c r="E69" s="817" t="s">
        <v>9420</v>
      </c>
      <c r="F69" s="811" t="s">
        <v>827</v>
      </c>
      <c r="G69" s="812">
        <v>5</v>
      </c>
      <c r="H69" s="812">
        <v>6</v>
      </c>
      <c r="I69" s="808">
        <f>J69+K69+L69</f>
        <v>0.98</v>
      </c>
      <c r="J69" s="808">
        <f t="shared" si="10"/>
        <v>0.98</v>
      </c>
      <c r="K69" s="808"/>
      <c r="L69" s="808"/>
      <c r="M69" s="1190"/>
      <c r="N69" s="808"/>
      <c r="O69" s="820"/>
      <c r="P69" s="808"/>
      <c r="Q69" s="1186">
        <v>0.98</v>
      </c>
      <c r="R69" s="1182"/>
      <c r="S69" s="809"/>
      <c r="T69" s="810"/>
      <c r="U69" s="810"/>
      <c r="V69" s="810"/>
      <c r="W69" s="809"/>
      <c r="X69" s="810"/>
      <c r="Y69" s="809"/>
      <c r="Z69" s="1739"/>
      <c r="AB69" s="176">
        <v>1</v>
      </c>
      <c r="AE69" s="2461"/>
      <c r="AF69" s="68"/>
      <c r="AK69" s="2815" t="s">
        <v>11231</v>
      </c>
      <c r="AL69" s="2579">
        <f>SUMIFS(N30:N953,F30:F953,"6а",G30:G953,5)+SUMIFS(N30:N953,F30:F953,"6б",G30:G953,5)+SUMIFS(N30:N953,F30:F953,"б/к",G30:G953,5)</f>
        <v>13.866</v>
      </c>
      <c r="AM69" s="2817"/>
    </row>
    <row r="70" spans="1:39" ht="60" x14ac:dyDescent="0.35">
      <c r="A70" s="1573">
        <v>25</v>
      </c>
      <c r="B70" s="1574">
        <v>11578</v>
      </c>
      <c r="C70" s="358" t="s">
        <v>1656</v>
      </c>
      <c r="D70" s="2473" t="s">
        <v>6565</v>
      </c>
      <c r="E70" s="1845" t="s">
        <v>9421</v>
      </c>
      <c r="F70" s="811" t="s">
        <v>664</v>
      </c>
      <c r="G70" s="2289">
        <v>5</v>
      </c>
      <c r="H70" s="812">
        <v>6</v>
      </c>
      <c r="I70" s="297">
        <f>J70+K70+L70</f>
        <v>0.3</v>
      </c>
      <c r="J70" s="297">
        <f t="shared" si="10"/>
        <v>0.3</v>
      </c>
      <c r="K70" s="808"/>
      <c r="L70" s="808"/>
      <c r="M70" s="1190"/>
      <c r="N70" s="808"/>
      <c r="O70" s="820"/>
      <c r="P70" s="808"/>
      <c r="Q70" s="1186"/>
      <c r="R70" s="1182">
        <v>0.3</v>
      </c>
      <c r="S70" s="809"/>
      <c r="T70" s="810"/>
      <c r="U70" s="810"/>
      <c r="V70" s="810"/>
      <c r="W70" s="809"/>
      <c r="X70" s="810"/>
      <c r="Y70" s="809"/>
      <c r="Z70" s="1739"/>
      <c r="AB70" s="176">
        <v>1</v>
      </c>
      <c r="AE70" s="2461"/>
      <c r="AF70" s="68"/>
      <c r="AK70" s="2815" t="s">
        <v>11232</v>
      </c>
      <c r="AL70" s="2579">
        <f>SUMIFS(O30:O953,F30:F953,"6а",G30:G953,5)+SUMIFS(O30:O953,F30:F953,"6б",G30:G953,5)+SUMIFS(O30:O953,F30:F953,"б/к",G30:G953,5)</f>
        <v>0</v>
      </c>
      <c r="AM70" s="2817"/>
    </row>
    <row r="71" spans="1:39" ht="45" x14ac:dyDescent="0.35">
      <c r="A71" s="1573">
        <v>26</v>
      </c>
      <c r="B71" s="1574">
        <v>11578</v>
      </c>
      <c r="C71" s="1574"/>
      <c r="D71" s="2473" t="s">
        <v>6566</v>
      </c>
      <c r="E71" s="817" t="s">
        <v>9422</v>
      </c>
      <c r="F71" s="811"/>
      <c r="G71" s="812" t="s">
        <v>191</v>
      </c>
      <c r="H71" s="812" t="s">
        <v>191</v>
      </c>
      <c r="I71" s="808">
        <f t="shared" si="9"/>
        <v>2.2999999999999998</v>
      </c>
      <c r="J71" s="808">
        <f t="shared" si="10"/>
        <v>2.2999999999999998</v>
      </c>
      <c r="K71" s="808"/>
      <c r="L71" s="808"/>
      <c r="M71" s="1190"/>
      <c r="N71" s="808">
        <f>SUM(N72:N73)</f>
        <v>1.1000000000000001</v>
      </c>
      <c r="O71" s="820"/>
      <c r="P71" s="808"/>
      <c r="Q71" s="1186"/>
      <c r="R71" s="1182">
        <f>SUM(R72:R73)</f>
        <v>1.1999999999999997</v>
      </c>
      <c r="S71" s="809"/>
      <c r="T71" s="810"/>
      <c r="U71" s="810"/>
      <c r="V71" s="810"/>
      <c r="W71" s="809"/>
      <c r="X71" s="810"/>
      <c r="Y71" s="809"/>
      <c r="Z71" s="1739"/>
      <c r="AB71" s="176">
        <v>1</v>
      </c>
      <c r="AE71" s="2461"/>
      <c r="AF71" s="68"/>
      <c r="AK71" s="2815" t="s">
        <v>11233</v>
      </c>
      <c r="AL71" s="2579">
        <f>SUMIFS(P30:P953,F30:F953,"6а",G30:G953,5)+SUMIFS(Q30:Q953,F30:F953,"6а",G30:G953,5)+SUMIFS(P30:P953,F30:F953,"6б",G30:G953,5)+SUMIFS(Q30:Q953,F30:F953,"6б",G30:G953,5)+SUMIFS(P30:P953,F30:F953,"б/к",G30:G953,5)+SUMIFS(Q30:Q953,F30:F953,"б/к",G30:G953,5)</f>
        <v>45.606000000000002</v>
      </c>
      <c r="AM71" s="2817"/>
    </row>
    <row r="72" spans="1:39" x14ac:dyDescent="0.35">
      <c r="A72" s="1052"/>
      <c r="B72" s="1574">
        <v>11578</v>
      </c>
      <c r="C72" s="1574"/>
      <c r="D72" s="1575"/>
      <c r="E72" s="816" t="s">
        <v>3164</v>
      </c>
      <c r="F72" s="811">
        <v>5</v>
      </c>
      <c r="G72" s="812">
        <v>5</v>
      </c>
      <c r="H72" s="812">
        <v>6</v>
      </c>
      <c r="I72" s="808"/>
      <c r="J72" s="808"/>
      <c r="K72" s="808"/>
      <c r="L72" s="808"/>
      <c r="M72" s="1190"/>
      <c r="N72" s="813">
        <v>1.1000000000000001</v>
      </c>
      <c r="O72" s="820"/>
      <c r="P72" s="808"/>
      <c r="Q72" s="1186"/>
      <c r="R72" s="1182"/>
      <c r="S72" s="809"/>
      <c r="T72" s="810"/>
      <c r="U72" s="810"/>
      <c r="V72" s="810"/>
      <c r="W72" s="809"/>
      <c r="X72" s="810"/>
      <c r="Y72" s="809"/>
      <c r="Z72" s="1739"/>
      <c r="AE72" s="2461"/>
      <c r="AF72" s="68"/>
      <c r="AK72" s="2815" t="s">
        <v>910</v>
      </c>
      <c r="AL72" s="2579">
        <f>SUMIFS(R30:R953,F30:F953,"6а",G30:G953,5)+SUMIFS(R30:R953,F30:F953,"6б",G30:G953,5)+SUMIFS(R30:R953,F30:F953,"б/к",G30:G953,5)</f>
        <v>191.89699999999999</v>
      </c>
      <c r="AM72" s="2817"/>
    </row>
    <row r="73" spans="1:39" x14ac:dyDescent="0.35">
      <c r="A73" s="1052"/>
      <c r="B73" s="1574">
        <v>11578</v>
      </c>
      <c r="C73" s="1574"/>
      <c r="D73" s="1575"/>
      <c r="E73" s="2237" t="s">
        <v>6956</v>
      </c>
      <c r="F73" s="811" t="s">
        <v>827</v>
      </c>
      <c r="G73" s="812">
        <v>5</v>
      </c>
      <c r="H73" s="812">
        <v>6</v>
      </c>
      <c r="I73" s="808"/>
      <c r="J73" s="808"/>
      <c r="K73" s="808"/>
      <c r="L73" s="808"/>
      <c r="M73" s="1190"/>
      <c r="N73" s="808"/>
      <c r="O73" s="820"/>
      <c r="P73" s="808"/>
      <c r="Q73" s="1186"/>
      <c r="R73" s="1772">
        <f>2.3-1.1</f>
        <v>1.1999999999999997</v>
      </c>
      <c r="S73" s="809"/>
      <c r="T73" s="810"/>
      <c r="U73" s="810"/>
      <c r="V73" s="810"/>
      <c r="W73" s="809"/>
      <c r="X73" s="810"/>
      <c r="Y73" s="809"/>
      <c r="Z73" s="1739"/>
      <c r="AE73" s="2461"/>
      <c r="AF73" s="68"/>
      <c r="AK73" s="2815"/>
      <c r="AL73" s="2579"/>
      <c r="AM73" s="2817"/>
    </row>
    <row r="74" spans="1:39" ht="60" x14ac:dyDescent="0.35">
      <c r="A74" s="1573">
        <v>27</v>
      </c>
      <c r="B74" s="1574">
        <v>11578</v>
      </c>
      <c r="C74" s="1574"/>
      <c r="D74" s="2473" t="s">
        <v>6957</v>
      </c>
      <c r="E74" s="817" t="s">
        <v>9423</v>
      </c>
      <c r="F74" s="811" t="s">
        <v>827</v>
      </c>
      <c r="G74" s="812">
        <v>5</v>
      </c>
      <c r="H74" s="812">
        <v>6</v>
      </c>
      <c r="I74" s="808">
        <f>J74+K74+L74</f>
        <v>1.2999999999999998</v>
      </c>
      <c r="J74" s="808">
        <f>SUM(M74:R74)</f>
        <v>1.2999999999999998</v>
      </c>
      <c r="K74" s="808"/>
      <c r="L74" s="808"/>
      <c r="M74" s="1190"/>
      <c r="N74" s="808"/>
      <c r="O74" s="820"/>
      <c r="P74" s="808"/>
      <c r="Q74" s="1186"/>
      <c r="R74" s="1182">
        <f>SUM(R75:R76)</f>
        <v>1.2999999999999998</v>
      </c>
      <c r="S74" s="809"/>
      <c r="T74" s="810"/>
      <c r="U74" s="810"/>
      <c r="V74" s="810"/>
      <c r="W74" s="809"/>
      <c r="X74" s="810"/>
      <c r="Y74" s="809"/>
      <c r="Z74" s="1739"/>
      <c r="AB74" s="176">
        <v>1</v>
      </c>
      <c r="AE74" s="2461"/>
      <c r="AF74" s="68"/>
      <c r="AK74" s="2822" t="s">
        <v>11237</v>
      </c>
      <c r="AL74" s="2823">
        <f>AL11+AL32+AL53</f>
        <v>624.399</v>
      </c>
      <c r="AM74" s="2824">
        <f>AL74-J10</f>
        <v>0</v>
      </c>
    </row>
    <row r="75" spans="1:39" ht="60" x14ac:dyDescent="0.35">
      <c r="A75" s="1573">
        <v>28</v>
      </c>
      <c r="B75" s="1052">
        <v>11578</v>
      </c>
      <c r="C75" s="1052" t="s">
        <v>1656</v>
      </c>
      <c r="D75" s="2473" t="s">
        <v>6567</v>
      </c>
      <c r="E75" s="2187" t="s">
        <v>9424</v>
      </c>
      <c r="F75" s="811" t="s">
        <v>664</v>
      </c>
      <c r="G75" s="93">
        <v>5</v>
      </c>
      <c r="H75" s="812">
        <v>6</v>
      </c>
      <c r="I75" s="2157">
        <f t="shared" si="9"/>
        <v>0.6</v>
      </c>
      <c r="J75" s="2157">
        <f>M75+N75+O75+P75+Q75+R75</f>
        <v>0.6</v>
      </c>
      <c r="K75" s="490"/>
      <c r="L75" s="490"/>
      <c r="M75" s="490"/>
      <c r="N75" s="490"/>
      <c r="O75" s="490"/>
      <c r="P75" s="490"/>
      <c r="Q75" s="2182"/>
      <c r="R75" s="906">
        <v>0.6</v>
      </c>
      <c r="S75" s="101"/>
      <c r="T75" s="101"/>
      <c r="U75" s="101"/>
      <c r="V75" s="101"/>
      <c r="W75" s="1969"/>
      <c r="X75" s="1969"/>
      <c r="Y75" s="1969"/>
      <c r="Z75" s="2186"/>
      <c r="AB75" s="176">
        <v>1</v>
      </c>
      <c r="AE75" s="2461"/>
      <c r="AF75" s="68"/>
      <c r="AK75" s="2825" t="s">
        <v>11238</v>
      </c>
      <c r="AL75" s="2826">
        <f>AL34+AL55+AL13</f>
        <v>252.77699999999999</v>
      </c>
      <c r="AM75" s="2827">
        <f>AL75-J12</f>
        <v>0</v>
      </c>
    </row>
    <row r="76" spans="1:39" ht="60" x14ac:dyDescent="0.35">
      <c r="A76" s="1573">
        <v>29</v>
      </c>
      <c r="B76" s="1574">
        <v>11578</v>
      </c>
      <c r="C76" s="1052" t="s">
        <v>1655</v>
      </c>
      <c r="D76" s="2473" t="s">
        <v>6568</v>
      </c>
      <c r="E76" s="817" t="s">
        <v>10318</v>
      </c>
      <c r="F76" s="811" t="s">
        <v>664</v>
      </c>
      <c r="G76" s="812">
        <v>5</v>
      </c>
      <c r="H76" s="812">
        <v>6</v>
      </c>
      <c r="I76" s="808">
        <f t="shared" si="9"/>
        <v>0.7</v>
      </c>
      <c r="J76" s="808">
        <f>SUM(M76:R76)</f>
        <v>0.7</v>
      </c>
      <c r="K76" s="808"/>
      <c r="L76" s="808"/>
      <c r="M76" s="1190"/>
      <c r="N76" s="808"/>
      <c r="O76" s="820"/>
      <c r="P76" s="808"/>
      <c r="Q76" s="1186"/>
      <c r="R76" s="1182">
        <v>0.7</v>
      </c>
      <c r="S76" s="809"/>
      <c r="T76" s="810"/>
      <c r="U76" s="810"/>
      <c r="V76" s="810"/>
      <c r="W76" s="809"/>
      <c r="X76" s="810"/>
      <c r="Y76" s="809"/>
      <c r="Z76" s="1739"/>
      <c r="AB76" s="176">
        <v>1</v>
      </c>
      <c r="AE76" s="2461"/>
      <c r="AF76" s="68"/>
      <c r="AK76" s="2828" t="s">
        <v>11239</v>
      </c>
      <c r="AL76" s="2826">
        <f>AL19+AL40+AL61</f>
        <v>110.34400000000002</v>
      </c>
      <c r="AM76" s="2827">
        <f>AL76-J13</f>
        <v>0</v>
      </c>
    </row>
    <row r="77" spans="1:39" ht="60" x14ac:dyDescent="0.35">
      <c r="A77" s="1573">
        <v>30</v>
      </c>
      <c r="B77" s="1574">
        <v>11578</v>
      </c>
      <c r="C77" s="1052" t="s">
        <v>1655</v>
      </c>
      <c r="D77" s="2473" t="s">
        <v>6569</v>
      </c>
      <c r="E77" s="817" t="s">
        <v>10319</v>
      </c>
      <c r="F77" s="811" t="s">
        <v>664</v>
      </c>
      <c r="G77" s="812">
        <v>5</v>
      </c>
      <c r="H77" s="812">
        <v>6</v>
      </c>
      <c r="I77" s="808">
        <f t="shared" si="9"/>
        <v>1.2</v>
      </c>
      <c r="J77" s="808">
        <f>SUM(M77:R77)</f>
        <v>1.2</v>
      </c>
      <c r="K77" s="808"/>
      <c r="L77" s="808"/>
      <c r="M77" s="1190"/>
      <c r="N77" s="808"/>
      <c r="O77" s="820"/>
      <c r="P77" s="808"/>
      <c r="Q77" s="1186"/>
      <c r="R77" s="1182">
        <v>1.2</v>
      </c>
      <c r="S77" s="809"/>
      <c r="T77" s="810"/>
      <c r="U77" s="810"/>
      <c r="V77" s="810"/>
      <c r="W77" s="809"/>
      <c r="X77" s="810"/>
      <c r="Y77" s="809"/>
      <c r="Z77" s="1739"/>
      <c r="AB77" s="176">
        <v>1</v>
      </c>
      <c r="AE77" s="2461"/>
      <c r="AF77" s="68"/>
      <c r="AK77" s="2828" t="s">
        <v>11240</v>
      </c>
      <c r="AL77" s="2826">
        <f>AL25+AL46+AL67</f>
        <v>261.27800000000002</v>
      </c>
      <c r="AM77" s="2827">
        <f>AL77-J14</f>
        <v>0</v>
      </c>
    </row>
    <row r="78" spans="1:39" ht="45" x14ac:dyDescent="0.35">
      <c r="A78" s="1573">
        <v>31</v>
      </c>
      <c r="B78" s="1052">
        <v>11578</v>
      </c>
      <c r="C78" s="1052" t="s">
        <v>1656</v>
      </c>
      <c r="D78" s="2473" t="s">
        <v>6570</v>
      </c>
      <c r="E78" s="2187" t="s">
        <v>10320</v>
      </c>
      <c r="F78" s="811" t="s">
        <v>1490</v>
      </c>
      <c r="G78" s="93">
        <v>5</v>
      </c>
      <c r="H78" s="812">
        <v>6</v>
      </c>
      <c r="I78" s="2157">
        <f t="shared" si="9"/>
        <v>0.2</v>
      </c>
      <c r="J78" s="2157">
        <f>M78+N78+O78+P78+Q78+R78</f>
        <v>0.2</v>
      </c>
      <c r="K78" s="490"/>
      <c r="L78" s="490"/>
      <c r="M78" s="490"/>
      <c r="N78" s="490"/>
      <c r="O78" s="490"/>
      <c r="P78" s="490"/>
      <c r="Q78" s="2182"/>
      <c r="R78" s="906">
        <v>0.2</v>
      </c>
      <c r="S78" s="101"/>
      <c r="T78" s="101"/>
      <c r="U78" s="101"/>
      <c r="V78" s="101"/>
      <c r="W78" s="1969"/>
      <c r="X78" s="1969"/>
      <c r="Y78" s="1969"/>
      <c r="Z78" s="2186"/>
      <c r="AB78" s="176">
        <v>1</v>
      </c>
      <c r="AE78" s="2461"/>
      <c r="AF78" s="68"/>
    </row>
    <row r="79" spans="1:39" ht="45" x14ac:dyDescent="0.35">
      <c r="A79" s="1573">
        <v>32</v>
      </c>
      <c r="B79" s="1574">
        <v>11578</v>
      </c>
      <c r="C79" s="358" t="s">
        <v>1656</v>
      </c>
      <c r="D79" s="2473" t="s">
        <v>6571</v>
      </c>
      <c r="E79" s="807" t="s">
        <v>10321</v>
      </c>
      <c r="F79" s="811" t="s">
        <v>664</v>
      </c>
      <c r="G79" s="2289">
        <v>5</v>
      </c>
      <c r="H79" s="812">
        <v>6</v>
      </c>
      <c r="I79" s="297">
        <f>J79+K79+L79</f>
        <v>0.5</v>
      </c>
      <c r="J79" s="297">
        <f>SUM(M79:R79)</f>
        <v>0.5</v>
      </c>
      <c r="K79" s="813"/>
      <c r="L79" s="813"/>
      <c r="M79" s="490"/>
      <c r="N79" s="490"/>
      <c r="O79" s="490"/>
      <c r="P79" s="490"/>
      <c r="Q79" s="2182"/>
      <c r="R79" s="906">
        <v>0.5</v>
      </c>
      <c r="S79" s="101"/>
      <c r="T79" s="101"/>
      <c r="U79" s="101"/>
      <c r="V79" s="101"/>
      <c r="W79" s="1969"/>
      <c r="X79" s="1969"/>
      <c r="Y79" s="1969"/>
      <c r="Z79" s="2186"/>
      <c r="AB79" s="176">
        <v>1</v>
      </c>
      <c r="AE79" s="2461"/>
      <c r="AF79" s="68"/>
    </row>
    <row r="80" spans="1:39" ht="45" x14ac:dyDescent="0.35">
      <c r="A80" s="1573">
        <v>33</v>
      </c>
      <c r="B80" s="1574">
        <v>11578</v>
      </c>
      <c r="C80" s="1052"/>
      <c r="D80" s="2473" t="s">
        <v>6572</v>
      </c>
      <c r="E80" s="817" t="s">
        <v>10317</v>
      </c>
      <c r="F80" s="811" t="s">
        <v>664</v>
      </c>
      <c r="G80" s="2289">
        <v>5</v>
      </c>
      <c r="H80" s="812">
        <v>6</v>
      </c>
      <c r="I80" s="297">
        <f>J80+K80+L80</f>
        <v>0.7</v>
      </c>
      <c r="J80" s="297">
        <f>SUM(M80:R80)</f>
        <v>0.7</v>
      </c>
      <c r="K80" s="490"/>
      <c r="L80" s="490"/>
      <c r="M80" s="490"/>
      <c r="N80" s="490"/>
      <c r="O80" s="490"/>
      <c r="P80" s="490"/>
      <c r="Q80" s="2182"/>
      <c r="R80" s="906">
        <v>0.7</v>
      </c>
      <c r="S80" s="101"/>
      <c r="T80" s="101"/>
      <c r="U80" s="101"/>
      <c r="V80" s="101"/>
      <c r="W80" s="1969"/>
      <c r="X80" s="1969"/>
      <c r="Y80" s="1969"/>
      <c r="Z80" s="2186"/>
      <c r="AB80" s="176">
        <v>1</v>
      </c>
      <c r="AE80" s="2461"/>
      <c r="AF80" s="68"/>
    </row>
    <row r="81" spans="1:32" ht="90" x14ac:dyDescent="0.35">
      <c r="A81" s="1573">
        <v>34</v>
      </c>
      <c r="B81" s="1574">
        <v>11579</v>
      </c>
      <c r="C81" s="1574"/>
      <c r="D81" s="1575" t="s">
        <v>1489</v>
      </c>
      <c r="E81" s="807" t="s">
        <v>10322</v>
      </c>
      <c r="F81" s="811"/>
      <c r="G81" s="812" t="s">
        <v>191</v>
      </c>
      <c r="H81" s="812" t="s">
        <v>191</v>
      </c>
      <c r="I81" s="808">
        <f t="shared" si="9"/>
        <v>24.172999999999998</v>
      </c>
      <c r="J81" s="808">
        <f>SUM(M81:R81)</f>
        <v>24.172999999999998</v>
      </c>
      <c r="K81" s="808"/>
      <c r="L81" s="808"/>
      <c r="M81" s="1190"/>
      <c r="N81" s="808">
        <f>SUM(N82:N87)</f>
        <v>7.5799999999999992</v>
      </c>
      <c r="O81" s="820"/>
      <c r="P81" s="808"/>
      <c r="Q81" s="1186">
        <f>SUM(Q82:Q87)</f>
        <v>16.593</v>
      </c>
      <c r="R81" s="1182"/>
      <c r="S81" s="809"/>
      <c r="T81" s="810"/>
      <c r="U81" s="810"/>
      <c r="V81" s="810"/>
      <c r="W81" s="809">
        <v>45</v>
      </c>
      <c r="X81" s="810">
        <v>527.4</v>
      </c>
      <c r="Y81" s="809">
        <v>13</v>
      </c>
      <c r="Z81" s="1739">
        <v>140.4</v>
      </c>
      <c r="AA81" s="176" t="s">
        <v>7312</v>
      </c>
      <c r="AB81" s="176">
        <v>1</v>
      </c>
      <c r="AE81" s="2461"/>
      <c r="AF81" s="68"/>
    </row>
    <row r="82" spans="1:32" x14ac:dyDescent="0.35">
      <c r="A82" s="1576"/>
      <c r="B82" s="1574">
        <v>11579</v>
      </c>
      <c r="C82" s="1574"/>
      <c r="D82" s="1577"/>
      <c r="E82" s="816" t="s">
        <v>11552</v>
      </c>
      <c r="F82" s="811">
        <v>4</v>
      </c>
      <c r="G82" s="812">
        <v>4</v>
      </c>
      <c r="H82" s="812">
        <v>6</v>
      </c>
      <c r="I82" s="813"/>
      <c r="J82" s="813"/>
      <c r="K82" s="813"/>
      <c r="L82" s="813"/>
      <c r="M82" s="1191"/>
      <c r="N82" s="2849">
        <v>2.42</v>
      </c>
      <c r="O82" s="819"/>
      <c r="P82" s="813"/>
      <c r="Q82" s="1187"/>
      <c r="R82" s="1183"/>
      <c r="S82" s="814"/>
      <c r="T82" s="815"/>
      <c r="U82" s="815"/>
      <c r="V82" s="815"/>
      <c r="W82" s="814"/>
      <c r="X82" s="815"/>
      <c r="Y82" s="814"/>
      <c r="Z82" s="1740"/>
      <c r="AE82" s="2461"/>
      <c r="AF82" s="68"/>
    </row>
    <row r="83" spans="1:32" x14ac:dyDescent="0.35">
      <c r="A83" s="1576"/>
      <c r="B83" s="1574"/>
      <c r="C83" s="1574"/>
      <c r="D83" s="1577"/>
      <c r="E83" s="1195" t="s">
        <v>11553</v>
      </c>
      <c r="F83" s="811">
        <v>4</v>
      </c>
      <c r="G83" s="812">
        <v>4</v>
      </c>
      <c r="H83" s="812">
        <v>6</v>
      </c>
      <c r="I83" s="813"/>
      <c r="J83" s="813"/>
      <c r="K83" s="813"/>
      <c r="L83" s="813"/>
      <c r="M83" s="1191"/>
      <c r="N83" s="813"/>
      <c r="O83" s="819"/>
      <c r="P83" s="813"/>
      <c r="Q83" s="1187">
        <f>4.391-2.42</f>
        <v>1.9710000000000001</v>
      </c>
      <c r="R83" s="1183"/>
      <c r="S83" s="814"/>
      <c r="T83" s="815"/>
      <c r="U83" s="815"/>
      <c r="V83" s="815"/>
      <c r="W83" s="814"/>
      <c r="X83" s="815"/>
      <c r="Y83" s="814"/>
      <c r="Z83" s="1740"/>
      <c r="AE83" s="2461"/>
      <c r="AF83" s="68"/>
    </row>
    <row r="84" spans="1:32" x14ac:dyDescent="0.35">
      <c r="A84" s="1576"/>
      <c r="B84" s="1574">
        <v>11579</v>
      </c>
      <c r="C84" s="1574"/>
      <c r="D84" s="1577"/>
      <c r="E84" s="2924" t="s">
        <v>11554</v>
      </c>
      <c r="F84" s="811">
        <v>4</v>
      </c>
      <c r="G84" s="812">
        <v>4</v>
      </c>
      <c r="H84" s="812">
        <v>10</v>
      </c>
      <c r="I84" s="813"/>
      <c r="J84" s="813"/>
      <c r="K84" s="813"/>
      <c r="L84" s="813"/>
      <c r="M84" s="1191"/>
      <c r="N84" s="813">
        <f>6.391-4.391</f>
        <v>2</v>
      </c>
      <c r="O84" s="819"/>
      <c r="P84" s="813"/>
      <c r="Q84" s="1187"/>
      <c r="R84" s="1183"/>
      <c r="S84" s="814"/>
      <c r="T84" s="815"/>
      <c r="U84" s="815"/>
      <c r="V84" s="815"/>
      <c r="W84" s="814"/>
      <c r="X84" s="815"/>
      <c r="Y84" s="814"/>
      <c r="Z84" s="1740"/>
      <c r="AE84" s="2461"/>
      <c r="AF84" s="68"/>
    </row>
    <row r="85" spans="1:32" x14ac:dyDescent="0.35">
      <c r="A85" s="1576"/>
      <c r="B85" s="1574">
        <v>11579</v>
      </c>
      <c r="C85" s="1574"/>
      <c r="D85" s="1577"/>
      <c r="E85" s="816" t="s">
        <v>11555</v>
      </c>
      <c r="F85" s="811">
        <v>4</v>
      </c>
      <c r="G85" s="812">
        <v>4</v>
      </c>
      <c r="H85" s="812">
        <v>6</v>
      </c>
      <c r="I85" s="813"/>
      <c r="J85" s="813"/>
      <c r="K85" s="813"/>
      <c r="L85" s="813"/>
      <c r="M85" s="1191"/>
      <c r="N85" s="2849">
        <f>7.851-6.391</f>
        <v>1.46</v>
      </c>
      <c r="O85" s="819"/>
      <c r="P85" s="813"/>
      <c r="Q85" s="1187"/>
      <c r="R85" s="1183"/>
      <c r="S85" s="814"/>
      <c r="T85" s="815"/>
      <c r="U85" s="815"/>
      <c r="V85" s="815"/>
      <c r="W85" s="814"/>
      <c r="X85" s="815"/>
      <c r="Y85" s="814"/>
      <c r="Z85" s="1740"/>
      <c r="AE85" s="2461"/>
      <c r="AF85" s="68"/>
    </row>
    <row r="86" spans="1:32" x14ac:dyDescent="0.35">
      <c r="A86" s="1576"/>
      <c r="B86" s="1574">
        <v>11579</v>
      </c>
      <c r="C86" s="1574"/>
      <c r="D86" s="1577"/>
      <c r="E86" s="1195" t="s">
        <v>361</v>
      </c>
      <c r="F86" s="811">
        <v>4</v>
      </c>
      <c r="G86" s="812">
        <v>4</v>
      </c>
      <c r="H86" s="812">
        <v>6</v>
      </c>
      <c r="I86" s="813"/>
      <c r="J86" s="813"/>
      <c r="K86" s="813"/>
      <c r="L86" s="813"/>
      <c r="M86" s="1191"/>
      <c r="N86" s="813"/>
      <c r="O86" s="819"/>
      <c r="P86" s="813"/>
      <c r="Q86" s="1187">
        <f>22.473-7.851</f>
        <v>14.622</v>
      </c>
      <c r="R86" s="1183"/>
      <c r="S86" s="814"/>
      <c r="T86" s="815"/>
      <c r="U86" s="815"/>
      <c r="V86" s="815"/>
      <c r="W86" s="814"/>
      <c r="X86" s="815"/>
      <c r="Y86" s="814"/>
      <c r="Z86" s="1740"/>
      <c r="AE86" s="2461"/>
      <c r="AF86" s="68"/>
    </row>
    <row r="87" spans="1:32" x14ac:dyDescent="0.35">
      <c r="A87" s="1576"/>
      <c r="B87" s="1574">
        <v>11579</v>
      </c>
      <c r="C87" s="1574"/>
      <c r="D87" s="1577"/>
      <c r="E87" s="816" t="s">
        <v>735</v>
      </c>
      <c r="F87" s="811">
        <v>4</v>
      </c>
      <c r="G87" s="812">
        <v>4</v>
      </c>
      <c r="H87" s="812">
        <v>6</v>
      </c>
      <c r="I87" s="813"/>
      <c r="J87" s="813"/>
      <c r="K87" s="813"/>
      <c r="L87" s="813"/>
      <c r="M87" s="1191"/>
      <c r="N87" s="813">
        <f>24.173-22.473</f>
        <v>1.6999999999999993</v>
      </c>
      <c r="O87" s="819"/>
      <c r="P87" s="813"/>
      <c r="Q87" s="1187"/>
      <c r="R87" s="1183"/>
      <c r="S87" s="814"/>
      <c r="T87" s="815"/>
      <c r="U87" s="815"/>
      <c r="V87" s="815"/>
      <c r="W87" s="814"/>
      <c r="X87" s="815"/>
      <c r="Y87" s="814"/>
      <c r="Z87" s="1740"/>
      <c r="AE87" s="2461"/>
      <c r="AF87" s="68"/>
    </row>
    <row r="88" spans="1:32" ht="105" x14ac:dyDescent="0.35">
      <c r="A88" s="1573">
        <v>35</v>
      </c>
      <c r="B88" s="1574">
        <v>11579</v>
      </c>
      <c r="C88" s="1574"/>
      <c r="D88" s="2473" t="s">
        <v>6573</v>
      </c>
      <c r="E88" s="817" t="s">
        <v>10323</v>
      </c>
      <c r="F88" s="811">
        <v>5</v>
      </c>
      <c r="G88" s="812">
        <v>5</v>
      </c>
      <c r="H88" s="812">
        <v>6</v>
      </c>
      <c r="I88" s="808">
        <f t="shared" ref="I88:I94" si="11">J88+K88+L88</f>
        <v>1.3180000000000001</v>
      </c>
      <c r="J88" s="808">
        <f t="shared" ref="J88:J94" si="12">SUM(M88:R88)</f>
        <v>1.3180000000000001</v>
      </c>
      <c r="K88" s="808"/>
      <c r="L88" s="808"/>
      <c r="M88" s="1190"/>
      <c r="N88" s="808">
        <v>1.3180000000000001</v>
      </c>
      <c r="O88" s="820"/>
      <c r="P88" s="808"/>
      <c r="Q88" s="1186"/>
      <c r="R88" s="1182"/>
      <c r="S88" s="809"/>
      <c r="T88" s="810"/>
      <c r="U88" s="810"/>
      <c r="V88" s="810"/>
      <c r="W88" s="809">
        <v>2</v>
      </c>
      <c r="X88" s="810">
        <v>20.02</v>
      </c>
      <c r="Y88" s="809">
        <v>1</v>
      </c>
      <c r="Z88" s="1739">
        <v>10.01</v>
      </c>
      <c r="AB88" s="176">
        <v>1</v>
      </c>
      <c r="AE88" s="2461"/>
      <c r="AF88" s="68"/>
    </row>
    <row r="89" spans="1:32" ht="105" x14ac:dyDescent="0.35">
      <c r="A89" s="1573">
        <v>36</v>
      </c>
      <c r="B89" s="1574">
        <v>11579</v>
      </c>
      <c r="C89" s="1574"/>
      <c r="D89" s="2473" t="s">
        <v>6574</v>
      </c>
      <c r="E89" s="817" t="s">
        <v>10324</v>
      </c>
      <c r="F89" s="811" t="s">
        <v>1490</v>
      </c>
      <c r="G89" s="812">
        <v>5</v>
      </c>
      <c r="H89" s="812">
        <v>6</v>
      </c>
      <c r="I89" s="808">
        <f t="shared" si="11"/>
        <v>1.5</v>
      </c>
      <c r="J89" s="808">
        <f t="shared" si="12"/>
        <v>1.5</v>
      </c>
      <c r="K89" s="808"/>
      <c r="L89" s="808"/>
      <c r="M89" s="1190"/>
      <c r="N89" s="808"/>
      <c r="O89" s="820"/>
      <c r="P89" s="808"/>
      <c r="Q89" s="1186"/>
      <c r="R89" s="1182">
        <v>1.5</v>
      </c>
      <c r="S89" s="809"/>
      <c r="T89" s="810"/>
      <c r="U89" s="810"/>
      <c r="V89" s="810"/>
      <c r="W89" s="809">
        <v>1</v>
      </c>
      <c r="X89" s="810">
        <v>10</v>
      </c>
      <c r="Y89" s="809"/>
      <c r="Z89" s="1739"/>
      <c r="AB89" s="176">
        <v>1</v>
      </c>
      <c r="AE89" s="2461"/>
      <c r="AF89" s="68"/>
    </row>
    <row r="90" spans="1:32" ht="105" x14ac:dyDescent="0.35">
      <c r="A90" s="1573">
        <v>37</v>
      </c>
      <c r="B90" s="1574">
        <v>11579</v>
      </c>
      <c r="C90" s="358" t="s">
        <v>1656</v>
      </c>
      <c r="D90" s="2473" t="s">
        <v>6575</v>
      </c>
      <c r="E90" s="807" t="s">
        <v>10325</v>
      </c>
      <c r="F90" s="811" t="s">
        <v>664</v>
      </c>
      <c r="G90" s="2289">
        <v>5</v>
      </c>
      <c r="H90" s="812">
        <v>6</v>
      </c>
      <c r="I90" s="808">
        <f t="shared" si="11"/>
        <v>0.1</v>
      </c>
      <c r="J90" s="808">
        <f t="shared" si="12"/>
        <v>0.1</v>
      </c>
      <c r="K90" s="808"/>
      <c r="L90" s="808"/>
      <c r="M90" s="1190"/>
      <c r="N90" s="808"/>
      <c r="O90" s="820"/>
      <c r="P90" s="808"/>
      <c r="Q90" s="1186"/>
      <c r="R90" s="1182">
        <v>0.1</v>
      </c>
      <c r="S90" s="809"/>
      <c r="T90" s="810"/>
      <c r="U90" s="810"/>
      <c r="V90" s="810"/>
      <c r="W90" s="809"/>
      <c r="X90" s="810"/>
      <c r="Y90" s="809"/>
      <c r="Z90" s="1739"/>
      <c r="AB90" s="176">
        <v>1</v>
      </c>
      <c r="AE90" s="2461"/>
      <c r="AF90" s="68"/>
    </row>
    <row r="91" spans="1:32" ht="105" x14ac:dyDescent="0.35">
      <c r="A91" s="1573">
        <v>38</v>
      </c>
      <c r="B91" s="1574">
        <v>11579</v>
      </c>
      <c r="C91" s="358" t="s">
        <v>1656</v>
      </c>
      <c r="D91" s="2473" t="s">
        <v>6576</v>
      </c>
      <c r="E91" s="817" t="s">
        <v>10326</v>
      </c>
      <c r="F91" s="811" t="s">
        <v>664</v>
      </c>
      <c r="G91" s="2289">
        <v>5</v>
      </c>
      <c r="H91" s="812">
        <v>6</v>
      </c>
      <c r="I91" s="808">
        <f t="shared" si="11"/>
        <v>1</v>
      </c>
      <c r="J91" s="808">
        <f t="shared" si="12"/>
        <v>1</v>
      </c>
      <c r="K91" s="808"/>
      <c r="L91" s="808"/>
      <c r="M91" s="1190"/>
      <c r="N91" s="808"/>
      <c r="O91" s="820"/>
      <c r="P91" s="808"/>
      <c r="Q91" s="1186"/>
      <c r="R91" s="1182">
        <v>1</v>
      </c>
      <c r="S91" s="809"/>
      <c r="T91" s="810"/>
      <c r="U91" s="810"/>
      <c r="V91" s="810"/>
      <c r="W91" s="809"/>
      <c r="X91" s="810"/>
      <c r="Y91" s="809"/>
      <c r="Z91" s="1739"/>
      <c r="AB91" s="176">
        <v>1</v>
      </c>
      <c r="AE91" s="2461"/>
      <c r="AF91" s="68"/>
    </row>
    <row r="92" spans="1:32" ht="120" x14ac:dyDescent="0.35">
      <c r="A92" s="1573">
        <v>39</v>
      </c>
      <c r="B92" s="1574">
        <v>11579</v>
      </c>
      <c r="C92" s="358" t="s">
        <v>1656</v>
      </c>
      <c r="D92" s="2473" t="s">
        <v>6577</v>
      </c>
      <c r="E92" s="807" t="s">
        <v>10327</v>
      </c>
      <c r="F92" s="811" t="s">
        <v>664</v>
      </c>
      <c r="G92" s="2289">
        <v>5</v>
      </c>
      <c r="H92" s="812">
        <v>6</v>
      </c>
      <c r="I92" s="808">
        <f t="shared" si="11"/>
        <v>0.55000000000000004</v>
      </c>
      <c r="J92" s="808">
        <f t="shared" si="12"/>
        <v>0.55000000000000004</v>
      </c>
      <c r="K92" s="808"/>
      <c r="L92" s="808"/>
      <c r="M92" s="1190"/>
      <c r="N92" s="808"/>
      <c r="O92" s="820"/>
      <c r="P92" s="808"/>
      <c r="Q92" s="1186"/>
      <c r="R92" s="1182">
        <v>0.55000000000000004</v>
      </c>
      <c r="S92" s="809"/>
      <c r="T92" s="810"/>
      <c r="U92" s="810"/>
      <c r="V92" s="810"/>
      <c r="W92" s="809"/>
      <c r="X92" s="810"/>
      <c r="Y92" s="809"/>
      <c r="Z92" s="1739"/>
      <c r="AB92" s="176">
        <v>1</v>
      </c>
      <c r="AE92" s="2461"/>
      <c r="AF92" s="68"/>
    </row>
    <row r="93" spans="1:32" ht="105" x14ac:dyDescent="0.35">
      <c r="A93" s="1573">
        <v>40</v>
      </c>
      <c r="B93" s="1574">
        <v>11579</v>
      </c>
      <c r="C93" s="1024"/>
      <c r="D93" s="2473" t="s">
        <v>6578</v>
      </c>
      <c r="E93" s="817" t="s">
        <v>10328</v>
      </c>
      <c r="F93" s="811" t="s">
        <v>827</v>
      </c>
      <c r="G93" s="2289">
        <v>5</v>
      </c>
      <c r="H93" s="812">
        <v>6</v>
      </c>
      <c r="I93" s="808">
        <f>J93+K93+L93</f>
        <v>2.5750000000000002</v>
      </c>
      <c r="J93" s="808">
        <f>SUM(M93:R93)</f>
        <v>2.5750000000000002</v>
      </c>
      <c r="K93" s="808"/>
      <c r="L93" s="808"/>
      <c r="M93" s="1190"/>
      <c r="N93" s="808">
        <v>2.5750000000000002</v>
      </c>
      <c r="O93" s="820"/>
      <c r="P93" s="808"/>
      <c r="Q93" s="1186"/>
      <c r="R93" s="1182"/>
      <c r="S93" s="809"/>
      <c r="T93" s="810"/>
      <c r="U93" s="810"/>
      <c r="V93" s="810"/>
      <c r="W93" s="809">
        <v>3</v>
      </c>
      <c r="X93" s="810">
        <v>55</v>
      </c>
      <c r="Y93" s="809"/>
      <c r="Z93" s="1739"/>
      <c r="AB93" s="176">
        <v>1</v>
      </c>
      <c r="AE93" s="2461"/>
      <c r="AF93" s="68"/>
    </row>
    <row r="94" spans="1:32" ht="30" x14ac:dyDescent="0.35">
      <c r="A94" s="1573">
        <v>41</v>
      </c>
      <c r="B94" s="1574">
        <v>11580</v>
      </c>
      <c r="C94" s="1574"/>
      <c r="D94" s="1575" t="s">
        <v>770</v>
      </c>
      <c r="E94" s="807" t="s">
        <v>10884</v>
      </c>
      <c r="F94" s="811"/>
      <c r="G94" s="812" t="s">
        <v>191</v>
      </c>
      <c r="H94" s="812" t="s">
        <v>191</v>
      </c>
      <c r="I94" s="808">
        <f t="shared" si="11"/>
        <v>31.64</v>
      </c>
      <c r="J94" s="808">
        <f t="shared" si="12"/>
        <v>26.386000000000003</v>
      </c>
      <c r="K94" s="808"/>
      <c r="L94" s="808">
        <f>SUM(L95:L104)</f>
        <v>5.2539999999999996</v>
      </c>
      <c r="M94" s="1190"/>
      <c r="N94" s="808">
        <f>SUM(N95:N104)</f>
        <v>15.608000000000001</v>
      </c>
      <c r="O94" s="820"/>
      <c r="P94" s="808"/>
      <c r="Q94" s="1186">
        <f>SUM(Q95:Q104)</f>
        <v>6.5289999999999999</v>
      </c>
      <c r="R94" s="1182">
        <f>SUM(R95:R104)</f>
        <v>4.2490000000000006</v>
      </c>
      <c r="S94" s="809"/>
      <c r="T94" s="810"/>
      <c r="U94" s="810"/>
      <c r="V94" s="810"/>
      <c r="W94" s="809">
        <v>48</v>
      </c>
      <c r="X94" s="810">
        <v>685.13</v>
      </c>
      <c r="Y94" s="809">
        <v>14</v>
      </c>
      <c r="Z94" s="1739">
        <v>145.5</v>
      </c>
      <c r="AB94" s="176">
        <v>1</v>
      </c>
      <c r="AE94" s="2461"/>
      <c r="AF94" s="68"/>
    </row>
    <row r="95" spans="1:32" x14ac:dyDescent="0.35">
      <c r="A95" s="1576"/>
      <c r="B95" s="1574">
        <v>11580</v>
      </c>
      <c r="C95" s="1574"/>
      <c r="D95" s="1577"/>
      <c r="E95" s="816" t="s">
        <v>2257</v>
      </c>
      <c r="F95" s="811">
        <v>4</v>
      </c>
      <c r="G95" s="812">
        <v>4</v>
      </c>
      <c r="H95" s="812">
        <v>6</v>
      </c>
      <c r="I95" s="813"/>
      <c r="J95" s="813"/>
      <c r="K95" s="813"/>
      <c r="L95" s="813"/>
      <c r="M95" s="1191"/>
      <c r="N95" s="813">
        <v>9.1660000000000004</v>
      </c>
      <c r="O95" s="819"/>
      <c r="P95" s="813"/>
      <c r="Q95" s="1187"/>
      <c r="R95" s="1183"/>
      <c r="S95" s="814"/>
      <c r="T95" s="815"/>
      <c r="U95" s="815"/>
      <c r="V95" s="815"/>
      <c r="W95" s="814"/>
      <c r="X95" s="815"/>
      <c r="Y95" s="814"/>
      <c r="Z95" s="1740"/>
      <c r="AE95" s="2461"/>
      <c r="AF95" s="68"/>
    </row>
    <row r="96" spans="1:32" ht="31" x14ac:dyDescent="0.35">
      <c r="A96" s="1576"/>
      <c r="B96" s="1574">
        <v>11580</v>
      </c>
      <c r="C96" s="1574"/>
      <c r="D96" s="1577"/>
      <c r="E96" s="816" t="s">
        <v>2258</v>
      </c>
      <c r="F96" s="811">
        <v>4</v>
      </c>
      <c r="G96" s="812">
        <v>4</v>
      </c>
      <c r="H96" s="812" t="s">
        <v>191</v>
      </c>
      <c r="I96" s="813"/>
      <c r="J96" s="813"/>
      <c r="K96" s="813"/>
      <c r="L96" s="813">
        <f>13.188-9.166</f>
        <v>4.0220000000000002</v>
      </c>
      <c r="M96" s="1191"/>
      <c r="N96" s="813"/>
      <c r="O96" s="819"/>
      <c r="P96" s="813"/>
      <c r="Q96" s="1187"/>
      <c r="R96" s="1183"/>
      <c r="S96" s="814"/>
      <c r="T96" s="815"/>
      <c r="U96" s="815"/>
      <c r="V96" s="815"/>
      <c r="W96" s="814"/>
      <c r="X96" s="815"/>
      <c r="Y96" s="814"/>
      <c r="Z96" s="1740"/>
      <c r="AE96" s="2461"/>
      <c r="AF96" s="68"/>
    </row>
    <row r="97" spans="1:32" x14ac:dyDescent="0.35">
      <c r="A97" s="1576"/>
      <c r="B97" s="1574">
        <v>11580</v>
      </c>
      <c r="C97" s="1574"/>
      <c r="D97" s="1577"/>
      <c r="E97" s="816" t="s">
        <v>2259</v>
      </c>
      <c r="F97" s="811">
        <v>4</v>
      </c>
      <c r="G97" s="812">
        <v>4</v>
      </c>
      <c r="H97" s="812">
        <v>6</v>
      </c>
      <c r="I97" s="813"/>
      <c r="J97" s="813"/>
      <c r="K97" s="813"/>
      <c r="L97" s="813"/>
      <c r="M97" s="1191"/>
      <c r="N97" s="813">
        <f>13.213-13.188</f>
        <v>2.4999999999998579E-2</v>
      </c>
      <c r="O97" s="819"/>
      <c r="P97" s="813"/>
      <c r="Q97" s="1187"/>
      <c r="R97" s="1183"/>
      <c r="S97" s="814"/>
      <c r="T97" s="815"/>
      <c r="U97" s="815"/>
      <c r="V97" s="815"/>
      <c r="W97" s="814"/>
      <c r="X97" s="815"/>
      <c r="Y97" s="814"/>
      <c r="Z97" s="1740"/>
      <c r="AE97" s="2461"/>
      <c r="AF97" s="68"/>
    </row>
    <row r="98" spans="1:32" x14ac:dyDescent="0.35">
      <c r="A98" s="1576"/>
      <c r="B98" s="1574">
        <v>11580</v>
      </c>
      <c r="C98" s="1574"/>
      <c r="D98" s="1577"/>
      <c r="E98" s="1195" t="s">
        <v>2260</v>
      </c>
      <c r="F98" s="811">
        <v>4</v>
      </c>
      <c r="G98" s="812">
        <v>4</v>
      </c>
      <c r="H98" s="812">
        <v>6</v>
      </c>
      <c r="I98" s="813"/>
      <c r="J98" s="813"/>
      <c r="K98" s="813"/>
      <c r="L98" s="813"/>
      <c r="M98" s="1191"/>
      <c r="N98" s="813"/>
      <c r="O98" s="819"/>
      <c r="P98" s="813"/>
      <c r="Q98" s="1187">
        <f>14.691-13.213</f>
        <v>1.4780000000000015</v>
      </c>
      <c r="R98" s="1183"/>
      <c r="S98" s="814"/>
      <c r="T98" s="815"/>
      <c r="U98" s="815"/>
      <c r="V98" s="815"/>
      <c r="W98" s="814"/>
      <c r="X98" s="815"/>
      <c r="Y98" s="814"/>
      <c r="Z98" s="1740"/>
      <c r="AE98" s="2461"/>
      <c r="AF98" s="68"/>
    </row>
    <row r="99" spans="1:32" x14ac:dyDescent="0.35">
      <c r="A99" s="1576"/>
      <c r="B99" s="1574">
        <v>11580</v>
      </c>
      <c r="C99" s="1574"/>
      <c r="D99" s="1577"/>
      <c r="E99" s="1192" t="s">
        <v>2261</v>
      </c>
      <c r="F99" s="811" t="s">
        <v>827</v>
      </c>
      <c r="G99" s="812">
        <v>5</v>
      </c>
      <c r="H99" s="812">
        <v>6</v>
      </c>
      <c r="I99" s="813"/>
      <c r="J99" s="813"/>
      <c r="K99" s="813"/>
      <c r="L99" s="813"/>
      <c r="M99" s="1191"/>
      <c r="N99" s="813"/>
      <c r="O99" s="819"/>
      <c r="P99" s="813"/>
      <c r="Q99" s="1187"/>
      <c r="R99" s="1183">
        <f>18.94-14.691</f>
        <v>4.2490000000000006</v>
      </c>
      <c r="S99" s="814"/>
      <c r="T99" s="815"/>
      <c r="U99" s="815"/>
      <c r="V99" s="815"/>
      <c r="W99" s="814"/>
      <c r="X99" s="815"/>
      <c r="Y99" s="814"/>
      <c r="Z99" s="1740"/>
      <c r="AE99" s="2461"/>
      <c r="AF99" s="68"/>
    </row>
    <row r="100" spans="1:32" x14ac:dyDescent="0.35">
      <c r="A100" s="1576"/>
      <c r="B100" s="1574">
        <v>11580</v>
      </c>
      <c r="C100" s="1574"/>
      <c r="D100" s="1577"/>
      <c r="E100" s="1195" t="s">
        <v>2262</v>
      </c>
      <c r="F100" s="811">
        <v>4</v>
      </c>
      <c r="G100" s="812">
        <v>4</v>
      </c>
      <c r="H100" s="812">
        <v>6</v>
      </c>
      <c r="I100" s="813"/>
      <c r="J100" s="813"/>
      <c r="K100" s="813"/>
      <c r="L100" s="813"/>
      <c r="M100" s="1191"/>
      <c r="N100" s="813"/>
      <c r="O100" s="819"/>
      <c r="P100" s="813"/>
      <c r="Q100" s="1187">
        <f>20.978-18.94</f>
        <v>2.0380000000000003</v>
      </c>
      <c r="R100" s="1183"/>
      <c r="S100" s="814"/>
      <c r="T100" s="815"/>
      <c r="U100" s="815"/>
      <c r="V100" s="815"/>
      <c r="W100" s="814"/>
      <c r="X100" s="815"/>
      <c r="Y100" s="814"/>
      <c r="Z100" s="1740"/>
      <c r="AE100" s="2461"/>
      <c r="AF100" s="68"/>
    </row>
    <row r="101" spans="1:32" ht="31" x14ac:dyDescent="0.35">
      <c r="A101" s="1576"/>
      <c r="B101" s="1574">
        <v>11580</v>
      </c>
      <c r="C101" s="1574"/>
      <c r="D101" s="1577"/>
      <c r="E101" s="816" t="s">
        <v>2263</v>
      </c>
      <c r="F101" s="811">
        <v>4</v>
      </c>
      <c r="G101" s="812">
        <v>4</v>
      </c>
      <c r="H101" s="812" t="s">
        <v>191</v>
      </c>
      <c r="I101" s="813"/>
      <c r="J101" s="813"/>
      <c r="K101" s="813"/>
      <c r="L101" s="813">
        <f>22.21-20.978</f>
        <v>1.2319999999999993</v>
      </c>
      <c r="M101" s="1191"/>
      <c r="N101" s="813"/>
      <c r="O101" s="819"/>
      <c r="P101" s="813"/>
      <c r="Q101" s="1187"/>
      <c r="R101" s="1183"/>
      <c r="S101" s="814"/>
      <c r="T101" s="815"/>
      <c r="U101" s="815"/>
      <c r="V101" s="815"/>
      <c r="W101" s="814"/>
      <c r="X101" s="815"/>
      <c r="Y101" s="814"/>
      <c r="Z101" s="1740"/>
      <c r="AE101" s="2461"/>
      <c r="AF101" s="68"/>
    </row>
    <row r="102" spans="1:32" x14ac:dyDescent="0.35">
      <c r="A102" s="1576"/>
      <c r="B102" s="1574">
        <v>11580</v>
      </c>
      <c r="C102" s="1574"/>
      <c r="D102" s="1577"/>
      <c r="E102" s="816" t="s">
        <v>2264</v>
      </c>
      <c r="F102" s="811">
        <v>4</v>
      </c>
      <c r="G102" s="812">
        <v>4</v>
      </c>
      <c r="H102" s="812">
        <v>6</v>
      </c>
      <c r="I102" s="813"/>
      <c r="J102" s="813"/>
      <c r="K102" s="813"/>
      <c r="L102" s="813"/>
      <c r="M102" s="1191"/>
      <c r="N102" s="813">
        <f>25.913-22.21</f>
        <v>3.7029999999999994</v>
      </c>
      <c r="O102" s="819"/>
      <c r="P102" s="813"/>
      <c r="Q102" s="1187"/>
      <c r="R102" s="1183"/>
      <c r="S102" s="814"/>
      <c r="T102" s="815"/>
      <c r="U102" s="815"/>
      <c r="V102" s="815"/>
      <c r="W102" s="814"/>
      <c r="X102" s="815"/>
      <c r="Y102" s="814"/>
      <c r="Z102" s="1740"/>
      <c r="AE102" s="2461"/>
      <c r="AF102" s="68"/>
    </row>
    <row r="103" spans="1:32" x14ac:dyDescent="0.35">
      <c r="A103" s="1576"/>
      <c r="B103" s="1574">
        <v>11580</v>
      </c>
      <c r="C103" s="1574"/>
      <c r="D103" s="1577"/>
      <c r="E103" s="1195" t="s">
        <v>2265</v>
      </c>
      <c r="F103" s="811">
        <v>4</v>
      </c>
      <c r="G103" s="812">
        <v>4</v>
      </c>
      <c r="H103" s="812">
        <v>6</v>
      </c>
      <c r="I103" s="813"/>
      <c r="J103" s="813"/>
      <c r="K103" s="813"/>
      <c r="L103" s="813"/>
      <c r="M103" s="1191"/>
      <c r="N103" s="813"/>
      <c r="O103" s="819"/>
      <c r="P103" s="813"/>
      <c r="Q103" s="1826">
        <f>28.926-25.913</f>
        <v>3.0129999999999981</v>
      </c>
      <c r="R103" s="1183"/>
      <c r="S103" s="814"/>
      <c r="T103" s="815"/>
      <c r="U103" s="815"/>
      <c r="V103" s="815"/>
      <c r="W103" s="814"/>
      <c r="X103" s="815"/>
      <c r="Y103" s="814"/>
      <c r="Z103" s="1740"/>
      <c r="AE103" s="2461"/>
      <c r="AF103" s="68"/>
    </row>
    <row r="104" spans="1:32" x14ac:dyDescent="0.35">
      <c r="A104" s="1576"/>
      <c r="B104" s="1574">
        <v>11580</v>
      </c>
      <c r="C104" s="1574"/>
      <c r="D104" s="1577"/>
      <c r="E104" s="1197" t="s">
        <v>11055</v>
      </c>
      <c r="F104" s="811">
        <v>4</v>
      </c>
      <c r="G104" s="812">
        <v>4</v>
      </c>
      <c r="H104" s="812">
        <v>6</v>
      </c>
      <c r="I104" s="813"/>
      <c r="J104" s="813"/>
      <c r="K104" s="813"/>
      <c r="L104" s="813"/>
      <c r="M104" s="1191"/>
      <c r="N104" s="813">
        <f>31.64-28.926</f>
        <v>2.7140000000000022</v>
      </c>
      <c r="O104" s="819"/>
      <c r="P104" s="813"/>
      <c r="Q104" s="1187"/>
      <c r="R104" s="1183"/>
      <c r="S104" s="814"/>
      <c r="T104" s="815"/>
      <c r="U104" s="815"/>
      <c r="V104" s="815"/>
      <c r="W104" s="814"/>
      <c r="X104" s="815"/>
      <c r="Y104" s="814"/>
      <c r="Z104" s="1740"/>
      <c r="AE104" s="2461"/>
      <c r="AF104" s="68"/>
    </row>
    <row r="105" spans="1:32" ht="30" x14ac:dyDescent="0.35">
      <c r="A105" s="1573">
        <v>42</v>
      </c>
      <c r="B105" s="1574">
        <v>11580</v>
      </c>
      <c r="C105" s="1574"/>
      <c r="D105" s="2473" t="s">
        <v>6579</v>
      </c>
      <c r="E105" s="817" t="s">
        <v>8070</v>
      </c>
      <c r="F105" s="811" t="s">
        <v>1490</v>
      </c>
      <c r="G105" s="812">
        <v>5</v>
      </c>
      <c r="H105" s="812">
        <v>6</v>
      </c>
      <c r="I105" s="808">
        <f t="shared" ref="I105:I112" si="13">J105+K105+L105</f>
        <v>0.9</v>
      </c>
      <c r="J105" s="808">
        <f>SUM(M105:R105)</f>
        <v>0.9</v>
      </c>
      <c r="K105" s="808"/>
      <c r="L105" s="808"/>
      <c r="M105" s="1190"/>
      <c r="N105" s="808"/>
      <c r="O105" s="820"/>
      <c r="P105" s="808"/>
      <c r="Q105" s="1186"/>
      <c r="R105" s="1182">
        <v>0.9</v>
      </c>
      <c r="S105" s="809"/>
      <c r="T105" s="810"/>
      <c r="U105" s="810"/>
      <c r="V105" s="810"/>
      <c r="W105" s="809"/>
      <c r="X105" s="810"/>
      <c r="Y105" s="809"/>
      <c r="Z105" s="1739"/>
      <c r="AB105" s="176">
        <v>1</v>
      </c>
      <c r="AE105" s="2461"/>
      <c r="AF105" s="68"/>
    </row>
    <row r="106" spans="1:32" ht="45" x14ac:dyDescent="0.35">
      <c r="A106" s="1573">
        <v>43</v>
      </c>
      <c r="B106" s="1574">
        <v>11580</v>
      </c>
      <c r="C106" s="1052" t="s">
        <v>1655</v>
      </c>
      <c r="D106" s="2473" t="s">
        <v>6580</v>
      </c>
      <c r="E106" s="817" t="s">
        <v>7406</v>
      </c>
      <c r="F106" s="811" t="s">
        <v>827</v>
      </c>
      <c r="G106" s="812">
        <v>5</v>
      </c>
      <c r="H106" s="812">
        <v>6</v>
      </c>
      <c r="I106" s="808">
        <f t="shared" si="13"/>
        <v>1.3</v>
      </c>
      <c r="J106" s="808">
        <f>SUM(M106:R106)</f>
        <v>1.3</v>
      </c>
      <c r="K106" s="808"/>
      <c r="L106" s="808"/>
      <c r="M106" s="1190"/>
      <c r="N106" s="808"/>
      <c r="O106" s="820"/>
      <c r="P106" s="808"/>
      <c r="Q106" s="1186"/>
      <c r="R106" s="1182">
        <v>1.3</v>
      </c>
      <c r="S106" s="809"/>
      <c r="T106" s="810"/>
      <c r="U106" s="810"/>
      <c r="V106" s="810"/>
      <c r="W106" s="809"/>
      <c r="X106" s="810"/>
      <c r="Y106" s="809"/>
      <c r="Z106" s="1739"/>
      <c r="AB106" s="176">
        <v>1</v>
      </c>
      <c r="AE106" s="2461"/>
      <c r="AF106" s="68"/>
    </row>
    <row r="107" spans="1:32" ht="45" x14ac:dyDescent="0.35">
      <c r="A107" s="1573">
        <v>44</v>
      </c>
      <c r="B107" s="1052">
        <v>11580</v>
      </c>
      <c r="C107" s="1052" t="s">
        <v>1656</v>
      </c>
      <c r="D107" s="2473" t="s">
        <v>6581</v>
      </c>
      <c r="E107" s="807" t="s">
        <v>9098</v>
      </c>
      <c r="F107" s="811" t="s">
        <v>664</v>
      </c>
      <c r="G107" s="93">
        <v>5</v>
      </c>
      <c r="H107" s="812">
        <v>6</v>
      </c>
      <c r="I107" s="808">
        <f>J107+K107+L107</f>
        <v>1.6</v>
      </c>
      <c r="J107" s="808">
        <f>SUM(M107:R107)</f>
        <v>1.6</v>
      </c>
      <c r="K107" s="808"/>
      <c r="L107" s="808"/>
      <c r="M107" s="1190"/>
      <c r="N107" s="808"/>
      <c r="O107" s="820"/>
      <c r="P107" s="808"/>
      <c r="Q107" s="1186"/>
      <c r="R107" s="1182">
        <v>1.6</v>
      </c>
      <c r="S107" s="809"/>
      <c r="T107" s="810"/>
      <c r="U107" s="810"/>
      <c r="V107" s="810"/>
      <c r="W107" s="809"/>
      <c r="X107" s="810"/>
      <c r="Y107" s="809"/>
      <c r="Z107" s="1739"/>
      <c r="AB107" s="176">
        <v>1</v>
      </c>
      <c r="AE107" s="2461"/>
      <c r="AF107" s="68"/>
    </row>
    <row r="108" spans="1:32" ht="45" x14ac:dyDescent="0.35">
      <c r="A108" s="1573">
        <v>45</v>
      </c>
      <c r="B108" s="1052">
        <v>11580</v>
      </c>
      <c r="C108" s="1052" t="s">
        <v>1656</v>
      </c>
      <c r="D108" s="2473" t="s">
        <v>6582</v>
      </c>
      <c r="E108" s="2187" t="s">
        <v>9099</v>
      </c>
      <c r="F108" s="811" t="s">
        <v>664</v>
      </c>
      <c r="G108" s="93">
        <v>5</v>
      </c>
      <c r="H108" s="812">
        <v>6</v>
      </c>
      <c r="I108" s="2157">
        <f t="shared" si="13"/>
        <v>0.4</v>
      </c>
      <c r="J108" s="2157">
        <f>M108+N108+O108+P108+Q108+R108</f>
        <v>0.4</v>
      </c>
      <c r="K108" s="490"/>
      <c r="L108" s="490"/>
      <c r="M108" s="490"/>
      <c r="N108" s="490"/>
      <c r="O108" s="490"/>
      <c r="P108" s="490"/>
      <c r="Q108" s="2182"/>
      <c r="R108" s="906">
        <v>0.4</v>
      </c>
      <c r="S108" s="101"/>
      <c r="T108" s="101"/>
      <c r="U108" s="101"/>
      <c r="V108" s="101"/>
      <c r="W108" s="1969"/>
      <c r="X108" s="1969"/>
      <c r="Y108" s="1969"/>
      <c r="Z108" s="2186"/>
      <c r="AB108" s="176">
        <v>1</v>
      </c>
      <c r="AE108" s="2461"/>
      <c r="AF108" s="68"/>
    </row>
    <row r="109" spans="1:32" ht="30" x14ac:dyDescent="0.35">
      <c r="A109" s="1573">
        <v>46</v>
      </c>
      <c r="B109" s="697">
        <v>11580</v>
      </c>
      <c r="C109" s="697"/>
      <c r="D109" s="2473" t="s">
        <v>6583</v>
      </c>
      <c r="E109" s="817" t="s">
        <v>8071</v>
      </c>
      <c r="F109" s="92" t="s">
        <v>827</v>
      </c>
      <c r="G109" s="93">
        <v>5</v>
      </c>
      <c r="H109" s="812">
        <v>6</v>
      </c>
      <c r="I109" s="2157">
        <f t="shared" si="13"/>
        <v>1.1000000000000001</v>
      </c>
      <c r="J109" s="2157">
        <f>M109+N109+O109+P109+Q109+R109</f>
        <v>1.1000000000000001</v>
      </c>
      <c r="K109" s="490"/>
      <c r="L109" s="490"/>
      <c r="M109" s="490"/>
      <c r="N109" s="490"/>
      <c r="O109" s="490"/>
      <c r="P109" s="490"/>
      <c r="Q109" s="490"/>
      <c r="R109" s="2207">
        <v>1.1000000000000001</v>
      </c>
      <c r="S109" s="101"/>
      <c r="T109" s="101"/>
      <c r="U109" s="101"/>
      <c r="V109" s="101"/>
      <c r="W109" s="1969"/>
      <c r="X109" s="1969"/>
      <c r="Y109" s="1969"/>
      <c r="Z109" s="1969"/>
      <c r="AB109" s="176">
        <v>1</v>
      </c>
      <c r="AE109" s="2461"/>
      <c r="AF109" s="68"/>
    </row>
    <row r="110" spans="1:32" ht="45" x14ac:dyDescent="0.35">
      <c r="A110" s="1573">
        <v>47</v>
      </c>
      <c r="B110" s="697">
        <v>11580</v>
      </c>
      <c r="C110" s="1052" t="s">
        <v>1656</v>
      </c>
      <c r="D110" s="2473" t="s">
        <v>6584</v>
      </c>
      <c r="E110" s="2187" t="s">
        <v>9100</v>
      </c>
      <c r="F110" s="811" t="s">
        <v>664</v>
      </c>
      <c r="G110" s="93">
        <v>5</v>
      </c>
      <c r="H110" s="812">
        <v>6</v>
      </c>
      <c r="I110" s="2157">
        <f>J110+K110+L110</f>
        <v>1</v>
      </c>
      <c r="J110" s="2157">
        <f>M110+N110+O110+P110+Q110+R110</f>
        <v>1</v>
      </c>
      <c r="K110" s="490"/>
      <c r="L110" s="490"/>
      <c r="M110" s="490"/>
      <c r="N110" s="490"/>
      <c r="O110" s="490"/>
      <c r="P110" s="490"/>
      <c r="Q110" s="2182"/>
      <c r="R110" s="906">
        <v>1</v>
      </c>
      <c r="S110" s="101"/>
      <c r="T110" s="101"/>
      <c r="U110" s="101"/>
      <c r="V110" s="101"/>
      <c r="W110" s="1969"/>
      <c r="X110" s="1969"/>
      <c r="Y110" s="1969"/>
      <c r="Z110" s="2186"/>
      <c r="AB110" s="176">
        <v>1</v>
      </c>
      <c r="AE110" s="2461"/>
      <c r="AF110" s="68"/>
    </row>
    <row r="111" spans="1:32" ht="90" x14ac:dyDescent="0.35">
      <c r="A111" s="1573">
        <v>48</v>
      </c>
      <c r="B111" s="1574">
        <v>11581</v>
      </c>
      <c r="C111" s="1574"/>
      <c r="D111" s="1575" t="s">
        <v>2381</v>
      </c>
      <c r="E111" s="807" t="s">
        <v>10329</v>
      </c>
      <c r="F111" s="811">
        <v>4</v>
      </c>
      <c r="G111" s="812">
        <v>4</v>
      </c>
      <c r="H111" s="812">
        <v>6</v>
      </c>
      <c r="I111" s="808">
        <f t="shared" si="13"/>
        <v>9.7799999999999994</v>
      </c>
      <c r="J111" s="808">
        <f>SUM(M111:R111)</f>
        <v>9.7799999999999994</v>
      </c>
      <c r="K111" s="808"/>
      <c r="L111" s="808"/>
      <c r="M111" s="1190"/>
      <c r="N111" s="808">
        <v>9.7799999999999994</v>
      </c>
      <c r="O111" s="820"/>
      <c r="P111" s="808"/>
      <c r="Q111" s="1186"/>
      <c r="R111" s="1182"/>
      <c r="S111" s="809">
        <v>2</v>
      </c>
      <c r="T111" s="810">
        <f>12.8+6.4</f>
        <v>19.200000000000003</v>
      </c>
      <c r="U111" s="810"/>
      <c r="V111" s="810"/>
      <c r="W111" s="809">
        <f>16+1</f>
        <v>17</v>
      </c>
      <c r="X111" s="810">
        <f>211.9+15.18</f>
        <v>227.08</v>
      </c>
      <c r="Y111" s="809">
        <v>9</v>
      </c>
      <c r="Z111" s="1739">
        <v>94.5</v>
      </c>
      <c r="AB111" s="176">
        <v>1</v>
      </c>
      <c r="AE111" s="2461"/>
      <c r="AF111" s="68"/>
    </row>
    <row r="112" spans="1:32" ht="105" x14ac:dyDescent="0.35">
      <c r="A112" s="1573">
        <v>49</v>
      </c>
      <c r="B112" s="1574">
        <v>11581</v>
      </c>
      <c r="C112" s="1574"/>
      <c r="D112" s="2473" t="s">
        <v>6585</v>
      </c>
      <c r="E112" s="817" t="s">
        <v>10330</v>
      </c>
      <c r="F112" s="811"/>
      <c r="G112" s="812" t="s">
        <v>191</v>
      </c>
      <c r="H112" s="812" t="s">
        <v>191</v>
      </c>
      <c r="I112" s="808">
        <f t="shared" si="13"/>
        <v>4.9000000000000004</v>
      </c>
      <c r="J112" s="808">
        <f>SUM(M112:R112)</f>
        <v>4.9000000000000004</v>
      </c>
      <c r="K112" s="808"/>
      <c r="L112" s="808"/>
      <c r="M112" s="1190"/>
      <c r="N112" s="808">
        <f>SUM(N113:N115)</f>
        <v>0.47799999999999998</v>
      </c>
      <c r="O112" s="820"/>
      <c r="P112" s="808"/>
      <c r="Q112" s="1186">
        <f>SUM(Q113:Q115)</f>
        <v>4.2610000000000001</v>
      </c>
      <c r="R112" s="1182">
        <f>SUM(R113:R115)</f>
        <v>0.16100000000000048</v>
      </c>
      <c r="S112" s="809"/>
      <c r="T112" s="810"/>
      <c r="U112" s="810"/>
      <c r="V112" s="810"/>
      <c r="W112" s="809">
        <v>4</v>
      </c>
      <c r="X112" s="810">
        <v>47.8</v>
      </c>
      <c r="Y112" s="809">
        <v>1</v>
      </c>
      <c r="Z112" s="1739">
        <v>10</v>
      </c>
      <c r="AB112" s="176">
        <v>1</v>
      </c>
      <c r="AE112" s="2461"/>
      <c r="AF112" s="68"/>
    </row>
    <row r="113" spans="1:32" x14ac:dyDescent="0.35">
      <c r="A113" s="1573"/>
      <c r="B113" s="1574">
        <v>11581</v>
      </c>
      <c r="C113" s="1574"/>
      <c r="D113" s="1575"/>
      <c r="E113" s="818" t="s">
        <v>541</v>
      </c>
      <c r="F113" s="811">
        <v>4</v>
      </c>
      <c r="G113" s="812">
        <v>5</v>
      </c>
      <c r="H113" s="812">
        <v>6</v>
      </c>
      <c r="I113" s="808"/>
      <c r="J113" s="808"/>
      <c r="K113" s="808"/>
      <c r="L113" s="808"/>
      <c r="M113" s="1190"/>
      <c r="N113" s="813">
        <v>0.47799999999999998</v>
      </c>
      <c r="O113" s="820"/>
      <c r="P113" s="808"/>
      <c r="Q113" s="1186"/>
      <c r="R113" s="1182"/>
      <c r="S113" s="809"/>
      <c r="T113" s="810"/>
      <c r="U113" s="810"/>
      <c r="V113" s="810"/>
      <c r="W113" s="809"/>
      <c r="X113" s="810"/>
      <c r="Y113" s="809"/>
      <c r="Z113" s="1739"/>
      <c r="AE113" s="2461"/>
      <c r="AF113" s="68"/>
    </row>
    <row r="114" spans="1:32" x14ac:dyDescent="0.35">
      <c r="A114" s="1573"/>
      <c r="B114" s="1574">
        <v>11581</v>
      </c>
      <c r="C114" s="1574"/>
      <c r="D114" s="1575"/>
      <c r="E114" s="1194" t="s">
        <v>540</v>
      </c>
      <c r="F114" s="811">
        <v>4</v>
      </c>
      <c r="G114" s="812">
        <v>5</v>
      </c>
      <c r="H114" s="812">
        <v>6</v>
      </c>
      <c r="I114" s="808"/>
      <c r="J114" s="808"/>
      <c r="K114" s="808"/>
      <c r="L114" s="808"/>
      <c r="M114" s="1190"/>
      <c r="N114" s="808"/>
      <c r="O114" s="820"/>
      <c r="P114" s="808"/>
      <c r="Q114" s="1187">
        <f>4.739-0.478</f>
        <v>4.2610000000000001</v>
      </c>
      <c r="R114" s="1182"/>
      <c r="S114" s="809"/>
      <c r="T114" s="810"/>
      <c r="U114" s="810"/>
      <c r="V114" s="810"/>
      <c r="W114" s="809"/>
      <c r="X114" s="810"/>
      <c r="Y114" s="809"/>
      <c r="Z114" s="1739"/>
      <c r="AE114" s="2461"/>
      <c r="AF114" s="68"/>
    </row>
    <row r="115" spans="1:32" x14ac:dyDescent="0.35">
      <c r="A115" s="1573"/>
      <c r="B115" s="1574">
        <v>11581</v>
      </c>
      <c r="C115" s="1574"/>
      <c r="D115" s="1575"/>
      <c r="E115" s="1192" t="s">
        <v>645</v>
      </c>
      <c r="F115" s="811" t="s">
        <v>827</v>
      </c>
      <c r="G115" s="812">
        <v>5</v>
      </c>
      <c r="H115" s="812">
        <v>6</v>
      </c>
      <c r="I115" s="808"/>
      <c r="J115" s="808"/>
      <c r="K115" s="808"/>
      <c r="L115" s="808"/>
      <c r="M115" s="1190"/>
      <c r="N115" s="808"/>
      <c r="O115" s="820"/>
      <c r="P115" s="808"/>
      <c r="Q115" s="1187"/>
      <c r="R115" s="1772">
        <f>4.9-4.739</f>
        <v>0.16100000000000048</v>
      </c>
      <c r="S115" s="809"/>
      <c r="T115" s="810"/>
      <c r="U115" s="810"/>
      <c r="V115" s="810"/>
      <c r="W115" s="809"/>
      <c r="X115" s="810"/>
      <c r="Y115" s="809"/>
      <c r="Z115" s="1739"/>
      <c r="AE115" s="2461"/>
      <c r="AF115" s="68"/>
    </row>
    <row r="116" spans="1:32" ht="120" x14ac:dyDescent="0.35">
      <c r="A116" s="1573">
        <v>50</v>
      </c>
      <c r="B116" s="1574">
        <v>11581</v>
      </c>
      <c r="C116" s="1052" t="s">
        <v>1656</v>
      </c>
      <c r="D116" s="2473" t="s">
        <v>6586</v>
      </c>
      <c r="E116" s="807" t="s">
        <v>11537</v>
      </c>
      <c r="F116" s="811" t="s">
        <v>664</v>
      </c>
      <c r="G116" s="812">
        <v>5</v>
      </c>
      <c r="H116" s="812">
        <v>6</v>
      </c>
      <c r="I116" s="2708">
        <f t="shared" ref="I116:I123" si="14">J116+K116+L116</f>
        <v>0.64</v>
      </c>
      <c r="J116" s="2708">
        <f t="shared" ref="J116:J123" si="15">SUM(M116:R116)</f>
        <v>0.64</v>
      </c>
      <c r="K116" s="808"/>
      <c r="L116" s="808"/>
      <c r="M116" s="1190"/>
      <c r="N116" s="808"/>
      <c r="O116" s="820"/>
      <c r="P116" s="808"/>
      <c r="Q116" s="1187"/>
      <c r="R116" s="1182">
        <v>0.64</v>
      </c>
      <c r="S116" s="809"/>
      <c r="T116" s="810"/>
      <c r="U116" s="810"/>
      <c r="V116" s="810"/>
      <c r="W116" s="809"/>
      <c r="X116" s="810"/>
      <c r="Y116" s="809"/>
      <c r="Z116" s="1739"/>
      <c r="AB116" s="176">
        <v>1</v>
      </c>
      <c r="AE116" s="2461"/>
      <c r="AF116" s="68"/>
    </row>
    <row r="117" spans="1:32" ht="120" x14ac:dyDescent="0.35">
      <c r="A117" s="1573">
        <v>51</v>
      </c>
      <c r="B117" s="1574">
        <v>11581</v>
      </c>
      <c r="C117" s="1574"/>
      <c r="D117" s="2473" t="s">
        <v>6587</v>
      </c>
      <c r="E117" s="817" t="s">
        <v>10331</v>
      </c>
      <c r="F117" s="811" t="s">
        <v>827</v>
      </c>
      <c r="G117" s="812">
        <v>5</v>
      </c>
      <c r="H117" s="812">
        <v>6</v>
      </c>
      <c r="I117" s="808">
        <f t="shared" si="14"/>
        <v>2</v>
      </c>
      <c r="J117" s="808">
        <f t="shared" si="15"/>
        <v>2</v>
      </c>
      <c r="K117" s="808"/>
      <c r="L117" s="808"/>
      <c r="M117" s="1190"/>
      <c r="N117" s="808"/>
      <c r="O117" s="820"/>
      <c r="P117" s="808"/>
      <c r="Q117" s="1186"/>
      <c r="R117" s="1182">
        <v>2</v>
      </c>
      <c r="S117" s="809"/>
      <c r="T117" s="810"/>
      <c r="U117" s="810"/>
      <c r="V117" s="810"/>
      <c r="W117" s="809">
        <v>5</v>
      </c>
      <c r="X117" s="810">
        <v>43.6</v>
      </c>
      <c r="Y117" s="809"/>
      <c r="Z117" s="1739"/>
      <c r="AB117" s="176">
        <v>1</v>
      </c>
      <c r="AE117" s="2461"/>
      <c r="AF117" s="68"/>
    </row>
    <row r="118" spans="1:32" ht="135" x14ac:dyDescent="0.35">
      <c r="A118" s="1573">
        <v>52</v>
      </c>
      <c r="B118" s="1574">
        <v>11581</v>
      </c>
      <c r="C118" s="1052" t="s">
        <v>1656</v>
      </c>
      <c r="D118" s="2473" t="s">
        <v>6588</v>
      </c>
      <c r="E118" s="807" t="s">
        <v>10332</v>
      </c>
      <c r="F118" s="811" t="s">
        <v>664</v>
      </c>
      <c r="G118" s="812">
        <v>5</v>
      </c>
      <c r="H118" s="812">
        <v>6</v>
      </c>
      <c r="I118" s="808">
        <f t="shared" si="14"/>
        <v>0.2</v>
      </c>
      <c r="J118" s="808">
        <f t="shared" si="15"/>
        <v>0.2</v>
      </c>
      <c r="K118" s="808"/>
      <c r="L118" s="808"/>
      <c r="M118" s="1190"/>
      <c r="N118" s="808"/>
      <c r="O118" s="820"/>
      <c r="P118" s="808"/>
      <c r="Q118" s="1186"/>
      <c r="R118" s="1182">
        <v>0.2</v>
      </c>
      <c r="S118" s="809"/>
      <c r="T118" s="810"/>
      <c r="U118" s="810"/>
      <c r="V118" s="810"/>
      <c r="W118" s="809"/>
      <c r="X118" s="810"/>
      <c r="Y118" s="809"/>
      <c r="Z118" s="1739"/>
      <c r="AB118" s="176">
        <v>1</v>
      </c>
      <c r="AE118" s="2461"/>
      <c r="AF118" s="68"/>
    </row>
    <row r="119" spans="1:32" ht="120" x14ac:dyDescent="0.35">
      <c r="A119" s="1573">
        <v>53</v>
      </c>
      <c r="B119" s="1574">
        <v>11581</v>
      </c>
      <c r="C119" s="1574"/>
      <c r="D119" s="2473" t="s">
        <v>6589</v>
      </c>
      <c r="E119" s="817" t="s">
        <v>10333</v>
      </c>
      <c r="F119" s="811" t="s">
        <v>1490</v>
      </c>
      <c r="G119" s="812">
        <v>5</v>
      </c>
      <c r="H119" s="812">
        <v>6</v>
      </c>
      <c r="I119" s="808">
        <f t="shared" si="14"/>
        <v>5</v>
      </c>
      <c r="J119" s="808">
        <f t="shared" si="15"/>
        <v>5</v>
      </c>
      <c r="K119" s="808"/>
      <c r="L119" s="808"/>
      <c r="M119" s="1190"/>
      <c r="N119" s="808"/>
      <c r="O119" s="820"/>
      <c r="P119" s="808"/>
      <c r="Q119" s="1186"/>
      <c r="R119" s="1182">
        <v>5</v>
      </c>
      <c r="S119" s="809"/>
      <c r="T119" s="810"/>
      <c r="U119" s="810"/>
      <c r="V119" s="810"/>
      <c r="W119" s="809"/>
      <c r="X119" s="810"/>
      <c r="Y119" s="809"/>
      <c r="Z119" s="1739"/>
      <c r="AB119" s="176">
        <v>1</v>
      </c>
      <c r="AE119" s="2461"/>
      <c r="AF119" s="68"/>
    </row>
    <row r="120" spans="1:32" ht="135" x14ac:dyDescent="0.35">
      <c r="A120" s="1573">
        <v>54</v>
      </c>
      <c r="B120" s="1574">
        <v>11581</v>
      </c>
      <c r="C120" s="1052" t="s">
        <v>1656</v>
      </c>
      <c r="D120" s="2473" t="s">
        <v>6590</v>
      </c>
      <c r="E120" s="817" t="s">
        <v>10334</v>
      </c>
      <c r="F120" s="811" t="s">
        <v>664</v>
      </c>
      <c r="G120" s="812">
        <v>5</v>
      </c>
      <c r="H120" s="812">
        <v>6</v>
      </c>
      <c r="I120" s="808">
        <f t="shared" si="14"/>
        <v>0.2</v>
      </c>
      <c r="J120" s="808">
        <f t="shared" si="15"/>
        <v>0.2</v>
      </c>
      <c r="K120" s="808"/>
      <c r="L120" s="808"/>
      <c r="M120" s="1190"/>
      <c r="N120" s="808"/>
      <c r="O120" s="820"/>
      <c r="P120" s="808"/>
      <c r="Q120" s="1186"/>
      <c r="R120" s="1182">
        <v>0.2</v>
      </c>
      <c r="S120" s="809"/>
      <c r="T120" s="810"/>
      <c r="U120" s="810"/>
      <c r="V120" s="810"/>
      <c r="W120" s="809"/>
      <c r="X120" s="810"/>
      <c r="Y120" s="809"/>
      <c r="Z120" s="1739"/>
      <c r="AB120" s="176">
        <v>1</v>
      </c>
      <c r="AE120" s="2461"/>
      <c r="AF120" s="68"/>
    </row>
    <row r="121" spans="1:32" ht="105" x14ac:dyDescent="0.35">
      <c r="A121" s="1573">
        <v>55</v>
      </c>
      <c r="B121" s="1574">
        <v>11581</v>
      </c>
      <c r="C121" s="1052" t="s">
        <v>1656</v>
      </c>
      <c r="D121" s="2473" t="s">
        <v>6591</v>
      </c>
      <c r="E121" s="807" t="s">
        <v>10335</v>
      </c>
      <c r="F121" s="811" t="s">
        <v>664</v>
      </c>
      <c r="G121" s="812">
        <v>5</v>
      </c>
      <c r="H121" s="812">
        <v>6</v>
      </c>
      <c r="I121" s="808">
        <f t="shared" si="14"/>
        <v>0.3</v>
      </c>
      <c r="J121" s="808">
        <f t="shared" si="15"/>
        <v>0.3</v>
      </c>
      <c r="K121" s="808"/>
      <c r="L121" s="808"/>
      <c r="M121" s="1190"/>
      <c r="N121" s="808"/>
      <c r="O121" s="820"/>
      <c r="P121" s="808"/>
      <c r="Q121" s="1186"/>
      <c r="R121" s="1182">
        <v>0.3</v>
      </c>
      <c r="S121" s="809"/>
      <c r="T121" s="810"/>
      <c r="U121" s="810"/>
      <c r="V121" s="810"/>
      <c r="W121" s="809"/>
      <c r="X121" s="810"/>
      <c r="Y121" s="809"/>
      <c r="Z121" s="1739"/>
      <c r="AB121" s="176">
        <v>1</v>
      </c>
      <c r="AE121" s="2461"/>
      <c r="AF121" s="68"/>
    </row>
    <row r="122" spans="1:32" ht="105" x14ac:dyDescent="0.35">
      <c r="A122" s="1573">
        <v>56</v>
      </c>
      <c r="B122" s="1574">
        <v>11581</v>
      </c>
      <c r="C122" s="1574"/>
      <c r="D122" s="2473" t="s">
        <v>6592</v>
      </c>
      <c r="E122" s="807" t="s">
        <v>10336</v>
      </c>
      <c r="F122" s="811" t="s">
        <v>664</v>
      </c>
      <c r="G122" s="812">
        <v>5</v>
      </c>
      <c r="H122" s="812">
        <v>6</v>
      </c>
      <c r="I122" s="808">
        <f t="shared" si="14"/>
        <v>0.8</v>
      </c>
      <c r="J122" s="808">
        <f t="shared" si="15"/>
        <v>0.8</v>
      </c>
      <c r="K122" s="808"/>
      <c r="L122" s="808"/>
      <c r="M122" s="1190"/>
      <c r="N122" s="808">
        <v>0.8</v>
      </c>
      <c r="O122" s="820"/>
      <c r="P122" s="808"/>
      <c r="Q122" s="1186"/>
      <c r="R122" s="1182"/>
      <c r="S122" s="809"/>
      <c r="T122" s="810"/>
      <c r="U122" s="810"/>
      <c r="V122" s="810"/>
      <c r="W122" s="809"/>
      <c r="X122" s="810"/>
      <c r="Y122" s="809"/>
      <c r="Z122" s="1739"/>
      <c r="AB122" s="176">
        <v>1</v>
      </c>
      <c r="AE122" s="2461"/>
      <c r="AF122" s="68"/>
    </row>
    <row r="123" spans="1:32" ht="30" x14ac:dyDescent="0.35">
      <c r="A123" s="1573">
        <v>57</v>
      </c>
      <c r="B123" s="1574">
        <v>11582</v>
      </c>
      <c r="C123" s="1574"/>
      <c r="D123" s="1575" t="s">
        <v>2382</v>
      </c>
      <c r="E123" s="807" t="s">
        <v>6958</v>
      </c>
      <c r="F123" s="811"/>
      <c r="G123" s="812"/>
      <c r="H123" s="812" t="s">
        <v>191</v>
      </c>
      <c r="I123" s="808">
        <f t="shared" si="14"/>
        <v>15.600000000000001</v>
      </c>
      <c r="J123" s="808">
        <f t="shared" si="15"/>
        <v>15.600000000000001</v>
      </c>
      <c r="K123" s="808"/>
      <c r="L123" s="808"/>
      <c r="M123" s="1190"/>
      <c r="N123" s="808">
        <f>SUM(N124:N125)</f>
        <v>4.8</v>
      </c>
      <c r="O123" s="820"/>
      <c r="P123" s="808"/>
      <c r="Q123" s="1186">
        <f>SUM(Q124:Q125)</f>
        <v>10.8</v>
      </c>
      <c r="R123" s="1182"/>
      <c r="S123" s="809">
        <v>1</v>
      </c>
      <c r="T123" s="810">
        <v>6.4000000953674316</v>
      </c>
      <c r="U123" s="810"/>
      <c r="V123" s="810"/>
      <c r="W123" s="809">
        <v>32</v>
      </c>
      <c r="X123" s="810">
        <v>423.25</v>
      </c>
      <c r="Y123" s="809">
        <v>10</v>
      </c>
      <c r="Z123" s="1739">
        <v>100</v>
      </c>
      <c r="AB123" s="176">
        <v>1</v>
      </c>
      <c r="AE123" s="2461"/>
      <c r="AF123" s="68"/>
    </row>
    <row r="124" spans="1:32" x14ac:dyDescent="0.35">
      <c r="A124" s="1576"/>
      <c r="B124" s="1574">
        <v>11582</v>
      </c>
      <c r="C124" s="1574"/>
      <c r="D124" s="1577"/>
      <c r="E124" s="816" t="s">
        <v>853</v>
      </c>
      <c r="F124" s="811">
        <v>4</v>
      </c>
      <c r="G124" s="812">
        <v>4</v>
      </c>
      <c r="H124" s="812">
        <v>6</v>
      </c>
      <c r="I124" s="813"/>
      <c r="J124" s="813"/>
      <c r="K124" s="813"/>
      <c r="L124" s="813"/>
      <c r="M124" s="1191"/>
      <c r="N124" s="813">
        <v>4.8</v>
      </c>
      <c r="O124" s="819"/>
      <c r="P124" s="813"/>
      <c r="Q124" s="1187"/>
      <c r="R124" s="1183"/>
      <c r="S124" s="814"/>
      <c r="T124" s="815"/>
      <c r="U124" s="815"/>
      <c r="V124" s="815"/>
      <c r="W124" s="814"/>
      <c r="X124" s="815"/>
      <c r="Y124" s="814"/>
      <c r="Z124" s="1740"/>
      <c r="AE124" s="2461"/>
      <c r="AF124" s="68"/>
    </row>
    <row r="125" spans="1:32" x14ac:dyDescent="0.35">
      <c r="A125" s="1576"/>
      <c r="B125" s="1574">
        <v>11582</v>
      </c>
      <c r="C125" s="1574"/>
      <c r="D125" s="1577"/>
      <c r="E125" s="1195" t="s">
        <v>362</v>
      </c>
      <c r="F125" s="811">
        <v>4</v>
      </c>
      <c r="G125" s="812">
        <v>4</v>
      </c>
      <c r="H125" s="812">
        <v>6</v>
      </c>
      <c r="I125" s="813"/>
      <c r="J125" s="813"/>
      <c r="K125" s="813"/>
      <c r="L125" s="813"/>
      <c r="M125" s="1191"/>
      <c r="N125" s="813"/>
      <c r="O125" s="819"/>
      <c r="P125" s="813"/>
      <c r="Q125" s="1187">
        <f>15.6-4.8</f>
        <v>10.8</v>
      </c>
      <c r="R125" s="1183"/>
      <c r="S125" s="814"/>
      <c r="T125" s="815"/>
      <c r="U125" s="815"/>
      <c r="V125" s="815"/>
      <c r="W125" s="814"/>
      <c r="X125" s="815"/>
      <c r="Y125" s="814"/>
      <c r="Z125" s="1740"/>
      <c r="AE125" s="2461"/>
      <c r="AF125" s="68"/>
    </row>
    <row r="126" spans="1:32" ht="45" x14ac:dyDescent="0.35">
      <c r="A126" s="1573">
        <v>58</v>
      </c>
      <c r="B126" s="1574">
        <v>11582</v>
      </c>
      <c r="C126" s="1574"/>
      <c r="D126" s="2473" t="s">
        <v>6593</v>
      </c>
      <c r="E126" s="817" t="s">
        <v>8072</v>
      </c>
      <c r="F126" s="811" t="s">
        <v>664</v>
      </c>
      <c r="G126" s="812">
        <v>5</v>
      </c>
      <c r="H126" s="812">
        <v>6</v>
      </c>
      <c r="I126" s="808">
        <f t="shared" ref="I126:I132" si="16">J126+K126+L126</f>
        <v>0.9</v>
      </c>
      <c r="J126" s="808">
        <f>SUM(M126:R126)</f>
        <v>0.9</v>
      </c>
      <c r="K126" s="808"/>
      <c r="L126" s="808"/>
      <c r="M126" s="1190"/>
      <c r="N126" s="808"/>
      <c r="O126" s="820"/>
      <c r="P126" s="808"/>
      <c r="Q126" s="1186"/>
      <c r="R126" s="1182">
        <v>0.9</v>
      </c>
      <c r="S126" s="809"/>
      <c r="T126" s="810"/>
      <c r="U126" s="810"/>
      <c r="V126" s="810"/>
      <c r="W126" s="809"/>
      <c r="X126" s="810"/>
      <c r="Y126" s="809"/>
      <c r="Z126" s="1739"/>
      <c r="AB126" s="176">
        <v>1</v>
      </c>
      <c r="AE126" s="2461"/>
      <c r="AF126" s="68"/>
    </row>
    <row r="127" spans="1:32" ht="60" x14ac:dyDescent="0.35">
      <c r="A127" s="696">
        <v>59</v>
      </c>
      <c r="B127" s="1052">
        <v>11582</v>
      </c>
      <c r="C127" s="1052" t="s">
        <v>1656</v>
      </c>
      <c r="D127" s="2473" t="s">
        <v>6594</v>
      </c>
      <c r="E127" s="2187" t="s">
        <v>9101</v>
      </c>
      <c r="F127" s="811" t="s">
        <v>664</v>
      </c>
      <c r="G127" s="93">
        <v>5</v>
      </c>
      <c r="H127" s="812">
        <v>6</v>
      </c>
      <c r="I127" s="2157">
        <f t="shared" si="16"/>
        <v>0.8</v>
      </c>
      <c r="J127" s="2157">
        <f>M127+N127+O127+P127+Q127+R127</f>
        <v>0.8</v>
      </c>
      <c r="K127" s="490"/>
      <c r="L127" s="490"/>
      <c r="M127" s="490"/>
      <c r="N127" s="490"/>
      <c r="O127" s="490"/>
      <c r="P127" s="490"/>
      <c r="Q127" s="2182"/>
      <c r="R127" s="906">
        <v>0.8</v>
      </c>
      <c r="S127" s="101"/>
      <c r="T127" s="101"/>
      <c r="U127" s="101"/>
      <c r="V127" s="101"/>
      <c r="W127" s="1969"/>
      <c r="X127" s="1969"/>
      <c r="Y127" s="1969"/>
      <c r="Z127" s="2186"/>
      <c r="AB127" s="176">
        <v>1</v>
      </c>
      <c r="AE127" s="2461"/>
      <c r="AF127" s="68"/>
    </row>
    <row r="128" spans="1:32" ht="60" x14ac:dyDescent="0.35">
      <c r="A128" s="1573">
        <v>60</v>
      </c>
      <c r="B128" s="1052">
        <v>11582</v>
      </c>
      <c r="C128" s="1052" t="s">
        <v>1656</v>
      </c>
      <c r="D128" s="2473" t="s">
        <v>6595</v>
      </c>
      <c r="E128" s="807" t="s">
        <v>9302</v>
      </c>
      <c r="F128" s="811" t="s">
        <v>664</v>
      </c>
      <c r="G128" s="93">
        <v>5</v>
      </c>
      <c r="H128" s="812">
        <v>6</v>
      </c>
      <c r="I128" s="2157">
        <f t="shared" si="16"/>
        <v>1.5</v>
      </c>
      <c r="J128" s="2157">
        <f>M128+N128+O128+P128+Q128+R128</f>
        <v>1.5</v>
      </c>
      <c r="K128" s="490"/>
      <c r="L128" s="490"/>
      <c r="M128" s="490"/>
      <c r="N128" s="490"/>
      <c r="O128" s="490"/>
      <c r="P128" s="490"/>
      <c r="Q128" s="2182"/>
      <c r="R128" s="906">
        <v>1.5</v>
      </c>
      <c r="S128" s="101"/>
      <c r="T128" s="101"/>
      <c r="U128" s="101"/>
      <c r="V128" s="101"/>
      <c r="W128" s="1969"/>
      <c r="X128" s="1969"/>
      <c r="Y128" s="1969"/>
      <c r="Z128" s="2186"/>
      <c r="AB128" s="176">
        <v>1</v>
      </c>
      <c r="AE128" s="2461"/>
      <c r="AF128" s="68"/>
    </row>
    <row r="129" spans="1:32" ht="60" x14ac:dyDescent="0.35">
      <c r="A129" s="696">
        <v>61</v>
      </c>
      <c r="B129" s="1052">
        <v>11582</v>
      </c>
      <c r="C129" s="1052" t="s">
        <v>1656</v>
      </c>
      <c r="D129" s="2473" t="s">
        <v>6596</v>
      </c>
      <c r="E129" s="817" t="s">
        <v>9102</v>
      </c>
      <c r="F129" s="811" t="s">
        <v>664</v>
      </c>
      <c r="G129" s="93">
        <v>5</v>
      </c>
      <c r="H129" s="812">
        <v>6</v>
      </c>
      <c r="I129" s="2157">
        <f t="shared" si="16"/>
        <v>0.8</v>
      </c>
      <c r="J129" s="2157">
        <f>M129+N129+O129+P129+Q129+R129</f>
        <v>0.8</v>
      </c>
      <c r="K129" s="490"/>
      <c r="L129" s="490"/>
      <c r="M129" s="490"/>
      <c r="N129" s="490"/>
      <c r="O129" s="490"/>
      <c r="P129" s="490"/>
      <c r="Q129" s="2182"/>
      <c r="R129" s="906">
        <v>0.8</v>
      </c>
      <c r="S129" s="101"/>
      <c r="T129" s="101"/>
      <c r="U129" s="101"/>
      <c r="V129" s="101"/>
      <c r="W129" s="1969"/>
      <c r="X129" s="1969"/>
      <c r="Y129" s="1969"/>
      <c r="Z129" s="2186"/>
      <c r="AB129" s="176">
        <v>1</v>
      </c>
      <c r="AE129" s="2461"/>
      <c r="AF129" s="68"/>
    </row>
    <row r="130" spans="1:32" ht="60" x14ac:dyDescent="0.35">
      <c r="A130" s="1573">
        <v>62</v>
      </c>
      <c r="B130" s="1052">
        <v>11582</v>
      </c>
      <c r="C130" s="1052" t="s">
        <v>1656</v>
      </c>
      <c r="D130" s="2473" t="s">
        <v>6597</v>
      </c>
      <c r="E130" s="2187" t="s">
        <v>9103</v>
      </c>
      <c r="F130" s="811" t="s">
        <v>664</v>
      </c>
      <c r="G130" s="93">
        <v>5</v>
      </c>
      <c r="H130" s="812">
        <v>6</v>
      </c>
      <c r="I130" s="2157">
        <f t="shared" si="16"/>
        <v>0.1</v>
      </c>
      <c r="J130" s="2157">
        <f>M130+N130+O130+P130+Q130+R130</f>
        <v>0.1</v>
      </c>
      <c r="K130" s="490"/>
      <c r="L130" s="490"/>
      <c r="M130" s="490"/>
      <c r="N130" s="490"/>
      <c r="O130" s="490"/>
      <c r="P130" s="490"/>
      <c r="Q130" s="2182"/>
      <c r="R130" s="906">
        <v>0.1</v>
      </c>
      <c r="S130" s="101"/>
      <c r="T130" s="101"/>
      <c r="U130" s="101"/>
      <c r="V130" s="101"/>
      <c r="W130" s="1969"/>
      <c r="X130" s="1969"/>
      <c r="Y130" s="1969"/>
      <c r="Z130" s="2186"/>
      <c r="AB130" s="176">
        <v>1</v>
      </c>
      <c r="AE130" s="2461"/>
      <c r="AF130" s="68"/>
    </row>
    <row r="131" spans="1:32" ht="45" x14ac:dyDescent="0.35">
      <c r="A131" s="696">
        <v>63</v>
      </c>
      <c r="B131" s="1052">
        <v>11582</v>
      </c>
      <c r="C131" s="1052"/>
      <c r="D131" s="2473" t="s">
        <v>6598</v>
      </c>
      <c r="E131" s="2187" t="s">
        <v>8073</v>
      </c>
      <c r="F131" s="811" t="s">
        <v>827</v>
      </c>
      <c r="G131" s="93">
        <v>5</v>
      </c>
      <c r="H131" s="812">
        <v>6</v>
      </c>
      <c r="I131" s="2157">
        <f t="shared" si="16"/>
        <v>0.8</v>
      </c>
      <c r="J131" s="2157">
        <f>M131+N131+O131+P131+Q131+R131</f>
        <v>0.8</v>
      </c>
      <c r="K131" s="490"/>
      <c r="L131" s="490"/>
      <c r="M131" s="490"/>
      <c r="N131" s="490"/>
      <c r="O131" s="490"/>
      <c r="P131" s="490"/>
      <c r="Q131" s="2182"/>
      <c r="R131" s="906">
        <v>0.8</v>
      </c>
      <c r="S131" s="101"/>
      <c r="T131" s="101"/>
      <c r="U131" s="101"/>
      <c r="V131" s="101"/>
      <c r="W131" s="1969"/>
      <c r="X131" s="1969"/>
      <c r="Y131" s="1969"/>
      <c r="Z131" s="2186"/>
      <c r="AB131" s="176">
        <v>1</v>
      </c>
      <c r="AE131" s="2461"/>
      <c r="AF131" s="68"/>
    </row>
    <row r="132" spans="1:32" ht="30" x14ac:dyDescent="0.35">
      <c r="A132" s="1573">
        <v>64</v>
      </c>
      <c r="B132" s="1574">
        <v>11583</v>
      </c>
      <c r="C132" s="1574"/>
      <c r="D132" s="1575" t="s">
        <v>2383</v>
      </c>
      <c r="E132" s="807" t="s">
        <v>1104</v>
      </c>
      <c r="F132" s="811"/>
      <c r="G132" s="812" t="s">
        <v>191</v>
      </c>
      <c r="H132" s="812" t="s">
        <v>191</v>
      </c>
      <c r="I132" s="808">
        <f t="shared" si="16"/>
        <v>8.7530000000000001</v>
      </c>
      <c r="J132" s="808">
        <f>SUM(M132:R132)</f>
        <v>8.7530000000000001</v>
      </c>
      <c r="K132" s="808"/>
      <c r="L132" s="808"/>
      <c r="M132" s="1190"/>
      <c r="N132" s="808">
        <f>SUM(N133:N135)</f>
        <v>7.3280000000000003</v>
      </c>
      <c r="O132" s="820"/>
      <c r="P132" s="808"/>
      <c r="Q132" s="1186">
        <f>SUM(Q133:Q135)</f>
        <v>1.2779999999999996</v>
      </c>
      <c r="R132" s="1182">
        <f>SUM(R133:R135)</f>
        <v>0.14700000000000024</v>
      </c>
      <c r="S132" s="809"/>
      <c r="T132" s="810"/>
      <c r="U132" s="810"/>
      <c r="V132" s="810"/>
      <c r="W132" s="809">
        <v>17</v>
      </c>
      <c r="X132" s="810">
        <v>230.8</v>
      </c>
      <c r="Y132" s="809">
        <v>6</v>
      </c>
      <c r="Z132" s="1739">
        <v>60</v>
      </c>
      <c r="AB132" s="176">
        <v>1</v>
      </c>
      <c r="AE132" s="2461"/>
      <c r="AF132" s="68"/>
    </row>
    <row r="133" spans="1:32" x14ac:dyDescent="0.35">
      <c r="A133" s="1576"/>
      <c r="B133" s="1574">
        <v>11583</v>
      </c>
      <c r="C133" s="1574"/>
      <c r="D133" s="1577"/>
      <c r="E133" s="816" t="s">
        <v>1101</v>
      </c>
      <c r="F133" s="811">
        <v>4</v>
      </c>
      <c r="G133" s="812">
        <v>4</v>
      </c>
      <c r="H133" s="812">
        <v>6</v>
      </c>
      <c r="I133" s="813"/>
      <c r="J133" s="813"/>
      <c r="K133" s="813"/>
      <c r="L133" s="813"/>
      <c r="M133" s="1191"/>
      <c r="N133" s="813">
        <v>7.3280000000000003</v>
      </c>
      <c r="O133" s="819"/>
      <c r="P133" s="813"/>
      <c r="Q133" s="1187"/>
      <c r="R133" s="1183"/>
      <c r="S133" s="814"/>
      <c r="T133" s="815"/>
      <c r="U133" s="815"/>
      <c r="V133" s="815"/>
      <c r="W133" s="814"/>
      <c r="X133" s="815"/>
      <c r="Y133" s="814"/>
      <c r="Z133" s="1740"/>
      <c r="AE133" s="2461"/>
      <c r="AF133" s="68"/>
    </row>
    <row r="134" spans="1:32" x14ac:dyDescent="0.35">
      <c r="A134" s="1576"/>
      <c r="B134" s="1574">
        <v>11583</v>
      </c>
      <c r="C134" s="1574"/>
      <c r="D134" s="1577"/>
      <c r="E134" s="1195" t="s">
        <v>1103</v>
      </c>
      <c r="F134" s="811">
        <v>4</v>
      </c>
      <c r="G134" s="812">
        <v>4</v>
      </c>
      <c r="H134" s="812">
        <v>6</v>
      </c>
      <c r="I134" s="813"/>
      <c r="J134" s="813"/>
      <c r="K134" s="813"/>
      <c r="L134" s="813"/>
      <c r="M134" s="1191"/>
      <c r="N134" s="813"/>
      <c r="O134" s="819"/>
      <c r="P134" s="813"/>
      <c r="Q134" s="1187">
        <f>8.606-7.328</f>
        <v>1.2779999999999996</v>
      </c>
      <c r="R134" s="1183"/>
      <c r="S134" s="814"/>
      <c r="T134" s="815"/>
      <c r="U134" s="815"/>
      <c r="V134" s="815"/>
      <c r="W134" s="814"/>
      <c r="X134" s="815"/>
      <c r="Y134" s="814"/>
      <c r="Z134" s="1740"/>
      <c r="AE134" s="2461"/>
      <c r="AF134" s="68"/>
    </row>
    <row r="135" spans="1:32" x14ac:dyDescent="0.35">
      <c r="A135" s="1576"/>
      <c r="B135" s="1574">
        <v>11583</v>
      </c>
      <c r="C135" s="1574"/>
      <c r="D135" s="1577"/>
      <c r="E135" s="1192" t="s">
        <v>1102</v>
      </c>
      <c r="F135" s="811" t="s">
        <v>1490</v>
      </c>
      <c r="G135" s="812">
        <v>4</v>
      </c>
      <c r="H135" s="812">
        <v>6</v>
      </c>
      <c r="I135" s="813"/>
      <c r="J135" s="813"/>
      <c r="K135" s="813"/>
      <c r="L135" s="813"/>
      <c r="M135" s="1191"/>
      <c r="N135" s="813"/>
      <c r="O135" s="819"/>
      <c r="P135" s="813"/>
      <c r="Q135" s="1187"/>
      <c r="R135" s="1183">
        <f>8.753-8.606</f>
        <v>0.14700000000000024</v>
      </c>
      <c r="S135" s="814"/>
      <c r="T135" s="815"/>
      <c r="U135" s="815"/>
      <c r="V135" s="815"/>
      <c r="W135" s="814"/>
      <c r="X135" s="815"/>
      <c r="Y135" s="814"/>
      <c r="Z135" s="1740"/>
      <c r="AE135" s="2461"/>
      <c r="AF135" s="68"/>
    </row>
    <row r="136" spans="1:32" ht="30" x14ac:dyDescent="0.35">
      <c r="A136" s="1578">
        <v>65</v>
      </c>
      <c r="B136" s="1574">
        <v>11583</v>
      </c>
      <c r="C136" s="1574"/>
      <c r="D136" s="2473" t="s">
        <v>6599</v>
      </c>
      <c r="E136" s="821" t="s">
        <v>8074</v>
      </c>
      <c r="F136" s="811" t="s">
        <v>827</v>
      </c>
      <c r="G136" s="812">
        <v>5</v>
      </c>
      <c r="H136" s="812">
        <v>6</v>
      </c>
      <c r="I136" s="808">
        <f>J136+K136+L136</f>
        <v>1</v>
      </c>
      <c r="J136" s="808">
        <f>SUM(M136:R136)</f>
        <v>1</v>
      </c>
      <c r="K136" s="808"/>
      <c r="L136" s="808"/>
      <c r="M136" s="1190"/>
      <c r="N136" s="808"/>
      <c r="O136" s="820"/>
      <c r="P136" s="808"/>
      <c r="Q136" s="1186"/>
      <c r="R136" s="1182">
        <v>1</v>
      </c>
      <c r="S136" s="809"/>
      <c r="T136" s="810"/>
      <c r="U136" s="810"/>
      <c r="V136" s="810"/>
      <c r="W136" s="809"/>
      <c r="X136" s="810"/>
      <c r="Y136" s="809"/>
      <c r="Z136" s="1739"/>
      <c r="AB136" s="176">
        <v>1</v>
      </c>
      <c r="AE136" s="2461"/>
      <c r="AF136" s="68"/>
    </row>
    <row r="137" spans="1:32" ht="45" x14ac:dyDescent="0.35">
      <c r="A137" s="696">
        <v>66</v>
      </c>
      <c r="B137" s="1574">
        <v>11583</v>
      </c>
      <c r="C137" s="1052" t="s">
        <v>1656</v>
      </c>
      <c r="D137" s="2473" t="s">
        <v>6600</v>
      </c>
      <c r="E137" s="1845" t="s">
        <v>9104</v>
      </c>
      <c r="F137" s="811" t="s">
        <v>664</v>
      </c>
      <c r="G137" s="93">
        <v>5</v>
      </c>
      <c r="H137" s="812">
        <v>6</v>
      </c>
      <c r="I137" s="2157">
        <f>J137+K137+L137</f>
        <v>0.3</v>
      </c>
      <c r="J137" s="2157">
        <f>M137+N137+O137+P137+Q137+R137</f>
        <v>0.3</v>
      </c>
      <c r="K137" s="808"/>
      <c r="L137" s="808"/>
      <c r="M137" s="1190"/>
      <c r="N137" s="808"/>
      <c r="O137" s="820"/>
      <c r="P137" s="808"/>
      <c r="Q137" s="1186"/>
      <c r="R137" s="1182">
        <v>0.3</v>
      </c>
      <c r="S137" s="809"/>
      <c r="T137" s="810"/>
      <c r="U137" s="810"/>
      <c r="V137" s="810"/>
      <c r="W137" s="809"/>
      <c r="X137" s="810"/>
      <c r="Y137" s="809"/>
      <c r="Z137" s="1739"/>
      <c r="AB137" s="176">
        <v>1</v>
      </c>
      <c r="AE137" s="2461"/>
      <c r="AF137" s="68"/>
    </row>
    <row r="138" spans="1:32" ht="45" x14ac:dyDescent="0.35">
      <c r="A138" s="1578">
        <v>67</v>
      </c>
      <c r="B138" s="1574">
        <v>11583</v>
      </c>
      <c r="C138" s="1052" t="s">
        <v>1656</v>
      </c>
      <c r="D138" s="2473" t="s">
        <v>6601</v>
      </c>
      <c r="E138" s="1845" t="s">
        <v>11535</v>
      </c>
      <c r="F138" s="811"/>
      <c r="G138" s="93" t="s">
        <v>191</v>
      </c>
      <c r="H138" s="812" t="s">
        <v>191</v>
      </c>
      <c r="I138" s="2922">
        <f>J138+K138+L138</f>
        <v>0.7</v>
      </c>
      <c r="J138" s="2922">
        <f>M138+N138+O138+P138+Q138+R138</f>
        <v>0.21999999999999997</v>
      </c>
      <c r="K138" s="808"/>
      <c r="L138" s="808">
        <f>SUM(L139:L140)</f>
        <v>0.48</v>
      </c>
      <c r="M138" s="1190"/>
      <c r="N138" s="808"/>
      <c r="O138" s="820"/>
      <c r="P138" s="808"/>
      <c r="Q138" s="1186"/>
      <c r="R138" s="1182">
        <f>SUM(R139:R140)</f>
        <v>0.21999999999999997</v>
      </c>
      <c r="S138" s="809"/>
      <c r="T138" s="810"/>
      <c r="U138" s="810"/>
      <c r="V138" s="810"/>
      <c r="W138" s="809"/>
      <c r="X138" s="810"/>
      <c r="Y138" s="809"/>
      <c r="Z138" s="1739"/>
      <c r="AB138" s="176">
        <v>1</v>
      </c>
      <c r="AE138" s="2461"/>
      <c r="AF138" s="68"/>
    </row>
    <row r="139" spans="1:32" x14ac:dyDescent="0.35">
      <c r="A139" s="1578"/>
      <c r="B139" s="1574"/>
      <c r="C139" s="1052"/>
      <c r="D139" s="2473"/>
      <c r="E139" s="816" t="s">
        <v>9303</v>
      </c>
      <c r="F139" s="811" t="s">
        <v>664</v>
      </c>
      <c r="G139" s="93">
        <v>5</v>
      </c>
      <c r="H139" s="812" t="s">
        <v>191</v>
      </c>
      <c r="I139" s="2116"/>
      <c r="J139" s="2116"/>
      <c r="K139" s="813"/>
      <c r="L139" s="813">
        <v>0.48</v>
      </c>
      <c r="M139" s="1869"/>
      <c r="N139" s="813"/>
      <c r="O139" s="1870"/>
      <c r="P139" s="813"/>
      <c r="Q139" s="1771"/>
      <c r="R139" s="1772"/>
      <c r="S139" s="809"/>
      <c r="T139" s="810"/>
      <c r="U139" s="810"/>
      <c r="V139" s="810"/>
      <c r="W139" s="809"/>
      <c r="X139" s="810"/>
      <c r="Y139" s="809"/>
      <c r="Z139" s="1739"/>
      <c r="AE139" s="2461"/>
      <c r="AF139" s="68"/>
    </row>
    <row r="140" spans="1:32" x14ac:dyDescent="0.35">
      <c r="A140" s="1578"/>
      <c r="B140" s="1574"/>
      <c r="C140" s="1052"/>
      <c r="D140" s="2473"/>
      <c r="E140" s="1192" t="s">
        <v>11534</v>
      </c>
      <c r="F140" s="811" t="s">
        <v>664</v>
      </c>
      <c r="G140" s="93">
        <v>5</v>
      </c>
      <c r="H140" s="812">
        <v>6</v>
      </c>
      <c r="I140" s="2116"/>
      <c r="J140" s="2116"/>
      <c r="K140" s="813"/>
      <c r="L140" s="813"/>
      <c r="M140" s="1869"/>
      <c r="N140" s="813"/>
      <c r="O140" s="1870"/>
      <c r="P140" s="813"/>
      <c r="Q140" s="1771"/>
      <c r="R140" s="1772">
        <f>0.7-0.48</f>
        <v>0.21999999999999997</v>
      </c>
      <c r="S140" s="809"/>
      <c r="T140" s="810"/>
      <c r="U140" s="810"/>
      <c r="V140" s="810"/>
      <c r="W140" s="809"/>
      <c r="X140" s="810"/>
      <c r="Y140" s="809"/>
      <c r="Z140" s="1739"/>
      <c r="AE140" s="2461"/>
      <c r="AF140" s="68"/>
    </row>
    <row r="141" spans="1:32" ht="30" x14ac:dyDescent="0.35">
      <c r="A141" s="696">
        <v>68</v>
      </c>
      <c r="B141" s="1574">
        <v>11584</v>
      </c>
      <c r="C141" s="1574"/>
      <c r="D141" s="1575" t="s">
        <v>2384</v>
      </c>
      <c r="E141" s="807" t="s">
        <v>6959</v>
      </c>
      <c r="F141" s="811"/>
      <c r="G141" s="812" t="s">
        <v>191</v>
      </c>
      <c r="H141" s="812" t="s">
        <v>191</v>
      </c>
      <c r="I141" s="808">
        <f>J141+K141+L141</f>
        <v>10.295999999999999</v>
      </c>
      <c r="J141" s="808">
        <f>SUM(M141:R141)</f>
        <v>8.9199999999999982</v>
      </c>
      <c r="K141" s="808"/>
      <c r="L141" s="808">
        <f>SUM(L142:L144)</f>
        <v>1.3760000000000003</v>
      </c>
      <c r="M141" s="1190"/>
      <c r="N141" s="808">
        <f>SUM(N142:N144)</f>
        <v>4.835</v>
      </c>
      <c r="O141" s="820"/>
      <c r="P141" s="808"/>
      <c r="Q141" s="1186">
        <f>SUM(Q142:Q144)</f>
        <v>4.0849999999999991</v>
      </c>
      <c r="R141" s="1182"/>
      <c r="S141" s="809"/>
      <c r="T141" s="810"/>
      <c r="U141" s="810"/>
      <c r="V141" s="810"/>
      <c r="W141" s="809">
        <v>19</v>
      </c>
      <c r="X141" s="810">
        <v>286</v>
      </c>
      <c r="Y141" s="809">
        <v>7</v>
      </c>
      <c r="Z141" s="1739">
        <v>78</v>
      </c>
      <c r="AB141" s="176">
        <v>1</v>
      </c>
      <c r="AE141" s="2461"/>
      <c r="AF141" s="68"/>
    </row>
    <row r="142" spans="1:32" x14ac:dyDescent="0.35">
      <c r="A142" s="1576"/>
      <c r="B142" s="1574">
        <v>11584</v>
      </c>
      <c r="C142" s="1574"/>
      <c r="D142" s="1577"/>
      <c r="E142" s="816" t="s">
        <v>1107</v>
      </c>
      <c r="F142" s="811">
        <v>4</v>
      </c>
      <c r="G142" s="812">
        <v>4</v>
      </c>
      <c r="H142" s="812">
        <v>6</v>
      </c>
      <c r="I142" s="813"/>
      <c r="J142" s="813"/>
      <c r="K142" s="813"/>
      <c r="L142" s="813"/>
      <c r="M142" s="1191"/>
      <c r="N142" s="813">
        <v>4.835</v>
      </c>
      <c r="O142" s="819"/>
      <c r="P142" s="813"/>
      <c r="Q142" s="1187"/>
      <c r="R142" s="1183"/>
      <c r="S142" s="814"/>
      <c r="T142" s="815"/>
      <c r="U142" s="815"/>
      <c r="V142" s="815"/>
      <c r="W142" s="814"/>
      <c r="X142" s="815"/>
      <c r="Y142" s="814"/>
      <c r="Z142" s="1740"/>
      <c r="AE142" s="2461"/>
      <c r="AF142" s="68"/>
    </row>
    <row r="143" spans="1:32" ht="31" x14ac:dyDescent="0.35">
      <c r="A143" s="1576"/>
      <c r="B143" s="1574">
        <v>11584</v>
      </c>
      <c r="C143" s="1574"/>
      <c r="D143" s="1577"/>
      <c r="E143" s="816" t="s">
        <v>1105</v>
      </c>
      <c r="F143" s="811">
        <v>4</v>
      </c>
      <c r="G143" s="812">
        <v>4</v>
      </c>
      <c r="H143" s="812" t="s">
        <v>191</v>
      </c>
      <c r="I143" s="813"/>
      <c r="J143" s="813"/>
      <c r="K143" s="813"/>
      <c r="L143" s="813">
        <f>6.211-4.835</f>
        <v>1.3760000000000003</v>
      </c>
      <c r="M143" s="1191"/>
      <c r="N143" s="813"/>
      <c r="O143" s="819"/>
      <c r="P143" s="813"/>
      <c r="Q143" s="1187"/>
      <c r="R143" s="1183"/>
      <c r="S143" s="814"/>
      <c r="T143" s="815"/>
      <c r="U143" s="815"/>
      <c r="V143" s="815"/>
      <c r="W143" s="814"/>
      <c r="X143" s="815"/>
      <c r="Y143" s="814"/>
      <c r="Z143" s="1740"/>
      <c r="AE143" s="2461"/>
      <c r="AF143" s="68"/>
    </row>
    <row r="144" spans="1:32" x14ac:dyDescent="0.35">
      <c r="A144" s="1576"/>
      <c r="B144" s="1574">
        <v>11584</v>
      </c>
      <c r="C144" s="1574"/>
      <c r="D144" s="1577"/>
      <c r="E144" s="1195" t="s">
        <v>1106</v>
      </c>
      <c r="F144" s="811">
        <v>4</v>
      </c>
      <c r="G144" s="812">
        <v>4</v>
      </c>
      <c r="H144" s="812">
        <v>6</v>
      </c>
      <c r="I144" s="813"/>
      <c r="J144" s="813"/>
      <c r="K144" s="813"/>
      <c r="L144" s="813"/>
      <c r="M144" s="1191"/>
      <c r="N144" s="813"/>
      <c r="O144" s="819"/>
      <c r="P144" s="813"/>
      <c r="Q144" s="1187">
        <f>10.296-6.211</f>
        <v>4.0849999999999991</v>
      </c>
      <c r="R144" s="1183"/>
      <c r="S144" s="814"/>
      <c r="T144" s="815"/>
      <c r="U144" s="815"/>
      <c r="V144" s="815"/>
      <c r="W144" s="814"/>
      <c r="X144" s="815"/>
      <c r="Y144" s="814"/>
      <c r="Z144" s="1740"/>
      <c r="AE144" s="2461"/>
      <c r="AF144" s="68"/>
    </row>
    <row r="145" spans="1:32" ht="30" x14ac:dyDescent="0.35">
      <c r="A145" s="1573">
        <v>69</v>
      </c>
      <c r="B145" s="1574">
        <v>11584</v>
      </c>
      <c r="C145" s="1574"/>
      <c r="D145" s="2473" t="s">
        <v>6602</v>
      </c>
      <c r="E145" s="817" t="s">
        <v>8075</v>
      </c>
      <c r="F145" s="811" t="s">
        <v>827</v>
      </c>
      <c r="G145" s="812">
        <v>5</v>
      </c>
      <c r="H145" s="812">
        <v>6</v>
      </c>
      <c r="I145" s="808">
        <f t="shared" ref="I145:I153" si="17">J145+K145+L145</f>
        <v>1.2</v>
      </c>
      <c r="J145" s="808">
        <f>SUM(M145:R145)</f>
        <v>1.2</v>
      </c>
      <c r="K145" s="808"/>
      <c r="L145" s="808"/>
      <c r="M145" s="1190"/>
      <c r="N145" s="808"/>
      <c r="O145" s="820"/>
      <c r="P145" s="808"/>
      <c r="Q145" s="1186"/>
      <c r="R145" s="1182">
        <v>1.2</v>
      </c>
      <c r="S145" s="809"/>
      <c r="T145" s="810"/>
      <c r="U145" s="810"/>
      <c r="V145" s="810"/>
      <c r="W145" s="809"/>
      <c r="X145" s="810"/>
      <c r="Y145" s="809"/>
      <c r="Z145" s="1739"/>
      <c r="AB145" s="176">
        <v>1</v>
      </c>
      <c r="AE145" s="2461"/>
      <c r="AF145" s="68"/>
    </row>
    <row r="146" spans="1:32" ht="45" x14ac:dyDescent="0.35">
      <c r="A146" s="1573">
        <v>70</v>
      </c>
      <c r="B146" s="1052">
        <v>11584</v>
      </c>
      <c r="C146" s="1052" t="s">
        <v>1656</v>
      </c>
      <c r="D146" s="2473" t="s">
        <v>6603</v>
      </c>
      <c r="E146" s="817" t="s">
        <v>11491</v>
      </c>
      <c r="F146" s="811" t="s">
        <v>664</v>
      </c>
      <c r="G146" s="812">
        <v>5</v>
      </c>
      <c r="H146" s="812">
        <v>6</v>
      </c>
      <c r="I146" s="2708">
        <f t="shared" si="17"/>
        <v>0.72</v>
      </c>
      <c r="J146" s="2708">
        <f>SUM(M146:R146)</f>
        <v>0.72</v>
      </c>
      <c r="K146" s="808"/>
      <c r="L146" s="808"/>
      <c r="M146" s="1190"/>
      <c r="N146" s="808"/>
      <c r="O146" s="820"/>
      <c r="P146" s="808"/>
      <c r="Q146" s="1186"/>
      <c r="R146" s="1182">
        <v>0.72</v>
      </c>
      <c r="S146" s="809"/>
      <c r="T146" s="810"/>
      <c r="U146" s="810"/>
      <c r="V146" s="810"/>
      <c r="W146" s="809"/>
      <c r="X146" s="810"/>
      <c r="Y146" s="809"/>
      <c r="Z146" s="1739"/>
      <c r="AB146" s="176">
        <v>1</v>
      </c>
      <c r="AE146" s="2461"/>
      <c r="AF146" s="68"/>
    </row>
    <row r="147" spans="1:32" ht="45" x14ac:dyDescent="0.35">
      <c r="A147" s="1573">
        <v>71</v>
      </c>
      <c r="B147" s="1052">
        <v>11584</v>
      </c>
      <c r="C147" s="1052"/>
      <c r="D147" s="2473" t="s">
        <v>6604</v>
      </c>
      <c r="E147" s="807" t="s">
        <v>8076</v>
      </c>
      <c r="F147" s="811" t="s">
        <v>664</v>
      </c>
      <c r="G147" s="812">
        <v>5</v>
      </c>
      <c r="H147" s="812">
        <v>6</v>
      </c>
      <c r="I147" s="808">
        <f t="shared" si="17"/>
        <v>1.5</v>
      </c>
      <c r="J147" s="808">
        <f>SUM(M147:R147)</f>
        <v>1.5</v>
      </c>
      <c r="K147" s="808"/>
      <c r="L147" s="808"/>
      <c r="M147" s="1190"/>
      <c r="N147" s="808"/>
      <c r="O147" s="820"/>
      <c r="P147" s="808"/>
      <c r="Q147" s="1186"/>
      <c r="R147" s="1182">
        <v>1.5</v>
      </c>
      <c r="S147" s="809"/>
      <c r="T147" s="810"/>
      <c r="U147" s="810"/>
      <c r="V147" s="810"/>
      <c r="W147" s="809"/>
      <c r="X147" s="810"/>
      <c r="Y147" s="809"/>
      <c r="Z147" s="1739"/>
      <c r="AB147" s="176">
        <v>1</v>
      </c>
      <c r="AE147" s="2461"/>
      <c r="AF147" s="68"/>
    </row>
    <row r="148" spans="1:32" ht="30" x14ac:dyDescent="0.35">
      <c r="A148" s="1573">
        <v>72</v>
      </c>
      <c r="B148" s="1574">
        <v>11584</v>
      </c>
      <c r="C148" s="1574"/>
      <c r="D148" s="2473" t="s">
        <v>6605</v>
      </c>
      <c r="E148" s="821" t="s">
        <v>8077</v>
      </c>
      <c r="F148" s="811" t="s">
        <v>664</v>
      </c>
      <c r="G148" s="812">
        <v>5</v>
      </c>
      <c r="H148" s="812">
        <v>6</v>
      </c>
      <c r="I148" s="808">
        <f t="shared" si="17"/>
        <v>0.42</v>
      </c>
      <c r="J148" s="808">
        <f>SUM(M148:R148)</f>
        <v>0.42</v>
      </c>
      <c r="K148" s="808"/>
      <c r="L148" s="808"/>
      <c r="M148" s="1190"/>
      <c r="N148" s="808"/>
      <c r="O148" s="820"/>
      <c r="P148" s="808"/>
      <c r="Q148" s="1186"/>
      <c r="R148" s="1182">
        <v>0.42</v>
      </c>
      <c r="S148" s="809"/>
      <c r="T148" s="810"/>
      <c r="U148" s="810"/>
      <c r="V148" s="810"/>
      <c r="W148" s="809"/>
      <c r="X148" s="810"/>
      <c r="Y148" s="809"/>
      <c r="Z148" s="1739"/>
      <c r="AB148" s="176">
        <v>1</v>
      </c>
      <c r="AE148" s="2461"/>
      <c r="AF148" s="68"/>
    </row>
    <row r="149" spans="1:32" ht="45" x14ac:dyDescent="0.35">
      <c r="A149" s="1573">
        <v>73</v>
      </c>
      <c r="B149" s="1052">
        <v>11584</v>
      </c>
      <c r="C149" s="1052" t="s">
        <v>1656</v>
      </c>
      <c r="D149" s="2473" t="s">
        <v>6606</v>
      </c>
      <c r="E149" s="2187" t="s">
        <v>9105</v>
      </c>
      <c r="F149" s="811" t="s">
        <v>664</v>
      </c>
      <c r="G149" s="93">
        <v>5</v>
      </c>
      <c r="H149" s="812">
        <v>6</v>
      </c>
      <c r="I149" s="2157">
        <f t="shared" si="17"/>
        <v>1.2</v>
      </c>
      <c r="J149" s="2157">
        <f>M149+N149+O149+P149+Q149+R149</f>
        <v>1.2</v>
      </c>
      <c r="K149" s="490"/>
      <c r="L149" s="490"/>
      <c r="M149" s="490"/>
      <c r="N149" s="490"/>
      <c r="O149" s="490"/>
      <c r="P149" s="490"/>
      <c r="Q149" s="2182"/>
      <c r="R149" s="906">
        <v>1.2</v>
      </c>
      <c r="S149" s="101"/>
      <c r="T149" s="101"/>
      <c r="U149" s="101"/>
      <c r="V149" s="101"/>
      <c r="W149" s="1969"/>
      <c r="X149" s="1969"/>
      <c r="Y149" s="1969"/>
      <c r="Z149" s="2186"/>
      <c r="AB149" s="176">
        <v>1</v>
      </c>
      <c r="AE149" s="2461"/>
      <c r="AF149" s="68"/>
    </row>
    <row r="150" spans="1:32" ht="30" x14ac:dyDescent="0.35">
      <c r="A150" s="1573">
        <v>74</v>
      </c>
      <c r="B150" s="1052">
        <v>11584</v>
      </c>
      <c r="C150" s="1052" t="s">
        <v>1656</v>
      </c>
      <c r="D150" s="2473" t="s">
        <v>6607</v>
      </c>
      <c r="E150" s="807" t="s">
        <v>9106</v>
      </c>
      <c r="F150" s="811"/>
      <c r="G150" s="93" t="s">
        <v>191</v>
      </c>
      <c r="H150" s="812" t="s">
        <v>191</v>
      </c>
      <c r="I150" s="2157">
        <f t="shared" si="17"/>
        <v>0.6</v>
      </c>
      <c r="J150" s="2157">
        <f>M150+N150+O150+P150+Q150+R150</f>
        <v>0.20999999999999996</v>
      </c>
      <c r="K150" s="490"/>
      <c r="L150" s="490">
        <f>SUM(L151:L152)</f>
        <v>0.39</v>
      </c>
      <c r="M150" s="490"/>
      <c r="N150" s="490"/>
      <c r="O150" s="490"/>
      <c r="P150" s="490"/>
      <c r="Q150" s="2182"/>
      <c r="R150" s="906">
        <f>SUM(R151:R152)</f>
        <v>0.20999999999999996</v>
      </c>
      <c r="S150" s="101"/>
      <c r="T150" s="101"/>
      <c r="U150" s="101"/>
      <c r="V150" s="101"/>
      <c r="W150" s="1969"/>
      <c r="X150" s="1969"/>
      <c r="Y150" s="1969"/>
      <c r="Z150" s="2186"/>
      <c r="AB150" s="176">
        <v>1</v>
      </c>
      <c r="AE150" s="2461"/>
      <c r="AF150" s="68"/>
    </row>
    <row r="151" spans="1:32" ht="31" x14ac:dyDescent="0.35">
      <c r="A151" s="1573"/>
      <c r="B151" s="1052"/>
      <c r="C151" s="1052"/>
      <c r="D151" s="2473"/>
      <c r="E151" s="816" t="s">
        <v>6960</v>
      </c>
      <c r="F151" s="811" t="s">
        <v>664</v>
      </c>
      <c r="G151" s="93">
        <v>5</v>
      </c>
      <c r="H151" s="812">
        <v>6</v>
      </c>
      <c r="I151" s="2116"/>
      <c r="J151" s="2116"/>
      <c r="K151" s="493"/>
      <c r="L151" s="493">
        <v>0.39</v>
      </c>
      <c r="M151" s="493"/>
      <c r="N151" s="493"/>
      <c r="O151" s="493"/>
      <c r="P151" s="493"/>
      <c r="Q151" s="2181"/>
      <c r="R151" s="907"/>
      <c r="S151" s="101"/>
      <c r="T151" s="101"/>
      <c r="U151" s="101"/>
      <c r="V151" s="101"/>
      <c r="W151" s="1969"/>
      <c r="X151" s="1969"/>
      <c r="Y151" s="1969"/>
      <c r="Z151" s="2186"/>
      <c r="AE151" s="2461"/>
      <c r="AF151" s="68"/>
    </row>
    <row r="152" spans="1:32" x14ac:dyDescent="0.35">
      <c r="A152" s="1573"/>
      <c r="B152" s="1052"/>
      <c r="C152" s="1052"/>
      <c r="D152" s="2473"/>
      <c r="E152" s="2091" t="s">
        <v>6965</v>
      </c>
      <c r="F152" s="811" t="s">
        <v>664</v>
      </c>
      <c r="G152" s="93">
        <v>5</v>
      </c>
      <c r="H152" s="812">
        <v>6</v>
      </c>
      <c r="I152" s="2116"/>
      <c r="J152" s="2116"/>
      <c r="K152" s="493"/>
      <c r="L152" s="493"/>
      <c r="M152" s="493"/>
      <c r="N152" s="493"/>
      <c r="O152" s="493"/>
      <c r="P152" s="493"/>
      <c r="Q152" s="2181"/>
      <c r="R152" s="907">
        <f>0.6-0.39</f>
        <v>0.20999999999999996</v>
      </c>
      <c r="S152" s="101"/>
      <c r="T152" s="101"/>
      <c r="U152" s="101"/>
      <c r="V152" s="101"/>
      <c r="W152" s="1969"/>
      <c r="X152" s="1969"/>
      <c r="Y152" s="1969"/>
      <c r="Z152" s="2186"/>
      <c r="AE152" s="2461"/>
      <c r="AF152" s="68"/>
    </row>
    <row r="153" spans="1:32" ht="30" x14ac:dyDescent="0.35">
      <c r="A153" s="1573">
        <v>75</v>
      </c>
      <c r="B153" s="1574">
        <v>11585</v>
      </c>
      <c r="C153" s="1574"/>
      <c r="D153" s="1575" t="s">
        <v>2385</v>
      </c>
      <c r="E153" s="807" t="s">
        <v>6961</v>
      </c>
      <c r="F153" s="811"/>
      <c r="G153" s="812" t="s">
        <v>191</v>
      </c>
      <c r="H153" s="812" t="s">
        <v>191</v>
      </c>
      <c r="I153" s="808">
        <f t="shared" si="17"/>
        <v>5.7809999999999997</v>
      </c>
      <c r="J153" s="808">
        <f>SUM(M153:R153)</f>
        <v>5.55</v>
      </c>
      <c r="K153" s="808"/>
      <c r="L153" s="808">
        <f>SUM(L154:L157)</f>
        <v>0.23099999999999987</v>
      </c>
      <c r="M153" s="1190"/>
      <c r="N153" s="2708">
        <f>SUM(N154:N157)</f>
        <v>5.55</v>
      </c>
      <c r="O153" s="820"/>
      <c r="P153" s="808"/>
      <c r="Q153" s="1186">
        <f>SUM(Q154:Q157)</f>
        <v>0</v>
      </c>
      <c r="R153" s="1182"/>
      <c r="S153" s="809"/>
      <c r="T153" s="810"/>
      <c r="U153" s="810"/>
      <c r="V153" s="810"/>
      <c r="W153" s="809">
        <v>12</v>
      </c>
      <c r="X153" s="810">
        <v>149</v>
      </c>
      <c r="Y153" s="809">
        <v>2</v>
      </c>
      <c r="Z153" s="1739">
        <v>18</v>
      </c>
      <c r="AB153" s="176">
        <v>1</v>
      </c>
      <c r="AE153" s="2461"/>
      <c r="AF153" s="68"/>
    </row>
    <row r="154" spans="1:32" x14ac:dyDescent="0.35">
      <c r="A154" s="1576"/>
      <c r="B154" s="1574">
        <v>11585</v>
      </c>
      <c r="C154" s="1574"/>
      <c r="D154" s="1577"/>
      <c r="E154" s="2969" t="s">
        <v>403</v>
      </c>
      <c r="F154" s="811">
        <v>5</v>
      </c>
      <c r="G154" s="812">
        <v>4</v>
      </c>
      <c r="H154" s="812">
        <v>6</v>
      </c>
      <c r="I154" s="813"/>
      <c r="J154" s="813"/>
      <c r="K154" s="813"/>
      <c r="L154" s="813"/>
      <c r="M154" s="1191"/>
      <c r="N154" s="2849">
        <v>1.621</v>
      </c>
      <c r="O154" s="819"/>
      <c r="P154" s="813"/>
      <c r="Q154" s="1187">
        <v>0</v>
      </c>
      <c r="R154" s="1183"/>
      <c r="S154" s="814"/>
      <c r="T154" s="815"/>
      <c r="U154" s="815"/>
      <c r="V154" s="815"/>
      <c r="W154" s="814"/>
      <c r="X154" s="815"/>
      <c r="Y154" s="814"/>
      <c r="Z154" s="1740"/>
      <c r="AE154" s="2461"/>
      <c r="AF154" s="68"/>
    </row>
    <row r="155" spans="1:32" x14ac:dyDescent="0.35">
      <c r="A155" s="1577"/>
      <c r="B155" s="1575">
        <v>11585</v>
      </c>
      <c r="C155" s="1575"/>
      <c r="D155" s="1577"/>
      <c r="E155" s="816" t="s">
        <v>404</v>
      </c>
      <c r="F155" s="811" t="s">
        <v>827</v>
      </c>
      <c r="G155" s="812">
        <v>4</v>
      </c>
      <c r="H155" s="812">
        <v>6</v>
      </c>
      <c r="I155" s="813"/>
      <c r="J155" s="813"/>
      <c r="K155" s="813"/>
      <c r="L155" s="813"/>
      <c r="M155" s="1191"/>
      <c r="N155" s="813">
        <f>3.422-1.621</f>
        <v>1.8010000000000002</v>
      </c>
      <c r="O155" s="819"/>
      <c r="P155" s="813"/>
      <c r="Q155" s="1187"/>
      <c r="R155" s="1183"/>
      <c r="S155" s="814"/>
      <c r="T155" s="815"/>
      <c r="U155" s="815"/>
      <c r="V155" s="815"/>
      <c r="W155" s="814"/>
      <c r="X155" s="815"/>
      <c r="Y155" s="814"/>
      <c r="Z155" s="815"/>
      <c r="AE155" s="2461"/>
      <c r="AF155" s="68"/>
    </row>
    <row r="156" spans="1:32" ht="31" x14ac:dyDescent="0.35">
      <c r="A156" s="1577"/>
      <c r="B156" s="1575">
        <v>11585</v>
      </c>
      <c r="C156" s="1575"/>
      <c r="D156" s="1577"/>
      <c r="E156" s="816" t="s">
        <v>405</v>
      </c>
      <c r="F156" s="811">
        <v>4</v>
      </c>
      <c r="G156" s="812">
        <v>4</v>
      </c>
      <c r="H156" s="812" t="s">
        <v>191</v>
      </c>
      <c r="I156" s="813"/>
      <c r="J156" s="813"/>
      <c r="K156" s="813"/>
      <c r="L156" s="813">
        <f>3.653-3.422</f>
        <v>0.23099999999999987</v>
      </c>
      <c r="M156" s="1191"/>
      <c r="N156" s="813"/>
      <c r="O156" s="819"/>
      <c r="P156" s="813"/>
      <c r="Q156" s="1187"/>
      <c r="R156" s="1183"/>
      <c r="S156" s="814"/>
      <c r="T156" s="815"/>
      <c r="U156" s="815"/>
      <c r="V156" s="815"/>
      <c r="W156" s="814"/>
      <c r="X156" s="815"/>
      <c r="Y156" s="814"/>
      <c r="Z156" s="815"/>
      <c r="AE156" s="2461"/>
      <c r="AF156" s="68"/>
    </row>
    <row r="157" spans="1:32" x14ac:dyDescent="0.35">
      <c r="A157" s="1577"/>
      <c r="B157" s="1575">
        <v>11585</v>
      </c>
      <c r="C157" s="1575"/>
      <c r="D157" s="1577"/>
      <c r="E157" s="816" t="s">
        <v>406</v>
      </c>
      <c r="F157" s="811">
        <v>4</v>
      </c>
      <c r="G157" s="812">
        <v>4</v>
      </c>
      <c r="H157" s="812">
        <v>6</v>
      </c>
      <c r="I157" s="813"/>
      <c r="J157" s="813"/>
      <c r="K157" s="813"/>
      <c r="L157" s="813"/>
      <c r="M157" s="1191"/>
      <c r="N157" s="813">
        <f>5.781-3.653</f>
        <v>2.1279999999999997</v>
      </c>
      <c r="O157" s="819"/>
      <c r="P157" s="813"/>
      <c r="Q157" s="1187"/>
      <c r="R157" s="1183"/>
      <c r="S157" s="814"/>
      <c r="T157" s="815"/>
      <c r="U157" s="815"/>
      <c r="V157" s="815"/>
      <c r="W157" s="814"/>
      <c r="X157" s="815"/>
      <c r="Y157" s="814"/>
      <c r="Z157" s="815"/>
      <c r="AE157" s="2461"/>
      <c r="AF157" s="68"/>
    </row>
    <row r="158" spans="1:32" s="3" customFormat="1" ht="60" x14ac:dyDescent="0.35">
      <c r="A158" s="1872">
        <v>76</v>
      </c>
      <c r="B158" s="1575">
        <v>11585</v>
      </c>
      <c r="C158" s="1979" t="s">
        <v>1655</v>
      </c>
      <c r="D158" s="2473" t="s">
        <v>6608</v>
      </c>
      <c r="E158" s="699" t="s">
        <v>11481</v>
      </c>
      <c r="F158" s="1943" t="s">
        <v>664</v>
      </c>
      <c r="G158" s="1834">
        <v>5</v>
      </c>
      <c r="H158" s="812">
        <v>6</v>
      </c>
      <c r="I158" s="2841">
        <f>J158+K158+L158</f>
        <v>0.5</v>
      </c>
      <c r="J158" s="2841">
        <f>SUM(M158:R158)</f>
        <v>0.5</v>
      </c>
      <c r="K158" s="703"/>
      <c r="L158" s="703"/>
      <c r="M158" s="1384"/>
      <c r="N158" s="702"/>
      <c r="O158" s="1376"/>
      <c r="P158" s="1369"/>
      <c r="Q158" s="1361"/>
      <c r="R158" s="1358">
        <v>0.5</v>
      </c>
      <c r="S158" s="743"/>
      <c r="T158" s="1931"/>
      <c r="U158" s="732"/>
      <c r="V158" s="732"/>
      <c r="W158" s="1986"/>
      <c r="X158" s="1975"/>
      <c r="Y158" s="1974"/>
      <c r="Z158" s="1982"/>
      <c r="AB158" s="3">
        <v>1</v>
      </c>
      <c r="AE158" s="2461"/>
      <c r="AF158" s="68"/>
    </row>
    <row r="159" spans="1:32" ht="60" x14ac:dyDescent="0.35">
      <c r="A159" s="1573">
        <v>77</v>
      </c>
      <c r="B159" s="1574">
        <v>11585</v>
      </c>
      <c r="C159" s="1052" t="s">
        <v>1655</v>
      </c>
      <c r="D159" s="2473" t="s">
        <v>6609</v>
      </c>
      <c r="E159" s="817" t="s">
        <v>7407</v>
      </c>
      <c r="F159" s="811"/>
      <c r="G159" s="812" t="s">
        <v>191</v>
      </c>
      <c r="H159" s="812" t="s">
        <v>191</v>
      </c>
      <c r="I159" s="808">
        <f>J159+K159+L159</f>
        <v>2.3919999999999999</v>
      </c>
      <c r="J159" s="808">
        <f>SUM(M159:R159)</f>
        <v>2.3919999999999999</v>
      </c>
      <c r="K159" s="808"/>
      <c r="L159" s="808"/>
      <c r="M159" s="1190"/>
      <c r="N159" s="808">
        <f>SUM(N160:N161)</f>
        <v>0.49199999999999999</v>
      </c>
      <c r="O159" s="820"/>
      <c r="P159" s="808"/>
      <c r="Q159" s="1186">
        <f>SUM(Q160:Q161)</f>
        <v>1.9</v>
      </c>
      <c r="R159" s="1182"/>
      <c r="S159" s="809"/>
      <c r="T159" s="810"/>
      <c r="U159" s="810"/>
      <c r="V159" s="810"/>
      <c r="W159" s="809">
        <v>6</v>
      </c>
      <c r="X159" s="810">
        <v>48.5</v>
      </c>
      <c r="Y159" s="809">
        <v>1</v>
      </c>
      <c r="Z159" s="1739">
        <v>7.5</v>
      </c>
      <c r="AB159" s="176">
        <v>1</v>
      </c>
      <c r="AE159" s="2461"/>
      <c r="AF159" s="68"/>
    </row>
    <row r="160" spans="1:32" x14ac:dyDescent="0.35">
      <c r="A160" s="1573"/>
      <c r="B160" s="1574">
        <v>11585</v>
      </c>
      <c r="C160" s="1052"/>
      <c r="D160" s="1575"/>
      <c r="E160" s="1195" t="s">
        <v>430</v>
      </c>
      <c r="F160" s="811" t="s">
        <v>827</v>
      </c>
      <c r="G160" s="812">
        <v>5</v>
      </c>
      <c r="H160" s="812">
        <v>6</v>
      </c>
      <c r="I160" s="813"/>
      <c r="J160" s="813"/>
      <c r="K160" s="813"/>
      <c r="L160" s="813"/>
      <c r="M160" s="1869"/>
      <c r="N160" s="813"/>
      <c r="O160" s="1870"/>
      <c r="P160" s="813"/>
      <c r="Q160" s="1771">
        <v>1.9</v>
      </c>
      <c r="R160" s="1182"/>
      <c r="S160" s="809"/>
      <c r="T160" s="810"/>
      <c r="U160" s="810"/>
      <c r="V160" s="810"/>
      <c r="W160" s="809"/>
      <c r="X160" s="810"/>
      <c r="Y160" s="809"/>
      <c r="Z160" s="1739"/>
      <c r="AE160" s="2461"/>
      <c r="AF160" s="68"/>
    </row>
    <row r="161" spans="1:32" x14ac:dyDescent="0.35">
      <c r="A161" s="1573"/>
      <c r="B161" s="1574">
        <v>11585</v>
      </c>
      <c r="C161" s="1052"/>
      <c r="D161" s="1575"/>
      <c r="E161" s="816" t="s">
        <v>2999</v>
      </c>
      <c r="F161" s="811" t="s">
        <v>827</v>
      </c>
      <c r="G161" s="812">
        <v>5</v>
      </c>
      <c r="H161" s="812">
        <v>6</v>
      </c>
      <c r="I161" s="813"/>
      <c r="J161" s="813"/>
      <c r="K161" s="813"/>
      <c r="L161" s="813"/>
      <c r="M161" s="1869"/>
      <c r="N161" s="813">
        <f>2.392-1.9</f>
        <v>0.49199999999999999</v>
      </c>
      <c r="O161" s="1870"/>
      <c r="P161" s="813"/>
      <c r="Q161" s="1771"/>
      <c r="R161" s="1182"/>
      <c r="S161" s="809"/>
      <c r="T161" s="810"/>
      <c r="U161" s="810"/>
      <c r="V161" s="810"/>
      <c r="W161" s="809"/>
      <c r="X161" s="810"/>
      <c r="Y161" s="809"/>
      <c r="Z161" s="1739"/>
      <c r="AE161" s="2461"/>
      <c r="AF161" s="68"/>
    </row>
    <row r="162" spans="1:32" ht="75" x14ac:dyDescent="0.35">
      <c r="A162" s="696">
        <v>78</v>
      </c>
      <c r="B162" s="1052">
        <v>11585</v>
      </c>
      <c r="C162" s="1052" t="s">
        <v>1656</v>
      </c>
      <c r="D162" s="2473" t="s">
        <v>6610</v>
      </c>
      <c r="E162" s="2187" t="s">
        <v>9107</v>
      </c>
      <c r="F162" s="811" t="s">
        <v>1490</v>
      </c>
      <c r="G162" s="93">
        <v>5</v>
      </c>
      <c r="H162" s="812">
        <v>6</v>
      </c>
      <c r="I162" s="2157">
        <f>J162+K162+L162</f>
        <v>0.35699999999999998</v>
      </c>
      <c r="J162" s="2157">
        <f>M162+N162+O162+P162+Q162+R162</f>
        <v>0.35699999999999998</v>
      </c>
      <c r="K162" s="490"/>
      <c r="L162" s="490"/>
      <c r="M162" s="490"/>
      <c r="N162" s="490"/>
      <c r="O162" s="490"/>
      <c r="P162" s="490"/>
      <c r="Q162" s="2182">
        <v>0.35699999999999998</v>
      </c>
      <c r="R162" s="906"/>
      <c r="S162" s="101"/>
      <c r="T162" s="101"/>
      <c r="U162" s="101"/>
      <c r="V162" s="101"/>
      <c r="W162" s="809">
        <v>1</v>
      </c>
      <c r="X162" s="810">
        <v>10</v>
      </c>
      <c r="Y162" s="1969"/>
      <c r="Z162" s="2186"/>
      <c r="AB162" s="176">
        <v>1</v>
      </c>
      <c r="AC162" s="176" t="s">
        <v>2570</v>
      </c>
      <c r="AE162" s="2461"/>
      <c r="AF162" s="68"/>
    </row>
    <row r="163" spans="1:32" ht="45" x14ac:dyDescent="0.35">
      <c r="A163" s="696">
        <v>79</v>
      </c>
      <c r="B163" s="1052">
        <v>11585</v>
      </c>
      <c r="C163" s="1052" t="s">
        <v>1656</v>
      </c>
      <c r="D163" s="2473" t="s">
        <v>6611</v>
      </c>
      <c r="E163" s="817" t="s">
        <v>9108</v>
      </c>
      <c r="F163" s="811" t="s">
        <v>664</v>
      </c>
      <c r="G163" s="93">
        <v>5</v>
      </c>
      <c r="H163" s="812">
        <v>6</v>
      </c>
      <c r="I163" s="2157">
        <f>J163+K163+L163</f>
        <v>1.2</v>
      </c>
      <c r="J163" s="2157">
        <f>M163+N163+O163+P163+Q163+R163</f>
        <v>1.2</v>
      </c>
      <c r="K163" s="490"/>
      <c r="L163" s="490"/>
      <c r="M163" s="490"/>
      <c r="N163" s="490"/>
      <c r="O163" s="490"/>
      <c r="P163" s="490"/>
      <c r="Q163" s="2182"/>
      <c r="R163" s="906">
        <v>1.2</v>
      </c>
      <c r="S163" s="101"/>
      <c r="T163" s="101"/>
      <c r="U163" s="101"/>
      <c r="V163" s="101"/>
      <c r="W163" s="1969"/>
      <c r="X163" s="1969"/>
      <c r="Y163" s="1969"/>
      <c r="Z163" s="2186"/>
      <c r="AB163" s="176">
        <v>1</v>
      </c>
      <c r="AE163" s="2461"/>
      <c r="AF163" s="68"/>
    </row>
    <row r="164" spans="1:32" ht="30" x14ac:dyDescent="0.35">
      <c r="A164" s="1573">
        <v>80</v>
      </c>
      <c r="B164" s="1574">
        <v>11586</v>
      </c>
      <c r="C164" s="1574"/>
      <c r="D164" s="1575" t="s">
        <v>407</v>
      </c>
      <c r="E164" s="807" t="s">
        <v>3008</v>
      </c>
      <c r="F164" s="811"/>
      <c r="G164" s="812" t="s">
        <v>191</v>
      </c>
      <c r="H164" s="812" t="s">
        <v>191</v>
      </c>
      <c r="I164" s="808">
        <f>J164+K164+L164</f>
        <v>16</v>
      </c>
      <c r="J164" s="808">
        <f>SUM(M164:R164)</f>
        <v>16</v>
      </c>
      <c r="K164" s="808"/>
      <c r="L164" s="808"/>
      <c r="M164" s="1190"/>
      <c r="N164" s="808">
        <f>SUM(N165:N168)</f>
        <v>7.0750000000000002</v>
      </c>
      <c r="O164" s="820"/>
      <c r="P164" s="808"/>
      <c r="Q164" s="1186">
        <f>SUM(Q165:Q168)</f>
        <v>8.9250000000000007</v>
      </c>
      <c r="R164" s="1182"/>
      <c r="S164" s="809">
        <v>1</v>
      </c>
      <c r="T164" s="810">
        <v>18</v>
      </c>
      <c r="U164" s="810"/>
      <c r="V164" s="810"/>
      <c r="W164" s="809">
        <v>27</v>
      </c>
      <c r="X164" s="810">
        <v>404.48</v>
      </c>
      <c r="Y164" s="809">
        <v>1</v>
      </c>
      <c r="Z164" s="1739">
        <v>10.199999999999999</v>
      </c>
      <c r="AA164" s="176" t="s">
        <v>11111</v>
      </c>
      <c r="AB164" s="176">
        <v>1</v>
      </c>
      <c r="AE164" s="2461"/>
      <c r="AF164" s="68"/>
    </row>
    <row r="165" spans="1:32" x14ac:dyDescent="0.35">
      <c r="A165" s="1576"/>
      <c r="B165" s="1574">
        <v>11586</v>
      </c>
      <c r="C165" s="1574"/>
      <c r="D165" s="1577"/>
      <c r="E165" s="1195" t="s">
        <v>1191</v>
      </c>
      <c r="F165" s="811">
        <v>4</v>
      </c>
      <c r="G165" s="812">
        <v>4</v>
      </c>
      <c r="H165" s="812">
        <v>6</v>
      </c>
      <c r="I165" s="813"/>
      <c r="J165" s="813"/>
      <c r="K165" s="813"/>
      <c r="L165" s="813"/>
      <c r="M165" s="1191"/>
      <c r="N165" s="813"/>
      <c r="O165" s="819"/>
      <c r="P165" s="813"/>
      <c r="Q165" s="1187">
        <v>2</v>
      </c>
      <c r="R165" s="1183"/>
      <c r="S165" s="814"/>
      <c r="T165" s="815"/>
      <c r="U165" s="815"/>
      <c r="V165" s="815"/>
      <c r="W165" s="814"/>
      <c r="X165" s="815"/>
      <c r="Y165" s="814"/>
      <c r="Z165" s="1740"/>
      <c r="AE165" s="2461"/>
      <c r="AF165" s="68"/>
    </row>
    <row r="166" spans="1:32" x14ac:dyDescent="0.35">
      <c r="A166" s="1576"/>
      <c r="B166" s="1574">
        <v>11586</v>
      </c>
      <c r="C166" s="1574"/>
      <c r="D166" s="1577"/>
      <c r="E166" s="1195" t="s">
        <v>2323</v>
      </c>
      <c r="F166" s="811">
        <v>4</v>
      </c>
      <c r="G166" s="812">
        <v>4</v>
      </c>
      <c r="H166" s="812">
        <v>6</v>
      </c>
      <c r="I166" s="813"/>
      <c r="J166" s="813"/>
      <c r="K166" s="813"/>
      <c r="L166" s="813"/>
      <c r="M166" s="1191"/>
      <c r="N166" s="813"/>
      <c r="O166" s="819"/>
      <c r="P166" s="813"/>
      <c r="Q166" s="1187">
        <f>5.925-2</f>
        <v>3.9249999999999998</v>
      </c>
      <c r="R166" s="1183"/>
      <c r="S166" s="814"/>
      <c r="T166" s="815"/>
      <c r="U166" s="815"/>
      <c r="V166" s="815"/>
      <c r="W166" s="814"/>
      <c r="X166" s="815"/>
      <c r="Y166" s="814"/>
      <c r="Z166" s="1740"/>
      <c r="AA166" s="176" t="s">
        <v>2347</v>
      </c>
      <c r="AE166" s="2461"/>
      <c r="AF166" s="68"/>
    </row>
    <row r="167" spans="1:32" x14ac:dyDescent="0.35">
      <c r="A167" s="1576"/>
      <c r="B167" s="1574">
        <v>11586</v>
      </c>
      <c r="C167" s="1574"/>
      <c r="D167" s="1577"/>
      <c r="E167" s="816" t="s">
        <v>2324</v>
      </c>
      <c r="F167" s="811">
        <v>4</v>
      </c>
      <c r="G167" s="812">
        <v>4</v>
      </c>
      <c r="H167" s="812">
        <v>6</v>
      </c>
      <c r="I167" s="813"/>
      <c r="J167" s="813"/>
      <c r="K167" s="813"/>
      <c r="L167" s="813"/>
      <c r="M167" s="1191"/>
      <c r="N167" s="813">
        <f>13-5.925</f>
        <v>7.0750000000000002</v>
      </c>
      <c r="O167" s="819"/>
      <c r="P167" s="813"/>
      <c r="Q167" s="1187"/>
      <c r="R167" s="1183"/>
      <c r="S167" s="814"/>
      <c r="T167" s="815"/>
      <c r="U167" s="815"/>
      <c r="V167" s="815"/>
      <c r="W167" s="814"/>
      <c r="X167" s="815"/>
      <c r="Y167" s="814"/>
      <c r="Z167" s="1740"/>
      <c r="AE167" s="2461"/>
      <c r="AF167" s="68"/>
    </row>
    <row r="168" spans="1:32" x14ac:dyDescent="0.35">
      <c r="A168" s="1576"/>
      <c r="B168" s="1574">
        <v>11586</v>
      </c>
      <c r="C168" s="1574"/>
      <c r="D168" s="1577"/>
      <c r="E168" s="1195" t="s">
        <v>1306</v>
      </c>
      <c r="F168" s="811">
        <v>4</v>
      </c>
      <c r="G168" s="812">
        <v>4</v>
      </c>
      <c r="H168" s="812">
        <v>6</v>
      </c>
      <c r="I168" s="813"/>
      <c r="J168" s="813"/>
      <c r="K168" s="813"/>
      <c r="L168" s="813"/>
      <c r="M168" s="1191"/>
      <c r="N168" s="813"/>
      <c r="O168" s="819"/>
      <c r="P168" s="813"/>
      <c r="Q168" s="1187">
        <v>3</v>
      </c>
      <c r="R168" s="1183"/>
      <c r="S168" s="814"/>
      <c r="T168" s="815"/>
      <c r="U168" s="815"/>
      <c r="V168" s="815"/>
      <c r="W168" s="814"/>
      <c r="X168" s="815"/>
      <c r="Y168" s="814"/>
      <c r="Z168" s="1740"/>
      <c r="AE168" s="2461"/>
      <c r="AF168" s="68"/>
    </row>
    <row r="169" spans="1:32" ht="45" x14ac:dyDescent="0.35">
      <c r="A169" s="1573">
        <v>81</v>
      </c>
      <c r="B169" s="1574">
        <v>11586</v>
      </c>
      <c r="C169" s="1574"/>
      <c r="D169" s="2473" t="s">
        <v>6612</v>
      </c>
      <c r="E169" s="817" t="s">
        <v>8078</v>
      </c>
      <c r="F169" s="811">
        <v>4</v>
      </c>
      <c r="G169" s="812">
        <v>5</v>
      </c>
      <c r="H169" s="812">
        <v>6</v>
      </c>
      <c r="I169" s="808">
        <f>J169+K169+L169</f>
        <v>0.9</v>
      </c>
      <c r="J169" s="808">
        <f>SUM(M169:R169)</f>
        <v>0.9</v>
      </c>
      <c r="K169" s="808"/>
      <c r="L169" s="808"/>
      <c r="M169" s="1190"/>
      <c r="N169" s="808"/>
      <c r="O169" s="820"/>
      <c r="P169" s="808"/>
      <c r="Q169" s="1186">
        <v>0.9</v>
      </c>
      <c r="R169" s="1182"/>
      <c r="S169" s="809">
        <v>1</v>
      </c>
      <c r="T169" s="810">
        <v>6</v>
      </c>
      <c r="U169" s="810"/>
      <c r="V169" s="810"/>
      <c r="W169" s="809"/>
      <c r="X169" s="810"/>
      <c r="Y169" s="809"/>
      <c r="Z169" s="1739"/>
      <c r="AB169" s="176">
        <v>1</v>
      </c>
      <c r="AE169" s="2461"/>
      <c r="AF169" s="68"/>
    </row>
    <row r="170" spans="1:32" ht="45" x14ac:dyDescent="0.35">
      <c r="A170" s="696">
        <v>82</v>
      </c>
      <c r="B170" s="1052">
        <v>11586</v>
      </c>
      <c r="C170" s="1052" t="s">
        <v>1656</v>
      </c>
      <c r="D170" s="2473" t="s">
        <v>6613</v>
      </c>
      <c r="E170" s="2187" t="s">
        <v>9109</v>
      </c>
      <c r="F170" s="811"/>
      <c r="G170" s="93" t="s">
        <v>191</v>
      </c>
      <c r="H170" s="812" t="s">
        <v>191</v>
      </c>
      <c r="I170" s="2157">
        <f>J170+K170+L170</f>
        <v>0.9</v>
      </c>
      <c r="J170" s="2157">
        <f>M170+N170+O170+P170+Q170+R170</f>
        <v>0.9</v>
      </c>
      <c r="K170" s="490"/>
      <c r="L170" s="490"/>
      <c r="M170" s="490"/>
      <c r="N170" s="490">
        <f>SUM(N171:N172)</f>
        <v>0.1</v>
      </c>
      <c r="O170" s="490"/>
      <c r="P170" s="490"/>
      <c r="Q170" s="2182"/>
      <c r="R170" s="1987">
        <f>SUM(R171:R172)</f>
        <v>0.8</v>
      </c>
      <c r="S170" s="101"/>
      <c r="T170" s="101"/>
      <c r="U170" s="101"/>
      <c r="V170" s="101"/>
      <c r="W170" s="1969"/>
      <c r="X170" s="1969"/>
      <c r="Y170" s="1969"/>
      <c r="Z170" s="2186"/>
      <c r="AB170" s="176">
        <v>1</v>
      </c>
      <c r="AE170" s="2461"/>
      <c r="AF170" s="68"/>
    </row>
    <row r="171" spans="1:32" x14ac:dyDescent="0.35">
      <c r="A171" s="696"/>
      <c r="B171" s="1052">
        <v>11586</v>
      </c>
      <c r="C171" s="1052"/>
      <c r="D171" s="101"/>
      <c r="E171" s="2092" t="s">
        <v>1332</v>
      </c>
      <c r="F171" s="811" t="s">
        <v>827</v>
      </c>
      <c r="G171" s="93">
        <v>5</v>
      </c>
      <c r="H171" s="812">
        <v>6</v>
      </c>
      <c r="I171" s="493"/>
      <c r="J171" s="493"/>
      <c r="K171" s="493"/>
      <c r="L171" s="493"/>
      <c r="M171" s="493"/>
      <c r="N171" s="493">
        <v>0.1</v>
      </c>
      <c r="O171" s="493"/>
      <c r="P171" s="493"/>
      <c r="Q171" s="2181"/>
      <c r="R171" s="907"/>
      <c r="S171" s="101"/>
      <c r="T171" s="101"/>
      <c r="U171" s="101"/>
      <c r="V171" s="101"/>
      <c r="W171" s="1969"/>
      <c r="X171" s="1969"/>
      <c r="Y171" s="1969"/>
      <c r="Z171" s="2186"/>
      <c r="AE171" s="2461"/>
      <c r="AF171" s="68"/>
    </row>
    <row r="172" spans="1:32" x14ac:dyDescent="0.35">
      <c r="A172" s="696"/>
      <c r="B172" s="1052">
        <v>11586</v>
      </c>
      <c r="C172" s="1052"/>
      <c r="D172" s="101"/>
      <c r="E172" s="2091" t="s">
        <v>2370</v>
      </c>
      <c r="F172" s="811" t="s">
        <v>827</v>
      </c>
      <c r="G172" s="93">
        <v>5</v>
      </c>
      <c r="H172" s="812">
        <v>6</v>
      </c>
      <c r="I172" s="493"/>
      <c r="J172" s="493"/>
      <c r="K172" s="493"/>
      <c r="L172" s="493"/>
      <c r="M172" s="493"/>
      <c r="N172" s="493"/>
      <c r="O172" s="493"/>
      <c r="P172" s="493"/>
      <c r="Q172" s="2181"/>
      <c r="R172" s="907">
        <v>0.8</v>
      </c>
      <c r="S172" s="101"/>
      <c r="T172" s="101"/>
      <c r="U172" s="101"/>
      <c r="V172" s="101"/>
      <c r="W172" s="1969"/>
      <c r="X172" s="1969"/>
      <c r="Y172" s="1969"/>
      <c r="Z172" s="2186"/>
      <c r="AE172" s="2461"/>
      <c r="AF172" s="68"/>
    </row>
    <row r="173" spans="1:32" ht="30" x14ac:dyDescent="0.35">
      <c r="A173" s="1573">
        <v>83</v>
      </c>
      <c r="B173" s="1574">
        <v>11587</v>
      </c>
      <c r="C173" s="1574"/>
      <c r="D173" s="1575" t="s">
        <v>284</v>
      </c>
      <c r="E173" s="807" t="s">
        <v>2266</v>
      </c>
      <c r="F173" s="811">
        <v>5</v>
      </c>
      <c r="G173" s="812">
        <v>5</v>
      </c>
      <c r="H173" s="812">
        <v>6</v>
      </c>
      <c r="I173" s="808">
        <f>J173+K173+L173</f>
        <v>1.85</v>
      </c>
      <c r="J173" s="808">
        <f>SUM(M173:R173)</f>
        <v>1.85</v>
      </c>
      <c r="K173" s="808"/>
      <c r="L173" s="808"/>
      <c r="M173" s="1190"/>
      <c r="N173" s="808">
        <v>1.85</v>
      </c>
      <c r="O173" s="820"/>
      <c r="P173" s="808"/>
      <c r="Q173" s="1186"/>
      <c r="R173" s="1182"/>
      <c r="S173" s="809">
        <v>1</v>
      </c>
      <c r="T173" s="810">
        <v>12.600000381469727</v>
      </c>
      <c r="U173" s="810"/>
      <c r="V173" s="810"/>
      <c r="W173" s="809">
        <v>4</v>
      </c>
      <c r="X173" s="810">
        <v>46.2</v>
      </c>
      <c r="Y173" s="809">
        <v>1</v>
      </c>
      <c r="Z173" s="1739">
        <v>13</v>
      </c>
      <c r="AB173" s="176">
        <v>1</v>
      </c>
      <c r="AE173" s="2461"/>
      <c r="AF173" s="68"/>
    </row>
    <row r="174" spans="1:32" ht="30" x14ac:dyDescent="0.35">
      <c r="A174" s="441">
        <v>84</v>
      </c>
      <c r="B174" s="1574">
        <v>11587</v>
      </c>
      <c r="C174" s="358" t="s">
        <v>1656</v>
      </c>
      <c r="D174" s="2473" t="s">
        <v>6614</v>
      </c>
      <c r="E174" s="807" t="s">
        <v>9304</v>
      </c>
      <c r="F174" s="811" t="s">
        <v>664</v>
      </c>
      <c r="G174" s="2289">
        <v>5</v>
      </c>
      <c r="H174" s="812">
        <v>6</v>
      </c>
      <c r="I174" s="297">
        <f>J174+K174+L174</f>
        <v>0.53</v>
      </c>
      <c r="J174" s="297">
        <f>SUM(M174:R174)</f>
        <v>0.53</v>
      </c>
      <c r="K174" s="813"/>
      <c r="L174" s="813"/>
      <c r="M174" s="1190"/>
      <c r="N174" s="808"/>
      <c r="O174" s="820"/>
      <c r="P174" s="808"/>
      <c r="Q174" s="1186"/>
      <c r="R174" s="1182">
        <v>0.53</v>
      </c>
      <c r="S174" s="809"/>
      <c r="T174" s="810"/>
      <c r="U174" s="810"/>
      <c r="V174" s="810"/>
      <c r="W174" s="809"/>
      <c r="X174" s="810"/>
      <c r="Y174" s="809"/>
      <c r="Z174" s="1739"/>
      <c r="AB174" s="176">
        <v>1</v>
      </c>
      <c r="AE174" s="2461"/>
      <c r="AF174" s="68"/>
    </row>
    <row r="175" spans="1:32" ht="30" x14ac:dyDescent="0.35">
      <c r="A175" s="1573">
        <v>85</v>
      </c>
      <c r="B175" s="1574">
        <v>11588</v>
      </c>
      <c r="C175" s="1574"/>
      <c r="D175" s="1575" t="s">
        <v>2910</v>
      </c>
      <c r="E175" s="807" t="s">
        <v>2998</v>
      </c>
      <c r="F175" s="811" t="s">
        <v>664</v>
      </c>
      <c r="G175" s="812">
        <v>5</v>
      </c>
      <c r="H175" s="812">
        <v>6</v>
      </c>
      <c r="I175" s="808">
        <f>J175+K175+L175</f>
        <v>3.3</v>
      </c>
      <c r="J175" s="808">
        <f>SUM(M175:R175)</f>
        <v>3.3</v>
      </c>
      <c r="K175" s="808"/>
      <c r="L175" s="808"/>
      <c r="M175" s="1190"/>
      <c r="N175" s="808"/>
      <c r="O175" s="820"/>
      <c r="P175" s="808"/>
      <c r="Q175" s="1186"/>
      <c r="R175" s="1182">
        <v>3.3</v>
      </c>
      <c r="S175" s="809"/>
      <c r="T175" s="810"/>
      <c r="U175" s="810"/>
      <c r="V175" s="810"/>
      <c r="W175" s="809"/>
      <c r="X175" s="810"/>
      <c r="Y175" s="809"/>
      <c r="Z175" s="1739"/>
      <c r="AB175" s="176">
        <v>1</v>
      </c>
      <c r="AE175" s="2461"/>
      <c r="AF175" s="68"/>
    </row>
    <row r="176" spans="1:32" ht="30" x14ac:dyDescent="0.35">
      <c r="A176" s="441">
        <v>86</v>
      </c>
      <c r="B176" s="1574">
        <v>11589</v>
      </c>
      <c r="C176" s="1574"/>
      <c r="D176" s="1575" t="s">
        <v>3266</v>
      </c>
      <c r="E176" s="807" t="s">
        <v>6962</v>
      </c>
      <c r="F176" s="811" t="s">
        <v>1490</v>
      </c>
      <c r="G176" s="812">
        <v>5</v>
      </c>
      <c r="H176" s="812">
        <v>6</v>
      </c>
      <c r="I176" s="808">
        <f>J176+K176+L176</f>
        <v>3.1</v>
      </c>
      <c r="J176" s="808">
        <f>SUM(M176:R176)</f>
        <v>3.1</v>
      </c>
      <c r="K176" s="808"/>
      <c r="L176" s="808"/>
      <c r="M176" s="1190"/>
      <c r="N176" s="808"/>
      <c r="O176" s="820"/>
      <c r="P176" s="808"/>
      <c r="Q176" s="1186"/>
      <c r="R176" s="1182">
        <v>3.1</v>
      </c>
      <c r="S176" s="809"/>
      <c r="T176" s="810"/>
      <c r="U176" s="810"/>
      <c r="V176" s="810"/>
      <c r="W176" s="809">
        <v>8</v>
      </c>
      <c r="X176" s="810">
        <v>60.82</v>
      </c>
      <c r="Y176" s="809"/>
      <c r="Z176" s="1739"/>
      <c r="AB176" s="176">
        <v>1</v>
      </c>
      <c r="AC176" s="62" t="s">
        <v>3390</v>
      </c>
      <c r="AD176" s="353">
        <v>37251</v>
      </c>
      <c r="AE176" s="2461"/>
      <c r="AF176" s="68"/>
    </row>
    <row r="177" spans="1:32" ht="30" x14ac:dyDescent="0.35">
      <c r="A177" s="1573">
        <v>87</v>
      </c>
      <c r="B177" s="1574">
        <v>11590</v>
      </c>
      <c r="C177" s="1574"/>
      <c r="D177" s="1575" t="s">
        <v>285</v>
      </c>
      <c r="E177" s="807" t="s">
        <v>2329</v>
      </c>
      <c r="F177" s="811"/>
      <c r="G177" s="812" t="s">
        <v>191</v>
      </c>
      <c r="H177" s="812" t="s">
        <v>191</v>
      </c>
      <c r="I177" s="808">
        <f>J177+K177+L177</f>
        <v>5.1999999999999993</v>
      </c>
      <c r="J177" s="808">
        <f>SUM(M177:R177)</f>
        <v>5.1999999999999993</v>
      </c>
      <c r="K177" s="808"/>
      <c r="L177" s="808"/>
      <c r="M177" s="1190"/>
      <c r="N177" s="808"/>
      <c r="O177" s="820"/>
      <c r="P177" s="808"/>
      <c r="Q177" s="1186">
        <f>SUM(Q178:Q179)</f>
        <v>3.8</v>
      </c>
      <c r="R177" s="1182">
        <f>SUM(R178:R179)</f>
        <v>1.4</v>
      </c>
      <c r="S177" s="809"/>
      <c r="T177" s="810"/>
      <c r="U177" s="810"/>
      <c r="V177" s="810"/>
      <c r="W177" s="809">
        <v>5</v>
      </c>
      <c r="X177" s="810">
        <v>70</v>
      </c>
      <c r="Y177" s="809">
        <v>1</v>
      </c>
      <c r="Z177" s="1739">
        <v>8.8000000000000007</v>
      </c>
      <c r="AA177" s="176" t="s">
        <v>2781</v>
      </c>
      <c r="AB177" s="176">
        <v>1</v>
      </c>
      <c r="AE177" s="2461"/>
      <c r="AF177" s="68"/>
    </row>
    <row r="178" spans="1:32" x14ac:dyDescent="0.35">
      <c r="A178" s="1576"/>
      <c r="B178" s="1574">
        <v>11590</v>
      </c>
      <c r="C178" s="1574"/>
      <c r="D178" s="1577"/>
      <c r="E178" s="1195" t="s">
        <v>1850</v>
      </c>
      <c r="F178" s="811">
        <v>5</v>
      </c>
      <c r="G178" s="812">
        <v>5</v>
      </c>
      <c r="H178" s="812">
        <v>6</v>
      </c>
      <c r="I178" s="813"/>
      <c r="J178" s="813"/>
      <c r="K178" s="813"/>
      <c r="L178" s="813"/>
      <c r="M178" s="1191"/>
      <c r="N178" s="813"/>
      <c r="O178" s="819"/>
      <c r="P178" s="813"/>
      <c r="Q178" s="1187">
        <v>3.8</v>
      </c>
      <c r="R178" s="1183"/>
      <c r="S178" s="814"/>
      <c r="T178" s="815"/>
      <c r="U178" s="815"/>
      <c r="V178" s="815"/>
      <c r="W178" s="814"/>
      <c r="X178" s="815"/>
      <c r="Y178" s="814"/>
      <c r="Z178" s="1740"/>
      <c r="AE178" s="2461"/>
      <c r="AF178" s="68"/>
    </row>
    <row r="179" spans="1:32" x14ac:dyDescent="0.35">
      <c r="A179" s="1576"/>
      <c r="B179" s="1574">
        <v>11590</v>
      </c>
      <c r="C179" s="1574"/>
      <c r="D179" s="1577"/>
      <c r="E179" s="1192" t="s">
        <v>1173</v>
      </c>
      <c r="F179" s="811" t="s">
        <v>1490</v>
      </c>
      <c r="G179" s="812">
        <v>5</v>
      </c>
      <c r="H179" s="812">
        <v>6</v>
      </c>
      <c r="I179" s="813"/>
      <c r="J179" s="813"/>
      <c r="K179" s="813"/>
      <c r="L179" s="813"/>
      <c r="M179" s="1191"/>
      <c r="N179" s="813"/>
      <c r="O179" s="819"/>
      <c r="P179" s="813"/>
      <c r="Q179" s="1187"/>
      <c r="R179" s="1183">
        <v>1.4</v>
      </c>
      <c r="S179" s="814"/>
      <c r="T179" s="815"/>
      <c r="U179" s="815"/>
      <c r="V179" s="815"/>
      <c r="W179" s="814"/>
      <c r="X179" s="815"/>
      <c r="Y179" s="814"/>
      <c r="Z179" s="1740"/>
      <c r="AE179" s="2461"/>
      <c r="AF179" s="68"/>
    </row>
    <row r="180" spans="1:32" ht="30" x14ac:dyDescent="0.35">
      <c r="A180" s="441">
        <v>88</v>
      </c>
      <c r="B180" s="1574">
        <v>11590</v>
      </c>
      <c r="C180" s="358" t="s">
        <v>1656</v>
      </c>
      <c r="D180" s="2473" t="s">
        <v>6615</v>
      </c>
      <c r="E180" s="817" t="s">
        <v>9110</v>
      </c>
      <c r="F180" s="811" t="s">
        <v>664</v>
      </c>
      <c r="G180" s="812">
        <v>5</v>
      </c>
      <c r="H180" s="812">
        <v>6</v>
      </c>
      <c r="I180" s="808">
        <f>J180+K180+L180</f>
        <v>0.5</v>
      </c>
      <c r="J180" s="808">
        <f>SUM(M180:R180)</f>
        <v>0.5</v>
      </c>
      <c r="K180" s="813"/>
      <c r="L180" s="813"/>
      <c r="M180" s="1191"/>
      <c r="N180" s="813"/>
      <c r="O180" s="819"/>
      <c r="P180" s="813"/>
      <c r="Q180" s="1187"/>
      <c r="R180" s="2399">
        <v>0.5</v>
      </c>
      <c r="S180" s="814"/>
      <c r="T180" s="815"/>
      <c r="U180" s="815"/>
      <c r="V180" s="815"/>
      <c r="W180" s="814"/>
      <c r="X180" s="815"/>
      <c r="Y180" s="814"/>
      <c r="Z180" s="1740"/>
      <c r="AB180" s="176">
        <v>1</v>
      </c>
      <c r="AE180" s="2461"/>
      <c r="AF180" s="68"/>
    </row>
    <row r="181" spans="1:32" ht="30" x14ac:dyDescent="0.35">
      <c r="A181" s="1573">
        <v>89</v>
      </c>
      <c r="B181" s="1574">
        <v>11591</v>
      </c>
      <c r="C181" s="1574"/>
      <c r="D181" s="1575" t="s">
        <v>1725</v>
      </c>
      <c r="E181" s="807" t="s">
        <v>7211</v>
      </c>
      <c r="F181" s="811"/>
      <c r="G181" s="812" t="s">
        <v>191</v>
      </c>
      <c r="H181" s="812" t="s">
        <v>191</v>
      </c>
      <c r="I181" s="808">
        <f>J181+K181+L181</f>
        <v>12.8</v>
      </c>
      <c r="J181" s="808">
        <f>SUM(M181:R181)</f>
        <v>12.516999999999999</v>
      </c>
      <c r="K181" s="808"/>
      <c r="L181" s="808">
        <f>SUM(L182:L185)</f>
        <v>0.28300000000000036</v>
      </c>
      <c r="M181" s="1190"/>
      <c r="N181" s="808">
        <f>SUM(N182:N185)</f>
        <v>7.5429999999999993</v>
      </c>
      <c r="O181" s="820"/>
      <c r="P181" s="808"/>
      <c r="Q181" s="1186">
        <f>SUM(Q182:Q185)</f>
        <v>4.9740000000000011</v>
      </c>
      <c r="R181" s="1182"/>
      <c r="S181" s="809"/>
      <c r="T181" s="810"/>
      <c r="U181" s="810"/>
      <c r="V181" s="810"/>
      <c r="W181" s="809">
        <v>28</v>
      </c>
      <c r="X181" s="810">
        <v>378.2</v>
      </c>
      <c r="Y181" s="809">
        <v>11</v>
      </c>
      <c r="Z181" s="1739">
        <v>129.30000000000001</v>
      </c>
      <c r="AB181" s="176">
        <v>1</v>
      </c>
      <c r="AE181" s="2461"/>
      <c r="AF181" s="68"/>
    </row>
    <row r="182" spans="1:32" x14ac:dyDescent="0.35">
      <c r="A182" s="1576"/>
      <c r="B182" s="1574">
        <v>11591</v>
      </c>
      <c r="C182" s="1574"/>
      <c r="D182" s="1577"/>
      <c r="E182" s="816" t="s">
        <v>1108</v>
      </c>
      <c r="F182" s="811">
        <v>4</v>
      </c>
      <c r="G182" s="812">
        <v>4</v>
      </c>
      <c r="H182" s="812">
        <v>6</v>
      </c>
      <c r="I182" s="813"/>
      <c r="J182" s="813"/>
      <c r="K182" s="813"/>
      <c r="L182" s="813"/>
      <c r="M182" s="1191"/>
      <c r="N182" s="813">
        <v>5.7489999999999997</v>
      </c>
      <c r="O182" s="819"/>
      <c r="P182" s="813"/>
      <c r="Q182" s="1187"/>
      <c r="R182" s="1183"/>
      <c r="S182" s="814"/>
      <c r="T182" s="815"/>
      <c r="U182" s="815"/>
      <c r="V182" s="815"/>
      <c r="W182" s="814"/>
      <c r="X182" s="815"/>
      <c r="Y182" s="814"/>
      <c r="Z182" s="1740"/>
      <c r="AA182" s="176" t="s">
        <v>2782</v>
      </c>
      <c r="AE182" s="2461"/>
      <c r="AF182" s="68"/>
    </row>
    <row r="183" spans="1:32" ht="46.5" x14ac:dyDescent="0.35">
      <c r="A183" s="1576"/>
      <c r="B183" s="1574">
        <v>11591</v>
      </c>
      <c r="C183" s="1574"/>
      <c r="D183" s="1577"/>
      <c r="E183" s="816" t="s">
        <v>9491</v>
      </c>
      <c r="F183" s="811">
        <v>4</v>
      </c>
      <c r="G183" s="812">
        <v>4</v>
      </c>
      <c r="H183" s="812" t="s">
        <v>191</v>
      </c>
      <c r="I183" s="813"/>
      <c r="J183" s="813"/>
      <c r="K183" s="813"/>
      <c r="L183" s="813">
        <f>6.032-5.749</f>
        <v>0.28300000000000036</v>
      </c>
      <c r="M183" s="1191"/>
      <c r="N183" s="813"/>
      <c r="O183" s="819"/>
      <c r="P183" s="813"/>
      <c r="Q183" s="1187"/>
      <c r="R183" s="1183"/>
      <c r="S183" s="814"/>
      <c r="T183" s="815"/>
      <c r="U183" s="815"/>
      <c r="V183" s="815"/>
      <c r="W183" s="814"/>
      <c r="X183" s="815"/>
      <c r="Y183" s="814"/>
      <c r="Z183" s="1740"/>
      <c r="AE183" s="2461"/>
      <c r="AF183" s="68"/>
    </row>
    <row r="184" spans="1:32" x14ac:dyDescent="0.35">
      <c r="A184" s="1576"/>
      <c r="B184" s="1574">
        <v>11591</v>
      </c>
      <c r="C184" s="1574"/>
      <c r="D184" s="1577"/>
      <c r="E184" s="816" t="s">
        <v>294</v>
      </c>
      <c r="F184" s="811">
        <v>4</v>
      </c>
      <c r="G184" s="812">
        <v>4</v>
      </c>
      <c r="H184" s="812">
        <v>6</v>
      </c>
      <c r="I184" s="813"/>
      <c r="J184" s="813"/>
      <c r="K184" s="813"/>
      <c r="L184" s="813"/>
      <c r="M184" s="1191"/>
      <c r="N184" s="813">
        <f>7.826-6.032</f>
        <v>1.7939999999999996</v>
      </c>
      <c r="O184" s="819"/>
      <c r="P184" s="813"/>
      <c r="Q184" s="1187"/>
      <c r="R184" s="1183"/>
      <c r="S184" s="814"/>
      <c r="T184" s="815"/>
      <c r="U184" s="815"/>
      <c r="V184" s="815"/>
      <c r="W184" s="814"/>
      <c r="X184" s="815"/>
      <c r="Y184" s="814"/>
      <c r="Z184" s="1740"/>
      <c r="AE184" s="2461"/>
      <c r="AF184" s="68"/>
    </row>
    <row r="185" spans="1:32" x14ac:dyDescent="0.35">
      <c r="A185" s="1576"/>
      <c r="B185" s="1574">
        <v>11591</v>
      </c>
      <c r="C185" s="1574"/>
      <c r="D185" s="1577"/>
      <c r="E185" s="1195" t="s">
        <v>295</v>
      </c>
      <c r="F185" s="811">
        <v>4</v>
      </c>
      <c r="G185" s="812">
        <v>4</v>
      </c>
      <c r="H185" s="812">
        <v>6</v>
      </c>
      <c r="I185" s="813"/>
      <c r="J185" s="813"/>
      <c r="K185" s="813"/>
      <c r="L185" s="813"/>
      <c r="M185" s="1191"/>
      <c r="N185" s="813"/>
      <c r="O185" s="819"/>
      <c r="P185" s="813"/>
      <c r="Q185" s="1187">
        <f>12.8-7.826</f>
        <v>4.9740000000000011</v>
      </c>
      <c r="R185" s="1183"/>
      <c r="S185" s="814"/>
      <c r="T185" s="815"/>
      <c r="U185" s="815"/>
      <c r="V185" s="815"/>
      <c r="W185" s="814"/>
      <c r="X185" s="815"/>
      <c r="Y185" s="814"/>
      <c r="Z185" s="1740"/>
      <c r="AE185" s="2461"/>
      <c r="AF185" s="68"/>
    </row>
    <row r="186" spans="1:32" ht="45" x14ac:dyDescent="0.35">
      <c r="A186" s="1573">
        <v>90</v>
      </c>
      <c r="B186" s="1574">
        <v>11591</v>
      </c>
      <c r="C186" s="1574"/>
      <c r="D186" s="2473" t="s">
        <v>6616</v>
      </c>
      <c r="E186" s="817" t="s">
        <v>8079</v>
      </c>
      <c r="F186" s="811" t="s">
        <v>1490</v>
      </c>
      <c r="G186" s="812">
        <v>5</v>
      </c>
      <c r="H186" s="812">
        <v>6</v>
      </c>
      <c r="I186" s="808">
        <f>J186+K186+L186</f>
        <v>1.5</v>
      </c>
      <c r="J186" s="808">
        <f>SUM(M186:R186)</f>
        <v>1.5</v>
      </c>
      <c r="K186" s="808"/>
      <c r="L186" s="808"/>
      <c r="M186" s="1190"/>
      <c r="N186" s="808"/>
      <c r="O186" s="820"/>
      <c r="P186" s="808"/>
      <c r="Q186" s="1186"/>
      <c r="R186" s="1182">
        <v>1.5</v>
      </c>
      <c r="S186" s="809"/>
      <c r="T186" s="810"/>
      <c r="U186" s="810"/>
      <c r="V186" s="810"/>
      <c r="W186" s="809"/>
      <c r="X186" s="810"/>
      <c r="Y186" s="809"/>
      <c r="Z186" s="1739"/>
      <c r="AB186" s="176">
        <v>1</v>
      </c>
      <c r="AE186" s="2461"/>
      <c r="AF186" s="68"/>
    </row>
    <row r="187" spans="1:32" ht="90" x14ac:dyDescent="0.35">
      <c r="A187" s="1573">
        <v>91</v>
      </c>
      <c r="B187" s="1574">
        <v>11592</v>
      </c>
      <c r="C187" s="1574"/>
      <c r="D187" s="1575" t="s">
        <v>1726</v>
      </c>
      <c r="E187" s="807" t="s">
        <v>10337</v>
      </c>
      <c r="F187" s="811"/>
      <c r="G187" s="812" t="s">
        <v>191</v>
      </c>
      <c r="H187" s="812" t="s">
        <v>191</v>
      </c>
      <c r="I187" s="808">
        <f>J187+K187+L187</f>
        <v>4.6740000000000004</v>
      </c>
      <c r="J187" s="808">
        <f>SUM(M187:R187)</f>
        <v>4.6740000000000004</v>
      </c>
      <c r="K187" s="808"/>
      <c r="L187" s="808"/>
      <c r="M187" s="1190"/>
      <c r="N187" s="808">
        <f>SUM(N188:N189)</f>
        <v>1.0449999999999999</v>
      </c>
      <c r="O187" s="820"/>
      <c r="P187" s="808"/>
      <c r="Q187" s="1186">
        <f>SUM(Q188:Q189)</f>
        <v>3.6290000000000004</v>
      </c>
      <c r="R187" s="1182"/>
      <c r="S187" s="809"/>
      <c r="T187" s="810"/>
      <c r="U187" s="810"/>
      <c r="V187" s="810"/>
      <c r="W187" s="809">
        <v>7</v>
      </c>
      <c r="X187" s="810">
        <v>77.290000000000006</v>
      </c>
      <c r="Y187" s="809"/>
      <c r="Z187" s="1739"/>
      <c r="AB187" s="176">
        <v>1</v>
      </c>
      <c r="AE187" s="2461"/>
      <c r="AF187" s="68"/>
    </row>
    <row r="188" spans="1:32" x14ac:dyDescent="0.35">
      <c r="A188" s="1576"/>
      <c r="B188" s="1574">
        <v>11592</v>
      </c>
      <c r="C188" s="1574"/>
      <c r="D188" s="1577"/>
      <c r="E188" s="816" t="s">
        <v>3488</v>
      </c>
      <c r="F188" s="811">
        <v>4</v>
      </c>
      <c r="G188" s="812">
        <v>5</v>
      </c>
      <c r="H188" s="812">
        <v>6</v>
      </c>
      <c r="I188" s="813"/>
      <c r="J188" s="813"/>
      <c r="K188" s="813"/>
      <c r="L188" s="813"/>
      <c r="M188" s="1191"/>
      <c r="N188" s="813">
        <v>1.0449999999999999</v>
      </c>
      <c r="O188" s="819"/>
      <c r="P188" s="813"/>
      <c r="Q188" s="1187"/>
      <c r="R188" s="1183"/>
      <c r="S188" s="814"/>
      <c r="T188" s="815"/>
      <c r="U188" s="815"/>
      <c r="V188" s="815"/>
      <c r="W188" s="814"/>
      <c r="X188" s="815"/>
      <c r="Y188" s="814"/>
      <c r="Z188" s="1740"/>
      <c r="AE188" s="2461"/>
      <c r="AF188" s="68"/>
    </row>
    <row r="189" spans="1:32" x14ac:dyDescent="0.35">
      <c r="A189" s="1576"/>
      <c r="B189" s="1574">
        <v>11592</v>
      </c>
      <c r="C189" s="1574"/>
      <c r="D189" s="1577"/>
      <c r="E189" s="1195" t="s">
        <v>3489</v>
      </c>
      <c r="F189" s="811" t="s">
        <v>827</v>
      </c>
      <c r="G189" s="812">
        <v>5</v>
      </c>
      <c r="H189" s="812">
        <v>6</v>
      </c>
      <c r="I189" s="813"/>
      <c r="J189" s="813"/>
      <c r="K189" s="813"/>
      <c r="L189" s="813"/>
      <c r="M189" s="1191"/>
      <c r="N189" s="813"/>
      <c r="O189" s="819"/>
      <c r="P189" s="813"/>
      <c r="Q189" s="1187">
        <f>4.674-1.045</f>
        <v>3.6290000000000004</v>
      </c>
      <c r="R189" s="1183"/>
      <c r="S189" s="814"/>
      <c r="T189" s="815"/>
      <c r="U189" s="815"/>
      <c r="V189" s="815"/>
      <c r="W189" s="814"/>
      <c r="X189" s="815"/>
      <c r="Y189" s="814"/>
      <c r="Z189" s="1740"/>
      <c r="AE189" s="2461"/>
      <c r="AF189" s="68"/>
    </row>
    <row r="190" spans="1:32" ht="120" x14ac:dyDescent="0.35">
      <c r="A190" s="441">
        <v>92</v>
      </c>
      <c r="B190" s="1574">
        <v>11592</v>
      </c>
      <c r="C190" s="1024" t="s">
        <v>1656</v>
      </c>
      <c r="D190" s="2473" t="s">
        <v>6617</v>
      </c>
      <c r="E190" s="807" t="s">
        <v>10338</v>
      </c>
      <c r="F190" s="811" t="s">
        <v>664</v>
      </c>
      <c r="G190" s="812">
        <v>5</v>
      </c>
      <c r="H190" s="812">
        <v>6</v>
      </c>
      <c r="I190" s="808">
        <f>J190+K190+L190</f>
        <v>0.35</v>
      </c>
      <c r="J190" s="808">
        <f>SUM(M190:R190)</f>
        <v>0.35</v>
      </c>
      <c r="K190" s="813"/>
      <c r="L190" s="813"/>
      <c r="M190" s="1191"/>
      <c r="N190" s="813"/>
      <c r="O190" s="819"/>
      <c r="P190" s="813"/>
      <c r="Q190" s="1187"/>
      <c r="R190" s="1182">
        <v>0.35</v>
      </c>
      <c r="S190" s="814"/>
      <c r="T190" s="815"/>
      <c r="U190" s="815"/>
      <c r="V190" s="815"/>
      <c r="W190" s="814"/>
      <c r="X190" s="815"/>
      <c r="Y190" s="814"/>
      <c r="Z190" s="1740"/>
      <c r="AB190" s="176">
        <v>1</v>
      </c>
      <c r="AE190" s="2461"/>
      <c r="AF190" s="68"/>
    </row>
    <row r="191" spans="1:32" ht="60" x14ac:dyDescent="0.35">
      <c r="A191" s="1573">
        <v>93</v>
      </c>
      <c r="B191" s="1574">
        <v>11593</v>
      </c>
      <c r="C191" s="1574"/>
      <c r="D191" s="1575" t="s">
        <v>3342</v>
      </c>
      <c r="E191" s="807" t="s">
        <v>10339</v>
      </c>
      <c r="F191" s="811"/>
      <c r="G191" s="812" t="s">
        <v>191</v>
      </c>
      <c r="H191" s="812" t="s">
        <v>191</v>
      </c>
      <c r="I191" s="808">
        <f>J191+K191+L191</f>
        <v>9.9320000000000004</v>
      </c>
      <c r="J191" s="808">
        <f>SUM(M191:R191)</f>
        <v>9.9320000000000004</v>
      </c>
      <c r="K191" s="808"/>
      <c r="L191" s="808"/>
      <c r="M191" s="1190"/>
      <c r="N191" s="808">
        <f>SUM(N192:N193)</f>
        <v>5.8</v>
      </c>
      <c r="O191" s="820"/>
      <c r="P191" s="808"/>
      <c r="Q191" s="1186">
        <f>SUM(Q192:Q193)</f>
        <v>4.1320000000000006</v>
      </c>
      <c r="R191" s="1182"/>
      <c r="S191" s="809"/>
      <c r="T191" s="810"/>
      <c r="U191" s="810"/>
      <c r="V191" s="810"/>
      <c r="W191" s="809">
        <v>18</v>
      </c>
      <c r="X191" s="810">
        <v>260.95999999999998</v>
      </c>
      <c r="Y191" s="809">
        <v>5</v>
      </c>
      <c r="Z191" s="1739">
        <v>57</v>
      </c>
      <c r="AB191" s="176">
        <v>1</v>
      </c>
      <c r="AE191" s="2461"/>
      <c r="AF191" s="68"/>
    </row>
    <row r="192" spans="1:32" x14ac:dyDescent="0.35">
      <c r="A192" s="1576"/>
      <c r="B192" s="1574">
        <v>11593</v>
      </c>
      <c r="C192" s="1574"/>
      <c r="D192" s="1577"/>
      <c r="E192" s="816" t="s">
        <v>10885</v>
      </c>
      <c r="F192" s="811">
        <v>4</v>
      </c>
      <c r="G192" s="812">
        <v>5</v>
      </c>
      <c r="H192" s="812">
        <v>6</v>
      </c>
      <c r="I192" s="813"/>
      <c r="J192" s="813"/>
      <c r="K192" s="813"/>
      <c r="L192" s="813"/>
      <c r="M192" s="1191"/>
      <c r="N192" s="813">
        <v>5.8</v>
      </c>
      <c r="O192" s="819"/>
      <c r="P192" s="813"/>
      <c r="Q192" s="1187"/>
      <c r="R192" s="1183"/>
      <c r="S192" s="814"/>
      <c r="T192" s="815"/>
      <c r="U192" s="815"/>
      <c r="V192" s="815"/>
      <c r="W192" s="814"/>
      <c r="X192" s="815"/>
      <c r="Y192" s="814"/>
      <c r="Z192" s="1740"/>
      <c r="AE192" s="2461"/>
      <c r="AF192" s="68"/>
    </row>
    <row r="193" spans="1:32" x14ac:dyDescent="0.35">
      <c r="A193" s="1576"/>
      <c r="B193" s="1574">
        <v>11593</v>
      </c>
      <c r="C193" s="1574"/>
      <c r="D193" s="1577"/>
      <c r="E193" s="1195" t="s">
        <v>10381</v>
      </c>
      <c r="F193" s="811">
        <v>5</v>
      </c>
      <c r="G193" s="812">
        <v>5</v>
      </c>
      <c r="H193" s="812">
        <v>6</v>
      </c>
      <c r="I193" s="813"/>
      <c r="J193" s="813"/>
      <c r="K193" s="813"/>
      <c r="L193" s="813"/>
      <c r="M193" s="1191"/>
      <c r="N193" s="813"/>
      <c r="O193" s="819"/>
      <c r="P193" s="813"/>
      <c r="Q193" s="1187">
        <f>9.932-5.8</f>
        <v>4.1320000000000006</v>
      </c>
      <c r="R193" s="1183"/>
      <c r="S193" s="814"/>
      <c r="T193" s="815"/>
      <c r="U193" s="815"/>
      <c r="V193" s="815"/>
      <c r="W193" s="814"/>
      <c r="X193" s="815"/>
      <c r="Y193" s="814"/>
      <c r="Z193" s="1740"/>
      <c r="AE193" s="2461"/>
      <c r="AF193" s="68"/>
    </row>
    <row r="194" spans="1:32" ht="75" x14ac:dyDescent="0.35">
      <c r="A194" s="1573">
        <v>94</v>
      </c>
      <c r="B194" s="1574">
        <v>11593</v>
      </c>
      <c r="C194" s="1574"/>
      <c r="D194" s="2473" t="s">
        <v>6618</v>
      </c>
      <c r="E194" s="817" t="s">
        <v>10340</v>
      </c>
      <c r="F194" s="811" t="s">
        <v>664</v>
      </c>
      <c r="G194" s="812">
        <v>5</v>
      </c>
      <c r="H194" s="812">
        <v>6</v>
      </c>
      <c r="I194" s="808">
        <f t="shared" ref="I194:I201" si="18">J194+K194+L194</f>
        <v>4.9000000000000004</v>
      </c>
      <c r="J194" s="808">
        <f t="shared" ref="J194:J199" si="19">SUM(M194:R194)</f>
        <v>4.9000000000000004</v>
      </c>
      <c r="K194" s="808"/>
      <c r="L194" s="808"/>
      <c r="M194" s="1190"/>
      <c r="N194" s="808"/>
      <c r="O194" s="820"/>
      <c r="P194" s="808"/>
      <c r="Q194" s="1186"/>
      <c r="R194" s="1182">
        <v>4.9000000000000004</v>
      </c>
      <c r="S194" s="809"/>
      <c r="T194" s="810"/>
      <c r="U194" s="810"/>
      <c r="V194" s="810"/>
      <c r="W194" s="809"/>
      <c r="X194" s="810"/>
      <c r="Y194" s="809"/>
      <c r="Z194" s="1739"/>
      <c r="AB194" s="176">
        <v>1</v>
      </c>
      <c r="AE194" s="2461"/>
      <c r="AF194" s="68"/>
    </row>
    <row r="195" spans="1:32" ht="90" x14ac:dyDescent="0.35">
      <c r="A195" s="441">
        <v>95</v>
      </c>
      <c r="B195" s="1574">
        <v>11593</v>
      </c>
      <c r="C195" s="358" t="s">
        <v>1656</v>
      </c>
      <c r="D195" s="2473" t="s">
        <v>6619</v>
      </c>
      <c r="E195" s="807" t="s">
        <v>10341</v>
      </c>
      <c r="F195" s="811" t="s">
        <v>664</v>
      </c>
      <c r="G195" s="812">
        <v>5</v>
      </c>
      <c r="H195" s="812">
        <v>6</v>
      </c>
      <c r="I195" s="808">
        <f t="shared" si="18"/>
        <v>0.7</v>
      </c>
      <c r="J195" s="808">
        <f t="shared" si="19"/>
        <v>0.7</v>
      </c>
      <c r="K195" s="808"/>
      <c r="L195" s="808"/>
      <c r="M195" s="1190"/>
      <c r="N195" s="808"/>
      <c r="O195" s="820"/>
      <c r="P195" s="808"/>
      <c r="Q195" s="1186"/>
      <c r="R195" s="1182">
        <v>0.7</v>
      </c>
      <c r="S195" s="809"/>
      <c r="T195" s="810"/>
      <c r="U195" s="810"/>
      <c r="V195" s="810"/>
      <c r="W195" s="809"/>
      <c r="X195" s="810"/>
      <c r="Y195" s="809"/>
      <c r="Z195" s="1739"/>
      <c r="AB195" s="176">
        <v>1</v>
      </c>
      <c r="AE195" s="2461"/>
      <c r="AF195" s="68"/>
    </row>
    <row r="196" spans="1:32" ht="75" x14ac:dyDescent="0.35">
      <c r="A196" s="1573">
        <v>96</v>
      </c>
      <c r="B196" s="1574">
        <v>11593</v>
      </c>
      <c r="C196" s="1574"/>
      <c r="D196" s="2473" t="s">
        <v>6620</v>
      </c>
      <c r="E196" s="821" t="s">
        <v>10342</v>
      </c>
      <c r="F196" s="811" t="s">
        <v>1490</v>
      </c>
      <c r="G196" s="812">
        <v>5</v>
      </c>
      <c r="H196" s="812">
        <v>6</v>
      </c>
      <c r="I196" s="808">
        <f t="shared" si="18"/>
        <v>0.8</v>
      </c>
      <c r="J196" s="808">
        <f t="shared" si="19"/>
        <v>0.8</v>
      </c>
      <c r="K196" s="808"/>
      <c r="L196" s="808"/>
      <c r="M196" s="1190"/>
      <c r="N196" s="808"/>
      <c r="O196" s="820"/>
      <c r="P196" s="808"/>
      <c r="Q196" s="1186"/>
      <c r="R196" s="1182">
        <v>0.8</v>
      </c>
      <c r="S196" s="809"/>
      <c r="T196" s="810"/>
      <c r="U196" s="810"/>
      <c r="V196" s="810"/>
      <c r="W196" s="809"/>
      <c r="X196" s="810"/>
      <c r="Y196" s="809"/>
      <c r="Z196" s="1739"/>
      <c r="AB196" s="176">
        <v>1</v>
      </c>
      <c r="AE196" s="2461"/>
      <c r="AF196" s="68"/>
    </row>
    <row r="197" spans="1:32" ht="90" x14ac:dyDescent="0.35">
      <c r="A197" s="441">
        <v>97</v>
      </c>
      <c r="B197" s="1574">
        <v>11593</v>
      </c>
      <c r="C197" s="358" t="s">
        <v>1656</v>
      </c>
      <c r="D197" s="2473" t="s">
        <v>6621</v>
      </c>
      <c r="E197" s="817" t="s">
        <v>10343</v>
      </c>
      <c r="F197" s="811" t="s">
        <v>664</v>
      </c>
      <c r="G197" s="812">
        <v>5</v>
      </c>
      <c r="H197" s="812">
        <v>6</v>
      </c>
      <c r="I197" s="808">
        <f t="shared" si="18"/>
        <v>0.76</v>
      </c>
      <c r="J197" s="808">
        <f t="shared" si="19"/>
        <v>0.76</v>
      </c>
      <c r="K197" s="808"/>
      <c r="L197" s="808"/>
      <c r="M197" s="1190"/>
      <c r="N197" s="808"/>
      <c r="O197" s="820"/>
      <c r="P197" s="808"/>
      <c r="Q197" s="1186"/>
      <c r="R197" s="1182">
        <v>0.76</v>
      </c>
      <c r="S197" s="809"/>
      <c r="T197" s="810"/>
      <c r="U197" s="810"/>
      <c r="V197" s="810"/>
      <c r="W197" s="809"/>
      <c r="X197" s="810"/>
      <c r="Y197" s="809"/>
      <c r="Z197" s="1739"/>
      <c r="AB197" s="176">
        <v>1</v>
      </c>
      <c r="AE197" s="2461"/>
      <c r="AF197" s="68"/>
    </row>
    <row r="198" spans="1:32" ht="75" x14ac:dyDescent="0.35">
      <c r="A198" s="1573">
        <v>98</v>
      </c>
      <c r="B198" s="1574">
        <v>11593</v>
      </c>
      <c r="C198" s="358" t="s">
        <v>1656</v>
      </c>
      <c r="D198" s="2473" t="s">
        <v>6622</v>
      </c>
      <c r="E198" s="817" t="s">
        <v>10344</v>
      </c>
      <c r="F198" s="811" t="s">
        <v>664</v>
      </c>
      <c r="G198" s="812">
        <v>5</v>
      </c>
      <c r="H198" s="812">
        <v>6</v>
      </c>
      <c r="I198" s="808">
        <f t="shared" si="18"/>
        <v>1.1000000000000001</v>
      </c>
      <c r="J198" s="808">
        <f t="shared" si="19"/>
        <v>1.1000000000000001</v>
      </c>
      <c r="K198" s="808"/>
      <c r="L198" s="808"/>
      <c r="M198" s="1190"/>
      <c r="N198" s="808">
        <v>1.1000000000000001</v>
      </c>
      <c r="O198" s="820"/>
      <c r="P198" s="808"/>
      <c r="Q198" s="1186"/>
      <c r="R198" s="1182"/>
      <c r="S198" s="809"/>
      <c r="T198" s="810"/>
      <c r="U198" s="810"/>
      <c r="V198" s="810"/>
      <c r="W198" s="809"/>
      <c r="X198" s="810"/>
      <c r="Y198" s="809"/>
      <c r="Z198" s="1739"/>
      <c r="AB198" s="176">
        <v>1</v>
      </c>
      <c r="AE198" s="2461"/>
      <c r="AF198" s="68"/>
    </row>
    <row r="199" spans="1:32" ht="75" x14ac:dyDescent="0.35">
      <c r="A199" s="1573">
        <v>99</v>
      </c>
      <c r="B199" s="1574">
        <v>11593</v>
      </c>
      <c r="C199" s="358" t="s">
        <v>1656</v>
      </c>
      <c r="D199" s="2473" t="s">
        <v>6623</v>
      </c>
      <c r="E199" s="817" t="s">
        <v>10345</v>
      </c>
      <c r="F199" s="811" t="s">
        <v>664</v>
      </c>
      <c r="G199" s="812">
        <v>5</v>
      </c>
      <c r="H199" s="812">
        <v>6</v>
      </c>
      <c r="I199" s="808">
        <f t="shared" si="18"/>
        <v>1.5</v>
      </c>
      <c r="J199" s="808">
        <f t="shared" si="19"/>
        <v>1.5</v>
      </c>
      <c r="K199" s="808"/>
      <c r="L199" s="808"/>
      <c r="M199" s="1190"/>
      <c r="N199" s="808"/>
      <c r="O199" s="820"/>
      <c r="P199" s="808"/>
      <c r="Q199" s="1186"/>
      <c r="R199" s="1182">
        <v>1.5</v>
      </c>
      <c r="S199" s="809"/>
      <c r="T199" s="810"/>
      <c r="U199" s="810"/>
      <c r="V199" s="810"/>
      <c r="W199" s="809"/>
      <c r="X199" s="810"/>
      <c r="Y199" s="809"/>
      <c r="Z199" s="1739"/>
      <c r="AB199" s="176">
        <v>1</v>
      </c>
      <c r="AE199" s="2461"/>
      <c r="AF199" s="68"/>
    </row>
    <row r="200" spans="1:32" ht="75" x14ac:dyDescent="0.35">
      <c r="A200" s="441">
        <v>100</v>
      </c>
      <c r="B200" s="1052">
        <v>11593</v>
      </c>
      <c r="C200" s="1052" t="s">
        <v>1656</v>
      </c>
      <c r="D200" s="2473" t="s">
        <v>6624</v>
      </c>
      <c r="E200" s="2187" t="s">
        <v>10346</v>
      </c>
      <c r="F200" s="811" t="s">
        <v>827</v>
      </c>
      <c r="G200" s="93">
        <v>5</v>
      </c>
      <c r="H200" s="812">
        <v>6</v>
      </c>
      <c r="I200" s="2157">
        <f t="shared" si="18"/>
        <v>0.8</v>
      </c>
      <c r="J200" s="2157">
        <f>M200+N200+O200+P200+Q200+R200</f>
        <v>0.8</v>
      </c>
      <c r="K200" s="490"/>
      <c r="L200" s="490"/>
      <c r="M200" s="490"/>
      <c r="N200" s="490"/>
      <c r="O200" s="490"/>
      <c r="P200" s="490"/>
      <c r="Q200" s="2182"/>
      <c r="R200" s="906">
        <v>0.8</v>
      </c>
      <c r="S200" s="101"/>
      <c r="T200" s="101"/>
      <c r="U200" s="101"/>
      <c r="V200" s="101"/>
      <c r="W200" s="1969"/>
      <c r="X200" s="1969"/>
      <c r="Y200" s="1969"/>
      <c r="Z200" s="2186"/>
      <c r="AB200" s="176">
        <v>1</v>
      </c>
      <c r="AE200" s="2461"/>
      <c r="AF200" s="68"/>
    </row>
    <row r="201" spans="1:32" ht="45" x14ac:dyDescent="0.35">
      <c r="A201" s="1573">
        <v>101</v>
      </c>
      <c r="B201" s="1574">
        <v>11594</v>
      </c>
      <c r="C201" s="1574"/>
      <c r="D201" s="1575" t="s">
        <v>3267</v>
      </c>
      <c r="E201" s="807" t="s">
        <v>10347</v>
      </c>
      <c r="F201" s="811"/>
      <c r="G201" s="812" t="s">
        <v>191</v>
      </c>
      <c r="H201" s="812" t="s">
        <v>191</v>
      </c>
      <c r="I201" s="808">
        <f t="shared" si="18"/>
        <v>7.5529999999999999</v>
      </c>
      <c r="J201" s="808">
        <f>SUM(M201:R201)</f>
        <v>7.5529999999999999</v>
      </c>
      <c r="K201" s="808"/>
      <c r="L201" s="808"/>
      <c r="M201" s="1190"/>
      <c r="N201" s="808">
        <f>SUM(N202:N203)</f>
        <v>3.157</v>
      </c>
      <c r="O201" s="820"/>
      <c r="P201" s="808"/>
      <c r="Q201" s="1186">
        <f>SUM(Q202:Q203)</f>
        <v>4.3959999999999999</v>
      </c>
      <c r="R201" s="1182"/>
      <c r="S201" s="809">
        <v>1</v>
      </c>
      <c r="T201" s="810">
        <v>45.900001525878906</v>
      </c>
      <c r="U201" s="810"/>
      <c r="V201" s="810"/>
      <c r="W201" s="809">
        <v>22</v>
      </c>
      <c r="X201" s="810">
        <v>271.81</v>
      </c>
      <c r="Y201" s="809">
        <v>14</v>
      </c>
      <c r="Z201" s="1739">
        <v>144</v>
      </c>
      <c r="AB201" s="176">
        <v>1</v>
      </c>
      <c r="AE201" s="2461"/>
      <c r="AF201" s="68"/>
    </row>
    <row r="202" spans="1:32" x14ac:dyDescent="0.35">
      <c r="A202" s="1576"/>
      <c r="B202" s="1574">
        <v>11594</v>
      </c>
      <c r="C202" s="1574"/>
      <c r="D202" s="1577"/>
      <c r="E202" s="816" t="s">
        <v>296</v>
      </c>
      <c r="F202" s="811">
        <v>4</v>
      </c>
      <c r="G202" s="812">
        <v>4</v>
      </c>
      <c r="H202" s="812">
        <v>6</v>
      </c>
      <c r="I202" s="813"/>
      <c r="J202" s="813"/>
      <c r="K202" s="813"/>
      <c r="L202" s="813"/>
      <c r="M202" s="1191"/>
      <c r="N202" s="813">
        <v>3.157</v>
      </c>
      <c r="O202" s="819"/>
      <c r="P202" s="813"/>
      <c r="Q202" s="1187"/>
      <c r="R202" s="1183"/>
      <c r="S202" s="814"/>
      <c r="T202" s="815"/>
      <c r="U202" s="815"/>
      <c r="V202" s="815"/>
      <c r="W202" s="814"/>
      <c r="X202" s="815"/>
      <c r="Y202" s="814"/>
      <c r="Z202" s="1740"/>
      <c r="AE202" s="2461"/>
      <c r="AF202" s="68"/>
    </row>
    <row r="203" spans="1:32" x14ac:dyDescent="0.35">
      <c r="A203" s="1576"/>
      <c r="B203" s="1574">
        <v>11594</v>
      </c>
      <c r="C203" s="1574"/>
      <c r="D203" s="1577"/>
      <c r="E203" s="1195" t="s">
        <v>255</v>
      </c>
      <c r="F203" s="811">
        <v>4</v>
      </c>
      <c r="G203" s="812">
        <v>4</v>
      </c>
      <c r="H203" s="812">
        <v>6</v>
      </c>
      <c r="I203" s="813"/>
      <c r="J203" s="813"/>
      <c r="K203" s="813"/>
      <c r="L203" s="813"/>
      <c r="M203" s="1191"/>
      <c r="N203" s="813"/>
      <c r="O203" s="819"/>
      <c r="P203" s="813"/>
      <c r="Q203" s="1187">
        <f>7.553-3.157</f>
        <v>4.3959999999999999</v>
      </c>
      <c r="R203" s="1183"/>
      <c r="S203" s="814"/>
      <c r="T203" s="815"/>
      <c r="U203" s="815"/>
      <c r="V203" s="815"/>
      <c r="W203" s="814"/>
      <c r="X203" s="815"/>
      <c r="Y203" s="814"/>
      <c r="Z203" s="1740"/>
      <c r="AE203" s="2461"/>
      <c r="AF203" s="68"/>
    </row>
    <row r="204" spans="1:32" ht="60" x14ac:dyDescent="0.35">
      <c r="A204" s="1573">
        <v>102</v>
      </c>
      <c r="B204" s="1574">
        <v>11594</v>
      </c>
      <c r="C204" s="1574"/>
      <c r="D204" s="2473" t="s">
        <v>6625</v>
      </c>
      <c r="E204" s="817" t="s">
        <v>10348</v>
      </c>
      <c r="F204" s="811"/>
      <c r="G204" s="812" t="s">
        <v>191</v>
      </c>
      <c r="H204" s="812" t="s">
        <v>191</v>
      </c>
      <c r="I204" s="808">
        <f>J204+K204+L204</f>
        <v>1.9</v>
      </c>
      <c r="J204" s="808">
        <f>SUM(M204:R204)</f>
        <v>1.9</v>
      </c>
      <c r="K204" s="808"/>
      <c r="L204" s="808"/>
      <c r="M204" s="1190"/>
      <c r="N204" s="808"/>
      <c r="O204" s="820"/>
      <c r="P204" s="808"/>
      <c r="Q204" s="1186"/>
      <c r="R204" s="1182">
        <f>SUM(R205:R206)</f>
        <v>1.9</v>
      </c>
      <c r="S204" s="809"/>
      <c r="T204" s="810"/>
      <c r="U204" s="810"/>
      <c r="V204" s="810"/>
      <c r="W204" s="809"/>
      <c r="X204" s="810"/>
      <c r="Y204" s="809"/>
      <c r="Z204" s="1739"/>
      <c r="AB204" s="176">
        <v>1</v>
      </c>
      <c r="AE204" s="2461"/>
      <c r="AF204" s="68"/>
    </row>
    <row r="205" spans="1:32" x14ac:dyDescent="0.35">
      <c r="A205" s="1573"/>
      <c r="B205" s="1574"/>
      <c r="C205" s="1574"/>
      <c r="D205" s="1575"/>
      <c r="E205" s="1192" t="s">
        <v>2771</v>
      </c>
      <c r="F205" s="811" t="s">
        <v>827</v>
      </c>
      <c r="G205" s="812">
        <v>5</v>
      </c>
      <c r="H205" s="812">
        <v>6</v>
      </c>
      <c r="I205" s="808"/>
      <c r="J205" s="808"/>
      <c r="K205" s="808"/>
      <c r="L205" s="808"/>
      <c r="M205" s="1190"/>
      <c r="N205" s="808"/>
      <c r="O205" s="820"/>
      <c r="P205" s="808"/>
      <c r="Q205" s="1186"/>
      <c r="R205" s="1772">
        <v>1.3</v>
      </c>
      <c r="S205" s="809"/>
      <c r="T205" s="810"/>
      <c r="U205" s="810"/>
      <c r="V205" s="810"/>
      <c r="W205" s="809"/>
      <c r="X205" s="810"/>
      <c r="Y205" s="809"/>
      <c r="Z205" s="1739"/>
      <c r="AE205" s="2461"/>
      <c r="AF205" s="68"/>
    </row>
    <row r="206" spans="1:32" x14ac:dyDescent="0.35">
      <c r="A206" s="1573"/>
      <c r="B206" s="1574"/>
      <c r="C206" s="1574"/>
      <c r="D206" s="1575"/>
      <c r="E206" s="1192" t="s">
        <v>2772</v>
      </c>
      <c r="F206" s="811" t="s">
        <v>664</v>
      </c>
      <c r="G206" s="812">
        <v>5</v>
      </c>
      <c r="H206" s="812">
        <v>6</v>
      </c>
      <c r="I206" s="808"/>
      <c r="J206" s="808"/>
      <c r="K206" s="808"/>
      <c r="L206" s="808"/>
      <c r="M206" s="1190"/>
      <c r="N206" s="808"/>
      <c r="O206" s="820"/>
      <c r="P206" s="808"/>
      <c r="Q206" s="1186"/>
      <c r="R206" s="1772">
        <v>0.6</v>
      </c>
      <c r="S206" s="809"/>
      <c r="T206" s="810"/>
      <c r="U206" s="810"/>
      <c r="V206" s="810"/>
      <c r="W206" s="809"/>
      <c r="X206" s="810"/>
      <c r="Y206" s="809"/>
      <c r="Z206" s="1739"/>
      <c r="AE206" s="2461"/>
      <c r="AF206" s="68"/>
    </row>
    <row r="207" spans="1:32" ht="47.25" customHeight="1" x14ac:dyDescent="0.35">
      <c r="A207" s="1573">
        <v>103</v>
      </c>
      <c r="B207" s="1574">
        <v>11595</v>
      </c>
      <c r="C207" s="1574"/>
      <c r="D207" s="1575" t="s">
        <v>3268</v>
      </c>
      <c r="E207" s="1845" t="s">
        <v>10349</v>
      </c>
      <c r="F207" s="811"/>
      <c r="G207" s="812" t="s">
        <v>191</v>
      </c>
      <c r="H207" s="812" t="s">
        <v>191</v>
      </c>
      <c r="I207" s="808">
        <f>J207+K207+L207</f>
        <v>7.96</v>
      </c>
      <c r="J207" s="808">
        <f>SUM(M207:R207)</f>
        <v>6.6829999999999998</v>
      </c>
      <c r="K207" s="808"/>
      <c r="L207" s="808">
        <f>SUM(L208:L212)</f>
        <v>1.2770000000000001</v>
      </c>
      <c r="M207" s="1190"/>
      <c r="N207" s="808">
        <f>SUM(N208:N212)</f>
        <v>4.5449999999999999</v>
      </c>
      <c r="O207" s="820"/>
      <c r="P207" s="808"/>
      <c r="Q207" s="1186">
        <f>SUM(Q208:Q212)</f>
        <v>2.1379999999999999</v>
      </c>
      <c r="R207" s="1182"/>
      <c r="S207" s="809"/>
      <c r="T207" s="810"/>
      <c r="U207" s="810"/>
      <c r="V207" s="810"/>
      <c r="W207" s="809">
        <v>10</v>
      </c>
      <c r="X207" s="810">
        <v>159</v>
      </c>
      <c r="Y207" s="809">
        <v>3</v>
      </c>
      <c r="Z207" s="1739">
        <v>35</v>
      </c>
      <c r="AB207" s="176">
        <v>1</v>
      </c>
      <c r="AE207" s="2461"/>
      <c r="AF207" s="68"/>
    </row>
    <row r="208" spans="1:32" x14ac:dyDescent="0.35">
      <c r="A208" s="1576"/>
      <c r="B208" s="1574">
        <v>11595</v>
      </c>
      <c r="C208" s="1574"/>
      <c r="D208" s="1577"/>
      <c r="E208" s="816" t="s">
        <v>532</v>
      </c>
      <c r="F208" s="811">
        <v>4</v>
      </c>
      <c r="G208" s="812">
        <v>4</v>
      </c>
      <c r="H208" s="812">
        <v>6</v>
      </c>
      <c r="I208" s="813"/>
      <c r="J208" s="813"/>
      <c r="K208" s="813"/>
      <c r="L208" s="813"/>
      <c r="M208" s="1191"/>
      <c r="N208" s="813">
        <v>0.98499999999999999</v>
      </c>
      <c r="O208" s="819"/>
      <c r="P208" s="813"/>
      <c r="Q208" s="1187"/>
      <c r="R208" s="1183"/>
      <c r="S208" s="814"/>
      <c r="T208" s="815"/>
      <c r="U208" s="815"/>
      <c r="V208" s="815"/>
      <c r="W208" s="814"/>
      <c r="X208" s="815"/>
      <c r="Y208" s="814"/>
      <c r="Z208" s="1740"/>
      <c r="AE208" s="2461"/>
      <c r="AF208" s="68"/>
    </row>
    <row r="209" spans="1:32" ht="31" x14ac:dyDescent="0.35">
      <c r="A209" s="1576"/>
      <c r="B209" s="1574">
        <v>11595</v>
      </c>
      <c r="C209" s="1574"/>
      <c r="D209" s="1577"/>
      <c r="E209" s="816" t="s">
        <v>533</v>
      </c>
      <c r="F209" s="811">
        <v>4</v>
      </c>
      <c r="G209" s="811">
        <v>4</v>
      </c>
      <c r="H209" s="811" t="s">
        <v>191</v>
      </c>
      <c r="I209" s="813"/>
      <c r="J209" s="813"/>
      <c r="K209" s="813"/>
      <c r="L209" s="813">
        <f>2.262-0.985</f>
        <v>1.2770000000000001</v>
      </c>
      <c r="M209" s="1191"/>
      <c r="N209" s="813"/>
      <c r="O209" s="819"/>
      <c r="P209" s="813"/>
      <c r="Q209" s="1187"/>
      <c r="R209" s="1183"/>
      <c r="S209" s="814"/>
      <c r="T209" s="815"/>
      <c r="U209" s="815"/>
      <c r="V209" s="815"/>
      <c r="W209" s="814"/>
      <c r="X209" s="815"/>
      <c r="Y209" s="814"/>
      <c r="Z209" s="1740"/>
      <c r="AE209" s="2461"/>
      <c r="AF209" s="68"/>
    </row>
    <row r="210" spans="1:32" x14ac:dyDescent="0.35">
      <c r="A210" s="1576"/>
      <c r="B210" s="1574"/>
      <c r="C210" s="1574"/>
      <c r="D210" s="1577"/>
      <c r="E210" s="816" t="s">
        <v>534</v>
      </c>
      <c r="F210" s="811">
        <v>4</v>
      </c>
      <c r="G210" s="812">
        <v>4</v>
      </c>
      <c r="H210" s="812">
        <v>6</v>
      </c>
      <c r="I210" s="813"/>
      <c r="J210" s="813"/>
      <c r="K210" s="813"/>
      <c r="L210" s="813"/>
      <c r="M210" s="1191"/>
      <c r="N210" s="813">
        <f>2.308-2.262</f>
        <v>4.5999999999999819E-2</v>
      </c>
      <c r="O210" s="819"/>
      <c r="P210" s="813"/>
      <c r="Q210" s="1187"/>
      <c r="R210" s="1183"/>
      <c r="S210" s="814"/>
      <c r="T210" s="815"/>
      <c r="U210" s="815"/>
      <c r="V210" s="815"/>
      <c r="W210" s="814"/>
      <c r="X210" s="815"/>
      <c r="Y210" s="814"/>
      <c r="Z210" s="1740"/>
      <c r="AE210" s="2461"/>
      <c r="AF210" s="68"/>
    </row>
    <row r="211" spans="1:32" x14ac:dyDescent="0.35">
      <c r="A211" s="1576"/>
      <c r="B211" s="1574">
        <v>11595</v>
      </c>
      <c r="C211" s="1574"/>
      <c r="D211" s="1577"/>
      <c r="E211" s="1195" t="s">
        <v>535</v>
      </c>
      <c r="F211" s="811">
        <v>4</v>
      </c>
      <c r="G211" s="812">
        <v>4</v>
      </c>
      <c r="H211" s="812">
        <v>6</v>
      </c>
      <c r="I211" s="813"/>
      <c r="J211" s="813"/>
      <c r="K211" s="813"/>
      <c r="L211" s="813"/>
      <c r="M211" s="1191"/>
      <c r="N211" s="813"/>
      <c r="O211" s="819"/>
      <c r="P211" s="813"/>
      <c r="Q211" s="1187">
        <f>4.446-2.308</f>
        <v>2.1379999999999999</v>
      </c>
      <c r="R211" s="1183"/>
      <c r="S211" s="814"/>
      <c r="T211" s="815"/>
      <c r="U211" s="815"/>
      <c r="V211" s="815"/>
      <c r="W211" s="814"/>
      <c r="X211" s="815"/>
      <c r="Y211" s="814"/>
      <c r="Z211" s="1740"/>
      <c r="AE211" s="2461"/>
      <c r="AF211" s="68"/>
    </row>
    <row r="212" spans="1:32" x14ac:dyDescent="0.35">
      <c r="A212" s="1576"/>
      <c r="B212" s="1574">
        <v>11595</v>
      </c>
      <c r="C212" s="1574"/>
      <c r="D212" s="1577"/>
      <c r="E212" s="816" t="s">
        <v>536</v>
      </c>
      <c r="F212" s="811">
        <v>4</v>
      </c>
      <c r="G212" s="812">
        <v>4</v>
      </c>
      <c r="H212" s="812">
        <v>6</v>
      </c>
      <c r="I212" s="813"/>
      <c r="J212" s="813"/>
      <c r="K212" s="813"/>
      <c r="L212" s="813"/>
      <c r="M212" s="1191"/>
      <c r="N212" s="813">
        <f>7.96-4.446</f>
        <v>3.5140000000000002</v>
      </c>
      <c r="O212" s="819"/>
      <c r="P212" s="813"/>
      <c r="Q212" s="1187"/>
      <c r="R212" s="1183"/>
      <c r="S212" s="814"/>
      <c r="T212" s="815"/>
      <c r="U212" s="815"/>
      <c r="V212" s="815"/>
      <c r="W212" s="814"/>
      <c r="X212" s="815"/>
      <c r="Y212" s="814"/>
      <c r="Z212" s="1740"/>
      <c r="AE212" s="2461"/>
      <c r="AF212" s="68"/>
    </row>
    <row r="213" spans="1:32" ht="60" x14ac:dyDescent="0.35">
      <c r="A213" s="1573">
        <v>104</v>
      </c>
      <c r="B213" s="1574">
        <v>11595</v>
      </c>
      <c r="C213" s="1574"/>
      <c r="D213" s="2473" t="s">
        <v>6626</v>
      </c>
      <c r="E213" s="817" t="s">
        <v>10350</v>
      </c>
      <c r="F213" s="811"/>
      <c r="G213" s="812" t="s">
        <v>191</v>
      </c>
      <c r="H213" s="812" t="s">
        <v>191</v>
      </c>
      <c r="I213" s="808">
        <f>J213+K213+L213</f>
        <v>2.093</v>
      </c>
      <c r="J213" s="808">
        <f>SUM(M213:R213)</f>
        <v>2.093</v>
      </c>
      <c r="K213" s="808"/>
      <c r="L213" s="808"/>
      <c r="M213" s="1190"/>
      <c r="N213" s="808">
        <f>SUM(N214:N216)</f>
        <v>0.99299999999999988</v>
      </c>
      <c r="O213" s="820"/>
      <c r="P213" s="808"/>
      <c r="Q213" s="1186">
        <f>SUM(Q214:Q216)</f>
        <v>1.1000000000000001</v>
      </c>
      <c r="R213" s="1182"/>
      <c r="S213" s="809"/>
      <c r="T213" s="810"/>
      <c r="U213" s="810"/>
      <c r="V213" s="810"/>
      <c r="W213" s="809">
        <v>5</v>
      </c>
      <c r="X213" s="810">
        <v>60.2</v>
      </c>
      <c r="Y213" s="809"/>
      <c r="Z213" s="1739"/>
      <c r="AA213" s="2341">
        <v>39297</v>
      </c>
      <c r="AB213" s="2330">
        <v>1</v>
      </c>
      <c r="AC213" s="2330" t="s">
        <v>1007</v>
      </c>
      <c r="AE213" s="2461"/>
      <c r="AF213" s="68"/>
    </row>
    <row r="214" spans="1:32" x14ac:dyDescent="0.35">
      <c r="A214" s="1573"/>
      <c r="B214" s="1574"/>
      <c r="C214" s="1574"/>
      <c r="D214" s="1575"/>
      <c r="E214" s="1195" t="s">
        <v>537</v>
      </c>
      <c r="F214" s="811">
        <v>5</v>
      </c>
      <c r="G214" s="812">
        <v>5</v>
      </c>
      <c r="H214" s="812">
        <v>6</v>
      </c>
      <c r="I214" s="808"/>
      <c r="J214" s="808"/>
      <c r="K214" s="808"/>
      <c r="L214" s="808"/>
      <c r="M214" s="1190"/>
      <c r="N214" s="813"/>
      <c r="O214" s="820"/>
      <c r="P214" s="808"/>
      <c r="Q214" s="1771">
        <v>0.98599999999999999</v>
      </c>
      <c r="R214" s="1182"/>
      <c r="S214" s="809"/>
      <c r="T214" s="810"/>
      <c r="U214" s="810"/>
      <c r="V214" s="810"/>
      <c r="W214" s="809"/>
      <c r="X214" s="810"/>
      <c r="Y214" s="809"/>
      <c r="Z214" s="1739"/>
      <c r="AA214" s="2341"/>
      <c r="AB214" s="2330"/>
      <c r="AC214" s="2330"/>
      <c r="AE214" s="2461"/>
      <c r="AF214" s="68"/>
    </row>
    <row r="215" spans="1:32" x14ac:dyDescent="0.35">
      <c r="A215" s="1573"/>
      <c r="B215" s="1574"/>
      <c r="C215" s="1574"/>
      <c r="D215" s="1575"/>
      <c r="E215" s="1195" t="s">
        <v>10465</v>
      </c>
      <c r="F215" s="811" t="s">
        <v>827</v>
      </c>
      <c r="G215" s="812">
        <v>5</v>
      </c>
      <c r="H215" s="812">
        <v>6</v>
      </c>
      <c r="I215" s="808"/>
      <c r="J215" s="808"/>
      <c r="K215" s="808"/>
      <c r="L215" s="808"/>
      <c r="M215" s="1190"/>
      <c r="N215" s="813"/>
      <c r="O215" s="820"/>
      <c r="P215" s="808"/>
      <c r="Q215" s="1771">
        <f>1.1-0.986</f>
        <v>0.1140000000000001</v>
      </c>
      <c r="R215" s="1182"/>
      <c r="S215" s="809"/>
      <c r="T215" s="810"/>
      <c r="U215" s="810"/>
      <c r="V215" s="810"/>
      <c r="W215" s="809"/>
      <c r="X215" s="810"/>
      <c r="Y215" s="809"/>
      <c r="Z215" s="1739"/>
      <c r="AA215" s="2341"/>
      <c r="AB215" s="2330"/>
      <c r="AC215" s="2330"/>
      <c r="AE215" s="2461"/>
      <c r="AF215" s="68"/>
    </row>
    <row r="216" spans="1:32" x14ac:dyDescent="0.35">
      <c r="A216" s="1573"/>
      <c r="B216" s="1574"/>
      <c r="C216" s="1574"/>
      <c r="D216" s="1575"/>
      <c r="E216" s="816" t="s">
        <v>10886</v>
      </c>
      <c r="F216" s="811" t="s">
        <v>827</v>
      </c>
      <c r="G216" s="812">
        <v>5</v>
      </c>
      <c r="H216" s="812">
        <v>6</v>
      </c>
      <c r="I216" s="808"/>
      <c r="J216" s="808"/>
      <c r="K216" s="808"/>
      <c r="L216" s="808"/>
      <c r="M216" s="1190"/>
      <c r="N216" s="813">
        <f>2.093-1.1</f>
        <v>0.99299999999999988</v>
      </c>
      <c r="O216" s="820"/>
      <c r="P216" s="808"/>
      <c r="Q216" s="1186"/>
      <c r="R216" s="1182"/>
      <c r="S216" s="809"/>
      <c r="T216" s="810"/>
      <c r="U216" s="810"/>
      <c r="V216" s="810"/>
      <c r="W216" s="809"/>
      <c r="X216" s="810"/>
      <c r="Y216" s="809"/>
      <c r="Z216" s="1739"/>
      <c r="AA216" s="2341"/>
      <c r="AB216" s="2330"/>
      <c r="AC216" s="2330"/>
      <c r="AE216" s="2461"/>
      <c r="AF216" s="68"/>
    </row>
    <row r="217" spans="1:32" ht="105" x14ac:dyDescent="0.35">
      <c r="A217" s="1573">
        <v>105</v>
      </c>
      <c r="B217" s="1574">
        <v>11595</v>
      </c>
      <c r="C217" s="1574" t="s">
        <v>1655</v>
      </c>
      <c r="D217" s="2473" t="s">
        <v>6627</v>
      </c>
      <c r="E217" s="817" t="s">
        <v>10351</v>
      </c>
      <c r="F217" s="811"/>
      <c r="G217" s="812" t="s">
        <v>191</v>
      </c>
      <c r="H217" s="812" t="s">
        <v>191</v>
      </c>
      <c r="I217" s="808">
        <f>J217+K217+L217</f>
        <v>1.006</v>
      </c>
      <c r="J217" s="808">
        <f>SUM(M217:R217)</f>
        <v>0.746</v>
      </c>
      <c r="K217" s="808"/>
      <c r="L217" s="808">
        <f>SUM(L218:L219)</f>
        <v>0.26</v>
      </c>
      <c r="M217" s="1190"/>
      <c r="N217" s="808"/>
      <c r="O217" s="820"/>
      <c r="P217" s="808"/>
      <c r="Q217" s="1186"/>
      <c r="R217" s="1182">
        <f>SUM(R218:R219)</f>
        <v>0.746</v>
      </c>
      <c r="S217" s="809"/>
      <c r="T217" s="810"/>
      <c r="U217" s="810"/>
      <c r="V217" s="810"/>
      <c r="W217" s="809"/>
      <c r="X217" s="810"/>
      <c r="Y217" s="809"/>
      <c r="Z217" s="1739"/>
      <c r="AA217" s="2341"/>
      <c r="AB217" s="2330">
        <v>1</v>
      </c>
      <c r="AC217" s="2330"/>
      <c r="AE217" s="2461"/>
      <c r="AF217" s="68"/>
    </row>
    <row r="218" spans="1:32" x14ac:dyDescent="0.35">
      <c r="A218" s="1573"/>
      <c r="B218" s="1574"/>
      <c r="C218" s="1574"/>
      <c r="D218" s="2473"/>
      <c r="E218" s="816" t="s">
        <v>6963</v>
      </c>
      <c r="F218" s="811" t="s">
        <v>664</v>
      </c>
      <c r="G218" s="812">
        <v>5</v>
      </c>
      <c r="H218" s="812">
        <v>6</v>
      </c>
      <c r="I218" s="808"/>
      <c r="J218" s="808"/>
      <c r="K218" s="813"/>
      <c r="L218" s="813">
        <v>0.26</v>
      </c>
      <c r="M218" s="1869"/>
      <c r="N218" s="813"/>
      <c r="O218" s="1870"/>
      <c r="P218" s="813"/>
      <c r="Q218" s="1771"/>
      <c r="R218" s="1772"/>
      <c r="S218" s="809"/>
      <c r="T218" s="810"/>
      <c r="U218" s="810"/>
      <c r="V218" s="810"/>
      <c r="W218" s="809"/>
      <c r="X218" s="810"/>
      <c r="Y218" s="809"/>
      <c r="Z218" s="1739"/>
      <c r="AA218" s="2072"/>
      <c r="AB218" s="2304"/>
      <c r="AC218" s="2304"/>
      <c r="AE218" s="2461"/>
      <c r="AF218" s="68"/>
    </row>
    <row r="219" spans="1:32" x14ac:dyDescent="0.35">
      <c r="A219" s="1573"/>
      <c r="B219" s="1574"/>
      <c r="C219" s="1574"/>
      <c r="D219" s="2473"/>
      <c r="E219" s="1192" t="s">
        <v>6964</v>
      </c>
      <c r="F219" s="811" t="s">
        <v>664</v>
      </c>
      <c r="G219" s="812">
        <v>5</v>
      </c>
      <c r="H219" s="812">
        <v>6</v>
      </c>
      <c r="I219" s="808"/>
      <c r="J219" s="808"/>
      <c r="K219" s="813"/>
      <c r="L219" s="813"/>
      <c r="M219" s="1869"/>
      <c r="N219" s="813"/>
      <c r="O219" s="1870"/>
      <c r="P219" s="813"/>
      <c r="Q219" s="1771"/>
      <c r="R219" s="1772">
        <f>1.006-0.26</f>
        <v>0.746</v>
      </c>
      <c r="S219" s="809"/>
      <c r="T219" s="810"/>
      <c r="U219" s="810"/>
      <c r="V219" s="810"/>
      <c r="W219" s="809"/>
      <c r="X219" s="810"/>
      <c r="Y219" s="809"/>
      <c r="Z219" s="1739"/>
      <c r="AA219" s="2072"/>
      <c r="AB219" s="2304"/>
      <c r="AC219" s="2304"/>
      <c r="AE219" s="2461"/>
      <c r="AF219" s="68"/>
    </row>
    <row r="220" spans="1:32" ht="105" x14ac:dyDescent="0.35">
      <c r="A220" s="1573">
        <v>106</v>
      </c>
      <c r="B220" s="1574">
        <v>11595</v>
      </c>
      <c r="C220" s="1574"/>
      <c r="D220" s="2473" t="s">
        <v>6628</v>
      </c>
      <c r="E220" s="817" t="s">
        <v>10352</v>
      </c>
      <c r="F220" s="811">
        <v>4</v>
      </c>
      <c r="G220" s="812">
        <v>5</v>
      </c>
      <c r="H220" s="812">
        <v>10</v>
      </c>
      <c r="I220" s="808">
        <f>J220+K220+L220</f>
        <v>1.2</v>
      </c>
      <c r="J220" s="808">
        <f>SUM(M220:R220)</f>
        <v>1.2</v>
      </c>
      <c r="K220" s="808"/>
      <c r="L220" s="808"/>
      <c r="M220" s="1190">
        <v>1.2</v>
      </c>
      <c r="N220" s="808"/>
      <c r="O220" s="820"/>
      <c r="P220" s="808"/>
      <c r="Q220" s="1186"/>
      <c r="R220" s="1182"/>
      <c r="S220" s="809"/>
      <c r="T220" s="810"/>
      <c r="U220" s="810"/>
      <c r="V220" s="810"/>
      <c r="W220" s="809">
        <v>2</v>
      </c>
      <c r="X220" s="810">
        <v>35.5</v>
      </c>
      <c r="Y220" s="809"/>
      <c r="Z220" s="1739"/>
      <c r="AB220" s="176">
        <v>1</v>
      </c>
      <c r="AE220" s="2461"/>
      <c r="AF220" s="68"/>
    </row>
    <row r="221" spans="1:32" ht="75" x14ac:dyDescent="0.35">
      <c r="A221" s="1573">
        <v>107</v>
      </c>
      <c r="B221" s="1574">
        <v>11595</v>
      </c>
      <c r="C221" s="1052" t="s">
        <v>1656</v>
      </c>
      <c r="D221" s="2473" t="s">
        <v>6629</v>
      </c>
      <c r="E221" s="1845" t="s">
        <v>10353</v>
      </c>
      <c r="F221" s="811" t="s">
        <v>664</v>
      </c>
      <c r="G221" s="93">
        <v>5</v>
      </c>
      <c r="H221" s="812">
        <v>6</v>
      </c>
      <c r="I221" s="2157">
        <f>J221+K221+L221</f>
        <v>0.6</v>
      </c>
      <c r="J221" s="2157">
        <f>M221+N221+O221+P221+Q221+R221</f>
        <v>0.6</v>
      </c>
      <c r="K221" s="808"/>
      <c r="L221" s="808"/>
      <c r="M221" s="1190"/>
      <c r="N221" s="808"/>
      <c r="O221" s="820"/>
      <c r="P221" s="808"/>
      <c r="Q221" s="1186"/>
      <c r="R221" s="1182">
        <v>0.6</v>
      </c>
      <c r="S221" s="809"/>
      <c r="T221" s="810"/>
      <c r="U221" s="810"/>
      <c r="V221" s="810"/>
      <c r="W221" s="809"/>
      <c r="X221" s="810"/>
      <c r="Y221" s="809"/>
      <c r="Z221" s="1739"/>
      <c r="AB221" s="176">
        <v>1</v>
      </c>
      <c r="AE221" s="2461"/>
      <c r="AF221" s="68"/>
    </row>
    <row r="222" spans="1:32" ht="60" x14ac:dyDescent="0.35">
      <c r="A222" s="1573">
        <v>108</v>
      </c>
      <c r="B222" s="1574">
        <v>11596</v>
      </c>
      <c r="C222" s="1574"/>
      <c r="D222" s="1575" t="s">
        <v>1895</v>
      </c>
      <c r="E222" s="807" t="s">
        <v>10354</v>
      </c>
      <c r="F222" s="811"/>
      <c r="G222" s="812" t="s">
        <v>191</v>
      </c>
      <c r="H222" s="811" t="s">
        <v>191</v>
      </c>
      <c r="I222" s="808">
        <f>J222+K222+L222</f>
        <v>7.9249999999999998</v>
      </c>
      <c r="J222" s="808">
        <f>SUM(M222:R222)</f>
        <v>7.9249999999999998</v>
      </c>
      <c r="K222" s="808"/>
      <c r="L222" s="808"/>
      <c r="M222" s="1190"/>
      <c r="N222" s="808">
        <f>SUM(N223:N227)</f>
        <v>1.9510000000000001</v>
      </c>
      <c r="O222" s="820"/>
      <c r="P222" s="808"/>
      <c r="Q222" s="1186">
        <f>SUM(Q223:Q227)</f>
        <v>3.94</v>
      </c>
      <c r="R222" s="1182">
        <f>SUM(R223:R227)</f>
        <v>2.0339999999999998</v>
      </c>
      <c r="S222" s="809"/>
      <c r="T222" s="810"/>
      <c r="U222" s="810"/>
      <c r="V222" s="810"/>
      <c r="W222" s="809">
        <v>13</v>
      </c>
      <c r="X222" s="810">
        <v>147.83000000000001</v>
      </c>
      <c r="Y222" s="809">
        <v>4</v>
      </c>
      <c r="Z222" s="1739">
        <v>17.2</v>
      </c>
      <c r="AB222" s="176">
        <v>1</v>
      </c>
      <c r="AE222" s="2461"/>
      <c r="AF222" s="68"/>
    </row>
    <row r="223" spans="1:32" x14ac:dyDescent="0.35">
      <c r="A223" s="1576"/>
      <c r="B223" s="1574">
        <v>11596</v>
      </c>
      <c r="C223" s="1574"/>
      <c r="D223" s="1577"/>
      <c r="E223" s="816" t="s">
        <v>11442</v>
      </c>
      <c r="F223" s="811">
        <v>4</v>
      </c>
      <c r="G223" s="812">
        <v>5</v>
      </c>
      <c r="H223" s="812">
        <v>6</v>
      </c>
      <c r="I223" s="813"/>
      <c r="J223" s="813"/>
      <c r="K223" s="813"/>
      <c r="L223" s="813"/>
      <c r="M223" s="1191"/>
      <c r="N223" s="813">
        <v>1.9510000000000001</v>
      </c>
      <c r="O223" s="819"/>
      <c r="P223" s="813"/>
      <c r="Q223" s="1187"/>
      <c r="R223" s="1183"/>
      <c r="S223" s="814"/>
      <c r="T223" s="815"/>
      <c r="U223" s="815"/>
      <c r="V223" s="815"/>
      <c r="W223" s="814"/>
      <c r="X223" s="815"/>
      <c r="Y223" s="814"/>
      <c r="Z223" s="1740"/>
      <c r="AE223" s="2461"/>
      <c r="AF223" s="68"/>
    </row>
    <row r="224" spans="1:32" x14ac:dyDescent="0.35">
      <c r="A224" s="1576"/>
      <c r="B224" s="1574">
        <v>11596</v>
      </c>
      <c r="C224" s="1574"/>
      <c r="D224" s="1577"/>
      <c r="E224" s="1195" t="s">
        <v>11310</v>
      </c>
      <c r="F224" s="811">
        <v>4</v>
      </c>
      <c r="G224" s="812">
        <v>5</v>
      </c>
      <c r="H224" s="812">
        <v>6</v>
      </c>
      <c r="I224" s="813"/>
      <c r="J224" s="813"/>
      <c r="K224" s="813"/>
      <c r="L224" s="813"/>
      <c r="M224" s="1191"/>
      <c r="N224" s="813"/>
      <c r="O224" s="819"/>
      <c r="P224" s="813"/>
      <c r="Q224" s="1187">
        <f>5.891-1.951</f>
        <v>3.94</v>
      </c>
      <c r="R224" s="1183"/>
      <c r="S224" s="814"/>
      <c r="T224" s="815"/>
      <c r="U224" s="815"/>
      <c r="V224" s="815"/>
      <c r="W224" s="814"/>
      <c r="X224" s="815"/>
      <c r="Y224" s="814"/>
      <c r="Z224" s="1740"/>
      <c r="AE224" s="2461"/>
      <c r="AF224" s="68"/>
    </row>
    <row r="225" spans="1:32" x14ac:dyDescent="0.35">
      <c r="A225" s="1576"/>
      <c r="B225" s="1574">
        <v>11596</v>
      </c>
      <c r="C225" s="1574"/>
      <c r="D225" s="1577"/>
      <c r="E225" s="1192" t="s">
        <v>3485</v>
      </c>
      <c r="F225" s="811">
        <v>5</v>
      </c>
      <c r="G225" s="812">
        <v>5</v>
      </c>
      <c r="H225" s="812">
        <v>6</v>
      </c>
      <c r="I225" s="813"/>
      <c r="J225" s="813"/>
      <c r="K225" s="813"/>
      <c r="L225" s="813"/>
      <c r="M225" s="1191"/>
      <c r="N225" s="813"/>
      <c r="O225" s="819"/>
      <c r="P225" s="813"/>
      <c r="Q225" s="1187"/>
      <c r="R225" s="1183">
        <f>6.514-5.891</f>
        <v>0.62300000000000022</v>
      </c>
      <c r="S225" s="814"/>
      <c r="T225" s="815"/>
      <c r="U225" s="815"/>
      <c r="V225" s="815"/>
      <c r="W225" s="814"/>
      <c r="X225" s="815"/>
      <c r="Y225" s="814"/>
      <c r="Z225" s="1740"/>
      <c r="AE225" s="2461"/>
      <c r="AF225" s="68"/>
    </row>
    <row r="226" spans="1:32" x14ac:dyDescent="0.35">
      <c r="A226" s="1576"/>
      <c r="B226" s="1574">
        <v>11596</v>
      </c>
      <c r="C226" s="1574"/>
      <c r="D226" s="1577"/>
      <c r="E226" s="1192" t="s">
        <v>3486</v>
      </c>
      <c r="F226" s="811" t="s">
        <v>827</v>
      </c>
      <c r="G226" s="812">
        <v>5</v>
      </c>
      <c r="H226" s="812">
        <v>6</v>
      </c>
      <c r="I226" s="813"/>
      <c r="J226" s="813"/>
      <c r="K226" s="813"/>
      <c r="L226" s="813"/>
      <c r="M226" s="1191"/>
      <c r="N226" s="813"/>
      <c r="O226" s="819"/>
      <c r="P226" s="813"/>
      <c r="Q226" s="1187"/>
      <c r="R226" s="1183">
        <f>7.073-6.514</f>
        <v>0.55900000000000016</v>
      </c>
      <c r="S226" s="814"/>
      <c r="T226" s="815"/>
      <c r="U226" s="815"/>
      <c r="V226" s="815"/>
      <c r="W226" s="814"/>
      <c r="X226" s="815"/>
      <c r="Y226" s="814"/>
      <c r="Z226" s="1740"/>
      <c r="AE226" s="2461"/>
      <c r="AF226" s="68"/>
    </row>
    <row r="227" spans="1:32" x14ac:dyDescent="0.35">
      <c r="A227" s="1576"/>
      <c r="B227" s="1574">
        <v>11596</v>
      </c>
      <c r="C227" s="1574"/>
      <c r="D227" s="1577"/>
      <c r="E227" s="1192" t="s">
        <v>3487</v>
      </c>
      <c r="F227" s="811">
        <v>5</v>
      </c>
      <c r="G227" s="812">
        <v>5</v>
      </c>
      <c r="H227" s="812">
        <v>6</v>
      </c>
      <c r="I227" s="813"/>
      <c r="J227" s="813"/>
      <c r="K227" s="813"/>
      <c r="L227" s="813"/>
      <c r="M227" s="1191"/>
      <c r="N227" s="813"/>
      <c r="O227" s="819"/>
      <c r="P227" s="813"/>
      <c r="Q227" s="1187"/>
      <c r="R227" s="1183">
        <f>7.925-7.073</f>
        <v>0.85199999999999942</v>
      </c>
      <c r="S227" s="814"/>
      <c r="T227" s="815"/>
      <c r="U227" s="815"/>
      <c r="V227" s="815"/>
      <c r="W227" s="814"/>
      <c r="X227" s="815"/>
      <c r="Y227" s="814"/>
      <c r="Z227" s="1740"/>
      <c r="AE227" s="2461"/>
      <c r="AF227" s="68"/>
    </row>
    <row r="228" spans="1:32" ht="75" x14ac:dyDescent="0.35">
      <c r="A228" s="696">
        <v>109</v>
      </c>
      <c r="B228" s="1052">
        <v>11596</v>
      </c>
      <c r="C228" s="1052" t="s">
        <v>1656</v>
      </c>
      <c r="D228" s="2473" t="s">
        <v>6630</v>
      </c>
      <c r="E228" s="2187" t="s">
        <v>10355</v>
      </c>
      <c r="F228" s="811" t="s">
        <v>664</v>
      </c>
      <c r="G228" s="93">
        <v>5</v>
      </c>
      <c r="H228" s="812">
        <v>6</v>
      </c>
      <c r="I228" s="2157">
        <f t="shared" ref="I228:I235" si="20">J228+K228+L228</f>
        <v>1.5</v>
      </c>
      <c r="J228" s="2157">
        <f>M228+N228+O228+P228+Q228+R228</f>
        <v>1.5</v>
      </c>
      <c r="K228" s="490"/>
      <c r="L228" s="490"/>
      <c r="M228" s="490"/>
      <c r="N228" s="490"/>
      <c r="O228" s="490"/>
      <c r="P228" s="490"/>
      <c r="Q228" s="2182"/>
      <c r="R228" s="906">
        <v>1.5</v>
      </c>
      <c r="S228" s="101"/>
      <c r="T228" s="101"/>
      <c r="U228" s="101"/>
      <c r="V228" s="101"/>
      <c r="W228" s="1969"/>
      <c r="X228" s="1969"/>
      <c r="Y228" s="1969"/>
      <c r="Z228" s="2186"/>
      <c r="AB228" s="176">
        <v>1</v>
      </c>
      <c r="AE228" s="2461"/>
      <c r="AF228" s="68"/>
    </row>
    <row r="229" spans="1:32" ht="75" x14ac:dyDescent="0.35">
      <c r="A229" s="696">
        <v>110</v>
      </c>
      <c r="B229" s="1052">
        <v>11596</v>
      </c>
      <c r="C229" s="1052" t="s">
        <v>1656</v>
      </c>
      <c r="D229" s="2473" t="s">
        <v>6631</v>
      </c>
      <c r="E229" s="2187" t="s">
        <v>10356</v>
      </c>
      <c r="F229" s="811" t="s">
        <v>1490</v>
      </c>
      <c r="G229" s="93">
        <v>5</v>
      </c>
      <c r="H229" s="812">
        <v>6</v>
      </c>
      <c r="I229" s="2157">
        <f t="shared" si="20"/>
        <v>0.95</v>
      </c>
      <c r="J229" s="2157">
        <f>M229+N229+O229+P229+Q229+R229</f>
        <v>0.95</v>
      </c>
      <c r="K229" s="490"/>
      <c r="L229" s="490"/>
      <c r="M229" s="490"/>
      <c r="N229" s="490"/>
      <c r="O229" s="490"/>
      <c r="P229" s="490"/>
      <c r="Q229" s="2182"/>
      <c r="R229" s="906">
        <v>0.95</v>
      </c>
      <c r="S229" s="101"/>
      <c r="T229" s="101"/>
      <c r="U229" s="101"/>
      <c r="V229" s="101"/>
      <c r="W229" s="809">
        <v>1</v>
      </c>
      <c r="X229" s="810">
        <v>10</v>
      </c>
      <c r="Y229" s="1969"/>
      <c r="Z229" s="2186"/>
      <c r="AB229" s="176">
        <v>1</v>
      </c>
      <c r="AE229" s="2461"/>
      <c r="AF229" s="68"/>
    </row>
    <row r="230" spans="1:32" ht="75" x14ac:dyDescent="0.35">
      <c r="A230" s="696">
        <v>111</v>
      </c>
      <c r="B230" s="697">
        <v>11596</v>
      </c>
      <c r="C230" s="697"/>
      <c r="D230" s="2473" t="s">
        <v>6632</v>
      </c>
      <c r="E230" s="817" t="s">
        <v>10357</v>
      </c>
      <c r="F230" s="92" t="s">
        <v>664</v>
      </c>
      <c r="G230" s="93">
        <v>5</v>
      </c>
      <c r="H230" s="812">
        <v>6</v>
      </c>
      <c r="I230" s="2157">
        <f t="shared" si="20"/>
        <v>0.8</v>
      </c>
      <c r="J230" s="2157">
        <f>M230+N230+O230+P230+Q230+R230</f>
        <v>0.8</v>
      </c>
      <c r="K230" s="490"/>
      <c r="L230" s="490"/>
      <c r="M230" s="490"/>
      <c r="N230" s="490"/>
      <c r="O230" s="490"/>
      <c r="P230" s="490"/>
      <c r="Q230" s="490"/>
      <c r="R230" s="2207">
        <v>0.8</v>
      </c>
      <c r="S230" s="101"/>
      <c r="T230" s="101"/>
      <c r="U230" s="101"/>
      <c r="V230" s="101"/>
      <c r="W230" s="1969"/>
      <c r="X230" s="1969"/>
      <c r="Y230" s="1969"/>
      <c r="Z230" s="1969"/>
      <c r="AB230" s="176">
        <v>1</v>
      </c>
      <c r="AE230" s="2461"/>
      <c r="AF230" s="68"/>
    </row>
    <row r="231" spans="1:32" ht="75" x14ac:dyDescent="0.35">
      <c r="A231" s="696">
        <v>112</v>
      </c>
      <c r="B231" s="1052">
        <v>11596</v>
      </c>
      <c r="C231" s="1052" t="s">
        <v>1656</v>
      </c>
      <c r="D231" s="2473" t="s">
        <v>6633</v>
      </c>
      <c r="E231" s="817" t="s">
        <v>10358</v>
      </c>
      <c r="F231" s="92" t="s">
        <v>664</v>
      </c>
      <c r="G231" s="93">
        <v>5</v>
      </c>
      <c r="H231" s="812">
        <v>6</v>
      </c>
      <c r="I231" s="2157">
        <f t="shared" si="20"/>
        <v>0.2</v>
      </c>
      <c r="J231" s="2157">
        <f>M231+N231+O231+P231+Q231+R231</f>
        <v>0.2</v>
      </c>
      <c r="K231" s="490"/>
      <c r="L231" s="490"/>
      <c r="M231" s="490"/>
      <c r="N231" s="490"/>
      <c r="O231" s="490"/>
      <c r="P231" s="490"/>
      <c r="Q231" s="490"/>
      <c r="R231" s="2207">
        <v>0.2</v>
      </c>
      <c r="AB231" s="176">
        <v>1</v>
      </c>
      <c r="AE231" s="2461"/>
      <c r="AF231" s="68"/>
    </row>
    <row r="232" spans="1:32" ht="75" x14ac:dyDescent="0.35">
      <c r="A232" s="696">
        <v>113</v>
      </c>
      <c r="B232" s="1052">
        <v>11596</v>
      </c>
      <c r="C232" s="1052" t="s">
        <v>1656</v>
      </c>
      <c r="D232" s="2473" t="s">
        <v>6634</v>
      </c>
      <c r="E232" s="2187" t="s">
        <v>10359</v>
      </c>
      <c r="F232" s="92" t="s">
        <v>664</v>
      </c>
      <c r="G232" s="93">
        <v>5</v>
      </c>
      <c r="H232" s="812">
        <v>6</v>
      </c>
      <c r="I232" s="2157">
        <f t="shared" si="20"/>
        <v>0.2</v>
      </c>
      <c r="J232" s="2157">
        <f>M232+N232+O232+P232+Q232+R232</f>
        <v>0.2</v>
      </c>
      <c r="K232" s="490"/>
      <c r="L232" s="490"/>
      <c r="M232" s="490"/>
      <c r="N232" s="490"/>
      <c r="O232" s="490"/>
      <c r="P232" s="490"/>
      <c r="Q232" s="490"/>
      <c r="R232" s="2207">
        <v>0.2</v>
      </c>
      <c r="AB232" s="176">
        <v>1</v>
      </c>
      <c r="AE232" s="2461"/>
      <c r="AF232" s="68"/>
    </row>
    <row r="233" spans="1:32" ht="30" x14ac:dyDescent="0.35">
      <c r="A233" s="696">
        <v>114</v>
      </c>
      <c r="B233" s="1574">
        <v>11597</v>
      </c>
      <c r="C233" s="1574"/>
      <c r="D233" s="1575" t="s">
        <v>2886</v>
      </c>
      <c r="E233" s="807" t="s">
        <v>7212</v>
      </c>
      <c r="F233" s="811">
        <v>5</v>
      </c>
      <c r="G233" s="812">
        <v>5</v>
      </c>
      <c r="H233" s="812">
        <v>6</v>
      </c>
      <c r="I233" s="808">
        <f t="shared" si="20"/>
        <v>3.3119999999999998</v>
      </c>
      <c r="J233" s="808">
        <f>SUM(M233:R233)</f>
        <v>3.3119999999999998</v>
      </c>
      <c r="K233" s="808"/>
      <c r="L233" s="808"/>
      <c r="M233" s="1190"/>
      <c r="N233" s="808">
        <v>3.3119999999999998</v>
      </c>
      <c r="O233" s="820"/>
      <c r="P233" s="808"/>
      <c r="Q233" s="1186"/>
      <c r="R233" s="1182"/>
      <c r="S233" s="809">
        <v>1</v>
      </c>
      <c r="T233" s="810">
        <v>9.9499999999999993</v>
      </c>
      <c r="U233" s="810"/>
      <c r="V233" s="810"/>
      <c r="W233" s="809">
        <v>9</v>
      </c>
      <c r="X233" s="810">
        <v>139.63999999999999</v>
      </c>
      <c r="Y233" s="809">
        <v>3</v>
      </c>
      <c r="Z233" s="1739">
        <v>42</v>
      </c>
      <c r="AB233" s="176">
        <v>1</v>
      </c>
      <c r="AE233" s="2461"/>
      <c r="AF233" s="68"/>
    </row>
    <row r="234" spans="1:32" ht="45" x14ac:dyDescent="0.35">
      <c r="A234" s="696">
        <v>115</v>
      </c>
      <c r="B234" s="1574">
        <v>11597</v>
      </c>
      <c r="C234" s="1052" t="s">
        <v>1656</v>
      </c>
      <c r="D234" s="2473" t="s">
        <v>6635</v>
      </c>
      <c r="E234" s="807" t="s">
        <v>9111</v>
      </c>
      <c r="F234" s="92" t="s">
        <v>664</v>
      </c>
      <c r="G234" s="93">
        <v>5</v>
      </c>
      <c r="H234" s="812">
        <v>6</v>
      </c>
      <c r="I234" s="2157">
        <f t="shared" si="20"/>
        <v>0.6</v>
      </c>
      <c r="J234" s="2157">
        <f>M234+N234+O234+P234+Q234+R234</f>
        <v>0.6</v>
      </c>
      <c r="K234" s="490"/>
      <c r="L234" s="490"/>
      <c r="M234" s="490"/>
      <c r="N234" s="490"/>
      <c r="O234" s="490"/>
      <c r="P234" s="490"/>
      <c r="Q234" s="490"/>
      <c r="R234" s="2207">
        <v>0.6</v>
      </c>
      <c r="S234" s="809"/>
      <c r="T234" s="810"/>
      <c r="U234" s="810"/>
      <c r="V234" s="810"/>
      <c r="W234" s="809"/>
      <c r="X234" s="810"/>
      <c r="Y234" s="809"/>
      <c r="Z234" s="1739"/>
      <c r="AB234" s="176">
        <v>1</v>
      </c>
      <c r="AE234" s="2461"/>
      <c r="AF234" s="68"/>
    </row>
    <row r="235" spans="1:32" ht="45" x14ac:dyDescent="0.35">
      <c r="A235" s="696">
        <v>116</v>
      </c>
      <c r="B235" s="1574">
        <v>11598</v>
      </c>
      <c r="C235" s="1574"/>
      <c r="D235" s="1575" t="s">
        <v>2887</v>
      </c>
      <c r="E235" s="807" t="s">
        <v>10360</v>
      </c>
      <c r="F235" s="811"/>
      <c r="G235" s="812" t="s">
        <v>191</v>
      </c>
      <c r="H235" s="812" t="s">
        <v>191</v>
      </c>
      <c r="I235" s="808">
        <f t="shared" si="20"/>
        <v>2.73</v>
      </c>
      <c r="J235" s="808">
        <f>SUM(M235:R235)</f>
        <v>2.73</v>
      </c>
      <c r="K235" s="808"/>
      <c r="L235" s="808"/>
      <c r="M235" s="1190"/>
      <c r="N235" s="808">
        <f>SUM(N236:N237)</f>
        <v>0.9</v>
      </c>
      <c r="O235" s="820"/>
      <c r="P235" s="808"/>
      <c r="Q235" s="1186"/>
      <c r="R235" s="1182">
        <f>SUM(R236:R237)</f>
        <v>1.83</v>
      </c>
      <c r="S235" s="809">
        <v>1</v>
      </c>
      <c r="T235" s="810">
        <v>24.4</v>
      </c>
      <c r="U235" s="810"/>
      <c r="V235" s="810"/>
      <c r="W235" s="809">
        <v>6</v>
      </c>
      <c r="X235" s="810">
        <v>70.599999999999994</v>
      </c>
      <c r="Y235" s="809">
        <v>3</v>
      </c>
      <c r="Z235" s="1739">
        <v>30</v>
      </c>
      <c r="AB235" s="176">
        <v>1</v>
      </c>
      <c r="AE235" s="2461"/>
      <c r="AF235" s="68"/>
    </row>
    <row r="236" spans="1:32" x14ac:dyDescent="0.35">
      <c r="A236" s="1576"/>
      <c r="B236" s="1574">
        <v>11598</v>
      </c>
      <c r="C236" s="1574"/>
      <c r="D236" s="1577"/>
      <c r="E236" s="1197" t="s">
        <v>282</v>
      </c>
      <c r="F236" s="811">
        <v>5</v>
      </c>
      <c r="G236" s="812">
        <v>5</v>
      </c>
      <c r="H236" s="812">
        <v>6</v>
      </c>
      <c r="I236" s="813"/>
      <c r="J236" s="813"/>
      <c r="K236" s="813"/>
      <c r="L236" s="813"/>
      <c r="M236" s="1191"/>
      <c r="N236" s="813">
        <v>0.9</v>
      </c>
      <c r="O236" s="819"/>
      <c r="P236" s="813"/>
      <c r="Q236" s="1187"/>
      <c r="R236" s="1183"/>
      <c r="S236" s="814"/>
      <c r="T236" s="815"/>
      <c r="U236" s="815"/>
      <c r="V236" s="815"/>
      <c r="W236" s="814"/>
      <c r="X236" s="815"/>
      <c r="Y236" s="814"/>
      <c r="Z236" s="1740"/>
      <c r="AE236" s="2461"/>
      <c r="AF236" s="68"/>
    </row>
    <row r="237" spans="1:32" x14ac:dyDescent="0.35">
      <c r="A237" s="1576"/>
      <c r="B237" s="1574">
        <v>11598</v>
      </c>
      <c r="C237" s="1574"/>
      <c r="D237" s="1577"/>
      <c r="E237" s="1192" t="s">
        <v>6966</v>
      </c>
      <c r="F237" s="811">
        <v>5</v>
      </c>
      <c r="G237" s="812">
        <v>5</v>
      </c>
      <c r="H237" s="812">
        <v>6</v>
      </c>
      <c r="I237" s="813"/>
      <c r="J237" s="813"/>
      <c r="K237" s="813"/>
      <c r="L237" s="813"/>
      <c r="M237" s="1191"/>
      <c r="N237" s="813"/>
      <c r="O237" s="819"/>
      <c r="P237" s="813"/>
      <c r="Q237" s="1187"/>
      <c r="R237" s="1183">
        <f>2.73-0.9</f>
        <v>1.83</v>
      </c>
      <c r="S237" s="814"/>
      <c r="T237" s="815"/>
      <c r="U237" s="815"/>
      <c r="V237" s="815"/>
      <c r="W237" s="814"/>
      <c r="X237" s="815"/>
      <c r="Y237" s="814"/>
      <c r="Z237" s="1740"/>
      <c r="AE237" s="2461"/>
      <c r="AF237" s="68"/>
    </row>
    <row r="238" spans="1:32" ht="60" x14ac:dyDescent="0.35">
      <c r="A238" s="696">
        <v>117</v>
      </c>
      <c r="B238" s="1574">
        <v>11598</v>
      </c>
      <c r="C238" s="1052" t="s">
        <v>1656</v>
      </c>
      <c r="D238" s="2473" t="s">
        <v>6636</v>
      </c>
      <c r="E238" s="2187" t="s">
        <v>10361</v>
      </c>
      <c r="F238" s="92" t="s">
        <v>664</v>
      </c>
      <c r="G238" s="93">
        <v>5</v>
      </c>
      <c r="H238" s="812">
        <v>6</v>
      </c>
      <c r="I238" s="2157">
        <f>J238+K238+L238</f>
        <v>0.27</v>
      </c>
      <c r="J238" s="2157">
        <f>M238+N238+O238+P238+Q238+R238</f>
        <v>0.27</v>
      </c>
      <c r="K238" s="813"/>
      <c r="L238" s="813"/>
      <c r="M238" s="1191"/>
      <c r="N238" s="813"/>
      <c r="O238" s="819"/>
      <c r="P238" s="813"/>
      <c r="Q238" s="1187"/>
      <c r="R238" s="1182">
        <v>0.27</v>
      </c>
      <c r="S238" s="814"/>
      <c r="T238" s="815"/>
      <c r="U238" s="815"/>
      <c r="V238" s="815"/>
      <c r="W238" s="814"/>
      <c r="X238" s="815"/>
      <c r="Y238" s="814"/>
      <c r="Z238" s="1740"/>
      <c r="AB238" s="176">
        <v>1</v>
      </c>
      <c r="AE238" s="2461"/>
      <c r="AF238" s="68"/>
    </row>
    <row r="239" spans="1:32" ht="30" x14ac:dyDescent="0.35">
      <c r="A239" s="1573">
        <v>118</v>
      </c>
      <c r="B239" s="1574">
        <v>11599</v>
      </c>
      <c r="C239" s="1574"/>
      <c r="D239" s="1575" t="s">
        <v>2888</v>
      </c>
      <c r="E239" s="807" t="s">
        <v>6967</v>
      </c>
      <c r="F239" s="811"/>
      <c r="G239" s="812" t="s">
        <v>191</v>
      </c>
      <c r="H239" s="812" t="s">
        <v>191</v>
      </c>
      <c r="I239" s="808">
        <f>J239+K239+L239</f>
        <v>3.5880000000000001</v>
      </c>
      <c r="J239" s="808">
        <f>SUM(M239:R239)</f>
        <v>3.5880000000000001</v>
      </c>
      <c r="K239" s="808"/>
      <c r="L239" s="808"/>
      <c r="M239" s="1190"/>
      <c r="N239" s="808">
        <f>SUM(N240:N242)</f>
        <v>1.5</v>
      </c>
      <c r="O239" s="820"/>
      <c r="P239" s="808"/>
      <c r="Q239" s="2351"/>
      <c r="R239" s="1182">
        <f>SUM(R240:R242)</f>
        <v>2.0880000000000001</v>
      </c>
      <c r="S239" s="809"/>
      <c r="T239" s="810"/>
      <c r="U239" s="810"/>
      <c r="V239" s="810"/>
      <c r="W239" s="809">
        <v>6</v>
      </c>
      <c r="X239" s="810">
        <v>67.05</v>
      </c>
      <c r="Y239" s="809">
        <v>2</v>
      </c>
      <c r="Z239" s="1739">
        <v>21</v>
      </c>
      <c r="AB239" s="176">
        <v>1</v>
      </c>
      <c r="AE239" s="2461"/>
      <c r="AF239" s="68"/>
    </row>
    <row r="240" spans="1:32" x14ac:dyDescent="0.35">
      <c r="A240" s="1576"/>
      <c r="B240" s="1574">
        <v>11599</v>
      </c>
      <c r="C240" s="1574"/>
      <c r="D240" s="1577"/>
      <c r="E240" s="816" t="s">
        <v>2490</v>
      </c>
      <c r="F240" s="811">
        <v>4</v>
      </c>
      <c r="G240" s="812">
        <v>5</v>
      </c>
      <c r="H240" s="812">
        <v>6</v>
      </c>
      <c r="I240" s="813"/>
      <c r="J240" s="813"/>
      <c r="K240" s="813"/>
      <c r="L240" s="813"/>
      <c r="M240" s="1191"/>
      <c r="N240" s="813">
        <v>0.5</v>
      </c>
      <c r="O240" s="819"/>
      <c r="P240" s="813"/>
      <c r="Q240" s="1187"/>
      <c r="R240" s="1183"/>
      <c r="S240" s="814"/>
      <c r="T240" s="815"/>
      <c r="U240" s="815"/>
      <c r="V240" s="815"/>
      <c r="W240" s="814"/>
      <c r="X240" s="815"/>
      <c r="Y240" s="814"/>
      <c r="Z240" s="1740"/>
      <c r="AE240" s="2461"/>
      <c r="AF240" s="68"/>
    </row>
    <row r="241" spans="1:32" x14ac:dyDescent="0.35">
      <c r="A241" s="1576"/>
      <c r="B241" s="1574">
        <v>11599</v>
      </c>
      <c r="C241" s="1574"/>
      <c r="D241" s="1577"/>
      <c r="E241" s="1197" t="s">
        <v>3513</v>
      </c>
      <c r="F241" s="2735">
        <v>5</v>
      </c>
      <c r="G241" s="2736">
        <v>5</v>
      </c>
      <c r="H241" s="2736">
        <v>6</v>
      </c>
      <c r="I241" s="2352"/>
      <c r="J241" s="2352"/>
      <c r="K241" s="2352"/>
      <c r="L241" s="2352"/>
      <c r="M241" s="2352"/>
      <c r="N241" s="2352">
        <f>1.5-0.5</f>
        <v>1</v>
      </c>
      <c r="O241" s="819"/>
      <c r="P241" s="813"/>
      <c r="Q241" s="1187"/>
      <c r="R241" s="1183"/>
      <c r="S241" s="814"/>
      <c r="T241" s="815"/>
      <c r="U241" s="815"/>
      <c r="V241" s="815"/>
      <c r="W241" s="814"/>
      <c r="X241" s="815"/>
      <c r="Y241" s="814"/>
      <c r="Z241" s="1740"/>
      <c r="AE241" s="2461"/>
      <c r="AF241" s="68"/>
    </row>
    <row r="242" spans="1:32" x14ac:dyDescent="0.35">
      <c r="A242" s="1576"/>
      <c r="B242" s="1574">
        <v>11599</v>
      </c>
      <c r="C242" s="1574"/>
      <c r="D242" s="1577"/>
      <c r="E242" s="1192" t="s">
        <v>3514</v>
      </c>
      <c r="F242" s="811" t="s">
        <v>1490</v>
      </c>
      <c r="G242" s="812">
        <v>5</v>
      </c>
      <c r="H242" s="812">
        <v>6</v>
      </c>
      <c r="I242" s="813"/>
      <c r="J242" s="813"/>
      <c r="K242" s="813"/>
      <c r="L242" s="813"/>
      <c r="M242" s="1191"/>
      <c r="N242" s="813"/>
      <c r="O242" s="819"/>
      <c r="P242" s="813"/>
      <c r="Q242" s="1187"/>
      <c r="R242" s="1183">
        <f>3.588-1.5</f>
        <v>2.0880000000000001</v>
      </c>
      <c r="S242" s="814"/>
      <c r="T242" s="815"/>
      <c r="U242" s="815"/>
      <c r="V242" s="815"/>
      <c r="W242" s="814"/>
      <c r="X242" s="815"/>
      <c r="Y242" s="814"/>
      <c r="Z242" s="1740"/>
      <c r="AE242" s="2461"/>
      <c r="AF242" s="68"/>
    </row>
    <row r="243" spans="1:32" ht="30" x14ac:dyDescent="0.35">
      <c r="A243" s="1573">
        <v>119</v>
      </c>
      <c r="B243" s="1574">
        <v>11600</v>
      </c>
      <c r="C243" s="1574"/>
      <c r="D243" s="1575" t="s">
        <v>2889</v>
      </c>
      <c r="E243" s="807" t="s">
        <v>6968</v>
      </c>
      <c r="F243" s="811" t="s">
        <v>1490</v>
      </c>
      <c r="G243" s="812">
        <v>5</v>
      </c>
      <c r="H243" s="812">
        <v>6</v>
      </c>
      <c r="I243" s="808">
        <f>J243+K243+L243</f>
        <v>3.3</v>
      </c>
      <c r="J243" s="808">
        <f>SUM(M243:R243)</f>
        <v>3.3</v>
      </c>
      <c r="K243" s="808"/>
      <c r="L243" s="808"/>
      <c r="M243" s="1190"/>
      <c r="N243" s="808"/>
      <c r="O243" s="820"/>
      <c r="P243" s="808"/>
      <c r="Q243" s="1186"/>
      <c r="R243" s="1182">
        <v>3.3</v>
      </c>
      <c r="S243" s="809">
        <v>1</v>
      </c>
      <c r="T243" s="810">
        <v>28</v>
      </c>
      <c r="U243" s="810"/>
      <c r="V243" s="810"/>
      <c r="W243" s="809">
        <v>2</v>
      </c>
      <c r="X243" s="810">
        <v>20</v>
      </c>
      <c r="Y243" s="809"/>
      <c r="Z243" s="1739"/>
      <c r="AB243" s="176">
        <v>1</v>
      </c>
      <c r="AC243" s="176" t="s">
        <v>10466</v>
      </c>
      <c r="AE243" s="2461"/>
      <c r="AF243" s="68"/>
    </row>
    <row r="244" spans="1:32" ht="30" x14ac:dyDescent="0.35">
      <c r="A244" s="1573">
        <v>120</v>
      </c>
      <c r="B244" s="1574">
        <v>11600</v>
      </c>
      <c r="C244" s="1574"/>
      <c r="D244" s="2473" t="s">
        <v>6969</v>
      </c>
      <c r="E244" s="807" t="s">
        <v>8080</v>
      </c>
      <c r="F244" s="811" t="s">
        <v>1490</v>
      </c>
      <c r="G244" s="812">
        <v>5</v>
      </c>
      <c r="H244" s="812">
        <v>6</v>
      </c>
      <c r="I244" s="808">
        <f>J244+K244+L244</f>
        <v>0.9</v>
      </c>
      <c r="J244" s="808">
        <f>SUM(M244:R244)</f>
        <v>0.9</v>
      </c>
      <c r="K244" s="808"/>
      <c r="L244" s="808"/>
      <c r="M244" s="1190"/>
      <c r="N244" s="808"/>
      <c r="O244" s="820"/>
      <c r="P244" s="808"/>
      <c r="Q244" s="1186"/>
      <c r="R244" s="1182">
        <v>0.9</v>
      </c>
      <c r="S244" s="809"/>
      <c r="T244" s="810"/>
      <c r="U244" s="810"/>
      <c r="V244" s="810"/>
      <c r="W244" s="809"/>
      <c r="X244" s="810"/>
      <c r="Y244" s="809"/>
      <c r="Z244" s="1739"/>
      <c r="AB244" s="176">
        <v>1</v>
      </c>
      <c r="AE244" s="2461"/>
      <c r="AF244" s="68"/>
    </row>
    <row r="245" spans="1:32" ht="30" x14ac:dyDescent="0.35">
      <c r="A245" s="1573">
        <v>121</v>
      </c>
      <c r="B245" s="1574">
        <v>11601</v>
      </c>
      <c r="C245" s="1574"/>
      <c r="D245" s="1575" t="s">
        <v>2890</v>
      </c>
      <c r="E245" s="807" t="s">
        <v>2759</v>
      </c>
      <c r="F245" s="811"/>
      <c r="G245" s="812" t="s">
        <v>191</v>
      </c>
      <c r="H245" s="812" t="s">
        <v>191</v>
      </c>
      <c r="I245" s="808">
        <f>J245+K245+L245</f>
        <v>6.2</v>
      </c>
      <c r="J245" s="808">
        <f>SUM(M245:R245)</f>
        <v>6.2</v>
      </c>
      <c r="K245" s="808"/>
      <c r="L245" s="808"/>
      <c r="M245" s="1190"/>
      <c r="N245" s="808"/>
      <c r="O245" s="820"/>
      <c r="P245" s="808"/>
      <c r="Q245" s="1186">
        <f>SUM(Q246:Q248)</f>
        <v>4</v>
      </c>
      <c r="R245" s="1182">
        <f>SUM(R246:R248)</f>
        <v>2.2000000000000002</v>
      </c>
      <c r="S245" s="809"/>
      <c r="T245" s="810"/>
      <c r="U245" s="810"/>
      <c r="V245" s="810"/>
      <c r="W245" s="809">
        <v>2</v>
      </c>
      <c r="X245" s="810">
        <v>10</v>
      </c>
      <c r="Y245" s="809"/>
      <c r="Z245" s="1739"/>
      <c r="AB245" s="176">
        <v>1</v>
      </c>
      <c r="AE245" s="2461"/>
      <c r="AF245" s="68"/>
    </row>
    <row r="246" spans="1:32" x14ac:dyDescent="0.35">
      <c r="A246" s="1573"/>
      <c r="B246" s="1574">
        <v>11601</v>
      </c>
      <c r="C246" s="1574"/>
      <c r="D246" s="1575"/>
      <c r="E246" s="1195" t="s">
        <v>1966</v>
      </c>
      <c r="F246" s="811">
        <v>5</v>
      </c>
      <c r="G246" s="812">
        <v>5</v>
      </c>
      <c r="H246" s="812">
        <v>6</v>
      </c>
      <c r="I246" s="808"/>
      <c r="J246" s="808"/>
      <c r="K246" s="808"/>
      <c r="L246" s="808"/>
      <c r="M246" s="1190"/>
      <c r="N246" s="813"/>
      <c r="O246" s="820"/>
      <c r="P246" s="808"/>
      <c r="Q246" s="1771">
        <v>0.8</v>
      </c>
      <c r="R246" s="1182"/>
      <c r="S246" s="809"/>
      <c r="T246" s="810"/>
      <c r="U246" s="810"/>
      <c r="V246" s="810"/>
      <c r="W246" s="809"/>
      <c r="X246" s="810"/>
      <c r="Y246" s="809"/>
      <c r="Z246" s="1739"/>
      <c r="AE246" s="2461"/>
      <c r="AF246" s="68"/>
    </row>
    <row r="247" spans="1:32" x14ac:dyDescent="0.35">
      <c r="A247" s="1576"/>
      <c r="B247" s="1574">
        <v>11601</v>
      </c>
      <c r="C247" s="1574"/>
      <c r="D247" s="1577"/>
      <c r="E247" s="1195" t="s">
        <v>3659</v>
      </c>
      <c r="F247" s="811">
        <v>5</v>
      </c>
      <c r="G247" s="812">
        <v>5</v>
      </c>
      <c r="H247" s="812">
        <v>6</v>
      </c>
      <c r="I247" s="813"/>
      <c r="J247" s="813"/>
      <c r="K247" s="813"/>
      <c r="L247" s="813"/>
      <c r="M247" s="1191"/>
      <c r="N247" s="813"/>
      <c r="O247" s="819"/>
      <c r="P247" s="813"/>
      <c r="Q247" s="1187">
        <f>4-0.8</f>
        <v>3.2</v>
      </c>
      <c r="R247" s="1183"/>
      <c r="S247" s="814"/>
      <c r="T247" s="815"/>
      <c r="U247" s="815"/>
      <c r="V247" s="815"/>
      <c r="W247" s="814"/>
      <c r="X247" s="815"/>
      <c r="Y247" s="814"/>
      <c r="Z247" s="1740"/>
      <c r="AE247" s="2461"/>
      <c r="AF247" s="68"/>
    </row>
    <row r="248" spans="1:32" x14ac:dyDescent="0.35">
      <c r="A248" s="1576"/>
      <c r="B248" s="1574">
        <v>11601</v>
      </c>
      <c r="C248" s="1574"/>
      <c r="D248" s="1577"/>
      <c r="E248" s="1192" t="s">
        <v>1660</v>
      </c>
      <c r="F248" s="811">
        <v>5</v>
      </c>
      <c r="G248" s="812">
        <v>5</v>
      </c>
      <c r="H248" s="812">
        <v>6</v>
      </c>
      <c r="I248" s="813"/>
      <c r="J248" s="813"/>
      <c r="K248" s="813"/>
      <c r="L248" s="813"/>
      <c r="M248" s="1191"/>
      <c r="N248" s="813"/>
      <c r="O248" s="819"/>
      <c r="P248" s="813"/>
      <c r="Q248" s="1187"/>
      <c r="R248" s="1183">
        <f>6.2-4</f>
        <v>2.2000000000000002</v>
      </c>
      <c r="S248" s="814"/>
      <c r="T248" s="815"/>
      <c r="U248" s="815"/>
      <c r="V248" s="815"/>
      <c r="W248" s="814"/>
      <c r="X248" s="815"/>
      <c r="Y248" s="814"/>
      <c r="Z248" s="1740"/>
      <c r="AE248" s="2461"/>
      <c r="AF248" s="68"/>
    </row>
    <row r="249" spans="1:32" ht="30" x14ac:dyDescent="0.35">
      <c r="A249" s="1573">
        <v>122</v>
      </c>
      <c r="B249" s="1574">
        <v>11601</v>
      </c>
      <c r="C249" s="1574"/>
      <c r="D249" s="2473" t="s">
        <v>6637</v>
      </c>
      <c r="E249" s="817" t="s">
        <v>8081</v>
      </c>
      <c r="F249" s="811" t="s">
        <v>1490</v>
      </c>
      <c r="G249" s="812">
        <v>5</v>
      </c>
      <c r="H249" s="812">
        <v>6</v>
      </c>
      <c r="I249" s="808">
        <f t="shared" ref="I249:I261" si="21">J249+K249+L249</f>
        <v>2</v>
      </c>
      <c r="J249" s="808">
        <f>SUM(M249:R249)</f>
        <v>2</v>
      </c>
      <c r="K249" s="808"/>
      <c r="L249" s="808"/>
      <c r="M249" s="1190"/>
      <c r="N249" s="808"/>
      <c r="O249" s="820"/>
      <c r="P249" s="808"/>
      <c r="Q249" s="1186"/>
      <c r="R249" s="1182">
        <v>2</v>
      </c>
      <c r="S249" s="809"/>
      <c r="T249" s="810"/>
      <c r="U249" s="810"/>
      <c r="V249" s="810"/>
      <c r="W249" s="809">
        <v>2</v>
      </c>
      <c r="X249" s="810">
        <v>20</v>
      </c>
      <c r="Y249" s="809"/>
      <c r="Z249" s="1739"/>
      <c r="AB249" s="176">
        <v>1</v>
      </c>
      <c r="AE249" s="2461"/>
      <c r="AF249" s="68"/>
    </row>
    <row r="250" spans="1:32" ht="45" x14ac:dyDescent="0.35">
      <c r="A250" s="696">
        <v>123</v>
      </c>
      <c r="B250" s="1052">
        <v>11601</v>
      </c>
      <c r="C250" s="1052" t="s">
        <v>1656</v>
      </c>
      <c r="D250" s="2473" t="s">
        <v>6638</v>
      </c>
      <c r="E250" s="817" t="s">
        <v>9112</v>
      </c>
      <c r="F250" s="811" t="s">
        <v>664</v>
      </c>
      <c r="G250" s="93">
        <v>5</v>
      </c>
      <c r="H250" s="812">
        <v>6</v>
      </c>
      <c r="I250" s="2157">
        <f t="shared" si="21"/>
        <v>1</v>
      </c>
      <c r="J250" s="2157">
        <f>M250+N250+O250+P250+Q250+R250</f>
        <v>1</v>
      </c>
      <c r="K250" s="808"/>
      <c r="L250" s="808"/>
      <c r="M250" s="1190"/>
      <c r="N250" s="808"/>
      <c r="O250" s="820"/>
      <c r="P250" s="808"/>
      <c r="Q250" s="1186"/>
      <c r="R250" s="1182">
        <v>1</v>
      </c>
      <c r="S250" s="809"/>
      <c r="T250" s="810"/>
      <c r="U250" s="810"/>
      <c r="V250" s="810"/>
      <c r="W250" s="809"/>
      <c r="X250" s="810"/>
      <c r="Y250" s="809"/>
      <c r="Z250" s="1739"/>
      <c r="AB250" s="176">
        <v>1</v>
      </c>
      <c r="AE250" s="2461"/>
      <c r="AF250" s="68"/>
    </row>
    <row r="251" spans="1:32" ht="30" x14ac:dyDescent="0.35">
      <c r="A251" s="1573">
        <v>124</v>
      </c>
      <c r="B251" s="1052">
        <v>11601</v>
      </c>
      <c r="C251" s="1052" t="s">
        <v>1656</v>
      </c>
      <c r="D251" s="2473" t="s">
        <v>6639</v>
      </c>
      <c r="E251" s="2187" t="s">
        <v>9113</v>
      </c>
      <c r="F251" s="811" t="s">
        <v>664</v>
      </c>
      <c r="G251" s="93">
        <v>5</v>
      </c>
      <c r="H251" s="812">
        <v>6</v>
      </c>
      <c r="I251" s="2157">
        <f t="shared" si="21"/>
        <v>0.3</v>
      </c>
      <c r="J251" s="2157">
        <f>M251+N251+O251+P251+Q251+R251</f>
        <v>0.3</v>
      </c>
      <c r="K251" s="490"/>
      <c r="L251" s="490"/>
      <c r="M251" s="490"/>
      <c r="N251" s="490"/>
      <c r="O251" s="490"/>
      <c r="P251" s="490"/>
      <c r="Q251" s="2182"/>
      <c r="R251" s="906">
        <v>0.3</v>
      </c>
      <c r="S251" s="101"/>
      <c r="T251" s="101"/>
      <c r="U251" s="101"/>
      <c r="V251" s="101"/>
      <c r="W251" s="1969"/>
      <c r="X251" s="1969"/>
      <c r="Y251" s="1969"/>
      <c r="Z251" s="2186"/>
      <c r="AB251" s="176">
        <v>1</v>
      </c>
      <c r="AE251" s="2461"/>
      <c r="AF251" s="68"/>
    </row>
    <row r="252" spans="1:32" ht="30" x14ac:dyDescent="0.35">
      <c r="A252" s="696">
        <v>125</v>
      </c>
      <c r="B252" s="1052">
        <v>11602</v>
      </c>
      <c r="C252" s="1052"/>
      <c r="D252" s="1575" t="s">
        <v>2465</v>
      </c>
      <c r="E252" s="2187" t="s">
        <v>7230</v>
      </c>
      <c r="F252" s="811"/>
      <c r="G252" s="93" t="s">
        <v>191</v>
      </c>
      <c r="H252" s="812" t="s">
        <v>191</v>
      </c>
      <c r="I252" s="2157">
        <f>J252+K252+L252</f>
        <v>6.3219999999999992</v>
      </c>
      <c r="J252" s="2157">
        <f>M252+N252+O252+P252+Q252+R252</f>
        <v>6.3219999999999992</v>
      </c>
      <c r="K252" s="490"/>
      <c r="L252" s="490"/>
      <c r="M252" s="490"/>
      <c r="N252" s="490">
        <f>SUM(N253:N255)</f>
        <v>1.2509999999999999</v>
      </c>
      <c r="O252" s="490"/>
      <c r="P252" s="490"/>
      <c r="Q252" s="2182">
        <f>SUM(Q253:Q255)</f>
        <v>5.0709999999999997</v>
      </c>
      <c r="R252" s="906"/>
      <c r="S252" s="101"/>
      <c r="T252" s="101"/>
      <c r="U252" s="101"/>
      <c r="V252" s="101"/>
      <c r="W252" s="809">
        <v>10</v>
      </c>
      <c r="X252" s="810">
        <v>120.25</v>
      </c>
      <c r="Y252" s="809">
        <v>4</v>
      </c>
      <c r="Z252" s="1739">
        <v>46.46</v>
      </c>
      <c r="AB252" s="176">
        <v>1</v>
      </c>
      <c r="AE252" s="2461"/>
      <c r="AF252" s="68"/>
    </row>
    <row r="253" spans="1:32" x14ac:dyDescent="0.35">
      <c r="A253" s="1573"/>
      <c r="B253" s="1052">
        <v>11602</v>
      </c>
      <c r="C253" s="1052"/>
      <c r="D253" s="1575"/>
      <c r="E253" s="816" t="s">
        <v>3639</v>
      </c>
      <c r="F253" s="811">
        <v>4</v>
      </c>
      <c r="G253" s="93">
        <v>5</v>
      </c>
      <c r="H253" s="812">
        <v>10</v>
      </c>
      <c r="I253" s="2116"/>
      <c r="J253" s="2116"/>
      <c r="K253" s="493"/>
      <c r="L253" s="493"/>
      <c r="M253" s="493"/>
      <c r="N253" s="493">
        <v>1.2250000000000001</v>
      </c>
      <c r="O253" s="493"/>
      <c r="P253" s="493"/>
      <c r="Q253" s="2181"/>
      <c r="R253" s="907"/>
      <c r="S253" s="101"/>
      <c r="T253" s="101"/>
      <c r="U253" s="101"/>
      <c r="V253" s="101"/>
      <c r="W253" s="1969"/>
      <c r="X253" s="1969"/>
      <c r="Y253" s="1969"/>
      <c r="Z253" s="2186"/>
      <c r="AE253" s="2461"/>
      <c r="AF253" s="68"/>
    </row>
    <row r="254" spans="1:32" x14ac:dyDescent="0.35">
      <c r="A254" s="1573"/>
      <c r="B254" s="1052">
        <v>11602</v>
      </c>
      <c r="C254" s="1052"/>
      <c r="D254" s="1575"/>
      <c r="E254" s="1195" t="s">
        <v>3640</v>
      </c>
      <c r="F254" s="811" t="s">
        <v>827</v>
      </c>
      <c r="G254" s="93">
        <v>5</v>
      </c>
      <c r="H254" s="812">
        <v>6</v>
      </c>
      <c r="I254" s="2116"/>
      <c r="J254" s="2116"/>
      <c r="K254" s="493"/>
      <c r="L254" s="493"/>
      <c r="M254" s="493"/>
      <c r="N254" s="493"/>
      <c r="O254" s="493"/>
      <c r="P254" s="493"/>
      <c r="Q254" s="2181">
        <f>6.296-1.225</f>
        <v>5.0709999999999997</v>
      </c>
      <c r="R254" s="907"/>
      <c r="S254" s="101"/>
      <c r="T254" s="101"/>
      <c r="U254" s="101"/>
      <c r="V254" s="101"/>
      <c r="W254" s="1969"/>
      <c r="X254" s="1969"/>
      <c r="Y254" s="1969"/>
      <c r="Z254" s="2186"/>
      <c r="AE254" s="2461"/>
      <c r="AF254" s="68"/>
    </row>
    <row r="255" spans="1:32" x14ac:dyDescent="0.35">
      <c r="A255" s="1573"/>
      <c r="B255" s="1052">
        <v>11602</v>
      </c>
      <c r="C255" s="1052"/>
      <c r="D255" s="1575"/>
      <c r="E255" s="816" t="s">
        <v>3641</v>
      </c>
      <c r="F255" s="811">
        <v>4</v>
      </c>
      <c r="G255" s="93">
        <v>5</v>
      </c>
      <c r="H255" s="812">
        <v>6</v>
      </c>
      <c r="I255" s="2116"/>
      <c r="J255" s="2116"/>
      <c r="K255" s="493"/>
      <c r="L255" s="493"/>
      <c r="M255" s="493"/>
      <c r="N255" s="493">
        <f>6.322-6.296</f>
        <v>2.5999999999999801E-2</v>
      </c>
      <c r="O255" s="493"/>
      <c r="P255" s="493"/>
      <c r="Q255" s="2181"/>
      <c r="R255" s="907"/>
      <c r="S255" s="101"/>
      <c r="T255" s="101"/>
      <c r="U255" s="101"/>
      <c r="V255" s="101"/>
      <c r="W255" s="1969"/>
      <c r="X255" s="1969"/>
      <c r="Y255" s="1969"/>
      <c r="Z255" s="2186"/>
      <c r="AE255" s="2461"/>
      <c r="AF255" s="68"/>
    </row>
    <row r="256" spans="1:32" ht="30" x14ac:dyDescent="0.35">
      <c r="A256" s="696">
        <v>126</v>
      </c>
      <c r="B256" s="1574">
        <v>11603</v>
      </c>
      <c r="C256" s="1574"/>
      <c r="D256" s="1575" t="s">
        <v>402</v>
      </c>
      <c r="E256" s="807" t="s">
        <v>2422</v>
      </c>
      <c r="F256" s="811"/>
      <c r="G256" s="93" t="s">
        <v>191</v>
      </c>
      <c r="H256" s="812" t="s">
        <v>191</v>
      </c>
      <c r="I256" s="808">
        <f t="shared" si="21"/>
        <v>3.8</v>
      </c>
      <c r="J256" s="808">
        <f>SUM(M256:R256)</f>
        <v>3.8</v>
      </c>
      <c r="K256" s="808"/>
      <c r="L256" s="808"/>
      <c r="M256" s="1190"/>
      <c r="N256" s="808">
        <f>SUM(N257:N259)</f>
        <v>2.3499999999999996</v>
      </c>
      <c r="O256" s="820"/>
      <c r="P256" s="808"/>
      <c r="Q256" s="1186">
        <f>SUM(Q257:Q259)</f>
        <v>1.4500000000000002</v>
      </c>
      <c r="R256" s="1182"/>
      <c r="S256" s="809"/>
      <c r="T256" s="810"/>
      <c r="U256" s="810"/>
      <c r="V256" s="810"/>
      <c r="W256" s="809">
        <v>6</v>
      </c>
      <c r="X256" s="810">
        <v>67.430000000000007</v>
      </c>
      <c r="Y256" s="809">
        <v>2</v>
      </c>
      <c r="Z256" s="1739">
        <v>20</v>
      </c>
      <c r="AA256" s="176" t="s">
        <v>889</v>
      </c>
      <c r="AB256" s="176">
        <v>1</v>
      </c>
      <c r="AE256" s="2461"/>
      <c r="AF256" s="68"/>
    </row>
    <row r="257" spans="1:32" x14ac:dyDescent="0.35">
      <c r="A257" s="696"/>
      <c r="B257" s="1574"/>
      <c r="C257" s="1574"/>
      <c r="D257" s="1575"/>
      <c r="E257" s="816" t="s">
        <v>1898</v>
      </c>
      <c r="F257" s="811">
        <v>5</v>
      </c>
      <c r="G257" s="812">
        <v>5</v>
      </c>
      <c r="H257" s="812">
        <v>6</v>
      </c>
      <c r="I257" s="813"/>
      <c r="J257" s="813"/>
      <c r="K257" s="813"/>
      <c r="L257" s="813"/>
      <c r="M257" s="1869"/>
      <c r="N257" s="813">
        <v>0.35</v>
      </c>
      <c r="O257" s="1870"/>
      <c r="P257" s="813"/>
      <c r="Q257" s="1771"/>
      <c r="R257" s="1772"/>
      <c r="S257" s="809"/>
      <c r="T257" s="810"/>
      <c r="U257" s="810"/>
      <c r="V257" s="810"/>
      <c r="W257" s="809"/>
      <c r="X257" s="810"/>
      <c r="Y257" s="809"/>
      <c r="Z257" s="1739"/>
      <c r="AE257" s="2461"/>
      <c r="AF257" s="68"/>
    </row>
    <row r="258" spans="1:32" x14ac:dyDescent="0.35">
      <c r="A258" s="696"/>
      <c r="B258" s="1574"/>
      <c r="C258" s="1574"/>
      <c r="D258" s="1575"/>
      <c r="E258" s="1195" t="s">
        <v>11060</v>
      </c>
      <c r="F258" s="811">
        <v>5</v>
      </c>
      <c r="G258" s="812">
        <v>5</v>
      </c>
      <c r="H258" s="812">
        <v>6</v>
      </c>
      <c r="I258" s="813"/>
      <c r="J258" s="813"/>
      <c r="K258" s="813"/>
      <c r="L258" s="813"/>
      <c r="M258" s="1869"/>
      <c r="N258" s="813"/>
      <c r="O258" s="1870"/>
      <c r="P258" s="813"/>
      <c r="Q258" s="1771">
        <f>1.8-0.35</f>
        <v>1.4500000000000002</v>
      </c>
      <c r="R258" s="1772"/>
      <c r="S258" s="809"/>
      <c r="T258" s="810"/>
      <c r="U258" s="810"/>
      <c r="V258" s="810"/>
      <c r="W258" s="809"/>
      <c r="X258" s="810"/>
      <c r="Y258" s="809"/>
      <c r="Z258" s="1739"/>
      <c r="AE258" s="2461"/>
      <c r="AF258" s="68"/>
    </row>
    <row r="259" spans="1:32" x14ac:dyDescent="0.35">
      <c r="A259" s="696"/>
      <c r="B259" s="1574"/>
      <c r="C259" s="1574"/>
      <c r="D259" s="1575"/>
      <c r="E259" s="816" t="s">
        <v>11061</v>
      </c>
      <c r="F259" s="811">
        <v>5</v>
      </c>
      <c r="G259" s="812">
        <v>5</v>
      </c>
      <c r="H259" s="812">
        <v>6</v>
      </c>
      <c r="I259" s="813"/>
      <c r="J259" s="813"/>
      <c r="K259" s="813"/>
      <c r="L259" s="813"/>
      <c r="M259" s="1869"/>
      <c r="N259" s="813">
        <f>3.8-1.8</f>
        <v>1.9999999999999998</v>
      </c>
      <c r="O259" s="1870"/>
      <c r="P259" s="813"/>
      <c r="Q259" s="1771"/>
      <c r="R259" s="1772"/>
      <c r="S259" s="809"/>
      <c r="T259" s="810"/>
      <c r="U259" s="810"/>
      <c r="V259" s="810"/>
      <c r="W259" s="809"/>
      <c r="X259" s="810"/>
      <c r="Y259" s="809"/>
      <c r="Z259" s="1739"/>
      <c r="AE259" s="2461"/>
      <c r="AF259" s="68"/>
    </row>
    <row r="260" spans="1:32" ht="30" x14ac:dyDescent="0.35">
      <c r="A260" s="1573">
        <v>127</v>
      </c>
      <c r="B260" s="1574">
        <v>11603</v>
      </c>
      <c r="C260" s="1052" t="s">
        <v>1656</v>
      </c>
      <c r="D260" s="2473" t="s">
        <v>6640</v>
      </c>
      <c r="E260" s="807" t="s">
        <v>9114</v>
      </c>
      <c r="F260" s="811" t="s">
        <v>664</v>
      </c>
      <c r="G260" s="93">
        <v>5</v>
      </c>
      <c r="H260" s="812">
        <v>6</v>
      </c>
      <c r="I260" s="2157">
        <f t="shared" si="21"/>
        <v>1.1000000000000001</v>
      </c>
      <c r="J260" s="2157">
        <f>M260+N260+O260+P260+Q260+R260</f>
        <v>1.1000000000000001</v>
      </c>
      <c r="K260" s="808"/>
      <c r="L260" s="808"/>
      <c r="M260" s="1190"/>
      <c r="N260" s="808"/>
      <c r="O260" s="820"/>
      <c r="P260" s="808"/>
      <c r="Q260" s="1186"/>
      <c r="R260" s="1182">
        <v>1.1000000000000001</v>
      </c>
      <c r="S260" s="809"/>
      <c r="T260" s="810"/>
      <c r="U260" s="810"/>
      <c r="V260" s="810"/>
      <c r="W260" s="809"/>
      <c r="X260" s="810"/>
      <c r="Y260" s="809"/>
      <c r="Z260" s="1739"/>
      <c r="AB260" s="176">
        <v>1</v>
      </c>
      <c r="AE260" s="2461"/>
      <c r="AF260" s="68"/>
    </row>
    <row r="261" spans="1:32" ht="45" x14ac:dyDescent="0.35">
      <c r="A261" s="696">
        <v>128</v>
      </c>
      <c r="B261" s="1574">
        <v>11604</v>
      </c>
      <c r="C261" s="1574"/>
      <c r="D261" s="1575" t="s">
        <v>2891</v>
      </c>
      <c r="E261" s="807" t="s">
        <v>10362</v>
      </c>
      <c r="F261" s="811"/>
      <c r="G261" s="812" t="s">
        <v>191</v>
      </c>
      <c r="H261" s="812" t="s">
        <v>191</v>
      </c>
      <c r="I261" s="808">
        <f t="shared" si="21"/>
        <v>3.3759999999999994</v>
      </c>
      <c r="J261" s="808">
        <f>SUM(M261:R261)</f>
        <v>3.3759999999999994</v>
      </c>
      <c r="K261" s="808"/>
      <c r="L261" s="808"/>
      <c r="M261" s="1190"/>
      <c r="N261" s="808">
        <f>SUM(N262:N267)</f>
        <v>1.9E-2</v>
      </c>
      <c r="O261" s="820"/>
      <c r="P261" s="808"/>
      <c r="Q261" s="1186">
        <f>SUM(Q262:Q267)</f>
        <v>1.125</v>
      </c>
      <c r="R261" s="1182">
        <f>SUM(R262:R267)</f>
        <v>2.2319999999999998</v>
      </c>
      <c r="S261" s="809"/>
      <c r="T261" s="810"/>
      <c r="U261" s="810"/>
      <c r="V261" s="810"/>
      <c r="W261" s="809">
        <v>3</v>
      </c>
      <c r="X261" s="810">
        <v>40.07</v>
      </c>
      <c r="Y261" s="809"/>
      <c r="Z261" s="1739"/>
      <c r="AB261" s="176">
        <v>1</v>
      </c>
      <c r="AE261" s="2461"/>
      <c r="AF261" s="68"/>
    </row>
    <row r="262" spans="1:32" x14ac:dyDescent="0.35">
      <c r="A262" s="696"/>
      <c r="B262" s="1574"/>
      <c r="C262" s="1574"/>
      <c r="D262" s="1575"/>
      <c r="E262" s="816" t="s">
        <v>2255</v>
      </c>
      <c r="F262" s="811">
        <v>5</v>
      </c>
      <c r="G262" s="812">
        <v>5</v>
      </c>
      <c r="H262" s="812">
        <v>6</v>
      </c>
      <c r="I262" s="808"/>
      <c r="J262" s="808"/>
      <c r="K262" s="808"/>
      <c r="L262" s="808"/>
      <c r="M262" s="1190"/>
      <c r="N262" s="813">
        <v>1.9E-2</v>
      </c>
      <c r="O262" s="820"/>
      <c r="P262" s="808"/>
      <c r="Q262" s="1186"/>
      <c r="R262" s="1182"/>
      <c r="S262" s="809"/>
      <c r="T262" s="810"/>
      <c r="U262" s="810"/>
      <c r="V262" s="810"/>
      <c r="W262" s="809"/>
      <c r="X262" s="810"/>
      <c r="Y262" s="809"/>
      <c r="Z262" s="1739"/>
      <c r="AE262" s="2461"/>
      <c r="AF262" s="68"/>
    </row>
    <row r="263" spans="1:32" x14ac:dyDescent="0.35">
      <c r="A263" s="1576"/>
      <c r="B263" s="1574">
        <v>11604</v>
      </c>
      <c r="C263" s="1574"/>
      <c r="D263" s="1577"/>
      <c r="E263" s="1195" t="s">
        <v>2267</v>
      </c>
      <c r="F263" s="811">
        <v>5</v>
      </c>
      <c r="G263" s="812">
        <v>5</v>
      </c>
      <c r="H263" s="812">
        <v>6</v>
      </c>
      <c r="I263" s="813"/>
      <c r="J263" s="813"/>
      <c r="K263" s="813"/>
      <c r="L263" s="813"/>
      <c r="M263" s="1191"/>
      <c r="N263" s="813"/>
      <c r="O263" s="819"/>
      <c r="P263" s="813"/>
      <c r="Q263" s="1187">
        <f>0.544-0.019</f>
        <v>0.52500000000000002</v>
      </c>
      <c r="R263" s="1183"/>
      <c r="S263" s="814"/>
      <c r="T263" s="815"/>
      <c r="U263" s="815"/>
      <c r="V263" s="815"/>
      <c r="W263" s="814"/>
      <c r="X263" s="815"/>
      <c r="Y263" s="814"/>
      <c r="Z263" s="1740"/>
      <c r="AE263" s="2461"/>
      <c r="AF263" s="68"/>
    </row>
    <row r="264" spans="1:32" x14ac:dyDescent="0.35">
      <c r="A264" s="1576"/>
      <c r="B264" s="1574"/>
      <c r="C264" s="1574"/>
      <c r="D264" s="1577"/>
      <c r="E264" s="1192" t="s">
        <v>2269</v>
      </c>
      <c r="F264" s="811" t="s">
        <v>827</v>
      </c>
      <c r="G264" s="812">
        <v>5</v>
      </c>
      <c r="H264" s="812">
        <v>6</v>
      </c>
      <c r="I264" s="813"/>
      <c r="J264" s="813"/>
      <c r="K264" s="813"/>
      <c r="L264" s="813"/>
      <c r="M264" s="1191"/>
      <c r="N264" s="813"/>
      <c r="O264" s="819"/>
      <c r="P264" s="813"/>
      <c r="Q264" s="1187"/>
      <c r="R264" s="1183">
        <f>0.8-0.544</f>
        <v>0.25600000000000001</v>
      </c>
      <c r="S264" s="814"/>
      <c r="T264" s="815"/>
      <c r="U264" s="815"/>
      <c r="V264" s="815"/>
      <c r="W264" s="814"/>
      <c r="X264" s="815"/>
      <c r="Y264" s="814"/>
      <c r="Z264" s="1740"/>
      <c r="AE264" s="2461"/>
      <c r="AF264" s="68"/>
    </row>
    <row r="265" spans="1:32" x14ac:dyDescent="0.35">
      <c r="A265" s="1576"/>
      <c r="B265" s="1574">
        <v>11604</v>
      </c>
      <c r="C265" s="1574"/>
      <c r="D265" s="1577"/>
      <c r="E265" s="1192" t="s">
        <v>2270</v>
      </c>
      <c r="F265" s="811" t="s">
        <v>1490</v>
      </c>
      <c r="G265" s="812">
        <v>5</v>
      </c>
      <c r="H265" s="812">
        <v>6</v>
      </c>
      <c r="I265" s="813"/>
      <c r="J265" s="813"/>
      <c r="K265" s="813"/>
      <c r="L265" s="813"/>
      <c r="M265" s="1191"/>
      <c r="N265" s="813"/>
      <c r="O265" s="819"/>
      <c r="P265" s="813"/>
      <c r="Q265" s="1187"/>
      <c r="R265" s="1183">
        <f>2-0.8</f>
        <v>1.2</v>
      </c>
      <c r="S265" s="814"/>
      <c r="T265" s="815"/>
      <c r="U265" s="815"/>
      <c r="V265" s="815"/>
      <c r="W265" s="814"/>
      <c r="X265" s="815"/>
      <c r="Y265" s="814"/>
      <c r="Z265" s="1740"/>
      <c r="AE265" s="2461"/>
      <c r="AF265" s="68"/>
    </row>
    <row r="266" spans="1:32" x14ac:dyDescent="0.35">
      <c r="A266" s="1576"/>
      <c r="B266" s="1574">
        <v>11604</v>
      </c>
      <c r="C266" s="1574"/>
      <c r="D266" s="1577"/>
      <c r="E266" s="1195" t="s">
        <v>2552</v>
      </c>
      <c r="F266" s="811">
        <v>5</v>
      </c>
      <c r="G266" s="812">
        <v>5</v>
      </c>
      <c r="H266" s="812">
        <v>6</v>
      </c>
      <c r="I266" s="813"/>
      <c r="J266" s="813"/>
      <c r="K266" s="813"/>
      <c r="L266" s="813"/>
      <c r="M266" s="1191"/>
      <c r="N266" s="813"/>
      <c r="O266" s="819"/>
      <c r="P266" s="813"/>
      <c r="Q266" s="1187">
        <f>2.6-2</f>
        <v>0.60000000000000009</v>
      </c>
      <c r="R266" s="1183"/>
      <c r="S266" s="814"/>
      <c r="T266" s="815"/>
      <c r="U266" s="815"/>
      <c r="V266" s="815"/>
      <c r="W266" s="814"/>
      <c r="X266" s="815"/>
      <c r="Y266" s="814"/>
      <c r="Z266" s="1740"/>
      <c r="AE266" s="2461"/>
      <c r="AF266" s="68"/>
    </row>
    <row r="267" spans="1:32" x14ac:dyDescent="0.35">
      <c r="A267" s="1576"/>
      <c r="B267" s="1574">
        <v>11604</v>
      </c>
      <c r="C267" s="1574"/>
      <c r="D267" s="1577"/>
      <c r="E267" s="1192" t="s">
        <v>2268</v>
      </c>
      <c r="F267" s="811" t="s">
        <v>1490</v>
      </c>
      <c r="G267" s="812">
        <v>5</v>
      </c>
      <c r="H267" s="812">
        <v>6</v>
      </c>
      <c r="I267" s="813"/>
      <c r="J267" s="813"/>
      <c r="K267" s="813"/>
      <c r="L267" s="813"/>
      <c r="M267" s="1191"/>
      <c r="N267" s="813"/>
      <c r="O267" s="819"/>
      <c r="P267" s="813"/>
      <c r="Q267" s="1187"/>
      <c r="R267" s="1183">
        <f>3.376-2.6</f>
        <v>0.7759999999999998</v>
      </c>
      <c r="S267" s="814"/>
      <c r="T267" s="815"/>
      <c r="U267" s="815"/>
      <c r="V267" s="815"/>
      <c r="W267" s="814"/>
      <c r="X267" s="815"/>
      <c r="Y267" s="814"/>
      <c r="Z267" s="1740"/>
      <c r="AE267" s="2461"/>
      <c r="AF267" s="68"/>
    </row>
    <row r="268" spans="1:32" ht="60" x14ac:dyDescent="0.35">
      <c r="A268" s="696">
        <v>129</v>
      </c>
      <c r="B268" s="1574">
        <v>11604</v>
      </c>
      <c r="C268" s="1052" t="s">
        <v>1656</v>
      </c>
      <c r="D268" s="2473" t="s">
        <v>6641</v>
      </c>
      <c r="E268" s="817" t="s">
        <v>10363</v>
      </c>
      <c r="F268" s="811" t="s">
        <v>664</v>
      </c>
      <c r="G268" s="93">
        <v>5</v>
      </c>
      <c r="H268" s="812">
        <v>6</v>
      </c>
      <c r="I268" s="2157">
        <f>J268+K268+L268</f>
        <v>1</v>
      </c>
      <c r="J268" s="2157">
        <f>M268+N268+O268+P268+Q268+R268</f>
        <v>1</v>
      </c>
      <c r="K268" s="813"/>
      <c r="L268" s="813"/>
      <c r="M268" s="1191"/>
      <c r="N268" s="813"/>
      <c r="O268" s="819"/>
      <c r="P268" s="813"/>
      <c r="Q268" s="1187"/>
      <c r="R268" s="1182">
        <v>1</v>
      </c>
      <c r="S268" s="814"/>
      <c r="T268" s="815"/>
      <c r="U268" s="815"/>
      <c r="V268" s="815"/>
      <c r="W268" s="814"/>
      <c r="X268" s="815"/>
      <c r="Y268" s="814"/>
      <c r="Z268" s="1740"/>
      <c r="AB268" s="176">
        <v>1</v>
      </c>
      <c r="AE268" s="2461"/>
      <c r="AF268" s="68"/>
    </row>
    <row r="269" spans="1:32" ht="60" x14ac:dyDescent="0.35">
      <c r="A269" s="696">
        <v>130</v>
      </c>
      <c r="B269" s="1574">
        <v>11604</v>
      </c>
      <c r="C269" s="1052" t="s">
        <v>1656</v>
      </c>
      <c r="D269" s="2473" t="s">
        <v>6642</v>
      </c>
      <c r="E269" s="807" t="s">
        <v>10364</v>
      </c>
      <c r="F269" s="811" t="s">
        <v>664</v>
      </c>
      <c r="G269" s="93">
        <v>5</v>
      </c>
      <c r="H269" s="812">
        <v>6</v>
      </c>
      <c r="I269" s="2157">
        <f>J269+K269+L269</f>
        <v>0.4</v>
      </c>
      <c r="J269" s="2157">
        <f>M269+N269+O269+P269+Q269+R269</f>
        <v>0.4</v>
      </c>
      <c r="K269" s="813"/>
      <c r="L269" s="813"/>
      <c r="M269" s="1191"/>
      <c r="N269" s="813"/>
      <c r="O269" s="819"/>
      <c r="P269" s="813"/>
      <c r="Q269" s="1187"/>
      <c r="R269" s="1182">
        <v>0.4</v>
      </c>
      <c r="S269" s="814"/>
      <c r="T269" s="815"/>
      <c r="U269" s="815"/>
      <c r="V269" s="815"/>
      <c r="W269" s="814"/>
      <c r="X269" s="815"/>
      <c r="Y269" s="814"/>
      <c r="Z269" s="1740"/>
      <c r="AB269" s="176">
        <v>1</v>
      </c>
      <c r="AE269" s="2461"/>
      <c r="AF269" s="68"/>
    </row>
    <row r="270" spans="1:32" ht="30" x14ac:dyDescent="0.35">
      <c r="A270" s="696">
        <v>131</v>
      </c>
      <c r="B270" s="1574">
        <v>11605</v>
      </c>
      <c r="C270" s="1574"/>
      <c r="D270" s="1575" t="s">
        <v>2892</v>
      </c>
      <c r="E270" s="807" t="s">
        <v>1822</v>
      </c>
      <c r="F270" s="811" t="s">
        <v>1490</v>
      </c>
      <c r="G270" s="812">
        <v>5</v>
      </c>
      <c r="H270" s="812">
        <v>6</v>
      </c>
      <c r="I270" s="808">
        <f>J270+K270+L270</f>
        <v>1.1000000000000001</v>
      </c>
      <c r="J270" s="808">
        <f>SUM(M270:R270)</f>
        <v>1.1000000000000001</v>
      </c>
      <c r="K270" s="808"/>
      <c r="L270" s="808"/>
      <c r="M270" s="1190"/>
      <c r="N270" s="808"/>
      <c r="O270" s="820"/>
      <c r="P270" s="808"/>
      <c r="Q270" s="1186"/>
      <c r="R270" s="1182">
        <v>1.1000000000000001</v>
      </c>
      <c r="S270" s="809"/>
      <c r="T270" s="810"/>
      <c r="U270" s="810"/>
      <c r="V270" s="810"/>
      <c r="W270" s="809">
        <v>1</v>
      </c>
      <c r="X270" s="810">
        <v>10</v>
      </c>
      <c r="Y270" s="809"/>
      <c r="Z270" s="1739"/>
      <c r="AB270" s="176">
        <v>1</v>
      </c>
      <c r="AE270" s="2461"/>
      <c r="AF270" s="68"/>
    </row>
    <row r="271" spans="1:32" ht="30" x14ac:dyDescent="0.35">
      <c r="A271" s="696">
        <v>132</v>
      </c>
      <c r="B271" s="1574">
        <v>11606</v>
      </c>
      <c r="C271" s="1574"/>
      <c r="D271" s="1575" t="s">
        <v>894</v>
      </c>
      <c r="E271" s="807" t="s">
        <v>6970</v>
      </c>
      <c r="F271" s="811"/>
      <c r="G271" s="812" t="s">
        <v>191</v>
      </c>
      <c r="H271" s="812" t="s">
        <v>191</v>
      </c>
      <c r="I271" s="808">
        <f>J271+K271+L271</f>
        <v>3.2690000000000001</v>
      </c>
      <c r="J271" s="808">
        <f>SUM(M271:R271)</f>
        <v>2.6840000000000002</v>
      </c>
      <c r="K271" s="808"/>
      <c r="L271" s="808">
        <f>SUM(L272:L276)</f>
        <v>0.58500000000000008</v>
      </c>
      <c r="M271" s="1190"/>
      <c r="N271" s="808">
        <f>SUM(N272:N276)</f>
        <v>1.0999999999999999</v>
      </c>
      <c r="O271" s="820"/>
      <c r="P271" s="808"/>
      <c r="Q271" s="1186">
        <f>SUM(Q272:Q276)</f>
        <v>1.5840000000000001</v>
      </c>
      <c r="R271" s="1182"/>
      <c r="S271" s="809"/>
      <c r="T271" s="810"/>
      <c r="U271" s="810"/>
      <c r="V271" s="810"/>
      <c r="W271" s="809">
        <v>9</v>
      </c>
      <c r="X271" s="810">
        <v>121.77</v>
      </c>
      <c r="Y271" s="809"/>
      <c r="Z271" s="1739"/>
      <c r="AB271" s="176">
        <v>1</v>
      </c>
      <c r="AE271" s="2461"/>
      <c r="AF271" s="68"/>
    </row>
    <row r="272" spans="1:32" x14ac:dyDescent="0.35">
      <c r="A272" s="1576"/>
      <c r="B272" s="1574">
        <v>11606</v>
      </c>
      <c r="C272" s="1574"/>
      <c r="D272" s="1577"/>
      <c r="E272" s="1195" t="s">
        <v>3523</v>
      </c>
      <c r="F272" s="811" t="s">
        <v>827</v>
      </c>
      <c r="G272" s="812">
        <v>5</v>
      </c>
      <c r="H272" s="812">
        <v>6</v>
      </c>
      <c r="I272" s="813"/>
      <c r="J272" s="813"/>
      <c r="K272" s="813"/>
      <c r="L272" s="813"/>
      <c r="M272" s="1191"/>
      <c r="N272" s="813"/>
      <c r="O272" s="819"/>
      <c r="P272" s="813"/>
      <c r="Q272" s="1187">
        <v>0.46899999999999997</v>
      </c>
      <c r="R272" s="1183"/>
      <c r="S272" s="814"/>
      <c r="T272" s="815"/>
      <c r="U272" s="815"/>
      <c r="V272" s="815"/>
      <c r="W272" s="814"/>
      <c r="X272" s="815"/>
      <c r="Y272" s="814"/>
      <c r="Z272" s="1740"/>
      <c r="AE272" s="2461"/>
      <c r="AF272" s="68"/>
    </row>
    <row r="273" spans="1:32" ht="31" x14ac:dyDescent="0.35">
      <c r="A273" s="1576"/>
      <c r="B273" s="1574">
        <v>11606</v>
      </c>
      <c r="C273" s="1574"/>
      <c r="D273" s="1577"/>
      <c r="E273" s="816" t="s">
        <v>11329</v>
      </c>
      <c r="F273" s="811">
        <v>4</v>
      </c>
      <c r="G273" s="812">
        <v>5</v>
      </c>
      <c r="H273" s="812" t="s">
        <v>191</v>
      </c>
      <c r="I273" s="813"/>
      <c r="J273" s="813"/>
      <c r="K273" s="813"/>
      <c r="L273" s="813">
        <f>1.054-0.469</f>
        <v>0.58500000000000008</v>
      </c>
      <c r="M273" s="1191"/>
      <c r="N273" s="813"/>
      <c r="O273" s="819"/>
      <c r="P273" s="813"/>
      <c r="Q273" s="1187"/>
      <c r="R273" s="1183"/>
      <c r="S273" s="814"/>
      <c r="T273" s="815"/>
      <c r="U273" s="815"/>
      <c r="V273" s="815"/>
      <c r="W273" s="814"/>
      <c r="X273" s="815"/>
      <c r="Y273" s="814"/>
      <c r="Z273" s="1740"/>
      <c r="AE273" s="2461"/>
      <c r="AF273" s="68"/>
    </row>
    <row r="274" spans="1:32" x14ac:dyDescent="0.35">
      <c r="A274" s="1576"/>
      <c r="B274" s="1574">
        <v>11606</v>
      </c>
      <c r="C274" s="1574"/>
      <c r="D274" s="1577"/>
      <c r="E274" s="816" t="s">
        <v>3524</v>
      </c>
      <c r="F274" s="811">
        <v>4</v>
      </c>
      <c r="G274" s="812">
        <v>5</v>
      </c>
      <c r="H274" s="812">
        <v>6</v>
      </c>
      <c r="I274" s="813"/>
      <c r="J274" s="813"/>
      <c r="K274" s="813"/>
      <c r="L274" s="813"/>
      <c r="M274" s="1191"/>
      <c r="N274" s="813">
        <f>1.887-1.054</f>
        <v>0.83299999999999996</v>
      </c>
      <c r="O274" s="819"/>
      <c r="P274" s="813"/>
      <c r="Q274" s="1187"/>
      <c r="R274" s="1183"/>
      <c r="S274" s="814"/>
      <c r="T274" s="815"/>
      <c r="U274" s="815"/>
      <c r="V274" s="815"/>
      <c r="W274" s="814"/>
      <c r="X274" s="815"/>
      <c r="Y274" s="814"/>
      <c r="Z274" s="1740"/>
      <c r="AE274" s="2461"/>
      <c r="AF274" s="68"/>
    </row>
    <row r="275" spans="1:32" x14ac:dyDescent="0.35">
      <c r="A275" s="1576"/>
      <c r="B275" s="1574"/>
      <c r="C275" s="1574"/>
      <c r="D275" s="1577"/>
      <c r="E275" s="816" t="s">
        <v>3525</v>
      </c>
      <c r="F275" s="811" t="s">
        <v>827</v>
      </c>
      <c r="G275" s="812">
        <v>5</v>
      </c>
      <c r="H275" s="812">
        <v>6</v>
      </c>
      <c r="I275" s="813"/>
      <c r="J275" s="813"/>
      <c r="K275" s="813"/>
      <c r="L275" s="813"/>
      <c r="M275" s="1191"/>
      <c r="N275" s="813">
        <f>2.154-1.887</f>
        <v>0.2669999999999999</v>
      </c>
      <c r="O275" s="819"/>
      <c r="P275" s="813"/>
      <c r="Q275" s="1187"/>
      <c r="R275" s="1183"/>
      <c r="S275" s="814"/>
      <c r="T275" s="815"/>
      <c r="U275" s="815"/>
      <c r="V275" s="815"/>
      <c r="W275" s="814"/>
      <c r="X275" s="815"/>
      <c r="Y275" s="814"/>
      <c r="Z275" s="1740"/>
      <c r="AE275" s="2461"/>
      <c r="AF275" s="68"/>
    </row>
    <row r="276" spans="1:32" x14ac:dyDescent="0.35">
      <c r="A276" s="1576"/>
      <c r="B276" s="1574">
        <v>11606</v>
      </c>
      <c r="C276" s="1574"/>
      <c r="D276" s="1577"/>
      <c r="E276" s="1195" t="s">
        <v>3526</v>
      </c>
      <c r="F276" s="811" t="s">
        <v>1490</v>
      </c>
      <c r="G276" s="812">
        <v>5</v>
      </c>
      <c r="H276" s="812">
        <v>6</v>
      </c>
      <c r="I276" s="813"/>
      <c r="J276" s="813"/>
      <c r="K276" s="813"/>
      <c r="L276" s="813"/>
      <c r="M276" s="1191"/>
      <c r="N276" s="813"/>
      <c r="O276" s="819"/>
      <c r="P276" s="813"/>
      <c r="Q276" s="1187">
        <f>3.269-2.154</f>
        <v>1.1150000000000002</v>
      </c>
      <c r="R276" s="1183"/>
      <c r="S276" s="814"/>
      <c r="T276" s="815"/>
      <c r="U276" s="815"/>
      <c r="V276" s="815"/>
      <c r="W276" s="814"/>
      <c r="X276" s="815"/>
      <c r="Y276" s="814"/>
      <c r="Z276" s="1740"/>
      <c r="AE276" s="2461"/>
      <c r="AF276" s="68"/>
    </row>
    <row r="277" spans="1:32" ht="30" x14ac:dyDescent="0.35">
      <c r="A277" s="1573">
        <v>133</v>
      </c>
      <c r="B277" s="1574">
        <v>11607</v>
      </c>
      <c r="C277" s="1574"/>
      <c r="D277" s="1575" t="s">
        <v>895</v>
      </c>
      <c r="E277" s="807" t="s">
        <v>265</v>
      </c>
      <c r="F277" s="811"/>
      <c r="G277" s="812" t="s">
        <v>191</v>
      </c>
      <c r="H277" s="812" t="s">
        <v>191</v>
      </c>
      <c r="I277" s="808">
        <f>J277+K277+L277</f>
        <v>4.1319999999999997</v>
      </c>
      <c r="J277" s="808">
        <f>SUM(M277:R277)</f>
        <v>4.1319999999999997</v>
      </c>
      <c r="K277" s="808"/>
      <c r="L277" s="808"/>
      <c r="M277" s="1190"/>
      <c r="N277" s="808"/>
      <c r="O277" s="820"/>
      <c r="P277" s="808"/>
      <c r="Q277" s="1186">
        <f>SUM(Q278:Q279)</f>
        <v>4.1319999999999997</v>
      </c>
      <c r="R277" s="1182"/>
      <c r="S277" s="809"/>
      <c r="T277" s="810"/>
      <c r="U277" s="810"/>
      <c r="V277" s="810"/>
      <c r="W277" s="809">
        <v>5</v>
      </c>
      <c r="X277" s="810">
        <v>35.020000000000003</v>
      </c>
      <c r="Y277" s="809"/>
      <c r="Z277" s="1739"/>
      <c r="AB277" s="176">
        <v>1</v>
      </c>
      <c r="AE277" s="2461"/>
      <c r="AF277" s="68"/>
    </row>
    <row r="278" spans="1:32" x14ac:dyDescent="0.35">
      <c r="A278" s="1576"/>
      <c r="B278" s="1574">
        <v>11607</v>
      </c>
      <c r="C278" s="1574"/>
      <c r="D278" s="1577"/>
      <c r="E278" s="1195" t="s">
        <v>3509</v>
      </c>
      <c r="F278" s="811">
        <v>5</v>
      </c>
      <c r="G278" s="812">
        <v>5</v>
      </c>
      <c r="H278" s="812">
        <v>6</v>
      </c>
      <c r="I278" s="813"/>
      <c r="J278" s="813"/>
      <c r="K278" s="813"/>
      <c r="L278" s="813"/>
      <c r="M278" s="1191"/>
      <c r="N278" s="813"/>
      <c r="O278" s="819"/>
      <c r="P278" s="813"/>
      <c r="Q278" s="1187">
        <v>1.645</v>
      </c>
      <c r="R278" s="1183"/>
      <c r="S278" s="814"/>
      <c r="T278" s="815"/>
      <c r="U278" s="815"/>
      <c r="V278" s="815"/>
      <c r="W278" s="814"/>
      <c r="X278" s="815"/>
      <c r="Y278" s="814"/>
      <c r="Z278" s="1740"/>
      <c r="AE278" s="2461"/>
      <c r="AF278" s="68"/>
    </row>
    <row r="279" spans="1:32" x14ac:dyDescent="0.35">
      <c r="A279" s="1576"/>
      <c r="B279" s="1574">
        <v>11607</v>
      </c>
      <c r="C279" s="1574"/>
      <c r="D279" s="1577"/>
      <c r="E279" s="1195" t="s">
        <v>3510</v>
      </c>
      <c r="F279" s="811" t="s">
        <v>1490</v>
      </c>
      <c r="G279" s="812">
        <v>5</v>
      </c>
      <c r="H279" s="812">
        <v>6</v>
      </c>
      <c r="I279" s="813"/>
      <c r="J279" s="813"/>
      <c r="K279" s="813"/>
      <c r="L279" s="813"/>
      <c r="M279" s="1191"/>
      <c r="N279" s="813"/>
      <c r="O279" s="819"/>
      <c r="P279" s="813"/>
      <c r="Q279" s="1187">
        <f>4.132-1.645</f>
        <v>2.4869999999999997</v>
      </c>
      <c r="R279" s="1183"/>
      <c r="S279" s="814"/>
      <c r="T279" s="815"/>
      <c r="U279" s="815"/>
      <c r="V279" s="815"/>
      <c r="W279" s="814"/>
      <c r="X279" s="815"/>
      <c r="Y279" s="814"/>
      <c r="Z279" s="1740"/>
      <c r="AE279" s="2461"/>
      <c r="AF279" s="68"/>
    </row>
    <row r="280" spans="1:32" ht="30" x14ac:dyDescent="0.35">
      <c r="A280" s="2146">
        <v>134</v>
      </c>
      <c r="B280" s="1574">
        <v>11607</v>
      </c>
      <c r="C280" s="358" t="s">
        <v>1656</v>
      </c>
      <c r="D280" s="2473" t="s">
        <v>6644</v>
      </c>
      <c r="E280" s="807" t="s">
        <v>9115</v>
      </c>
      <c r="F280" s="811" t="s">
        <v>664</v>
      </c>
      <c r="G280" s="2289">
        <v>5</v>
      </c>
      <c r="H280" s="812">
        <v>6</v>
      </c>
      <c r="I280" s="297">
        <f>J280+K280+L280</f>
        <v>0.8</v>
      </c>
      <c r="J280" s="297">
        <f>SUM(M280:R280)</f>
        <v>0.8</v>
      </c>
      <c r="K280" s="813"/>
      <c r="L280" s="813"/>
      <c r="M280" s="1191"/>
      <c r="N280" s="813"/>
      <c r="O280" s="819"/>
      <c r="P280" s="813"/>
      <c r="Q280" s="1187"/>
      <c r="R280" s="1182">
        <v>0.8</v>
      </c>
      <c r="S280" s="814"/>
      <c r="T280" s="815"/>
      <c r="U280" s="815"/>
      <c r="V280" s="815"/>
      <c r="W280" s="814"/>
      <c r="X280" s="815"/>
      <c r="Y280" s="814"/>
      <c r="Z280" s="1740"/>
      <c r="AB280" s="176">
        <v>1</v>
      </c>
      <c r="AE280" s="2461"/>
      <c r="AF280" s="68"/>
    </row>
    <row r="281" spans="1:32" ht="30" x14ac:dyDescent="0.35">
      <c r="A281" s="1573">
        <v>135</v>
      </c>
      <c r="B281" s="1574">
        <v>11608</v>
      </c>
      <c r="C281" s="1574"/>
      <c r="D281" s="1575" t="s">
        <v>3343</v>
      </c>
      <c r="E281" s="807" t="s">
        <v>10887</v>
      </c>
      <c r="F281" s="811"/>
      <c r="G281" s="812" t="s">
        <v>191</v>
      </c>
      <c r="H281" s="812" t="s">
        <v>191</v>
      </c>
      <c r="I281" s="808">
        <f>J281+K281+L281</f>
        <v>17.748999999999999</v>
      </c>
      <c r="J281" s="808">
        <f>SUM(M281:R281)</f>
        <v>17.748999999999999</v>
      </c>
      <c r="K281" s="808"/>
      <c r="L281" s="808"/>
      <c r="M281" s="1190"/>
      <c r="N281" s="808">
        <f>SUM(N282:N287)</f>
        <v>3.2229999999999999</v>
      </c>
      <c r="O281" s="820"/>
      <c r="P281" s="808"/>
      <c r="Q281" s="1186">
        <f>SUM(Q282:Q287)</f>
        <v>14.526</v>
      </c>
      <c r="R281" s="1182"/>
      <c r="S281" s="809"/>
      <c r="T281" s="810"/>
      <c r="U281" s="810"/>
      <c r="V281" s="810"/>
      <c r="W281" s="809">
        <v>39</v>
      </c>
      <c r="X281" s="810">
        <v>532.26</v>
      </c>
      <c r="Y281" s="809">
        <v>9</v>
      </c>
      <c r="Z281" s="1739">
        <v>105.5</v>
      </c>
      <c r="AB281" s="176">
        <v>1</v>
      </c>
      <c r="AE281" s="2461"/>
      <c r="AF281" s="68"/>
    </row>
    <row r="282" spans="1:32" x14ac:dyDescent="0.35">
      <c r="A282" s="1576"/>
      <c r="B282" s="1574">
        <v>11608</v>
      </c>
      <c r="C282" s="1574"/>
      <c r="D282" s="1577"/>
      <c r="E282" s="816" t="s">
        <v>10603</v>
      </c>
      <c r="F282" s="811">
        <v>4</v>
      </c>
      <c r="G282" s="812">
        <v>4</v>
      </c>
      <c r="H282" s="812">
        <v>6</v>
      </c>
      <c r="I282" s="813"/>
      <c r="J282" s="813"/>
      <c r="K282" s="813"/>
      <c r="L282" s="813"/>
      <c r="M282" s="1191"/>
      <c r="N282" s="813">
        <v>3.2229999999999999</v>
      </c>
      <c r="O282" s="819"/>
      <c r="P282" s="813"/>
      <c r="Q282" s="1187"/>
      <c r="R282" s="1183"/>
      <c r="S282" s="814"/>
      <c r="T282" s="815"/>
      <c r="U282" s="815"/>
      <c r="V282" s="815"/>
      <c r="W282" s="814"/>
      <c r="X282" s="815"/>
      <c r="Y282" s="814"/>
      <c r="Z282" s="1740"/>
      <c r="AE282" s="2461"/>
      <c r="AF282" s="68"/>
    </row>
    <row r="283" spans="1:32" x14ac:dyDescent="0.35">
      <c r="A283" s="1576"/>
      <c r="B283" s="1574">
        <v>11608</v>
      </c>
      <c r="C283" s="1574"/>
      <c r="D283" s="1577"/>
      <c r="E283" s="1195" t="s">
        <v>10608</v>
      </c>
      <c r="F283" s="811">
        <v>5</v>
      </c>
      <c r="G283" s="812">
        <v>4</v>
      </c>
      <c r="H283" s="812">
        <v>6</v>
      </c>
      <c r="I283" s="813"/>
      <c r="J283" s="813"/>
      <c r="K283" s="813"/>
      <c r="L283" s="813"/>
      <c r="M283" s="1191"/>
      <c r="N283" s="813"/>
      <c r="O283" s="819"/>
      <c r="P283" s="813"/>
      <c r="Q283" s="1187">
        <f>6.082-3.223</f>
        <v>2.859</v>
      </c>
      <c r="R283" s="1183"/>
      <c r="S283" s="814"/>
      <c r="T283" s="815"/>
      <c r="U283" s="815"/>
      <c r="V283" s="815"/>
      <c r="W283" s="814"/>
      <c r="X283" s="815"/>
      <c r="Y283" s="814"/>
      <c r="Z283" s="1740"/>
      <c r="AE283" s="2461"/>
      <c r="AF283" s="68"/>
    </row>
    <row r="284" spans="1:32" x14ac:dyDescent="0.35">
      <c r="A284" s="1576"/>
      <c r="B284" s="1574">
        <v>11608</v>
      </c>
      <c r="C284" s="1574"/>
      <c r="D284" s="1577"/>
      <c r="E284" s="1195" t="s">
        <v>10609</v>
      </c>
      <c r="F284" s="811" t="s">
        <v>827</v>
      </c>
      <c r="G284" s="812">
        <v>4</v>
      </c>
      <c r="H284" s="812">
        <v>6</v>
      </c>
      <c r="I284" s="813"/>
      <c r="J284" s="813"/>
      <c r="K284" s="813"/>
      <c r="L284" s="813"/>
      <c r="M284" s="1191"/>
      <c r="N284" s="813"/>
      <c r="O284" s="819"/>
      <c r="P284" s="813"/>
      <c r="Q284" s="1187">
        <f>8.519-6.082</f>
        <v>2.4370000000000003</v>
      </c>
      <c r="R284" s="1183"/>
      <c r="S284" s="814"/>
      <c r="T284" s="815"/>
      <c r="U284" s="815"/>
      <c r="V284" s="815"/>
      <c r="W284" s="814"/>
      <c r="X284" s="815"/>
      <c r="Y284" s="814"/>
      <c r="Z284" s="1740"/>
      <c r="AE284" s="2461"/>
      <c r="AF284" s="68"/>
    </row>
    <row r="285" spans="1:32" x14ac:dyDescent="0.35">
      <c r="A285" s="1576"/>
      <c r="B285" s="1574">
        <v>11608</v>
      </c>
      <c r="C285" s="1574"/>
      <c r="D285" s="1577"/>
      <c r="E285" s="1195" t="s">
        <v>10610</v>
      </c>
      <c r="F285" s="811">
        <v>4</v>
      </c>
      <c r="G285" s="812">
        <v>4</v>
      </c>
      <c r="H285" s="812">
        <v>6</v>
      </c>
      <c r="I285" s="813"/>
      <c r="J285" s="813"/>
      <c r="K285" s="813"/>
      <c r="L285" s="813"/>
      <c r="M285" s="1191"/>
      <c r="N285" s="813"/>
      <c r="O285" s="819"/>
      <c r="P285" s="813"/>
      <c r="Q285" s="1187">
        <f>12.2-8.519</f>
        <v>3.6809999999999992</v>
      </c>
      <c r="R285" s="1183"/>
      <c r="S285" s="814"/>
      <c r="T285" s="815"/>
      <c r="U285" s="815"/>
      <c r="V285" s="815"/>
      <c r="W285" s="814"/>
      <c r="X285" s="815"/>
      <c r="Y285" s="814"/>
      <c r="Z285" s="1740"/>
      <c r="AE285" s="2461"/>
      <c r="AF285" s="68"/>
    </row>
    <row r="286" spans="1:32" x14ac:dyDescent="0.35">
      <c r="A286" s="1576"/>
      <c r="B286" s="1574">
        <v>11608</v>
      </c>
      <c r="C286" s="1574"/>
      <c r="D286" s="1577"/>
      <c r="E286" s="1195" t="s">
        <v>10611</v>
      </c>
      <c r="F286" s="811">
        <v>5</v>
      </c>
      <c r="G286" s="812">
        <v>4</v>
      </c>
      <c r="H286" s="812">
        <v>6</v>
      </c>
      <c r="I286" s="813"/>
      <c r="J286" s="813"/>
      <c r="K286" s="813"/>
      <c r="L286" s="813"/>
      <c r="M286" s="1191"/>
      <c r="N286" s="813"/>
      <c r="O286" s="819"/>
      <c r="P286" s="813"/>
      <c r="Q286" s="1187">
        <f>13.23-12.2</f>
        <v>1.0300000000000011</v>
      </c>
      <c r="R286" s="1183"/>
      <c r="S286" s="814"/>
      <c r="T286" s="815"/>
      <c r="U286" s="815"/>
      <c r="V286" s="815"/>
      <c r="W286" s="814"/>
      <c r="X286" s="815"/>
      <c r="Y286" s="814"/>
      <c r="Z286" s="1740"/>
      <c r="AE286" s="2461"/>
      <c r="AF286" s="68"/>
    </row>
    <row r="287" spans="1:32" x14ac:dyDescent="0.35">
      <c r="A287" s="1576"/>
      <c r="B287" s="1574">
        <v>11608</v>
      </c>
      <c r="C287" s="1574"/>
      <c r="D287" s="1577"/>
      <c r="E287" s="1195" t="s">
        <v>10612</v>
      </c>
      <c r="F287" s="811">
        <v>4</v>
      </c>
      <c r="G287" s="812">
        <v>4</v>
      </c>
      <c r="H287" s="812">
        <v>6</v>
      </c>
      <c r="I287" s="813"/>
      <c r="J287" s="813"/>
      <c r="K287" s="813"/>
      <c r="L287" s="813"/>
      <c r="M287" s="1191"/>
      <c r="N287" s="813"/>
      <c r="O287" s="819"/>
      <c r="P287" s="813"/>
      <c r="Q287" s="1187">
        <f>17.749-13.23</f>
        <v>4.5189999999999984</v>
      </c>
      <c r="R287" s="1183"/>
      <c r="S287" s="814"/>
      <c r="T287" s="815"/>
      <c r="U287" s="815"/>
      <c r="V287" s="815"/>
      <c r="W287" s="814"/>
      <c r="X287" s="815"/>
      <c r="Y287" s="814"/>
      <c r="Z287" s="1740"/>
      <c r="AE287" s="2461"/>
      <c r="AF287" s="68"/>
    </row>
    <row r="288" spans="1:32" ht="45" x14ac:dyDescent="0.35">
      <c r="A288" s="1573">
        <v>136</v>
      </c>
      <c r="B288" s="1574">
        <v>11608</v>
      </c>
      <c r="C288" s="1574"/>
      <c r="D288" s="2473" t="s">
        <v>6645</v>
      </c>
      <c r="E288" s="817" t="s">
        <v>8082</v>
      </c>
      <c r="F288" s="811" t="s">
        <v>827</v>
      </c>
      <c r="G288" s="812">
        <v>5</v>
      </c>
      <c r="H288" s="812">
        <v>6</v>
      </c>
      <c r="I288" s="808">
        <f t="shared" ref="I288:I293" si="22">J288+K288+L288</f>
        <v>0.88</v>
      </c>
      <c r="J288" s="808">
        <f>SUM(M288:R288)</f>
        <v>0.88</v>
      </c>
      <c r="K288" s="808"/>
      <c r="L288" s="808"/>
      <c r="M288" s="1190"/>
      <c r="N288" s="808"/>
      <c r="O288" s="820"/>
      <c r="P288" s="808"/>
      <c r="Q288" s="1186"/>
      <c r="R288" s="1182">
        <v>0.88</v>
      </c>
      <c r="S288" s="809"/>
      <c r="T288" s="810"/>
      <c r="U288" s="810"/>
      <c r="V288" s="810"/>
      <c r="W288" s="809"/>
      <c r="X288" s="810"/>
      <c r="Y288" s="809"/>
      <c r="Z288" s="1739"/>
      <c r="AB288" s="176">
        <v>1</v>
      </c>
      <c r="AE288" s="2461"/>
      <c r="AF288" s="68"/>
    </row>
    <row r="289" spans="1:32" ht="60" x14ac:dyDescent="0.35">
      <c r="A289" s="1573">
        <v>137</v>
      </c>
      <c r="B289" s="1574">
        <v>11608</v>
      </c>
      <c r="C289" s="1574"/>
      <c r="D289" s="2473" t="s">
        <v>6971</v>
      </c>
      <c r="E289" s="817" t="s">
        <v>10365</v>
      </c>
      <c r="F289" s="811" t="s">
        <v>827</v>
      </c>
      <c r="G289" s="812">
        <v>5</v>
      </c>
      <c r="H289" s="812">
        <v>6</v>
      </c>
      <c r="I289" s="808">
        <f t="shared" si="22"/>
        <v>0.32</v>
      </c>
      <c r="J289" s="808">
        <f>SUM(M289:R289)</f>
        <v>0.32</v>
      </c>
      <c r="K289" s="808"/>
      <c r="L289" s="808"/>
      <c r="M289" s="1190"/>
      <c r="N289" s="808"/>
      <c r="O289" s="820"/>
      <c r="P289" s="808"/>
      <c r="Q289" s="1186"/>
      <c r="R289" s="1182">
        <v>0.32</v>
      </c>
      <c r="S289" s="809"/>
      <c r="T289" s="810"/>
      <c r="U289" s="810"/>
      <c r="V289" s="810"/>
      <c r="W289" s="809"/>
      <c r="X289" s="810"/>
      <c r="Y289" s="809"/>
      <c r="Z289" s="1739"/>
      <c r="AB289" s="176">
        <v>1</v>
      </c>
      <c r="AE289" s="2461"/>
      <c r="AF289" s="68"/>
    </row>
    <row r="290" spans="1:32" ht="45" x14ac:dyDescent="0.35">
      <c r="A290" s="1573">
        <v>138</v>
      </c>
      <c r="B290" s="1574">
        <v>11608</v>
      </c>
      <c r="C290" s="1052" t="s">
        <v>1656</v>
      </c>
      <c r="D290" s="2473" t="s">
        <v>6646</v>
      </c>
      <c r="E290" s="2187" t="s">
        <v>10888</v>
      </c>
      <c r="F290" s="811" t="s">
        <v>664</v>
      </c>
      <c r="G290" s="93">
        <v>5</v>
      </c>
      <c r="H290" s="812">
        <v>6</v>
      </c>
      <c r="I290" s="2157">
        <f t="shared" si="22"/>
        <v>0.4</v>
      </c>
      <c r="J290" s="2157">
        <f>M290+N290+O290+P290+Q290+R290</f>
        <v>0.4</v>
      </c>
      <c r="K290" s="490"/>
      <c r="L290" s="490"/>
      <c r="M290" s="490"/>
      <c r="N290" s="490"/>
      <c r="O290" s="490"/>
      <c r="P290" s="490"/>
      <c r="Q290" s="2182"/>
      <c r="R290" s="906">
        <v>0.4</v>
      </c>
      <c r="S290" s="101"/>
      <c r="T290" s="101"/>
      <c r="U290" s="101"/>
      <c r="V290" s="101"/>
      <c r="W290" s="1969"/>
      <c r="X290" s="1969"/>
      <c r="Y290" s="1969"/>
      <c r="Z290" s="2186"/>
      <c r="AB290" s="176">
        <v>1</v>
      </c>
      <c r="AE290" s="2461"/>
      <c r="AF290" s="68"/>
    </row>
    <row r="291" spans="1:32" ht="60" x14ac:dyDescent="0.35">
      <c r="A291" s="1573">
        <v>139</v>
      </c>
      <c r="B291" s="1574">
        <v>11608</v>
      </c>
      <c r="C291" s="1052" t="s">
        <v>1656</v>
      </c>
      <c r="D291" s="2473" t="s">
        <v>6647</v>
      </c>
      <c r="E291" s="807" t="s">
        <v>9116</v>
      </c>
      <c r="F291" s="811" t="s">
        <v>664</v>
      </c>
      <c r="G291" s="93">
        <v>5</v>
      </c>
      <c r="H291" s="812">
        <v>6</v>
      </c>
      <c r="I291" s="2157">
        <f t="shared" si="22"/>
        <v>0.5</v>
      </c>
      <c r="J291" s="2157">
        <f>M291+N291+O291+P291+Q291+R291</f>
        <v>0.5</v>
      </c>
      <c r="K291" s="490"/>
      <c r="L291" s="490"/>
      <c r="M291" s="490"/>
      <c r="N291" s="490"/>
      <c r="O291" s="490"/>
      <c r="P291" s="490"/>
      <c r="Q291" s="2182"/>
      <c r="R291" s="906">
        <v>0.5</v>
      </c>
      <c r="S291" s="101"/>
      <c r="T291" s="101"/>
      <c r="U291" s="101"/>
      <c r="V291" s="101"/>
      <c r="W291" s="1969"/>
      <c r="X291" s="1969"/>
      <c r="Y291" s="1969"/>
      <c r="Z291" s="2186"/>
      <c r="AB291" s="176">
        <v>1</v>
      </c>
      <c r="AE291" s="2461"/>
      <c r="AF291" s="68"/>
    </row>
    <row r="292" spans="1:32" ht="45" x14ac:dyDescent="0.35">
      <c r="A292" s="1573">
        <v>140</v>
      </c>
      <c r="B292" s="1574">
        <v>11608</v>
      </c>
      <c r="C292" s="1052" t="s">
        <v>1656</v>
      </c>
      <c r="D292" s="2473" t="s">
        <v>6648</v>
      </c>
      <c r="E292" s="2187" t="s">
        <v>9305</v>
      </c>
      <c r="F292" s="811" t="s">
        <v>827</v>
      </c>
      <c r="G292" s="812">
        <v>5</v>
      </c>
      <c r="H292" s="812">
        <v>6</v>
      </c>
      <c r="I292" s="808">
        <f t="shared" si="22"/>
        <v>1.2</v>
      </c>
      <c r="J292" s="808">
        <f>SUM(M292:R292)</f>
        <v>1.2</v>
      </c>
      <c r="K292" s="490"/>
      <c r="L292" s="490"/>
      <c r="M292" s="490"/>
      <c r="N292" s="490"/>
      <c r="O292" s="490"/>
      <c r="P292" s="490"/>
      <c r="Q292" s="2182"/>
      <c r="R292" s="906">
        <v>1.2</v>
      </c>
      <c r="S292" s="101"/>
      <c r="T292" s="101"/>
      <c r="U292" s="101"/>
      <c r="V292" s="101"/>
      <c r="W292" s="1969"/>
      <c r="X292" s="1969"/>
      <c r="Y292" s="1969"/>
      <c r="Z292" s="2186"/>
      <c r="AB292" s="176">
        <v>1</v>
      </c>
      <c r="AE292" s="2461"/>
      <c r="AF292" s="68"/>
    </row>
    <row r="293" spans="1:32" ht="30" x14ac:dyDescent="0.35">
      <c r="A293" s="1573">
        <v>141</v>
      </c>
      <c r="B293" s="1574">
        <v>11609</v>
      </c>
      <c r="C293" s="1574"/>
      <c r="D293" s="1575" t="s">
        <v>3344</v>
      </c>
      <c r="E293" s="807" t="s">
        <v>6972</v>
      </c>
      <c r="F293" s="811"/>
      <c r="G293" s="812" t="s">
        <v>191</v>
      </c>
      <c r="H293" s="812" t="s">
        <v>191</v>
      </c>
      <c r="I293" s="808">
        <f t="shared" si="22"/>
        <v>9.4</v>
      </c>
      <c r="J293" s="808">
        <f>SUM(M293:R293)</f>
        <v>9.4</v>
      </c>
      <c r="K293" s="808"/>
      <c r="L293" s="808"/>
      <c r="M293" s="1190"/>
      <c r="N293" s="2708"/>
      <c r="O293" s="820"/>
      <c r="P293" s="808"/>
      <c r="Q293" s="1186">
        <f>SUM(Q294:Q295)</f>
        <v>9.4</v>
      </c>
      <c r="R293" s="1182"/>
      <c r="S293" s="809"/>
      <c r="T293" s="810"/>
      <c r="U293" s="810"/>
      <c r="V293" s="810"/>
      <c r="W293" s="809">
        <v>13</v>
      </c>
      <c r="X293" s="810">
        <v>166.13</v>
      </c>
      <c r="Y293" s="809">
        <v>3</v>
      </c>
      <c r="Z293" s="1739">
        <v>30</v>
      </c>
      <c r="AB293" s="176">
        <v>1</v>
      </c>
      <c r="AE293" s="2461"/>
      <c r="AF293" s="68"/>
    </row>
    <row r="294" spans="1:32" x14ac:dyDescent="0.35">
      <c r="A294" s="1576"/>
      <c r="B294" s="1574">
        <v>11609</v>
      </c>
      <c r="C294" s="1574"/>
      <c r="D294" s="1577"/>
      <c r="E294" s="1195" t="s">
        <v>3227</v>
      </c>
      <c r="F294" s="811">
        <v>4</v>
      </c>
      <c r="G294" s="812">
        <v>4</v>
      </c>
      <c r="H294" s="812">
        <v>6</v>
      </c>
      <c r="I294" s="813"/>
      <c r="J294" s="813"/>
      <c r="K294" s="813"/>
      <c r="L294" s="813"/>
      <c r="M294" s="1191"/>
      <c r="N294" s="2849"/>
      <c r="O294" s="819"/>
      <c r="P294" s="813"/>
      <c r="Q294" s="1187">
        <v>1.075</v>
      </c>
      <c r="R294" s="1183"/>
      <c r="S294" s="814"/>
      <c r="T294" s="815"/>
      <c r="U294" s="815"/>
      <c r="V294" s="815"/>
      <c r="W294" s="814"/>
      <c r="X294" s="815"/>
      <c r="Y294" s="814"/>
      <c r="Z294" s="1740"/>
      <c r="AE294" s="2461"/>
      <c r="AF294" s="68"/>
    </row>
    <row r="295" spans="1:32" x14ac:dyDescent="0.35">
      <c r="A295" s="1576"/>
      <c r="B295" s="1574">
        <v>11609</v>
      </c>
      <c r="C295" s="1574"/>
      <c r="D295" s="1577"/>
      <c r="E295" s="1195" t="s">
        <v>3228</v>
      </c>
      <c r="F295" s="811">
        <v>4</v>
      </c>
      <c r="G295" s="812">
        <v>4</v>
      </c>
      <c r="H295" s="812">
        <v>6</v>
      </c>
      <c r="I295" s="813"/>
      <c r="J295" s="813"/>
      <c r="K295" s="813"/>
      <c r="L295" s="813"/>
      <c r="M295" s="1191"/>
      <c r="N295" s="813"/>
      <c r="O295" s="819"/>
      <c r="P295" s="813"/>
      <c r="Q295" s="1187">
        <f>9.4-1.075</f>
        <v>8.3250000000000011</v>
      </c>
      <c r="R295" s="1183"/>
      <c r="S295" s="814"/>
      <c r="T295" s="815"/>
      <c r="U295" s="815"/>
      <c r="V295" s="815"/>
      <c r="W295" s="814"/>
      <c r="X295" s="815"/>
      <c r="Y295" s="814"/>
      <c r="Z295" s="1740"/>
      <c r="AE295" s="2461"/>
      <c r="AF295" s="68"/>
    </row>
    <row r="296" spans="1:32" ht="45" x14ac:dyDescent="0.35">
      <c r="A296" s="1573">
        <v>142</v>
      </c>
      <c r="B296" s="1574">
        <v>11609</v>
      </c>
      <c r="C296" s="1574"/>
      <c r="D296" s="2473" t="s">
        <v>6649</v>
      </c>
      <c r="E296" s="817" t="s">
        <v>8083</v>
      </c>
      <c r="F296" s="811" t="s">
        <v>1490</v>
      </c>
      <c r="G296" s="812">
        <v>5</v>
      </c>
      <c r="H296" s="812">
        <v>6</v>
      </c>
      <c r="I296" s="808">
        <f>J296+K296+L296</f>
        <v>1.3</v>
      </c>
      <c r="J296" s="808">
        <f>SUM(M296:R296)</f>
        <v>1.3</v>
      </c>
      <c r="K296" s="808"/>
      <c r="L296" s="808"/>
      <c r="M296" s="1190"/>
      <c r="N296" s="808"/>
      <c r="O296" s="820"/>
      <c r="P296" s="808"/>
      <c r="Q296" s="1186"/>
      <c r="R296" s="1182">
        <v>1.3</v>
      </c>
      <c r="S296" s="809"/>
      <c r="T296" s="810"/>
      <c r="U296" s="810"/>
      <c r="V296" s="810"/>
      <c r="W296" s="809">
        <v>1</v>
      </c>
      <c r="X296" s="810">
        <v>10</v>
      </c>
      <c r="Y296" s="809"/>
      <c r="Z296" s="1739"/>
      <c r="AB296" s="176">
        <v>1</v>
      </c>
      <c r="AE296" s="2461"/>
      <c r="AF296" s="68"/>
    </row>
    <row r="297" spans="1:32" ht="60" x14ac:dyDescent="0.35">
      <c r="A297" s="1573">
        <v>143</v>
      </c>
      <c r="B297" s="1574">
        <v>11609</v>
      </c>
      <c r="C297" s="1574"/>
      <c r="D297" s="2473" t="s">
        <v>6973</v>
      </c>
      <c r="E297" s="817" t="s">
        <v>8084</v>
      </c>
      <c r="F297" s="811" t="s">
        <v>1490</v>
      </c>
      <c r="G297" s="812">
        <v>5</v>
      </c>
      <c r="H297" s="812">
        <v>6</v>
      </c>
      <c r="I297" s="808">
        <f>J297+K297+L297</f>
        <v>0.5</v>
      </c>
      <c r="J297" s="808">
        <f>SUM(M297:R297)</f>
        <v>0.5</v>
      </c>
      <c r="K297" s="808"/>
      <c r="L297" s="808"/>
      <c r="M297" s="1190"/>
      <c r="N297" s="808"/>
      <c r="O297" s="820"/>
      <c r="P297" s="808"/>
      <c r="Q297" s="1186"/>
      <c r="R297" s="1182">
        <v>0.5</v>
      </c>
      <c r="S297" s="809"/>
      <c r="T297" s="810"/>
      <c r="U297" s="810"/>
      <c r="V297" s="810"/>
      <c r="W297" s="809"/>
      <c r="X297" s="810"/>
      <c r="Y297" s="809"/>
      <c r="Z297" s="1739"/>
      <c r="AB297" s="176">
        <v>1</v>
      </c>
      <c r="AE297" s="2461"/>
      <c r="AF297" s="68"/>
    </row>
    <row r="298" spans="1:32" ht="30" x14ac:dyDescent="0.35">
      <c r="A298" s="1573">
        <v>144</v>
      </c>
      <c r="B298" s="1574">
        <v>11610</v>
      </c>
      <c r="C298" s="1574"/>
      <c r="D298" s="1575" t="s">
        <v>2099</v>
      </c>
      <c r="E298" s="807" t="s">
        <v>6974</v>
      </c>
      <c r="F298" s="811" t="s">
        <v>664</v>
      </c>
      <c r="G298" s="812">
        <v>5</v>
      </c>
      <c r="H298" s="812">
        <v>6</v>
      </c>
      <c r="I298" s="808">
        <f>J298+K298+L298</f>
        <v>3.3</v>
      </c>
      <c r="J298" s="808">
        <f>SUM(M298:R298)</f>
        <v>3.3</v>
      </c>
      <c r="K298" s="808"/>
      <c r="L298" s="808"/>
      <c r="M298" s="1190"/>
      <c r="N298" s="808"/>
      <c r="O298" s="820"/>
      <c r="P298" s="808"/>
      <c r="Q298" s="1186"/>
      <c r="R298" s="1182">
        <v>3.3</v>
      </c>
      <c r="S298" s="809"/>
      <c r="T298" s="810"/>
      <c r="U298" s="810"/>
      <c r="V298" s="810"/>
      <c r="W298" s="809"/>
      <c r="X298" s="810"/>
      <c r="Y298" s="809"/>
      <c r="Z298" s="1739"/>
      <c r="AB298" s="176">
        <v>1</v>
      </c>
      <c r="AC298" s="62" t="s">
        <v>3388</v>
      </c>
      <c r="AD298" s="353">
        <v>36801</v>
      </c>
      <c r="AE298" s="2461"/>
      <c r="AF298" s="68"/>
    </row>
    <row r="299" spans="1:32" ht="45" x14ac:dyDescent="0.35">
      <c r="A299" s="1573">
        <v>145</v>
      </c>
      <c r="B299" s="1574">
        <v>11611</v>
      </c>
      <c r="C299" s="1574"/>
      <c r="D299" s="1575" t="s">
        <v>2100</v>
      </c>
      <c r="E299" s="807" t="s">
        <v>6975</v>
      </c>
      <c r="F299" s="811"/>
      <c r="G299" s="812" t="s">
        <v>191</v>
      </c>
      <c r="H299" s="812" t="s">
        <v>191</v>
      </c>
      <c r="I299" s="808">
        <f>J299+K299+L299</f>
        <v>9.6890000000000001</v>
      </c>
      <c r="J299" s="808">
        <f>SUM(M299:R299)</f>
        <v>9.6890000000000001</v>
      </c>
      <c r="K299" s="808"/>
      <c r="L299" s="808"/>
      <c r="M299" s="1190"/>
      <c r="N299" s="808">
        <f>SUM(N300:N304)</f>
        <v>0.11100000000000057</v>
      </c>
      <c r="O299" s="820"/>
      <c r="P299" s="808"/>
      <c r="Q299" s="1186">
        <f>SUM(Q300:Q304)</f>
        <v>4.835</v>
      </c>
      <c r="R299" s="1182">
        <f>SUM(R300:R304)</f>
        <v>4.7429999999999994</v>
      </c>
      <c r="S299" s="809"/>
      <c r="T299" s="810"/>
      <c r="U299" s="810"/>
      <c r="V299" s="810"/>
      <c r="W299" s="809">
        <v>3</v>
      </c>
      <c r="X299" s="810">
        <v>31.7</v>
      </c>
      <c r="Y299" s="809"/>
      <c r="Z299" s="1739"/>
      <c r="AB299" s="176">
        <v>1</v>
      </c>
      <c r="AE299" s="2461"/>
      <c r="AF299" s="68"/>
    </row>
    <row r="300" spans="1:32" x14ac:dyDescent="0.35">
      <c r="A300" s="1576"/>
      <c r="B300" s="1574">
        <v>11611</v>
      </c>
      <c r="C300" s="1574"/>
      <c r="D300" s="1577"/>
      <c r="E300" s="816" t="s">
        <v>3490</v>
      </c>
      <c r="F300" s="811">
        <v>5</v>
      </c>
      <c r="G300" s="812">
        <v>5</v>
      </c>
      <c r="H300" s="812">
        <v>6</v>
      </c>
      <c r="I300" s="813"/>
      <c r="J300" s="813"/>
      <c r="K300" s="813"/>
      <c r="L300" s="813"/>
      <c r="M300" s="1191"/>
      <c r="N300" s="813">
        <v>9.6000000000000002E-2</v>
      </c>
      <c r="O300" s="819"/>
      <c r="P300" s="813"/>
      <c r="Q300" s="1187"/>
      <c r="R300" s="1183"/>
      <c r="S300" s="814"/>
      <c r="T300" s="815"/>
      <c r="U300" s="815"/>
      <c r="V300" s="815"/>
      <c r="W300" s="814"/>
      <c r="X300" s="815"/>
      <c r="Y300" s="814"/>
      <c r="Z300" s="1740"/>
      <c r="AE300" s="2461"/>
      <c r="AF300" s="68"/>
    </row>
    <row r="301" spans="1:32" x14ac:dyDescent="0.35">
      <c r="A301" s="1576"/>
      <c r="B301" s="1574">
        <v>11611</v>
      </c>
      <c r="C301" s="1574"/>
      <c r="D301" s="1577"/>
      <c r="E301" s="1195" t="s">
        <v>3491</v>
      </c>
      <c r="F301" s="811">
        <v>5</v>
      </c>
      <c r="G301" s="812">
        <v>5</v>
      </c>
      <c r="H301" s="812">
        <v>6</v>
      </c>
      <c r="I301" s="813"/>
      <c r="J301" s="813"/>
      <c r="K301" s="813"/>
      <c r="L301" s="813"/>
      <c r="M301" s="1191"/>
      <c r="N301" s="813"/>
      <c r="O301" s="819"/>
      <c r="P301" s="813"/>
      <c r="Q301" s="1187">
        <f>3.957-0.096</f>
        <v>3.8609999999999998</v>
      </c>
      <c r="R301" s="1183"/>
      <c r="S301" s="814"/>
      <c r="T301" s="815"/>
      <c r="U301" s="815"/>
      <c r="V301" s="815"/>
      <c r="W301" s="814"/>
      <c r="X301" s="815"/>
      <c r="Y301" s="814"/>
      <c r="Z301" s="1740"/>
      <c r="AE301" s="2461"/>
      <c r="AF301" s="68"/>
    </row>
    <row r="302" spans="1:32" x14ac:dyDescent="0.35">
      <c r="A302" s="1576"/>
      <c r="B302" s="1574">
        <v>11611</v>
      </c>
      <c r="C302" s="1574"/>
      <c r="D302" s="1577"/>
      <c r="E302" s="1192" t="s">
        <v>3492</v>
      </c>
      <c r="F302" s="811" t="s">
        <v>1490</v>
      </c>
      <c r="G302" s="812">
        <v>5</v>
      </c>
      <c r="H302" s="812">
        <v>6</v>
      </c>
      <c r="I302" s="813"/>
      <c r="J302" s="813"/>
      <c r="K302" s="813"/>
      <c r="L302" s="813"/>
      <c r="M302" s="1191"/>
      <c r="N302" s="813"/>
      <c r="O302" s="819"/>
      <c r="P302" s="813"/>
      <c r="Q302" s="1187"/>
      <c r="R302" s="1183">
        <f>8.7-3.957</f>
        <v>4.7429999999999994</v>
      </c>
      <c r="S302" s="814"/>
      <c r="T302" s="815"/>
      <c r="U302" s="815"/>
      <c r="V302" s="815"/>
      <c r="W302" s="814"/>
      <c r="X302" s="815"/>
      <c r="Y302" s="814"/>
      <c r="Z302" s="1740"/>
      <c r="AE302" s="2461"/>
      <c r="AF302" s="68"/>
    </row>
    <row r="303" spans="1:32" x14ac:dyDescent="0.35">
      <c r="A303" s="1576"/>
      <c r="B303" s="1574">
        <v>11611</v>
      </c>
      <c r="C303" s="1574"/>
      <c r="D303" s="1577"/>
      <c r="E303" s="1195" t="s">
        <v>3493</v>
      </c>
      <c r="F303" s="811" t="s">
        <v>827</v>
      </c>
      <c r="G303" s="812">
        <v>5</v>
      </c>
      <c r="H303" s="812">
        <v>6</v>
      </c>
      <c r="I303" s="813"/>
      <c r="J303" s="813"/>
      <c r="K303" s="813"/>
      <c r="L303" s="813"/>
      <c r="M303" s="1191"/>
      <c r="N303" s="813"/>
      <c r="O303" s="819"/>
      <c r="P303" s="813"/>
      <c r="Q303" s="1187">
        <f>9.674-8.7</f>
        <v>0.9740000000000002</v>
      </c>
      <c r="R303" s="1183"/>
      <c r="S303" s="814"/>
      <c r="T303" s="815"/>
      <c r="U303" s="815"/>
      <c r="V303" s="815"/>
      <c r="W303" s="814"/>
      <c r="X303" s="815"/>
      <c r="Y303" s="814"/>
      <c r="Z303" s="1740"/>
      <c r="AE303" s="2461"/>
      <c r="AF303" s="68"/>
    </row>
    <row r="304" spans="1:32" x14ac:dyDescent="0.35">
      <c r="A304" s="1576"/>
      <c r="B304" s="1574">
        <v>11611</v>
      </c>
      <c r="C304" s="1574"/>
      <c r="D304" s="1577"/>
      <c r="E304" s="816" t="s">
        <v>3494</v>
      </c>
      <c r="F304" s="811">
        <v>5</v>
      </c>
      <c r="G304" s="812">
        <v>5</v>
      </c>
      <c r="H304" s="812">
        <v>6</v>
      </c>
      <c r="I304" s="813"/>
      <c r="J304" s="813"/>
      <c r="K304" s="813"/>
      <c r="L304" s="813"/>
      <c r="M304" s="1191"/>
      <c r="N304" s="813">
        <f>9.689-9.674</f>
        <v>1.5000000000000568E-2</v>
      </c>
      <c r="O304" s="819"/>
      <c r="P304" s="813"/>
      <c r="Q304" s="1187"/>
      <c r="R304" s="1183"/>
      <c r="S304" s="814"/>
      <c r="T304" s="815"/>
      <c r="U304" s="815"/>
      <c r="V304" s="815"/>
      <c r="W304" s="814"/>
      <c r="X304" s="815"/>
      <c r="Y304" s="814"/>
      <c r="Z304" s="1740"/>
      <c r="AE304" s="2461"/>
      <c r="AF304" s="68"/>
    </row>
    <row r="305" spans="1:32" ht="60" x14ac:dyDescent="0.35">
      <c r="A305" s="696">
        <v>146</v>
      </c>
      <c r="B305" s="1052">
        <v>11611</v>
      </c>
      <c r="C305" s="1052" t="s">
        <v>1656</v>
      </c>
      <c r="D305" s="2473" t="s">
        <v>6650</v>
      </c>
      <c r="E305" s="2187" t="s">
        <v>9117</v>
      </c>
      <c r="F305" s="811" t="s">
        <v>1490</v>
      </c>
      <c r="G305" s="93">
        <v>5</v>
      </c>
      <c r="H305" s="812">
        <v>6</v>
      </c>
      <c r="I305" s="2157">
        <f t="shared" ref="I305:I313" si="23">J305+K305+L305</f>
        <v>0.3</v>
      </c>
      <c r="J305" s="2157">
        <f>M305+N305+O305+P305+Q305+R305</f>
        <v>0.3</v>
      </c>
      <c r="K305" s="490"/>
      <c r="L305" s="490"/>
      <c r="M305" s="490"/>
      <c r="N305" s="490"/>
      <c r="O305" s="490"/>
      <c r="P305" s="490"/>
      <c r="Q305" s="2182"/>
      <c r="R305" s="906">
        <v>0.3</v>
      </c>
      <c r="S305" s="101"/>
      <c r="T305" s="101"/>
      <c r="U305" s="101"/>
      <c r="V305" s="101"/>
      <c r="W305" s="1969"/>
      <c r="X305" s="1969"/>
      <c r="Y305" s="1969"/>
      <c r="Z305" s="2186"/>
      <c r="AB305" s="176">
        <v>1</v>
      </c>
      <c r="AE305" s="2461"/>
      <c r="AF305" s="68"/>
    </row>
    <row r="306" spans="1:32" ht="60" x14ac:dyDescent="0.35">
      <c r="A306" s="696">
        <v>147</v>
      </c>
      <c r="B306" s="1052">
        <v>11611</v>
      </c>
      <c r="C306" s="1052" t="s">
        <v>1656</v>
      </c>
      <c r="D306" s="2473" t="s">
        <v>6651</v>
      </c>
      <c r="E306" s="807" t="s">
        <v>9118</v>
      </c>
      <c r="F306" s="811" t="s">
        <v>664</v>
      </c>
      <c r="G306" s="812">
        <v>5</v>
      </c>
      <c r="H306" s="812">
        <v>6</v>
      </c>
      <c r="I306" s="808">
        <f t="shared" si="23"/>
        <v>0.4</v>
      </c>
      <c r="J306" s="808">
        <f t="shared" ref="J306:J313" si="24">SUM(M306:R306)</f>
        <v>0.4</v>
      </c>
      <c r="K306" s="490"/>
      <c r="L306" s="490"/>
      <c r="M306" s="490"/>
      <c r="N306" s="490"/>
      <c r="O306" s="490"/>
      <c r="P306" s="490"/>
      <c r="Q306" s="2182"/>
      <c r="R306" s="906">
        <v>0.4</v>
      </c>
      <c r="S306" s="101"/>
      <c r="T306" s="101"/>
      <c r="U306" s="101"/>
      <c r="V306" s="101"/>
      <c r="W306" s="1969"/>
      <c r="X306" s="1969"/>
      <c r="Y306" s="1969"/>
      <c r="Z306" s="2186"/>
      <c r="AB306" s="176">
        <v>1</v>
      </c>
      <c r="AE306" s="2461"/>
      <c r="AF306" s="68"/>
    </row>
    <row r="307" spans="1:32" ht="60" x14ac:dyDescent="0.35">
      <c r="A307" s="696">
        <v>148</v>
      </c>
      <c r="B307" s="1052">
        <v>11611</v>
      </c>
      <c r="C307" s="1052" t="s">
        <v>1656</v>
      </c>
      <c r="D307" s="2473" t="s">
        <v>6652</v>
      </c>
      <c r="E307" s="807" t="s">
        <v>9119</v>
      </c>
      <c r="F307" s="811" t="s">
        <v>664</v>
      </c>
      <c r="G307" s="812">
        <v>5</v>
      </c>
      <c r="H307" s="812">
        <v>6</v>
      </c>
      <c r="I307" s="808">
        <f t="shared" si="23"/>
        <v>0.43</v>
      </c>
      <c r="J307" s="808">
        <f t="shared" si="24"/>
        <v>0.43</v>
      </c>
      <c r="K307" s="490"/>
      <c r="L307" s="490"/>
      <c r="M307" s="490"/>
      <c r="N307" s="490"/>
      <c r="O307" s="490"/>
      <c r="P307" s="490"/>
      <c r="Q307" s="2182"/>
      <c r="R307" s="906">
        <v>0.43</v>
      </c>
      <c r="S307" s="101"/>
      <c r="T307" s="101"/>
      <c r="U307" s="101"/>
      <c r="V307" s="101"/>
      <c r="W307" s="1969"/>
      <c r="X307" s="1969"/>
      <c r="Y307" s="1969"/>
      <c r="Z307" s="2186"/>
      <c r="AB307" s="176">
        <v>1</v>
      </c>
      <c r="AE307" s="2461"/>
      <c r="AF307" s="68"/>
    </row>
    <row r="308" spans="1:32" ht="30" x14ac:dyDescent="0.35">
      <c r="A308" s="696">
        <v>149</v>
      </c>
      <c r="B308" s="1574">
        <v>11612</v>
      </c>
      <c r="C308" s="1574"/>
      <c r="D308" s="1575" t="s">
        <v>2101</v>
      </c>
      <c r="E308" s="807" t="s">
        <v>6976</v>
      </c>
      <c r="F308" s="811">
        <v>5</v>
      </c>
      <c r="G308" s="812">
        <v>5</v>
      </c>
      <c r="H308" s="812">
        <v>6</v>
      </c>
      <c r="I308" s="808">
        <f t="shared" si="23"/>
        <v>3.3</v>
      </c>
      <c r="J308" s="808">
        <f t="shared" si="24"/>
        <v>3.3</v>
      </c>
      <c r="K308" s="808"/>
      <c r="L308" s="808"/>
      <c r="M308" s="1190"/>
      <c r="N308" s="808"/>
      <c r="O308" s="820"/>
      <c r="P308" s="808"/>
      <c r="Q308" s="1186">
        <v>3.3</v>
      </c>
      <c r="R308" s="1182"/>
      <c r="S308" s="809"/>
      <c r="T308" s="810"/>
      <c r="U308" s="810"/>
      <c r="V308" s="810"/>
      <c r="W308" s="809"/>
      <c r="X308" s="810"/>
      <c r="Y308" s="809"/>
      <c r="Z308" s="1739"/>
      <c r="AB308" s="176">
        <v>1</v>
      </c>
      <c r="AE308" s="2461"/>
      <c r="AF308" s="68"/>
    </row>
    <row r="309" spans="1:32" ht="30" x14ac:dyDescent="0.35">
      <c r="A309" s="696">
        <v>150</v>
      </c>
      <c r="B309" s="1574">
        <v>11613</v>
      </c>
      <c r="C309" s="1574"/>
      <c r="D309" s="1575" t="s">
        <v>2102</v>
      </c>
      <c r="E309" s="807" t="s">
        <v>6978</v>
      </c>
      <c r="F309" s="811" t="s">
        <v>664</v>
      </c>
      <c r="G309" s="812">
        <v>5</v>
      </c>
      <c r="H309" s="812">
        <v>6</v>
      </c>
      <c r="I309" s="808">
        <f t="shared" si="23"/>
        <v>3.2</v>
      </c>
      <c r="J309" s="808">
        <f t="shared" si="24"/>
        <v>3.2</v>
      </c>
      <c r="K309" s="808"/>
      <c r="L309" s="808"/>
      <c r="M309" s="1190"/>
      <c r="N309" s="808"/>
      <c r="O309" s="820"/>
      <c r="P309" s="808"/>
      <c r="Q309" s="1186"/>
      <c r="R309" s="1182">
        <v>3.2</v>
      </c>
      <c r="S309" s="809"/>
      <c r="T309" s="810"/>
      <c r="U309" s="810"/>
      <c r="V309" s="810"/>
      <c r="W309" s="809">
        <v>3</v>
      </c>
      <c r="X309" s="810">
        <v>45</v>
      </c>
      <c r="Y309" s="809"/>
      <c r="Z309" s="1739"/>
      <c r="AB309" s="176">
        <v>1</v>
      </c>
      <c r="AE309" s="2461"/>
      <c r="AF309" s="68"/>
    </row>
    <row r="310" spans="1:32" ht="30" x14ac:dyDescent="0.35">
      <c r="A310" s="696">
        <v>151</v>
      </c>
      <c r="B310" s="1574">
        <v>11613</v>
      </c>
      <c r="C310" s="1574"/>
      <c r="D310" s="2473" t="s">
        <v>6977</v>
      </c>
      <c r="E310" s="807" t="s">
        <v>8085</v>
      </c>
      <c r="F310" s="811" t="s">
        <v>664</v>
      </c>
      <c r="G310" s="812">
        <v>5</v>
      </c>
      <c r="H310" s="812">
        <v>6</v>
      </c>
      <c r="I310" s="808">
        <f>J310+K310+L310</f>
        <v>2.2000000000000002</v>
      </c>
      <c r="J310" s="808">
        <f>SUM(M310:R310)</f>
        <v>2.2000000000000002</v>
      </c>
      <c r="K310" s="808"/>
      <c r="L310" s="808"/>
      <c r="M310" s="1190"/>
      <c r="N310" s="808"/>
      <c r="O310" s="820"/>
      <c r="P310" s="808"/>
      <c r="Q310" s="1186"/>
      <c r="R310" s="1182">
        <v>2.2000000000000002</v>
      </c>
      <c r="S310" s="809"/>
      <c r="T310" s="810"/>
      <c r="U310" s="810"/>
      <c r="V310" s="810"/>
      <c r="W310" s="809"/>
      <c r="X310" s="810"/>
      <c r="Y310" s="809"/>
      <c r="Z310" s="1739"/>
      <c r="AB310" s="176">
        <v>1</v>
      </c>
      <c r="AE310" s="2461"/>
      <c r="AF310" s="68"/>
    </row>
    <row r="311" spans="1:32" ht="30" x14ac:dyDescent="0.35">
      <c r="A311" s="696">
        <v>152</v>
      </c>
      <c r="B311" s="1574">
        <v>11613</v>
      </c>
      <c r="C311" s="1052" t="s">
        <v>1656</v>
      </c>
      <c r="D311" s="2473" t="s">
        <v>6653</v>
      </c>
      <c r="E311" s="817" t="s">
        <v>9120</v>
      </c>
      <c r="F311" s="811" t="s">
        <v>664</v>
      </c>
      <c r="G311" s="812">
        <v>5</v>
      </c>
      <c r="H311" s="812">
        <v>6</v>
      </c>
      <c r="I311" s="808">
        <f t="shared" si="23"/>
        <v>0.3</v>
      </c>
      <c r="J311" s="808">
        <f t="shared" si="24"/>
        <v>0.3</v>
      </c>
      <c r="K311" s="808"/>
      <c r="L311" s="808"/>
      <c r="M311" s="1190"/>
      <c r="N311" s="808"/>
      <c r="O311" s="820"/>
      <c r="P311" s="808"/>
      <c r="Q311" s="1186"/>
      <c r="R311" s="1182">
        <v>0.3</v>
      </c>
      <c r="S311" s="809"/>
      <c r="T311" s="810"/>
      <c r="U311" s="810"/>
      <c r="V311" s="810"/>
      <c r="W311" s="809"/>
      <c r="X311" s="810"/>
      <c r="Y311" s="809"/>
      <c r="Z311" s="1739"/>
      <c r="AB311" s="176">
        <v>1</v>
      </c>
      <c r="AE311" s="2461"/>
      <c r="AF311" s="68"/>
    </row>
    <row r="312" spans="1:32" ht="30" x14ac:dyDescent="0.35">
      <c r="A312" s="696">
        <v>153</v>
      </c>
      <c r="B312" s="1574">
        <v>11614</v>
      </c>
      <c r="C312" s="1574"/>
      <c r="D312" s="1575" t="s">
        <v>2103</v>
      </c>
      <c r="E312" s="807" t="s">
        <v>10889</v>
      </c>
      <c r="F312" s="811" t="s">
        <v>664</v>
      </c>
      <c r="G312" s="812">
        <v>5</v>
      </c>
      <c r="H312" s="812">
        <v>6</v>
      </c>
      <c r="I312" s="808">
        <f t="shared" si="23"/>
        <v>2.7</v>
      </c>
      <c r="J312" s="808">
        <f t="shared" si="24"/>
        <v>2.7</v>
      </c>
      <c r="K312" s="808"/>
      <c r="L312" s="808"/>
      <c r="M312" s="1190"/>
      <c r="N312" s="808"/>
      <c r="O312" s="820"/>
      <c r="P312" s="808"/>
      <c r="Q312" s="1186"/>
      <c r="R312" s="1182">
        <v>2.7</v>
      </c>
      <c r="S312" s="809"/>
      <c r="T312" s="810"/>
      <c r="U312" s="810"/>
      <c r="V312" s="810"/>
      <c r="W312" s="809">
        <v>3</v>
      </c>
      <c r="X312" s="810">
        <v>32.5</v>
      </c>
      <c r="Y312" s="809"/>
      <c r="Z312" s="1739"/>
      <c r="AB312" s="176">
        <v>1</v>
      </c>
      <c r="AE312" s="2461"/>
      <c r="AF312" s="68"/>
    </row>
    <row r="313" spans="1:32" ht="30" x14ac:dyDescent="0.35">
      <c r="A313" s="696">
        <v>154</v>
      </c>
      <c r="B313" s="1574">
        <v>11615</v>
      </c>
      <c r="C313" s="1574"/>
      <c r="D313" s="1575" t="s">
        <v>2104</v>
      </c>
      <c r="E313" s="807" t="s">
        <v>6979</v>
      </c>
      <c r="F313" s="811"/>
      <c r="G313" s="812" t="s">
        <v>191</v>
      </c>
      <c r="H313" s="812" t="s">
        <v>191</v>
      </c>
      <c r="I313" s="808">
        <f t="shared" si="23"/>
        <v>3.5700000000000003</v>
      </c>
      <c r="J313" s="808">
        <f t="shared" si="24"/>
        <v>3.5700000000000003</v>
      </c>
      <c r="K313" s="808"/>
      <c r="L313" s="808"/>
      <c r="M313" s="1190"/>
      <c r="N313" s="808">
        <f>SUM(N314:N318)</f>
        <v>0.22</v>
      </c>
      <c r="O313" s="820"/>
      <c r="P313" s="808"/>
      <c r="Q313" s="1186">
        <f>SUM(Q314:Q318)</f>
        <v>3.2840000000000003</v>
      </c>
      <c r="R313" s="1182">
        <f>SUM(R314:R318)</f>
        <v>6.5999999999999837E-2</v>
      </c>
      <c r="S313" s="809"/>
      <c r="T313" s="810"/>
      <c r="U313" s="810"/>
      <c r="V313" s="810"/>
      <c r="W313" s="809">
        <v>4</v>
      </c>
      <c r="X313" s="810">
        <v>40.03</v>
      </c>
      <c r="Y313" s="809"/>
      <c r="Z313" s="1739"/>
      <c r="AB313" s="176">
        <v>1</v>
      </c>
      <c r="AE313" s="2461"/>
      <c r="AF313" s="68"/>
    </row>
    <row r="314" spans="1:32" x14ac:dyDescent="0.35">
      <c r="A314" s="1576"/>
      <c r="B314" s="1574">
        <v>11615</v>
      </c>
      <c r="C314" s="1574"/>
      <c r="D314" s="1577"/>
      <c r="E314" s="816" t="s">
        <v>1118</v>
      </c>
      <c r="F314" s="811">
        <v>4</v>
      </c>
      <c r="G314" s="812">
        <v>5</v>
      </c>
      <c r="H314" s="812">
        <v>6</v>
      </c>
      <c r="I314" s="813"/>
      <c r="J314" s="813"/>
      <c r="K314" s="813"/>
      <c r="L314" s="813"/>
      <c r="M314" s="1191"/>
      <c r="N314" s="813">
        <v>0.22</v>
      </c>
      <c r="O314" s="819"/>
      <c r="P314" s="813"/>
      <c r="Q314" s="1187"/>
      <c r="R314" s="1183"/>
      <c r="S314" s="814"/>
      <c r="T314" s="815"/>
      <c r="U314" s="815"/>
      <c r="V314" s="815"/>
      <c r="W314" s="814"/>
      <c r="X314" s="815"/>
      <c r="Y314" s="814"/>
      <c r="Z314" s="1740"/>
      <c r="AE314" s="2461"/>
      <c r="AF314" s="68"/>
    </row>
    <row r="315" spans="1:32" x14ac:dyDescent="0.35">
      <c r="A315" s="1576"/>
      <c r="B315" s="1574">
        <v>11615</v>
      </c>
      <c r="C315" s="1574"/>
      <c r="D315" s="1577"/>
      <c r="E315" s="1195" t="s">
        <v>11124</v>
      </c>
      <c r="F315" s="811">
        <v>4</v>
      </c>
      <c r="G315" s="812">
        <v>5</v>
      </c>
      <c r="H315" s="812">
        <v>6</v>
      </c>
      <c r="I315" s="813"/>
      <c r="J315" s="813"/>
      <c r="K315" s="813"/>
      <c r="L315" s="813"/>
      <c r="M315" s="1191"/>
      <c r="N315" s="813"/>
      <c r="O315" s="819"/>
      <c r="P315" s="813"/>
      <c r="Q315" s="1187">
        <f>1-0.22</f>
        <v>0.78</v>
      </c>
      <c r="R315" s="1183"/>
      <c r="S315" s="814"/>
      <c r="T315" s="815"/>
      <c r="U315" s="815"/>
      <c r="V315" s="815"/>
      <c r="W315" s="814"/>
      <c r="X315" s="815"/>
      <c r="Y315" s="814"/>
      <c r="Z315" s="1740"/>
      <c r="AE315" s="2461"/>
      <c r="AF315" s="68"/>
    </row>
    <row r="316" spans="1:32" x14ac:dyDescent="0.35">
      <c r="A316" s="1576"/>
      <c r="B316" s="1574">
        <v>11615</v>
      </c>
      <c r="C316" s="1574"/>
      <c r="D316" s="1577"/>
      <c r="E316" s="1195" t="s">
        <v>3506</v>
      </c>
      <c r="F316" s="811">
        <v>5</v>
      </c>
      <c r="G316" s="812">
        <v>5</v>
      </c>
      <c r="H316" s="812">
        <v>6</v>
      </c>
      <c r="I316" s="813"/>
      <c r="J316" s="813"/>
      <c r="K316" s="813"/>
      <c r="L316" s="813"/>
      <c r="M316" s="1191"/>
      <c r="N316" s="813"/>
      <c r="O316" s="819"/>
      <c r="P316" s="813"/>
      <c r="Q316" s="1187">
        <f>2.748-1</f>
        <v>1.7480000000000002</v>
      </c>
      <c r="R316" s="1183"/>
      <c r="S316" s="814"/>
      <c r="T316" s="815"/>
      <c r="U316" s="815"/>
      <c r="V316" s="815"/>
      <c r="W316" s="814"/>
      <c r="X316" s="815"/>
      <c r="Y316" s="814"/>
      <c r="Z316" s="1740"/>
      <c r="AE316" s="2461"/>
      <c r="AF316" s="68"/>
    </row>
    <row r="317" spans="1:32" x14ac:dyDescent="0.35">
      <c r="A317" s="1576"/>
      <c r="B317" s="1574">
        <v>11615</v>
      </c>
      <c r="C317" s="1574"/>
      <c r="D317" s="1577"/>
      <c r="E317" s="1195" t="s">
        <v>3508</v>
      </c>
      <c r="F317" s="811" t="s">
        <v>827</v>
      </c>
      <c r="G317" s="812">
        <v>5</v>
      </c>
      <c r="H317" s="812">
        <v>6</v>
      </c>
      <c r="I317" s="813"/>
      <c r="J317" s="813"/>
      <c r="K317" s="813"/>
      <c r="L317" s="813"/>
      <c r="M317" s="1191"/>
      <c r="N317" s="813"/>
      <c r="O317" s="819"/>
      <c r="P317" s="813"/>
      <c r="Q317" s="1187">
        <f>3.504-2.748</f>
        <v>0.75599999999999978</v>
      </c>
      <c r="R317" s="1183"/>
      <c r="S317" s="814"/>
      <c r="T317" s="815"/>
      <c r="U317" s="815"/>
      <c r="V317" s="815"/>
      <c r="W317" s="814"/>
      <c r="X317" s="815"/>
      <c r="Y317" s="814"/>
      <c r="Z317" s="1740"/>
      <c r="AE317" s="2461"/>
      <c r="AF317" s="68"/>
    </row>
    <row r="318" spans="1:32" x14ac:dyDescent="0.35">
      <c r="A318" s="1576"/>
      <c r="B318" s="1574">
        <v>11615</v>
      </c>
      <c r="C318" s="1574"/>
      <c r="D318" s="1577"/>
      <c r="E318" s="1192" t="s">
        <v>3507</v>
      </c>
      <c r="F318" s="811" t="s">
        <v>1490</v>
      </c>
      <c r="G318" s="812">
        <v>5</v>
      </c>
      <c r="H318" s="812">
        <v>6</v>
      </c>
      <c r="I318" s="813"/>
      <c r="J318" s="813"/>
      <c r="K318" s="813"/>
      <c r="L318" s="813"/>
      <c r="M318" s="1191"/>
      <c r="N318" s="813"/>
      <c r="O318" s="819"/>
      <c r="P318" s="813"/>
      <c r="Q318" s="1187"/>
      <c r="R318" s="1183">
        <f>3.57-3.504</f>
        <v>6.5999999999999837E-2</v>
      </c>
      <c r="S318" s="814"/>
      <c r="T318" s="815"/>
      <c r="U318" s="815"/>
      <c r="V318" s="815"/>
      <c r="W318" s="814"/>
      <c r="X318" s="815"/>
      <c r="Y318" s="814"/>
      <c r="Z318" s="1740"/>
      <c r="AE318" s="2461"/>
      <c r="AF318" s="68"/>
    </row>
    <row r="319" spans="1:32" ht="30" x14ac:dyDescent="0.35">
      <c r="A319" s="441">
        <v>155</v>
      </c>
      <c r="B319" s="1574">
        <v>11615</v>
      </c>
      <c r="C319" s="358" t="s">
        <v>1656</v>
      </c>
      <c r="D319" s="2473" t="s">
        <v>6654</v>
      </c>
      <c r="E319" s="807" t="s">
        <v>9121</v>
      </c>
      <c r="F319" s="811" t="s">
        <v>664</v>
      </c>
      <c r="G319" s="2289">
        <v>5</v>
      </c>
      <c r="H319" s="812">
        <v>6</v>
      </c>
      <c r="I319" s="297">
        <f>J319+K319+L319</f>
        <v>0.3</v>
      </c>
      <c r="J319" s="297">
        <f>SUM(M319:R319)</f>
        <v>0.3</v>
      </c>
      <c r="K319" s="813"/>
      <c r="L319" s="813"/>
      <c r="M319" s="1191"/>
      <c r="N319" s="813"/>
      <c r="O319" s="819"/>
      <c r="P319" s="813"/>
      <c r="Q319" s="1187"/>
      <c r="R319" s="1182">
        <v>0.3</v>
      </c>
      <c r="S319" s="814"/>
      <c r="T319" s="815"/>
      <c r="U319" s="815"/>
      <c r="V319" s="815"/>
      <c r="W319" s="814"/>
      <c r="X319" s="815"/>
      <c r="Y319" s="814"/>
      <c r="Z319" s="1740"/>
      <c r="AB319" s="176">
        <v>1</v>
      </c>
      <c r="AE319" s="2461"/>
      <c r="AF319" s="68"/>
    </row>
    <row r="320" spans="1:32" ht="30" x14ac:dyDescent="0.35">
      <c r="A320" s="1573">
        <v>156</v>
      </c>
      <c r="B320" s="1574">
        <v>11616</v>
      </c>
      <c r="C320" s="1574"/>
      <c r="D320" s="1575" t="s">
        <v>2105</v>
      </c>
      <c r="E320" s="807" t="s">
        <v>1908</v>
      </c>
      <c r="F320" s="811"/>
      <c r="G320" s="812" t="s">
        <v>191</v>
      </c>
      <c r="H320" s="812" t="s">
        <v>191</v>
      </c>
      <c r="I320" s="808">
        <f>J320+K320+L320</f>
        <v>4.3079999999999998</v>
      </c>
      <c r="J320" s="808">
        <f>SUM(M320:R320)</f>
        <v>4.3079999999999998</v>
      </c>
      <c r="K320" s="808"/>
      <c r="L320" s="808"/>
      <c r="M320" s="1190"/>
      <c r="N320" s="808">
        <f>SUM(N321:N324)</f>
        <v>1.76</v>
      </c>
      <c r="O320" s="820"/>
      <c r="P320" s="808"/>
      <c r="Q320" s="1186">
        <f>SUM(Q321:Q324)</f>
        <v>2.5479999999999996</v>
      </c>
      <c r="R320" s="1182"/>
      <c r="S320" s="809"/>
      <c r="T320" s="810"/>
      <c r="U320" s="810"/>
      <c r="V320" s="810"/>
      <c r="W320" s="809">
        <v>9</v>
      </c>
      <c r="X320" s="810">
        <v>117.92</v>
      </c>
      <c r="Y320" s="809"/>
      <c r="Z320" s="1739"/>
      <c r="AB320" s="176">
        <v>1</v>
      </c>
      <c r="AE320" s="2461"/>
      <c r="AF320" s="68"/>
    </row>
    <row r="321" spans="1:32" x14ac:dyDescent="0.35">
      <c r="A321" s="1576"/>
      <c r="B321" s="1574">
        <v>11616</v>
      </c>
      <c r="C321" s="1574"/>
      <c r="D321" s="1577"/>
      <c r="E321" s="816" t="s">
        <v>2585</v>
      </c>
      <c r="F321" s="811">
        <v>4</v>
      </c>
      <c r="G321" s="812">
        <v>5</v>
      </c>
      <c r="H321" s="812">
        <v>6</v>
      </c>
      <c r="I321" s="813"/>
      <c r="J321" s="813"/>
      <c r="K321" s="813"/>
      <c r="L321" s="813"/>
      <c r="M321" s="1191"/>
      <c r="N321" s="813">
        <v>0.7</v>
      </c>
      <c r="O321" s="819"/>
      <c r="P321" s="813"/>
      <c r="Q321" s="1187"/>
      <c r="R321" s="1183"/>
      <c r="S321" s="814"/>
      <c r="T321" s="815"/>
      <c r="U321" s="815"/>
      <c r="V321" s="815"/>
      <c r="W321" s="814"/>
      <c r="X321" s="815"/>
      <c r="Y321" s="814"/>
      <c r="Z321" s="1740"/>
      <c r="AE321" s="2461"/>
      <c r="AF321" s="68"/>
    </row>
    <row r="322" spans="1:32" x14ac:dyDescent="0.35">
      <c r="A322" s="1576"/>
      <c r="B322" s="1574"/>
      <c r="C322" s="1574"/>
      <c r="D322" s="1577"/>
      <c r="E322" s="1197" t="s">
        <v>11154</v>
      </c>
      <c r="F322" s="811">
        <v>5</v>
      </c>
      <c r="G322" s="812">
        <v>5</v>
      </c>
      <c r="H322" s="812">
        <v>6</v>
      </c>
      <c r="I322" s="813"/>
      <c r="J322" s="813"/>
      <c r="K322" s="813"/>
      <c r="L322" s="813"/>
      <c r="M322" s="1191"/>
      <c r="N322" s="813">
        <f>1.76-0.7</f>
        <v>1.06</v>
      </c>
      <c r="O322" s="819"/>
      <c r="P322" s="813"/>
      <c r="Q322" s="1187"/>
      <c r="R322" s="1183"/>
      <c r="S322" s="814"/>
      <c r="T322" s="815"/>
      <c r="U322" s="815"/>
      <c r="V322" s="815"/>
      <c r="W322" s="814"/>
      <c r="X322" s="815"/>
      <c r="Y322" s="814"/>
      <c r="Z322" s="1740"/>
      <c r="AE322" s="2461"/>
      <c r="AF322" s="68"/>
    </row>
    <row r="323" spans="1:32" x14ac:dyDescent="0.35">
      <c r="A323" s="1576"/>
      <c r="B323" s="1574">
        <v>11616</v>
      </c>
      <c r="C323" s="1574"/>
      <c r="D323" s="1577"/>
      <c r="E323" s="1195" t="s">
        <v>3512</v>
      </c>
      <c r="F323" s="811" t="s">
        <v>827</v>
      </c>
      <c r="G323" s="812">
        <v>5</v>
      </c>
      <c r="H323" s="812">
        <v>6</v>
      </c>
      <c r="I323" s="813"/>
      <c r="J323" s="813"/>
      <c r="K323" s="813"/>
      <c r="L323" s="813"/>
      <c r="M323" s="1191"/>
      <c r="N323" s="813"/>
      <c r="O323" s="819"/>
      <c r="P323" s="813"/>
      <c r="Q323" s="1187">
        <f>3.839-1.76</f>
        <v>2.0789999999999997</v>
      </c>
      <c r="R323" s="1183"/>
      <c r="S323" s="814"/>
      <c r="T323" s="815"/>
      <c r="U323" s="815"/>
      <c r="V323" s="815"/>
      <c r="W323" s="814"/>
      <c r="X323" s="815"/>
      <c r="Y323" s="814"/>
      <c r="Z323" s="1740"/>
      <c r="AE323" s="2461"/>
      <c r="AF323" s="68"/>
    </row>
    <row r="324" spans="1:32" x14ac:dyDescent="0.35">
      <c r="A324" s="1576"/>
      <c r="B324" s="1574">
        <v>11616</v>
      </c>
      <c r="C324" s="1574"/>
      <c r="D324" s="1577"/>
      <c r="E324" s="1195" t="s">
        <v>3511</v>
      </c>
      <c r="F324" s="811" t="s">
        <v>1490</v>
      </c>
      <c r="G324" s="812">
        <v>5</v>
      </c>
      <c r="H324" s="812">
        <v>6</v>
      </c>
      <c r="I324" s="813"/>
      <c r="J324" s="813"/>
      <c r="K324" s="813"/>
      <c r="L324" s="813"/>
      <c r="M324" s="1191"/>
      <c r="N324" s="813"/>
      <c r="O324" s="819"/>
      <c r="P324" s="813"/>
      <c r="Q324" s="1187">
        <f>4.308-3.839</f>
        <v>0.46899999999999986</v>
      </c>
      <c r="R324" s="1183"/>
      <c r="S324" s="814"/>
      <c r="T324" s="815"/>
      <c r="U324" s="815"/>
      <c r="V324" s="815"/>
      <c r="W324" s="814"/>
      <c r="X324" s="815"/>
      <c r="Y324" s="814"/>
      <c r="Z324" s="1740"/>
      <c r="AE324" s="2461"/>
      <c r="AF324" s="68"/>
    </row>
    <row r="325" spans="1:32" ht="30" x14ac:dyDescent="0.35">
      <c r="A325" s="1573">
        <v>157</v>
      </c>
      <c r="B325" s="1574">
        <v>11616</v>
      </c>
      <c r="C325" s="1574"/>
      <c r="D325" s="2473" t="s">
        <v>6655</v>
      </c>
      <c r="E325" s="817" t="s">
        <v>8086</v>
      </c>
      <c r="F325" s="811" t="s">
        <v>827</v>
      </c>
      <c r="G325" s="812">
        <v>5</v>
      </c>
      <c r="H325" s="812">
        <v>6</v>
      </c>
      <c r="I325" s="808">
        <f>J325+K325+L325</f>
        <v>2.84</v>
      </c>
      <c r="J325" s="808">
        <f>SUM(M325:R325)</f>
        <v>2.84</v>
      </c>
      <c r="K325" s="808"/>
      <c r="L325" s="808"/>
      <c r="M325" s="1190"/>
      <c r="N325" s="808"/>
      <c r="O325" s="820"/>
      <c r="P325" s="808"/>
      <c r="Q325" s="1186">
        <v>2.84</v>
      </c>
      <c r="R325" s="1182"/>
      <c r="S325" s="809"/>
      <c r="T325" s="810"/>
      <c r="U325" s="810"/>
      <c r="V325" s="810"/>
      <c r="W325" s="809">
        <v>3</v>
      </c>
      <c r="X325" s="810">
        <v>30</v>
      </c>
      <c r="Y325" s="809"/>
      <c r="Z325" s="1739"/>
      <c r="AA325" s="176" t="s">
        <v>1599</v>
      </c>
      <c r="AB325" s="176">
        <v>1</v>
      </c>
      <c r="AC325" s="176" t="s">
        <v>2570</v>
      </c>
      <c r="AE325" s="2461"/>
      <c r="AF325" s="68"/>
    </row>
    <row r="326" spans="1:32" ht="30" x14ac:dyDescent="0.35">
      <c r="A326" s="441">
        <v>158</v>
      </c>
      <c r="B326" s="1574">
        <v>11616</v>
      </c>
      <c r="C326" s="358" t="s">
        <v>1656</v>
      </c>
      <c r="D326" s="2473" t="s">
        <v>6656</v>
      </c>
      <c r="E326" s="817" t="s">
        <v>9122</v>
      </c>
      <c r="F326" s="811" t="s">
        <v>664</v>
      </c>
      <c r="G326" s="2289">
        <v>5</v>
      </c>
      <c r="H326" s="812">
        <v>6</v>
      </c>
      <c r="I326" s="297">
        <f>J326+K326+L326</f>
        <v>0.2</v>
      </c>
      <c r="J326" s="297">
        <f>SUM(M326:R326)</f>
        <v>0.2</v>
      </c>
      <c r="K326" s="808"/>
      <c r="L326" s="808"/>
      <c r="M326" s="1190"/>
      <c r="N326" s="808"/>
      <c r="O326" s="820"/>
      <c r="P326" s="808"/>
      <c r="Q326" s="1186"/>
      <c r="R326" s="1182">
        <v>0.2</v>
      </c>
      <c r="S326" s="809"/>
      <c r="T326" s="810"/>
      <c r="U326" s="810"/>
      <c r="V326" s="810"/>
      <c r="W326" s="809"/>
      <c r="X326" s="810"/>
      <c r="Y326" s="809"/>
      <c r="Z326" s="1739"/>
      <c r="AB326" s="176">
        <v>1</v>
      </c>
      <c r="AE326" s="2461"/>
      <c r="AF326" s="68"/>
    </row>
    <row r="327" spans="1:32" ht="30" x14ac:dyDescent="0.35">
      <c r="A327" s="1573">
        <v>159</v>
      </c>
      <c r="B327" s="1574">
        <v>11617</v>
      </c>
      <c r="C327" s="1574"/>
      <c r="D327" s="1575" t="s">
        <v>2106</v>
      </c>
      <c r="E327" s="807" t="s">
        <v>6980</v>
      </c>
      <c r="F327" s="811"/>
      <c r="G327" s="812" t="s">
        <v>191</v>
      </c>
      <c r="H327" s="812" t="s">
        <v>191</v>
      </c>
      <c r="I327" s="808">
        <f>J327+K327+L327</f>
        <v>4.8090000000000002</v>
      </c>
      <c r="J327" s="808">
        <f>SUM(M327:R327)</f>
        <v>4.8090000000000002</v>
      </c>
      <c r="K327" s="808"/>
      <c r="L327" s="808"/>
      <c r="M327" s="1190"/>
      <c r="N327" s="808">
        <f>SUM(N328:N330)</f>
        <v>7.6999999999999999E-2</v>
      </c>
      <c r="O327" s="820"/>
      <c r="P327" s="808"/>
      <c r="Q327" s="1186">
        <f>SUM(Q328:Q330)</f>
        <v>4.5259999999999998</v>
      </c>
      <c r="R327" s="1182">
        <f>SUM(R328:R330)</f>
        <v>0.20600000000000041</v>
      </c>
      <c r="S327" s="809">
        <v>1</v>
      </c>
      <c r="T327" s="810">
        <v>24.5</v>
      </c>
      <c r="U327" s="810"/>
      <c r="V327" s="810"/>
      <c r="W327" s="809">
        <v>11</v>
      </c>
      <c r="X327" s="810">
        <v>119.13</v>
      </c>
      <c r="Y327" s="809">
        <v>5</v>
      </c>
      <c r="Z327" s="1739">
        <v>51.05</v>
      </c>
      <c r="AB327" s="176">
        <v>1</v>
      </c>
      <c r="AE327" s="2461"/>
      <c r="AF327" s="68"/>
    </row>
    <row r="328" spans="1:32" x14ac:dyDescent="0.35">
      <c r="A328" s="1573"/>
      <c r="B328" s="1574">
        <v>11617</v>
      </c>
      <c r="C328" s="1574"/>
      <c r="D328" s="1575"/>
      <c r="E328" s="816" t="s">
        <v>3520</v>
      </c>
      <c r="F328" s="811">
        <v>5</v>
      </c>
      <c r="G328" s="812">
        <v>5</v>
      </c>
      <c r="H328" s="812">
        <v>6</v>
      </c>
      <c r="I328" s="813"/>
      <c r="J328" s="813"/>
      <c r="K328" s="813"/>
      <c r="L328" s="813"/>
      <c r="M328" s="1869"/>
      <c r="N328" s="813">
        <v>7.6999999999999999E-2</v>
      </c>
      <c r="O328" s="1870"/>
      <c r="P328" s="813"/>
      <c r="Q328" s="1771"/>
      <c r="R328" s="1182"/>
      <c r="S328" s="809"/>
      <c r="T328" s="810"/>
      <c r="U328" s="810"/>
      <c r="V328" s="810"/>
      <c r="W328" s="809"/>
      <c r="X328" s="810"/>
      <c r="Y328" s="809"/>
      <c r="Z328" s="1739"/>
      <c r="AE328" s="2461"/>
      <c r="AF328" s="68"/>
    </row>
    <row r="329" spans="1:32" x14ac:dyDescent="0.35">
      <c r="A329" s="1573"/>
      <c r="B329" s="1574">
        <v>11617</v>
      </c>
      <c r="C329" s="1574"/>
      <c r="D329" s="1575"/>
      <c r="E329" s="1195" t="s">
        <v>3521</v>
      </c>
      <c r="F329" s="811">
        <v>5</v>
      </c>
      <c r="G329" s="812">
        <v>5</v>
      </c>
      <c r="H329" s="812">
        <v>6</v>
      </c>
      <c r="I329" s="813"/>
      <c r="J329" s="813"/>
      <c r="K329" s="813"/>
      <c r="L329" s="813"/>
      <c r="M329" s="1869"/>
      <c r="N329" s="813"/>
      <c r="O329" s="1870"/>
      <c r="P329" s="813"/>
      <c r="Q329" s="1771">
        <f>4.603-0.077</f>
        <v>4.5259999999999998</v>
      </c>
      <c r="R329" s="1772"/>
      <c r="S329" s="809"/>
      <c r="T329" s="810"/>
      <c r="U329" s="810"/>
      <c r="V329" s="810"/>
      <c r="W329" s="809"/>
      <c r="X329" s="810"/>
      <c r="Y329" s="809"/>
      <c r="Z329" s="1739"/>
      <c r="AE329" s="2461"/>
      <c r="AF329" s="68"/>
    </row>
    <row r="330" spans="1:32" x14ac:dyDescent="0.35">
      <c r="A330" s="1573"/>
      <c r="B330" s="1574">
        <v>11617</v>
      </c>
      <c r="C330" s="1574"/>
      <c r="D330" s="1575"/>
      <c r="E330" s="1192" t="s">
        <v>3522</v>
      </c>
      <c r="F330" s="811" t="s">
        <v>1490</v>
      </c>
      <c r="G330" s="812">
        <v>5</v>
      </c>
      <c r="H330" s="812">
        <v>6</v>
      </c>
      <c r="I330" s="813"/>
      <c r="J330" s="813"/>
      <c r="K330" s="813"/>
      <c r="L330" s="813"/>
      <c r="M330" s="1869"/>
      <c r="N330" s="813"/>
      <c r="O330" s="1870"/>
      <c r="P330" s="813"/>
      <c r="Q330" s="1771"/>
      <c r="R330" s="1772">
        <v>0.20600000000000041</v>
      </c>
      <c r="S330" s="809"/>
      <c r="T330" s="810"/>
      <c r="U330" s="810"/>
      <c r="V330" s="810"/>
      <c r="W330" s="809"/>
      <c r="X330" s="810"/>
      <c r="Y330" s="809"/>
      <c r="Z330" s="1739"/>
      <c r="AE330" s="2461"/>
      <c r="AF330" s="68"/>
    </row>
    <row r="331" spans="1:32" ht="45" x14ac:dyDescent="0.35">
      <c r="A331" s="1573">
        <v>160</v>
      </c>
      <c r="B331" s="1574">
        <v>11617</v>
      </c>
      <c r="C331" s="1052" t="s">
        <v>1655</v>
      </c>
      <c r="D331" s="2473" t="s">
        <v>6657</v>
      </c>
      <c r="E331" s="817" t="s">
        <v>7408</v>
      </c>
      <c r="F331" s="811" t="s">
        <v>1490</v>
      </c>
      <c r="G331" s="812">
        <v>5</v>
      </c>
      <c r="H331" s="812">
        <v>6</v>
      </c>
      <c r="I331" s="808">
        <f>J331+K331+L331</f>
        <v>0.83599999999999997</v>
      </c>
      <c r="J331" s="808">
        <f>SUM(M331:R331)</f>
        <v>0.83599999999999997</v>
      </c>
      <c r="K331" s="808"/>
      <c r="L331" s="808"/>
      <c r="M331" s="1190"/>
      <c r="N331" s="808"/>
      <c r="O331" s="820"/>
      <c r="P331" s="808"/>
      <c r="Q331" s="1186">
        <v>0.83599999999999997</v>
      </c>
      <c r="R331" s="1182"/>
      <c r="S331" s="809"/>
      <c r="T331" s="810"/>
      <c r="U331" s="810"/>
      <c r="V331" s="810"/>
      <c r="W331" s="809">
        <v>2</v>
      </c>
      <c r="X331" s="810">
        <v>15.63</v>
      </c>
      <c r="Y331" s="809"/>
      <c r="Z331" s="1739"/>
      <c r="AB331" s="176">
        <v>1</v>
      </c>
      <c r="AE331" s="2461"/>
      <c r="AF331" s="68"/>
    </row>
    <row r="332" spans="1:32" ht="30" x14ac:dyDescent="0.35">
      <c r="A332" s="441">
        <v>161</v>
      </c>
      <c r="B332" s="1574">
        <v>11617</v>
      </c>
      <c r="C332" s="358" t="s">
        <v>1656</v>
      </c>
      <c r="D332" s="2473" t="s">
        <v>6658</v>
      </c>
      <c r="E332" s="807" t="s">
        <v>9123</v>
      </c>
      <c r="F332" s="811" t="s">
        <v>664</v>
      </c>
      <c r="G332" s="2289">
        <v>5</v>
      </c>
      <c r="H332" s="812">
        <v>6</v>
      </c>
      <c r="I332" s="297">
        <f>J332+K332+L332</f>
        <v>0.2</v>
      </c>
      <c r="J332" s="297">
        <f>SUM(M332:R332)</f>
        <v>0.2</v>
      </c>
      <c r="K332" s="808"/>
      <c r="L332" s="808"/>
      <c r="M332" s="1190"/>
      <c r="N332" s="808"/>
      <c r="O332" s="820"/>
      <c r="P332" s="808"/>
      <c r="Q332" s="1186"/>
      <c r="R332" s="1182">
        <v>0.2</v>
      </c>
      <c r="S332" s="809"/>
      <c r="T332" s="810"/>
      <c r="U332" s="810"/>
      <c r="V332" s="810"/>
      <c r="W332" s="809"/>
      <c r="X332" s="810"/>
      <c r="Y332" s="809"/>
      <c r="Z332" s="1739"/>
      <c r="AB332" s="176">
        <v>1</v>
      </c>
      <c r="AE332" s="2461"/>
      <c r="AF332" s="68"/>
    </row>
    <row r="333" spans="1:32" ht="45" x14ac:dyDescent="0.35">
      <c r="A333" s="1573">
        <v>162</v>
      </c>
      <c r="B333" s="1574">
        <v>11617</v>
      </c>
      <c r="C333" s="358" t="s">
        <v>1656</v>
      </c>
      <c r="D333" s="2473" t="s">
        <v>6659</v>
      </c>
      <c r="E333" s="2187" t="s">
        <v>9124</v>
      </c>
      <c r="F333" s="811" t="s">
        <v>664</v>
      </c>
      <c r="G333" s="2289">
        <v>5</v>
      </c>
      <c r="H333" s="812">
        <v>6</v>
      </c>
      <c r="I333" s="297">
        <f>J333+K333+L333</f>
        <v>0.9</v>
      </c>
      <c r="J333" s="297">
        <f>SUM(M333:R333)</f>
        <v>0.9</v>
      </c>
      <c r="K333" s="808"/>
      <c r="L333" s="808"/>
      <c r="M333" s="1190"/>
      <c r="N333" s="808"/>
      <c r="O333" s="820"/>
      <c r="P333" s="808"/>
      <c r="Q333" s="1186"/>
      <c r="R333" s="1182">
        <v>0.9</v>
      </c>
      <c r="S333" s="809"/>
      <c r="T333" s="810"/>
      <c r="U333" s="810"/>
      <c r="V333" s="810"/>
      <c r="W333" s="809"/>
      <c r="X333" s="810"/>
      <c r="Y333" s="809"/>
      <c r="Z333" s="1739"/>
      <c r="AB333" s="176">
        <v>1</v>
      </c>
      <c r="AE333" s="2461"/>
      <c r="AF333" s="68"/>
    </row>
    <row r="334" spans="1:32" ht="60" x14ac:dyDescent="0.35">
      <c r="A334" s="441">
        <v>163</v>
      </c>
      <c r="B334" s="1574">
        <v>11617</v>
      </c>
      <c r="C334" s="358" t="s">
        <v>1656</v>
      </c>
      <c r="D334" s="2473" t="s">
        <v>6660</v>
      </c>
      <c r="E334" s="807" t="s">
        <v>9125</v>
      </c>
      <c r="F334" s="811" t="s">
        <v>664</v>
      </c>
      <c r="G334" s="2289">
        <v>5</v>
      </c>
      <c r="H334" s="812">
        <v>6</v>
      </c>
      <c r="I334" s="297">
        <f>J334+K334+L334</f>
        <v>0.1</v>
      </c>
      <c r="J334" s="297">
        <f>SUM(M334:R334)</f>
        <v>0.1</v>
      </c>
      <c r="K334" s="808"/>
      <c r="L334" s="808"/>
      <c r="M334" s="1190"/>
      <c r="N334" s="808"/>
      <c r="O334" s="820"/>
      <c r="P334" s="808"/>
      <c r="Q334" s="1186"/>
      <c r="R334" s="1182">
        <v>0.1</v>
      </c>
      <c r="S334" s="809"/>
      <c r="T334" s="810"/>
      <c r="U334" s="810"/>
      <c r="V334" s="810"/>
      <c r="W334" s="809"/>
      <c r="X334" s="810"/>
      <c r="Y334" s="809"/>
      <c r="Z334" s="1739"/>
      <c r="AB334" s="176">
        <v>1</v>
      </c>
      <c r="AE334" s="2461"/>
      <c r="AF334" s="68"/>
    </row>
    <row r="335" spans="1:32" ht="30" x14ac:dyDescent="0.35">
      <c r="A335" s="1573">
        <v>164</v>
      </c>
      <c r="B335" s="1574">
        <v>11618</v>
      </c>
      <c r="C335" s="1574"/>
      <c r="D335" s="1575" t="s">
        <v>3028</v>
      </c>
      <c r="E335" s="807" t="s">
        <v>602</v>
      </c>
      <c r="F335" s="811"/>
      <c r="G335" s="812" t="s">
        <v>191</v>
      </c>
      <c r="H335" s="812" t="s">
        <v>191</v>
      </c>
      <c r="I335" s="808">
        <f>J335+K335+L335</f>
        <v>4.952</v>
      </c>
      <c r="J335" s="808">
        <f>SUM(M335:R335)</f>
        <v>4.952</v>
      </c>
      <c r="K335" s="808"/>
      <c r="L335" s="808"/>
      <c r="M335" s="1190"/>
      <c r="N335" s="808">
        <f>SUM(N336:N338)</f>
        <v>1.141</v>
      </c>
      <c r="O335" s="820"/>
      <c r="P335" s="808"/>
      <c r="Q335" s="1186">
        <f>SUM(Q336:Q338)</f>
        <v>3.8109999999999999</v>
      </c>
      <c r="R335" s="1182"/>
      <c r="S335" s="809"/>
      <c r="T335" s="810"/>
      <c r="U335" s="810"/>
      <c r="V335" s="810"/>
      <c r="W335" s="809">
        <v>6</v>
      </c>
      <c r="X335" s="810">
        <v>68.7</v>
      </c>
      <c r="Y335" s="809"/>
      <c r="Z335" s="1739"/>
      <c r="AB335" s="176">
        <v>1</v>
      </c>
      <c r="AE335" s="2461"/>
      <c r="AF335" s="68"/>
    </row>
    <row r="336" spans="1:32" x14ac:dyDescent="0.35">
      <c r="A336" s="1573"/>
      <c r="B336" s="1574">
        <v>11618</v>
      </c>
      <c r="C336" s="1574"/>
      <c r="D336" s="1575"/>
      <c r="E336" s="1827" t="s">
        <v>3501</v>
      </c>
      <c r="F336" s="811">
        <v>4</v>
      </c>
      <c r="G336" s="812">
        <v>5</v>
      </c>
      <c r="H336" s="812">
        <v>6</v>
      </c>
      <c r="I336" s="813"/>
      <c r="J336" s="813"/>
      <c r="K336" s="813"/>
      <c r="L336" s="813"/>
      <c r="M336" s="1869"/>
      <c r="N336" s="813"/>
      <c r="O336" s="1870"/>
      <c r="P336" s="813"/>
      <c r="Q336" s="1771">
        <v>1.0680000000000001</v>
      </c>
      <c r="R336" s="1182"/>
      <c r="S336" s="809"/>
      <c r="T336" s="810"/>
      <c r="U336" s="810"/>
      <c r="V336" s="810"/>
      <c r="W336" s="809"/>
      <c r="X336" s="810"/>
      <c r="Y336" s="809"/>
      <c r="Z336" s="1739"/>
      <c r="AE336" s="2461"/>
      <c r="AF336" s="68"/>
    </row>
    <row r="337" spans="1:32" x14ac:dyDescent="0.35">
      <c r="A337" s="1573"/>
      <c r="B337" s="1574">
        <v>11618</v>
      </c>
      <c r="C337" s="1574"/>
      <c r="D337" s="1575"/>
      <c r="E337" s="1827" t="s">
        <v>3502</v>
      </c>
      <c r="F337" s="811">
        <v>5</v>
      </c>
      <c r="G337" s="812">
        <v>5</v>
      </c>
      <c r="H337" s="812">
        <v>6</v>
      </c>
      <c r="I337" s="813"/>
      <c r="J337" s="813"/>
      <c r="K337" s="813"/>
      <c r="L337" s="813"/>
      <c r="M337" s="1869"/>
      <c r="N337" s="813"/>
      <c r="O337" s="1870"/>
      <c r="P337" s="813"/>
      <c r="Q337" s="1771">
        <f>3.811-1.068</f>
        <v>2.7429999999999999</v>
      </c>
      <c r="R337" s="1182"/>
      <c r="S337" s="809"/>
      <c r="T337" s="810"/>
      <c r="U337" s="810"/>
      <c r="V337" s="810"/>
      <c r="W337" s="809"/>
      <c r="X337" s="810"/>
      <c r="Y337" s="809"/>
      <c r="Z337" s="1739"/>
      <c r="AE337" s="2461"/>
      <c r="AF337" s="68"/>
    </row>
    <row r="338" spans="1:32" x14ac:dyDescent="0.35">
      <c r="A338" s="1573"/>
      <c r="B338" s="1574">
        <v>11618</v>
      </c>
      <c r="C338" s="1574"/>
      <c r="D338" s="1575"/>
      <c r="E338" s="1197" t="s">
        <v>3503</v>
      </c>
      <c r="F338" s="811">
        <v>4</v>
      </c>
      <c r="G338" s="812">
        <v>5</v>
      </c>
      <c r="H338" s="812">
        <v>6</v>
      </c>
      <c r="I338" s="813"/>
      <c r="J338" s="813"/>
      <c r="K338" s="813"/>
      <c r="L338" s="813"/>
      <c r="M338" s="1869"/>
      <c r="N338" s="813">
        <f>4.952-3.811</f>
        <v>1.141</v>
      </c>
      <c r="O338" s="1870"/>
      <c r="P338" s="813"/>
      <c r="Q338" s="1771"/>
      <c r="R338" s="1772"/>
      <c r="S338" s="809"/>
      <c r="T338" s="810"/>
      <c r="U338" s="810"/>
      <c r="V338" s="810"/>
      <c r="W338" s="809"/>
      <c r="X338" s="810"/>
      <c r="Y338" s="809"/>
      <c r="Z338" s="1739"/>
      <c r="AE338" s="2461"/>
      <c r="AF338" s="68"/>
    </row>
    <row r="339" spans="1:32" ht="30" x14ac:dyDescent="0.35">
      <c r="A339" s="1573">
        <v>165</v>
      </c>
      <c r="B339" s="1574">
        <v>11619</v>
      </c>
      <c r="C339" s="1574"/>
      <c r="D339" s="1575" t="s">
        <v>3029</v>
      </c>
      <c r="E339" s="807" t="s">
        <v>3036</v>
      </c>
      <c r="F339" s="811"/>
      <c r="G339" s="812" t="s">
        <v>191</v>
      </c>
      <c r="H339" s="812" t="s">
        <v>191</v>
      </c>
      <c r="I339" s="808">
        <f>J339+K339+L339</f>
        <v>4.5999999999999996</v>
      </c>
      <c r="J339" s="808">
        <f>SUM(M339:R339)</f>
        <v>4.1599999999999993</v>
      </c>
      <c r="K339" s="808"/>
      <c r="L339" s="808">
        <f>SUM(L340:L343)</f>
        <v>0.44000000000000039</v>
      </c>
      <c r="M339" s="1190"/>
      <c r="N339" s="808"/>
      <c r="O339" s="820"/>
      <c r="P339" s="808"/>
      <c r="Q339" s="1186">
        <f>SUM(Q340:Q343)</f>
        <v>1.2</v>
      </c>
      <c r="R339" s="1182">
        <f>SUM(R340:R343)</f>
        <v>2.9599999999999991</v>
      </c>
      <c r="S339" s="809"/>
      <c r="T339" s="810"/>
      <c r="U339" s="810"/>
      <c r="V339" s="810"/>
      <c r="W339" s="809"/>
      <c r="X339" s="810"/>
      <c r="Y339" s="809"/>
      <c r="Z339" s="1739"/>
      <c r="AB339" s="176">
        <v>1</v>
      </c>
      <c r="AE339" s="2461"/>
      <c r="AF339" s="68"/>
    </row>
    <row r="340" spans="1:32" x14ac:dyDescent="0.35">
      <c r="A340" s="1576"/>
      <c r="B340" s="1574">
        <v>11619</v>
      </c>
      <c r="C340" s="1574"/>
      <c r="D340" s="1577"/>
      <c r="E340" s="1195" t="s">
        <v>2823</v>
      </c>
      <c r="F340" s="811">
        <v>5</v>
      </c>
      <c r="G340" s="812">
        <v>5</v>
      </c>
      <c r="H340" s="812">
        <v>6</v>
      </c>
      <c r="I340" s="813"/>
      <c r="J340" s="813"/>
      <c r="K340" s="813"/>
      <c r="L340" s="813"/>
      <c r="M340" s="1191"/>
      <c r="N340" s="813"/>
      <c r="O340" s="819"/>
      <c r="P340" s="813"/>
      <c r="Q340" s="1187">
        <v>1.2</v>
      </c>
      <c r="R340" s="1183"/>
      <c r="S340" s="814"/>
      <c r="T340" s="815"/>
      <c r="U340" s="815"/>
      <c r="V340" s="815"/>
      <c r="W340" s="814"/>
      <c r="X340" s="815"/>
      <c r="Y340" s="814"/>
      <c r="Z340" s="1740"/>
      <c r="AE340" s="2461"/>
      <c r="AF340" s="68"/>
    </row>
    <row r="341" spans="1:32" x14ac:dyDescent="0.35">
      <c r="A341" s="1576"/>
      <c r="B341" s="1574">
        <v>11619</v>
      </c>
      <c r="C341" s="1574"/>
      <c r="D341" s="1577"/>
      <c r="E341" s="1192" t="s">
        <v>6981</v>
      </c>
      <c r="F341" s="811" t="s">
        <v>827</v>
      </c>
      <c r="G341" s="812">
        <v>5</v>
      </c>
      <c r="H341" s="812">
        <v>6</v>
      </c>
      <c r="I341" s="813"/>
      <c r="J341" s="813"/>
      <c r="K341" s="813"/>
      <c r="L341" s="813"/>
      <c r="M341" s="1191"/>
      <c r="N341" s="813"/>
      <c r="O341" s="819"/>
      <c r="P341" s="813"/>
      <c r="Q341" s="1187"/>
      <c r="R341" s="1183">
        <f>2.55-1.2</f>
        <v>1.3499999999999999</v>
      </c>
      <c r="S341" s="814"/>
      <c r="T341" s="815"/>
      <c r="U341" s="815"/>
      <c r="V341" s="815"/>
      <c r="W341" s="814"/>
      <c r="X341" s="815"/>
      <c r="Y341" s="814"/>
      <c r="Z341" s="1740"/>
      <c r="AE341" s="2461"/>
      <c r="AF341" s="68"/>
    </row>
    <row r="342" spans="1:32" ht="46.5" x14ac:dyDescent="0.35">
      <c r="A342" s="1576"/>
      <c r="B342" s="1574">
        <v>11619</v>
      </c>
      <c r="C342" s="1574"/>
      <c r="D342" s="1577"/>
      <c r="E342" s="1197" t="s">
        <v>9425</v>
      </c>
      <c r="F342" s="811">
        <v>5</v>
      </c>
      <c r="G342" s="812">
        <v>5</v>
      </c>
      <c r="H342" s="812" t="s">
        <v>191</v>
      </c>
      <c r="I342" s="813"/>
      <c r="J342" s="813"/>
      <c r="K342" s="813"/>
      <c r="L342" s="813">
        <f>2.99-2.55</f>
        <v>0.44000000000000039</v>
      </c>
      <c r="M342" s="1191"/>
      <c r="N342" s="813"/>
      <c r="O342" s="819"/>
      <c r="P342" s="813"/>
      <c r="Q342" s="1187"/>
      <c r="R342" s="1183"/>
      <c r="S342" s="814"/>
      <c r="T342" s="815"/>
      <c r="U342" s="815"/>
      <c r="V342" s="815"/>
      <c r="W342" s="814"/>
      <c r="X342" s="815"/>
      <c r="Y342" s="814"/>
      <c r="Z342" s="1740"/>
      <c r="AE342" s="2461"/>
      <c r="AF342" s="68"/>
    </row>
    <row r="343" spans="1:32" x14ac:dyDescent="0.35">
      <c r="A343" s="1576"/>
      <c r="B343" s="1574">
        <v>11619</v>
      </c>
      <c r="C343" s="1574"/>
      <c r="D343" s="1577"/>
      <c r="E343" s="1192" t="s">
        <v>6982</v>
      </c>
      <c r="F343" s="811" t="s">
        <v>827</v>
      </c>
      <c r="G343" s="812">
        <v>5</v>
      </c>
      <c r="H343" s="812">
        <v>6</v>
      </c>
      <c r="I343" s="813"/>
      <c r="J343" s="813"/>
      <c r="K343" s="813"/>
      <c r="L343" s="813"/>
      <c r="M343" s="1191"/>
      <c r="N343" s="813"/>
      <c r="O343" s="819"/>
      <c r="P343" s="813"/>
      <c r="Q343" s="1187"/>
      <c r="R343" s="1183">
        <f>4.6-2.99</f>
        <v>1.6099999999999994</v>
      </c>
      <c r="S343" s="814"/>
      <c r="T343" s="815"/>
      <c r="U343" s="815"/>
      <c r="V343" s="815"/>
      <c r="W343" s="814"/>
      <c r="X343" s="815"/>
      <c r="Y343" s="814"/>
      <c r="Z343" s="1740"/>
      <c r="AE343" s="2461"/>
      <c r="AF343" s="68"/>
    </row>
    <row r="344" spans="1:32" ht="30" x14ac:dyDescent="0.35">
      <c r="A344" s="1573">
        <v>166</v>
      </c>
      <c r="B344" s="1574">
        <v>11578</v>
      </c>
      <c r="C344" s="1574"/>
      <c r="D344" s="2473" t="s">
        <v>6559</v>
      </c>
      <c r="E344" s="817" t="s">
        <v>8087</v>
      </c>
      <c r="F344" s="811" t="s">
        <v>827</v>
      </c>
      <c r="G344" s="812">
        <v>5</v>
      </c>
      <c r="H344" s="812">
        <v>6</v>
      </c>
      <c r="I344" s="808">
        <f t="shared" ref="I344:I350" si="25">J344+K344+L344</f>
        <v>1.5</v>
      </c>
      <c r="J344" s="808">
        <f>SUM(M344:R344)</f>
        <v>1.5</v>
      </c>
      <c r="K344" s="808"/>
      <c r="L344" s="808"/>
      <c r="M344" s="1190"/>
      <c r="N344" s="808"/>
      <c r="O344" s="820"/>
      <c r="P344" s="808"/>
      <c r="Q344" s="1186">
        <v>1.5</v>
      </c>
      <c r="R344" s="1182"/>
      <c r="S344" s="809"/>
      <c r="T344" s="810"/>
      <c r="U344" s="810"/>
      <c r="V344" s="810"/>
      <c r="W344" s="809">
        <v>1</v>
      </c>
      <c r="X344" s="810">
        <v>10</v>
      </c>
      <c r="Y344" s="809"/>
      <c r="Z344" s="1739"/>
      <c r="AB344" s="176">
        <v>1</v>
      </c>
      <c r="AE344" s="2461"/>
      <c r="AF344" s="68"/>
    </row>
    <row r="345" spans="1:32" ht="60" x14ac:dyDescent="0.35">
      <c r="A345" s="697">
        <v>167</v>
      </c>
      <c r="B345" s="1574">
        <v>11578</v>
      </c>
      <c r="C345" s="358" t="s">
        <v>1656</v>
      </c>
      <c r="D345" s="2473" t="s">
        <v>6560</v>
      </c>
      <c r="E345" s="807" t="s">
        <v>9126</v>
      </c>
      <c r="F345" s="811" t="s">
        <v>664</v>
      </c>
      <c r="G345" s="2289">
        <v>5</v>
      </c>
      <c r="H345" s="812">
        <v>6</v>
      </c>
      <c r="I345" s="297">
        <f t="shared" si="25"/>
        <v>0.6</v>
      </c>
      <c r="J345" s="297">
        <f>SUM(M345:R345)</f>
        <v>0.6</v>
      </c>
      <c r="K345" s="813"/>
      <c r="L345" s="813"/>
      <c r="M345" s="1190"/>
      <c r="N345" s="808"/>
      <c r="O345" s="820"/>
      <c r="P345" s="808"/>
      <c r="Q345" s="1186"/>
      <c r="R345" s="1182">
        <v>0.6</v>
      </c>
      <c r="S345" s="809"/>
      <c r="T345" s="810"/>
      <c r="U345" s="810"/>
      <c r="V345" s="810"/>
      <c r="W345" s="809"/>
      <c r="X345" s="810"/>
      <c r="Y345" s="809"/>
      <c r="Z345" s="1739"/>
      <c r="AB345" s="176">
        <v>1</v>
      </c>
      <c r="AE345" s="2461"/>
      <c r="AF345" s="68"/>
    </row>
    <row r="346" spans="1:32" ht="60" x14ac:dyDescent="0.35">
      <c r="A346" s="1573">
        <v>168</v>
      </c>
      <c r="B346" s="1052">
        <v>11578</v>
      </c>
      <c r="C346" s="1052" t="s">
        <v>1655</v>
      </c>
      <c r="D346" s="2473" t="s">
        <v>6561</v>
      </c>
      <c r="E346" s="2187" t="s">
        <v>8088</v>
      </c>
      <c r="F346" s="811" t="s">
        <v>1490</v>
      </c>
      <c r="G346" s="93">
        <v>5</v>
      </c>
      <c r="H346" s="812">
        <v>6</v>
      </c>
      <c r="I346" s="2157">
        <f t="shared" si="25"/>
        <v>1.4</v>
      </c>
      <c r="J346" s="2157">
        <f>M346+N346+O346+P346+Q346+R346</f>
        <v>1.4</v>
      </c>
      <c r="K346" s="490"/>
      <c r="L346" s="490"/>
      <c r="M346" s="490"/>
      <c r="N346" s="490"/>
      <c r="O346" s="490"/>
      <c r="P346" s="490"/>
      <c r="Q346" s="2182"/>
      <c r="R346" s="906">
        <v>1.4</v>
      </c>
      <c r="S346" s="101"/>
      <c r="T346" s="101"/>
      <c r="U346" s="101"/>
      <c r="V346" s="101"/>
      <c r="W346" s="809">
        <v>3</v>
      </c>
      <c r="X346" s="810">
        <v>30</v>
      </c>
      <c r="Y346" s="1969"/>
      <c r="Z346" s="2186"/>
      <c r="AB346" s="176">
        <v>1</v>
      </c>
      <c r="AE346" s="2461"/>
      <c r="AF346" s="68"/>
    </row>
    <row r="347" spans="1:32" ht="45" x14ac:dyDescent="0.35">
      <c r="A347" s="697">
        <v>169</v>
      </c>
      <c r="B347" s="1052">
        <v>11578</v>
      </c>
      <c r="C347" s="1052" t="s">
        <v>1655</v>
      </c>
      <c r="D347" s="2473" t="s">
        <v>6562</v>
      </c>
      <c r="E347" s="807" t="s">
        <v>11155</v>
      </c>
      <c r="F347" s="811" t="s">
        <v>664</v>
      </c>
      <c r="G347" s="2289">
        <v>5</v>
      </c>
      <c r="H347" s="812">
        <v>6</v>
      </c>
      <c r="I347" s="2157">
        <f t="shared" si="25"/>
        <v>1.45</v>
      </c>
      <c r="J347" s="2157">
        <f>M347+N347+O347+P347+Q347+R347</f>
        <v>1.45</v>
      </c>
      <c r="K347" s="808"/>
      <c r="L347" s="808"/>
      <c r="M347" s="490"/>
      <c r="N347" s="490"/>
      <c r="O347" s="490"/>
      <c r="P347" s="490"/>
      <c r="Q347" s="2182"/>
      <c r="R347" s="906">
        <v>1.45</v>
      </c>
      <c r="S347" s="101"/>
      <c r="T347" s="101"/>
      <c r="U347" s="101"/>
      <c r="V347" s="101"/>
      <c r="W347" s="809"/>
      <c r="X347" s="810"/>
      <c r="Y347" s="1969"/>
      <c r="Z347" s="2186"/>
      <c r="AB347" s="176">
        <v>1</v>
      </c>
      <c r="AE347" s="2461"/>
      <c r="AF347" s="68"/>
    </row>
    <row r="348" spans="1:32" ht="60" x14ac:dyDescent="0.35">
      <c r="A348" s="1573">
        <v>170</v>
      </c>
      <c r="B348" s="1574">
        <v>11578</v>
      </c>
      <c r="C348" s="358" t="s">
        <v>1656</v>
      </c>
      <c r="D348" s="2473" t="s">
        <v>6563</v>
      </c>
      <c r="E348" s="1845" t="s">
        <v>9127</v>
      </c>
      <c r="F348" s="811" t="s">
        <v>664</v>
      </c>
      <c r="G348" s="2289">
        <v>5</v>
      </c>
      <c r="H348" s="812">
        <v>6</v>
      </c>
      <c r="I348" s="2157">
        <f t="shared" si="25"/>
        <v>0.2</v>
      </c>
      <c r="J348" s="2157">
        <f>M348+N348+O348+P348+Q348+R348</f>
        <v>0.2</v>
      </c>
      <c r="K348" s="490"/>
      <c r="L348" s="490"/>
      <c r="M348" s="490"/>
      <c r="N348" s="490"/>
      <c r="O348" s="490"/>
      <c r="P348" s="490"/>
      <c r="Q348" s="2182"/>
      <c r="R348" s="906">
        <v>0.2</v>
      </c>
      <c r="S348" s="101"/>
      <c r="T348" s="101"/>
      <c r="U348" s="101"/>
      <c r="V348" s="101"/>
      <c r="W348" s="809"/>
      <c r="X348" s="810"/>
      <c r="Y348" s="1969"/>
      <c r="Z348" s="2186"/>
      <c r="AB348" s="176">
        <v>1</v>
      </c>
      <c r="AE348" s="2461"/>
      <c r="AF348" s="68"/>
    </row>
    <row r="349" spans="1:32" ht="30" x14ac:dyDescent="0.35">
      <c r="A349" s="1573">
        <v>171</v>
      </c>
      <c r="B349" s="1052">
        <v>11619</v>
      </c>
      <c r="C349" s="1052" t="s">
        <v>1656</v>
      </c>
      <c r="D349" s="2473" t="s">
        <v>6661</v>
      </c>
      <c r="E349" s="2187" t="s">
        <v>9128</v>
      </c>
      <c r="F349" s="811" t="s">
        <v>1490</v>
      </c>
      <c r="G349" s="93">
        <v>5</v>
      </c>
      <c r="H349" s="812">
        <v>6</v>
      </c>
      <c r="I349" s="2157">
        <f t="shared" si="25"/>
        <v>0.5</v>
      </c>
      <c r="J349" s="2157">
        <f>M349+N349+O349+P349+Q349+R349</f>
        <v>0.5</v>
      </c>
      <c r="K349" s="490"/>
      <c r="L349" s="490"/>
      <c r="M349" s="490"/>
      <c r="N349" s="490"/>
      <c r="O349" s="490"/>
      <c r="P349" s="490"/>
      <c r="Q349" s="2182"/>
      <c r="R349" s="906">
        <v>0.5</v>
      </c>
      <c r="S349" s="101"/>
      <c r="T349" s="101"/>
      <c r="U349" s="101"/>
      <c r="V349" s="101"/>
      <c r="W349" s="1969"/>
      <c r="X349" s="1969"/>
      <c r="Y349" s="1969"/>
      <c r="Z349" s="2186"/>
      <c r="AB349" s="176">
        <v>1</v>
      </c>
      <c r="AE349" s="2461"/>
      <c r="AF349" s="68"/>
    </row>
    <row r="350" spans="1:32" ht="30" x14ac:dyDescent="0.35">
      <c r="A350" s="697">
        <v>172</v>
      </c>
      <c r="B350" s="1574">
        <v>11620</v>
      </c>
      <c r="C350" s="1574"/>
      <c r="D350" s="1575" t="s">
        <v>2702</v>
      </c>
      <c r="E350" s="807" t="s">
        <v>10366</v>
      </c>
      <c r="F350" s="811"/>
      <c r="G350" s="812" t="s">
        <v>191</v>
      </c>
      <c r="H350" s="812" t="s">
        <v>191</v>
      </c>
      <c r="I350" s="808">
        <f t="shared" si="25"/>
        <v>4.4800000000000004</v>
      </c>
      <c r="J350" s="808">
        <f>SUM(M350:R350)</f>
        <v>4.4800000000000004</v>
      </c>
      <c r="K350" s="808"/>
      <c r="L350" s="808"/>
      <c r="M350" s="1190"/>
      <c r="N350" s="808"/>
      <c r="O350" s="820"/>
      <c r="P350" s="808"/>
      <c r="Q350" s="1186">
        <v>4.4800000000000004</v>
      </c>
      <c r="R350" s="1182"/>
      <c r="S350" s="809"/>
      <c r="T350" s="810"/>
      <c r="U350" s="810"/>
      <c r="V350" s="810"/>
      <c r="W350" s="809">
        <v>4</v>
      </c>
      <c r="X350" s="810">
        <v>40.380000000000003</v>
      </c>
      <c r="Y350" s="809"/>
      <c r="Z350" s="1739"/>
      <c r="AB350" s="176">
        <v>1</v>
      </c>
      <c r="AE350" s="2461"/>
      <c r="AF350" s="68"/>
    </row>
    <row r="351" spans="1:32" x14ac:dyDescent="0.35">
      <c r="A351" s="1573"/>
      <c r="B351" s="1574">
        <v>11620</v>
      </c>
      <c r="C351" s="1574"/>
      <c r="D351" s="1575"/>
      <c r="E351" s="1827" t="s">
        <v>3504</v>
      </c>
      <c r="F351" s="811">
        <v>4</v>
      </c>
      <c r="G351" s="812">
        <v>5</v>
      </c>
      <c r="H351" s="812">
        <v>6</v>
      </c>
      <c r="I351" s="813"/>
      <c r="J351" s="813"/>
      <c r="K351" s="813"/>
      <c r="L351" s="813"/>
      <c r="M351" s="1869"/>
      <c r="N351" s="813"/>
      <c r="O351" s="1870"/>
      <c r="P351" s="813"/>
      <c r="Q351" s="1771">
        <v>4.1230000000000002</v>
      </c>
      <c r="R351" s="1772"/>
      <c r="S351" s="814"/>
      <c r="T351" s="815"/>
      <c r="U351" s="815"/>
      <c r="V351" s="815"/>
      <c r="W351" s="814"/>
      <c r="X351" s="815"/>
      <c r="Y351" s="814"/>
      <c r="Z351" s="1739"/>
      <c r="AE351" s="2461"/>
      <c r="AF351" s="68"/>
    </row>
    <row r="352" spans="1:32" x14ac:dyDescent="0.35">
      <c r="A352" s="1573"/>
      <c r="B352" s="1574">
        <v>11620</v>
      </c>
      <c r="C352" s="1574"/>
      <c r="D352" s="1575"/>
      <c r="E352" s="1827" t="s">
        <v>3505</v>
      </c>
      <c r="F352" s="811" t="s">
        <v>1490</v>
      </c>
      <c r="G352" s="812">
        <v>5</v>
      </c>
      <c r="H352" s="812">
        <v>6</v>
      </c>
      <c r="I352" s="813"/>
      <c r="J352" s="813"/>
      <c r="K352" s="813"/>
      <c r="L352" s="813"/>
      <c r="M352" s="1869"/>
      <c r="N352" s="813"/>
      <c r="O352" s="1870"/>
      <c r="P352" s="813"/>
      <c r="Q352" s="1771">
        <f>4.48-4.123</f>
        <v>0.35700000000000021</v>
      </c>
      <c r="R352" s="1772"/>
      <c r="S352" s="814"/>
      <c r="T352" s="815"/>
      <c r="U352" s="815"/>
      <c r="V352" s="815"/>
      <c r="W352" s="814"/>
      <c r="X352" s="815"/>
      <c r="Y352" s="814"/>
      <c r="Z352" s="1739"/>
      <c r="AE352" s="2461"/>
      <c r="AF352" s="68"/>
    </row>
    <row r="353" spans="1:32" ht="45" x14ac:dyDescent="0.35">
      <c r="A353" s="696">
        <v>173</v>
      </c>
      <c r="B353" s="1574">
        <v>11620</v>
      </c>
      <c r="C353" s="1052" t="s">
        <v>1656</v>
      </c>
      <c r="D353" s="2473" t="s">
        <v>6662</v>
      </c>
      <c r="E353" s="807" t="s">
        <v>10367</v>
      </c>
      <c r="F353" s="811" t="s">
        <v>664</v>
      </c>
      <c r="G353" s="812">
        <v>5</v>
      </c>
      <c r="H353" s="812">
        <v>6</v>
      </c>
      <c r="I353" s="808">
        <f>J353+K353+L353</f>
        <v>1.1000000000000001</v>
      </c>
      <c r="J353" s="808">
        <f>SUM(M353:R353)</f>
        <v>1.1000000000000001</v>
      </c>
      <c r="K353" s="808"/>
      <c r="L353" s="808"/>
      <c r="M353" s="1190"/>
      <c r="N353" s="808"/>
      <c r="O353" s="820"/>
      <c r="P353" s="808"/>
      <c r="Q353" s="1186"/>
      <c r="R353" s="1182">
        <v>1.1000000000000001</v>
      </c>
      <c r="S353" s="809"/>
      <c r="T353" s="810"/>
      <c r="U353" s="810"/>
      <c r="V353" s="810"/>
      <c r="W353" s="809"/>
      <c r="X353" s="810"/>
      <c r="Y353" s="809"/>
      <c r="Z353" s="1739"/>
      <c r="AB353" s="176">
        <v>1</v>
      </c>
      <c r="AE353" s="2461"/>
      <c r="AF353" s="68"/>
    </row>
    <row r="354" spans="1:32" ht="30" x14ac:dyDescent="0.35">
      <c r="A354" s="1573">
        <v>174</v>
      </c>
      <c r="B354" s="1574">
        <v>11621</v>
      </c>
      <c r="C354" s="1574"/>
      <c r="D354" s="1575" t="s">
        <v>2703</v>
      </c>
      <c r="E354" s="807" t="s">
        <v>6985</v>
      </c>
      <c r="F354" s="811"/>
      <c r="G354" s="812" t="s">
        <v>191</v>
      </c>
      <c r="H354" s="812" t="s">
        <v>191</v>
      </c>
      <c r="I354" s="808">
        <f>J354+K354+L354</f>
        <v>7.5</v>
      </c>
      <c r="J354" s="808">
        <f>SUM(M354:R354)</f>
        <v>7.5</v>
      </c>
      <c r="K354" s="808"/>
      <c r="L354" s="808"/>
      <c r="M354" s="1190"/>
      <c r="N354" s="808">
        <f>SUM(N356:N357)</f>
        <v>3.43</v>
      </c>
      <c r="O354" s="820"/>
      <c r="P354" s="808"/>
      <c r="Q354" s="1186"/>
      <c r="R354" s="1182">
        <f>SUM(R356:R357)</f>
        <v>4.07</v>
      </c>
      <c r="S354" s="809">
        <v>1</v>
      </c>
      <c r="T354" s="810">
        <v>45.900001525878906</v>
      </c>
      <c r="U354" s="810"/>
      <c r="V354" s="810"/>
      <c r="W354" s="809">
        <v>4</v>
      </c>
      <c r="X354" s="810">
        <v>40</v>
      </c>
      <c r="Y354" s="809">
        <v>1</v>
      </c>
      <c r="Z354" s="1739">
        <v>10</v>
      </c>
      <c r="AB354" s="176">
        <v>1</v>
      </c>
      <c r="AE354" s="2461"/>
      <c r="AF354" s="68"/>
    </row>
    <row r="355" spans="1:32" ht="46.5" x14ac:dyDescent="0.35">
      <c r="A355" s="1573"/>
      <c r="B355" s="1574">
        <v>11621</v>
      </c>
      <c r="C355" s="1574"/>
      <c r="D355" s="1575"/>
      <c r="E355" s="1197" t="s">
        <v>10016</v>
      </c>
      <c r="F355" s="811"/>
      <c r="G355" s="812" t="s">
        <v>191</v>
      </c>
      <c r="H355" s="812" t="s">
        <v>191</v>
      </c>
      <c r="I355" s="808"/>
      <c r="J355" s="808"/>
      <c r="K355" s="808"/>
      <c r="L355" s="808"/>
      <c r="M355" s="1190"/>
      <c r="N355" s="808"/>
      <c r="O355" s="820"/>
      <c r="P355" s="808"/>
      <c r="Q355" s="1186"/>
      <c r="R355" s="1182"/>
      <c r="S355" s="809"/>
      <c r="T355" s="810"/>
      <c r="U355" s="810"/>
      <c r="V355" s="810"/>
      <c r="W355" s="809"/>
      <c r="X355" s="810"/>
      <c r="Y355" s="809"/>
      <c r="Z355" s="1739"/>
      <c r="AE355" s="2461"/>
      <c r="AF355" s="68"/>
    </row>
    <row r="356" spans="1:32" x14ac:dyDescent="0.35">
      <c r="A356" s="696"/>
      <c r="B356" s="1574">
        <v>11621</v>
      </c>
      <c r="C356" s="1574"/>
      <c r="D356" s="1575"/>
      <c r="E356" s="818" t="s">
        <v>6983</v>
      </c>
      <c r="F356" s="811">
        <v>5</v>
      </c>
      <c r="G356" s="812">
        <v>4</v>
      </c>
      <c r="H356" s="812">
        <v>6</v>
      </c>
      <c r="I356" s="808"/>
      <c r="J356" s="808"/>
      <c r="K356" s="808"/>
      <c r="L356" s="808"/>
      <c r="M356" s="1190"/>
      <c r="N356" s="813">
        <v>3.43</v>
      </c>
      <c r="O356" s="820"/>
      <c r="P356" s="808"/>
      <c r="Q356" s="1186"/>
      <c r="R356" s="1772"/>
      <c r="S356" s="809"/>
      <c r="T356" s="810"/>
      <c r="U356" s="810"/>
      <c r="V356" s="810"/>
      <c r="W356" s="809"/>
      <c r="X356" s="810"/>
      <c r="Y356" s="809"/>
      <c r="Z356" s="1739"/>
      <c r="AE356" s="2461"/>
      <c r="AF356" s="68"/>
    </row>
    <row r="357" spans="1:32" x14ac:dyDescent="0.35">
      <c r="A357" s="696"/>
      <c r="B357" s="1574">
        <v>11621</v>
      </c>
      <c r="C357" s="1574"/>
      <c r="D357" s="1575"/>
      <c r="E357" s="1192" t="s">
        <v>6984</v>
      </c>
      <c r="F357" s="811" t="s">
        <v>827</v>
      </c>
      <c r="G357" s="812">
        <v>4</v>
      </c>
      <c r="H357" s="812">
        <v>6</v>
      </c>
      <c r="I357" s="808"/>
      <c r="J357" s="808"/>
      <c r="K357" s="808"/>
      <c r="L357" s="808"/>
      <c r="M357" s="1190"/>
      <c r="N357" s="808"/>
      <c r="O357" s="820"/>
      <c r="P357" s="808"/>
      <c r="Q357" s="1186"/>
      <c r="R357" s="1772">
        <f>7.5-3.43</f>
        <v>4.07</v>
      </c>
      <c r="S357" s="809"/>
      <c r="T357" s="810"/>
      <c r="U357" s="810"/>
      <c r="V357" s="810"/>
      <c r="W357" s="809"/>
      <c r="X357" s="810"/>
      <c r="Y357" s="809"/>
      <c r="Z357" s="1739"/>
      <c r="AE357" s="2461"/>
      <c r="AF357" s="68"/>
    </row>
    <row r="358" spans="1:32" ht="45" x14ac:dyDescent="0.35">
      <c r="A358" s="1573">
        <v>175</v>
      </c>
      <c r="B358" s="1052">
        <v>11621</v>
      </c>
      <c r="C358" s="1052" t="s">
        <v>1656</v>
      </c>
      <c r="D358" s="2473" t="s">
        <v>6663</v>
      </c>
      <c r="E358" s="2187" t="s">
        <v>7409</v>
      </c>
      <c r="F358" s="811" t="s">
        <v>827</v>
      </c>
      <c r="G358" s="93">
        <v>5</v>
      </c>
      <c r="H358" s="812">
        <v>6</v>
      </c>
      <c r="I358" s="2157">
        <f t="shared" ref="I358:I367" si="26">J358+K358+L358</f>
        <v>1</v>
      </c>
      <c r="J358" s="2157">
        <f>M358+N358+O358+P358+Q358+R358</f>
        <v>1</v>
      </c>
      <c r="K358" s="490"/>
      <c r="L358" s="490"/>
      <c r="M358" s="490"/>
      <c r="N358" s="490"/>
      <c r="O358" s="490"/>
      <c r="P358" s="490"/>
      <c r="Q358" s="2182"/>
      <c r="R358" s="906">
        <v>1</v>
      </c>
      <c r="S358" s="101"/>
      <c r="T358" s="101"/>
      <c r="U358" s="101"/>
      <c r="V358" s="101"/>
      <c r="W358" s="1969"/>
      <c r="X358" s="1969"/>
      <c r="Y358" s="1969"/>
      <c r="Z358" s="2186"/>
      <c r="AB358" s="176">
        <v>1</v>
      </c>
      <c r="AE358" s="2461"/>
      <c r="AF358" s="68"/>
    </row>
    <row r="359" spans="1:32" ht="46.5" x14ac:dyDescent="0.35">
      <c r="A359" s="1573"/>
      <c r="B359" s="1574">
        <v>11621</v>
      </c>
      <c r="C359" s="1052"/>
      <c r="D359" s="697"/>
      <c r="E359" s="2092" t="s">
        <v>10017</v>
      </c>
      <c r="F359" s="811"/>
      <c r="G359" s="93" t="s">
        <v>191</v>
      </c>
      <c r="H359" s="93" t="s">
        <v>191</v>
      </c>
      <c r="I359" s="2157"/>
      <c r="J359" s="2157"/>
      <c r="K359" s="490"/>
      <c r="L359" s="490"/>
      <c r="M359" s="490"/>
      <c r="N359" s="490"/>
      <c r="O359" s="490"/>
      <c r="P359" s="490"/>
      <c r="Q359" s="2182"/>
      <c r="R359" s="906"/>
      <c r="S359" s="101"/>
      <c r="T359" s="101"/>
      <c r="U359" s="101"/>
      <c r="V359" s="101"/>
      <c r="W359" s="1969"/>
      <c r="X359" s="1969"/>
      <c r="Y359" s="1969"/>
      <c r="Z359" s="2186"/>
      <c r="AE359" s="2461"/>
      <c r="AF359" s="68"/>
    </row>
    <row r="360" spans="1:32" ht="30" x14ac:dyDescent="0.35">
      <c r="A360" s="696">
        <v>176</v>
      </c>
      <c r="B360" s="1574">
        <v>11622</v>
      </c>
      <c r="C360" s="1574"/>
      <c r="D360" s="1575" t="s">
        <v>847</v>
      </c>
      <c r="E360" s="807" t="s">
        <v>1670</v>
      </c>
      <c r="F360" s="811"/>
      <c r="G360" s="812" t="s">
        <v>191</v>
      </c>
      <c r="H360" s="93" t="s">
        <v>191</v>
      </c>
      <c r="I360" s="808">
        <f t="shared" si="26"/>
        <v>5.1100000000000003</v>
      </c>
      <c r="J360" s="808">
        <f>SUM(M360:R360)</f>
        <v>5.1100000000000003</v>
      </c>
      <c r="K360" s="808"/>
      <c r="L360" s="808"/>
      <c r="M360" s="1190"/>
      <c r="N360" s="808">
        <f>SUM(N361:N363)</f>
        <v>1.2E-2</v>
      </c>
      <c r="O360" s="820"/>
      <c r="P360" s="808"/>
      <c r="Q360" s="1186">
        <f>SUM(Q361:Q363)</f>
        <v>4.9880000000000004</v>
      </c>
      <c r="R360" s="1182">
        <f>SUM(R361:R363)</f>
        <v>0.11000000000000032</v>
      </c>
      <c r="S360" s="809"/>
      <c r="T360" s="810"/>
      <c r="U360" s="810"/>
      <c r="V360" s="810"/>
      <c r="W360" s="809">
        <v>9</v>
      </c>
      <c r="X360" s="810">
        <v>77.2</v>
      </c>
      <c r="Y360" s="809"/>
      <c r="Z360" s="1739"/>
      <c r="AB360" s="176">
        <v>1</v>
      </c>
      <c r="AE360" s="2461"/>
      <c r="AF360" s="68"/>
    </row>
    <row r="361" spans="1:32" x14ac:dyDescent="0.35">
      <c r="A361" s="696"/>
      <c r="B361" s="1574"/>
      <c r="C361" s="1574"/>
      <c r="D361" s="1575"/>
      <c r="E361" s="818" t="s">
        <v>3517</v>
      </c>
      <c r="F361" s="811" t="s">
        <v>827</v>
      </c>
      <c r="G361" s="812">
        <v>5</v>
      </c>
      <c r="H361" s="93">
        <v>6</v>
      </c>
      <c r="I361" s="813"/>
      <c r="J361" s="813"/>
      <c r="K361" s="813"/>
      <c r="L361" s="813"/>
      <c r="M361" s="1869"/>
      <c r="N361" s="813">
        <v>1.2E-2</v>
      </c>
      <c r="O361" s="1870"/>
      <c r="P361" s="813"/>
      <c r="Q361" s="1771"/>
      <c r="R361" s="1772"/>
      <c r="S361" s="809"/>
      <c r="T361" s="810"/>
      <c r="U361" s="810"/>
      <c r="V361" s="810"/>
      <c r="W361" s="809"/>
      <c r="X361" s="810"/>
      <c r="Y361" s="809"/>
      <c r="Z361" s="1739"/>
      <c r="AE361" s="2461"/>
      <c r="AF361" s="68"/>
    </row>
    <row r="362" spans="1:32" x14ac:dyDescent="0.35">
      <c r="A362" s="696"/>
      <c r="B362" s="1574"/>
      <c r="C362" s="1574"/>
      <c r="D362" s="1575"/>
      <c r="E362" s="1827" t="s">
        <v>3516</v>
      </c>
      <c r="F362" s="811" t="s">
        <v>827</v>
      </c>
      <c r="G362" s="812">
        <v>5</v>
      </c>
      <c r="H362" s="812">
        <v>6</v>
      </c>
      <c r="I362" s="813"/>
      <c r="J362" s="813"/>
      <c r="K362" s="813"/>
      <c r="L362" s="813"/>
      <c r="M362" s="1869"/>
      <c r="N362" s="813"/>
      <c r="O362" s="1870"/>
      <c r="P362" s="813"/>
      <c r="Q362" s="1771">
        <f>5-0.012</f>
        <v>4.9880000000000004</v>
      </c>
      <c r="R362" s="1772"/>
      <c r="S362" s="809"/>
      <c r="T362" s="810"/>
      <c r="U362" s="810"/>
      <c r="V362" s="810"/>
      <c r="W362" s="809"/>
      <c r="X362" s="810"/>
      <c r="Y362" s="809"/>
      <c r="Z362" s="1739"/>
      <c r="AE362" s="2461"/>
      <c r="AF362" s="68"/>
    </row>
    <row r="363" spans="1:32" x14ac:dyDescent="0.35">
      <c r="A363" s="696"/>
      <c r="B363" s="1574"/>
      <c r="C363" s="1574"/>
      <c r="D363" s="1575"/>
      <c r="E363" s="1192" t="s">
        <v>3515</v>
      </c>
      <c r="F363" s="811" t="s">
        <v>1490</v>
      </c>
      <c r="G363" s="812">
        <v>5</v>
      </c>
      <c r="H363" s="812">
        <v>6</v>
      </c>
      <c r="I363" s="813"/>
      <c r="J363" s="813"/>
      <c r="K363" s="813"/>
      <c r="L363" s="813"/>
      <c r="M363" s="1869"/>
      <c r="N363" s="813"/>
      <c r="O363" s="1870"/>
      <c r="P363" s="813"/>
      <c r="Q363" s="1771"/>
      <c r="R363" s="1772">
        <f>5.11-5</f>
        <v>0.11000000000000032</v>
      </c>
      <c r="S363" s="809"/>
      <c r="T363" s="810"/>
      <c r="U363" s="810"/>
      <c r="V363" s="810"/>
      <c r="W363" s="809"/>
      <c r="X363" s="810"/>
      <c r="Y363" s="809"/>
      <c r="Z363" s="1739"/>
      <c r="AE363" s="2461"/>
      <c r="AF363" s="68"/>
    </row>
    <row r="364" spans="1:32" ht="45" x14ac:dyDescent="0.35">
      <c r="A364" s="1573">
        <v>177</v>
      </c>
      <c r="B364" s="1574">
        <v>11622</v>
      </c>
      <c r="C364" s="1052" t="s">
        <v>1656</v>
      </c>
      <c r="D364" s="2473" t="s">
        <v>6664</v>
      </c>
      <c r="E364" s="807" t="s">
        <v>9129</v>
      </c>
      <c r="F364" s="811" t="s">
        <v>664</v>
      </c>
      <c r="G364" s="812">
        <v>5</v>
      </c>
      <c r="H364" s="812">
        <v>6</v>
      </c>
      <c r="I364" s="808">
        <f t="shared" si="26"/>
        <v>0.3</v>
      </c>
      <c r="J364" s="808">
        <f>SUM(M364:R364)</f>
        <v>0.3</v>
      </c>
      <c r="K364" s="808"/>
      <c r="L364" s="808"/>
      <c r="M364" s="1190"/>
      <c r="N364" s="808"/>
      <c r="O364" s="820"/>
      <c r="P364" s="808"/>
      <c r="Q364" s="1186"/>
      <c r="R364" s="1182">
        <v>0.3</v>
      </c>
      <c r="S364" s="809"/>
      <c r="T364" s="810"/>
      <c r="U364" s="810"/>
      <c r="V364" s="810"/>
      <c r="W364" s="809"/>
      <c r="X364" s="810"/>
      <c r="Y364" s="809"/>
      <c r="Z364" s="1739"/>
      <c r="AB364" s="176">
        <v>1</v>
      </c>
      <c r="AE364" s="2461"/>
      <c r="AF364" s="68"/>
    </row>
    <row r="365" spans="1:32" ht="45" x14ac:dyDescent="0.35">
      <c r="A365" s="696">
        <v>178</v>
      </c>
      <c r="B365" s="1574">
        <v>11622</v>
      </c>
      <c r="C365" s="1052" t="s">
        <v>1656</v>
      </c>
      <c r="D365" s="2473" t="s">
        <v>6665</v>
      </c>
      <c r="E365" s="2187" t="s">
        <v>9130</v>
      </c>
      <c r="F365" s="811" t="s">
        <v>664</v>
      </c>
      <c r="G365" s="812">
        <v>5</v>
      </c>
      <c r="H365" s="812">
        <v>6</v>
      </c>
      <c r="I365" s="808">
        <f t="shared" si="26"/>
        <v>0.5</v>
      </c>
      <c r="J365" s="808">
        <f>SUM(M365:R365)</f>
        <v>0.5</v>
      </c>
      <c r="K365" s="808"/>
      <c r="L365" s="808"/>
      <c r="M365" s="1190"/>
      <c r="N365" s="808"/>
      <c r="O365" s="820"/>
      <c r="P365" s="808"/>
      <c r="Q365" s="1186"/>
      <c r="R365" s="1182">
        <v>0.5</v>
      </c>
      <c r="S365" s="809"/>
      <c r="T365" s="810"/>
      <c r="U365" s="810"/>
      <c r="V365" s="810"/>
      <c r="W365" s="809"/>
      <c r="X365" s="810"/>
      <c r="Y365" s="809"/>
      <c r="Z365" s="1739"/>
      <c r="AB365" s="176">
        <v>1</v>
      </c>
      <c r="AE365" s="2461"/>
      <c r="AF365" s="68"/>
    </row>
    <row r="366" spans="1:32" ht="45" x14ac:dyDescent="0.35">
      <c r="A366" s="1573">
        <v>179</v>
      </c>
      <c r="B366" s="1574">
        <v>11622</v>
      </c>
      <c r="C366" s="1052" t="s">
        <v>1656</v>
      </c>
      <c r="D366" s="2473" t="s">
        <v>6666</v>
      </c>
      <c r="E366" s="2187" t="s">
        <v>9131</v>
      </c>
      <c r="F366" s="811" t="s">
        <v>664</v>
      </c>
      <c r="G366" s="812">
        <v>5</v>
      </c>
      <c r="H366" s="812">
        <v>6</v>
      </c>
      <c r="I366" s="808">
        <f t="shared" si="26"/>
        <v>0.2</v>
      </c>
      <c r="J366" s="808">
        <f>SUM(M366:R366)</f>
        <v>0.2</v>
      </c>
      <c r="K366" s="808"/>
      <c r="L366" s="808"/>
      <c r="M366" s="1190"/>
      <c r="N366" s="808"/>
      <c r="O366" s="820"/>
      <c r="P366" s="808"/>
      <c r="Q366" s="1186"/>
      <c r="R366" s="1182">
        <v>0.2</v>
      </c>
      <c r="S366" s="809"/>
      <c r="T366" s="810"/>
      <c r="U366" s="810"/>
      <c r="V366" s="810"/>
      <c r="W366" s="809"/>
      <c r="X366" s="810"/>
      <c r="Y366" s="809"/>
      <c r="Z366" s="1739"/>
      <c r="AB366" s="176">
        <v>1</v>
      </c>
      <c r="AE366" s="2461"/>
      <c r="AF366" s="68"/>
    </row>
    <row r="367" spans="1:32" ht="45" x14ac:dyDescent="0.35">
      <c r="A367" s="696">
        <v>180</v>
      </c>
      <c r="B367" s="1574">
        <v>11623</v>
      </c>
      <c r="C367" s="1052" t="s">
        <v>1655</v>
      </c>
      <c r="D367" s="1575" t="s">
        <v>1525</v>
      </c>
      <c r="E367" s="807" t="s">
        <v>10890</v>
      </c>
      <c r="F367" s="811" t="s">
        <v>664</v>
      </c>
      <c r="G367" s="812">
        <v>5</v>
      </c>
      <c r="H367" s="812">
        <v>6</v>
      </c>
      <c r="I367" s="808">
        <f t="shared" si="26"/>
        <v>0.6</v>
      </c>
      <c r="J367" s="808">
        <f>SUM(M367:R367)</f>
        <v>0.6</v>
      </c>
      <c r="K367" s="808"/>
      <c r="L367" s="808"/>
      <c r="M367" s="1190"/>
      <c r="N367" s="808"/>
      <c r="O367" s="820"/>
      <c r="P367" s="808"/>
      <c r="Q367" s="1186"/>
      <c r="R367" s="1182">
        <v>0.6</v>
      </c>
      <c r="S367" s="809"/>
      <c r="T367" s="810"/>
      <c r="U367" s="810"/>
      <c r="V367" s="810"/>
      <c r="W367" s="809"/>
      <c r="X367" s="810"/>
      <c r="Y367" s="809"/>
      <c r="Z367" s="1739"/>
      <c r="AB367" s="176">
        <v>1</v>
      </c>
      <c r="AE367" s="2461"/>
      <c r="AF367" s="68"/>
    </row>
    <row r="368" spans="1:32" ht="45.5" x14ac:dyDescent="0.35">
      <c r="A368" s="1573"/>
      <c r="B368" s="1574" t="s">
        <v>39</v>
      </c>
      <c r="C368" s="1574"/>
      <c r="D368" s="1575"/>
      <c r="E368" s="1597" t="s">
        <v>9461</v>
      </c>
      <c r="F368" s="811"/>
      <c r="G368" s="812"/>
      <c r="H368" s="812"/>
      <c r="I368" s="808"/>
      <c r="J368" s="808"/>
      <c r="K368" s="808"/>
      <c r="L368" s="808"/>
      <c r="M368" s="1190"/>
      <c r="N368" s="808"/>
      <c r="O368" s="820"/>
      <c r="P368" s="808"/>
      <c r="Q368" s="1186"/>
      <c r="R368" s="1182"/>
      <c r="S368" s="809"/>
      <c r="T368" s="810"/>
      <c r="U368" s="810"/>
      <c r="V368" s="810"/>
      <c r="W368" s="809"/>
      <c r="X368" s="810"/>
      <c r="Y368" s="809"/>
      <c r="Z368" s="1739"/>
      <c r="AE368" s="2461"/>
      <c r="AF368" s="68"/>
    </row>
    <row r="369" spans="1:32" ht="60" x14ac:dyDescent="0.35">
      <c r="A369" s="1573">
        <v>181</v>
      </c>
      <c r="B369" s="1574" t="s">
        <v>39</v>
      </c>
      <c r="C369" s="1574"/>
      <c r="D369" s="2473" t="s">
        <v>6667</v>
      </c>
      <c r="E369" s="817" t="s">
        <v>9492</v>
      </c>
      <c r="F369" s="811"/>
      <c r="G369" s="812" t="s">
        <v>191</v>
      </c>
      <c r="H369" s="812" t="s">
        <v>191</v>
      </c>
      <c r="I369" s="808">
        <f>J369+K369+L369</f>
        <v>2.8980000000000001</v>
      </c>
      <c r="J369" s="808">
        <f>SUM(M369:R369)</f>
        <v>2.8980000000000001</v>
      </c>
      <c r="K369" s="808"/>
      <c r="L369" s="808"/>
      <c r="M369" s="1190"/>
      <c r="N369" s="808">
        <f>SUM(N370:N373)</f>
        <v>0.4</v>
      </c>
      <c r="O369" s="820"/>
      <c r="P369" s="808"/>
      <c r="Q369" s="1186">
        <f>SUM(Q370:Q373)</f>
        <v>2.4980000000000002</v>
      </c>
      <c r="R369" s="1182"/>
      <c r="S369" s="809"/>
      <c r="T369" s="810"/>
      <c r="U369" s="810"/>
      <c r="V369" s="810"/>
      <c r="W369" s="809">
        <v>5</v>
      </c>
      <c r="X369" s="810">
        <v>80.08</v>
      </c>
      <c r="Y369" s="809">
        <v>2</v>
      </c>
      <c r="Z369" s="1739">
        <v>40</v>
      </c>
      <c r="AB369" s="176">
        <v>1</v>
      </c>
      <c r="AE369" s="2461"/>
      <c r="AF369" s="68"/>
    </row>
    <row r="370" spans="1:32" x14ac:dyDescent="0.35">
      <c r="A370" s="1576"/>
      <c r="B370" s="1574" t="s">
        <v>39</v>
      </c>
      <c r="C370" s="1574"/>
      <c r="D370" s="1577"/>
      <c r="E370" s="818" t="s">
        <v>1074</v>
      </c>
      <c r="F370" s="811">
        <v>5</v>
      </c>
      <c r="G370" s="812">
        <v>5</v>
      </c>
      <c r="H370" s="812">
        <v>6</v>
      </c>
      <c r="I370" s="813"/>
      <c r="J370" s="813"/>
      <c r="K370" s="813"/>
      <c r="L370" s="813"/>
      <c r="M370" s="1191"/>
      <c r="N370" s="813">
        <v>0.4</v>
      </c>
      <c r="O370" s="819"/>
      <c r="P370" s="813"/>
      <c r="Q370" s="1187"/>
      <c r="R370" s="1183"/>
      <c r="S370" s="814"/>
      <c r="T370" s="815"/>
      <c r="U370" s="815"/>
      <c r="V370" s="815"/>
      <c r="W370" s="814"/>
      <c r="X370" s="815"/>
      <c r="Y370" s="814"/>
      <c r="Z370" s="1740"/>
      <c r="AE370" s="2461"/>
      <c r="AF370" s="68"/>
    </row>
    <row r="371" spans="1:32" x14ac:dyDescent="0.35">
      <c r="A371" s="1576"/>
      <c r="B371" s="1574"/>
      <c r="C371" s="1574"/>
      <c r="D371" s="1577"/>
      <c r="E371" s="1195" t="s">
        <v>3249</v>
      </c>
      <c r="F371" s="811">
        <v>5</v>
      </c>
      <c r="G371" s="812">
        <v>5</v>
      </c>
      <c r="H371" s="812">
        <v>6</v>
      </c>
      <c r="I371" s="813"/>
      <c r="J371" s="813"/>
      <c r="K371" s="813"/>
      <c r="L371" s="813"/>
      <c r="M371" s="1191"/>
      <c r="N371" s="813"/>
      <c r="O371" s="819"/>
      <c r="P371" s="813"/>
      <c r="Q371" s="1187">
        <f>2.436-0.4</f>
        <v>2.036</v>
      </c>
      <c r="R371" s="1183"/>
      <c r="S371" s="814"/>
      <c r="T371" s="815"/>
      <c r="U371" s="815"/>
      <c r="V371" s="815"/>
      <c r="W371" s="814"/>
      <c r="X371" s="815"/>
      <c r="Y371" s="814"/>
      <c r="Z371" s="1740"/>
      <c r="AE371" s="2461"/>
      <c r="AF371" s="68"/>
    </row>
    <row r="372" spans="1:32" x14ac:dyDescent="0.35">
      <c r="A372" s="1576"/>
      <c r="B372" s="1574"/>
      <c r="C372" s="1574"/>
      <c r="D372" s="1577"/>
      <c r="E372" s="1195" t="s">
        <v>2673</v>
      </c>
      <c r="F372" s="811" t="s">
        <v>827</v>
      </c>
      <c r="G372" s="812">
        <v>5</v>
      </c>
      <c r="H372" s="812">
        <v>6</v>
      </c>
      <c r="I372" s="813"/>
      <c r="J372" s="813"/>
      <c r="K372" s="813"/>
      <c r="L372" s="813"/>
      <c r="M372" s="1191"/>
      <c r="N372" s="813"/>
      <c r="O372" s="819"/>
      <c r="P372" s="813"/>
      <c r="Q372" s="1187">
        <f>2.739-2.436</f>
        <v>0.30299999999999994</v>
      </c>
      <c r="R372" s="1183"/>
      <c r="S372" s="814"/>
      <c r="T372" s="815"/>
      <c r="U372" s="815"/>
      <c r="V372" s="815"/>
      <c r="W372" s="814"/>
      <c r="X372" s="815"/>
      <c r="Y372" s="814"/>
      <c r="Z372" s="1740"/>
      <c r="AE372" s="2461"/>
      <c r="AF372" s="68"/>
    </row>
    <row r="373" spans="1:32" x14ac:dyDescent="0.35">
      <c r="A373" s="1576"/>
      <c r="B373" s="1574" t="s">
        <v>39</v>
      </c>
      <c r="C373" s="1574"/>
      <c r="D373" s="1577"/>
      <c r="E373" s="1195" t="s">
        <v>2672</v>
      </c>
      <c r="F373" s="811" t="s">
        <v>1490</v>
      </c>
      <c r="G373" s="812">
        <v>5</v>
      </c>
      <c r="H373" s="812">
        <v>6</v>
      </c>
      <c r="I373" s="813"/>
      <c r="J373" s="813"/>
      <c r="K373" s="813"/>
      <c r="L373" s="813"/>
      <c r="M373" s="1191"/>
      <c r="N373" s="813"/>
      <c r="O373" s="819"/>
      <c r="P373" s="813"/>
      <c r="Q373" s="1187">
        <f>2.898-2.739</f>
        <v>0.15900000000000025</v>
      </c>
      <c r="R373" s="1183"/>
      <c r="S373" s="814"/>
      <c r="T373" s="815"/>
      <c r="U373" s="815"/>
      <c r="V373" s="815"/>
      <c r="W373" s="814"/>
      <c r="X373" s="815"/>
      <c r="Y373" s="814"/>
      <c r="Z373" s="1740"/>
      <c r="AE373" s="2461"/>
      <c r="AF373" s="68"/>
    </row>
    <row r="374" spans="1:32" ht="75" x14ac:dyDescent="0.35">
      <c r="A374" s="441">
        <v>182</v>
      </c>
      <c r="B374" s="1574" t="s">
        <v>39</v>
      </c>
      <c r="C374" s="358" t="s">
        <v>1656</v>
      </c>
      <c r="D374" s="2473" t="s">
        <v>6668</v>
      </c>
      <c r="E374" s="1845" t="s">
        <v>9493</v>
      </c>
      <c r="F374" s="811" t="s">
        <v>664</v>
      </c>
      <c r="G374" s="2289">
        <v>5</v>
      </c>
      <c r="H374" s="812">
        <v>6</v>
      </c>
      <c r="I374" s="808">
        <f>J374+K374+L374</f>
        <v>0.4</v>
      </c>
      <c r="J374" s="808">
        <f>SUM(M374:R374)</f>
        <v>0.4</v>
      </c>
      <c r="K374" s="808"/>
      <c r="L374" s="808"/>
      <c r="M374" s="1190"/>
      <c r="N374" s="808"/>
      <c r="O374" s="820"/>
      <c r="P374" s="808"/>
      <c r="Q374" s="1186"/>
      <c r="R374" s="1182">
        <v>0.4</v>
      </c>
      <c r="S374" s="809"/>
      <c r="T374" s="810"/>
      <c r="U374" s="810"/>
      <c r="V374" s="810"/>
      <c r="W374" s="809"/>
      <c r="X374" s="810"/>
      <c r="Y374" s="809"/>
      <c r="Z374" s="1739"/>
      <c r="AB374" s="176">
        <v>1</v>
      </c>
      <c r="AE374" s="2461"/>
      <c r="AF374" s="68"/>
    </row>
    <row r="375" spans="1:32" ht="60" x14ac:dyDescent="0.35">
      <c r="A375" s="1573">
        <v>183</v>
      </c>
      <c r="B375" s="1574" t="s">
        <v>39</v>
      </c>
      <c r="C375" s="1574"/>
      <c r="D375" s="2473" t="s">
        <v>6669</v>
      </c>
      <c r="E375" s="817" t="s">
        <v>9494</v>
      </c>
      <c r="F375" s="811" t="s">
        <v>827</v>
      </c>
      <c r="G375" s="812">
        <v>5</v>
      </c>
      <c r="H375" s="812">
        <v>6</v>
      </c>
      <c r="I375" s="808">
        <f>J375+K375+L375</f>
        <v>1.6</v>
      </c>
      <c r="J375" s="808">
        <f>SUM(M375:R375)</f>
        <v>1.6</v>
      </c>
      <c r="K375" s="808"/>
      <c r="L375" s="808"/>
      <c r="M375" s="1190"/>
      <c r="N375" s="808"/>
      <c r="O375" s="820"/>
      <c r="P375" s="808"/>
      <c r="Q375" s="1186"/>
      <c r="R375" s="1182">
        <v>1.6</v>
      </c>
      <c r="S375" s="809"/>
      <c r="T375" s="810"/>
      <c r="U375" s="810"/>
      <c r="V375" s="810"/>
      <c r="W375" s="809">
        <v>3</v>
      </c>
      <c r="X375" s="810">
        <v>30</v>
      </c>
      <c r="Y375" s="809"/>
      <c r="Z375" s="1739"/>
      <c r="AB375" s="176">
        <v>1</v>
      </c>
      <c r="AE375" s="2461"/>
      <c r="AF375" s="68"/>
    </row>
    <row r="376" spans="1:32" ht="75" x14ac:dyDescent="0.35">
      <c r="A376" s="441">
        <v>184</v>
      </c>
      <c r="B376" s="1574" t="s">
        <v>39</v>
      </c>
      <c r="C376" s="358" t="s">
        <v>1656</v>
      </c>
      <c r="D376" s="2473" t="s">
        <v>6670</v>
      </c>
      <c r="E376" s="807" t="s">
        <v>9495</v>
      </c>
      <c r="F376" s="811" t="s">
        <v>664</v>
      </c>
      <c r="G376" s="2289">
        <v>5</v>
      </c>
      <c r="H376" s="812">
        <v>6</v>
      </c>
      <c r="I376" s="808">
        <f>J376+K376+L376</f>
        <v>0.5</v>
      </c>
      <c r="J376" s="808">
        <f>SUM(M376:R376)</f>
        <v>0.5</v>
      </c>
      <c r="K376" s="808"/>
      <c r="L376" s="808"/>
      <c r="M376" s="1190"/>
      <c r="N376" s="808"/>
      <c r="O376" s="820"/>
      <c r="P376" s="808"/>
      <c r="Q376" s="1186"/>
      <c r="R376" s="1182">
        <v>0.5</v>
      </c>
      <c r="S376" s="809"/>
      <c r="T376" s="810"/>
      <c r="U376" s="810"/>
      <c r="V376" s="810"/>
      <c r="W376" s="809"/>
      <c r="X376" s="810"/>
      <c r="Y376" s="809"/>
      <c r="Z376" s="1739"/>
      <c r="AB376" s="176">
        <v>1</v>
      </c>
      <c r="AE376" s="2461"/>
      <c r="AF376" s="68"/>
    </row>
    <row r="377" spans="1:32" ht="60" x14ac:dyDescent="0.35">
      <c r="A377" s="1573">
        <v>185</v>
      </c>
      <c r="B377" s="1574" t="s">
        <v>39</v>
      </c>
      <c r="C377" s="358" t="s">
        <v>1656</v>
      </c>
      <c r="D377" s="2473" t="s">
        <v>6671</v>
      </c>
      <c r="E377" s="807" t="s">
        <v>9496</v>
      </c>
      <c r="F377" s="811" t="s">
        <v>664</v>
      </c>
      <c r="G377" s="2289">
        <v>5</v>
      </c>
      <c r="H377" s="812">
        <v>6</v>
      </c>
      <c r="I377" s="808">
        <f t="shared" ref="I377:I384" si="27">J377+K377+L377</f>
        <v>0.5</v>
      </c>
      <c r="J377" s="808">
        <f t="shared" ref="J377:J384" si="28">SUM(M377:R377)</f>
        <v>0.5</v>
      </c>
      <c r="K377" s="808"/>
      <c r="L377" s="808"/>
      <c r="M377" s="1190"/>
      <c r="N377" s="808"/>
      <c r="O377" s="820"/>
      <c r="P377" s="808"/>
      <c r="Q377" s="1186"/>
      <c r="R377" s="1182">
        <v>0.5</v>
      </c>
      <c r="S377" s="809"/>
      <c r="T377" s="810"/>
      <c r="U377" s="810"/>
      <c r="V377" s="810"/>
      <c r="W377" s="809"/>
      <c r="X377" s="810"/>
      <c r="Y377" s="809"/>
      <c r="Z377" s="1739"/>
      <c r="AB377" s="176">
        <v>1</v>
      </c>
      <c r="AE377" s="2461"/>
      <c r="AF377" s="68"/>
    </row>
    <row r="378" spans="1:32" ht="60" x14ac:dyDescent="0.35">
      <c r="A378" s="441">
        <v>186</v>
      </c>
      <c r="B378" s="1574" t="s">
        <v>39</v>
      </c>
      <c r="C378" s="1575"/>
      <c r="D378" s="2473" t="s">
        <v>6672</v>
      </c>
      <c r="E378" s="807" t="s">
        <v>11156</v>
      </c>
      <c r="F378" s="811"/>
      <c r="G378" s="812" t="s">
        <v>191</v>
      </c>
      <c r="H378" s="812" t="s">
        <v>191</v>
      </c>
      <c r="I378" s="808">
        <f t="shared" si="27"/>
        <v>1.1299999999999999</v>
      </c>
      <c r="J378" s="808">
        <f t="shared" si="28"/>
        <v>0.89999999999999991</v>
      </c>
      <c r="K378" s="808"/>
      <c r="L378" s="808">
        <f>SUM(L379:L380)</f>
        <v>0.23</v>
      </c>
      <c r="M378" s="1190"/>
      <c r="N378" s="808"/>
      <c r="O378" s="820"/>
      <c r="P378" s="808"/>
      <c r="Q378" s="1186"/>
      <c r="R378" s="1182">
        <f>SUM(R379:R380)</f>
        <v>0.89999999999999991</v>
      </c>
      <c r="S378" s="809"/>
      <c r="T378" s="810"/>
      <c r="U378" s="810"/>
      <c r="V378" s="810"/>
      <c r="W378" s="809"/>
      <c r="X378" s="810"/>
      <c r="Y378" s="809"/>
      <c r="Z378" s="1739"/>
      <c r="AB378" s="176">
        <v>1</v>
      </c>
      <c r="AE378" s="2461"/>
      <c r="AF378" s="68"/>
    </row>
    <row r="379" spans="1:32" ht="31" x14ac:dyDescent="0.35">
      <c r="A379" s="441"/>
      <c r="B379" s="1574"/>
      <c r="C379" s="1575"/>
      <c r="D379" s="2473"/>
      <c r="E379" s="816" t="s">
        <v>11057</v>
      </c>
      <c r="F379" s="811" t="s">
        <v>827</v>
      </c>
      <c r="G379" s="2289">
        <v>5</v>
      </c>
      <c r="H379" s="812" t="s">
        <v>191</v>
      </c>
      <c r="I379" s="813"/>
      <c r="J379" s="813"/>
      <c r="K379" s="813"/>
      <c r="L379" s="813">
        <v>0.23</v>
      </c>
      <c r="M379" s="1869"/>
      <c r="N379" s="813"/>
      <c r="O379" s="1870"/>
      <c r="P379" s="813"/>
      <c r="Q379" s="1771"/>
      <c r="R379" s="1772"/>
      <c r="S379" s="809"/>
      <c r="T379" s="810"/>
      <c r="U379" s="810"/>
      <c r="V379" s="810"/>
      <c r="W379" s="809"/>
      <c r="X379" s="810"/>
      <c r="Y379" s="809"/>
      <c r="Z379" s="1739"/>
      <c r="AE379" s="2461"/>
      <c r="AF379" s="68"/>
    </row>
    <row r="380" spans="1:32" x14ac:dyDescent="0.35">
      <c r="A380" s="441"/>
      <c r="B380" s="1574"/>
      <c r="C380" s="1575"/>
      <c r="D380" s="2473"/>
      <c r="E380" s="1192" t="s">
        <v>11058</v>
      </c>
      <c r="F380" s="811" t="s">
        <v>827</v>
      </c>
      <c r="G380" s="2289">
        <v>5</v>
      </c>
      <c r="H380" s="812">
        <v>6</v>
      </c>
      <c r="I380" s="813"/>
      <c r="J380" s="813"/>
      <c r="K380" s="813"/>
      <c r="L380" s="813"/>
      <c r="M380" s="1869"/>
      <c r="N380" s="813"/>
      <c r="O380" s="1870"/>
      <c r="P380" s="813"/>
      <c r="Q380" s="1771"/>
      <c r="R380" s="1772">
        <f>1.13-0.23</f>
        <v>0.89999999999999991</v>
      </c>
      <c r="S380" s="809"/>
      <c r="T380" s="810"/>
      <c r="U380" s="810"/>
      <c r="V380" s="810"/>
      <c r="W380" s="809"/>
      <c r="X380" s="810"/>
      <c r="Y380" s="809"/>
      <c r="Z380" s="1739"/>
      <c r="AE380" s="2461"/>
      <c r="AF380" s="68"/>
    </row>
    <row r="381" spans="1:32" ht="60" x14ac:dyDescent="0.35">
      <c r="A381" s="1573">
        <v>187</v>
      </c>
      <c r="B381" s="1574" t="s">
        <v>39</v>
      </c>
      <c r="C381" s="358" t="s">
        <v>1656</v>
      </c>
      <c r="D381" s="2473" t="s">
        <v>6673</v>
      </c>
      <c r="E381" s="807" t="s">
        <v>9497</v>
      </c>
      <c r="F381" s="811" t="s">
        <v>664</v>
      </c>
      <c r="G381" s="2289">
        <v>5</v>
      </c>
      <c r="H381" s="812">
        <v>6</v>
      </c>
      <c r="I381" s="808">
        <f t="shared" si="27"/>
        <v>0.1</v>
      </c>
      <c r="J381" s="808">
        <f t="shared" si="28"/>
        <v>0.1</v>
      </c>
      <c r="K381" s="808"/>
      <c r="L381" s="808"/>
      <c r="M381" s="1190"/>
      <c r="N381" s="808"/>
      <c r="O381" s="820"/>
      <c r="P381" s="808"/>
      <c r="Q381" s="1186"/>
      <c r="R381" s="1182">
        <v>0.1</v>
      </c>
      <c r="S381" s="809"/>
      <c r="T381" s="810"/>
      <c r="U381" s="810"/>
      <c r="V381" s="810"/>
      <c r="W381" s="809"/>
      <c r="X381" s="810"/>
      <c r="Y381" s="809"/>
      <c r="Z381" s="1739"/>
      <c r="AB381" s="176">
        <v>1</v>
      </c>
      <c r="AE381" s="2461"/>
      <c r="AF381" s="68"/>
    </row>
    <row r="382" spans="1:32" ht="60" x14ac:dyDescent="0.35">
      <c r="A382" s="441">
        <v>188</v>
      </c>
      <c r="B382" s="1574" t="s">
        <v>39</v>
      </c>
      <c r="C382" s="358" t="s">
        <v>1656</v>
      </c>
      <c r="D382" s="2473" t="s">
        <v>6674</v>
      </c>
      <c r="E382" s="807" t="s">
        <v>9498</v>
      </c>
      <c r="F382" s="811" t="s">
        <v>827</v>
      </c>
      <c r="G382" s="2289">
        <v>5</v>
      </c>
      <c r="H382" s="812">
        <v>6</v>
      </c>
      <c r="I382" s="808">
        <f t="shared" si="27"/>
        <v>0.6</v>
      </c>
      <c r="J382" s="808">
        <f t="shared" si="28"/>
        <v>0.6</v>
      </c>
      <c r="K382" s="808"/>
      <c r="L382" s="808"/>
      <c r="M382" s="1190"/>
      <c r="N382" s="808"/>
      <c r="O382" s="820"/>
      <c r="P382" s="808"/>
      <c r="Q382" s="1186"/>
      <c r="R382" s="1182">
        <v>0.6</v>
      </c>
      <c r="S382" s="809"/>
      <c r="T382" s="810"/>
      <c r="U382" s="810"/>
      <c r="V382" s="810"/>
      <c r="W382" s="809"/>
      <c r="X382" s="810"/>
      <c r="Y382" s="809"/>
      <c r="Z382" s="1739"/>
      <c r="AB382" s="176">
        <v>1</v>
      </c>
      <c r="AE382" s="2461"/>
      <c r="AF382" s="68"/>
    </row>
    <row r="383" spans="1:32" ht="60" x14ac:dyDescent="0.35">
      <c r="A383" s="1573">
        <v>189</v>
      </c>
      <c r="B383" s="1574" t="s">
        <v>39</v>
      </c>
      <c r="C383" s="358" t="s">
        <v>1656</v>
      </c>
      <c r="D383" s="2473" t="s">
        <v>6675</v>
      </c>
      <c r="E383" s="807" t="s">
        <v>9499</v>
      </c>
      <c r="F383" s="811" t="s">
        <v>664</v>
      </c>
      <c r="G383" s="2289">
        <v>5</v>
      </c>
      <c r="H383" s="812">
        <v>6</v>
      </c>
      <c r="I383" s="808">
        <f t="shared" si="27"/>
        <v>0.7</v>
      </c>
      <c r="J383" s="808">
        <f t="shared" si="28"/>
        <v>0.7</v>
      </c>
      <c r="K383" s="808"/>
      <c r="L383" s="808"/>
      <c r="M383" s="1190"/>
      <c r="N383" s="808"/>
      <c r="O383" s="820"/>
      <c r="P383" s="808"/>
      <c r="Q383" s="1186"/>
      <c r="R383" s="1182">
        <v>0.7</v>
      </c>
      <c r="S383" s="809"/>
      <c r="T383" s="810"/>
      <c r="U383" s="810"/>
      <c r="V383" s="810"/>
      <c r="W383" s="809"/>
      <c r="X383" s="810"/>
      <c r="Y383" s="809"/>
      <c r="Z383" s="1739"/>
      <c r="AB383" s="176">
        <v>1</v>
      </c>
      <c r="AE383" s="2461"/>
      <c r="AF383" s="68"/>
    </row>
    <row r="384" spans="1:32" ht="60" x14ac:dyDescent="0.35">
      <c r="A384" s="441">
        <v>190</v>
      </c>
      <c r="B384" s="1574" t="s">
        <v>39</v>
      </c>
      <c r="C384" s="1024" t="s">
        <v>1656</v>
      </c>
      <c r="D384" s="2473" t="s">
        <v>6676</v>
      </c>
      <c r="E384" s="807" t="s">
        <v>9500</v>
      </c>
      <c r="F384" s="811"/>
      <c r="G384" s="2289" t="s">
        <v>191</v>
      </c>
      <c r="H384" s="812" t="s">
        <v>191</v>
      </c>
      <c r="I384" s="808">
        <f t="shared" si="27"/>
        <v>2.8</v>
      </c>
      <c r="J384" s="808">
        <f t="shared" si="28"/>
        <v>2.4</v>
      </c>
      <c r="K384" s="808"/>
      <c r="L384" s="808">
        <f>SUM(L385:L387)</f>
        <v>0.4</v>
      </c>
      <c r="M384" s="808"/>
      <c r="N384" s="808"/>
      <c r="O384" s="820"/>
      <c r="P384" s="808"/>
      <c r="Q384" s="1186">
        <f>SUM(Q385:Q387)</f>
        <v>1.8000000000000003</v>
      </c>
      <c r="R384" s="1182">
        <f>SUM(R386:R387)</f>
        <v>0.59999999999999964</v>
      </c>
      <c r="S384" s="809"/>
      <c r="T384" s="810"/>
      <c r="U384" s="810"/>
      <c r="V384" s="810"/>
      <c r="W384" s="809"/>
      <c r="X384" s="810"/>
      <c r="Y384" s="809"/>
      <c r="Z384" s="1739"/>
      <c r="AB384" s="176">
        <v>1</v>
      </c>
      <c r="AE384" s="2461"/>
      <c r="AF384" s="68"/>
    </row>
    <row r="385" spans="1:32" ht="31" x14ac:dyDescent="0.35">
      <c r="A385" s="441"/>
      <c r="B385" s="1574"/>
      <c r="C385" s="1024"/>
      <c r="D385" s="2473"/>
      <c r="E385" s="816" t="s">
        <v>10894</v>
      </c>
      <c r="F385" s="811" t="s">
        <v>827</v>
      </c>
      <c r="G385" s="2289">
        <v>5</v>
      </c>
      <c r="H385" s="812" t="s">
        <v>191</v>
      </c>
      <c r="I385" s="2708"/>
      <c r="J385" s="2708"/>
      <c r="K385" s="2708"/>
      <c r="L385" s="813">
        <v>0.4</v>
      </c>
      <c r="M385" s="808"/>
      <c r="N385" s="808"/>
      <c r="O385" s="820"/>
      <c r="P385" s="808"/>
      <c r="Q385" s="1186"/>
      <c r="R385" s="1182"/>
      <c r="S385" s="809"/>
      <c r="T385" s="810"/>
      <c r="U385" s="810"/>
      <c r="V385" s="810"/>
      <c r="W385" s="809"/>
      <c r="X385" s="810"/>
      <c r="Y385" s="809"/>
      <c r="Z385" s="1739"/>
      <c r="AE385" s="2461"/>
      <c r="AF385" s="68"/>
    </row>
    <row r="386" spans="1:32" x14ac:dyDescent="0.35">
      <c r="A386" s="441"/>
      <c r="B386" s="1574" t="s">
        <v>39</v>
      </c>
      <c r="C386" s="1024"/>
      <c r="D386" s="1575"/>
      <c r="E386" s="1195" t="s">
        <v>11062</v>
      </c>
      <c r="F386" s="811" t="s">
        <v>827</v>
      </c>
      <c r="G386" s="2289">
        <v>5</v>
      </c>
      <c r="H386" s="812">
        <v>6</v>
      </c>
      <c r="I386" s="813"/>
      <c r="J386" s="813"/>
      <c r="K386" s="813"/>
      <c r="L386" s="813"/>
      <c r="M386" s="813"/>
      <c r="N386" s="813"/>
      <c r="O386" s="1870"/>
      <c r="P386" s="813"/>
      <c r="Q386" s="1187">
        <f>2.2-0.4</f>
        <v>1.8000000000000003</v>
      </c>
      <c r="R386" s="1772"/>
      <c r="S386" s="809"/>
      <c r="T386" s="810"/>
      <c r="U386" s="810"/>
      <c r="V386" s="810"/>
      <c r="W386" s="809"/>
      <c r="X386" s="810"/>
      <c r="Y386" s="809"/>
      <c r="Z386" s="1739"/>
      <c r="AE386" s="2461"/>
      <c r="AF386" s="68"/>
    </row>
    <row r="387" spans="1:32" x14ac:dyDescent="0.35">
      <c r="A387" s="441"/>
      <c r="B387" s="1574" t="s">
        <v>39</v>
      </c>
      <c r="C387" s="1024"/>
      <c r="D387" s="1575"/>
      <c r="E387" s="1193" t="s">
        <v>11063</v>
      </c>
      <c r="F387" s="811" t="s">
        <v>827</v>
      </c>
      <c r="G387" s="2289">
        <v>5</v>
      </c>
      <c r="H387" s="812">
        <v>6</v>
      </c>
      <c r="I387" s="813"/>
      <c r="J387" s="813"/>
      <c r="K387" s="813"/>
      <c r="L387" s="813"/>
      <c r="M387" s="1869"/>
      <c r="N387" s="813"/>
      <c r="O387" s="1870"/>
      <c r="P387" s="813"/>
      <c r="Q387" s="1771"/>
      <c r="R387" s="1772">
        <f>2.8-2.2</f>
        <v>0.59999999999999964</v>
      </c>
      <c r="S387" s="809"/>
      <c r="T387" s="810"/>
      <c r="U387" s="810"/>
      <c r="V387" s="810"/>
      <c r="W387" s="809"/>
      <c r="X387" s="810"/>
      <c r="Y387" s="809"/>
      <c r="Z387" s="1739"/>
      <c r="AE387" s="2461"/>
      <c r="AF387" s="68"/>
    </row>
    <row r="388" spans="1:32" ht="72.75" customHeight="1" x14ac:dyDescent="0.35">
      <c r="A388" s="441">
        <v>191</v>
      </c>
      <c r="B388" s="1574" t="s">
        <v>39</v>
      </c>
      <c r="C388" s="1024" t="s">
        <v>1656</v>
      </c>
      <c r="D388" s="2473" t="s">
        <v>6986</v>
      </c>
      <c r="E388" s="807" t="s">
        <v>9501</v>
      </c>
      <c r="F388" s="811" t="s">
        <v>664</v>
      </c>
      <c r="G388" s="2289">
        <v>5</v>
      </c>
      <c r="H388" s="812">
        <v>6</v>
      </c>
      <c r="I388" s="808">
        <f>J388+K388+L388</f>
        <v>0.3</v>
      </c>
      <c r="J388" s="808">
        <f>SUM(M388:R388)</f>
        <v>0.3</v>
      </c>
      <c r="K388" s="808"/>
      <c r="L388" s="808"/>
      <c r="M388" s="1190"/>
      <c r="N388" s="808"/>
      <c r="O388" s="820"/>
      <c r="P388" s="808"/>
      <c r="Q388" s="1186"/>
      <c r="R388" s="1182">
        <v>0.3</v>
      </c>
      <c r="S388" s="809"/>
      <c r="T388" s="810"/>
      <c r="U388" s="810"/>
      <c r="V388" s="810"/>
      <c r="W388" s="809"/>
      <c r="X388" s="810"/>
      <c r="Y388" s="809"/>
      <c r="Z388" s="1739"/>
      <c r="AB388" s="176">
        <v>1</v>
      </c>
      <c r="AE388" s="2461"/>
      <c r="AF388" s="68"/>
    </row>
    <row r="389" spans="1:32" ht="48" customHeight="1" x14ac:dyDescent="0.35">
      <c r="A389" s="441">
        <v>192</v>
      </c>
      <c r="B389" s="1574" t="s">
        <v>39</v>
      </c>
      <c r="C389" s="358" t="s">
        <v>1656</v>
      </c>
      <c r="D389" s="2473" t="s">
        <v>6677</v>
      </c>
      <c r="E389" s="807" t="s">
        <v>9502</v>
      </c>
      <c r="F389" s="811" t="s">
        <v>827</v>
      </c>
      <c r="G389" s="2289">
        <v>5</v>
      </c>
      <c r="H389" s="812">
        <v>6</v>
      </c>
      <c r="I389" s="808">
        <f>J389+K389+L389</f>
        <v>1.4</v>
      </c>
      <c r="J389" s="808">
        <f>SUM(M389:R389)</f>
        <v>1.4</v>
      </c>
      <c r="K389" s="808"/>
      <c r="L389" s="808"/>
      <c r="M389" s="1190"/>
      <c r="N389" s="808"/>
      <c r="O389" s="820"/>
      <c r="P389" s="808"/>
      <c r="Q389" s="1186"/>
      <c r="R389" s="1182">
        <v>1.4</v>
      </c>
      <c r="S389" s="809"/>
      <c r="T389" s="810"/>
      <c r="U389" s="810"/>
      <c r="V389" s="810"/>
      <c r="W389" s="809"/>
      <c r="X389" s="810"/>
      <c r="Y389" s="809"/>
      <c r="Z389" s="1739"/>
      <c r="AB389" s="176">
        <v>1</v>
      </c>
      <c r="AE389" s="2461"/>
      <c r="AF389" s="68"/>
    </row>
    <row r="390" spans="1:32" ht="48" customHeight="1" x14ac:dyDescent="0.35">
      <c r="A390" s="441">
        <v>193</v>
      </c>
      <c r="B390" s="1574" t="s">
        <v>39</v>
      </c>
      <c r="C390" s="358"/>
      <c r="D390" s="2473" t="s">
        <v>6678</v>
      </c>
      <c r="E390" s="807" t="s">
        <v>9503</v>
      </c>
      <c r="F390" s="811"/>
      <c r="G390" s="2289" t="s">
        <v>191</v>
      </c>
      <c r="H390" s="812" t="s">
        <v>191</v>
      </c>
      <c r="I390" s="808">
        <f>J390+K390+L390</f>
        <v>0.74199999999999999</v>
      </c>
      <c r="J390" s="808">
        <f>SUM(M390:R390)</f>
        <v>0.48099999999999998</v>
      </c>
      <c r="K390" s="808"/>
      <c r="L390" s="808">
        <f>SUM(L391:L393)</f>
        <v>0.26100000000000001</v>
      </c>
      <c r="M390" s="1190"/>
      <c r="N390" s="808"/>
      <c r="O390" s="820"/>
      <c r="P390" s="808"/>
      <c r="Q390" s="1186"/>
      <c r="R390" s="1182">
        <f>SUM(R391:R393)</f>
        <v>0.48099999999999998</v>
      </c>
      <c r="S390" s="809"/>
      <c r="T390" s="810"/>
      <c r="U390" s="810"/>
      <c r="V390" s="810"/>
      <c r="W390" s="809"/>
      <c r="X390" s="810"/>
      <c r="Y390" s="809"/>
      <c r="Z390" s="1739"/>
      <c r="AB390" s="176">
        <v>1</v>
      </c>
      <c r="AE390" s="2461"/>
      <c r="AF390" s="68"/>
    </row>
    <row r="391" spans="1:32" ht="31.5" customHeight="1" x14ac:dyDescent="0.35">
      <c r="A391" s="441"/>
      <c r="B391" s="1574"/>
      <c r="C391" s="1024"/>
      <c r="D391" s="1575"/>
      <c r="E391" s="816" t="s">
        <v>3623</v>
      </c>
      <c r="F391" s="811">
        <v>5</v>
      </c>
      <c r="G391" s="2289">
        <v>5</v>
      </c>
      <c r="H391" s="812" t="s">
        <v>191</v>
      </c>
      <c r="I391" s="813"/>
      <c r="J391" s="813"/>
      <c r="K391" s="813"/>
      <c r="L391" s="813">
        <v>0.26100000000000001</v>
      </c>
      <c r="M391" s="1869"/>
      <c r="N391" s="813"/>
      <c r="O391" s="1870"/>
      <c r="P391" s="813"/>
      <c r="Q391" s="1771"/>
      <c r="R391" s="1772"/>
      <c r="S391" s="809"/>
      <c r="T391" s="810"/>
      <c r="U391" s="810"/>
      <c r="V391" s="810"/>
      <c r="W391" s="809"/>
      <c r="X391" s="810"/>
      <c r="Y391" s="809"/>
      <c r="Z391" s="1739"/>
      <c r="AE391" s="2461"/>
      <c r="AF391" s="68"/>
    </row>
    <row r="392" spans="1:32" ht="20.25" customHeight="1" x14ac:dyDescent="0.35">
      <c r="A392" s="441"/>
      <c r="B392" s="1574" t="s">
        <v>39</v>
      </c>
      <c r="C392" s="1024"/>
      <c r="D392" s="1575"/>
      <c r="E392" s="1193" t="s">
        <v>3624</v>
      </c>
      <c r="F392" s="811" t="s">
        <v>664</v>
      </c>
      <c r="G392" s="2289">
        <v>5</v>
      </c>
      <c r="H392" s="812">
        <v>6</v>
      </c>
      <c r="I392" s="813"/>
      <c r="J392" s="813"/>
      <c r="K392" s="813"/>
      <c r="L392" s="813"/>
      <c r="M392" s="1869"/>
      <c r="N392" s="813"/>
      <c r="O392" s="1870"/>
      <c r="P392" s="813"/>
      <c r="Q392" s="1771"/>
      <c r="R392" s="1772">
        <f>0.455-0.261</f>
        <v>0.19400000000000001</v>
      </c>
      <c r="S392" s="809"/>
      <c r="T392" s="810"/>
      <c r="U392" s="810"/>
      <c r="V392" s="810"/>
      <c r="W392" s="809"/>
      <c r="X392" s="810"/>
      <c r="Y392" s="809"/>
      <c r="Z392" s="1739"/>
      <c r="AE392" s="2461"/>
      <c r="AF392" s="68"/>
    </row>
    <row r="393" spans="1:32" ht="17.25" customHeight="1" x14ac:dyDescent="0.35">
      <c r="A393" s="441"/>
      <c r="B393" s="1574" t="s">
        <v>39</v>
      </c>
      <c r="C393" s="1024"/>
      <c r="D393" s="1575"/>
      <c r="E393" s="1193" t="s">
        <v>3625</v>
      </c>
      <c r="F393" s="811">
        <v>5</v>
      </c>
      <c r="G393" s="2289">
        <v>5</v>
      </c>
      <c r="H393" s="812">
        <v>6</v>
      </c>
      <c r="I393" s="813"/>
      <c r="J393" s="813"/>
      <c r="K393" s="813"/>
      <c r="L393" s="813"/>
      <c r="M393" s="1869"/>
      <c r="N393" s="813"/>
      <c r="O393" s="1870"/>
      <c r="P393" s="813"/>
      <c r="Q393" s="1771"/>
      <c r="R393" s="1772">
        <f>0.742-0.455</f>
        <v>0.28699999999999998</v>
      </c>
      <c r="S393" s="809"/>
      <c r="T393" s="810"/>
      <c r="U393" s="810"/>
      <c r="V393" s="810"/>
      <c r="W393" s="809"/>
      <c r="X393" s="810"/>
      <c r="Y393" s="809"/>
      <c r="Z393" s="1739"/>
      <c r="AE393" s="2461"/>
      <c r="AF393" s="68"/>
    </row>
    <row r="394" spans="1:32" ht="30.5" x14ac:dyDescent="0.35">
      <c r="A394" s="1573"/>
      <c r="B394" s="1052" t="s">
        <v>803</v>
      </c>
      <c r="C394" s="1574"/>
      <c r="D394" s="1575"/>
      <c r="E394" s="1597" t="s">
        <v>10891</v>
      </c>
      <c r="F394" s="811"/>
      <c r="G394" s="812"/>
      <c r="H394" s="812"/>
      <c r="I394" s="808"/>
      <c r="J394" s="808"/>
      <c r="K394" s="808"/>
      <c r="L394" s="808"/>
      <c r="M394" s="1190"/>
      <c r="N394" s="808"/>
      <c r="O394" s="820"/>
      <c r="P394" s="808"/>
      <c r="Q394" s="1186"/>
      <c r="R394" s="1182"/>
      <c r="S394" s="809"/>
      <c r="T394" s="810"/>
      <c r="U394" s="810"/>
      <c r="V394" s="810"/>
      <c r="W394" s="809"/>
      <c r="X394" s="810"/>
      <c r="Y394" s="809"/>
      <c r="Z394" s="1739"/>
      <c r="AE394" s="2461"/>
      <c r="AF394" s="68"/>
    </row>
    <row r="395" spans="1:32" ht="45" x14ac:dyDescent="0.35">
      <c r="A395" s="1573">
        <v>194</v>
      </c>
      <c r="B395" s="1052" t="s">
        <v>803</v>
      </c>
      <c r="C395" s="1574"/>
      <c r="D395" s="2473" t="s">
        <v>6679</v>
      </c>
      <c r="E395" s="817" t="s">
        <v>8089</v>
      </c>
      <c r="F395" s="811"/>
      <c r="G395" s="812" t="s">
        <v>191</v>
      </c>
      <c r="H395" s="812" t="s">
        <v>191</v>
      </c>
      <c r="I395" s="808">
        <f>J395+K395+L395</f>
        <v>2.081</v>
      </c>
      <c r="J395" s="808">
        <f>SUM(M395:R395)</f>
        <v>2.081</v>
      </c>
      <c r="K395" s="808"/>
      <c r="L395" s="808"/>
      <c r="M395" s="1190"/>
      <c r="N395" s="808">
        <f>SUM(N396:N398)</f>
        <v>3.1E-2</v>
      </c>
      <c r="O395" s="820"/>
      <c r="P395" s="808"/>
      <c r="Q395" s="1186">
        <f>SUM(Q396:Q398)</f>
        <v>1.3560000000000001</v>
      </c>
      <c r="R395" s="1182">
        <f>SUM(R396:R398)</f>
        <v>0.69399999999999995</v>
      </c>
      <c r="S395" s="809"/>
      <c r="T395" s="810"/>
      <c r="U395" s="810"/>
      <c r="V395" s="810"/>
      <c r="W395" s="809">
        <v>1</v>
      </c>
      <c r="X395" s="810">
        <v>10.02</v>
      </c>
      <c r="Y395" s="809"/>
      <c r="Z395" s="1739"/>
      <c r="AB395" s="176">
        <v>1</v>
      </c>
      <c r="AE395" s="2461"/>
      <c r="AF395" s="68"/>
    </row>
    <row r="396" spans="1:32" x14ac:dyDescent="0.35">
      <c r="A396" s="1573"/>
      <c r="B396" s="1052" t="s">
        <v>803</v>
      </c>
      <c r="C396" s="1574"/>
      <c r="D396" s="1575"/>
      <c r="E396" s="818" t="s">
        <v>3217</v>
      </c>
      <c r="F396" s="811" t="s">
        <v>827</v>
      </c>
      <c r="G396" s="812">
        <v>5</v>
      </c>
      <c r="H396" s="812">
        <v>6</v>
      </c>
      <c r="I396" s="813"/>
      <c r="J396" s="813"/>
      <c r="K396" s="813"/>
      <c r="L396" s="813"/>
      <c r="M396" s="1869"/>
      <c r="N396" s="813">
        <v>3.1E-2</v>
      </c>
      <c r="O396" s="1870"/>
      <c r="P396" s="813"/>
      <c r="Q396" s="1771"/>
      <c r="R396" s="1772"/>
      <c r="S396" s="809"/>
      <c r="T396" s="810"/>
      <c r="U396" s="810"/>
      <c r="V396" s="810"/>
      <c r="W396" s="809"/>
      <c r="X396" s="810"/>
      <c r="Y396" s="809"/>
      <c r="Z396" s="1739"/>
      <c r="AE396" s="2461"/>
      <c r="AF396" s="68"/>
    </row>
    <row r="397" spans="1:32" x14ac:dyDescent="0.35">
      <c r="A397" s="1573"/>
      <c r="B397" s="1052" t="s">
        <v>803</v>
      </c>
      <c r="C397" s="1574"/>
      <c r="D397" s="1575"/>
      <c r="E397" s="1195" t="s">
        <v>3218</v>
      </c>
      <c r="F397" s="811" t="s">
        <v>827</v>
      </c>
      <c r="G397" s="812">
        <v>5</v>
      </c>
      <c r="H397" s="812">
        <v>6</v>
      </c>
      <c r="I397" s="813"/>
      <c r="J397" s="813"/>
      <c r="K397" s="813"/>
      <c r="L397" s="813"/>
      <c r="M397" s="1869"/>
      <c r="N397" s="813"/>
      <c r="O397" s="1870"/>
      <c r="P397" s="813"/>
      <c r="Q397" s="1771">
        <f>1.387-0.031</f>
        <v>1.3560000000000001</v>
      </c>
      <c r="R397" s="1772"/>
      <c r="S397" s="809"/>
      <c r="T397" s="810"/>
      <c r="U397" s="810"/>
      <c r="V397" s="810"/>
      <c r="W397" s="809"/>
      <c r="X397" s="810"/>
      <c r="Y397" s="809"/>
      <c r="Z397" s="1739"/>
      <c r="AE397" s="2461"/>
      <c r="AF397" s="68"/>
    </row>
    <row r="398" spans="1:32" x14ac:dyDescent="0.35">
      <c r="A398" s="1573"/>
      <c r="B398" s="1052" t="s">
        <v>803</v>
      </c>
      <c r="C398" s="1574"/>
      <c r="D398" s="1575"/>
      <c r="E398" s="1193" t="s">
        <v>3219</v>
      </c>
      <c r="F398" s="811" t="s">
        <v>1490</v>
      </c>
      <c r="G398" s="812">
        <v>5</v>
      </c>
      <c r="H398" s="812">
        <v>6</v>
      </c>
      <c r="I398" s="813"/>
      <c r="J398" s="813"/>
      <c r="K398" s="813"/>
      <c r="L398" s="813"/>
      <c r="M398" s="1869"/>
      <c r="N398" s="813"/>
      <c r="O398" s="1870"/>
      <c r="P398" s="813"/>
      <c r="Q398" s="1771"/>
      <c r="R398" s="1772">
        <f>2.081-1.387</f>
        <v>0.69399999999999995</v>
      </c>
      <c r="S398" s="809"/>
      <c r="T398" s="810"/>
      <c r="U398" s="810"/>
      <c r="V398" s="810"/>
      <c r="W398" s="809"/>
      <c r="X398" s="810"/>
      <c r="Y398" s="809"/>
      <c r="Z398" s="1739"/>
      <c r="AE398" s="2461"/>
      <c r="AF398" s="68"/>
    </row>
    <row r="399" spans="1:32" ht="60" x14ac:dyDescent="0.35">
      <c r="A399" s="696">
        <v>195</v>
      </c>
      <c r="B399" s="1052" t="s">
        <v>803</v>
      </c>
      <c r="C399" s="1052" t="s">
        <v>1656</v>
      </c>
      <c r="D399" s="2473" t="s">
        <v>6680</v>
      </c>
      <c r="E399" s="2187" t="s">
        <v>9132</v>
      </c>
      <c r="F399" s="811" t="s">
        <v>664</v>
      </c>
      <c r="G399" s="93">
        <v>5</v>
      </c>
      <c r="H399" s="812">
        <v>6</v>
      </c>
      <c r="I399" s="2157">
        <f>J399+K399+L399</f>
        <v>1</v>
      </c>
      <c r="J399" s="2157">
        <f>M399+N399+O399+P399+Q399+R399</f>
        <v>1</v>
      </c>
      <c r="K399" s="490"/>
      <c r="L399" s="490"/>
      <c r="M399" s="490"/>
      <c r="N399" s="490"/>
      <c r="O399" s="490"/>
      <c r="P399" s="490"/>
      <c r="Q399" s="2182"/>
      <c r="R399" s="906">
        <v>1</v>
      </c>
      <c r="S399" s="101"/>
      <c r="T399" s="101"/>
      <c r="U399" s="101"/>
      <c r="V399" s="101"/>
      <c r="W399" s="1969"/>
      <c r="X399" s="1969"/>
      <c r="Y399" s="1969"/>
      <c r="Z399" s="2186"/>
      <c r="AB399" s="176">
        <v>1</v>
      </c>
      <c r="AE399" s="2461"/>
      <c r="AF399" s="68"/>
    </row>
    <row r="400" spans="1:32" ht="45" x14ac:dyDescent="0.35">
      <c r="A400" s="1573">
        <v>196</v>
      </c>
      <c r="B400" s="1574" t="s">
        <v>803</v>
      </c>
      <c r="C400" s="1574"/>
      <c r="D400" s="2473" t="s">
        <v>6681</v>
      </c>
      <c r="E400" s="817" t="s">
        <v>8090</v>
      </c>
      <c r="F400" s="811">
        <v>4</v>
      </c>
      <c r="G400" s="812">
        <v>4</v>
      </c>
      <c r="H400" s="812">
        <v>6</v>
      </c>
      <c r="I400" s="808">
        <f>J400+K400+L400</f>
        <v>4.4169999999999998</v>
      </c>
      <c r="J400" s="808">
        <f>SUM(M400:R400)</f>
        <v>4.4169999999999998</v>
      </c>
      <c r="K400" s="808"/>
      <c r="L400" s="808"/>
      <c r="M400" s="1190"/>
      <c r="N400" s="808">
        <v>4.4169999999999998</v>
      </c>
      <c r="O400" s="820"/>
      <c r="P400" s="808"/>
      <c r="Q400" s="1186"/>
      <c r="R400" s="1182"/>
      <c r="S400" s="809"/>
      <c r="T400" s="810"/>
      <c r="U400" s="810"/>
      <c r="V400" s="810"/>
      <c r="W400" s="809">
        <v>14</v>
      </c>
      <c r="X400" s="810">
        <v>185.58</v>
      </c>
      <c r="Y400" s="809">
        <v>6</v>
      </c>
      <c r="Z400" s="1739">
        <v>71</v>
      </c>
      <c r="AB400" s="176">
        <v>1</v>
      </c>
      <c r="AE400" s="2461"/>
      <c r="AF400" s="68"/>
    </row>
    <row r="401" spans="1:32" ht="45" x14ac:dyDescent="0.35">
      <c r="A401" s="696">
        <v>197</v>
      </c>
      <c r="B401" s="1574" t="s">
        <v>803</v>
      </c>
      <c r="C401" s="1574"/>
      <c r="D401" s="2473" t="s">
        <v>6682</v>
      </c>
      <c r="E401" s="817" t="s">
        <v>9393</v>
      </c>
      <c r="F401" s="811">
        <v>4</v>
      </c>
      <c r="G401" s="812">
        <v>5</v>
      </c>
      <c r="H401" s="812">
        <v>6</v>
      </c>
      <c r="I401" s="808">
        <f>J401+K401+L401</f>
        <v>0.55200000000000005</v>
      </c>
      <c r="J401" s="808">
        <f>SUM(M401:R401)</f>
        <v>0.55200000000000005</v>
      </c>
      <c r="K401" s="808"/>
      <c r="L401" s="808"/>
      <c r="M401" s="1190"/>
      <c r="N401" s="808">
        <v>0.55200000000000005</v>
      </c>
      <c r="O401" s="820"/>
      <c r="P401" s="808"/>
      <c r="Q401" s="1186"/>
      <c r="R401" s="1182"/>
      <c r="S401" s="809"/>
      <c r="T401" s="810"/>
      <c r="U401" s="810"/>
      <c r="V401" s="810"/>
      <c r="W401" s="809">
        <v>1</v>
      </c>
      <c r="X401" s="810">
        <v>15.5</v>
      </c>
      <c r="Y401" s="809"/>
      <c r="Z401" s="1739"/>
      <c r="AB401" s="176">
        <v>1</v>
      </c>
      <c r="AE401" s="2461"/>
      <c r="AF401" s="68"/>
    </row>
    <row r="402" spans="1:32" ht="60" x14ac:dyDescent="0.35">
      <c r="A402" s="1573">
        <v>198</v>
      </c>
      <c r="B402" s="1574" t="s">
        <v>803</v>
      </c>
      <c r="C402" s="1574"/>
      <c r="D402" s="2473" t="s">
        <v>6683</v>
      </c>
      <c r="E402" s="817" t="s">
        <v>7313</v>
      </c>
      <c r="F402" s="811">
        <v>5</v>
      </c>
      <c r="G402" s="812">
        <v>5</v>
      </c>
      <c r="H402" s="812">
        <v>6</v>
      </c>
      <c r="I402" s="808">
        <f>J402+K402+L402</f>
        <v>0.20100000000000001</v>
      </c>
      <c r="J402" s="808">
        <f>SUM(M402:R402)</f>
        <v>0.20100000000000001</v>
      </c>
      <c r="K402" s="808"/>
      <c r="L402" s="808"/>
      <c r="M402" s="1190"/>
      <c r="N402" s="808">
        <v>0.20100000000000001</v>
      </c>
      <c r="O402" s="820"/>
      <c r="P402" s="808"/>
      <c r="Q402" s="1186"/>
      <c r="R402" s="1182"/>
      <c r="S402" s="809"/>
      <c r="T402" s="810"/>
      <c r="U402" s="810"/>
      <c r="V402" s="810"/>
      <c r="W402" s="809"/>
      <c r="X402" s="810"/>
      <c r="Y402" s="809"/>
      <c r="Z402" s="1739"/>
      <c r="AB402" s="176">
        <v>1</v>
      </c>
      <c r="AE402" s="2461"/>
      <c r="AF402" s="68"/>
    </row>
    <row r="403" spans="1:32" ht="46.5" x14ac:dyDescent="0.35">
      <c r="A403" s="1573"/>
      <c r="B403" s="1574" t="s">
        <v>803</v>
      </c>
      <c r="C403" s="1574"/>
      <c r="D403" s="1575"/>
      <c r="E403" s="1197" t="s">
        <v>10018</v>
      </c>
      <c r="F403" s="811"/>
      <c r="G403" s="812" t="s">
        <v>191</v>
      </c>
      <c r="H403" s="812" t="s">
        <v>191</v>
      </c>
      <c r="I403" s="808"/>
      <c r="J403" s="808"/>
      <c r="K403" s="808"/>
      <c r="L403" s="808"/>
      <c r="M403" s="1190"/>
      <c r="N403" s="808"/>
      <c r="O403" s="820"/>
      <c r="P403" s="808"/>
      <c r="Q403" s="1186"/>
      <c r="R403" s="1182"/>
      <c r="S403" s="809"/>
      <c r="T403" s="810"/>
      <c r="U403" s="810"/>
      <c r="V403" s="810"/>
      <c r="W403" s="809"/>
      <c r="X403" s="810"/>
      <c r="Y403" s="809"/>
      <c r="Z403" s="1739"/>
      <c r="AE403" s="2461"/>
      <c r="AF403" s="68"/>
    </row>
    <row r="404" spans="1:32" ht="30.5" x14ac:dyDescent="0.35">
      <c r="A404" s="1573"/>
      <c r="B404" s="1574" t="s">
        <v>2924</v>
      </c>
      <c r="C404" s="1574"/>
      <c r="D404" s="1575"/>
      <c r="E404" s="1597" t="s">
        <v>2990</v>
      </c>
      <c r="F404" s="811"/>
      <c r="G404" s="812"/>
      <c r="H404" s="812"/>
      <c r="I404" s="808"/>
      <c r="J404" s="808"/>
      <c r="K404" s="808"/>
      <c r="L404" s="808"/>
      <c r="M404" s="1190"/>
      <c r="N404" s="808"/>
      <c r="O404" s="820"/>
      <c r="P404" s="808"/>
      <c r="Q404" s="1186"/>
      <c r="R404" s="1182"/>
      <c r="S404" s="809"/>
      <c r="T404" s="810"/>
      <c r="U404" s="810"/>
      <c r="V404" s="810"/>
      <c r="W404" s="809"/>
      <c r="X404" s="810"/>
      <c r="Y404" s="809"/>
      <c r="Z404" s="1739"/>
      <c r="AE404" s="2461"/>
      <c r="AF404" s="68"/>
    </row>
    <row r="405" spans="1:32" ht="30" x14ac:dyDescent="0.35">
      <c r="A405" s="1575">
        <v>199</v>
      </c>
      <c r="B405" s="1575" t="s">
        <v>2924</v>
      </c>
      <c r="C405" s="1575"/>
      <c r="D405" s="2473" t="s">
        <v>6684</v>
      </c>
      <c r="E405" s="807" t="s">
        <v>8091</v>
      </c>
      <c r="F405" s="811">
        <v>4</v>
      </c>
      <c r="G405" s="812">
        <v>4</v>
      </c>
      <c r="H405" s="812">
        <v>6</v>
      </c>
      <c r="I405" s="808">
        <f t="shared" ref="I405:I428" si="29">J405+K405+L405</f>
        <v>2.5</v>
      </c>
      <c r="J405" s="808">
        <f t="shared" ref="J405:J417" si="30">SUM(M405:R405)</f>
        <v>2.5</v>
      </c>
      <c r="K405" s="808"/>
      <c r="L405" s="808"/>
      <c r="M405" s="1190"/>
      <c r="N405" s="808">
        <v>2.5</v>
      </c>
      <c r="O405" s="820"/>
      <c r="P405" s="808"/>
      <c r="Q405" s="1186"/>
      <c r="R405" s="1182"/>
      <c r="S405" s="809"/>
      <c r="T405" s="810"/>
      <c r="U405" s="810"/>
      <c r="V405" s="810"/>
      <c r="W405" s="809">
        <v>8</v>
      </c>
      <c r="X405" s="810">
        <v>114.24</v>
      </c>
      <c r="Y405" s="809">
        <v>5</v>
      </c>
      <c r="Z405" s="810">
        <v>50</v>
      </c>
      <c r="AB405" s="176">
        <v>1</v>
      </c>
      <c r="AE405" s="2461"/>
      <c r="AF405" s="68"/>
    </row>
    <row r="406" spans="1:32" ht="45" x14ac:dyDescent="0.35">
      <c r="A406" s="441">
        <v>200</v>
      </c>
      <c r="B406" s="1574" t="s">
        <v>2924</v>
      </c>
      <c r="C406" s="358" t="s">
        <v>1656</v>
      </c>
      <c r="D406" s="2473" t="s">
        <v>6685</v>
      </c>
      <c r="E406" s="807" t="s">
        <v>9133</v>
      </c>
      <c r="F406" s="811" t="s">
        <v>664</v>
      </c>
      <c r="G406" s="2289">
        <v>5</v>
      </c>
      <c r="H406" s="812">
        <v>6</v>
      </c>
      <c r="I406" s="297">
        <f>J406+K406+L406</f>
        <v>0.5</v>
      </c>
      <c r="J406" s="297">
        <f t="shared" si="30"/>
        <v>0.5</v>
      </c>
      <c r="K406" s="808"/>
      <c r="L406" s="808"/>
      <c r="M406" s="1190"/>
      <c r="N406" s="808"/>
      <c r="O406" s="820"/>
      <c r="P406" s="808"/>
      <c r="Q406" s="1186"/>
      <c r="R406" s="1182">
        <v>0.5</v>
      </c>
      <c r="S406" s="809"/>
      <c r="T406" s="810"/>
      <c r="U406" s="810"/>
      <c r="V406" s="810"/>
      <c r="W406" s="809"/>
      <c r="X406" s="810"/>
      <c r="Y406" s="809"/>
      <c r="Z406" s="1739"/>
      <c r="AB406" s="176">
        <v>1</v>
      </c>
      <c r="AE406" s="2461"/>
      <c r="AF406" s="68"/>
    </row>
    <row r="407" spans="1:32" ht="30" x14ac:dyDescent="0.35">
      <c r="A407" s="1575">
        <v>201</v>
      </c>
      <c r="B407" s="1575" t="s">
        <v>2924</v>
      </c>
      <c r="C407" s="1575"/>
      <c r="D407" s="2473" t="s">
        <v>6686</v>
      </c>
      <c r="E407" s="817" t="s">
        <v>8092</v>
      </c>
      <c r="F407" s="811"/>
      <c r="G407" s="812" t="s">
        <v>191</v>
      </c>
      <c r="H407" s="812" t="s">
        <v>191</v>
      </c>
      <c r="I407" s="808">
        <f t="shared" si="29"/>
        <v>1.657</v>
      </c>
      <c r="J407" s="808">
        <f t="shared" si="30"/>
        <v>1.657</v>
      </c>
      <c r="K407" s="808"/>
      <c r="L407" s="808"/>
      <c r="M407" s="1190"/>
      <c r="N407" s="808">
        <f>SUM(N408:N410)</f>
        <v>0.14700000000000013</v>
      </c>
      <c r="O407" s="820"/>
      <c r="P407" s="808"/>
      <c r="Q407" s="1186">
        <f>SUM(Q408:Q410)</f>
        <v>1.51</v>
      </c>
      <c r="R407" s="1182"/>
      <c r="S407" s="809">
        <v>1</v>
      </c>
      <c r="T407" s="810">
        <v>28</v>
      </c>
      <c r="U407" s="810"/>
      <c r="V407" s="810"/>
      <c r="W407" s="809">
        <v>4</v>
      </c>
      <c r="X407" s="810">
        <v>61.54</v>
      </c>
      <c r="Y407" s="809">
        <v>2</v>
      </c>
      <c r="Z407" s="810">
        <v>20.5</v>
      </c>
      <c r="AB407" s="176">
        <v>1</v>
      </c>
      <c r="AE407" s="2461"/>
      <c r="AF407" s="68"/>
    </row>
    <row r="408" spans="1:32" x14ac:dyDescent="0.35">
      <c r="A408" s="1574"/>
      <c r="B408" s="1574"/>
      <c r="C408" s="1575"/>
      <c r="D408" s="2473"/>
      <c r="E408" s="818" t="s">
        <v>3415</v>
      </c>
      <c r="F408" s="811">
        <v>4</v>
      </c>
      <c r="G408" s="812">
        <v>4</v>
      </c>
      <c r="H408" s="812">
        <v>6</v>
      </c>
      <c r="I408" s="813"/>
      <c r="J408" s="813"/>
      <c r="K408" s="813"/>
      <c r="L408" s="813"/>
      <c r="M408" s="1869"/>
      <c r="N408" s="813">
        <v>1.4999999999999999E-2</v>
      </c>
      <c r="O408" s="1870"/>
      <c r="P408" s="813"/>
      <c r="Q408" s="1771"/>
      <c r="R408" s="1182"/>
      <c r="S408" s="809"/>
      <c r="T408" s="810"/>
      <c r="U408" s="810"/>
      <c r="V408" s="810"/>
      <c r="W408" s="809"/>
      <c r="X408" s="810"/>
      <c r="Y408" s="809"/>
      <c r="Z408" s="2614"/>
      <c r="AE408" s="2461"/>
      <c r="AF408" s="68"/>
    </row>
    <row r="409" spans="1:32" x14ac:dyDescent="0.35">
      <c r="A409" s="1574"/>
      <c r="B409" s="1574"/>
      <c r="C409" s="1575"/>
      <c r="D409" s="2473"/>
      <c r="E409" s="1195" t="s">
        <v>11059</v>
      </c>
      <c r="F409" s="811">
        <v>4</v>
      </c>
      <c r="G409" s="812">
        <v>4</v>
      </c>
      <c r="H409" s="812">
        <v>6</v>
      </c>
      <c r="I409" s="813"/>
      <c r="J409" s="813"/>
      <c r="K409" s="813"/>
      <c r="L409" s="813"/>
      <c r="M409" s="1869"/>
      <c r="N409" s="813"/>
      <c r="O409" s="1870"/>
      <c r="P409" s="813"/>
      <c r="Q409" s="1771">
        <f>1.525-0.015</f>
        <v>1.51</v>
      </c>
      <c r="R409" s="1182"/>
      <c r="S409" s="809"/>
      <c r="T409" s="810"/>
      <c r="U409" s="810"/>
      <c r="V409" s="810"/>
      <c r="W409" s="809"/>
      <c r="X409" s="810"/>
      <c r="Y409" s="809"/>
      <c r="Z409" s="2614"/>
      <c r="AE409" s="2461"/>
      <c r="AF409" s="68"/>
    </row>
    <row r="410" spans="1:32" x14ac:dyDescent="0.35">
      <c r="A410" s="1574"/>
      <c r="B410" s="1574"/>
      <c r="C410" s="1575"/>
      <c r="D410" s="2473"/>
      <c r="E410" s="818" t="s">
        <v>11158</v>
      </c>
      <c r="F410" s="811">
        <v>4</v>
      </c>
      <c r="G410" s="812">
        <v>4</v>
      </c>
      <c r="H410" s="812">
        <v>6</v>
      </c>
      <c r="I410" s="813"/>
      <c r="J410" s="813"/>
      <c r="K410" s="813"/>
      <c r="L410" s="813"/>
      <c r="M410" s="813"/>
      <c r="N410" s="813">
        <f>1.657-1.525</f>
        <v>0.13200000000000012</v>
      </c>
      <c r="O410" s="1870"/>
      <c r="P410" s="813"/>
      <c r="Q410" s="1771"/>
      <c r="R410" s="1182"/>
      <c r="S410" s="809"/>
      <c r="T410" s="810"/>
      <c r="U410" s="810"/>
      <c r="V410" s="810"/>
      <c r="W410" s="809"/>
      <c r="X410" s="810"/>
      <c r="Y410" s="809"/>
      <c r="Z410" s="2614"/>
      <c r="AE410" s="2461"/>
      <c r="AF410" s="68"/>
    </row>
    <row r="411" spans="1:32" ht="60" x14ac:dyDescent="0.35">
      <c r="A411" s="441">
        <v>202</v>
      </c>
      <c r="B411" s="1574" t="s">
        <v>2924</v>
      </c>
      <c r="C411" s="358" t="s">
        <v>1656</v>
      </c>
      <c r="D411" s="2473" t="s">
        <v>6687</v>
      </c>
      <c r="E411" s="807" t="s">
        <v>11157</v>
      </c>
      <c r="F411" s="811"/>
      <c r="G411" s="812" t="s">
        <v>191</v>
      </c>
      <c r="H411" s="812" t="s">
        <v>191</v>
      </c>
      <c r="I411" s="486">
        <f>J411+K411+L411</f>
        <v>2.64</v>
      </c>
      <c r="J411" s="486">
        <f t="shared" si="30"/>
        <v>2.64</v>
      </c>
      <c r="K411" s="808"/>
      <c r="L411" s="808"/>
      <c r="M411" s="808"/>
      <c r="N411" s="808">
        <f>SUM(N412:N413)</f>
        <v>1.5</v>
      </c>
      <c r="O411" s="820"/>
      <c r="P411" s="808"/>
      <c r="Q411" s="1186"/>
      <c r="R411" s="1182">
        <f>SUM(R412:R413)</f>
        <v>1.1400000000000001</v>
      </c>
      <c r="S411" s="809"/>
      <c r="T411" s="810"/>
      <c r="U411" s="810"/>
      <c r="V411" s="810"/>
      <c r="W411" s="809"/>
      <c r="X411" s="810"/>
      <c r="Y411" s="809"/>
      <c r="Z411" s="1739"/>
      <c r="AB411" s="176">
        <v>1</v>
      </c>
      <c r="AE411" s="2461"/>
      <c r="AF411" s="68"/>
    </row>
    <row r="412" spans="1:32" x14ac:dyDescent="0.35">
      <c r="A412" s="2435"/>
      <c r="B412" s="1574"/>
      <c r="C412" s="358"/>
      <c r="D412" s="2473"/>
      <c r="E412" s="816" t="s">
        <v>2020</v>
      </c>
      <c r="F412" s="811" t="s">
        <v>1490</v>
      </c>
      <c r="G412" s="2289">
        <v>5</v>
      </c>
      <c r="H412" s="812">
        <v>6</v>
      </c>
      <c r="I412" s="487"/>
      <c r="J412" s="487"/>
      <c r="K412" s="813"/>
      <c r="L412" s="813"/>
      <c r="M412" s="813"/>
      <c r="N412" s="813">
        <v>1.5</v>
      </c>
      <c r="O412" s="1870"/>
      <c r="P412" s="813"/>
      <c r="Q412" s="1771"/>
      <c r="R412" s="1772"/>
      <c r="S412" s="809"/>
      <c r="T412" s="810"/>
      <c r="U412" s="810"/>
      <c r="V412" s="810"/>
      <c r="W412" s="809"/>
      <c r="X412" s="810"/>
      <c r="Y412" s="809"/>
      <c r="Z412" s="2614"/>
      <c r="AE412" s="2461"/>
      <c r="AF412" s="68"/>
    </row>
    <row r="413" spans="1:32" x14ac:dyDescent="0.35">
      <c r="A413" s="2435"/>
      <c r="B413" s="1574"/>
      <c r="C413" s="358"/>
      <c r="D413" s="2473"/>
      <c r="E413" s="1193" t="s">
        <v>11056</v>
      </c>
      <c r="F413" s="811" t="s">
        <v>664</v>
      </c>
      <c r="G413" s="2289">
        <v>5</v>
      </c>
      <c r="H413" s="812">
        <v>6</v>
      </c>
      <c r="I413" s="298"/>
      <c r="J413" s="298"/>
      <c r="K413" s="813"/>
      <c r="L413" s="813"/>
      <c r="M413" s="1869"/>
      <c r="N413" s="813"/>
      <c r="O413" s="1870"/>
      <c r="P413" s="813"/>
      <c r="Q413" s="1771"/>
      <c r="R413" s="1772">
        <f>2.64-1.5</f>
        <v>1.1400000000000001</v>
      </c>
      <c r="S413" s="809"/>
      <c r="T413" s="810"/>
      <c r="U413" s="810"/>
      <c r="V413" s="810"/>
      <c r="W413" s="809"/>
      <c r="X413" s="810"/>
      <c r="Y413" s="809"/>
      <c r="Z413" s="2614"/>
      <c r="AE413" s="2461"/>
      <c r="AF413" s="68"/>
    </row>
    <row r="414" spans="1:32" ht="30" x14ac:dyDescent="0.35">
      <c r="A414" s="1575">
        <v>203</v>
      </c>
      <c r="B414" s="1575" t="s">
        <v>2924</v>
      </c>
      <c r="C414" s="1575"/>
      <c r="D414" s="2473" t="s">
        <v>6688</v>
      </c>
      <c r="E414" s="817" t="s">
        <v>8093</v>
      </c>
      <c r="F414" s="811"/>
      <c r="G414" s="812" t="s">
        <v>191</v>
      </c>
      <c r="H414" s="812" t="s">
        <v>191</v>
      </c>
      <c r="I414" s="808">
        <f t="shared" si="29"/>
        <v>2.2589999999999999</v>
      </c>
      <c r="J414" s="808">
        <f t="shared" si="30"/>
        <v>2.2589999999999999</v>
      </c>
      <c r="K414" s="808"/>
      <c r="L414" s="808"/>
      <c r="M414" s="1190"/>
      <c r="N414" s="808">
        <f>SUM(N415:N416)</f>
        <v>1.4550000000000001</v>
      </c>
      <c r="O414" s="820"/>
      <c r="P414" s="808"/>
      <c r="Q414" s="1186">
        <f>SUM(Q415:Q416)</f>
        <v>0.80399999999999983</v>
      </c>
      <c r="R414" s="1182"/>
      <c r="S414" s="809"/>
      <c r="T414" s="810"/>
      <c r="U414" s="810"/>
      <c r="V414" s="810"/>
      <c r="W414" s="809">
        <v>3</v>
      </c>
      <c r="X414" s="810">
        <v>45.09</v>
      </c>
      <c r="Y414" s="809"/>
      <c r="Z414" s="810"/>
      <c r="AB414" s="176">
        <v>1</v>
      </c>
      <c r="AE414" s="2461"/>
      <c r="AF414" s="68"/>
    </row>
    <row r="415" spans="1:32" x14ac:dyDescent="0.35">
      <c r="A415" s="1574"/>
      <c r="B415" s="1574"/>
      <c r="C415" s="1574"/>
      <c r="D415" s="2473"/>
      <c r="E415" s="816" t="s">
        <v>11443</v>
      </c>
      <c r="F415" s="811">
        <v>5</v>
      </c>
      <c r="G415" s="812">
        <v>5</v>
      </c>
      <c r="H415" s="812">
        <v>6</v>
      </c>
      <c r="I415" s="813"/>
      <c r="J415" s="813"/>
      <c r="K415" s="813"/>
      <c r="L415" s="813"/>
      <c r="M415" s="1869"/>
      <c r="N415" s="813">
        <v>1.4550000000000001</v>
      </c>
      <c r="O415" s="1870"/>
      <c r="P415" s="813"/>
      <c r="Q415" s="1771"/>
      <c r="R415" s="1772"/>
      <c r="S415" s="814"/>
      <c r="T415" s="815"/>
      <c r="U415" s="815"/>
      <c r="V415" s="815"/>
      <c r="W415" s="814"/>
      <c r="X415" s="815"/>
      <c r="Y415" s="814"/>
      <c r="Z415" s="2850"/>
      <c r="AE415" s="2461"/>
      <c r="AF415" s="68"/>
    </row>
    <row r="416" spans="1:32" x14ac:dyDescent="0.35">
      <c r="A416" s="1574"/>
      <c r="B416" s="1574"/>
      <c r="C416" s="1574"/>
      <c r="D416" s="2473"/>
      <c r="E416" s="1195" t="s">
        <v>11311</v>
      </c>
      <c r="F416" s="811">
        <v>5</v>
      </c>
      <c r="G416" s="812">
        <v>5</v>
      </c>
      <c r="H416" s="812">
        <v>6</v>
      </c>
      <c r="I416" s="813"/>
      <c r="J416" s="813"/>
      <c r="K416" s="813"/>
      <c r="L416" s="813"/>
      <c r="M416" s="1869"/>
      <c r="N416" s="813"/>
      <c r="O416" s="1870"/>
      <c r="P416" s="813"/>
      <c r="Q416" s="1771">
        <f>2.259-1.455</f>
        <v>0.80399999999999983</v>
      </c>
      <c r="R416" s="1772"/>
      <c r="S416" s="814"/>
      <c r="T416" s="815"/>
      <c r="U416" s="815"/>
      <c r="V416" s="815"/>
      <c r="W416" s="814"/>
      <c r="X416" s="815"/>
      <c r="Y416" s="814"/>
      <c r="Z416" s="2850"/>
      <c r="AE416" s="2461"/>
      <c r="AF416" s="68"/>
    </row>
    <row r="417" spans="1:32" ht="30" x14ac:dyDescent="0.35">
      <c r="A417" s="441">
        <v>204</v>
      </c>
      <c r="B417" s="1574" t="s">
        <v>2924</v>
      </c>
      <c r="C417" s="1574"/>
      <c r="D417" s="2473" t="s">
        <v>6689</v>
      </c>
      <c r="E417" s="817" t="s">
        <v>8094</v>
      </c>
      <c r="F417" s="811"/>
      <c r="G417" s="812" t="s">
        <v>191</v>
      </c>
      <c r="H417" s="812" t="s">
        <v>191</v>
      </c>
      <c r="I417" s="808">
        <f t="shared" si="29"/>
        <v>1.736</v>
      </c>
      <c r="J417" s="808">
        <f t="shared" si="30"/>
        <v>1.736</v>
      </c>
      <c r="K417" s="808"/>
      <c r="L417" s="808"/>
      <c r="M417" s="1190"/>
      <c r="N417" s="808">
        <f>SUM(N418:N419)</f>
        <v>1.732</v>
      </c>
      <c r="O417" s="820"/>
      <c r="P417" s="808"/>
      <c r="Q417" s="1186">
        <f>SUM(Q418:Q419)</f>
        <v>4.0000000000000036E-3</v>
      </c>
      <c r="R417" s="1182"/>
      <c r="S417" s="809"/>
      <c r="T417" s="810"/>
      <c r="U417" s="810"/>
      <c r="V417" s="810"/>
      <c r="W417" s="809">
        <v>2</v>
      </c>
      <c r="X417" s="810">
        <v>30.05</v>
      </c>
      <c r="Y417" s="809"/>
      <c r="Z417" s="1739"/>
      <c r="AB417" s="176">
        <v>1</v>
      </c>
      <c r="AE417" s="2461"/>
      <c r="AF417" s="68"/>
    </row>
    <row r="418" spans="1:32" x14ac:dyDescent="0.35">
      <c r="A418" s="1574"/>
      <c r="B418" s="1574" t="s">
        <v>2924</v>
      </c>
      <c r="C418" s="1052"/>
      <c r="D418" s="697"/>
      <c r="E418" s="818" t="s">
        <v>112</v>
      </c>
      <c r="F418" s="811">
        <v>5</v>
      </c>
      <c r="G418" s="812">
        <v>5</v>
      </c>
      <c r="H418" s="812">
        <v>6</v>
      </c>
      <c r="I418" s="2116"/>
      <c r="J418" s="2116"/>
      <c r="K418" s="493"/>
      <c r="L418" s="493"/>
      <c r="M418" s="493"/>
      <c r="N418" s="493">
        <v>1.732</v>
      </c>
      <c r="O418" s="493"/>
      <c r="P418" s="493"/>
      <c r="Q418" s="2181"/>
      <c r="R418" s="906"/>
      <c r="S418" s="101"/>
      <c r="T418" s="101"/>
      <c r="U418" s="101"/>
      <c r="V418" s="101"/>
      <c r="W418" s="1969"/>
      <c r="X418" s="1969"/>
      <c r="Y418" s="1969"/>
      <c r="Z418" s="2186"/>
      <c r="AE418" s="2461"/>
      <c r="AF418" s="68"/>
    </row>
    <row r="419" spans="1:32" x14ac:dyDescent="0.35">
      <c r="A419" s="1574"/>
      <c r="B419" s="1574" t="s">
        <v>2924</v>
      </c>
      <c r="C419" s="1052"/>
      <c r="D419" s="697"/>
      <c r="E419" s="1195" t="s">
        <v>113</v>
      </c>
      <c r="F419" s="811">
        <v>5</v>
      </c>
      <c r="G419" s="812">
        <v>5</v>
      </c>
      <c r="H419" s="812">
        <v>6</v>
      </c>
      <c r="I419" s="2116"/>
      <c r="J419" s="2116"/>
      <c r="K419" s="493"/>
      <c r="L419" s="493"/>
      <c r="M419" s="493"/>
      <c r="N419" s="493"/>
      <c r="O419" s="493"/>
      <c r="P419" s="493"/>
      <c r="Q419" s="2181">
        <f>1.736-1.732</f>
        <v>4.0000000000000036E-3</v>
      </c>
      <c r="R419" s="906"/>
      <c r="S419" s="101"/>
      <c r="T419" s="101"/>
      <c r="U419" s="101"/>
      <c r="V419" s="101"/>
      <c r="W419" s="1969"/>
      <c r="X419" s="1969"/>
      <c r="Y419" s="1969"/>
      <c r="Z419" s="2186"/>
      <c r="AE419" s="2461"/>
      <c r="AF419" s="68"/>
    </row>
    <row r="420" spans="1:32" ht="45" x14ac:dyDescent="0.35">
      <c r="A420" s="1575">
        <v>205</v>
      </c>
      <c r="B420" s="1052" t="s">
        <v>2924</v>
      </c>
      <c r="C420" s="1052" t="s">
        <v>1656</v>
      </c>
      <c r="D420" s="2473" t="s">
        <v>6690</v>
      </c>
      <c r="E420" s="2187" t="s">
        <v>10892</v>
      </c>
      <c r="F420" s="811"/>
      <c r="G420" s="812" t="s">
        <v>191</v>
      </c>
      <c r="H420" s="812" t="s">
        <v>191</v>
      </c>
      <c r="I420" s="2157">
        <f>J420+K420+L420</f>
        <v>1.45</v>
      </c>
      <c r="J420" s="2157">
        <f>M420+N420+O420+P420+Q420+R420</f>
        <v>1.45</v>
      </c>
      <c r="K420" s="490"/>
      <c r="L420" s="490"/>
      <c r="M420" s="490"/>
      <c r="N420" s="2873">
        <f>SUM(N421:N422)</f>
        <v>1.28</v>
      </c>
      <c r="O420" s="490"/>
      <c r="P420" s="490"/>
      <c r="Q420" s="2182">
        <f>SUM(Q421:Q422)</f>
        <v>0.16999999999999993</v>
      </c>
      <c r="R420" s="906"/>
      <c r="S420" s="101"/>
      <c r="T420" s="101"/>
      <c r="U420" s="101"/>
      <c r="V420" s="101"/>
      <c r="W420" s="1969"/>
      <c r="X420" s="1969"/>
      <c r="Y420" s="1969"/>
      <c r="Z420" s="2186"/>
      <c r="AB420" s="176">
        <v>1</v>
      </c>
      <c r="AE420" s="2461"/>
      <c r="AF420" s="68"/>
    </row>
    <row r="421" spans="1:32" x14ac:dyDescent="0.35">
      <c r="A421" s="1574"/>
      <c r="B421" s="1052"/>
      <c r="C421" s="1052"/>
      <c r="D421" s="2473"/>
      <c r="E421" s="818" t="s">
        <v>11465</v>
      </c>
      <c r="F421" s="811">
        <v>5</v>
      </c>
      <c r="G421" s="93">
        <v>5</v>
      </c>
      <c r="H421" s="812">
        <v>6</v>
      </c>
      <c r="I421" s="2116"/>
      <c r="J421" s="2116"/>
      <c r="K421" s="493"/>
      <c r="L421" s="493"/>
      <c r="M421" s="493"/>
      <c r="N421" s="2713">
        <v>1.28</v>
      </c>
      <c r="O421" s="493"/>
      <c r="P421" s="493"/>
      <c r="Q421" s="2181"/>
      <c r="R421" s="907"/>
      <c r="S421" s="101"/>
      <c r="T421" s="101"/>
      <c r="U421" s="101"/>
      <c r="V421" s="101"/>
      <c r="W421" s="1969"/>
      <c r="X421" s="1969"/>
      <c r="Y421" s="1969"/>
      <c r="Z421" s="2186"/>
      <c r="AE421" s="2461"/>
      <c r="AF421" s="68"/>
    </row>
    <row r="422" spans="1:32" x14ac:dyDescent="0.35">
      <c r="A422" s="1574"/>
      <c r="B422" s="1052"/>
      <c r="C422" s="1052"/>
      <c r="D422" s="2473"/>
      <c r="E422" s="1195" t="s">
        <v>11464</v>
      </c>
      <c r="F422" s="2874">
        <v>5</v>
      </c>
      <c r="G422" s="2875">
        <v>5</v>
      </c>
      <c r="H422" s="2876">
        <v>6</v>
      </c>
      <c r="I422" s="2116"/>
      <c r="J422" s="2116"/>
      <c r="K422" s="493"/>
      <c r="L422" s="493"/>
      <c r="M422" s="493"/>
      <c r="N422" s="493"/>
      <c r="O422" s="493"/>
      <c r="P422" s="493"/>
      <c r="Q422" s="2181">
        <f>1.45-1.28</f>
        <v>0.16999999999999993</v>
      </c>
      <c r="R422" s="907"/>
      <c r="S422" s="101"/>
      <c r="T422" s="101"/>
      <c r="U422" s="101"/>
      <c r="V422" s="101"/>
      <c r="W422" s="1969"/>
      <c r="X422" s="1969"/>
      <c r="Y422" s="1969"/>
      <c r="Z422" s="2186"/>
      <c r="AE422" s="2461"/>
      <c r="AF422" s="68"/>
    </row>
    <row r="423" spans="1:32" ht="30" x14ac:dyDescent="0.35">
      <c r="A423" s="441">
        <v>206</v>
      </c>
      <c r="B423" s="1574" t="s">
        <v>2924</v>
      </c>
      <c r="C423" s="1574"/>
      <c r="D423" s="2473" t="s">
        <v>6691</v>
      </c>
      <c r="E423" s="817" t="s">
        <v>8095</v>
      </c>
      <c r="F423" s="811"/>
      <c r="G423" s="812" t="s">
        <v>191</v>
      </c>
      <c r="H423" s="812" t="s">
        <v>191</v>
      </c>
      <c r="I423" s="808">
        <f t="shared" si="29"/>
        <v>1.6</v>
      </c>
      <c r="J423" s="808">
        <f>SUM(M423:R423)</f>
        <v>1.6</v>
      </c>
      <c r="K423" s="808"/>
      <c r="L423" s="808"/>
      <c r="M423" s="1190"/>
      <c r="N423" s="808"/>
      <c r="O423" s="820"/>
      <c r="P423" s="808"/>
      <c r="Q423" s="1186">
        <f>SUM(Q424:Q425)</f>
        <v>1</v>
      </c>
      <c r="R423" s="1182">
        <f>SUM(R424:R425)</f>
        <v>0.60000000000000009</v>
      </c>
      <c r="S423" s="809"/>
      <c r="T423" s="810"/>
      <c r="U423" s="810"/>
      <c r="V423" s="810"/>
      <c r="W423" s="809">
        <v>1</v>
      </c>
      <c r="X423" s="810">
        <v>11.8</v>
      </c>
      <c r="Y423" s="809"/>
      <c r="Z423" s="1739"/>
      <c r="AB423" s="176">
        <v>1</v>
      </c>
      <c r="AE423" s="2461"/>
      <c r="AF423" s="68"/>
    </row>
    <row r="424" spans="1:32" x14ac:dyDescent="0.35">
      <c r="A424" s="1575"/>
      <c r="B424" s="1574" t="s">
        <v>2924</v>
      </c>
      <c r="C424" s="1574"/>
      <c r="D424" s="1575"/>
      <c r="E424" s="1195" t="s">
        <v>2628</v>
      </c>
      <c r="F424" s="811">
        <v>5</v>
      </c>
      <c r="G424" s="812">
        <v>5</v>
      </c>
      <c r="H424" s="812">
        <v>6</v>
      </c>
      <c r="I424" s="813"/>
      <c r="J424" s="813"/>
      <c r="K424" s="813"/>
      <c r="L424" s="813"/>
      <c r="M424" s="1869"/>
      <c r="N424" s="813"/>
      <c r="O424" s="1870"/>
      <c r="P424" s="813"/>
      <c r="Q424" s="1771">
        <v>1</v>
      </c>
      <c r="R424" s="1772"/>
      <c r="S424" s="809"/>
      <c r="T424" s="810"/>
      <c r="U424" s="810"/>
      <c r="V424" s="810"/>
      <c r="W424" s="809"/>
      <c r="X424" s="810"/>
      <c r="Y424" s="809"/>
      <c r="Z424" s="1739"/>
      <c r="AE424" s="2461"/>
      <c r="AF424" s="68"/>
    </row>
    <row r="425" spans="1:32" x14ac:dyDescent="0.35">
      <c r="A425" s="1575"/>
      <c r="B425" s="1574" t="s">
        <v>2924</v>
      </c>
      <c r="C425" s="1574"/>
      <c r="D425" s="1575"/>
      <c r="E425" s="1193" t="s">
        <v>6987</v>
      </c>
      <c r="F425" s="811" t="s">
        <v>664</v>
      </c>
      <c r="G425" s="812">
        <v>5</v>
      </c>
      <c r="H425" s="812">
        <v>6</v>
      </c>
      <c r="I425" s="813"/>
      <c r="J425" s="813"/>
      <c r="K425" s="813"/>
      <c r="L425" s="813"/>
      <c r="M425" s="1869"/>
      <c r="N425" s="813"/>
      <c r="O425" s="1870"/>
      <c r="P425" s="813"/>
      <c r="Q425" s="1771"/>
      <c r="R425" s="1772">
        <f>1.6-1</f>
        <v>0.60000000000000009</v>
      </c>
      <c r="S425" s="809"/>
      <c r="T425" s="810"/>
      <c r="U425" s="810"/>
      <c r="V425" s="810"/>
      <c r="W425" s="809"/>
      <c r="X425" s="810"/>
      <c r="Y425" s="809"/>
      <c r="Z425" s="1739"/>
      <c r="AE425" s="2461"/>
      <c r="AF425" s="68"/>
    </row>
    <row r="426" spans="1:32" ht="30" x14ac:dyDescent="0.35">
      <c r="A426" s="1575">
        <v>207</v>
      </c>
      <c r="B426" s="1574" t="s">
        <v>2924</v>
      </c>
      <c r="C426" s="1574"/>
      <c r="D426" s="2473" t="s">
        <v>6692</v>
      </c>
      <c r="E426" s="817" t="s">
        <v>8096</v>
      </c>
      <c r="F426" s="811" t="s">
        <v>664</v>
      </c>
      <c r="G426" s="812">
        <v>5</v>
      </c>
      <c r="H426" s="812">
        <v>6</v>
      </c>
      <c r="I426" s="808">
        <f t="shared" si="29"/>
        <v>1.6</v>
      </c>
      <c r="J426" s="808">
        <f>SUM(M426:R426)</f>
        <v>1.6</v>
      </c>
      <c r="K426" s="808"/>
      <c r="L426" s="808"/>
      <c r="M426" s="1190"/>
      <c r="N426" s="808"/>
      <c r="O426" s="820"/>
      <c r="P426" s="808"/>
      <c r="Q426" s="1186"/>
      <c r="R426" s="1182">
        <v>1.6</v>
      </c>
      <c r="S426" s="809"/>
      <c r="T426" s="810"/>
      <c r="U426" s="810"/>
      <c r="V426" s="810"/>
      <c r="W426" s="809"/>
      <c r="X426" s="810"/>
      <c r="Y426" s="809"/>
      <c r="Z426" s="1739"/>
      <c r="AB426" s="176">
        <v>1</v>
      </c>
      <c r="AE426" s="2461"/>
      <c r="AF426" s="68"/>
    </row>
    <row r="427" spans="1:32" ht="30" x14ac:dyDescent="0.35">
      <c r="A427" s="1575">
        <v>208</v>
      </c>
      <c r="B427" s="1574" t="s">
        <v>2924</v>
      </c>
      <c r="C427" s="1574"/>
      <c r="D427" s="2473" t="s">
        <v>6693</v>
      </c>
      <c r="E427" s="817" t="s">
        <v>8097</v>
      </c>
      <c r="F427" s="811" t="s">
        <v>664</v>
      </c>
      <c r="G427" s="812">
        <v>5</v>
      </c>
      <c r="H427" s="812">
        <v>6</v>
      </c>
      <c r="I427" s="808">
        <f t="shared" si="29"/>
        <v>1.1000000000000001</v>
      </c>
      <c r="J427" s="808">
        <f>SUM(M427:R427)</f>
        <v>1.1000000000000001</v>
      </c>
      <c r="K427" s="808"/>
      <c r="L427" s="808"/>
      <c r="M427" s="1190"/>
      <c r="N427" s="808"/>
      <c r="O427" s="820"/>
      <c r="P427" s="808"/>
      <c r="Q427" s="1186"/>
      <c r="R427" s="1182">
        <v>1.1000000000000001</v>
      </c>
      <c r="S427" s="809"/>
      <c r="T427" s="810"/>
      <c r="U427" s="810"/>
      <c r="V427" s="810"/>
      <c r="W427" s="809"/>
      <c r="X427" s="810"/>
      <c r="Y427" s="809"/>
      <c r="Z427" s="1739"/>
      <c r="AB427" s="176">
        <v>1</v>
      </c>
      <c r="AE427" s="2461"/>
      <c r="AF427" s="68"/>
    </row>
    <row r="428" spans="1:32" ht="30" x14ac:dyDescent="0.35">
      <c r="A428" s="1575">
        <v>209</v>
      </c>
      <c r="B428" s="1574" t="s">
        <v>2924</v>
      </c>
      <c r="C428" s="1574"/>
      <c r="D428" s="2473" t="s">
        <v>6694</v>
      </c>
      <c r="E428" s="817" t="s">
        <v>8098</v>
      </c>
      <c r="F428" s="811" t="s">
        <v>664</v>
      </c>
      <c r="G428" s="812">
        <v>5</v>
      </c>
      <c r="H428" s="812">
        <v>6</v>
      </c>
      <c r="I428" s="808">
        <f t="shared" si="29"/>
        <v>1.1000000000000001</v>
      </c>
      <c r="J428" s="808">
        <f>SUM(M428:R428)</f>
        <v>1.1000000000000001</v>
      </c>
      <c r="K428" s="808"/>
      <c r="L428" s="808"/>
      <c r="M428" s="1190"/>
      <c r="N428" s="808"/>
      <c r="O428" s="820"/>
      <c r="P428" s="808"/>
      <c r="Q428" s="1186"/>
      <c r="R428" s="1182">
        <v>1.1000000000000001</v>
      </c>
      <c r="S428" s="809"/>
      <c r="T428" s="810"/>
      <c r="U428" s="810"/>
      <c r="V428" s="810"/>
      <c r="W428" s="809"/>
      <c r="X428" s="810"/>
      <c r="Y428" s="809"/>
      <c r="Z428" s="1739"/>
      <c r="AB428" s="176">
        <v>1</v>
      </c>
      <c r="AE428" s="2461"/>
      <c r="AF428" s="68"/>
    </row>
    <row r="429" spans="1:32" ht="30" x14ac:dyDescent="0.35">
      <c r="A429" s="1575">
        <v>210</v>
      </c>
      <c r="B429" s="697" t="s">
        <v>2924</v>
      </c>
      <c r="C429" s="697"/>
      <c r="D429" s="2473" t="s">
        <v>6695</v>
      </c>
      <c r="E429" s="817" t="s">
        <v>8099</v>
      </c>
      <c r="F429" s="92" t="s">
        <v>827</v>
      </c>
      <c r="G429" s="93">
        <v>5</v>
      </c>
      <c r="H429" s="812">
        <v>6</v>
      </c>
      <c r="I429" s="2157">
        <f t="shared" ref="I429:I435" si="31">J429+K429+L429</f>
        <v>0.56000000000000005</v>
      </c>
      <c r="J429" s="2157">
        <f>M429+N429+O429+P429+Q429+R429</f>
        <v>0.56000000000000005</v>
      </c>
      <c r="K429" s="490"/>
      <c r="L429" s="490"/>
      <c r="M429" s="490"/>
      <c r="N429" s="490"/>
      <c r="O429" s="490"/>
      <c r="P429" s="490"/>
      <c r="Q429" s="490"/>
      <c r="R429" s="2207">
        <v>0.56000000000000005</v>
      </c>
      <c r="S429" s="101"/>
      <c r="T429" s="101"/>
      <c r="U429" s="101"/>
      <c r="V429" s="101"/>
      <c r="W429" s="1969"/>
      <c r="X429" s="1969"/>
      <c r="Y429" s="1969"/>
      <c r="Z429" s="1969"/>
      <c r="AB429" s="176">
        <v>1</v>
      </c>
      <c r="AE429" s="2461"/>
      <c r="AF429" s="68"/>
    </row>
    <row r="430" spans="1:32" ht="30" x14ac:dyDescent="0.35">
      <c r="A430" s="1575">
        <v>211</v>
      </c>
      <c r="B430" s="697" t="s">
        <v>2924</v>
      </c>
      <c r="C430" s="1574"/>
      <c r="D430" s="2473" t="s">
        <v>6696</v>
      </c>
      <c r="E430" s="817" t="s">
        <v>8100</v>
      </c>
      <c r="F430" s="811" t="s">
        <v>1490</v>
      </c>
      <c r="G430" s="812">
        <v>5</v>
      </c>
      <c r="H430" s="812">
        <v>6</v>
      </c>
      <c r="I430" s="808">
        <f t="shared" si="31"/>
        <v>1.776</v>
      </c>
      <c r="J430" s="808">
        <f t="shared" ref="J430:J435" si="32">SUM(M430:R430)</f>
        <v>1.776</v>
      </c>
      <c r="K430" s="808"/>
      <c r="L430" s="808"/>
      <c r="M430" s="1190"/>
      <c r="N430" s="808"/>
      <c r="O430" s="820"/>
      <c r="P430" s="808"/>
      <c r="Q430" s="1186"/>
      <c r="R430" s="1182">
        <v>1.776</v>
      </c>
      <c r="S430" s="809"/>
      <c r="T430" s="810"/>
      <c r="U430" s="810"/>
      <c r="V430" s="810"/>
      <c r="W430" s="809">
        <v>1</v>
      </c>
      <c r="X430" s="810">
        <v>7.7</v>
      </c>
      <c r="Y430" s="809"/>
      <c r="Z430" s="1739"/>
      <c r="AB430" s="176">
        <v>1</v>
      </c>
      <c r="AC430" s="176" t="s">
        <v>2570</v>
      </c>
      <c r="AE430" s="2461"/>
      <c r="AF430" s="68"/>
    </row>
    <row r="431" spans="1:32" ht="45" x14ac:dyDescent="0.35">
      <c r="A431" s="1575">
        <v>212</v>
      </c>
      <c r="B431" s="1052" t="s">
        <v>2924</v>
      </c>
      <c r="C431" s="1024" t="s">
        <v>1656</v>
      </c>
      <c r="D431" s="2473" t="s">
        <v>6697</v>
      </c>
      <c r="E431" s="2187" t="s">
        <v>9134</v>
      </c>
      <c r="F431" s="811" t="s">
        <v>664</v>
      </c>
      <c r="G431" s="2289">
        <v>5</v>
      </c>
      <c r="H431" s="812">
        <v>6</v>
      </c>
      <c r="I431" s="297">
        <f t="shared" si="31"/>
        <v>0.4</v>
      </c>
      <c r="J431" s="297">
        <f t="shared" si="32"/>
        <v>0.4</v>
      </c>
      <c r="K431" s="808"/>
      <c r="L431" s="808"/>
      <c r="M431" s="1190"/>
      <c r="N431" s="808"/>
      <c r="O431" s="820"/>
      <c r="P431" s="808"/>
      <c r="Q431" s="1186"/>
      <c r="R431" s="1182">
        <v>0.4</v>
      </c>
      <c r="S431" s="809"/>
      <c r="T431" s="810"/>
      <c r="U431" s="810"/>
      <c r="V431" s="810"/>
      <c r="W431" s="809"/>
      <c r="X431" s="810"/>
      <c r="Y431" s="809"/>
      <c r="Z431" s="1739"/>
      <c r="AB431" s="176">
        <v>1</v>
      </c>
      <c r="AE431" s="2461"/>
      <c r="AF431" s="68"/>
    </row>
    <row r="432" spans="1:32" ht="30" x14ac:dyDescent="0.35">
      <c r="A432" s="1575">
        <v>213</v>
      </c>
      <c r="B432" s="1574" t="s">
        <v>2924</v>
      </c>
      <c r="C432" s="1575"/>
      <c r="D432" s="2473" t="s">
        <v>6698</v>
      </c>
      <c r="E432" s="817" t="s">
        <v>8101</v>
      </c>
      <c r="F432" s="811" t="s">
        <v>664</v>
      </c>
      <c r="G432" s="2289">
        <v>5</v>
      </c>
      <c r="H432" s="812">
        <v>6</v>
      </c>
      <c r="I432" s="297">
        <f t="shared" si="31"/>
        <v>0.7</v>
      </c>
      <c r="J432" s="297">
        <f t="shared" si="32"/>
        <v>0.7</v>
      </c>
      <c r="K432" s="808"/>
      <c r="L432" s="808"/>
      <c r="M432" s="1190"/>
      <c r="N432" s="808"/>
      <c r="O432" s="820"/>
      <c r="P432" s="808"/>
      <c r="Q432" s="1186"/>
      <c r="R432" s="1182">
        <v>0.7</v>
      </c>
      <c r="S432" s="809"/>
      <c r="T432" s="810"/>
      <c r="U432" s="810"/>
      <c r="V432" s="810"/>
      <c r="W432" s="809"/>
      <c r="X432" s="810"/>
      <c r="Y432" s="809"/>
      <c r="Z432" s="1739"/>
      <c r="AB432" s="176">
        <v>1</v>
      </c>
      <c r="AE432" s="2461"/>
      <c r="AF432" s="68"/>
    </row>
    <row r="433" spans="1:34" ht="30" x14ac:dyDescent="0.35">
      <c r="A433" s="1575">
        <v>214</v>
      </c>
      <c r="B433" s="1574" t="s">
        <v>2924</v>
      </c>
      <c r="C433" s="358" t="s">
        <v>1656</v>
      </c>
      <c r="D433" s="2473" t="s">
        <v>6699</v>
      </c>
      <c r="E433" s="817" t="s">
        <v>9135</v>
      </c>
      <c r="F433" s="811" t="s">
        <v>664</v>
      </c>
      <c r="G433" s="2289">
        <v>5</v>
      </c>
      <c r="H433" s="812">
        <v>6</v>
      </c>
      <c r="I433" s="297">
        <f t="shared" si="31"/>
        <v>0.2</v>
      </c>
      <c r="J433" s="297">
        <f t="shared" si="32"/>
        <v>0.2</v>
      </c>
      <c r="K433" s="808"/>
      <c r="L433" s="808"/>
      <c r="M433" s="1190"/>
      <c r="N433" s="808"/>
      <c r="O433" s="820"/>
      <c r="P433" s="808"/>
      <c r="Q433" s="1186"/>
      <c r="R433" s="1182">
        <v>0.2</v>
      </c>
      <c r="S433" s="809"/>
      <c r="T433" s="810"/>
      <c r="U433" s="810"/>
      <c r="V433" s="810"/>
      <c r="W433" s="809"/>
      <c r="X433" s="810"/>
      <c r="Y433" s="809"/>
      <c r="Z433" s="1739"/>
      <c r="AB433" s="176">
        <v>1</v>
      </c>
      <c r="AE433" s="2461"/>
      <c r="AF433" s="68"/>
    </row>
    <row r="434" spans="1:34" ht="30" x14ac:dyDescent="0.35">
      <c r="A434" s="1575">
        <v>215</v>
      </c>
      <c r="B434" s="1574" t="s">
        <v>2924</v>
      </c>
      <c r="C434" s="358" t="s">
        <v>1656</v>
      </c>
      <c r="D434" s="2473" t="s">
        <v>6700</v>
      </c>
      <c r="E434" s="817" t="s">
        <v>9136</v>
      </c>
      <c r="F434" s="811" t="s">
        <v>664</v>
      </c>
      <c r="G434" s="2289">
        <v>5</v>
      </c>
      <c r="H434" s="812">
        <v>6</v>
      </c>
      <c r="I434" s="297">
        <f t="shared" si="31"/>
        <v>0.3</v>
      </c>
      <c r="J434" s="297">
        <f t="shared" si="32"/>
        <v>0.3</v>
      </c>
      <c r="K434" s="808"/>
      <c r="L434" s="808"/>
      <c r="M434" s="1190"/>
      <c r="N434" s="808"/>
      <c r="O434" s="820"/>
      <c r="P434" s="808"/>
      <c r="Q434" s="1186"/>
      <c r="R434" s="1182">
        <v>0.3</v>
      </c>
      <c r="S434" s="809"/>
      <c r="T434" s="810"/>
      <c r="U434" s="810"/>
      <c r="V434" s="810"/>
      <c r="W434" s="809"/>
      <c r="X434" s="810"/>
      <c r="Y434" s="809"/>
      <c r="Z434" s="1739"/>
      <c r="AB434" s="176">
        <v>1</v>
      </c>
      <c r="AE434" s="2461"/>
      <c r="AF434" s="68"/>
    </row>
    <row r="435" spans="1:34" ht="30" x14ac:dyDescent="0.35">
      <c r="A435" s="1575">
        <v>216</v>
      </c>
      <c r="B435" s="1574" t="s">
        <v>2924</v>
      </c>
      <c r="C435" s="358" t="s">
        <v>1656</v>
      </c>
      <c r="D435" s="2473" t="s">
        <v>6701</v>
      </c>
      <c r="E435" s="817" t="s">
        <v>10368</v>
      </c>
      <c r="F435" s="811" t="s">
        <v>664</v>
      </c>
      <c r="G435" s="2289">
        <v>5</v>
      </c>
      <c r="H435" s="812">
        <v>6</v>
      </c>
      <c r="I435" s="297">
        <f t="shared" si="31"/>
        <v>0.8</v>
      </c>
      <c r="J435" s="297">
        <f t="shared" si="32"/>
        <v>0.8</v>
      </c>
      <c r="K435" s="808"/>
      <c r="L435" s="808"/>
      <c r="M435" s="1190"/>
      <c r="N435" s="808"/>
      <c r="O435" s="820"/>
      <c r="P435" s="808"/>
      <c r="Q435" s="1186"/>
      <c r="R435" s="1182">
        <v>0.8</v>
      </c>
      <c r="S435" s="809"/>
      <c r="T435" s="810"/>
      <c r="U435" s="810"/>
      <c r="V435" s="810"/>
      <c r="W435" s="809"/>
      <c r="X435" s="810"/>
      <c r="Y435" s="809"/>
      <c r="Z435" s="1739"/>
      <c r="AB435" s="176">
        <v>1</v>
      </c>
      <c r="AE435" s="2461"/>
      <c r="AF435" s="68"/>
    </row>
    <row r="436" spans="1:34" ht="45.5" x14ac:dyDescent="0.35">
      <c r="A436" s="1573"/>
      <c r="B436" s="1574" t="s">
        <v>1117</v>
      </c>
      <c r="C436" s="1574"/>
      <c r="D436" s="1575"/>
      <c r="E436" s="1596" t="s">
        <v>1465</v>
      </c>
      <c r="F436" s="811"/>
      <c r="G436" s="812"/>
      <c r="H436" s="812"/>
      <c r="I436" s="808"/>
      <c r="J436" s="808"/>
      <c r="K436" s="808"/>
      <c r="L436" s="808"/>
      <c r="M436" s="1190"/>
      <c r="N436" s="808"/>
      <c r="O436" s="820"/>
      <c r="P436" s="808"/>
      <c r="Q436" s="1186"/>
      <c r="R436" s="1182"/>
      <c r="S436" s="809"/>
      <c r="T436" s="810"/>
      <c r="U436" s="810"/>
      <c r="V436" s="810"/>
      <c r="W436" s="809"/>
      <c r="X436" s="810"/>
      <c r="Y436" s="809"/>
      <c r="Z436" s="1739"/>
      <c r="AE436" s="2461"/>
      <c r="AF436" s="68"/>
    </row>
    <row r="437" spans="1:34" ht="45" x14ac:dyDescent="0.35">
      <c r="A437" s="1573">
        <v>217</v>
      </c>
      <c r="B437" s="1574" t="s">
        <v>1117</v>
      </c>
      <c r="C437" s="1574"/>
      <c r="D437" s="2473" t="s">
        <v>6702</v>
      </c>
      <c r="E437" s="817" t="s">
        <v>8102</v>
      </c>
      <c r="F437" s="811">
        <v>5</v>
      </c>
      <c r="G437" s="812">
        <v>5</v>
      </c>
      <c r="H437" s="812">
        <v>6</v>
      </c>
      <c r="I437" s="808">
        <f>J437+K437+L437</f>
        <v>1</v>
      </c>
      <c r="J437" s="808">
        <f>SUM(M437:R437)</f>
        <v>1</v>
      </c>
      <c r="K437" s="808"/>
      <c r="L437" s="808"/>
      <c r="M437" s="1190"/>
      <c r="N437" s="808"/>
      <c r="O437" s="820"/>
      <c r="P437" s="808"/>
      <c r="Q437" s="1186">
        <v>1</v>
      </c>
      <c r="R437" s="1182"/>
      <c r="S437" s="809"/>
      <c r="T437" s="810"/>
      <c r="U437" s="810"/>
      <c r="V437" s="810"/>
      <c r="W437" s="809">
        <v>2</v>
      </c>
      <c r="X437" s="810">
        <v>21.46</v>
      </c>
      <c r="Y437" s="809"/>
      <c r="Z437" s="1739"/>
      <c r="AB437" s="176">
        <v>1</v>
      </c>
      <c r="AE437" s="2461"/>
      <c r="AF437" s="68"/>
    </row>
    <row r="438" spans="1:34" ht="75" x14ac:dyDescent="0.35">
      <c r="A438" s="441">
        <v>218</v>
      </c>
      <c r="B438" s="1052" t="s">
        <v>1117</v>
      </c>
      <c r="C438" s="358" t="s">
        <v>1656</v>
      </c>
      <c r="D438" s="2473" t="s">
        <v>6703</v>
      </c>
      <c r="E438" s="2187" t="s">
        <v>11536</v>
      </c>
      <c r="F438" s="811" t="s">
        <v>664</v>
      </c>
      <c r="G438" s="2289">
        <v>5</v>
      </c>
      <c r="H438" s="812">
        <v>6</v>
      </c>
      <c r="I438" s="2865">
        <f>J438+K438+L438</f>
        <v>0.63</v>
      </c>
      <c r="J438" s="2865">
        <f t="shared" ref="J438:J445" si="33">SUM(M438:R438)</f>
        <v>0.63</v>
      </c>
      <c r="K438" s="493"/>
      <c r="L438" s="493"/>
      <c r="M438" s="493"/>
      <c r="N438" s="493"/>
      <c r="O438" s="493"/>
      <c r="P438" s="493"/>
      <c r="Q438" s="2181"/>
      <c r="R438" s="1987">
        <v>0.63</v>
      </c>
      <c r="S438" s="101"/>
      <c r="T438" s="101"/>
      <c r="U438" s="101"/>
      <c r="V438" s="101"/>
      <c r="W438" s="1969"/>
      <c r="X438" s="1969"/>
      <c r="Y438" s="1969"/>
      <c r="Z438" s="2186"/>
      <c r="AB438" s="176">
        <v>1</v>
      </c>
      <c r="AC438" s="69"/>
      <c r="AD438" s="69"/>
      <c r="AE438" s="2461"/>
      <c r="AF438" s="68"/>
      <c r="AG438" s="69"/>
      <c r="AH438" s="69"/>
    </row>
    <row r="439" spans="1:34" ht="60" x14ac:dyDescent="0.35">
      <c r="A439" s="1573">
        <v>219</v>
      </c>
      <c r="B439" s="1574" t="s">
        <v>1117</v>
      </c>
      <c r="C439" s="1574"/>
      <c r="D439" s="2473" t="s">
        <v>6704</v>
      </c>
      <c r="E439" s="817" t="s">
        <v>8103</v>
      </c>
      <c r="F439" s="811" t="s">
        <v>827</v>
      </c>
      <c r="G439" s="812">
        <v>5</v>
      </c>
      <c r="H439" s="812">
        <v>6</v>
      </c>
      <c r="I439" s="808">
        <f t="shared" ref="I439:I447" si="34">J439+K439+L439</f>
        <v>1</v>
      </c>
      <c r="J439" s="808">
        <f t="shared" si="33"/>
        <v>1</v>
      </c>
      <c r="K439" s="808"/>
      <c r="L439" s="808"/>
      <c r="M439" s="1190"/>
      <c r="N439" s="808"/>
      <c r="O439" s="820"/>
      <c r="P439" s="808"/>
      <c r="Q439" s="1186"/>
      <c r="R439" s="1182">
        <v>1</v>
      </c>
      <c r="S439" s="809"/>
      <c r="T439" s="810"/>
      <c r="U439" s="810"/>
      <c r="V439" s="810"/>
      <c r="W439" s="809"/>
      <c r="X439" s="810"/>
      <c r="Y439" s="809"/>
      <c r="Z439" s="1739"/>
      <c r="AB439" s="176">
        <v>1</v>
      </c>
      <c r="AE439" s="2461"/>
      <c r="AF439" s="68"/>
    </row>
    <row r="440" spans="1:34" ht="75" x14ac:dyDescent="0.35">
      <c r="A440" s="441">
        <v>220</v>
      </c>
      <c r="B440" s="1574" t="s">
        <v>1117</v>
      </c>
      <c r="C440" s="1024" t="s">
        <v>1656</v>
      </c>
      <c r="D440" s="2473" t="s">
        <v>6705</v>
      </c>
      <c r="E440" s="807" t="s">
        <v>9137</v>
      </c>
      <c r="F440" s="811" t="s">
        <v>664</v>
      </c>
      <c r="G440" s="2289">
        <v>5</v>
      </c>
      <c r="H440" s="812">
        <v>6</v>
      </c>
      <c r="I440" s="297">
        <f>J440+K440+L440</f>
        <v>0.8</v>
      </c>
      <c r="J440" s="297">
        <f t="shared" si="33"/>
        <v>0.8</v>
      </c>
      <c r="K440" s="493"/>
      <c r="L440" s="493"/>
      <c r="M440" s="493"/>
      <c r="N440" s="493"/>
      <c r="O440" s="493"/>
      <c r="P440" s="493"/>
      <c r="Q440" s="2181"/>
      <c r="R440" s="1987">
        <v>0.8</v>
      </c>
      <c r="S440" s="101"/>
      <c r="T440" s="101"/>
      <c r="U440" s="101"/>
      <c r="V440" s="101"/>
      <c r="W440" s="1969"/>
      <c r="X440" s="1969"/>
      <c r="Y440" s="1969"/>
      <c r="Z440" s="2186"/>
      <c r="AB440" s="176">
        <v>1</v>
      </c>
      <c r="AC440" s="69"/>
      <c r="AD440" s="69"/>
      <c r="AE440" s="2461"/>
      <c r="AF440" s="68"/>
      <c r="AG440" s="69"/>
      <c r="AH440" s="69"/>
    </row>
    <row r="441" spans="1:34" ht="45" x14ac:dyDescent="0.35">
      <c r="A441" s="1573">
        <v>221</v>
      </c>
      <c r="B441" s="1574" t="s">
        <v>1117</v>
      </c>
      <c r="C441" s="1574"/>
      <c r="D441" s="2473" t="s">
        <v>6706</v>
      </c>
      <c r="E441" s="817" t="s">
        <v>11466</v>
      </c>
      <c r="F441" s="811" t="s">
        <v>664</v>
      </c>
      <c r="G441" s="812">
        <v>5</v>
      </c>
      <c r="H441" s="812">
        <v>6</v>
      </c>
      <c r="I441" s="2708">
        <f t="shared" si="34"/>
        <v>2.1</v>
      </c>
      <c r="J441" s="2708">
        <f t="shared" si="33"/>
        <v>2.1</v>
      </c>
      <c r="K441" s="808"/>
      <c r="L441" s="808"/>
      <c r="M441" s="1190"/>
      <c r="N441" s="808"/>
      <c r="O441" s="820"/>
      <c r="P441" s="808"/>
      <c r="Q441" s="1186"/>
      <c r="R441" s="1182">
        <v>2.1</v>
      </c>
      <c r="S441" s="809"/>
      <c r="T441" s="810"/>
      <c r="U441" s="810"/>
      <c r="V441" s="810"/>
      <c r="W441" s="809"/>
      <c r="X441" s="810"/>
      <c r="Y441" s="809"/>
      <c r="Z441" s="1739"/>
      <c r="AB441" s="176">
        <v>1</v>
      </c>
      <c r="AE441" s="2461"/>
      <c r="AF441" s="68"/>
    </row>
    <row r="442" spans="1:34" ht="75" x14ac:dyDescent="0.35">
      <c r="A442" s="1573">
        <v>222</v>
      </c>
      <c r="B442" s="1574" t="s">
        <v>1117</v>
      </c>
      <c r="C442" s="358" t="s">
        <v>1656</v>
      </c>
      <c r="D442" s="2473" t="s">
        <v>6707</v>
      </c>
      <c r="E442" s="807" t="s">
        <v>9138</v>
      </c>
      <c r="F442" s="811" t="s">
        <v>664</v>
      </c>
      <c r="G442" s="2289">
        <v>5</v>
      </c>
      <c r="H442" s="812">
        <v>6</v>
      </c>
      <c r="I442" s="297">
        <f>J442+K442+L442</f>
        <v>0.7</v>
      </c>
      <c r="J442" s="297">
        <f t="shared" si="33"/>
        <v>0.7</v>
      </c>
      <c r="K442" s="493"/>
      <c r="L442" s="493"/>
      <c r="M442" s="493"/>
      <c r="N442" s="493"/>
      <c r="O442" s="493"/>
      <c r="P442" s="493"/>
      <c r="Q442" s="2181"/>
      <c r="R442" s="1987">
        <v>0.7</v>
      </c>
      <c r="S442" s="101"/>
      <c r="T442" s="101"/>
      <c r="U442" s="101"/>
      <c r="V442" s="101"/>
      <c r="W442" s="1969"/>
      <c r="X442" s="1969"/>
      <c r="Y442" s="1969"/>
      <c r="Z442" s="2186"/>
      <c r="AB442" s="176">
        <v>1</v>
      </c>
      <c r="AC442" s="69"/>
      <c r="AD442" s="69"/>
      <c r="AE442" s="2461"/>
      <c r="AF442" s="68"/>
      <c r="AG442" s="69"/>
      <c r="AH442" s="69"/>
    </row>
    <row r="443" spans="1:34" ht="60" x14ac:dyDescent="0.35">
      <c r="A443" s="441">
        <v>223</v>
      </c>
      <c r="B443" s="1574" t="s">
        <v>1117</v>
      </c>
      <c r="C443" s="1574"/>
      <c r="D443" s="2473" t="s">
        <v>6708</v>
      </c>
      <c r="E443" s="821" t="s">
        <v>8104</v>
      </c>
      <c r="F443" s="811" t="s">
        <v>827</v>
      </c>
      <c r="G443" s="812">
        <v>5</v>
      </c>
      <c r="H443" s="812">
        <v>6</v>
      </c>
      <c r="I443" s="808">
        <f t="shared" si="34"/>
        <v>1.1000000000000001</v>
      </c>
      <c r="J443" s="808">
        <f t="shared" si="33"/>
        <v>1.1000000000000001</v>
      </c>
      <c r="K443" s="808"/>
      <c r="L443" s="808"/>
      <c r="M443" s="1190"/>
      <c r="N443" s="808"/>
      <c r="O443" s="820"/>
      <c r="P443" s="808"/>
      <c r="Q443" s="1186"/>
      <c r="R443" s="1182">
        <v>1.1000000000000001</v>
      </c>
      <c r="S443" s="809"/>
      <c r="T443" s="810"/>
      <c r="U443" s="810"/>
      <c r="V443" s="810"/>
      <c r="W443" s="809"/>
      <c r="X443" s="810"/>
      <c r="Y443" s="809"/>
      <c r="Z443" s="1739"/>
      <c r="AB443" s="176">
        <v>1</v>
      </c>
      <c r="AC443" s="69"/>
      <c r="AD443" s="69"/>
      <c r="AE443" s="2461"/>
      <c r="AF443" s="68"/>
      <c r="AG443" s="69"/>
      <c r="AH443" s="69"/>
    </row>
    <row r="444" spans="1:34" ht="45" x14ac:dyDescent="0.35">
      <c r="A444" s="1573">
        <v>224</v>
      </c>
      <c r="B444" s="1574" t="s">
        <v>1117</v>
      </c>
      <c r="C444" s="1574"/>
      <c r="D444" s="2473" t="s">
        <v>6709</v>
      </c>
      <c r="E444" s="821" t="s">
        <v>8105</v>
      </c>
      <c r="F444" s="811" t="s">
        <v>827</v>
      </c>
      <c r="G444" s="812">
        <v>5</v>
      </c>
      <c r="H444" s="812">
        <v>6</v>
      </c>
      <c r="I444" s="808">
        <f t="shared" si="34"/>
        <v>2.5</v>
      </c>
      <c r="J444" s="808">
        <f t="shared" si="33"/>
        <v>2.5</v>
      </c>
      <c r="K444" s="808"/>
      <c r="L444" s="808"/>
      <c r="M444" s="1190"/>
      <c r="N444" s="808"/>
      <c r="O444" s="820"/>
      <c r="P444" s="808"/>
      <c r="Q444" s="1186"/>
      <c r="R444" s="1182">
        <v>2.5</v>
      </c>
      <c r="S444" s="809"/>
      <c r="T444" s="810"/>
      <c r="U444" s="810"/>
      <c r="V444" s="810"/>
      <c r="W444" s="809"/>
      <c r="X444" s="810"/>
      <c r="Y444" s="809"/>
      <c r="Z444" s="1739"/>
      <c r="AB444" s="176">
        <v>1</v>
      </c>
      <c r="AC444" s="69"/>
      <c r="AD444" s="69"/>
      <c r="AE444" s="2461"/>
      <c r="AF444" s="68"/>
      <c r="AG444" s="69"/>
      <c r="AH444" s="69"/>
    </row>
    <row r="445" spans="1:34" ht="60" x14ac:dyDescent="0.35">
      <c r="A445" s="441">
        <v>225</v>
      </c>
      <c r="B445" s="1574" t="s">
        <v>1117</v>
      </c>
      <c r="C445" s="1052" t="s">
        <v>1656</v>
      </c>
      <c r="D445" s="2473" t="s">
        <v>6710</v>
      </c>
      <c r="E445" s="821" t="s">
        <v>9306</v>
      </c>
      <c r="F445" s="811" t="s">
        <v>827</v>
      </c>
      <c r="G445" s="812">
        <v>5</v>
      </c>
      <c r="H445" s="812">
        <v>6</v>
      </c>
      <c r="I445" s="808">
        <f t="shared" si="34"/>
        <v>0.9</v>
      </c>
      <c r="J445" s="808">
        <f t="shared" si="33"/>
        <v>0.9</v>
      </c>
      <c r="K445" s="808"/>
      <c r="L445" s="808"/>
      <c r="M445" s="1190"/>
      <c r="N445" s="808"/>
      <c r="O445" s="820"/>
      <c r="P445" s="808"/>
      <c r="Q445" s="1186"/>
      <c r="R445" s="1182">
        <v>0.9</v>
      </c>
      <c r="S445" s="809"/>
      <c r="T445" s="810"/>
      <c r="U445" s="810"/>
      <c r="V445" s="810"/>
      <c r="W445" s="809"/>
      <c r="X445" s="810"/>
      <c r="Y445" s="809"/>
      <c r="Z445" s="1739"/>
      <c r="AB445" s="176">
        <v>1</v>
      </c>
      <c r="AC445" s="69"/>
      <c r="AD445" s="69"/>
      <c r="AE445" s="2461"/>
      <c r="AF445" s="68"/>
      <c r="AG445" s="69"/>
      <c r="AH445" s="69"/>
    </row>
    <row r="446" spans="1:34" ht="60" x14ac:dyDescent="0.35">
      <c r="A446" s="1573">
        <v>226</v>
      </c>
      <c r="B446" s="1052" t="s">
        <v>1117</v>
      </c>
      <c r="C446" s="1052" t="s">
        <v>1656</v>
      </c>
      <c r="D446" s="2473" t="s">
        <v>6711</v>
      </c>
      <c r="E446" s="2187" t="s">
        <v>9307</v>
      </c>
      <c r="F446" s="811" t="s">
        <v>664</v>
      </c>
      <c r="G446" s="93">
        <v>5</v>
      </c>
      <c r="H446" s="812">
        <v>6</v>
      </c>
      <c r="I446" s="2157">
        <f t="shared" si="34"/>
        <v>1</v>
      </c>
      <c r="J446" s="2157">
        <f>M446+N446+O446+P446+Q446+R446</f>
        <v>1</v>
      </c>
      <c r="K446" s="490"/>
      <c r="L446" s="490"/>
      <c r="M446" s="490"/>
      <c r="N446" s="490"/>
      <c r="O446" s="490"/>
      <c r="P446" s="490"/>
      <c r="Q446" s="2182"/>
      <c r="R446" s="906">
        <v>1</v>
      </c>
      <c r="S446" s="101"/>
      <c r="T446" s="101"/>
      <c r="U446" s="101"/>
      <c r="V446" s="101"/>
      <c r="W446" s="1969"/>
      <c r="X446" s="1969"/>
      <c r="Y446" s="1969"/>
      <c r="Z446" s="2186"/>
      <c r="AB446" s="176">
        <v>1</v>
      </c>
      <c r="AC446" s="69"/>
      <c r="AD446" s="69"/>
      <c r="AE446" s="2461"/>
      <c r="AF446" s="68"/>
      <c r="AG446" s="69"/>
      <c r="AH446" s="69"/>
    </row>
    <row r="447" spans="1:34" ht="60" x14ac:dyDescent="0.35">
      <c r="A447" s="441">
        <v>227</v>
      </c>
      <c r="B447" s="1052" t="s">
        <v>1117</v>
      </c>
      <c r="C447" s="1052" t="s">
        <v>1656</v>
      </c>
      <c r="D447" s="2473" t="s">
        <v>6712</v>
      </c>
      <c r="E447" s="2187" t="s">
        <v>9308</v>
      </c>
      <c r="F447" s="811"/>
      <c r="G447" s="93" t="s">
        <v>191</v>
      </c>
      <c r="H447" s="812" t="s">
        <v>191</v>
      </c>
      <c r="I447" s="2157">
        <f t="shared" si="34"/>
        <v>2</v>
      </c>
      <c r="J447" s="2157">
        <f>M447+N447+O447+P447+Q447+R447</f>
        <v>2</v>
      </c>
      <c r="K447" s="490"/>
      <c r="L447" s="490"/>
      <c r="M447" s="490"/>
      <c r="N447" s="490">
        <f>SUM(N448:N449)</f>
        <v>1.5</v>
      </c>
      <c r="O447" s="490"/>
      <c r="P447" s="490"/>
      <c r="Q447" s="2182"/>
      <c r="R447" s="1987">
        <f>SUM(R448:R449)</f>
        <v>0.5</v>
      </c>
      <c r="S447" s="101"/>
      <c r="T447" s="101"/>
      <c r="U447" s="101"/>
      <c r="V447" s="101"/>
      <c r="W447" s="1969"/>
      <c r="X447" s="1969"/>
      <c r="Y447" s="1969"/>
      <c r="Z447" s="2186"/>
      <c r="AB447" s="176">
        <v>1</v>
      </c>
      <c r="AC447" s="69"/>
      <c r="AD447" s="69"/>
      <c r="AE447" s="2461"/>
      <c r="AF447" s="68"/>
      <c r="AG447" s="69"/>
      <c r="AH447" s="69"/>
    </row>
    <row r="448" spans="1:34" x14ac:dyDescent="0.35">
      <c r="A448" s="696"/>
      <c r="B448" s="1052" t="s">
        <v>1117</v>
      </c>
      <c r="C448" s="1052"/>
      <c r="D448" s="101"/>
      <c r="E448" s="2092" t="s">
        <v>2020</v>
      </c>
      <c r="F448" s="811" t="s">
        <v>827</v>
      </c>
      <c r="G448" s="93">
        <v>5</v>
      </c>
      <c r="H448" s="812">
        <v>6</v>
      </c>
      <c r="I448" s="493"/>
      <c r="J448" s="493"/>
      <c r="K448" s="493"/>
      <c r="L448" s="493"/>
      <c r="M448" s="493"/>
      <c r="N448" s="493">
        <v>1.5</v>
      </c>
      <c r="O448" s="493"/>
      <c r="P448" s="493"/>
      <c r="Q448" s="2181"/>
      <c r="R448" s="907"/>
      <c r="S448" s="101"/>
      <c r="T448" s="101"/>
      <c r="U448" s="101"/>
      <c r="V448" s="101"/>
      <c r="W448" s="1969"/>
      <c r="X448" s="1969"/>
      <c r="Y448" s="1969"/>
      <c r="Z448" s="2186"/>
      <c r="AC448" s="69"/>
      <c r="AD448" s="69"/>
      <c r="AE448" s="2461"/>
      <c r="AF448" s="68"/>
      <c r="AG448" s="69"/>
      <c r="AH448" s="69"/>
    </row>
    <row r="449" spans="1:34" x14ac:dyDescent="0.35">
      <c r="A449" s="696"/>
      <c r="B449" s="1052" t="s">
        <v>1117</v>
      </c>
      <c r="C449" s="1052"/>
      <c r="D449" s="101"/>
      <c r="E449" s="2091" t="s">
        <v>2734</v>
      </c>
      <c r="F449" s="811" t="s">
        <v>827</v>
      </c>
      <c r="G449" s="93">
        <v>5</v>
      </c>
      <c r="H449" s="812">
        <v>6</v>
      </c>
      <c r="I449" s="493"/>
      <c r="J449" s="493"/>
      <c r="K449" s="493"/>
      <c r="L449" s="493"/>
      <c r="M449" s="493"/>
      <c r="N449" s="493"/>
      <c r="O449" s="493"/>
      <c r="P449" s="493"/>
      <c r="Q449" s="2181"/>
      <c r="R449" s="907">
        <v>0.5</v>
      </c>
      <c r="S449" s="101"/>
      <c r="T449" s="101"/>
      <c r="U449" s="101"/>
      <c r="V449" s="101"/>
      <c r="W449" s="1969"/>
      <c r="X449" s="1969"/>
      <c r="Y449" s="1969"/>
      <c r="Z449" s="2186"/>
      <c r="AC449" s="69"/>
      <c r="AD449" s="69"/>
      <c r="AE449" s="2461"/>
      <c r="AF449" s="68"/>
      <c r="AG449" s="69"/>
      <c r="AH449" s="69"/>
    </row>
    <row r="450" spans="1:34" ht="60" x14ac:dyDescent="0.35">
      <c r="A450" s="441">
        <v>228</v>
      </c>
      <c r="B450" s="1574" t="s">
        <v>1117</v>
      </c>
      <c r="C450" s="1024" t="s">
        <v>1656</v>
      </c>
      <c r="D450" s="2473" t="s">
        <v>6713</v>
      </c>
      <c r="E450" s="807" t="s">
        <v>9139</v>
      </c>
      <c r="F450" s="811"/>
      <c r="G450" s="2289" t="s">
        <v>191</v>
      </c>
      <c r="H450" s="812" t="s">
        <v>191</v>
      </c>
      <c r="I450" s="297">
        <f>J450+K450+L450</f>
        <v>1.5</v>
      </c>
      <c r="J450" s="297">
        <f>SUM(M450:R450)</f>
        <v>1.5</v>
      </c>
      <c r="K450" s="493"/>
      <c r="L450" s="493"/>
      <c r="M450" s="493"/>
      <c r="N450" s="490">
        <f>SUM(N451:N452)</f>
        <v>1.1000000000000001</v>
      </c>
      <c r="O450" s="1987"/>
      <c r="P450" s="493"/>
      <c r="Q450" s="2181"/>
      <c r="R450" s="1987">
        <f>SUM(R451:R452)</f>
        <v>0.4</v>
      </c>
      <c r="S450" s="101"/>
      <c r="T450" s="101"/>
      <c r="U450" s="101"/>
      <c r="V450" s="101"/>
      <c r="W450" s="1969"/>
      <c r="X450" s="1969"/>
      <c r="Y450" s="1969"/>
      <c r="Z450" s="2186"/>
      <c r="AB450" s="176">
        <v>1</v>
      </c>
      <c r="AC450" s="69"/>
      <c r="AD450" s="69"/>
      <c r="AE450" s="2461"/>
      <c r="AF450" s="68"/>
      <c r="AG450" s="69"/>
      <c r="AH450" s="69"/>
    </row>
    <row r="451" spans="1:34" x14ac:dyDescent="0.35">
      <c r="A451" s="441"/>
      <c r="B451" s="1574" t="s">
        <v>1117</v>
      </c>
      <c r="C451" s="1574"/>
      <c r="D451" s="1575"/>
      <c r="E451" s="2092" t="s">
        <v>3164</v>
      </c>
      <c r="F451" s="811" t="s">
        <v>664</v>
      </c>
      <c r="G451" s="2289">
        <v>5</v>
      </c>
      <c r="H451" s="812">
        <v>6</v>
      </c>
      <c r="I451" s="297"/>
      <c r="J451" s="297"/>
      <c r="K451" s="493"/>
      <c r="L451" s="493"/>
      <c r="M451" s="493"/>
      <c r="N451" s="493">
        <v>1.1000000000000001</v>
      </c>
      <c r="O451" s="493"/>
      <c r="P451" s="493"/>
      <c r="Q451" s="2181"/>
      <c r="R451" s="1987"/>
      <c r="S451" s="101"/>
      <c r="T451" s="101"/>
      <c r="U451" s="101"/>
      <c r="V451" s="101"/>
      <c r="W451" s="1969"/>
      <c r="X451" s="1969"/>
      <c r="Y451" s="1969"/>
      <c r="Z451" s="2186"/>
      <c r="AC451" s="69"/>
      <c r="AD451" s="69"/>
      <c r="AE451" s="2461"/>
      <c r="AF451" s="68"/>
      <c r="AG451" s="69"/>
      <c r="AH451" s="69"/>
    </row>
    <row r="452" spans="1:34" x14ac:dyDescent="0.35">
      <c r="A452" s="441"/>
      <c r="B452" s="1574" t="s">
        <v>1117</v>
      </c>
      <c r="C452" s="1574"/>
      <c r="D452" s="1575"/>
      <c r="E452" s="2091" t="s">
        <v>408</v>
      </c>
      <c r="F452" s="811" t="s">
        <v>664</v>
      </c>
      <c r="G452" s="2289">
        <v>5</v>
      </c>
      <c r="H452" s="812">
        <v>6</v>
      </c>
      <c r="I452" s="297"/>
      <c r="J452" s="297"/>
      <c r="K452" s="493"/>
      <c r="L452" s="493"/>
      <c r="M452" s="493"/>
      <c r="N452" s="493"/>
      <c r="O452" s="493"/>
      <c r="P452" s="493"/>
      <c r="Q452" s="2181"/>
      <c r="R452" s="1987">
        <v>0.4</v>
      </c>
      <c r="S452" s="101"/>
      <c r="T452" s="101"/>
      <c r="U452" s="101"/>
      <c r="V452" s="101"/>
      <c r="W452" s="1969"/>
      <c r="X452" s="1969"/>
      <c r="Y452" s="1969"/>
      <c r="Z452" s="2186"/>
      <c r="AC452" s="69"/>
      <c r="AD452" s="69"/>
      <c r="AE452" s="2461"/>
      <c r="AF452" s="68"/>
      <c r="AG452" s="69"/>
      <c r="AH452" s="69"/>
    </row>
    <row r="453" spans="1:34" ht="30.5" x14ac:dyDescent="0.35">
      <c r="A453" s="1573"/>
      <c r="B453" s="1574" t="s">
        <v>1205</v>
      </c>
      <c r="C453" s="1574"/>
      <c r="D453" s="1575"/>
      <c r="E453" s="1582" t="s">
        <v>850</v>
      </c>
      <c r="F453" s="811"/>
      <c r="G453" s="812"/>
      <c r="H453" s="812"/>
      <c r="I453" s="808"/>
      <c r="J453" s="808"/>
      <c r="K453" s="808"/>
      <c r="L453" s="808"/>
      <c r="M453" s="1190"/>
      <c r="N453" s="808"/>
      <c r="O453" s="820"/>
      <c r="P453" s="808"/>
      <c r="Q453" s="1186"/>
      <c r="R453" s="1182"/>
      <c r="S453" s="809"/>
      <c r="T453" s="810"/>
      <c r="U453" s="810"/>
      <c r="V453" s="810"/>
      <c r="W453" s="809"/>
      <c r="X453" s="810"/>
      <c r="Y453" s="809"/>
      <c r="Z453" s="1739"/>
      <c r="AC453" s="69"/>
      <c r="AD453" s="69"/>
      <c r="AE453" s="2461"/>
      <c r="AF453" s="68"/>
      <c r="AG453" s="69"/>
      <c r="AH453" s="69"/>
    </row>
    <row r="454" spans="1:34" s="69" customFormat="1" ht="30" x14ac:dyDescent="0.35">
      <c r="A454" s="1573">
        <v>229</v>
      </c>
      <c r="B454" s="1574" t="s">
        <v>1205</v>
      </c>
      <c r="C454" s="1574"/>
      <c r="D454" s="2473" t="s">
        <v>6714</v>
      </c>
      <c r="E454" s="817" t="s">
        <v>8106</v>
      </c>
      <c r="F454" s="811">
        <v>4</v>
      </c>
      <c r="G454" s="812">
        <v>5</v>
      </c>
      <c r="H454" s="812">
        <v>6</v>
      </c>
      <c r="I454" s="808">
        <f>J454+K454+L454</f>
        <v>0.53500000000000003</v>
      </c>
      <c r="J454" s="808">
        <f>SUM(M454:R454)</f>
        <v>0.53500000000000003</v>
      </c>
      <c r="K454" s="808"/>
      <c r="L454" s="808"/>
      <c r="M454" s="1190"/>
      <c r="N454" s="808">
        <v>0.53500000000000003</v>
      </c>
      <c r="O454" s="820"/>
      <c r="P454" s="808"/>
      <c r="Q454" s="1186"/>
      <c r="R454" s="1182"/>
      <c r="S454" s="809"/>
      <c r="T454" s="810"/>
      <c r="U454" s="810"/>
      <c r="V454" s="810"/>
      <c r="W454" s="809"/>
      <c r="X454" s="810"/>
      <c r="Y454" s="809"/>
      <c r="Z454" s="1739"/>
      <c r="AA454" s="176"/>
      <c r="AB454" s="176">
        <v>1</v>
      </c>
      <c r="AE454" s="2461"/>
      <c r="AF454" s="68"/>
    </row>
    <row r="455" spans="1:34" ht="30" x14ac:dyDescent="0.35">
      <c r="A455" s="1573">
        <v>230</v>
      </c>
      <c r="B455" s="1574" t="s">
        <v>1205</v>
      </c>
      <c r="C455" s="1574"/>
      <c r="D455" s="2473" t="s">
        <v>6715</v>
      </c>
      <c r="E455" s="817" t="s">
        <v>8107</v>
      </c>
      <c r="F455" s="811"/>
      <c r="G455" s="812"/>
      <c r="H455" s="812" t="s">
        <v>191</v>
      </c>
      <c r="I455" s="808">
        <f>J455+K455+L455</f>
        <v>3.06</v>
      </c>
      <c r="J455" s="808">
        <f>SUM(M455:R455)</f>
        <v>3.06</v>
      </c>
      <c r="K455" s="808"/>
      <c r="L455" s="808"/>
      <c r="M455" s="1190"/>
      <c r="N455" s="808">
        <f>SUM(N456:N457)</f>
        <v>1.5760000000000001</v>
      </c>
      <c r="O455" s="820"/>
      <c r="P455" s="808"/>
      <c r="Q455" s="1186">
        <f>SUM(Q456:Q457)</f>
        <v>1.484</v>
      </c>
      <c r="R455" s="1182"/>
      <c r="S455" s="809">
        <v>1</v>
      </c>
      <c r="T455" s="810">
        <v>9</v>
      </c>
      <c r="U455" s="810"/>
      <c r="V455" s="810"/>
      <c r="W455" s="809">
        <v>5</v>
      </c>
      <c r="X455" s="810">
        <v>70.5</v>
      </c>
      <c r="Y455" s="809"/>
      <c r="Z455" s="1739"/>
      <c r="AB455" s="176">
        <v>1</v>
      </c>
      <c r="AE455" s="2461"/>
      <c r="AF455" s="68"/>
    </row>
    <row r="456" spans="1:34" x14ac:dyDescent="0.35">
      <c r="A456" s="1576"/>
      <c r="B456" s="1574" t="s">
        <v>1205</v>
      </c>
      <c r="C456" s="1574"/>
      <c r="D456" s="1577"/>
      <c r="E456" s="818" t="s">
        <v>114</v>
      </c>
      <c r="F456" s="811">
        <v>5</v>
      </c>
      <c r="G456" s="812">
        <v>5</v>
      </c>
      <c r="H456" s="812">
        <v>6</v>
      </c>
      <c r="I456" s="813"/>
      <c r="J456" s="813"/>
      <c r="K456" s="813"/>
      <c r="L456" s="813"/>
      <c r="M456" s="1191"/>
      <c r="N456" s="813">
        <v>1.5760000000000001</v>
      </c>
      <c r="O456" s="819"/>
      <c r="P456" s="813"/>
      <c r="Q456" s="1187"/>
      <c r="R456" s="1183"/>
      <c r="S456" s="814"/>
      <c r="T456" s="815"/>
      <c r="U456" s="815"/>
      <c r="V456" s="815"/>
      <c r="W456" s="814"/>
      <c r="X456" s="815"/>
      <c r="Y456" s="814"/>
      <c r="Z456" s="1740"/>
      <c r="AE456" s="2461"/>
      <c r="AF456" s="68"/>
    </row>
    <row r="457" spans="1:34" x14ac:dyDescent="0.35">
      <c r="A457" s="1576"/>
      <c r="B457" s="1574" t="s">
        <v>1205</v>
      </c>
      <c r="C457" s="1574"/>
      <c r="D457" s="1577"/>
      <c r="E457" s="1194" t="s">
        <v>115</v>
      </c>
      <c r="F457" s="811" t="s">
        <v>827</v>
      </c>
      <c r="G457" s="812">
        <v>5</v>
      </c>
      <c r="H457" s="812">
        <v>6</v>
      </c>
      <c r="I457" s="813"/>
      <c r="J457" s="813"/>
      <c r="K457" s="813"/>
      <c r="L457" s="813"/>
      <c r="M457" s="1191"/>
      <c r="N457" s="813"/>
      <c r="O457" s="819"/>
      <c r="P457" s="813"/>
      <c r="Q457" s="1187">
        <f>3.06-1.576</f>
        <v>1.484</v>
      </c>
      <c r="R457" s="1183"/>
      <c r="S457" s="814"/>
      <c r="T457" s="815"/>
      <c r="U457" s="815"/>
      <c r="V457" s="815"/>
      <c r="W457" s="814"/>
      <c r="X457" s="815"/>
      <c r="Y457" s="814"/>
      <c r="Z457" s="1740"/>
      <c r="AE457" s="2461"/>
      <c r="AF457" s="68"/>
    </row>
    <row r="458" spans="1:34" ht="30" x14ac:dyDescent="0.35">
      <c r="A458" s="1573">
        <v>231</v>
      </c>
      <c r="B458" s="1574" t="s">
        <v>1205</v>
      </c>
      <c r="C458" s="1574"/>
      <c r="D458" s="2473" t="s">
        <v>6716</v>
      </c>
      <c r="E458" s="817" t="s">
        <v>8108</v>
      </c>
      <c r="F458" s="811">
        <v>5</v>
      </c>
      <c r="G458" s="812">
        <v>5</v>
      </c>
      <c r="H458" s="812">
        <v>6</v>
      </c>
      <c r="I458" s="808">
        <f>J458+K458+L458</f>
        <v>2.0099999999999998</v>
      </c>
      <c r="J458" s="808">
        <f>SUM(M458:R458)</f>
        <v>2.0099999999999998</v>
      </c>
      <c r="K458" s="808"/>
      <c r="L458" s="808"/>
      <c r="M458" s="1190"/>
      <c r="N458" s="808"/>
      <c r="O458" s="820"/>
      <c r="P458" s="808"/>
      <c r="Q458" s="1186">
        <v>2.0099999999999998</v>
      </c>
      <c r="R458" s="1182"/>
      <c r="S458" s="809"/>
      <c r="T458" s="810"/>
      <c r="U458" s="810"/>
      <c r="V458" s="810"/>
      <c r="W458" s="809">
        <v>2</v>
      </c>
      <c r="X458" s="810">
        <v>20.64</v>
      </c>
      <c r="Y458" s="809"/>
      <c r="Z458" s="1739"/>
      <c r="AB458" s="176">
        <v>1</v>
      </c>
      <c r="AC458" s="176" t="s">
        <v>2570</v>
      </c>
      <c r="AE458" s="2461"/>
      <c r="AF458" s="68"/>
    </row>
    <row r="459" spans="1:34" ht="45" x14ac:dyDescent="0.35">
      <c r="A459" s="1573">
        <v>232</v>
      </c>
      <c r="B459" s="1574" t="s">
        <v>1205</v>
      </c>
      <c r="C459" s="1574"/>
      <c r="D459" s="2473" t="s">
        <v>6717</v>
      </c>
      <c r="E459" s="817" t="s">
        <v>10369</v>
      </c>
      <c r="F459" s="811">
        <v>4</v>
      </c>
      <c r="G459" s="812">
        <v>4</v>
      </c>
      <c r="H459" s="812">
        <v>6</v>
      </c>
      <c r="I459" s="808">
        <f>J459+K459+L459</f>
        <v>1.3</v>
      </c>
      <c r="J459" s="808">
        <f>SUM(M459:R459)</f>
        <v>1.3</v>
      </c>
      <c r="K459" s="808"/>
      <c r="L459" s="808"/>
      <c r="M459" s="1190"/>
      <c r="N459" s="808">
        <v>1.3</v>
      </c>
      <c r="O459" s="820"/>
      <c r="P459" s="808"/>
      <c r="Q459" s="1186"/>
      <c r="R459" s="1182"/>
      <c r="S459" s="809"/>
      <c r="T459" s="810"/>
      <c r="U459" s="810"/>
      <c r="V459" s="810"/>
      <c r="W459" s="809"/>
      <c r="X459" s="810"/>
      <c r="Y459" s="809"/>
      <c r="Z459" s="1739"/>
      <c r="AB459" s="176">
        <v>1</v>
      </c>
      <c r="AE459" s="2461"/>
      <c r="AF459" s="68"/>
    </row>
    <row r="460" spans="1:34" ht="46.5" x14ac:dyDescent="0.35">
      <c r="A460" s="1573"/>
      <c r="B460" s="1574" t="s">
        <v>1205</v>
      </c>
      <c r="C460" s="1574"/>
      <c r="D460" s="1575"/>
      <c r="E460" s="1197" t="s">
        <v>10019</v>
      </c>
      <c r="F460" s="811"/>
      <c r="G460" s="812" t="s">
        <v>191</v>
      </c>
      <c r="H460" s="812" t="s">
        <v>191</v>
      </c>
      <c r="I460" s="808"/>
      <c r="J460" s="808"/>
      <c r="K460" s="808"/>
      <c r="L460" s="808"/>
      <c r="M460" s="1190"/>
      <c r="N460" s="808"/>
      <c r="O460" s="820"/>
      <c r="P460" s="808"/>
      <c r="Q460" s="1186"/>
      <c r="R460" s="1182"/>
      <c r="S460" s="809"/>
      <c r="T460" s="810"/>
      <c r="U460" s="810"/>
      <c r="V460" s="810"/>
      <c r="W460" s="809"/>
      <c r="X460" s="810"/>
      <c r="Y460" s="809"/>
      <c r="Z460" s="1739"/>
      <c r="AE460" s="2461"/>
      <c r="AF460" s="68"/>
    </row>
    <row r="461" spans="1:34" ht="75" x14ac:dyDescent="0.35">
      <c r="A461" s="1573">
        <v>233</v>
      </c>
      <c r="B461" s="1574" t="s">
        <v>1205</v>
      </c>
      <c r="C461" s="1052" t="s">
        <v>1655</v>
      </c>
      <c r="D461" s="2473" t="s">
        <v>6718</v>
      </c>
      <c r="E461" s="817" t="s">
        <v>10370</v>
      </c>
      <c r="F461" s="811" t="s">
        <v>1490</v>
      </c>
      <c r="G461" s="812">
        <v>5</v>
      </c>
      <c r="H461" s="812">
        <v>6</v>
      </c>
      <c r="I461" s="808">
        <f>J461+K461+L461</f>
        <v>2.04</v>
      </c>
      <c r="J461" s="808">
        <f>SUM(M461:R461)</f>
        <v>2.04</v>
      </c>
      <c r="K461" s="808"/>
      <c r="L461" s="808"/>
      <c r="M461" s="1190"/>
      <c r="N461" s="808"/>
      <c r="O461" s="820"/>
      <c r="P461" s="808"/>
      <c r="Q461" s="1186">
        <v>2.04</v>
      </c>
      <c r="R461" s="1182"/>
      <c r="S461" s="809"/>
      <c r="T461" s="810"/>
      <c r="U461" s="810"/>
      <c r="V461" s="810"/>
      <c r="W461" s="809"/>
      <c r="X461" s="810"/>
      <c r="Y461" s="809"/>
      <c r="Z461" s="1739"/>
      <c r="AB461" s="176">
        <v>1</v>
      </c>
      <c r="AE461" s="2461"/>
      <c r="AF461" s="68"/>
    </row>
    <row r="462" spans="1:34" ht="45" x14ac:dyDescent="0.35">
      <c r="A462" s="1573">
        <v>234</v>
      </c>
      <c r="B462" s="1574" t="s">
        <v>1205</v>
      </c>
      <c r="C462" s="1574"/>
      <c r="D462" s="2473" t="s">
        <v>6719</v>
      </c>
      <c r="E462" s="817" t="s">
        <v>9160</v>
      </c>
      <c r="F462" s="811"/>
      <c r="G462" s="812" t="s">
        <v>191</v>
      </c>
      <c r="H462" s="812" t="s">
        <v>191</v>
      </c>
      <c r="I462" s="808">
        <f>J462+K462+L462</f>
        <v>2.4</v>
      </c>
      <c r="J462" s="808">
        <f>SUM(M462:R462)</f>
        <v>2.4</v>
      </c>
      <c r="K462" s="808"/>
      <c r="L462" s="808"/>
      <c r="M462" s="1190"/>
      <c r="N462" s="2351">
        <f>SUM(N463:N464)</f>
        <v>0.9</v>
      </c>
      <c r="O462" s="820"/>
      <c r="P462" s="808"/>
      <c r="Q462" s="1186"/>
      <c r="R462" s="1182">
        <f>SUM(R463:R464)</f>
        <v>1.5</v>
      </c>
      <c r="S462" s="809"/>
      <c r="T462" s="810"/>
      <c r="U462" s="810"/>
      <c r="V462" s="810"/>
      <c r="W462" s="809"/>
      <c r="X462" s="810"/>
      <c r="Y462" s="809"/>
      <c r="Z462" s="1739"/>
      <c r="AB462" s="176">
        <v>1</v>
      </c>
      <c r="AE462" s="2461"/>
      <c r="AF462" s="68"/>
    </row>
    <row r="463" spans="1:34" x14ac:dyDescent="0.35">
      <c r="A463" s="1573"/>
      <c r="B463" s="1574" t="s">
        <v>1205</v>
      </c>
      <c r="C463" s="1574"/>
      <c r="D463" s="1575"/>
      <c r="E463" s="1196" t="s">
        <v>282</v>
      </c>
      <c r="F463" s="811">
        <v>5</v>
      </c>
      <c r="G463" s="812">
        <v>5</v>
      </c>
      <c r="H463" s="812">
        <v>6</v>
      </c>
      <c r="I463" s="808"/>
      <c r="J463" s="808"/>
      <c r="K463" s="808"/>
      <c r="L463" s="808"/>
      <c r="M463" s="1190"/>
      <c r="N463" s="2352">
        <v>0.9</v>
      </c>
      <c r="O463" s="819"/>
      <c r="P463" s="813"/>
      <c r="Q463" s="1187"/>
      <c r="R463" s="1183"/>
      <c r="S463" s="809"/>
      <c r="T463" s="810"/>
      <c r="U463" s="810"/>
      <c r="V463" s="810"/>
      <c r="W463" s="809"/>
      <c r="X463" s="810"/>
      <c r="Y463" s="809"/>
      <c r="Z463" s="1739"/>
      <c r="AE463" s="2461"/>
      <c r="AF463" s="68"/>
    </row>
    <row r="464" spans="1:34" x14ac:dyDescent="0.35">
      <c r="A464" s="1573"/>
      <c r="B464" s="1574" t="s">
        <v>1205</v>
      </c>
      <c r="C464" s="1574"/>
      <c r="D464" s="1575"/>
      <c r="E464" s="1193" t="s">
        <v>1204</v>
      </c>
      <c r="F464" s="811">
        <v>5</v>
      </c>
      <c r="G464" s="812">
        <v>5</v>
      </c>
      <c r="H464" s="812">
        <v>6</v>
      </c>
      <c r="I464" s="808"/>
      <c r="J464" s="808"/>
      <c r="K464" s="808"/>
      <c r="L464" s="808"/>
      <c r="M464" s="1190"/>
      <c r="N464" s="808"/>
      <c r="O464" s="819"/>
      <c r="P464" s="813"/>
      <c r="Q464" s="1187"/>
      <c r="R464" s="1183">
        <v>1.5</v>
      </c>
      <c r="S464" s="809"/>
      <c r="T464" s="810"/>
      <c r="U464" s="810"/>
      <c r="V464" s="810"/>
      <c r="W464" s="809"/>
      <c r="X464" s="810"/>
      <c r="Y464" s="809"/>
      <c r="Z464" s="1739"/>
      <c r="AE464" s="2461"/>
      <c r="AF464" s="68"/>
    </row>
    <row r="465" spans="1:32" ht="75" x14ac:dyDescent="0.35">
      <c r="A465" s="441">
        <v>235</v>
      </c>
      <c r="B465" s="1574" t="s">
        <v>1205</v>
      </c>
      <c r="C465" s="358" t="s">
        <v>1656</v>
      </c>
      <c r="D465" s="2473" t="s">
        <v>6720</v>
      </c>
      <c r="E465" s="1845" t="s">
        <v>9161</v>
      </c>
      <c r="F465" s="811" t="s">
        <v>664</v>
      </c>
      <c r="G465" s="2289">
        <v>5</v>
      </c>
      <c r="H465" s="812">
        <v>6</v>
      </c>
      <c r="I465" s="297">
        <f t="shared" ref="I465:I474" si="35">J465+K465+L465</f>
        <v>1.1499999999999999</v>
      </c>
      <c r="J465" s="297">
        <f t="shared" ref="J465:J474" si="36">SUM(M465:R465)</f>
        <v>1.1499999999999999</v>
      </c>
      <c r="K465" s="808"/>
      <c r="L465" s="808"/>
      <c r="M465" s="1190"/>
      <c r="N465" s="808"/>
      <c r="O465" s="820"/>
      <c r="P465" s="808"/>
      <c r="Q465" s="1186"/>
      <c r="R465" s="1182">
        <v>1.1499999999999999</v>
      </c>
      <c r="S465" s="809"/>
      <c r="T465" s="810"/>
      <c r="U465" s="810"/>
      <c r="V465" s="810"/>
      <c r="W465" s="809"/>
      <c r="X465" s="810"/>
      <c r="Y465" s="809"/>
      <c r="Z465" s="810"/>
      <c r="AB465" s="176">
        <v>1</v>
      </c>
      <c r="AE465" s="2461"/>
      <c r="AF465" s="68"/>
    </row>
    <row r="466" spans="1:32" ht="30" x14ac:dyDescent="0.35">
      <c r="A466" s="441">
        <v>236</v>
      </c>
      <c r="B466" s="1574" t="s">
        <v>1205</v>
      </c>
      <c r="C466" s="1574"/>
      <c r="D466" s="2473" t="s">
        <v>6721</v>
      </c>
      <c r="E466" s="817" t="s">
        <v>8109</v>
      </c>
      <c r="F466" s="811"/>
      <c r="G466" s="812" t="s">
        <v>191</v>
      </c>
      <c r="H466" s="812" t="s">
        <v>191</v>
      </c>
      <c r="I466" s="808">
        <f t="shared" si="35"/>
        <v>4</v>
      </c>
      <c r="J466" s="808">
        <f t="shared" si="36"/>
        <v>3.3</v>
      </c>
      <c r="K466" s="808"/>
      <c r="L466" s="808">
        <f>SUM(L467:L468)</f>
        <v>0.7</v>
      </c>
      <c r="M466" s="1190"/>
      <c r="N466" s="808"/>
      <c r="O466" s="820"/>
      <c r="P466" s="808"/>
      <c r="Q466" s="1186"/>
      <c r="R466" s="1182">
        <f>SUM(R467:R468)</f>
        <v>3.3</v>
      </c>
      <c r="S466" s="809"/>
      <c r="T466" s="810"/>
      <c r="U466" s="810"/>
      <c r="V466" s="810"/>
      <c r="W466" s="809"/>
      <c r="X466" s="810"/>
      <c r="Y466" s="809"/>
      <c r="Z466" s="1739"/>
      <c r="AB466" s="176">
        <v>1</v>
      </c>
      <c r="AE466" s="2461"/>
      <c r="AF466" s="68"/>
    </row>
    <row r="467" spans="1:32" ht="31" x14ac:dyDescent="0.35">
      <c r="A467" s="441"/>
      <c r="B467" s="1574"/>
      <c r="C467" s="1574"/>
      <c r="D467" s="2473"/>
      <c r="E467" s="818" t="s">
        <v>10615</v>
      </c>
      <c r="F467" s="811">
        <v>5</v>
      </c>
      <c r="G467" s="812">
        <v>5</v>
      </c>
      <c r="H467" s="812" t="s">
        <v>191</v>
      </c>
      <c r="I467" s="813"/>
      <c r="J467" s="813"/>
      <c r="K467" s="813"/>
      <c r="L467" s="813">
        <v>0.7</v>
      </c>
      <c r="M467" s="1869"/>
      <c r="N467" s="813"/>
      <c r="O467" s="1870"/>
      <c r="P467" s="813"/>
      <c r="Q467" s="1771"/>
      <c r="R467" s="1772"/>
      <c r="S467" s="809"/>
      <c r="T467" s="810"/>
      <c r="U467" s="810"/>
      <c r="V467" s="810"/>
      <c r="W467" s="809"/>
      <c r="X467" s="810"/>
      <c r="Y467" s="809"/>
      <c r="Z467" s="1739"/>
      <c r="AE467" s="2461"/>
      <c r="AF467" s="68"/>
    </row>
    <row r="468" spans="1:32" x14ac:dyDescent="0.35">
      <c r="A468" s="441"/>
      <c r="B468" s="1574"/>
      <c r="C468" s="1574"/>
      <c r="D468" s="2473"/>
      <c r="E468" s="1193" t="s">
        <v>1</v>
      </c>
      <c r="F468" s="811">
        <v>5</v>
      </c>
      <c r="G468" s="812">
        <v>5</v>
      </c>
      <c r="H468" s="812">
        <v>6</v>
      </c>
      <c r="I468" s="813"/>
      <c r="J468" s="813"/>
      <c r="K468" s="813"/>
      <c r="L468" s="813"/>
      <c r="M468" s="1869"/>
      <c r="N468" s="813"/>
      <c r="O468" s="1870"/>
      <c r="P468" s="813"/>
      <c r="Q468" s="1771"/>
      <c r="R468" s="1772">
        <f>4-0.7</f>
        <v>3.3</v>
      </c>
      <c r="S468" s="809"/>
      <c r="T468" s="810"/>
      <c r="U468" s="810"/>
      <c r="V468" s="810"/>
      <c r="W468" s="809"/>
      <c r="X468" s="810"/>
      <c r="Y468" s="809"/>
      <c r="Z468" s="1739"/>
      <c r="AE468" s="2461"/>
      <c r="AF468" s="68"/>
    </row>
    <row r="469" spans="1:32" ht="30" x14ac:dyDescent="0.35">
      <c r="A469" s="441">
        <v>237</v>
      </c>
      <c r="B469" s="1574" t="s">
        <v>1205</v>
      </c>
      <c r="C469" s="1574"/>
      <c r="D469" s="2473" t="s">
        <v>6722</v>
      </c>
      <c r="E469" s="817" t="s">
        <v>8110</v>
      </c>
      <c r="F469" s="811"/>
      <c r="G469" s="812" t="s">
        <v>191</v>
      </c>
      <c r="H469" s="812" t="s">
        <v>191</v>
      </c>
      <c r="I469" s="808">
        <f t="shared" si="35"/>
        <v>1.8049999999999999</v>
      </c>
      <c r="J469" s="808">
        <f t="shared" si="36"/>
        <v>1.8049999999999999</v>
      </c>
      <c r="K469" s="808"/>
      <c r="L469" s="808"/>
      <c r="M469" s="1190"/>
      <c r="N469" s="808"/>
      <c r="O469" s="820"/>
      <c r="P469" s="808"/>
      <c r="Q469" s="1186">
        <f>SUM(Q470:Q471)</f>
        <v>1.8049999999999999</v>
      </c>
      <c r="R469" s="1182"/>
      <c r="S469" s="809"/>
      <c r="T469" s="810"/>
      <c r="U469" s="810"/>
      <c r="V469" s="810"/>
      <c r="W469" s="809">
        <v>2</v>
      </c>
      <c r="X469" s="810">
        <v>20.13</v>
      </c>
      <c r="Y469" s="809"/>
      <c r="Z469" s="1739"/>
      <c r="AB469" s="176">
        <v>1</v>
      </c>
      <c r="AE469" s="2461"/>
      <c r="AF469" s="68"/>
    </row>
    <row r="470" spans="1:32" x14ac:dyDescent="0.35">
      <c r="A470" s="441"/>
      <c r="B470" s="1574" t="s">
        <v>1205</v>
      </c>
      <c r="C470" s="1574"/>
      <c r="D470" s="1575"/>
      <c r="E470" s="1194" t="s">
        <v>3428</v>
      </c>
      <c r="F470" s="811">
        <v>5</v>
      </c>
      <c r="G470" s="812">
        <v>5</v>
      </c>
      <c r="H470" s="812">
        <v>6</v>
      </c>
      <c r="I470" s="813"/>
      <c r="J470" s="813"/>
      <c r="K470" s="813"/>
      <c r="L470" s="813"/>
      <c r="M470" s="1869"/>
      <c r="N470" s="813"/>
      <c r="O470" s="1870"/>
      <c r="P470" s="813"/>
      <c r="Q470" s="1771">
        <v>1.2</v>
      </c>
      <c r="R470" s="1772"/>
      <c r="S470" s="814"/>
      <c r="T470" s="810"/>
      <c r="U470" s="810"/>
      <c r="V470" s="810"/>
      <c r="W470" s="809"/>
      <c r="X470" s="810"/>
      <c r="Y470" s="809"/>
      <c r="Z470" s="1739"/>
      <c r="AE470" s="2461"/>
      <c r="AF470" s="68"/>
    </row>
    <row r="471" spans="1:32" x14ac:dyDescent="0.35">
      <c r="A471" s="441"/>
      <c r="B471" s="1574" t="s">
        <v>1205</v>
      </c>
      <c r="C471" s="1574"/>
      <c r="D471" s="1575"/>
      <c r="E471" s="1194" t="s">
        <v>3528</v>
      </c>
      <c r="F471" s="811" t="s">
        <v>1490</v>
      </c>
      <c r="G471" s="812">
        <v>5</v>
      </c>
      <c r="H471" s="812">
        <v>6</v>
      </c>
      <c r="I471" s="813"/>
      <c r="J471" s="813"/>
      <c r="K471" s="813"/>
      <c r="L471" s="813"/>
      <c r="M471" s="1869"/>
      <c r="N471" s="813"/>
      <c r="O471" s="1870"/>
      <c r="P471" s="813"/>
      <c r="Q471" s="1771">
        <f>1.805-1.2</f>
        <v>0.60499999999999998</v>
      </c>
      <c r="R471" s="1772"/>
      <c r="S471" s="814"/>
      <c r="T471" s="810"/>
      <c r="U471" s="810"/>
      <c r="V471" s="810"/>
      <c r="W471" s="809"/>
      <c r="X471" s="810"/>
      <c r="Y471" s="809"/>
      <c r="Z471" s="1739"/>
      <c r="AE471" s="2461"/>
      <c r="AF471" s="68"/>
    </row>
    <row r="472" spans="1:32" ht="30" x14ac:dyDescent="0.35">
      <c r="A472" s="441">
        <v>238</v>
      </c>
      <c r="B472" s="1574" t="s">
        <v>1205</v>
      </c>
      <c r="C472" s="1574"/>
      <c r="D472" s="2473" t="s">
        <v>6723</v>
      </c>
      <c r="E472" s="817" t="s">
        <v>8111</v>
      </c>
      <c r="F472" s="811" t="s">
        <v>664</v>
      </c>
      <c r="G472" s="812">
        <v>5</v>
      </c>
      <c r="H472" s="812">
        <v>6</v>
      </c>
      <c r="I472" s="808">
        <f t="shared" si="35"/>
        <v>1.6</v>
      </c>
      <c r="J472" s="808">
        <f t="shared" si="36"/>
        <v>1.6</v>
      </c>
      <c r="K472" s="808"/>
      <c r="L472" s="808"/>
      <c r="M472" s="1190"/>
      <c r="N472" s="808"/>
      <c r="O472" s="820"/>
      <c r="P472" s="808"/>
      <c r="Q472" s="1186"/>
      <c r="R472" s="1182">
        <v>1.6</v>
      </c>
      <c r="S472" s="809"/>
      <c r="T472" s="810"/>
      <c r="U472" s="810"/>
      <c r="V472" s="810"/>
      <c r="W472" s="809"/>
      <c r="X472" s="810"/>
      <c r="Y472" s="809"/>
      <c r="Z472" s="1739"/>
      <c r="AA472" s="69"/>
      <c r="AB472" s="176">
        <v>1</v>
      </c>
      <c r="AE472" s="2461"/>
      <c r="AF472" s="68"/>
    </row>
    <row r="473" spans="1:32" ht="45" x14ac:dyDescent="0.35">
      <c r="A473" s="441">
        <v>239</v>
      </c>
      <c r="B473" s="1574" t="s">
        <v>1205</v>
      </c>
      <c r="C473" s="358" t="s">
        <v>1656</v>
      </c>
      <c r="D473" s="2473" t="s">
        <v>6724</v>
      </c>
      <c r="E473" s="1845" t="s">
        <v>9140</v>
      </c>
      <c r="F473" s="811" t="s">
        <v>664</v>
      </c>
      <c r="G473" s="2289">
        <v>5</v>
      </c>
      <c r="H473" s="812">
        <v>6</v>
      </c>
      <c r="I473" s="297">
        <f t="shared" si="35"/>
        <v>0.1</v>
      </c>
      <c r="J473" s="297">
        <f t="shared" si="36"/>
        <v>0.1</v>
      </c>
      <c r="K473" s="808"/>
      <c r="L473" s="808"/>
      <c r="M473" s="1190"/>
      <c r="N473" s="808"/>
      <c r="O473" s="820"/>
      <c r="P473" s="808"/>
      <c r="Q473" s="1186"/>
      <c r="R473" s="1182">
        <v>0.1</v>
      </c>
      <c r="S473" s="809"/>
      <c r="T473" s="810"/>
      <c r="U473" s="810"/>
      <c r="V473" s="810"/>
      <c r="W473" s="809"/>
      <c r="X473" s="810"/>
      <c r="Y473" s="809"/>
      <c r="Z473" s="810"/>
      <c r="AB473" s="176">
        <v>1</v>
      </c>
      <c r="AE473" s="2461"/>
      <c r="AF473" s="68"/>
    </row>
    <row r="474" spans="1:32" ht="30" x14ac:dyDescent="0.35">
      <c r="A474" s="441">
        <v>240</v>
      </c>
      <c r="B474" s="1574" t="s">
        <v>1205</v>
      </c>
      <c r="C474" s="1574"/>
      <c r="D474" s="2473" t="s">
        <v>6725</v>
      </c>
      <c r="E474" s="817" t="s">
        <v>8112</v>
      </c>
      <c r="F474" s="811">
        <v>5</v>
      </c>
      <c r="G474" s="812">
        <v>5</v>
      </c>
      <c r="H474" s="812">
        <v>6</v>
      </c>
      <c r="I474" s="808">
        <f t="shared" si="35"/>
        <v>0.7</v>
      </c>
      <c r="J474" s="808">
        <f t="shared" si="36"/>
        <v>0.7</v>
      </c>
      <c r="K474" s="808"/>
      <c r="L474" s="808"/>
      <c r="M474" s="1190"/>
      <c r="N474" s="808"/>
      <c r="O474" s="820"/>
      <c r="P474" s="808"/>
      <c r="Q474" s="1186">
        <v>0.7</v>
      </c>
      <c r="R474" s="1182"/>
      <c r="S474" s="809"/>
      <c r="T474" s="810"/>
      <c r="U474" s="810"/>
      <c r="V474" s="810"/>
      <c r="W474" s="809"/>
      <c r="X474" s="810"/>
      <c r="Y474" s="809"/>
      <c r="Z474" s="1739"/>
      <c r="AA474" s="69"/>
      <c r="AB474" s="176">
        <v>1</v>
      </c>
      <c r="AE474" s="2461"/>
      <c r="AF474" s="68"/>
    </row>
    <row r="475" spans="1:32" ht="30" x14ac:dyDescent="0.35">
      <c r="A475" s="441">
        <v>241</v>
      </c>
      <c r="B475" s="1574" t="s">
        <v>1205</v>
      </c>
      <c r="C475" s="1574"/>
      <c r="D475" s="2473" t="s">
        <v>6726</v>
      </c>
      <c r="E475" s="817" t="s">
        <v>8113</v>
      </c>
      <c r="F475" s="811"/>
      <c r="G475" s="812" t="s">
        <v>191</v>
      </c>
      <c r="H475" s="812" t="s">
        <v>191</v>
      </c>
      <c r="I475" s="808">
        <f>J475+K475+L475</f>
        <v>2.681</v>
      </c>
      <c r="J475" s="808">
        <f>SUM(M475:R475)</f>
        <v>2.681</v>
      </c>
      <c r="K475" s="808"/>
      <c r="L475" s="808"/>
      <c r="M475" s="1190"/>
      <c r="N475" s="808"/>
      <c r="O475" s="820"/>
      <c r="P475" s="808"/>
      <c r="Q475" s="1186">
        <f>SUM(Q476:Q477)</f>
        <v>1.8009999999999999</v>
      </c>
      <c r="R475" s="1182">
        <f>SUM(R476:R477)</f>
        <v>0.88000000000000012</v>
      </c>
      <c r="S475" s="809">
        <v>1</v>
      </c>
      <c r="T475" s="810">
        <v>27.612400000000001</v>
      </c>
      <c r="U475" s="810"/>
      <c r="V475" s="810"/>
      <c r="W475" s="809">
        <v>5</v>
      </c>
      <c r="X475" s="810">
        <v>46.63</v>
      </c>
      <c r="Y475" s="809">
        <v>1</v>
      </c>
      <c r="Z475" s="1739">
        <v>10</v>
      </c>
      <c r="AA475" s="69"/>
      <c r="AB475" s="176">
        <v>1</v>
      </c>
      <c r="AE475" s="2461"/>
      <c r="AF475" s="68"/>
    </row>
    <row r="476" spans="1:32" x14ac:dyDescent="0.35">
      <c r="A476" s="1576"/>
      <c r="B476" s="1574" t="s">
        <v>1205</v>
      </c>
      <c r="C476" s="1574"/>
      <c r="D476" s="1577"/>
      <c r="E476" s="1194" t="s">
        <v>364</v>
      </c>
      <c r="F476" s="811">
        <v>5</v>
      </c>
      <c r="G476" s="812">
        <v>5</v>
      </c>
      <c r="H476" s="812">
        <v>6</v>
      </c>
      <c r="I476" s="813"/>
      <c r="J476" s="813"/>
      <c r="K476" s="813"/>
      <c r="L476" s="813"/>
      <c r="M476" s="1191"/>
      <c r="N476" s="813"/>
      <c r="O476" s="819"/>
      <c r="P476" s="813"/>
      <c r="Q476" s="1187">
        <v>1.8009999999999999</v>
      </c>
      <c r="R476" s="1183"/>
      <c r="S476" s="814"/>
      <c r="T476" s="815"/>
      <c r="U476" s="815"/>
      <c r="V476" s="815"/>
      <c r="W476" s="814"/>
      <c r="X476" s="815"/>
      <c r="Y476" s="814"/>
      <c r="Z476" s="1740"/>
      <c r="AA476" s="69"/>
      <c r="AB476" s="69"/>
      <c r="AE476" s="2461"/>
      <c r="AF476" s="68"/>
    </row>
    <row r="477" spans="1:32" x14ac:dyDescent="0.35">
      <c r="A477" s="1576"/>
      <c r="B477" s="1574" t="s">
        <v>1205</v>
      </c>
      <c r="C477" s="1574"/>
      <c r="D477" s="1577"/>
      <c r="E477" s="1193" t="s">
        <v>6988</v>
      </c>
      <c r="F477" s="811" t="s">
        <v>664</v>
      </c>
      <c r="G477" s="812">
        <v>5</v>
      </c>
      <c r="H477" s="812">
        <v>6</v>
      </c>
      <c r="I477" s="813"/>
      <c r="J477" s="813"/>
      <c r="K477" s="813"/>
      <c r="L477" s="813"/>
      <c r="M477" s="1191"/>
      <c r="N477" s="813"/>
      <c r="O477" s="819"/>
      <c r="P477" s="813"/>
      <c r="Q477" s="1187"/>
      <c r="R477" s="1183">
        <f>2.681-1.801</f>
        <v>0.88000000000000012</v>
      </c>
      <c r="S477" s="814"/>
      <c r="T477" s="815"/>
      <c r="U477" s="815"/>
      <c r="V477" s="815"/>
      <c r="W477" s="814"/>
      <c r="X477" s="815"/>
      <c r="Y477" s="814"/>
      <c r="Z477" s="1740"/>
      <c r="AA477" s="69"/>
      <c r="AB477" s="69"/>
      <c r="AE477" s="2461"/>
      <c r="AF477" s="68"/>
    </row>
    <row r="478" spans="1:32" ht="45" x14ac:dyDescent="0.35">
      <c r="A478" s="1573">
        <v>242</v>
      </c>
      <c r="B478" s="1574" t="s">
        <v>1205</v>
      </c>
      <c r="C478" s="1574"/>
      <c r="D478" s="2473" t="s">
        <v>6989</v>
      </c>
      <c r="E478" s="817" t="s">
        <v>8114</v>
      </c>
      <c r="F478" s="811" t="s">
        <v>664</v>
      </c>
      <c r="G478" s="812">
        <v>5</v>
      </c>
      <c r="H478" s="812">
        <v>6</v>
      </c>
      <c r="I478" s="808">
        <f>J478+K478+L478</f>
        <v>0.78900000000000003</v>
      </c>
      <c r="J478" s="808">
        <f>SUM(M478:R478)</f>
        <v>0.78900000000000003</v>
      </c>
      <c r="K478" s="808"/>
      <c r="L478" s="808"/>
      <c r="M478" s="1190"/>
      <c r="N478" s="808"/>
      <c r="O478" s="820"/>
      <c r="P478" s="808"/>
      <c r="Q478" s="1186"/>
      <c r="R478" s="1182">
        <v>0.78900000000000003</v>
      </c>
      <c r="S478" s="809"/>
      <c r="T478" s="810"/>
      <c r="U478" s="810"/>
      <c r="V478" s="810"/>
      <c r="W478" s="809"/>
      <c r="X478" s="810"/>
      <c r="Y478" s="809"/>
      <c r="Z478" s="1739"/>
      <c r="AA478" s="69"/>
      <c r="AB478" s="176">
        <v>1</v>
      </c>
      <c r="AE478" s="2461"/>
      <c r="AF478" s="68"/>
    </row>
    <row r="479" spans="1:32" ht="45" x14ac:dyDescent="0.35">
      <c r="A479" s="1573">
        <v>243</v>
      </c>
      <c r="B479" s="1574" t="s">
        <v>1205</v>
      </c>
      <c r="C479" s="1574"/>
      <c r="D479" s="2473" t="s">
        <v>6990</v>
      </c>
      <c r="E479" s="817" t="s">
        <v>8115</v>
      </c>
      <c r="F479" s="811" t="s">
        <v>664</v>
      </c>
      <c r="G479" s="812">
        <v>5</v>
      </c>
      <c r="H479" s="812">
        <v>6</v>
      </c>
      <c r="I479" s="808">
        <f>J479+K479+L479</f>
        <v>0.54</v>
      </c>
      <c r="J479" s="808">
        <f>SUM(M479:R479)</f>
        <v>0.54</v>
      </c>
      <c r="K479" s="808"/>
      <c r="L479" s="808"/>
      <c r="M479" s="1190"/>
      <c r="N479" s="808"/>
      <c r="O479" s="820"/>
      <c r="P479" s="808"/>
      <c r="Q479" s="1186"/>
      <c r="R479" s="1182">
        <v>0.54</v>
      </c>
      <c r="S479" s="809"/>
      <c r="T479" s="810"/>
      <c r="U479" s="810"/>
      <c r="V479" s="810"/>
      <c r="W479" s="809"/>
      <c r="X479" s="810"/>
      <c r="Y479" s="809"/>
      <c r="Z479" s="1739"/>
      <c r="AA479" s="69"/>
      <c r="AB479" s="176">
        <v>1</v>
      </c>
      <c r="AE479" s="2461"/>
      <c r="AF479" s="68"/>
    </row>
    <row r="480" spans="1:32" ht="45" x14ac:dyDescent="0.35">
      <c r="A480" s="1573">
        <v>244</v>
      </c>
      <c r="B480" s="1574" t="s">
        <v>1205</v>
      </c>
      <c r="C480" s="1574"/>
      <c r="D480" s="2473" t="s">
        <v>6727</v>
      </c>
      <c r="E480" s="817" t="s">
        <v>8116</v>
      </c>
      <c r="F480" s="811" t="s">
        <v>827</v>
      </c>
      <c r="G480" s="812">
        <v>5</v>
      </c>
      <c r="H480" s="812">
        <v>6</v>
      </c>
      <c r="I480" s="808">
        <f t="shared" ref="I480:I499" si="37">J480+K480+L480</f>
        <v>2.7639999999999998</v>
      </c>
      <c r="J480" s="808">
        <f t="shared" ref="J480:J499" si="38">SUM(M480:R480)</f>
        <v>2.7639999999999998</v>
      </c>
      <c r="K480" s="808"/>
      <c r="L480" s="808"/>
      <c r="M480" s="1190"/>
      <c r="N480" s="808"/>
      <c r="O480" s="820"/>
      <c r="P480" s="808"/>
      <c r="Q480" s="1186"/>
      <c r="R480" s="1182">
        <v>2.7639999999999998</v>
      </c>
      <c r="S480" s="809"/>
      <c r="T480" s="810"/>
      <c r="U480" s="810"/>
      <c r="V480" s="810"/>
      <c r="W480" s="809">
        <v>4</v>
      </c>
      <c r="X480" s="810">
        <v>30.59</v>
      </c>
      <c r="Y480" s="809"/>
      <c r="Z480" s="1739"/>
      <c r="AA480" s="69"/>
      <c r="AB480" s="176">
        <v>1</v>
      </c>
      <c r="AC480" s="176" t="s">
        <v>2570</v>
      </c>
      <c r="AE480" s="2461"/>
      <c r="AF480" s="68"/>
    </row>
    <row r="481" spans="1:32" ht="30" x14ac:dyDescent="0.35">
      <c r="A481" s="1573">
        <v>245</v>
      </c>
      <c r="B481" s="1575" t="s">
        <v>1205</v>
      </c>
      <c r="C481" s="1575"/>
      <c r="D481" s="2473" t="s">
        <v>6728</v>
      </c>
      <c r="E481" s="817" t="s">
        <v>10371</v>
      </c>
      <c r="F481" s="811">
        <v>5</v>
      </c>
      <c r="G481" s="812">
        <v>5</v>
      </c>
      <c r="H481" s="812">
        <v>6</v>
      </c>
      <c r="I481" s="808">
        <f t="shared" si="37"/>
        <v>1.8</v>
      </c>
      <c r="J481" s="808">
        <f t="shared" si="38"/>
        <v>1.8</v>
      </c>
      <c r="K481" s="808"/>
      <c r="L481" s="808"/>
      <c r="M481" s="1190"/>
      <c r="N481" s="808">
        <v>1.8</v>
      </c>
      <c r="O481" s="820"/>
      <c r="P481" s="808"/>
      <c r="Q481" s="1186"/>
      <c r="R481" s="1182"/>
      <c r="S481" s="809">
        <v>1</v>
      </c>
      <c r="T481" s="810">
        <v>27.6</v>
      </c>
      <c r="U481" s="810"/>
      <c r="V481" s="810"/>
      <c r="W481" s="809">
        <v>1</v>
      </c>
      <c r="X481" s="810">
        <v>15</v>
      </c>
      <c r="Y481" s="809"/>
      <c r="Z481" s="810"/>
      <c r="AA481" s="69"/>
      <c r="AB481" s="176">
        <v>1</v>
      </c>
      <c r="AE481" s="2461"/>
      <c r="AF481" s="68"/>
    </row>
    <row r="482" spans="1:32" ht="45" x14ac:dyDescent="0.35">
      <c r="A482" s="1573">
        <v>246</v>
      </c>
      <c r="B482" s="1575" t="s">
        <v>1205</v>
      </c>
      <c r="C482" s="1575"/>
      <c r="D482" s="2473" t="s">
        <v>6729</v>
      </c>
      <c r="E482" s="817" t="s">
        <v>9162</v>
      </c>
      <c r="F482" s="811"/>
      <c r="G482" s="812" t="s">
        <v>191</v>
      </c>
      <c r="H482" s="812" t="s">
        <v>191</v>
      </c>
      <c r="I482" s="808">
        <f t="shared" si="37"/>
        <v>2.2160000000000002</v>
      </c>
      <c r="J482" s="808">
        <f t="shared" si="38"/>
        <v>2.2160000000000002</v>
      </c>
      <c r="K482" s="808"/>
      <c r="L482" s="808"/>
      <c r="M482" s="1190"/>
      <c r="N482" s="808">
        <f>SUM(N483:N485)</f>
        <v>3.6999999999999998E-2</v>
      </c>
      <c r="O482" s="820"/>
      <c r="P482" s="808"/>
      <c r="Q482" s="1186">
        <f>SUM(Q483:Q485)</f>
        <v>2.1790000000000003</v>
      </c>
      <c r="R482" s="1182"/>
      <c r="S482" s="809"/>
      <c r="T482" s="810"/>
      <c r="U482" s="810"/>
      <c r="V482" s="810"/>
      <c r="W482" s="809">
        <v>2</v>
      </c>
      <c r="X482" s="810">
        <v>22.03</v>
      </c>
      <c r="Y482" s="809"/>
      <c r="Z482" s="810"/>
      <c r="AA482" s="69"/>
      <c r="AB482" s="176">
        <v>1</v>
      </c>
      <c r="AE482" s="2461"/>
      <c r="AF482" s="68"/>
    </row>
    <row r="483" spans="1:32" x14ac:dyDescent="0.35">
      <c r="A483" s="1574"/>
      <c r="B483" s="1575" t="s">
        <v>1205</v>
      </c>
      <c r="C483" s="1575"/>
      <c r="D483" s="1575"/>
      <c r="E483" s="818" t="s">
        <v>3499</v>
      </c>
      <c r="F483" s="811">
        <v>5</v>
      </c>
      <c r="G483" s="812">
        <v>5</v>
      </c>
      <c r="H483" s="812">
        <v>6</v>
      </c>
      <c r="I483" s="808"/>
      <c r="J483" s="808"/>
      <c r="K483" s="808"/>
      <c r="L483" s="808"/>
      <c r="M483" s="1190"/>
      <c r="N483" s="813">
        <v>3.6999999999999998E-2</v>
      </c>
      <c r="O483" s="820"/>
      <c r="P483" s="808"/>
      <c r="Q483" s="1186"/>
      <c r="R483" s="1182"/>
      <c r="S483" s="809"/>
      <c r="T483" s="810"/>
      <c r="U483" s="810"/>
      <c r="V483" s="810"/>
      <c r="W483" s="809"/>
      <c r="X483" s="810"/>
      <c r="Y483" s="809"/>
      <c r="Z483" s="810"/>
      <c r="AA483" s="69"/>
      <c r="AE483" s="2461"/>
      <c r="AF483" s="68"/>
    </row>
    <row r="484" spans="1:32" x14ac:dyDescent="0.35">
      <c r="A484" s="1574"/>
      <c r="B484" s="1575" t="s">
        <v>1205</v>
      </c>
      <c r="C484" s="1575"/>
      <c r="D484" s="1575"/>
      <c r="E484" s="1194" t="s">
        <v>3500</v>
      </c>
      <c r="F484" s="811">
        <v>5</v>
      </c>
      <c r="G484" s="812">
        <v>5</v>
      </c>
      <c r="H484" s="812">
        <v>6</v>
      </c>
      <c r="I484" s="813"/>
      <c r="J484" s="813"/>
      <c r="K484" s="813"/>
      <c r="L484" s="813"/>
      <c r="M484" s="1869"/>
      <c r="N484" s="813"/>
      <c r="O484" s="1870"/>
      <c r="P484" s="813"/>
      <c r="Q484" s="1771">
        <f>1.505-0.037</f>
        <v>1.468</v>
      </c>
      <c r="R484" s="1182"/>
      <c r="S484" s="809"/>
      <c r="T484" s="810"/>
      <c r="U484" s="810"/>
      <c r="V484" s="810"/>
      <c r="W484" s="809"/>
      <c r="X484" s="810"/>
      <c r="Y484" s="809"/>
      <c r="Z484" s="810"/>
      <c r="AA484" s="69"/>
      <c r="AE484" s="2461"/>
      <c r="AF484" s="68"/>
    </row>
    <row r="485" spans="1:32" x14ac:dyDescent="0.35">
      <c r="A485" s="1574"/>
      <c r="B485" s="1575" t="s">
        <v>1205</v>
      </c>
      <c r="C485" s="1575"/>
      <c r="D485" s="1575"/>
      <c r="E485" s="1194" t="s">
        <v>3498</v>
      </c>
      <c r="F485" s="811" t="s">
        <v>827</v>
      </c>
      <c r="G485" s="812">
        <v>5</v>
      </c>
      <c r="H485" s="812">
        <v>6</v>
      </c>
      <c r="I485" s="813"/>
      <c r="J485" s="813"/>
      <c r="K485" s="813"/>
      <c r="L485" s="813"/>
      <c r="M485" s="1869"/>
      <c r="N485" s="813"/>
      <c r="O485" s="1870"/>
      <c r="P485" s="813"/>
      <c r="Q485" s="1771">
        <f>2.216-1.505</f>
        <v>0.7110000000000003</v>
      </c>
      <c r="R485" s="1182"/>
      <c r="S485" s="809"/>
      <c r="T485" s="810"/>
      <c r="U485" s="810"/>
      <c r="V485" s="810"/>
      <c r="W485" s="809"/>
      <c r="X485" s="810"/>
      <c r="Y485" s="809"/>
      <c r="Z485" s="810"/>
      <c r="AA485" s="69"/>
      <c r="AE485" s="2461"/>
      <c r="AF485" s="68"/>
    </row>
    <row r="486" spans="1:32" ht="30" x14ac:dyDescent="0.35">
      <c r="A486" s="1575">
        <v>247</v>
      </c>
      <c r="B486" s="1575" t="s">
        <v>1205</v>
      </c>
      <c r="C486" s="1575"/>
      <c r="D486" s="2473" t="s">
        <v>6730</v>
      </c>
      <c r="E486" s="817" t="s">
        <v>8117</v>
      </c>
      <c r="F486" s="811"/>
      <c r="G486" s="812" t="s">
        <v>191</v>
      </c>
      <c r="H486" s="812" t="s">
        <v>191</v>
      </c>
      <c r="I486" s="808">
        <f t="shared" si="37"/>
        <v>0.92600000000000005</v>
      </c>
      <c r="J486" s="808">
        <f t="shared" si="38"/>
        <v>0.92600000000000005</v>
      </c>
      <c r="K486" s="808"/>
      <c r="L486" s="808"/>
      <c r="M486" s="1190"/>
      <c r="N486" s="808"/>
      <c r="O486" s="820"/>
      <c r="P486" s="808"/>
      <c r="Q486" s="1186">
        <f>SUM(Q487:Q488)</f>
        <v>0.5</v>
      </c>
      <c r="R486" s="1182">
        <f>SUM(R487:R488)</f>
        <v>0.42600000000000005</v>
      </c>
      <c r="S486" s="809"/>
      <c r="T486" s="810"/>
      <c r="U486" s="810"/>
      <c r="V486" s="810"/>
      <c r="W486" s="809">
        <v>1</v>
      </c>
      <c r="X486" s="810">
        <v>15.02</v>
      </c>
      <c r="Y486" s="809"/>
      <c r="Z486" s="810"/>
      <c r="AA486" s="69"/>
      <c r="AB486" s="176">
        <v>1</v>
      </c>
      <c r="AE486" s="2461"/>
      <c r="AF486" s="68"/>
    </row>
    <row r="487" spans="1:32" x14ac:dyDescent="0.35">
      <c r="A487" s="1574"/>
      <c r="B487" s="1575" t="s">
        <v>1205</v>
      </c>
      <c r="C487" s="1574"/>
      <c r="D487" s="1575"/>
      <c r="E487" s="1194" t="s">
        <v>2490</v>
      </c>
      <c r="F487" s="811" t="s">
        <v>827</v>
      </c>
      <c r="G487" s="812">
        <v>5</v>
      </c>
      <c r="H487" s="812">
        <v>6</v>
      </c>
      <c r="I487" s="813"/>
      <c r="J487" s="813"/>
      <c r="K487" s="813"/>
      <c r="L487" s="813"/>
      <c r="M487" s="1869"/>
      <c r="N487" s="813"/>
      <c r="O487" s="1870"/>
      <c r="P487" s="813"/>
      <c r="Q487" s="1771">
        <v>0.5</v>
      </c>
      <c r="R487" s="1772"/>
      <c r="S487" s="809"/>
      <c r="T487" s="810"/>
      <c r="U487" s="810"/>
      <c r="V487" s="810"/>
      <c r="W487" s="809"/>
      <c r="X487" s="810"/>
      <c r="Y487" s="809"/>
      <c r="Z487" s="810"/>
      <c r="AA487" s="69"/>
      <c r="AE487" s="2461"/>
      <c r="AF487" s="68"/>
    </row>
    <row r="488" spans="1:32" x14ac:dyDescent="0.35">
      <c r="A488" s="1574"/>
      <c r="B488" s="1575" t="s">
        <v>1205</v>
      </c>
      <c r="C488" s="1574"/>
      <c r="D488" s="1575"/>
      <c r="E488" s="1193" t="s">
        <v>3527</v>
      </c>
      <c r="F488" s="811" t="s">
        <v>827</v>
      </c>
      <c r="G488" s="812">
        <v>5</v>
      </c>
      <c r="H488" s="812">
        <v>6</v>
      </c>
      <c r="I488" s="813"/>
      <c r="J488" s="813"/>
      <c r="K488" s="813"/>
      <c r="L488" s="813"/>
      <c r="M488" s="1869"/>
      <c r="N488" s="813"/>
      <c r="O488" s="1870"/>
      <c r="P488" s="813"/>
      <c r="Q488" s="1771"/>
      <c r="R488" s="1772">
        <f>0.926-0.5</f>
        <v>0.42600000000000005</v>
      </c>
      <c r="S488" s="809"/>
      <c r="T488" s="810"/>
      <c r="U488" s="810"/>
      <c r="V488" s="810"/>
      <c r="W488" s="809"/>
      <c r="X488" s="810"/>
      <c r="Y488" s="809"/>
      <c r="Z488" s="810"/>
      <c r="AA488" s="69"/>
      <c r="AE488" s="2461"/>
      <c r="AF488" s="68"/>
    </row>
    <row r="489" spans="1:32" ht="45" x14ac:dyDescent="0.35">
      <c r="A489" s="1573">
        <v>248</v>
      </c>
      <c r="B489" s="1575" t="s">
        <v>1205</v>
      </c>
      <c r="C489" s="1052" t="s">
        <v>1655</v>
      </c>
      <c r="D489" s="2473" t="s">
        <v>6731</v>
      </c>
      <c r="E489" s="817" t="s">
        <v>7355</v>
      </c>
      <c r="F489" s="811" t="s">
        <v>1490</v>
      </c>
      <c r="G489" s="812">
        <v>5</v>
      </c>
      <c r="H489" s="812">
        <v>6</v>
      </c>
      <c r="I489" s="808">
        <f t="shared" si="37"/>
        <v>0.6</v>
      </c>
      <c r="J489" s="808">
        <f t="shared" si="38"/>
        <v>0.6</v>
      </c>
      <c r="K489" s="808"/>
      <c r="L489" s="808"/>
      <c r="M489" s="1190"/>
      <c r="N489" s="808"/>
      <c r="O489" s="820"/>
      <c r="P489" s="808"/>
      <c r="Q489" s="1186"/>
      <c r="R489" s="1182">
        <v>0.6</v>
      </c>
      <c r="S489" s="809"/>
      <c r="T489" s="810"/>
      <c r="U489" s="810"/>
      <c r="V489" s="810"/>
      <c r="W489" s="809"/>
      <c r="X489" s="810"/>
      <c r="Y489" s="809"/>
      <c r="Z489" s="810"/>
      <c r="AB489" s="176">
        <v>1</v>
      </c>
      <c r="AE489" s="2461"/>
      <c r="AF489" s="68"/>
    </row>
    <row r="490" spans="1:32" ht="90" x14ac:dyDescent="0.35">
      <c r="A490" s="1575">
        <v>249</v>
      </c>
      <c r="B490" s="1574" t="s">
        <v>1205</v>
      </c>
      <c r="C490" s="1052" t="s">
        <v>1655</v>
      </c>
      <c r="D490" s="2473" t="s">
        <v>6732</v>
      </c>
      <c r="E490" s="817" t="s">
        <v>8118</v>
      </c>
      <c r="F490" s="811" t="s">
        <v>664</v>
      </c>
      <c r="G490" s="812">
        <v>5</v>
      </c>
      <c r="H490" s="812">
        <v>6</v>
      </c>
      <c r="I490" s="808">
        <f t="shared" si="37"/>
        <v>1.5</v>
      </c>
      <c r="J490" s="808">
        <f t="shared" si="38"/>
        <v>1.5</v>
      </c>
      <c r="K490" s="808"/>
      <c r="L490" s="808"/>
      <c r="M490" s="1190"/>
      <c r="N490" s="808"/>
      <c r="O490" s="820"/>
      <c r="P490" s="808"/>
      <c r="Q490" s="1186"/>
      <c r="R490" s="1182">
        <v>1.5</v>
      </c>
      <c r="S490" s="809"/>
      <c r="T490" s="810"/>
      <c r="U490" s="810"/>
      <c r="V490" s="810"/>
      <c r="W490" s="809"/>
      <c r="X490" s="810"/>
      <c r="Y490" s="809"/>
      <c r="Z490" s="1739"/>
      <c r="AB490" s="176">
        <v>1</v>
      </c>
      <c r="AE490" s="2461"/>
      <c r="AF490" s="68"/>
    </row>
    <row r="491" spans="1:32" ht="60" x14ac:dyDescent="0.35">
      <c r="A491" s="1573">
        <v>250</v>
      </c>
      <c r="B491" s="1575" t="s">
        <v>1205</v>
      </c>
      <c r="C491" s="1052" t="s">
        <v>1655</v>
      </c>
      <c r="D491" s="2473" t="s">
        <v>6733</v>
      </c>
      <c r="E491" s="817" t="s">
        <v>7356</v>
      </c>
      <c r="F491" s="811"/>
      <c r="G491" s="812" t="s">
        <v>191</v>
      </c>
      <c r="H491" s="812" t="s">
        <v>191</v>
      </c>
      <c r="I491" s="808">
        <f t="shared" si="37"/>
        <v>2.5099999999999998</v>
      </c>
      <c r="J491" s="808">
        <f t="shared" si="38"/>
        <v>2.5099999999999998</v>
      </c>
      <c r="K491" s="808"/>
      <c r="L491" s="808"/>
      <c r="M491" s="1190"/>
      <c r="N491" s="808">
        <f>SUM(N492:N493)</f>
        <v>1.627</v>
      </c>
      <c r="O491" s="820"/>
      <c r="P491" s="808"/>
      <c r="Q491" s="1186">
        <f>SUM(Q492:Q493)</f>
        <v>0.88299999999999979</v>
      </c>
      <c r="R491" s="1182"/>
      <c r="S491" s="809"/>
      <c r="T491" s="810"/>
      <c r="U491" s="810"/>
      <c r="V491" s="810"/>
      <c r="W491" s="809">
        <v>2</v>
      </c>
      <c r="X491" s="810">
        <v>14</v>
      </c>
      <c r="Y491" s="809"/>
      <c r="Z491" s="810"/>
      <c r="AB491" s="176">
        <v>1</v>
      </c>
      <c r="AE491" s="2461"/>
      <c r="AF491" s="68"/>
    </row>
    <row r="492" spans="1:32" x14ac:dyDescent="0.35">
      <c r="A492" s="1574"/>
      <c r="B492" s="1575" t="s">
        <v>1205</v>
      </c>
      <c r="C492" s="1574"/>
      <c r="D492" s="1575"/>
      <c r="E492" s="818" t="s">
        <v>2253</v>
      </c>
      <c r="F492" s="811" t="s">
        <v>827</v>
      </c>
      <c r="G492" s="812">
        <v>5</v>
      </c>
      <c r="H492" s="812">
        <v>6</v>
      </c>
      <c r="I492" s="813"/>
      <c r="J492" s="813"/>
      <c r="K492" s="813"/>
      <c r="L492" s="813"/>
      <c r="M492" s="1869"/>
      <c r="N492" s="813">
        <v>1.627</v>
      </c>
      <c r="O492" s="1870"/>
      <c r="P492" s="813"/>
      <c r="Q492" s="1771"/>
      <c r="R492" s="1772"/>
      <c r="S492" s="809"/>
      <c r="T492" s="810"/>
      <c r="U492" s="810"/>
      <c r="V492" s="810"/>
      <c r="W492" s="809"/>
      <c r="X492" s="810"/>
      <c r="Y492" s="809"/>
      <c r="Z492" s="810"/>
      <c r="AE492" s="2461"/>
      <c r="AF492" s="68"/>
    </row>
    <row r="493" spans="1:32" x14ac:dyDescent="0.35">
      <c r="A493" s="1574"/>
      <c r="B493" s="1575" t="s">
        <v>1205</v>
      </c>
      <c r="C493" s="1574"/>
      <c r="D493" s="1575"/>
      <c r="E493" s="1194" t="s">
        <v>2254</v>
      </c>
      <c r="F493" s="811" t="s">
        <v>1490</v>
      </c>
      <c r="G493" s="812">
        <v>5</v>
      </c>
      <c r="H493" s="812">
        <v>6</v>
      </c>
      <c r="I493" s="813"/>
      <c r="J493" s="813"/>
      <c r="K493" s="813"/>
      <c r="L493" s="813"/>
      <c r="M493" s="1869"/>
      <c r="N493" s="813"/>
      <c r="O493" s="1870"/>
      <c r="P493" s="813"/>
      <c r="Q493" s="1771">
        <f>2.51-1.627</f>
        <v>0.88299999999999979</v>
      </c>
      <c r="R493" s="1772"/>
      <c r="S493" s="809"/>
      <c r="T493" s="810"/>
      <c r="U493" s="810"/>
      <c r="V493" s="810"/>
      <c r="W493" s="809"/>
      <c r="X493" s="810"/>
      <c r="Y493" s="809"/>
      <c r="Z493" s="810"/>
      <c r="AE493" s="2461"/>
      <c r="AF493" s="68"/>
    </row>
    <row r="494" spans="1:32" ht="30" x14ac:dyDescent="0.35">
      <c r="A494" s="1575">
        <v>251</v>
      </c>
      <c r="B494" s="1575" t="s">
        <v>1205</v>
      </c>
      <c r="C494" s="1575"/>
      <c r="D494" s="2473" t="s">
        <v>6734</v>
      </c>
      <c r="E494" s="817" t="s">
        <v>9205</v>
      </c>
      <c r="F494" s="811"/>
      <c r="G494" s="812" t="s">
        <v>191</v>
      </c>
      <c r="H494" s="812" t="s">
        <v>191</v>
      </c>
      <c r="I494" s="808">
        <f>J494+K494+L494</f>
        <v>1.788</v>
      </c>
      <c r="J494" s="808">
        <f>SUM(M494:R494)</f>
        <v>1.788</v>
      </c>
      <c r="K494" s="808"/>
      <c r="L494" s="808"/>
      <c r="M494" s="1190"/>
      <c r="N494" s="2708">
        <f>SUM(N495:N496)</f>
        <v>1.788</v>
      </c>
      <c r="O494" s="820"/>
      <c r="P494" s="808"/>
      <c r="Q494" s="2958">
        <f>SUM(Q495:Q496)</f>
        <v>0</v>
      </c>
      <c r="R494" s="1182"/>
      <c r="S494" s="809"/>
      <c r="T494" s="810"/>
      <c r="U494" s="810"/>
      <c r="V494" s="810"/>
      <c r="W494" s="2978">
        <f>7+1</f>
        <v>8</v>
      </c>
      <c r="X494" s="2979">
        <f>57.56+7</f>
        <v>64.56</v>
      </c>
      <c r="Y494" s="2978">
        <f>3+1</f>
        <v>4</v>
      </c>
      <c r="Z494" s="2979">
        <f>20+7</f>
        <v>27</v>
      </c>
      <c r="AB494" s="176">
        <v>1</v>
      </c>
      <c r="AE494" s="2461"/>
      <c r="AF494" s="68"/>
    </row>
    <row r="495" spans="1:32" x14ac:dyDescent="0.35">
      <c r="A495" s="1574"/>
      <c r="B495" s="1575" t="s">
        <v>1205</v>
      </c>
      <c r="C495" s="1574"/>
      <c r="D495" s="1575"/>
      <c r="E495" s="818" t="s">
        <v>2255</v>
      </c>
      <c r="F495" s="811">
        <v>4</v>
      </c>
      <c r="G495" s="812">
        <v>5</v>
      </c>
      <c r="H495" s="812">
        <v>6</v>
      </c>
      <c r="I495" s="813"/>
      <c r="J495" s="813"/>
      <c r="K495" s="813"/>
      <c r="L495" s="813"/>
      <c r="M495" s="1869"/>
      <c r="N495" s="813">
        <v>1.9E-2</v>
      </c>
      <c r="O495" s="1870"/>
      <c r="P495" s="813"/>
      <c r="Q495" s="1771"/>
      <c r="R495" s="1772"/>
      <c r="S495" s="809"/>
      <c r="T495" s="810"/>
      <c r="U495" s="810"/>
      <c r="V495" s="810"/>
      <c r="W495" s="809"/>
      <c r="X495" s="810"/>
      <c r="Y495" s="809"/>
      <c r="Z495" s="810"/>
      <c r="AE495" s="2461"/>
      <c r="AF495" s="68"/>
    </row>
    <row r="496" spans="1:32" x14ac:dyDescent="0.35">
      <c r="A496" s="1574"/>
      <c r="B496" s="1575" t="s">
        <v>1205</v>
      </c>
      <c r="C496" s="1574"/>
      <c r="D496" s="1575"/>
      <c r="E496" s="2957" t="s">
        <v>2256</v>
      </c>
      <c r="F496" s="811" t="s">
        <v>1490</v>
      </c>
      <c r="G496" s="812">
        <v>5</v>
      </c>
      <c r="H496" s="812">
        <v>6</v>
      </c>
      <c r="I496" s="813"/>
      <c r="J496" s="813"/>
      <c r="K496" s="813"/>
      <c r="L496" s="813"/>
      <c r="M496" s="1869"/>
      <c r="N496" s="2849">
        <f>1.788-0.019</f>
        <v>1.7690000000000001</v>
      </c>
      <c r="O496" s="1870"/>
      <c r="P496" s="813"/>
      <c r="Q496" s="2849">
        <v>0</v>
      </c>
      <c r="R496" s="1772"/>
      <c r="S496" s="809"/>
      <c r="T496" s="810"/>
      <c r="U496" s="810"/>
      <c r="V496" s="810"/>
      <c r="W496" s="809"/>
      <c r="X496" s="810"/>
      <c r="Y496" s="809"/>
      <c r="Z496" s="810"/>
      <c r="AE496" s="2461"/>
      <c r="AF496" s="68"/>
    </row>
    <row r="497" spans="1:32" ht="45" x14ac:dyDescent="0.35">
      <c r="A497" s="1573">
        <v>252</v>
      </c>
      <c r="B497" s="1575" t="s">
        <v>1205</v>
      </c>
      <c r="C497" s="1052" t="s">
        <v>1656</v>
      </c>
      <c r="D497" s="2473" t="s">
        <v>6735</v>
      </c>
      <c r="E497" s="821" t="s">
        <v>9309</v>
      </c>
      <c r="F497" s="811" t="s">
        <v>827</v>
      </c>
      <c r="G497" s="812">
        <v>5</v>
      </c>
      <c r="H497" s="812">
        <v>6</v>
      </c>
      <c r="I497" s="808">
        <f t="shared" si="37"/>
        <v>0.4</v>
      </c>
      <c r="J497" s="808">
        <f t="shared" si="38"/>
        <v>0.4</v>
      </c>
      <c r="K497" s="808"/>
      <c r="L497" s="808"/>
      <c r="M497" s="1190"/>
      <c r="N497" s="808"/>
      <c r="O497" s="820"/>
      <c r="P497" s="808"/>
      <c r="Q497" s="1186"/>
      <c r="R497" s="1182">
        <v>0.4</v>
      </c>
      <c r="S497" s="809"/>
      <c r="T497" s="810"/>
      <c r="U497" s="810"/>
      <c r="V497" s="810"/>
      <c r="W497" s="809"/>
      <c r="X497" s="810"/>
      <c r="Y497" s="809"/>
      <c r="Z497" s="810"/>
      <c r="AB497" s="176">
        <v>1</v>
      </c>
      <c r="AE497" s="2461"/>
      <c r="AF497" s="68"/>
    </row>
    <row r="498" spans="1:32" ht="30" x14ac:dyDescent="0.35">
      <c r="A498" s="1575">
        <v>253</v>
      </c>
      <c r="B498" s="1575" t="s">
        <v>1205</v>
      </c>
      <c r="C498" s="1575"/>
      <c r="D498" s="2473" t="s">
        <v>6736</v>
      </c>
      <c r="E498" s="821" t="s">
        <v>8119</v>
      </c>
      <c r="F498" s="811" t="s">
        <v>664</v>
      </c>
      <c r="G498" s="812">
        <v>5</v>
      </c>
      <c r="H498" s="812">
        <v>6</v>
      </c>
      <c r="I498" s="808">
        <f t="shared" si="37"/>
        <v>1.5</v>
      </c>
      <c r="J498" s="808">
        <f t="shared" si="38"/>
        <v>1.5</v>
      </c>
      <c r="K498" s="808"/>
      <c r="L498" s="808"/>
      <c r="M498" s="1190"/>
      <c r="N498" s="808"/>
      <c r="O498" s="820"/>
      <c r="P498" s="808"/>
      <c r="Q498" s="1186"/>
      <c r="R498" s="1182">
        <v>1.5</v>
      </c>
      <c r="S498" s="809"/>
      <c r="T498" s="810"/>
      <c r="U498" s="810"/>
      <c r="V498" s="810"/>
      <c r="W498" s="809"/>
      <c r="X498" s="810"/>
      <c r="Y498" s="809"/>
      <c r="Z498" s="810"/>
      <c r="AB498" s="176">
        <v>1</v>
      </c>
      <c r="AE498" s="2461"/>
      <c r="AF498" s="68"/>
    </row>
    <row r="499" spans="1:32" ht="30" x14ac:dyDescent="0.35">
      <c r="A499" s="1573">
        <v>254</v>
      </c>
      <c r="B499" s="1575" t="s">
        <v>1205</v>
      </c>
      <c r="C499" s="1575"/>
      <c r="D499" s="2473" t="s">
        <v>6737</v>
      </c>
      <c r="E499" s="817" t="s">
        <v>8120</v>
      </c>
      <c r="F499" s="811"/>
      <c r="G499" s="812" t="s">
        <v>191</v>
      </c>
      <c r="H499" s="812" t="s">
        <v>191</v>
      </c>
      <c r="I499" s="808">
        <f t="shared" si="37"/>
        <v>6.7539999999999996</v>
      </c>
      <c r="J499" s="808">
        <f t="shared" si="38"/>
        <v>6.7539999999999996</v>
      </c>
      <c r="K499" s="808"/>
      <c r="L499" s="808"/>
      <c r="M499" s="1190"/>
      <c r="N499" s="808">
        <f>SUM(N500:N501)</f>
        <v>5.9</v>
      </c>
      <c r="O499" s="820"/>
      <c r="P499" s="808"/>
      <c r="Q499" s="1186"/>
      <c r="R499" s="1182">
        <f>SUM(R500:R501)</f>
        <v>0.8539999999999992</v>
      </c>
      <c r="S499" s="809"/>
      <c r="T499" s="810"/>
      <c r="U499" s="810"/>
      <c r="V499" s="810"/>
      <c r="W499" s="809">
        <v>21</v>
      </c>
      <c r="X499" s="810">
        <v>284.64</v>
      </c>
      <c r="Y499" s="809">
        <v>8</v>
      </c>
      <c r="Z499" s="810">
        <v>85</v>
      </c>
      <c r="AB499" s="176">
        <v>1</v>
      </c>
      <c r="AE499" s="2461"/>
      <c r="AF499" s="68"/>
    </row>
    <row r="500" spans="1:32" x14ac:dyDescent="0.35">
      <c r="A500" s="1575"/>
      <c r="B500" s="1575" t="s">
        <v>1205</v>
      </c>
      <c r="C500" s="1575"/>
      <c r="D500" s="1575"/>
      <c r="E500" s="818" t="s">
        <v>2349</v>
      </c>
      <c r="F500" s="811">
        <v>4</v>
      </c>
      <c r="G500" s="812">
        <v>4</v>
      </c>
      <c r="H500" s="812">
        <v>6</v>
      </c>
      <c r="I500" s="813"/>
      <c r="J500" s="813"/>
      <c r="K500" s="813"/>
      <c r="L500" s="813"/>
      <c r="M500" s="1869"/>
      <c r="N500" s="813">
        <v>5.9</v>
      </c>
      <c r="O500" s="1870"/>
      <c r="P500" s="813"/>
      <c r="Q500" s="1771"/>
      <c r="R500" s="1772"/>
      <c r="S500" s="809"/>
      <c r="T500" s="810"/>
      <c r="U500" s="810"/>
      <c r="V500" s="810"/>
      <c r="W500" s="809"/>
      <c r="X500" s="810"/>
      <c r="Y500" s="809"/>
      <c r="Z500" s="810"/>
      <c r="AE500" s="2461"/>
      <c r="AF500" s="68"/>
    </row>
    <row r="501" spans="1:32" x14ac:dyDescent="0.35">
      <c r="A501" s="1575"/>
      <c r="B501" s="1575" t="s">
        <v>1205</v>
      </c>
      <c r="C501" s="1575"/>
      <c r="D501" s="1575"/>
      <c r="E501" s="1871" t="s">
        <v>336</v>
      </c>
      <c r="F501" s="811" t="s">
        <v>1490</v>
      </c>
      <c r="G501" s="812">
        <v>4</v>
      </c>
      <c r="H501" s="812">
        <v>6</v>
      </c>
      <c r="I501" s="813"/>
      <c r="J501" s="813"/>
      <c r="K501" s="813"/>
      <c r="L501" s="813"/>
      <c r="M501" s="1869"/>
      <c r="N501" s="813"/>
      <c r="O501" s="1870"/>
      <c r="P501" s="813"/>
      <c r="Q501" s="1771"/>
      <c r="R501" s="1772">
        <f>6.754-5.9</f>
        <v>0.8539999999999992</v>
      </c>
      <c r="S501" s="809"/>
      <c r="T501" s="810"/>
      <c r="U501" s="810"/>
      <c r="V501" s="810"/>
      <c r="W501" s="809"/>
      <c r="X501" s="810"/>
      <c r="Y501" s="809"/>
      <c r="Z501" s="810"/>
      <c r="AE501" s="2461"/>
      <c r="AF501" s="68"/>
    </row>
    <row r="502" spans="1:32" ht="45" x14ac:dyDescent="0.35">
      <c r="A502" s="1575">
        <v>255</v>
      </c>
      <c r="B502" s="1575" t="s">
        <v>1205</v>
      </c>
      <c r="C502" s="1575"/>
      <c r="D502" s="2473" t="s">
        <v>6738</v>
      </c>
      <c r="E502" s="817" t="s">
        <v>8121</v>
      </c>
      <c r="F502" s="811"/>
      <c r="G502" s="812" t="s">
        <v>191</v>
      </c>
      <c r="H502" s="812" t="s">
        <v>191</v>
      </c>
      <c r="I502" s="808">
        <f>J502+K502+L502</f>
        <v>3.6669999999999998</v>
      </c>
      <c r="J502" s="808">
        <f>SUM(M502:R502)</f>
        <v>3.6669999999999998</v>
      </c>
      <c r="K502" s="808"/>
      <c r="L502" s="808"/>
      <c r="M502" s="1190"/>
      <c r="N502" s="808"/>
      <c r="O502" s="820"/>
      <c r="P502" s="808"/>
      <c r="Q502" s="1186">
        <f>SUM(Q503:Q505)</f>
        <v>3.5</v>
      </c>
      <c r="R502" s="1182">
        <f>SUM(R503:R505)</f>
        <v>0.16699999999999982</v>
      </c>
      <c r="S502" s="809"/>
      <c r="T502" s="810"/>
      <c r="U502" s="810"/>
      <c r="V502" s="810"/>
      <c r="W502" s="809">
        <v>7</v>
      </c>
      <c r="X502" s="810">
        <v>110.75</v>
      </c>
      <c r="Y502" s="809"/>
      <c r="Z502" s="810"/>
      <c r="AB502" s="176">
        <v>1</v>
      </c>
      <c r="AE502" s="2461"/>
      <c r="AF502" s="68"/>
    </row>
    <row r="503" spans="1:32" x14ac:dyDescent="0.35">
      <c r="A503" s="1577"/>
      <c r="B503" s="1575" t="s">
        <v>1205</v>
      </c>
      <c r="C503" s="1575"/>
      <c r="D503" s="1577"/>
      <c r="E503" s="1194" t="s">
        <v>3495</v>
      </c>
      <c r="F503" s="811">
        <v>5</v>
      </c>
      <c r="G503" s="812">
        <v>5</v>
      </c>
      <c r="H503" s="812">
        <v>6</v>
      </c>
      <c r="I503" s="813"/>
      <c r="J503" s="813"/>
      <c r="K503" s="813"/>
      <c r="L503" s="813"/>
      <c r="M503" s="1191"/>
      <c r="N503" s="813"/>
      <c r="O503" s="819"/>
      <c r="P503" s="813"/>
      <c r="Q503" s="1187">
        <v>2.673</v>
      </c>
      <c r="R503" s="1183"/>
      <c r="S503" s="814"/>
      <c r="T503" s="815"/>
      <c r="U503" s="815"/>
      <c r="V503" s="815"/>
      <c r="W503" s="814"/>
      <c r="X503" s="815"/>
      <c r="Y503" s="814"/>
      <c r="Z503" s="815"/>
      <c r="AE503" s="2461"/>
      <c r="AF503" s="68"/>
    </row>
    <row r="504" spans="1:32" x14ac:dyDescent="0.35">
      <c r="A504" s="1577"/>
      <c r="B504" s="1575" t="s">
        <v>1205</v>
      </c>
      <c r="C504" s="1575"/>
      <c r="D504" s="1577"/>
      <c r="E504" s="1194" t="s">
        <v>3496</v>
      </c>
      <c r="F504" s="811" t="s">
        <v>827</v>
      </c>
      <c r="G504" s="812">
        <v>5</v>
      </c>
      <c r="H504" s="812">
        <v>6</v>
      </c>
      <c r="I504" s="813"/>
      <c r="J504" s="813"/>
      <c r="K504" s="813"/>
      <c r="L504" s="813"/>
      <c r="M504" s="1191"/>
      <c r="N504" s="813"/>
      <c r="O504" s="819"/>
      <c r="P504" s="813"/>
      <c r="Q504" s="1187">
        <f>3.5-2.673</f>
        <v>0.82699999999999996</v>
      </c>
      <c r="R504" s="1183"/>
      <c r="S504" s="814"/>
      <c r="T504" s="815"/>
      <c r="U504" s="815"/>
      <c r="V504" s="815"/>
      <c r="W504" s="814"/>
      <c r="X504" s="815"/>
      <c r="Y504" s="814"/>
      <c r="Z504" s="815"/>
      <c r="AE504" s="2461"/>
      <c r="AF504" s="68"/>
    </row>
    <row r="505" spans="1:32" x14ac:dyDescent="0.35">
      <c r="A505" s="1577"/>
      <c r="B505" s="1575" t="s">
        <v>1205</v>
      </c>
      <c r="C505" s="1575"/>
      <c r="D505" s="1577"/>
      <c r="E505" s="1193" t="s">
        <v>3497</v>
      </c>
      <c r="F505" s="811" t="s">
        <v>827</v>
      </c>
      <c r="G505" s="812">
        <v>5</v>
      </c>
      <c r="H505" s="812">
        <v>6</v>
      </c>
      <c r="I505" s="813"/>
      <c r="J505" s="813"/>
      <c r="K505" s="813"/>
      <c r="L505" s="813"/>
      <c r="M505" s="1191"/>
      <c r="N505" s="813"/>
      <c r="O505" s="819"/>
      <c r="P505" s="813"/>
      <c r="Q505" s="1187"/>
      <c r="R505" s="1183">
        <f>3.667-3.5</f>
        <v>0.16699999999999982</v>
      </c>
      <c r="S505" s="814"/>
      <c r="T505" s="815"/>
      <c r="U505" s="815"/>
      <c r="V505" s="815"/>
      <c r="W505" s="814"/>
      <c r="X505" s="815"/>
      <c r="Y505" s="814"/>
      <c r="Z505" s="815"/>
      <c r="AE505" s="2461"/>
      <c r="AF505" s="68"/>
    </row>
    <row r="506" spans="1:32" ht="60" x14ac:dyDescent="0.35">
      <c r="A506" s="441">
        <v>256</v>
      </c>
      <c r="B506" s="1574" t="s">
        <v>1205</v>
      </c>
      <c r="C506" s="1024" t="s">
        <v>1656</v>
      </c>
      <c r="D506" s="2473" t="s">
        <v>6739</v>
      </c>
      <c r="E506" s="1845" t="s">
        <v>9141</v>
      </c>
      <c r="F506" s="811" t="s">
        <v>664</v>
      </c>
      <c r="G506" s="2289">
        <v>5</v>
      </c>
      <c r="H506" s="812">
        <v>6</v>
      </c>
      <c r="I506" s="297">
        <f t="shared" ref="I506:I514" si="39">J506+K506+L506</f>
        <v>0.8</v>
      </c>
      <c r="J506" s="297">
        <f t="shared" ref="J506:J514" si="40">SUM(M506:R506)</f>
        <v>0.8</v>
      </c>
      <c r="K506" s="808"/>
      <c r="L506" s="808"/>
      <c r="M506" s="1190"/>
      <c r="N506" s="808"/>
      <c r="O506" s="820"/>
      <c r="P506" s="808"/>
      <c r="Q506" s="1186"/>
      <c r="R506" s="1182">
        <v>0.8</v>
      </c>
      <c r="S506" s="809"/>
      <c r="T506" s="810"/>
      <c r="U506" s="810"/>
      <c r="V506" s="810"/>
      <c r="W506" s="809"/>
      <c r="X506" s="810"/>
      <c r="Y506" s="809"/>
      <c r="Z506" s="810"/>
      <c r="AB506" s="176">
        <v>1</v>
      </c>
      <c r="AE506" s="2461"/>
      <c r="AF506" s="68"/>
    </row>
    <row r="507" spans="1:32" ht="60" x14ac:dyDescent="0.35">
      <c r="A507" s="441">
        <v>257</v>
      </c>
      <c r="B507" s="1574" t="s">
        <v>1205</v>
      </c>
      <c r="C507" s="1024" t="s">
        <v>1656</v>
      </c>
      <c r="D507" s="2473" t="s">
        <v>6740</v>
      </c>
      <c r="E507" s="1845" t="s">
        <v>9142</v>
      </c>
      <c r="F507" s="811" t="s">
        <v>664</v>
      </c>
      <c r="G507" s="2289">
        <v>5</v>
      </c>
      <c r="H507" s="812">
        <v>6</v>
      </c>
      <c r="I507" s="297">
        <f t="shared" si="39"/>
        <v>0.2</v>
      </c>
      <c r="J507" s="297">
        <f t="shared" si="40"/>
        <v>0.2</v>
      </c>
      <c r="K507" s="808"/>
      <c r="L507" s="808"/>
      <c r="M507" s="1190"/>
      <c r="N507" s="808"/>
      <c r="O507" s="820"/>
      <c r="P507" s="808"/>
      <c r="Q507" s="1186"/>
      <c r="R507" s="1182">
        <v>0.2</v>
      </c>
      <c r="S507" s="809"/>
      <c r="T507" s="810"/>
      <c r="U507" s="810"/>
      <c r="V507" s="810"/>
      <c r="W507" s="809"/>
      <c r="X507" s="810"/>
      <c r="Y507" s="809"/>
      <c r="Z507" s="810"/>
      <c r="AB507" s="176">
        <v>1</v>
      </c>
      <c r="AE507" s="2461"/>
      <c r="AF507" s="68"/>
    </row>
    <row r="508" spans="1:32" ht="45" x14ac:dyDescent="0.35">
      <c r="A508" s="441">
        <v>258</v>
      </c>
      <c r="B508" s="1575" t="s">
        <v>1205</v>
      </c>
      <c r="C508" s="1575"/>
      <c r="D508" s="2473" t="s">
        <v>6741</v>
      </c>
      <c r="E508" s="817" t="s">
        <v>8122</v>
      </c>
      <c r="F508" s="811" t="s">
        <v>664</v>
      </c>
      <c r="G508" s="812">
        <v>5</v>
      </c>
      <c r="H508" s="812">
        <v>6</v>
      </c>
      <c r="I508" s="808">
        <f t="shared" si="39"/>
        <v>2.2999999999999998</v>
      </c>
      <c r="J508" s="808">
        <f t="shared" si="40"/>
        <v>2.2999999999999998</v>
      </c>
      <c r="K508" s="808"/>
      <c r="L508" s="808"/>
      <c r="M508" s="1190"/>
      <c r="N508" s="808"/>
      <c r="O508" s="820"/>
      <c r="P508" s="808"/>
      <c r="Q508" s="1186"/>
      <c r="R508" s="1182">
        <v>2.2999999999999998</v>
      </c>
      <c r="S508" s="809"/>
      <c r="T508" s="810"/>
      <c r="U508" s="810"/>
      <c r="V508" s="810"/>
      <c r="W508" s="809"/>
      <c r="X508" s="810"/>
      <c r="Y508" s="809"/>
      <c r="Z508" s="810"/>
      <c r="AB508" s="176">
        <v>1</v>
      </c>
      <c r="AE508" s="2461"/>
      <c r="AF508" s="68"/>
    </row>
    <row r="509" spans="1:32" ht="45" x14ac:dyDescent="0.35">
      <c r="A509" s="441">
        <v>259</v>
      </c>
      <c r="B509" s="1575" t="s">
        <v>1205</v>
      </c>
      <c r="C509" s="358" t="s">
        <v>1656</v>
      </c>
      <c r="D509" s="2473" t="s">
        <v>6742</v>
      </c>
      <c r="E509" s="1845" t="s">
        <v>9143</v>
      </c>
      <c r="F509" s="811" t="s">
        <v>664</v>
      </c>
      <c r="G509" s="2289">
        <v>5</v>
      </c>
      <c r="H509" s="812">
        <v>6</v>
      </c>
      <c r="I509" s="297">
        <f t="shared" si="39"/>
        <v>0.1</v>
      </c>
      <c r="J509" s="297">
        <f t="shared" si="40"/>
        <v>0.1</v>
      </c>
      <c r="K509" s="808"/>
      <c r="L509" s="808"/>
      <c r="M509" s="1190"/>
      <c r="N509" s="808"/>
      <c r="O509" s="820"/>
      <c r="P509" s="808"/>
      <c r="Q509" s="1186"/>
      <c r="R509" s="1182">
        <v>0.1</v>
      </c>
      <c r="S509" s="809"/>
      <c r="T509" s="810"/>
      <c r="U509" s="810"/>
      <c r="V509" s="810"/>
      <c r="W509" s="809"/>
      <c r="X509" s="810"/>
      <c r="Y509" s="809"/>
      <c r="Z509" s="810"/>
      <c r="AB509" s="176">
        <v>1</v>
      </c>
      <c r="AE509" s="2461"/>
      <c r="AF509" s="68"/>
    </row>
    <row r="510" spans="1:32" ht="60" x14ac:dyDescent="0.35">
      <c r="A510" s="441">
        <v>260</v>
      </c>
      <c r="B510" s="1575" t="s">
        <v>1205</v>
      </c>
      <c r="C510" s="1575"/>
      <c r="D510" s="2473" t="s">
        <v>6743</v>
      </c>
      <c r="E510" s="821" t="s">
        <v>8123</v>
      </c>
      <c r="F510" s="811">
        <v>5</v>
      </c>
      <c r="G510" s="812">
        <v>5</v>
      </c>
      <c r="H510" s="812">
        <v>6</v>
      </c>
      <c r="I510" s="808">
        <f t="shared" si="39"/>
        <v>0.3</v>
      </c>
      <c r="J510" s="808">
        <f t="shared" si="40"/>
        <v>0.3</v>
      </c>
      <c r="K510" s="808"/>
      <c r="L510" s="808"/>
      <c r="M510" s="1190"/>
      <c r="N510" s="808">
        <v>0.3</v>
      </c>
      <c r="O510" s="820"/>
      <c r="P510" s="808"/>
      <c r="Q510" s="1186"/>
      <c r="R510" s="1182"/>
      <c r="S510" s="809"/>
      <c r="T510" s="810"/>
      <c r="U510" s="810"/>
      <c r="V510" s="810"/>
      <c r="W510" s="809">
        <v>1</v>
      </c>
      <c r="X510" s="810">
        <v>10</v>
      </c>
      <c r="Y510" s="809"/>
      <c r="Z510" s="810"/>
      <c r="AB510" s="176">
        <v>1</v>
      </c>
      <c r="AE510" s="2461"/>
      <c r="AF510" s="68"/>
    </row>
    <row r="511" spans="1:32" ht="30" x14ac:dyDescent="0.35">
      <c r="A511" s="441">
        <v>261</v>
      </c>
      <c r="B511" s="1575" t="s">
        <v>1205</v>
      </c>
      <c r="C511" s="358" t="s">
        <v>1656</v>
      </c>
      <c r="D511" s="2473" t="s">
        <v>6744</v>
      </c>
      <c r="E511" s="1845" t="s">
        <v>9144</v>
      </c>
      <c r="F511" s="811" t="s">
        <v>664</v>
      </c>
      <c r="G511" s="2289">
        <v>5</v>
      </c>
      <c r="H511" s="812">
        <v>6</v>
      </c>
      <c r="I511" s="297">
        <f t="shared" si="39"/>
        <v>0.3</v>
      </c>
      <c r="J511" s="297">
        <f t="shared" si="40"/>
        <v>0.3</v>
      </c>
      <c r="K511" s="808"/>
      <c r="L511" s="808"/>
      <c r="M511" s="1190"/>
      <c r="N511" s="808"/>
      <c r="O511" s="820"/>
      <c r="P511" s="808"/>
      <c r="Q511" s="1186"/>
      <c r="R511" s="1182">
        <v>0.3</v>
      </c>
      <c r="S511" s="809"/>
      <c r="T511" s="810"/>
      <c r="U511" s="810"/>
      <c r="V511" s="810"/>
      <c r="W511" s="809"/>
      <c r="X511" s="810"/>
      <c r="Y511" s="809"/>
      <c r="Z511" s="810"/>
      <c r="AB511" s="176">
        <v>1</v>
      </c>
      <c r="AE511" s="2461"/>
      <c r="AF511" s="68"/>
    </row>
    <row r="512" spans="1:32" ht="30" x14ac:dyDescent="0.35">
      <c r="A512" s="441">
        <v>262</v>
      </c>
      <c r="B512" s="1575" t="s">
        <v>1205</v>
      </c>
      <c r="C512" s="1575"/>
      <c r="D512" s="2473" t="s">
        <v>6745</v>
      </c>
      <c r="E512" s="1845" t="s">
        <v>8124</v>
      </c>
      <c r="F512" s="811" t="s">
        <v>664</v>
      </c>
      <c r="G512" s="2289">
        <v>5</v>
      </c>
      <c r="H512" s="812">
        <v>6</v>
      </c>
      <c r="I512" s="297">
        <f t="shared" si="39"/>
        <v>1.2</v>
      </c>
      <c r="J512" s="297">
        <f t="shared" si="40"/>
        <v>1.2</v>
      </c>
      <c r="K512" s="808"/>
      <c r="L512" s="808"/>
      <c r="M512" s="1190"/>
      <c r="N512" s="808"/>
      <c r="O512" s="820"/>
      <c r="P512" s="808"/>
      <c r="Q512" s="1186"/>
      <c r="R512" s="1182">
        <v>1.2</v>
      </c>
      <c r="S512" s="809"/>
      <c r="T512" s="810"/>
      <c r="U512" s="810"/>
      <c r="V512" s="810"/>
      <c r="W512" s="809"/>
      <c r="X512" s="810"/>
      <c r="Y512" s="809"/>
      <c r="Z512" s="810"/>
      <c r="AB512" s="176">
        <v>1</v>
      </c>
      <c r="AE512" s="2461"/>
      <c r="AF512" s="68"/>
    </row>
    <row r="513" spans="1:32" ht="30" x14ac:dyDescent="0.35">
      <c r="A513" s="441">
        <v>263</v>
      </c>
      <c r="B513" s="1574" t="s">
        <v>1205</v>
      </c>
      <c r="C513" s="358" t="s">
        <v>1656</v>
      </c>
      <c r="D513" s="2473" t="s">
        <v>6746</v>
      </c>
      <c r="E513" s="1845" t="s">
        <v>9145</v>
      </c>
      <c r="F513" s="811" t="s">
        <v>827</v>
      </c>
      <c r="G513" s="2289">
        <v>5</v>
      </c>
      <c r="H513" s="812">
        <v>6</v>
      </c>
      <c r="I513" s="297">
        <f t="shared" si="39"/>
        <v>1.5</v>
      </c>
      <c r="J513" s="297">
        <f t="shared" si="40"/>
        <v>1.5</v>
      </c>
      <c r="K513" s="808"/>
      <c r="L513" s="808"/>
      <c r="M513" s="1190"/>
      <c r="N513" s="808"/>
      <c r="O513" s="820"/>
      <c r="P513" s="808"/>
      <c r="Q513" s="1186"/>
      <c r="R513" s="1182">
        <v>1.5</v>
      </c>
      <c r="S513" s="809"/>
      <c r="T513" s="810"/>
      <c r="U513" s="810"/>
      <c r="V513" s="810"/>
      <c r="W513" s="809"/>
      <c r="X513" s="810"/>
      <c r="Y513" s="809"/>
      <c r="Z513" s="810"/>
      <c r="AB513" s="176">
        <v>1</v>
      </c>
      <c r="AE513" s="2461"/>
      <c r="AF513" s="68"/>
    </row>
    <row r="514" spans="1:32" ht="45" x14ac:dyDescent="0.35">
      <c r="A514" s="441">
        <v>264</v>
      </c>
      <c r="B514" s="1052" t="s">
        <v>1205</v>
      </c>
      <c r="C514" s="358" t="s">
        <v>1656</v>
      </c>
      <c r="D514" s="2473" t="s">
        <v>6747</v>
      </c>
      <c r="E514" s="2187" t="s">
        <v>9146</v>
      </c>
      <c r="F514" s="811" t="s">
        <v>664</v>
      </c>
      <c r="G514" s="2289">
        <v>5</v>
      </c>
      <c r="H514" s="812">
        <v>6</v>
      </c>
      <c r="I514" s="297">
        <f t="shared" si="39"/>
        <v>0.27</v>
      </c>
      <c r="J514" s="297">
        <f t="shared" si="40"/>
        <v>0.27</v>
      </c>
      <c r="K514" s="808"/>
      <c r="L514" s="808"/>
      <c r="M514" s="1190"/>
      <c r="N514" s="808"/>
      <c r="O514" s="820"/>
      <c r="P514" s="808"/>
      <c r="Q514" s="1186"/>
      <c r="R514" s="1182">
        <v>0.27</v>
      </c>
      <c r="S514" s="809"/>
      <c r="T514" s="810"/>
      <c r="U514" s="810"/>
      <c r="V514" s="810"/>
      <c r="W514" s="809"/>
      <c r="X514" s="810"/>
      <c r="Y514" s="809"/>
      <c r="Z514" s="810"/>
      <c r="AB514" s="176">
        <v>1</v>
      </c>
      <c r="AE514" s="2461"/>
      <c r="AF514" s="68"/>
    </row>
    <row r="515" spans="1:32" ht="30" x14ac:dyDescent="0.35">
      <c r="A515" s="2435">
        <v>265</v>
      </c>
      <c r="B515" s="1052"/>
      <c r="C515" s="358"/>
      <c r="D515" s="2473" t="s">
        <v>11144</v>
      </c>
      <c r="E515" s="2187" t="s">
        <v>11148</v>
      </c>
      <c r="F515" s="811"/>
      <c r="G515" s="812" t="s">
        <v>191</v>
      </c>
      <c r="H515" s="812" t="s">
        <v>191</v>
      </c>
      <c r="I515" s="486">
        <f t="shared" ref="I515" si="41">J515+K515+L515</f>
        <v>1.6990000000000001</v>
      </c>
      <c r="J515" s="486">
        <f t="shared" ref="J515" si="42">SUM(M515:R515)</f>
        <v>0.24500000000000011</v>
      </c>
      <c r="K515" s="808"/>
      <c r="L515" s="808">
        <f>SUM(L516:L517)</f>
        <v>1.454</v>
      </c>
      <c r="M515" s="808"/>
      <c r="N515" s="808">
        <f>SUM(N516:N517)</f>
        <v>0.24500000000000011</v>
      </c>
      <c r="O515" s="808"/>
      <c r="P515" s="808"/>
      <c r="Q515" s="808"/>
      <c r="R515" s="808"/>
      <c r="S515" s="809"/>
      <c r="T515" s="810"/>
      <c r="U515" s="810"/>
      <c r="V515" s="810"/>
      <c r="W515" s="809"/>
      <c r="X515" s="810"/>
      <c r="Y515" s="809"/>
      <c r="Z515" s="810"/>
      <c r="AB515" s="176">
        <v>1</v>
      </c>
      <c r="AE515" s="2461"/>
      <c r="AF515" s="68"/>
    </row>
    <row r="516" spans="1:32" x14ac:dyDescent="0.35">
      <c r="A516" s="2435"/>
      <c r="B516" s="1052"/>
      <c r="C516" s="358"/>
      <c r="D516" s="2473"/>
      <c r="E516" s="816" t="s">
        <v>11146</v>
      </c>
      <c r="F516" s="811">
        <v>5</v>
      </c>
      <c r="G516" s="2289">
        <v>5</v>
      </c>
      <c r="H516" s="812" t="s">
        <v>191</v>
      </c>
      <c r="I516" s="487"/>
      <c r="J516" s="487"/>
      <c r="K516" s="813"/>
      <c r="L516" s="813">
        <v>1.454</v>
      </c>
      <c r="M516" s="813"/>
      <c r="N516" s="813"/>
      <c r="O516" s="813"/>
      <c r="P516" s="813"/>
      <c r="Q516" s="813"/>
      <c r="R516" s="813"/>
      <c r="S516" s="814"/>
      <c r="T516" s="815"/>
      <c r="U516" s="815"/>
      <c r="V516" s="815"/>
      <c r="W516" s="814"/>
      <c r="X516" s="815"/>
      <c r="Y516" s="814"/>
      <c r="Z516" s="815"/>
      <c r="AE516" s="2461"/>
      <c r="AF516" s="68"/>
    </row>
    <row r="517" spans="1:32" x14ac:dyDescent="0.35">
      <c r="A517" s="2435"/>
      <c r="B517" s="1052"/>
      <c r="C517" s="358"/>
      <c r="D517" s="2473"/>
      <c r="E517" s="2092" t="s">
        <v>11147</v>
      </c>
      <c r="F517" s="811">
        <v>5</v>
      </c>
      <c r="G517" s="2289">
        <v>5</v>
      </c>
      <c r="H517" s="812">
        <v>6</v>
      </c>
      <c r="I517" s="487"/>
      <c r="J517" s="487"/>
      <c r="K517" s="813"/>
      <c r="L517" s="813"/>
      <c r="M517" s="813"/>
      <c r="N517" s="813">
        <f>1.699-1.454</f>
        <v>0.24500000000000011</v>
      </c>
      <c r="O517" s="813"/>
      <c r="P517" s="813"/>
      <c r="Q517" s="813"/>
      <c r="R517" s="813"/>
      <c r="S517" s="814"/>
      <c r="T517" s="815"/>
      <c r="U517" s="815"/>
      <c r="V517" s="815"/>
      <c r="W517" s="814"/>
      <c r="X517" s="815"/>
      <c r="Y517" s="814"/>
      <c r="Z517" s="815"/>
      <c r="AE517" s="2461"/>
      <c r="AF517" s="68"/>
    </row>
    <row r="518" spans="1:32" ht="30.5" x14ac:dyDescent="0.35">
      <c r="A518" s="2183"/>
      <c r="B518" s="1575" t="s">
        <v>300</v>
      </c>
      <c r="C518" s="1575"/>
      <c r="D518" s="1575"/>
      <c r="E518" s="1582" t="s">
        <v>6991</v>
      </c>
      <c r="F518" s="811"/>
      <c r="G518" s="812"/>
      <c r="H518" s="812"/>
      <c r="I518" s="808"/>
      <c r="J518" s="808"/>
      <c r="K518" s="808"/>
      <c r="L518" s="808"/>
      <c r="M518" s="1190"/>
      <c r="N518" s="808"/>
      <c r="O518" s="820"/>
      <c r="P518" s="808"/>
      <c r="Q518" s="1186"/>
      <c r="R518" s="1182"/>
      <c r="S518" s="809"/>
      <c r="T518" s="810"/>
      <c r="U518" s="810"/>
      <c r="V518" s="810"/>
      <c r="W518" s="809"/>
      <c r="X518" s="810"/>
      <c r="Y518" s="809"/>
      <c r="Z518" s="810"/>
      <c r="AE518" s="2461"/>
      <c r="AF518" s="68"/>
    </row>
    <row r="519" spans="1:32" ht="45" x14ac:dyDescent="0.35">
      <c r="A519" s="1575">
        <v>266</v>
      </c>
      <c r="B519" s="1575" t="s">
        <v>300</v>
      </c>
      <c r="C519" s="1575"/>
      <c r="D519" s="2473" t="s">
        <v>6748</v>
      </c>
      <c r="E519" s="817" t="s">
        <v>8125</v>
      </c>
      <c r="F519" s="811">
        <v>5</v>
      </c>
      <c r="G519" s="812">
        <v>5</v>
      </c>
      <c r="H519" s="812">
        <v>6</v>
      </c>
      <c r="I519" s="808">
        <f t="shared" ref="I519:I527" si="43">J519+K519+L519</f>
        <v>1.7</v>
      </c>
      <c r="J519" s="808">
        <f t="shared" ref="J519:J526" si="44">SUM(M519:R519)</f>
        <v>1.7</v>
      </c>
      <c r="K519" s="808"/>
      <c r="L519" s="808"/>
      <c r="M519" s="1190"/>
      <c r="N519" s="808">
        <v>1.7</v>
      </c>
      <c r="O519" s="820"/>
      <c r="P519" s="808"/>
      <c r="Q519" s="1186"/>
      <c r="R519" s="1182"/>
      <c r="S519" s="809"/>
      <c r="T519" s="810"/>
      <c r="U519" s="810"/>
      <c r="V519" s="810"/>
      <c r="W519" s="809"/>
      <c r="X519" s="810"/>
      <c r="Y519" s="809"/>
      <c r="Z519" s="810"/>
      <c r="AB519" s="176">
        <v>1</v>
      </c>
      <c r="AE519" s="2461"/>
      <c r="AF519" s="68"/>
    </row>
    <row r="520" spans="1:32" ht="60" x14ac:dyDescent="0.35">
      <c r="A520" s="441">
        <v>267</v>
      </c>
      <c r="B520" s="1574" t="s">
        <v>300</v>
      </c>
      <c r="C520" s="1024" t="s">
        <v>1656</v>
      </c>
      <c r="D520" s="2473" t="s">
        <v>6749</v>
      </c>
      <c r="E520" s="807" t="s">
        <v>9147</v>
      </c>
      <c r="F520" s="811" t="s">
        <v>664</v>
      </c>
      <c r="G520" s="2289">
        <v>5</v>
      </c>
      <c r="H520" s="812">
        <v>6</v>
      </c>
      <c r="I520" s="297">
        <f t="shared" si="43"/>
        <v>0.52</v>
      </c>
      <c r="J520" s="297">
        <f t="shared" si="44"/>
        <v>0.52</v>
      </c>
      <c r="K520" s="490"/>
      <c r="L520" s="490"/>
      <c r="M520" s="490"/>
      <c r="N520" s="490"/>
      <c r="O520" s="490"/>
      <c r="P520" s="490"/>
      <c r="Q520" s="2182"/>
      <c r="R520" s="906">
        <v>0.52</v>
      </c>
      <c r="S520" s="101"/>
      <c r="T520" s="101"/>
      <c r="U520" s="101"/>
      <c r="V520" s="101"/>
      <c r="W520" s="809"/>
      <c r="X520" s="810"/>
      <c r="Y520" s="1969"/>
      <c r="Z520" s="1969"/>
      <c r="AB520" s="176">
        <v>1</v>
      </c>
      <c r="AE520" s="2461"/>
      <c r="AF520" s="68"/>
    </row>
    <row r="521" spans="1:32" ht="45" x14ac:dyDescent="0.35">
      <c r="A521" s="1575">
        <v>268</v>
      </c>
      <c r="B521" s="2183" t="s">
        <v>300</v>
      </c>
      <c r="C521" s="2183"/>
      <c r="D521" s="2473" t="s">
        <v>6750</v>
      </c>
      <c r="E521" s="817" t="s">
        <v>8126</v>
      </c>
      <c r="F521" s="811"/>
      <c r="G521" s="812" t="s">
        <v>191</v>
      </c>
      <c r="H521" s="812" t="s">
        <v>191</v>
      </c>
      <c r="I521" s="808">
        <f t="shared" si="43"/>
        <v>2.5529999999999999</v>
      </c>
      <c r="J521" s="808">
        <f t="shared" si="44"/>
        <v>2.5529999999999999</v>
      </c>
      <c r="K521" s="808"/>
      <c r="L521" s="808"/>
      <c r="M521" s="1190"/>
      <c r="N521" s="808">
        <f>SUM(N522:N523)</f>
        <v>1.5000000000000124E-2</v>
      </c>
      <c r="O521" s="820"/>
      <c r="P521" s="808"/>
      <c r="Q521" s="1186">
        <f>SUM(Q522:Q523)</f>
        <v>2.5379999999999998</v>
      </c>
      <c r="R521" s="1182"/>
      <c r="S521" s="809"/>
      <c r="T521" s="810"/>
      <c r="U521" s="810"/>
      <c r="V521" s="810"/>
      <c r="W521" s="809">
        <v>7</v>
      </c>
      <c r="X521" s="810">
        <v>71.55</v>
      </c>
      <c r="Y521" s="809">
        <v>1</v>
      </c>
      <c r="Z521" s="810">
        <v>10</v>
      </c>
      <c r="AB521" s="176">
        <v>1</v>
      </c>
      <c r="AE521" s="2461"/>
      <c r="AF521" s="68"/>
    </row>
    <row r="522" spans="1:32" x14ac:dyDescent="0.35">
      <c r="A522" s="1574"/>
      <c r="B522" s="2183" t="s">
        <v>300</v>
      </c>
      <c r="C522" s="2436"/>
      <c r="D522" s="1575"/>
      <c r="E522" s="1194" t="s">
        <v>3518</v>
      </c>
      <c r="F522" s="811">
        <v>5</v>
      </c>
      <c r="G522" s="812">
        <v>5</v>
      </c>
      <c r="H522" s="812">
        <v>6</v>
      </c>
      <c r="I522" s="813"/>
      <c r="J522" s="813"/>
      <c r="K522" s="813"/>
      <c r="L522" s="813"/>
      <c r="M522" s="1869"/>
      <c r="N522" s="813"/>
      <c r="O522" s="1870"/>
      <c r="P522" s="813"/>
      <c r="Q522" s="1771">
        <v>2.5379999999999998</v>
      </c>
      <c r="R522" s="1182"/>
      <c r="S522" s="809"/>
      <c r="T522" s="810"/>
      <c r="U522" s="810"/>
      <c r="V522" s="810"/>
      <c r="W522" s="809"/>
      <c r="X522" s="810"/>
      <c r="Y522" s="809"/>
      <c r="Z522" s="810"/>
      <c r="AE522" s="2461"/>
      <c r="AF522" s="68"/>
    </row>
    <row r="523" spans="1:32" x14ac:dyDescent="0.35">
      <c r="A523" s="1574"/>
      <c r="B523" s="2183" t="s">
        <v>300</v>
      </c>
      <c r="C523" s="2436"/>
      <c r="D523" s="1575"/>
      <c r="E523" s="2092" t="s">
        <v>3519</v>
      </c>
      <c r="F523" s="811">
        <v>5</v>
      </c>
      <c r="G523" s="812">
        <v>5</v>
      </c>
      <c r="H523" s="812">
        <v>6</v>
      </c>
      <c r="I523" s="813"/>
      <c r="J523" s="813"/>
      <c r="K523" s="813"/>
      <c r="L523" s="813"/>
      <c r="M523" s="1869"/>
      <c r="N523" s="813">
        <f>2.553-2.538</f>
        <v>1.5000000000000124E-2</v>
      </c>
      <c r="O523" s="1870"/>
      <c r="P523" s="813"/>
      <c r="Q523" s="1771"/>
      <c r="R523" s="1182"/>
      <c r="S523" s="809"/>
      <c r="T523" s="810"/>
      <c r="U523" s="810"/>
      <c r="V523" s="810"/>
      <c r="W523" s="809"/>
      <c r="X523" s="810"/>
      <c r="Y523" s="809"/>
      <c r="Z523" s="810"/>
      <c r="AE523" s="2461"/>
      <c r="AF523" s="68"/>
    </row>
    <row r="524" spans="1:32" ht="45" x14ac:dyDescent="0.35">
      <c r="A524" s="441">
        <v>269</v>
      </c>
      <c r="B524" s="2183" t="s">
        <v>300</v>
      </c>
      <c r="C524" s="1052" t="s">
        <v>1656</v>
      </c>
      <c r="D524" s="2473" t="s">
        <v>6751</v>
      </c>
      <c r="E524" s="817" t="s">
        <v>10372</v>
      </c>
      <c r="F524" s="811" t="s">
        <v>664</v>
      </c>
      <c r="G524" s="812">
        <v>5</v>
      </c>
      <c r="H524" s="812">
        <v>6</v>
      </c>
      <c r="I524" s="808">
        <f t="shared" si="43"/>
        <v>0.75</v>
      </c>
      <c r="J524" s="808">
        <f t="shared" si="44"/>
        <v>0.75</v>
      </c>
      <c r="K524" s="808"/>
      <c r="L524" s="808"/>
      <c r="M524" s="1190"/>
      <c r="N524" s="808"/>
      <c r="O524" s="820"/>
      <c r="P524" s="808"/>
      <c r="Q524" s="1186"/>
      <c r="R524" s="1182">
        <v>0.75</v>
      </c>
      <c r="S524" s="809"/>
      <c r="T524" s="810"/>
      <c r="U524" s="810"/>
      <c r="V524" s="810"/>
      <c r="W524" s="809"/>
      <c r="X524" s="810"/>
      <c r="Y524" s="809"/>
      <c r="Z524" s="810"/>
      <c r="AB524" s="176">
        <v>1</v>
      </c>
      <c r="AE524" s="2461"/>
      <c r="AF524" s="68"/>
    </row>
    <row r="525" spans="1:32" ht="45" x14ac:dyDescent="0.35">
      <c r="A525" s="1575">
        <v>270</v>
      </c>
      <c r="B525" s="1575" t="s">
        <v>300</v>
      </c>
      <c r="C525" s="1575"/>
      <c r="D525" s="2473" t="s">
        <v>6752</v>
      </c>
      <c r="E525" s="817" t="s">
        <v>8127</v>
      </c>
      <c r="F525" s="811" t="s">
        <v>827</v>
      </c>
      <c r="G525" s="812">
        <v>5</v>
      </c>
      <c r="H525" s="812">
        <v>6</v>
      </c>
      <c r="I525" s="808">
        <f t="shared" si="43"/>
        <v>1.7</v>
      </c>
      <c r="J525" s="808">
        <f t="shared" si="44"/>
        <v>1.7</v>
      </c>
      <c r="K525" s="808"/>
      <c r="L525" s="808"/>
      <c r="M525" s="1190"/>
      <c r="N525" s="808"/>
      <c r="O525" s="820"/>
      <c r="P525" s="808"/>
      <c r="Q525" s="1186"/>
      <c r="R525" s="1182">
        <v>1.7</v>
      </c>
      <c r="S525" s="809"/>
      <c r="T525" s="810"/>
      <c r="U525" s="810"/>
      <c r="V525" s="810"/>
      <c r="W525" s="809"/>
      <c r="X525" s="810"/>
      <c r="Y525" s="809"/>
      <c r="Z525" s="810"/>
      <c r="AB525" s="176">
        <v>1</v>
      </c>
      <c r="AE525" s="2461"/>
      <c r="AF525" s="68"/>
    </row>
    <row r="526" spans="1:32" ht="45" x14ac:dyDescent="0.35">
      <c r="A526" s="441">
        <v>271</v>
      </c>
      <c r="B526" s="1574" t="s">
        <v>300</v>
      </c>
      <c r="C526" s="1024" t="s">
        <v>1656</v>
      </c>
      <c r="D526" s="2473" t="s">
        <v>6753</v>
      </c>
      <c r="E526" s="817" t="s">
        <v>9148</v>
      </c>
      <c r="F526" s="811" t="s">
        <v>664</v>
      </c>
      <c r="G526" s="2289">
        <v>5</v>
      </c>
      <c r="H526" s="812">
        <v>6</v>
      </c>
      <c r="I526" s="297">
        <f t="shared" si="43"/>
        <v>0.7</v>
      </c>
      <c r="J526" s="297">
        <f t="shared" si="44"/>
        <v>0.7</v>
      </c>
      <c r="K526" s="490"/>
      <c r="L526" s="490"/>
      <c r="M526" s="490"/>
      <c r="N526" s="490"/>
      <c r="O526" s="490"/>
      <c r="P526" s="490"/>
      <c r="Q526" s="2182"/>
      <c r="R526" s="906">
        <v>0.7</v>
      </c>
      <c r="S526" s="101"/>
      <c r="T526" s="101"/>
      <c r="U526" s="101"/>
      <c r="V526" s="101"/>
      <c r="W526" s="809"/>
      <c r="X526" s="810"/>
      <c r="Y526" s="1969"/>
      <c r="Z526" s="1969"/>
      <c r="AB526" s="176">
        <v>1</v>
      </c>
      <c r="AE526" s="2461"/>
      <c r="AF526" s="68"/>
    </row>
    <row r="527" spans="1:32" ht="45" x14ac:dyDescent="0.35">
      <c r="A527" s="1575">
        <v>272</v>
      </c>
      <c r="B527" s="697" t="s">
        <v>300</v>
      </c>
      <c r="C527" s="697"/>
      <c r="D527" s="2473" t="s">
        <v>6754</v>
      </c>
      <c r="E527" s="2187" t="s">
        <v>8128</v>
      </c>
      <c r="F527" s="811">
        <v>4</v>
      </c>
      <c r="G527" s="93">
        <v>5</v>
      </c>
      <c r="H527" s="812">
        <v>6</v>
      </c>
      <c r="I527" s="2157">
        <f t="shared" si="43"/>
        <v>0.61699999999999999</v>
      </c>
      <c r="J527" s="2157">
        <f>M527+N527+O527+P527+Q527+R527</f>
        <v>0.61699999999999999</v>
      </c>
      <c r="K527" s="490"/>
      <c r="L527" s="490"/>
      <c r="M527" s="490"/>
      <c r="N527" s="490">
        <v>0.61699999999999999</v>
      </c>
      <c r="O527" s="490"/>
      <c r="P527" s="490"/>
      <c r="Q527" s="2182"/>
      <c r="R527" s="906"/>
      <c r="S527" s="101"/>
      <c r="T527" s="101"/>
      <c r="U527" s="101"/>
      <c r="V527" s="101"/>
      <c r="W527" s="809">
        <v>3</v>
      </c>
      <c r="X527" s="810">
        <v>40</v>
      </c>
      <c r="Y527" s="1969"/>
      <c r="Z527" s="1969"/>
      <c r="AB527" s="176">
        <v>1</v>
      </c>
      <c r="AE527" s="2461"/>
      <c r="AF527" s="68"/>
    </row>
    <row r="528" spans="1:32" ht="60" x14ac:dyDescent="0.35">
      <c r="A528" s="441">
        <v>273</v>
      </c>
      <c r="B528" s="697" t="s">
        <v>300</v>
      </c>
      <c r="C528" s="697"/>
      <c r="D528" s="2473" t="s">
        <v>6992</v>
      </c>
      <c r="E528" s="2187" t="s">
        <v>8129</v>
      </c>
      <c r="F528" s="92" t="s">
        <v>827</v>
      </c>
      <c r="G528" s="93">
        <v>5</v>
      </c>
      <c r="H528" s="812">
        <v>6</v>
      </c>
      <c r="I528" s="2157">
        <f t="shared" ref="I528:I533" si="45">J528+K528+L528</f>
        <v>0.64700000000000002</v>
      </c>
      <c r="J528" s="2157">
        <f>M528+N528+O528+P528+Q528+R528</f>
        <v>0.64700000000000002</v>
      </c>
      <c r="K528" s="490"/>
      <c r="L528" s="490"/>
      <c r="M528" s="490"/>
      <c r="N528" s="490"/>
      <c r="O528" s="490"/>
      <c r="P528" s="490"/>
      <c r="Q528" s="2182">
        <v>0.64700000000000002</v>
      </c>
      <c r="R528" s="906"/>
      <c r="S528" s="101"/>
      <c r="T528" s="101"/>
      <c r="U528" s="101"/>
      <c r="V528" s="101"/>
      <c r="W528" s="809"/>
      <c r="X528" s="810"/>
      <c r="Y528" s="1969"/>
      <c r="Z528" s="1969"/>
      <c r="AB528" s="176">
        <v>1</v>
      </c>
      <c r="AE528" s="2461"/>
      <c r="AF528" s="68"/>
    </row>
    <row r="529" spans="1:32" ht="45" x14ac:dyDescent="0.35">
      <c r="A529" s="1575">
        <v>274</v>
      </c>
      <c r="B529" s="697" t="s">
        <v>300</v>
      </c>
      <c r="C529" s="1052" t="s">
        <v>1656</v>
      </c>
      <c r="D529" s="2473" t="s">
        <v>6755</v>
      </c>
      <c r="E529" s="2187" t="s">
        <v>9149</v>
      </c>
      <c r="F529" s="811" t="s">
        <v>664</v>
      </c>
      <c r="G529" s="93">
        <v>5</v>
      </c>
      <c r="H529" s="812">
        <v>6</v>
      </c>
      <c r="I529" s="2157">
        <f t="shared" si="45"/>
        <v>0.3</v>
      </c>
      <c r="J529" s="2157">
        <f>M529+N529+O529+P529+Q529+R529</f>
        <v>0.3</v>
      </c>
      <c r="K529" s="490"/>
      <c r="L529" s="490"/>
      <c r="M529" s="490"/>
      <c r="N529" s="490"/>
      <c r="O529" s="490"/>
      <c r="P529" s="490"/>
      <c r="Q529" s="2182"/>
      <c r="R529" s="906">
        <v>0.3</v>
      </c>
      <c r="S529" s="101"/>
      <c r="T529" s="101"/>
      <c r="U529" s="101"/>
      <c r="V529" s="101"/>
      <c r="W529" s="809"/>
      <c r="X529" s="810"/>
      <c r="Y529" s="1969"/>
      <c r="Z529" s="1969"/>
      <c r="AB529" s="176">
        <v>1</v>
      </c>
      <c r="AE529" s="2461"/>
      <c r="AF529" s="68"/>
    </row>
    <row r="530" spans="1:32" ht="45" x14ac:dyDescent="0.35">
      <c r="A530" s="441">
        <v>275</v>
      </c>
      <c r="B530" s="1574" t="s">
        <v>300</v>
      </c>
      <c r="C530" s="358" t="s">
        <v>1656</v>
      </c>
      <c r="D530" s="2473" t="s">
        <v>6756</v>
      </c>
      <c r="E530" s="807" t="s">
        <v>9150</v>
      </c>
      <c r="F530" s="811" t="s">
        <v>664</v>
      </c>
      <c r="G530" s="2289">
        <v>5</v>
      </c>
      <c r="H530" s="812">
        <v>6</v>
      </c>
      <c r="I530" s="297">
        <f t="shared" si="45"/>
        <v>0.2</v>
      </c>
      <c r="J530" s="297">
        <f>SUM(M530:R530)</f>
        <v>0.2</v>
      </c>
      <c r="K530" s="490"/>
      <c r="L530" s="490"/>
      <c r="M530" s="490"/>
      <c r="N530" s="490"/>
      <c r="O530" s="490"/>
      <c r="P530" s="490"/>
      <c r="Q530" s="2182"/>
      <c r="R530" s="906">
        <v>0.2</v>
      </c>
      <c r="S530" s="101"/>
      <c r="T530" s="101"/>
      <c r="U530" s="101"/>
      <c r="V530" s="101"/>
      <c r="W530" s="809"/>
      <c r="X530" s="810"/>
      <c r="Y530" s="1969"/>
      <c r="Z530" s="1969"/>
      <c r="AB530" s="176">
        <v>1</v>
      </c>
      <c r="AE530" s="2461"/>
      <c r="AF530" s="68"/>
    </row>
    <row r="531" spans="1:32" ht="45" x14ac:dyDescent="0.35">
      <c r="A531" s="1575">
        <v>276</v>
      </c>
      <c r="B531" s="1574" t="s">
        <v>300</v>
      </c>
      <c r="C531" s="1024" t="s">
        <v>1656</v>
      </c>
      <c r="D531" s="2473" t="s">
        <v>6757</v>
      </c>
      <c r="E531" s="807" t="s">
        <v>9310</v>
      </c>
      <c r="F531" s="811" t="s">
        <v>664</v>
      </c>
      <c r="G531" s="2289">
        <v>5</v>
      </c>
      <c r="H531" s="812">
        <v>6</v>
      </c>
      <c r="I531" s="297">
        <f t="shared" si="45"/>
        <v>0.97</v>
      </c>
      <c r="J531" s="297">
        <f>SUM(M531:R531)</f>
        <v>0.97</v>
      </c>
      <c r="K531" s="490"/>
      <c r="L531" s="490"/>
      <c r="M531" s="490"/>
      <c r="N531" s="490"/>
      <c r="O531" s="490"/>
      <c r="P531" s="490"/>
      <c r="Q531" s="2182"/>
      <c r="R531" s="906">
        <v>0.97</v>
      </c>
      <c r="S531" s="101"/>
      <c r="T531" s="101"/>
      <c r="U531" s="101"/>
      <c r="V531" s="101"/>
      <c r="W531" s="809"/>
      <c r="X531" s="810"/>
      <c r="Y531" s="1969"/>
      <c r="Z531" s="1969"/>
      <c r="AB531" s="176">
        <v>1</v>
      </c>
      <c r="AE531" s="2461"/>
      <c r="AF531" s="68"/>
    </row>
    <row r="532" spans="1:32" ht="45" x14ac:dyDescent="0.35">
      <c r="A532" s="441">
        <v>277</v>
      </c>
      <c r="B532" s="1574" t="s">
        <v>300</v>
      </c>
      <c r="C532" s="1574"/>
      <c r="D532" s="2473" t="s">
        <v>6758</v>
      </c>
      <c r="E532" s="807" t="s">
        <v>8130</v>
      </c>
      <c r="F532" s="811" t="s">
        <v>664</v>
      </c>
      <c r="G532" s="2289">
        <v>5</v>
      </c>
      <c r="H532" s="812">
        <v>6</v>
      </c>
      <c r="I532" s="297">
        <f t="shared" si="45"/>
        <v>1.5</v>
      </c>
      <c r="J532" s="297">
        <f>SUM(M532:R532)</f>
        <v>1.5</v>
      </c>
      <c r="K532" s="490"/>
      <c r="L532" s="490"/>
      <c r="M532" s="490"/>
      <c r="N532" s="490"/>
      <c r="O532" s="490"/>
      <c r="P532" s="490"/>
      <c r="Q532" s="2182"/>
      <c r="R532" s="906">
        <v>1.5</v>
      </c>
      <c r="S532" s="101"/>
      <c r="T532" s="101"/>
      <c r="U532" s="101"/>
      <c r="V532" s="101"/>
      <c r="W532" s="809"/>
      <c r="X532" s="810"/>
      <c r="Y532" s="1969"/>
      <c r="Z532" s="1969"/>
      <c r="AB532" s="176">
        <v>1</v>
      </c>
      <c r="AE532" s="2461"/>
      <c r="AF532" s="68"/>
    </row>
    <row r="533" spans="1:32" ht="45" x14ac:dyDescent="0.35">
      <c r="A533" s="1575">
        <v>278</v>
      </c>
      <c r="B533" s="697" t="s">
        <v>300</v>
      </c>
      <c r="C533" s="697"/>
      <c r="D533" s="2473" t="s">
        <v>6759</v>
      </c>
      <c r="E533" s="817" t="s">
        <v>10020</v>
      </c>
      <c r="F533" s="92">
        <v>5</v>
      </c>
      <c r="G533" s="93">
        <v>5</v>
      </c>
      <c r="H533" s="812">
        <v>6</v>
      </c>
      <c r="I533" s="2157">
        <f t="shared" si="45"/>
        <v>0.36</v>
      </c>
      <c r="J533" s="2157">
        <f>M533+N533+O533+P533+Q533+R533</f>
        <v>0.36</v>
      </c>
      <c r="K533" s="490"/>
      <c r="L533" s="490"/>
      <c r="M533" s="490"/>
      <c r="N533" s="490">
        <v>0.36</v>
      </c>
      <c r="O533" s="490"/>
      <c r="P533" s="490"/>
      <c r="Q533" s="490"/>
      <c r="R533" s="2203"/>
      <c r="S533" s="101"/>
      <c r="T533" s="101"/>
      <c r="U533" s="101"/>
      <c r="V533" s="101"/>
      <c r="W533" s="809">
        <v>1</v>
      </c>
      <c r="X533" s="810">
        <v>14.5</v>
      </c>
      <c r="Y533" s="1969"/>
      <c r="Z533" s="1969"/>
      <c r="AB533" s="176">
        <v>1</v>
      </c>
      <c r="AE533" s="2461"/>
      <c r="AF533" s="68"/>
    </row>
    <row r="534" spans="1:32" x14ac:dyDescent="0.35">
      <c r="A534" s="2184"/>
      <c r="B534" s="2184"/>
      <c r="C534" s="2184"/>
      <c r="D534" s="2184"/>
      <c r="E534" s="2168"/>
      <c r="F534" s="2184"/>
      <c r="G534" s="2184"/>
      <c r="H534" s="2184"/>
      <c r="I534" s="2184"/>
      <c r="J534" s="2184"/>
      <c r="K534" s="2184"/>
      <c r="L534" s="2184"/>
      <c r="M534" s="2184"/>
      <c r="N534" s="2184"/>
      <c r="O534" s="2184"/>
      <c r="P534" s="2184"/>
      <c r="Q534" s="2184"/>
      <c r="R534" s="2184"/>
      <c r="S534" s="2184"/>
      <c r="T534" s="2184"/>
      <c r="U534" s="2184"/>
      <c r="V534" s="2184"/>
      <c r="W534" s="2185"/>
      <c r="X534" s="2185"/>
      <c r="Y534" s="2185"/>
      <c r="Z534" s="2185"/>
    </row>
    <row r="535" spans="1:32" x14ac:dyDescent="0.35">
      <c r="E535" s="1557"/>
    </row>
    <row r="536" spans="1:32" x14ac:dyDescent="0.35">
      <c r="E536" s="1557"/>
    </row>
    <row r="537" spans="1:32" x14ac:dyDescent="0.35">
      <c r="E537" s="1557"/>
    </row>
    <row r="538" spans="1:32" x14ac:dyDescent="0.35">
      <c r="E538" s="1557"/>
    </row>
    <row r="539" spans="1:32" x14ac:dyDescent="0.35">
      <c r="E539" s="1557"/>
    </row>
    <row r="540" spans="1:32" x14ac:dyDescent="0.35">
      <c r="E540" s="1557"/>
    </row>
    <row r="541" spans="1:32" x14ac:dyDescent="0.35">
      <c r="E541" s="1557"/>
    </row>
    <row r="542" spans="1:32" x14ac:dyDescent="0.35">
      <c r="E542" s="1557"/>
    </row>
    <row r="543" spans="1:32" x14ac:dyDescent="0.35">
      <c r="E543" s="1557"/>
    </row>
    <row r="544" spans="1:32" x14ac:dyDescent="0.35">
      <c r="E544" s="1557"/>
    </row>
    <row r="545" spans="5:5" x14ac:dyDescent="0.35">
      <c r="E545" s="1557"/>
    </row>
    <row r="546" spans="5:5" x14ac:dyDescent="0.35">
      <c r="E546" s="1557"/>
    </row>
    <row r="547" spans="5:5" x14ac:dyDescent="0.35">
      <c r="E547" s="1557"/>
    </row>
    <row r="548" spans="5:5" x14ac:dyDescent="0.35">
      <c r="E548" s="1557"/>
    </row>
    <row r="549" spans="5:5" x14ac:dyDescent="0.35">
      <c r="E549" s="1557"/>
    </row>
    <row r="550" spans="5:5" x14ac:dyDescent="0.35">
      <c r="E550" s="1557"/>
    </row>
    <row r="551" spans="5:5" x14ac:dyDescent="0.35">
      <c r="E551" s="1557"/>
    </row>
    <row r="552" spans="5:5" x14ac:dyDescent="0.35">
      <c r="E552" s="1557"/>
    </row>
    <row r="553" spans="5:5" x14ac:dyDescent="0.35">
      <c r="E553" s="1557"/>
    </row>
    <row r="554" spans="5:5" x14ac:dyDescent="0.35">
      <c r="E554" s="1557"/>
    </row>
    <row r="555" spans="5:5" x14ac:dyDescent="0.35">
      <c r="E555" s="1557"/>
    </row>
    <row r="556" spans="5:5" x14ac:dyDescent="0.35">
      <c r="E556" s="1557"/>
    </row>
    <row r="557" spans="5:5" x14ac:dyDescent="0.35">
      <c r="E557" s="1557"/>
    </row>
    <row r="558" spans="5:5" x14ac:dyDescent="0.35">
      <c r="E558" s="1557"/>
    </row>
    <row r="559" spans="5:5" x14ac:dyDescent="0.35">
      <c r="E559" s="1557"/>
    </row>
    <row r="560" spans="5:5" x14ac:dyDescent="0.35">
      <c r="E560" s="1557"/>
    </row>
    <row r="561" spans="5:5" x14ac:dyDescent="0.35">
      <c r="E561" s="1557"/>
    </row>
    <row r="562" spans="5:5" x14ac:dyDescent="0.35">
      <c r="E562" s="1557"/>
    </row>
    <row r="563" spans="5:5" x14ac:dyDescent="0.35">
      <c r="E563" s="1557"/>
    </row>
    <row r="564" spans="5:5" x14ac:dyDescent="0.35">
      <c r="E564" s="1557"/>
    </row>
    <row r="565" spans="5:5" x14ac:dyDescent="0.35">
      <c r="E565" s="1557"/>
    </row>
    <row r="566" spans="5:5" x14ac:dyDescent="0.35">
      <c r="E566" s="1557"/>
    </row>
    <row r="569" spans="5:5" x14ac:dyDescent="0.35">
      <c r="E569" s="1557"/>
    </row>
    <row r="570" spans="5:5" x14ac:dyDescent="0.35">
      <c r="E570" s="1557"/>
    </row>
    <row r="571" spans="5:5" x14ac:dyDescent="0.35">
      <c r="E571" s="1557"/>
    </row>
    <row r="572" spans="5:5" x14ac:dyDescent="0.35">
      <c r="E572" s="1557"/>
    </row>
    <row r="573" spans="5:5" x14ac:dyDescent="0.35">
      <c r="E573" s="1557"/>
    </row>
    <row r="574" spans="5:5" x14ac:dyDescent="0.35">
      <c r="E574" s="1557"/>
    </row>
    <row r="575" spans="5:5" x14ac:dyDescent="0.35">
      <c r="E575" s="1557"/>
    </row>
    <row r="576" spans="5:5" x14ac:dyDescent="0.35">
      <c r="E576" s="1557"/>
    </row>
    <row r="577" spans="5:5" x14ac:dyDescent="0.35">
      <c r="E577" s="1557"/>
    </row>
    <row r="578" spans="5:5" x14ac:dyDescent="0.35">
      <c r="E578" s="1557"/>
    </row>
  </sheetData>
  <autoFilter ref="A29:AB533"/>
  <mergeCells count="35">
    <mergeCell ref="B5:B8"/>
    <mergeCell ref="I6:I8"/>
    <mergeCell ref="J6:J8"/>
    <mergeCell ref="S6:T6"/>
    <mergeCell ref="S7:S8"/>
    <mergeCell ref="T7:T8"/>
    <mergeCell ref="A2:Z2"/>
    <mergeCell ref="A3:Z3"/>
    <mergeCell ref="A5:A8"/>
    <mergeCell ref="D5:D8"/>
    <mergeCell ref="E5:E8"/>
    <mergeCell ref="F5:F8"/>
    <mergeCell ref="G5:G8"/>
    <mergeCell ref="I5:L5"/>
    <mergeCell ref="M5:R5"/>
    <mergeCell ref="N6:N8"/>
    <mergeCell ref="O6:O8"/>
    <mergeCell ref="P6:P8"/>
    <mergeCell ref="Q6:Q8"/>
    <mergeCell ref="Z7:Z8"/>
    <mergeCell ref="Y6:Z6"/>
    <mergeCell ref="W5:Z5"/>
    <mergeCell ref="H5:H8"/>
    <mergeCell ref="S5:V5"/>
    <mergeCell ref="U6:V6"/>
    <mergeCell ref="U7:U8"/>
    <mergeCell ref="W6:X6"/>
    <mergeCell ref="W7:W8"/>
    <mergeCell ref="X7:X8"/>
    <mergeCell ref="V7:V8"/>
    <mergeCell ref="Y7:Y8"/>
    <mergeCell ref="K6:K8"/>
    <mergeCell ref="L6:L8"/>
    <mergeCell ref="M6:M8"/>
    <mergeCell ref="R6:R8"/>
  </mergeCells>
  <phoneticPr fontId="0" type="noConversion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Roman,обычный"&amp;10Шкловское ДРСУ-175&amp;R&amp;"Times New Roman,обычный"&amp;10&amp;P</oddFooter>
  </headerFooter>
  <rowBreaks count="10" manualBreakCount="10">
    <brk id="42" max="24" man="1"/>
    <brk id="91" max="24" man="1"/>
    <brk id="121" max="24" man="1"/>
    <brk id="149" max="24" man="1"/>
    <brk id="186" max="24" man="1"/>
    <brk id="219" max="24" man="1"/>
    <brk id="312" max="24" man="1"/>
    <brk id="366" max="24" man="1"/>
    <brk id="446" max="24" man="1"/>
    <brk id="480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AM506"/>
  <sheetViews>
    <sheetView zoomScale="90" zoomScaleNormal="90" workbookViewId="0">
      <pane xSplit="5" ySplit="10" topLeftCell="F11" activePane="bottomRight" state="frozen"/>
      <selection activeCell="V129" sqref="V129"/>
      <selection pane="topRight" activeCell="V129" sqref="V129"/>
      <selection pane="bottomLeft" activeCell="V129" sqref="V129"/>
      <selection pane="bottomRight" activeCell="H5" sqref="H5:H8"/>
    </sheetView>
  </sheetViews>
  <sheetFormatPr defaultColWidth="8.9140625" defaultRowHeight="15.5" x14ac:dyDescent="0.35"/>
  <cols>
    <col min="1" max="1" width="4.9140625" style="7" customWidth="1"/>
    <col min="2" max="3" width="7.25" style="7" hidden="1" customWidth="1"/>
    <col min="4" max="4" width="7.33203125" style="7" customWidth="1"/>
    <col min="5" max="5" width="43.4140625" style="11" customWidth="1"/>
    <col min="6" max="6" width="6.75" style="5" customWidth="1"/>
    <col min="7" max="8" width="7.25" style="5" customWidth="1"/>
    <col min="9" max="12" width="6.75" style="5" customWidth="1"/>
    <col min="13" max="13" width="6.58203125" style="5" customWidth="1"/>
    <col min="14" max="16" width="6.75" style="5" customWidth="1"/>
    <col min="17" max="18" width="6.9140625" style="5" customWidth="1"/>
    <col min="19" max="19" width="4.4140625" style="3" customWidth="1"/>
    <col min="20" max="20" width="6.25" style="3" customWidth="1"/>
    <col min="21" max="21" width="4.58203125" style="3" customWidth="1"/>
    <col min="22" max="22" width="5.4140625" style="3" customWidth="1"/>
    <col min="23" max="23" width="4.4140625" style="3" customWidth="1"/>
    <col min="24" max="24" width="7.75" style="3" customWidth="1"/>
    <col min="25" max="25" width="4.25" style="3" customWidth="1"/>
    <col min="26" max="26" width="7.6640625" style="3" customWidth="1"/>
    <col min="27" max="36" width="8.9140625" style="3"/>
    <col min="37" max="37" width="21.6640625" style="3" customWidth="1"/>
    <col min="38" max="16384" width="8.9140625" style="3"/>
  </cols>
  <sheetData>
    <row r="1" spans="1:39" x14ac:dyDescent="0.35">
      <c r="A1" s="6"/>
      <c r="B1" s="6"/>
      <c r="C1" s="6"/>
      <c r="D1" s="8"/>
      <c r="E1" s="10"/>
      <c r="F1" s="4"/>
      <c r="G1" s="4"/>
      <c r="H1" s="4"/>
      <c r="I1" s="4"/>
      <c r="J1" s="4"/>
      <c r="K1" s="4"/>
      <c r="L1" s="4"/>
      <c r="M1" s="4"/>
      <c r="N1" s="4"/>
      <c r="O1" s="34"/>
      <c r="P1" s="4"/>
      <c r="Q1" s="34"/>
      <c r="R1" s="34"/>
      <c r="S1" s="1"/>
      <c r="T1" s="1"/>
      <c r="U1" s="1"/>
      <c r="V1" s="1"/>
      <c r="W1" s="1"/>
      <c r="X1" s="1"/>
      <c r="Y1" s="1"/>
    </row>
    <row r="2" spans="1:39" ht="20" x14ac:dyDescent="0.4">
      <c r="A2" s="3099" t="s">
        <v>10617</v>
      </c>
      <c r="B2" s="3099"/>
      <c r="C2" s="3099"/>
      <c r="D2" s="3099"/>
      <c r="E2" s="3099"/>
      <c r="F2" s="3099"/>
      <c r="G2" s="3099"/>
      <c r="H2" s="3099"/>
      <c r="I2" s="3099"/>
      <c r="J2" s="3099"/>
      <c r="K2" s="3099"/>
      <c r="L2" s="3099"/>
      <c r="M2" s="3099"/>
      <c r="N2" s="3099"/>
      <c r="O2" s="3099"/>
      <c r="P2" s="3099"/>
      <c r="Q2" s="3099"/>
      <c r="R2" s="3099"/>
      <c r="S2" s="3099"/>
      <c r="T2" s="3099"/>
      <c r="U2" s="3099"/>
      <c r="V2" s="3099"/>
      <c r="W2" s="3099"/>
      <c r="X2" s="3099"/>
      <c r="Y2" s="3099"/>
      <c r="Z2" s="3099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6"/>
      <c r="B4" s="6"/>
      <c r="C4" s="6"/>
      <c r="D4" s="9"/>
      <c r="E4" s="10"/>
      <c r="F4" s="12"/>
      <c r="G4" s="12"/>
      <c r="H4" s="12"/>
      <c r="I4" s="1840"/>
      <c r="J4" s="1840"/>
      <c r="K4" s="12"/>
      <c r="L4" s="12"/>
      <c r="M4" s="12"/>
      <c r="N4" s="1840"/>
      <c r="O4" s="1840"/>
      <c r="P4" s="1840"/>
      <c r="Q4" s="1840"/>
      <c r="R4" s="1840"/>
      <c r="S4" s="2"/>
      <c r="T4" s="2"/>
      <c r="U4" s="2"/>
      <c r="V4" s="2"/>
      <c r="W4" s="2"/>
      <c r="X4" s="2"/>
    </row>
    <row r="5" spans="1:39" ht="16.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  <c r="AA5" s="2252"/>
    </row>
    <row r="6" spans="1:39" ht="34.5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  <c r="AA6" s="225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  <c r="AA7" s="2252"/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  <c r="AA8" s="2252"/>
    </row>
    <row r="9" spans="1:39" s="5" customFormat="1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  <c r="AA9" s="2253"/>
    </row>
    <row r="10" spans="1:39" s="5" customFormat="1" ht="16" thickBot="1" x14ac:dyDescent="0.4">
      <c r="A10" s="1638"/>
      <c r="B10" s="1639"/>
      <c r="C10" s="1639"/>
      <c r="D10" s="1640"/>
      <c r="E10" s="1208" t="s">
        <v>2392</v>
      </c>
      <c r="F10" s="1208"/>
      <c r="G10" s="1208"/>
      <c r="H10" s="1208"/>
      <c r="I10" s="803">
        <f>J10+K10+L10</f>
        <v>649.61299999999983</v>
      </c>
      <c r="J10" s="803">
        <f>M10+N10+O10+P10+Q10+R10</f>
        <v>643.73599999999988</v>
      </c>
      <c r="K10" s="803">
        <f t="shared" ref="K10:Q10" si="0">K11+K12+K13+K14</f>
        <v>0</v>
      </c>
      <c r="L10" s="803">
        <f t="shared" si="0"/>
        <v>5.8769999999999989</v>
      </c>
      <c r="M10" s="803">
        <f t="shared" si="0"/>
        <v>0</v>
      </c>
      <c r="N10" s="803">
        <f t="shared" si="0"/>
        <v>295.6939999999999</v>
      </c>
      <c r="O10" s="613">
        <f t="shared" si="0"/>
        <v>5.5329999999999995</v>
      </c>
      <c r="P10" s="1367">
        <f t="shared" si="0"/>
        <v>1.27</v>
      </c>
      <c r="Q10" s="930">
        <f t="shared" si="0"/>
        <v>210.64400000000001</v>
      </c>
      <c r="R10" s="923">
        <f>R11+R12+R13+R14</f>
        <v>130.595</v>
      </c>
      <c r="S10" s="1268">
        <f>SUM(S30:S949)</f>
        <v>5</v>
      </c>
      <c r="T10" s="1208">
        <f t="shared" ref="T10:Z10" si="1">SUM(T30:T949)</f>
        <v>93.05</v>
      </c>
      <c r="U10" s="1268">
        <f t="shared" si="1"/>
        <v>0</v>
      </c>
      <c r="V10" s="1208">
        <f t="shared" si="1"/>
        <v>0</v>
      </c>
      <c r="W10" s="2973">
        <f t="shared" si="1"/>
        <v>852</v>
      </c>
      <c r="X10" s="2974">
        <f t="shared" si="1"/>
        <v>10807.450000000003</v>
      </c>
      <c r="Y10" s="2973">
        <f t="shared" si="1"/>
        <v>248</v>
      </c>
      <c r="Z10" s="2975">
        <f t="shared" si="1"/>
        <v>2747.8</v>
      </c>
      <c r="AA10" s="2254"/>
      <c r="AB10" s="1268">
        <f>SUM(AB30:AB950)</f>
        <v>245</v>
      </c>
      <c r="AK10" s="2150" t="s">
        <v>11226</v>
      </c>
      <c r="AL10" s="43"/>
      <c r="AM10" s="2812" t="s">
        <v>11227</v>
      </c>
    </row>
    <row r="11" spans="1:39" s="5" customFormat="1" x14ac:dyDescent="0.35">
      <c r="A11" s="1654"/>
      <c r="B11" s="1655"/>
      <c r="C11" s="1655"/>
      <c r="D11" s="1656"/>
      <c r="E11" s="1657" t="s">
        <v>909</v>
      </c>
      <c r="F11" s="1658">
        <v>3</v>
      </c>
      <c r="G11" s="1658"/>
      <c r="H11" s="1658"/>
      <c r="I11" s="1324"/>
      <c r="J11" s="1324"/>
      <c r="K11" s="1324"/>
      <c r="L11" s="1324"/>
      <c r="M11" s="1324"/>
      <c r="N11" s="1324"/>
      <c r="O11" s="1403"/>
      <c r="P11" s="1404"/>
      <c r="Q11" s="1326"/>
      <c r="R11" s="1659"/>
      <c r="S11" s="447"/>
      <c r="T11" s="446"/>
      <c r="U11" s="446"/>
      <c r="V11" s="446"/>
      <c r="W11" s="447"/>
      <c r="X11" s="446"/>
      <c r="Y11" s="447"/>
      <c r="Z11" s="1660"/>
      <c r="AA11" s="2255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4.5</v>
      </c>
      <c r="AM11" s="2814">
        <f>AL11-J18</f>
        <v>0</v>
      </c>
    </row>
    <row r="12" spans="1:39" s="5" customFormat="1" x14ac:dyDescent="0.35">
      <c r="A12" s="410"/>
      <c r="B12" s="1002"/>
      <c r="C12" s="1002"/>
      <c r="D12" s="411"/>
      <c r="E12" s="640"/>
      <c r="F12" s="1249">
        <v>4</v>
      </c>
      <c r="G12" s="1249"/>
      <c r="H12" s="1249"/>
      <c r="I12" s="1250">
        <f t="shared" ref="I12:I20" si="2">J12+K12+L12</f>
        <v>379.60299999999989</v>
      </c>
      <c r="J12" s="1250">
        <f t="shared" ref="J12:J20" si="3">R12+Q12+P12+O12+N12+M12</f>
        <v>377.70999999999992</v>
      </c>
      <c r="K12" s="1250">
        <f>SUMIF(F30:F866,4,K30:K866)</f>
        <v>0</v>
      </c>
      <c r="L12" s="1250">
        <f>SUMIF(F30:F866,4,L30:L866)</f>
        <v>1.8929999999999989</v>
      </c>
      <c r="M12" s="1250">
        <f>SUMIF(F30:F866,4,M30:M866)</f>
        <v>0</v>
      </c>
      <c r="N12" s="1250">
        <f>SUMIF(F30:F866,4,N30:N866)</f>
        <v>248.17599999999996</v>
      </c>
      <c r="O12" s="1251">
        <f>SUMIF(F30:F866,4,O30:O866)</f>
        <v>0.62999999999999901</v>
      </c>
      <c r="P12" s="1317">
        <f>SUMIF(F30:F866,4,P30:P866)</f>
        <v>0</v>
      </c>
      <c r="Q12" s="1252">
        <f>SUMIF(F30:F866,4,Q30:Q866)</f>
        <v>128.904</v>
      </c>
      <c r="R12" s="1612">
        <f>SUMIF(F30:F866,4,R30:R866)</f>
        <v>0</v>
      </c>
      <c r="S12" s="228"/>
      <c r="T12" s="275"/>
      <c r="U12" s="275"/>
      <c r="V12" s="275"/>
      <c r="W12" s="228"/>
      <c r="X12" s="275"/>
      <c r="Y12" s="228"/>
      <c r="Z12" s="412"/>
      <c r="AA12" s="2255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s="5" customFormat="1" x14ac:dyDescent="0.35">
      <c r="A13" s="410"/>
      <c r="B13" s="1002"/>
      <c r="C13" s="1002"/>
      <c r="D13" s="411"/>
      <c r="E13" s="640"/>
      <c r="F13" s="1249">
        <v>5</v>
      </c>
      <c r="G13" s="1249"/>
      <c r="H13" s="1249"/>
      <c r="I13" s="1250">
        <f t="shared" si="2"/>
        <v>101.053</v>
      </c>
      <c r="J13" s="1250">
        <f t="shared" si="3"/>
        <v>98.81</v>
      </c>
      <c r="K13" s="1250">
        <f>SUMIF(F30:F866,5,K30:K866)</f>
        <v>0</v>
      </c>
      <c r="L13" s="1250">
        <f>SUMIF(F30:F866,5,L30:L866)</f>
        <v>2.2430000000000003</v>
      </c>
      <c r="M13" s="1250">
        <f>SUMIF(F30:F866,5,M30:M866)</f>
        <v>0</v>
      </c>
      <c r="N13" s="1250">
        <f>SUMIF(F30:F866,5,N30:N866)</f>
        <v>40.850999999999999</v>
      </c>
      <c r="O13" s="1251">
        <f>SUMIF(F30:F866,5,O30:O866)</f>
        <v>4.3730000000000002</v>
      </c>
      <c r="P13" s="1317">
        <f>SUMIF(F30:F866,5,P30:P866)</f>
        <v>0</v>
      </c>
      <c r="Q13" s="1252">
        <f>SUMIF(F30:F866,5,Q30:Q866)</f>
        <v>44.536000000000001</v>
      </c>
      <c r="R13" s="1612">
        <f>SUMIF(F30:F866,5,R30:R866)</f>
        <v>9.0500000000000007</v>
      </c>
      <c r="S13" s="228"/>
      <c r="T13" s="275"/>
      <c r="U13" s="275"/>
      <c r="V13" s="275"/>
      <c r="W13" s="228"/>
      <c r="X13" s="275"/>
      <c r="Y13" s="228"/>
      <c r="Z13" s="412"/>
      <c r="AA13" s="2255"/>
      <c r="AD13" s="2777" t="s">
        <v>11126</v>
      </c>
      <c r="AE13" s="2776"/>
      <c r="AF13" s="2778">
        <v>79</v>
      </c>
      <c r="AG13" s="2783">
        <f>M12+N12+O12</f>
        <v>248.80599999999995</v>
      </c>
      <c r="AH13" s="2783">
        <f>M13+N13+O13</f>
        <v>45.223999999999997</v>
      </c>
      <c r="AI13" s="2784">
        <f>M14+N14+O14</f>
        <v>7.1969999999999992</v>
      </c>
      <c r="AK13" s="2818" t="s">
        <v>7184</v>
      </c>
      <c r="AL13" s="2819">
        <f>AL14+AL15+AL16+AL17+AL18</f>
        <v>4.28</v>
      </c>
      <c r="AM13" s="2820">
        <f>AL13-AF29</f>
        <v>0</v>
      </c>
    </row>
    <row r="14" spans="1:39" s="5" customFormat="1" x14ac:dyDescent="0.35">
      <c r="A14" s="410"/>
      <c r="B14" s="1002"/>
      <c r="C14" s="1002"/>
      <c r="D14" s="411"/>
      <c r="E14" s="640"/>
      <c r="F14" s="1249" t="s">
        <v>448</v>
      </c>
      <c r="G14" s="1249"/>
      <c r="H14" s="1249"/>
      <c r="I14" s="1250">
        <f>J14+K14+L14</f>
        <v>168.95699999999999</v>
      </c>
      <c r="J14" s="1250">
        <f>R14+Q14+P14+O14+N14+M14</f>
        <v>167.21599999999998</v>
      </c>
      <c r="K14" s="1250">
        <f>K15+K16+K17</f>
        <v>0</v>
      </c>
      <c r="L14" s="1250">
        <f>L15+L16+L17</f>
        <v>1.7409999999999999</v>
      </c>
      <c r="M14" s="1250">
        <f t="shared" ref="M14:R14" si="4">M15+M16+M17</f>
        <v>0</v>
      </c>
      <c r="N14" s="1250">
        <f t="shared" si="4"/>
        <v>6.6669999999999989</v>
      </c>
      <c r="O14" s="1251">
        <f t="shared" si="4"/>
        <v>0.53</v>
      </c>
      <c r="P14" s="1317">
        <f t="shared" si="4"/>
        <v>1.27</v>
      </c>
      <c r="Q14" s="1252">
        <f t="shared" si="4"/>
        <v>37.203999999999994</v>
      </c>
      <c r="R14" s="1256">
        <f t="shared" si="4"/>
        <v>121.54499999999999</v>
      </c>
      <c r="S14" s="228"/>
      <c r="T14" s="275"/>
      <c r="U14" s="275"/>
      <c r="V14" s="275"/>
      <c r="W14" s="228"/>
      <c r="X14" s="275"/>
      <c r="Y14" s="228"/>
      <c r="Z14" s="412"/>
      <c r="AA14" s="2255"/>
      <c r="AD14" s="2777" t="s">
        <v>11127</v>
      </c>
      <c r="AE14" s="2776"/>
      <c r="AF14" s="2778">
        <v>80</v>
      </c>
      <c r="AG14" s="2785">
        <f>P12+Q12</f>
        <v>128.904</v>
      </c>
      <c r="AH14" s="2785">
        <f>P13+Q13</f>
        <v>44.536000000000001</v>
      </c>
      <c r="AI14" s="2786">
        <f>P14+Q14</f>
        <v>38.473999999999997</v>
      </c>
      <c r="AK14" s="2815" t="s">
        <v>11230</v>
      </c>
      <c r="AL14" s="2579">
        <f>SUMIFS(M30:M955,F30:F955,4,G30:G955,3)</f>
        <v>0</v>
      </c>
      <c r="AM14" s="2817"/>
    </row>
    <row r="15" spans="1:39" s="5" customFormat="1" x14ac:dyDescent="0.35">
      <c r="A15" s="410"/>
      <c r="B15" s="1002"/>
      <c r="C15" s="1002"/>
      <c r="D15" s="411"/>
      <c r="E15" s="640"/>
      <c r="F15" s="1253" t="s">
        <v>827</v>
      </c>
      <c r="G15" s="1249"/>
      <c r="H15" s="1249"/>
      <c r="I15" s="1318">
        <f>J15+K15+L15</f>
        <v>79.552999999999983</v>
      </c>
      <c r="J15" s="1318">
        <f>R15+Q15+P15+O15+N15+M15</f>
        <v>79.344999999999985</v>
      </c>
      <c r="K15" s="1318">
        <f>SUMIF(F30:F940,"=6а",K30:K940)</f>
        <v>0</v>
      </c>
      <c r="L15" s="1318">
        <f>SUMIF(F30:F940,"=6а",L30:L940)</f>
        <v>0.20800000000000005</v>
      </c>
      <c r="M15" s="1318">
        <f>SUMIF(F30:F940,"=6а",M30:M940)</f>
        <v>0</v>
      </c>
      <c r="N15" s="1318">
        <f>SUMIF(F30:F940,"=6а",N30:N940)</f>
        <v>5.3169999999999993</v>
      </c>
      <c r="O15" s="1319">
        <f>SUMIF(F30:F940,"=6а",O30:O940)</f>
        <v>0</v>
      </c>
      <c r="P15" s="1320">
        <f>SUMIF(F30:F940,"=6а",P30:P940)</f>
        <v>0.56999999999999995</v>
      </c>
      <c r="Q15" s="1321">
        <f>SUMIF(F30:F940,"=6а",Q30:Q940)</f>
        <v>35.735999999999997</v>
      </c>
      <c r="R15" s="1322">
        <f>SUMIF(F30:F940,"=6а",R30:R940)</f>
        <v>37.722000000000001</v>
      </c>
      <c r="S15" s="228"/>
      <c r="T15" s="275"/>
      <c r="U15" s="275"/>
      <c r="V15" s="275"/>
      <c r="W15" s="228"/>
      <c r="X15" s="275"/>
      <c r="Y15" s="228"/>
      <c r="Z15" s="412"/>
      <c r="AA15" s="2255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9.0500000000000007</v>
      </c>
      <c r="AI15" s="2788">
        <f>R14</f>
        <v>121.54499999999999</v>
      </c>
      <c r="AK15" s="2815" t="s">
        <v>11231</v>
      </c>
      <c r="AL15" s="2579">
        <f>SUMIFS(N30:N955,F30:F955,4,G30:G955,3)</f>
        <v>4.28</v>
      </c>
      <c r="AM15" s="2817"/>
    </row>
    <row r="16" spans="1:39" s="5" customFormat="1" x14ac:dyDescent="0.35">
      <c r="A16" s="410"/>
      <c r="B16" s="1002"/>
      <c r="C16" s="1002"/>
      <c r="D16" s="411"/>
      <c r="E16" s="1265"/>
      <c r="F16" s="1254" t="s">
        <v>1490</v>
      </c>
      <c r="G16" s="1249"/>
      <c r="H16" s="1249"/>
      <c r="I16" s="1318">
        <f>J16+K16+L16</f>
        <v>46.428000000000011</v>
      </c>
      <c r="J16" s="1318">
        <f>R16+Q16+P16+O16+N16+M16</f>
        <v>44.89500000000001</v>
      </c>
      <c r="K16" s="1318">
        <f>SUMIF(F30:F941,"=6б",K30:K941)</f>
        <v>0</v>
      </c>
      <c r="L16" s="1318">
        <f>SUMIF(F30:F941,"=6б",L30:L941)</f>
        <v>1.5329999999999999</v>
      </c>
      <c r="M16" s="1318">
        <f>SUMIF(F30:F941,"=6б",M30:M941)</f>
        <v>0</v>
      </c>
      <c r="N16" s="1318">
        <f>SUMIF(F30:F941,"=6б",N30:N941)</f>
        <v>1.2499999999999998</v>
      </c>
      <c r="O16" s="1319">
        <f>SUMIF(F30:F941,"=6б",O30:O941)</f>
        <v>0.53</v>
      </c>
      <c r="P16" s="1320">
        <f>SUMIF(F30:F941,"=6б",P30:P941)</f>
        <v>0.7</v>
      </c>
      <c r="Q16" s="1321">
        <f>SUMIF(F30:F941,"=6б",Q30:Q941)</f>
        <v>1.468</v>
      </c>
      <c r="R16" s="1322">
        <f>SUMIF(F30:F941,"=6б",R30:R941)</f>
        <v>40.947000000000003</v>
      </c>
      <c r="S16" s="228"/>
      <c r="T16" s="275"/>
      <c r="U16" s="275"/>
      <c r="V16" s="275"/>
      <c r="W16" s="228"/>
      <c r="X16" s="275"/>
      <c r="Y16" s="228"/>
      <c r="Z16" s="412"/>
      <c r="AA16" s="2255"/>
      <c r="AK16" s="2815" t="s">
        <v>11232</v>
      </c>
      <c r="AL16" s="2579">
        <f>SUMIFS(O30:O955,F30:F955,4,G30:G955,3)</f>
        <v>0</v>
      </c>
      <c r="AM16" s="2817"/>
    </row>
    <row r="17" spans="1:39" s="5" customFormat="1" x14ac:dyDescent="0.35">
      <c r="A17" s="410"/>
      <c r="B17" s="1002"/>
      <c r="C17" s="1002"/>
      <c r="D17" s="411"/>
      <c r="E17" s="1265"/>
      <c r="F17" s="2271" t="s">
        <v>449</v>
      </c>
      <c r="G17" s="1249"/>
      <c r="H17" s="1249"/>
      <c r="I17" s="2272">
        <f>J17+K17+L17</f>
        <v>42.975999999999985</v>
      </c>
      <c r="J17" s="2272">
        <f>R17+Q17+P17+O17+N17+M17</f>
        <v>42.975999999999985</v>
      </c>
      <c r="K17" s="2272">
        <f>SUMIF(F30:F942,"=б/к",K30:K942)</f>
        <v>0</v>
      </c>
      <c r="L17" s="2272">
        <f>SUMIF(F30:F942,"=б/к",L30:L942)</f>
        <v>0</v>
      </c>
      <c r="M17" s="2272">
        <f>SUMIF(F30:F942,"=б/к",M30:M942)</f>
        <v>0</v>
      </c>
      <c r="N17" s="2272">
        <f>SUMIF(F30:F942,"=б/к",N30:N942)</f>
        <v>0.1</v>
      </c>
      <c r="O17" s="2272">
        <f>SUMIF(F30:F942,"=б/к",O30:O942)</f>
        <v>0</v>
      </c>
      <c r="P17" s="2272">
        <f>SUMIF(F30:F942,"=б/к",P30:P942)</f>
        <v>0</v>
      </c>
      <c r="Q17" s="2273">
        <f>SUMIF(F30:F942,"=б/к",Q30:Q942)</f>
        <v>0</v>
      </c>
      <c r="R17" s="2274">
        <f>SUMIF(F30:F942,"=б/к",R30:R942)</f>
        <v>42.875999999999983</v>
      </c>
      <c r="S17" s="228"/>
      <c r="T17" s="275"/>
      <c r="U17" s="275"/>
      <c r="V17" s="275"/>
      <c r="W17" s="228"/>
      <c r="X17" s="275"/>
      <c r="Y17" s="228"/>
      <c r="Z17" s="412"/>
      <c r="AA17" s="2255"/>
      <c r="AK17" s="2815" t="s">
        <v>11233</v>
      </c>
      <c r="AL17" s="2579">
        <f>SUMIFS(P30:P955,F30:F955,4,G30:G955,3)+SUMIFS(Q30:Q955,F30:F955,4,G30:G955,3)</f>
        <v>0</v>
      </c>
      <c r="AM17" s="2817"/>
    </row>
    <row r="18" spans="1:39" s="5" customFormat="1" x14ac:dyDescent="0.35">
      <c r="A18" s="410"/>
      <c r="B18" s="1002"/>
      <c r="C18" s="1002"/>
      <c r="D18" s="411"/>
      <c r="E18" s="1266"/>
      <c r="F18" s="1266" t="s">
        <v>3303</v>
      </c>
      <c r="G18" s="1241">
        <v>3</v>
      </c>
      <c r="H18" s="1241"/>
      <c r="I18" s="1242">
        <f t="shared" si="2"/>
        <v>4.5</v>
      </c>
      <c r="J18" s="1242">
        <f t="shared" si="3"/>
        <v>4.5</v>
      </c>
      <c r="K18" s="1242">
        <f>SUMIF(G30:G866,3,K30:K866)</f>
        <v>0</v>
      </c>
      <c r="L18" s="1242">
        <f>SUMIF(G30:G866,3,L30:L866)</f>
        <v>0</v>
      </c>
      <c r="M18" s="1242">
        <f>SUMIF(G30:G866,3,M30:M866)</f>
        <v>0</v>
      </c>
      <c r="N18" s="1242">
        <f>SUMIF(G30:G866,3,N30:N866)</f>
        <v>4.5</v>
      </c>
      <c r="O18" s="1243">
        <f>SUMIF(G30:G866,3,O30:O866)</f>
        <v>0</v>
      </c>
      <c r="P18" s="1323">
        <f>SUMIF(G30:G866,3,P30:P866)</f>
        <v>0</v>
      </c>
      <c r="Q18" s="1244">
        <f>SUMIF(G30:G866,3,Q30:Q866)</f>
        <v>0</v>
      </c>
      <c r="R18" s="1613">
        <f>SUMIF(G30:G866,3,R30:R866)</f>
        <v>0</v>
      </c>
      <c r="S18" s="228"/>
      <c r="T18" s="275"/>
      <c r="U18" s="275"/>
      <c r="V18" s="275"/>
      <c r="W18" s="228"/>
      <c r="X18" s="275"/>
      <c r="Y18" s="228"/>
      <c r="Z18" s="412"/>
      <c r="AA18" s="2256"/>
      <c r="AK18" s="2815" t="s">
        <v>910</v>
      </c>
      <c r="AL18" s="2579">
        <f>SUMIFS(R30:R955,F30:F955,4,G30:G955,3)</f>
        <v>0</v>
      </c>
      <c r="AM18" s="2817"/>
    </row>
    <row r="19" spans="1:39" s="5" customFormat="1" x14ac:dyDescent="0.35">
      <c r="A19" s="410"/>
      <c r="B19" s="1002"/>
      <c r="C19" s="1002"/>
      <c r="D19" s="411"/>
      <c r="E19" s="98"/>
      <c r="F19" s="1240"/>
      <c r="G19" s="1241">
        <v>4</v>
      </c>
      <c r="H19" s="1241"/>
      <c r="I19" s="1242">
        <f t="shared" si="2"/>
        <v>389.54799999999989</v>
      </c>
      <c r="J19" s="1242">
        <f t="shared" si="3"/>
        <v>386.9489999999999</v>
      </c>
      <c r="K19" s="1242">
        <f>SUMIF(G30:G866,4,K30:K866)</f>
        <v>0</v>
      </c>
      <c r="L19" s="1242">
        <f>SUMIF(G30:G866,4,L30:L866)</f>
        <v>2.5989999999999989</v>
      </c>
      <c r="M19" s="1242">
        <f>SUMIF(G30:G866,4,M30:M866)</f>
        <v>0</v>
      </c>
      <c r="N19" s="1242">
        <f>SUMIF(G30:G866,4,N30:N866)</f>
        <v>244.00599999999994</v>
      </c>
      <c r="O19" s="1243">
        <f>SUMIF(G30:G866,4,O30:O866)</f>
        <v>0.62999999999999901</v>
      </c>
      <c r="P19" s="1323">
        <f>SUMIF(G30:G866,4,P30:P866)</f>
        <v>0</v>
      </c>
      <c r="Q19" s="1244">
        <f>SUMIF(G30:G866,4,Q30:Q866)</f>
        <v>137.41299999999995</v>
      </c>
      <c r="R19" s="1613">
        <f>SUMIF(G30:G866,4,R30:R866)</f>
        <v>4.8999999999999995</v>
      </c>
      <c r="S19" s="228"/>
      <c r="T19" s="275"/>
      <c r="U19" s="275"/>
      <c r="V19" s="275"/>
      <c r="W19" s="228"/>
      <c r="X19" s="275"/>
      <c r="Y19" s="228"/>
      <c r="Z19" s="412"/>
      <c r="AA19" s="2256"/>
      <c r="AK19" s="2818" t="s">
        <v>7185</v>
      </c>
      <c r="AL19" s="2821">
        <f>AL20+AL21+AL22+AL23+AL24</f>
        <v>0.21999999999999975</v>
      </c>
      <c r="AM19" s="2820">
        <f>AL19-AG29</f>
        <v>0</v>
      </c>
    </row>
    <row r="20" spans="1:39" s="5" customFormat="1" x14ac:dyDescent="0.35">
      <c r="A20" s="1621"/>
      <c r="B20" s="1622"/>
      <c r="C20" s="1622"/>
      <c r="D20" s="1623"/>
      <c r="E20" s="319"/>
      <c r="F20" s="1258"/>
      <c r="G20" s="1259">
        <v>5</v>
      </c>
      <c r="H20" s="1259"/>
      <c r="I20" s="1260">
        <f t="shared" si="2"/>
        <v>255.56499999999997</v>
      </c>
      <c r="J20" s="1260">
        <f t="shared" si="3"/>
        <v>252.28699999999998</v>
      </c>
      <c r="K20" s="1260">
        <f>SUMIF(G30:G866,5,K30:K866)</f>
        <v>0</v>
      </c>
      <c r="L20" s="1260">
        <f>SUMIF(G30:G866,5,L30:L866)</f>
        <v>3.278</v>
      </c>
      <c r="M20" s="1260">
        <f>SUMIF(G30:G866,5,M30:M866)</f>
        <v>0</v>
      </c>
      <c r="N20" s="1260">
        <f>SUMIF(G30:G866,5,N30:N866)</f>
        <v>47.188000000000009</v>
      </c>
      <c r="O20" s="1261">
        <f>SUMIF(G30:G866,5,O30:O866)</f>
        <v>4.9030000000000005</v>
      </c>
      <c r="P20" s="1624">
        <f>SUMIF(G30:G866,5,P30:P866)</f>
        <v>1.27</v>
      </c>
      <c r="Q20" s="1262">
        <f>SUMIF(G30:G866,5,Q30:Q866)</f>
        <v>73.231000000000009</v>
      </c>
      <c r="R20" s="1625">
        <f>SUMIF(G30:G866,5,R30:R866)</f>
        <v>125.69499999999995</v>
      </c>
      <c r="S20" s="760"/>
      <c r="T20" s="404"/>
      <c r="U20" s="404"/>
      <c r="V20" s="404"/>
      <c r="W20" s="760"/>
      <c r="X20" s="404"/>
      <c r="Y20" s="760"/>
      <c r="Z20" s="1610"/>
      <c r="AA20" s="2256"/>
      <c r="AK20" s="2815" t="s">
        <v>11230</v>
      </c>
      <c r="AL20" s="2579">
        <f>SUMIFS(M30:M955,F30:F955,5,G30:G955,3)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2256"/>
      <c r="AB21" s="3"/>
      <c r="AC21" s="3"/>
      <c r="AK21" s="2815" t="s">
        <v>11231</v>
      </c>
      <c r="AL21" s="2579">
        <f>SUMIFS(N30:N955,F30:F955,5,G30:G955,3)</f>
        <v>0.21999999999999975</v>
      </c>
      <c r="AM21" s="2817"/>
    </row>
    <row r="22" spans="1:39" customFormat="1" x14ac:dyDescent="0.35">
      <c r="A22" s="285"/>
      <c r="B22" s="993"/>
      <c r="C22" s="993"/>
      <c r="D22" s="538">
        <f>SUMIF(C30:C873,"=сад",AB30:AB873)</f>
        <v>37</v>
      </c>
      <c r="E22" s="2241" t="s">
        <v>2763</v>
      </c>
      <c r="F22" s="98"/>
      <c r="G22" s="226"/>
      <c r="H22" s="226"/>
      <c r="I22" s="2247">
        <f>J22+K22+L22</f>
        <v>22.220000000000002</v>
      </c>
      <c r="J22" s="2247">
        <f>R22+Q22+P22+O22+N22+M22</f>
        <v>22.220000000000002</v>
      </c>
      <c r="K22" s="2247">
        <f>SUMIF(C30:C873,"=сад",K30:K873)</f>
        <v>0</v>
      </c>
      <c r="L22" s="2247">
        <f>SUMIF(C30:C873,"=сад",L30:L873)</f>
        <v>0</v>
      </c>
      <c r="M22" s="2247">
        <f>SUMIF(C30:C873,"=сад",M30:M873)</f>
        <v>0</v>
      </c>
      <c r="N22" s="2247">
        <f>SUMIF(C30:C873,"=сад",N30:N873)</f>
        <v>0.30000000000000004</v>
      </c>
      <c r="O22" s="2248">
        <f>SUMIF(C30:C873,"=сад",O30:O873)</f>
        <v>0</v>
      </c>
      <c r="P22" s="2247">
        <f>SUMIF(C30:C873,"=сад",P30:P873)</f>
        <v>0</v>
      </c>
      <c r="Q22" s="2249">
        <f>SUMIF(C30:C873,"=сад",Q30:Q873)</f>
        <v>0</v>
      </c>
      <c r="R22" s="2250">
        <f>SUMIF(C30:C873,"=сад",R30:R873)</f>
        <v>21.92</v>
      </c>
      <c r="S22" s="275"/>
      <c r="T22" s="275"/>
      <c r="U22" s="275"/>
      <c r="V22" s="275"/>
      <c r="W22" s="275"/>
      <c r="X22" s="275"/>
      <c r="Y22" s="275"/>
      <c r="Z22" s="412"/>
      <c r="AA22" s="2256"/>
      <c r="AB22" s="3"/>
      <c r="AC22" s="3"/>
      <c r="AK22" s="2815" t="s">
        <v>11232</v>
      </c>
      <c r="AL22" s="2579">
        <f>SUMIFS(O30:O955,F30:F955,5,G30:G955,3)</f>
        <v>0</v>
      </c>
      <c r="AM22" s="2817"/>
    </row>
    <row r="23" spans="1:39" customFormat="1" x14ac:dyDescent="0.35">
      <c r="A23" s="285"/>
      <c r="B23" s="993"/>
      <c r="C23" s="993"/>
      <c r="D23" s="538">
        <f>SUMIF(C30:C874,"=индив",AB30:AB874)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SUMIF(C30:C874,"=индив",K30:K874)</f>
        <v>0</v>
      </c>
      <c r="L23" s="2247">
        <f>SUMIF(C30:C874,"=индив",L30:L874)</f>
        <v>0</v>
      </c>
      <c r="M23" s="2247">
        <f>SUMIF(C30:C874,"=индив",M30:M874)</f>
        <v>0</v>
      </c>
      <c r="N23" s="2247">
        <f>SUMIF(C30:C874,"=индив",N30:N874)</f>
        <v>0</v>
      </c>
      <c r="O23" s="2248">
        <f>SUMIF(C30:C874,"=индив",O30:O874)</f>
        <v>0</v>
      </c>
      <c r="P23" s="2247">
        <f>SUMIF(C30:C874,"=индив",P30:P874)</f>
        <v>0</v>
      </c>
      <c r="Q23" s="2249">
        <f>SUMIF(C30:C874,"=индив",Q30:Q874)</f>
        <v>0</v>
      </c>
      <c r="R23" s="2250">
        <f>SUMIF(C30:C874,"=индив",R30:R874)</f>
        <v>0</v>
      </c>
      <c r="S23" s="275"/>
      <c r="T23" s="275"/>
      <c r="U23" s="275"/>
      <c r="V23" s="275"/>
      <c r="W23" s="275"/>
      <c r="X23" s="275"/>
      <c r="Y23" s="275"/>
      <c r="Z23" s="412"/>
      <c r="AA23" s="2256"/>
      <c r="AB23" s="3"/>
      <c r="AC23" s="3"/>
      <c r="AK23" s="2815" t="s">
        <v>11233</v>
      </c>
      <c r="AL23" s="2579">
        <f>SUMIFS(P30:P955,F30:F955,5,G30:G955,3)+SUMIFS(Q30:Q955,F30:F955,5,G30:G955,3)</f>
        <v>0</v>
      </c>
      <c r="AM23" s="2817"/>
    </row>
    <row r="24" spans="1:39" customFormat="1" x14ac:dyDescent="0.35">
      <c r="A24" s="285"/>
      <c r="B24" s="993"/>
      <c r="C24" s="993"/>
      <c r="D24" s="538">
        <f>SUMIF(C30:C875,"=кладб",AB30:AB875)</f>
        <v>53</v>
      </c>
      <c r="E24" s="2241" t="s">
        <v>2761</v>
      </c>
      <c r="F24" s="98"/>
      <c r="G24" s="226"/>
      <c r="H24" s="226"/>
      <c r="I24" s="2247">
        <f>J24+K24+L24</f>
        <v>26.212999999999997</v>
      </c>
      <c r="J24" s="2247">
        <f>R24+Q24+P24+O24+N24+M24</f>
        <v>26.212999999999997</v>
      </c>
      <c r="K24" s="2247">
        <f>SUMIF(C30:C875,"=кладб",K30:K875)</f>
        <v>0</v>
      </c>
      <c r="L24" s="2247">
        <f>SUMIF(C30:C875,"=кладб",L30:L875)</f>
        <v>0</v>
      </c>
      <c r="M24" s="2247">
        <f>SUMIF(C30:C875,"=кладб",M30:M875)</f>
        <v>0</v>
      </c>
      <c r="N24" s="2247">
        <f>SUMIF(C30:C875,"=кладб",N30:N875)</f>
        <v>1.3329999999999997</v>
      </c>
      <c r="O24" s="2248">
        <f>SUMIF(C30:C875,"=кладб",O30:O875)</f>
        <v>0</v>
      </c>
      <c r="P24" s="2247">
        <f>SUMIF(C30:C875,"=кладб",P30:P875)</f>
        <v>0.7</v>
      </c>
      <c r="Q24" s="2249">
        <f>SUMIF(C30:C875,"=кладб",Q30:Q875)</f>
        <v>1.9700000000000002</v>
      </c>
      <c r="R24" s="2250">
        <f>SUMIF(C30:C875,"=кладб",R30:R875)</f>
        <v>22.21</v>
      </c>
      <c r="S24" s="275"/>
      <c r="T24" s="275"/>
      <c r="U24" s="275"/>
      <c r="V24" s="275"/>
      <c r="W24" s="275"/>
      <c r="X24" s="275"/>
      <c r="Y24" s="275"/>
      <c r="Z24" s="412"/>
      <c r="AA24" s="2256"/>
      <c r="AB24" s="3"/>
      <c r="AC24" s="3"/>
      <c r="AK24" s="2815" t="s">
        <v>910</v>
      </c>
      <c r="AL24" s="2579">
        <f>SUMIFS(R30:R955,F30:F955,5,G30:G955,3)</f>
        <v>0</v>
      </c>
      <c r="AM24" s="2817"/>
    </row>
    <row r="25" spans="1:39" customFormat="1" x14ac:dyDescent="0.35">
      <c r="A25" s="387"/>
      <c r="B25" s="994"/>
      <c r="C25" s="994"/>
      <c r="D25" s="538">
        <f>SUMIF(C30:C876,"=прир",AB30:AB876)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SUMIF(C30:C876,"=прир",K30:K876)</f>
        <v>0</v>
      </c>
      <c r="L25" s="2259">
        <f>SUMIF(C30:C876,"=прир",L30:L876)</f>
        <v>0</v>
      </c>
      <c r="M25" s="2259">
        <f>SUMIF(C30:C876,"=прир",M30:M876)</f>
        <v>0</v>
      </c>
      <c r="N25" s="2259">
        <f>SUMIF(C30:C876,"=прир",N30:N876)</f>
        <v>0</v>
      </c>
      <c r="O25" s="2260">
        <f>SUMIF(C30:C876,"=прир",O30:O876)</f>
        <v>0</v>
      </c>
      <c r="P25" s="2259">
        <f>SUMIF(C30:C876,"=прир",P30:P876)</f>
        <v>0</v>
      </c>
      <c r="Q25" s="2261">
        <f>SUMIF(C30:C876,"=прир",Q30:Q876)</f>
        <v>0</v>
      </c>
      <c r="R25" s="2262">
        <f>SUMIF(C30:C876,"=прир",R30:R876)</f>
        <v>0</v>
      </c>
      <c r="S25" s="404"/>
      <c r="T25" s="404"/>
      <c r="U25" s="404"/>
      <c r="V25" s="404"/>
      <c r="W25" s="404"/>
      <c r="X25" s="404"/>
      <c r="Y25" s="404"/>
      <c r="Z25" s="1610"/>
      <c r="AA25" s="2256"/>
      <c r="AB25" s="3"/>
      <c r="AC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SUMIF(C30:C877,"=ист",AB30:AB877)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SUMIF(C30:C877,"=ист",K30:K877)</f>
        <v>0</v>
      </c>
      <c r="L26" s="2259">
        <f>SUMIF(C30:C877,"=ист",L30:L877)</f>
        <v>0</v>
      </c>
      <c r="M26" s="2259">
        <f>SUMIF(C30:C877,"=ист",M30:M877)</f>
        <v>0</v>
      </c>
      <c r="N26" s="2259">
        <f>SUMIF(C30:C877,"=ист",N30:N877)</f>
        <v>0</v>
      </c>
      <c r="O26" s="2260">
        <f>SUMIF(C30:C877,"=ист",O30:O877)</f>
        <v>0</v>
      </c>
      <c r="P26" s="2259">
        <f>SUMIF(C30:C877,"=ист",P30:P877)</f>
        <v>0</v>
      </c>
      <c r="Q26" s="2261">
        <f>SUMIF(C30:C877,"=ист",Q30:Q877)</f>
        <v>0</v>
      </c>
      <c r="R26" s="2262">
        <f>SUMIF(C30:C877,"=ист",R30:R877)</f>
        <v>0</v>
      </c>
      <c r="S26" s="404"/>
      <c r="T26" s="404"/>
      <c r="U26" s="404"/>
      <c r="V26" s="404"/>
      <c r="W26" s="404"/>
      <c r="X26" s="404"/>
      <c r="Y26" s="404"/>
      <c r="Z26" s="1610"/>
      <c r="AA26" s="2256"/>
      <c r="AB26" s="3"/>
      <c r="AC26" s="3"/>
      <c r="AK26" s="2815" t="s">
        <v>11230</v>
      </c>
      <c r="AL26" s="2579">
        <f>SUMIFS(M30:M955,F30:F955,"6а",G30:G955,3)+SUMIFS(M30:M955,F30:F955,"6б",G30:G955,3)+SUMIFS(M30:M955,F30:F955,"б/к",G30:G955,3)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2256"/>
      <c r="AB27" s="3"/>
      <c r="AC27" s="3"/>
      <c r="AK27" s="2815" t="s">
        <v>11231</v>
      </c>
      <c r="AL27" s="2579">
        <f>SUMIFS(N30:N955,F30:F955,"6а",G30:G955,3)+SUMIFS(N30:N955,F30:F955,"6б",G30:G955,3)+SUMIFS(N30:N955,F30:F955,"б/к",G30:G955,3)</f>
        <v>0</v>
      </c>
      <c r="AM27" s="2817"/>
    </row>
    <row r="28" spans="1:39" s="5" customFormat="1" ht="16" thickBot="1" x14ac:dyDescent="0.4">
      <c r="A28" s="1638"/>
      <c r="B28" s="1639"/>
      <c r="C28" s="1639"/>
      <c r="D28" s="1640"/>
      <c r="E28" s="452"/>
      <c r="F28" s="452"/>
      <c r="G28" s="452"/>
      <c r="H28" s="452"/>
      <c r="I28" s="2325">
        <f>SUBTOTAL(9,I30:I522)</f>
        <v>649.61300000000017</v>
      </c>
      <c r="J28" s="2325">
        <f t="shared" ref="J28:R28" si="5">SUBTOTAL(9,J30:J522)</f>
        <v>643.7360000000001</v>
      </c>
      <c r="K28" s="2325">
        <f t="shared" si="5"/>
        <v>0</v>
      </c>
      <c r="L28" s="2325">
        <f t="shared" si="5"/>
        <v>11.753999999999998</v>
      </c>
      <c r="M28" s="2325">
        <f t="shared" si="5"/>
        <v>0</v>
      </c>
      <c r="N28" s="2325">
        <f t="shared" si="5"/>
        <v>506.23999999999995</v>
      </c>
      <c r="O28" s="2325">
        <f t="shared" si="5"/>
        <v>6.1629999999999985</v>
      </c>
      <c r="P28" s="2325">
        <f t="shared" si="5"/>
        <v>2.5399999999999996</v>
      </c>
      <c r="Q28" s="2325">
        <f t="shared" si="5"/>
        <v>378.46300000000019</v>
      </c>
      <c r="R28" s="2325">
        <f t="shared" si="5"/>
        <v>168.98299999999998</v>
      </c>
      <c r="S28" s="453"/>
      <c r="T28" s="452"/>
      <c r="U28" s="452"/>
      <c r="V28" s="452"/>
      <c r="W28" s="453"/>
      <c r="X28" s="452"/>
      <c r="Y28" s="453"/>
      <c r="Z28" s="452"/>
      <c r="AA28" s="451"/>
      <c r="AB28" s="2322">
        <f>SUBTOTAL(9,AB30:AB522)</f>
        <v>245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SUMIFS(O30:O955,F30:F955,"6а",G30:G955,3)+SUMIFS(O30:O955,F30:F955,"6б",G30:G955,3)+SUMIFS(O30:O955,F30:F955,"б/к",G30:G955,3)</f>
        <v>0</v>
      </c>
      <c r="AM28" s="2817"/>
    </row>
    <row r="29" spans="1:39" x14ac:dyDescent="0.35">
      <c r="A29" s="1626"/>
      <c r="B29" s="1627"/>
      <c r="C29" s="1627"/>
      <c r="D29" s="1628"/>
      <c r="E29" s="476" t="s">
        <v>2871</v>
      </c>
      <c r="F29" s="508"/>
      <c r="G29" s="1629"/>
      <c r="H29" s="1629"/>
      <c r="I29" s="1630"/>
      <c r="J29" s="1631"/>
      <c r="K29" s="1631"/>
      <c r="L29" s="1631"/>
      <c r="M29" s="1631"/>
      <c r="N29" s="1632"/>
      <c r="O29" s="1633"/>
      <c r="P29" s="1634"/>
      <c r="Q29" s="1635"/>
      <c r="R29" s="1614"/>
      <c r="S29" s="414"/>
      <c r="T29" s="257"/>
      <c r="U29" s="257"/>
      <c r="V29" s="257"/>
      <c r="W29" s="1636"/>
      <c r="X29" s="1637"/>
      <c r="Y29" s="1636"/>
      <c r="Z29" s="307"/>
      <c r="AD29" s="2578" t="s">
        <v>7180</v>
      </c>
      <c r="AE29" s="2579">
        <f>SUMIFS(M30:M900,F30:F900,3,G30:G900,3)+SUMIFS(N30:N900,F30:F900,3,G30:G900,3)+SUMIFS(O30:O900,F30:F900,3,G30:G900,3)+SUMIFS(P30:P900,F30:F900,3,G30:G900,3)+SUMIFS(Q30:Q900,F30:F900,3,G30:G900,3)+SUMIFS(R30:R900,F30:F900,3,G30:G900,3)</f>
        <v>0</v>
      </c>
      <c r="AF29" s="2579">
        <f>SUMIFS(M30:M900,F30:F900,4,G30:G900,3)+SUMIFS(N30:N900,F30:F900,4,G30:G900,3)+SUMIFS(O30:O900,F30:F900,4,G30:G900,3)+SUMIFS(P30:P900,F30:F900,4,G30:G900,3)+SUMIFS(Q30:Q900,F30:F900,4,G30:G900,3)+SUMIFS(R30:R900,F30:F900,4,G30:G900,3)</f>
        <v>4.28</v>
      </c>
      <c r="AG29" s="2579">
        <f>SUMIFS(M30:M900,F30:F900,5,G30:G900,3)+SUMIFS(N30:N900,F30:F900,5,G30:G900,3)+SUMIFS(O30:O900,F30:F900,5,G30:G900,3)+SUMIFS(P30:P900,F30:F900,5,G30:G900,3)+SUMIFS(Q30:Q900,F30:F900,5,G30:G900,3)+SUMIFS(R30:R900,F30:F900,5,G30:G900,3)</f>
        <v>0.21999999999999975</v>
      </c>
      <c r="AH29" s="2579">
        <f>SUMIFS(M30:M900,F30:F900,"6а",G30:G900,3)+SUMIFS(N30:N900,F30:F900,"6а",G30:G900,3)+SUMIFS(O30:O900,F30:F900,"6а",G30:G900,3)+SUMIFS(P30:P900,F30:F900,"6а",G30:G900,3)+SUMIFS(Q30:Q900,F30:F900,"6а",G30:G900,3)+SUMIFS(R30:R900,F30:F900,"6а",G30:G900,3)</f>
        <v>0</v>
      </c>
      <c r="AI29" s="2579">
        <f>SUMIFS(M30:M900,F30:F900,"6б",G30:G900,3)+SUMIFS(N30:N900,F30:F900,"6б",G30:G900,3)+SUMIFS(O30:O900,F30:F900,"6б",G30:G900,3)+SUMIFS(P30:P900,F30:F900,"6б",G30:G900,3)+SUMIFS(Q30:Q900,F30:F900,"6б",G30:G900,3)+SUMIFS(R30:R900,F30:F900,"6б",G30:G900,3)</f>
        <v>0</v>
      </c>
      <c r="AJ29" s="2580">
        <f>SUMIFS(M30:M900,F30:F900,"б/к",G30:G900,3)+SUMIFS(N30:N900,F30:F900,"б/к",G30:G900,3)+SUMIFS(O30:O900,F30:F900,"б/к",G30:G900,3)+SUMIFS(P30:P900,F30:F900,"б/к",G30:G900,3)+SUMIFS(Q30:Q900,F30:F900,"б/к",G30:G900,3)+SUMIFS(R30:R900,F30:F900,"б/к",G30:G900,3)</f>
        <v>0</v>
      </c>
      <c r="AK29" s="2815" t="s">
        <v>11233</v>
      </c>
      <c r="AL29" s="2579">
        <f>SUMIFS(P30:P955,F30:F955,"6а",G30:G955,3)+SUMIFS(Q30:Q955,F30:F955,"6а",G30:G955,3)+SUMIFS(P30:P955,F30:F955,"6б",G30:G955,3)+SUMIFS(Q30:Q955,F30:F955,"6б",G30:G955,3)+SUMIFS(P30:P955,F30:F955,"б/к",G30:G955,3)+SUMIFS(Q30:Q955,F30:F955,"б/к",G30:G955,3)</f>
        <v>0</v>
      </c>
      <c r="AM29" s="2817"/>
    </row>
    <row r="30" spans="1:39" s="16" customFormat="1" ht="30" x14ac:dyDescent="0.35">
      <c r="A30" s="2586">
        <v>1</v>
      </c>
      <c r="B30" s="1607">
        <v>10076</v>
      </c>
      <c r="C30" s="1607"/>
      <c r="D30" s="434" t="s">
        <v>473</v>
      </c>
      <c r="E30" s="429" t="s">
        <v>9505</v>
      </c>
      <c r="F30" s="2349"/>
      <c r="G30" s="2349" t="s">
        <v>191</v>
      </c>
      <c r="H30" s="2349" t="s">
        <v>191</v>
      </c>
      <c r="I30" s="483">
        <f>J30+K30+L30</f>
        <v>4.5</v>
      </c>
      <c r="J30" s="297">
        <f>SUM(M30:R30)</f>
        <v>4.5</v>
      </c>
      <c r="K30" s="483"/>
      <c r="L30" s="483"/>
      <c r="M30" s="483"/>
      <c r="N30" s="484">
        <v>4.5</v>
      </c>
      <c r="O30" s="1016"/>
      <c r="P30" s="968"/>
      <c r="Q30" s="1015"/>
      <c r="R30" s="1614"/>
      <c r="S30" s="45"/>
      <c r="T30" s="233"/>
      <c r="U30" s="233"/>
      <c r="V30" s="233"/>
      <c r="W30" s="45">
        <v>8</v>
      </c>
      <c r="X30" s="1619">
        <f>50+47.8</f>
        <v>97.8</v>
      </c>
      <c r="Y30" s="45">
        <v>5</v>
      </c>
      <c r="Z30" s="309">
        <v>50</v>
      </c>
      <c r="AB30" s="3">
        <v>1</v>
      </c>
      <c r="AD30" s="2578" t="s">
        <v>7181</v>
      </c>
      <c r="AE30" s="2579">
        <f>SUMIFS(M30:M900,F30:F900,3,G30:G900,4)+SUMIFS(N30:N900,F30:F900,3,G30:G900,4)+SUMIFS(O30:O900,F30:F900,3,G30:G900,4)+SUMIFS(P30:P900,F30:F900,3,G30:G900,4)+SUMIFS(Q30:Q900,F30:F900,3,G30:G900,4)+SUMIFS(R30:R900,F30:F900,3,G30:G900,4)</f>
        <v>0</v>
      </c>
      <c r="AF30" s="2579">
        <f>SUMIFS(M30:M900,F30:F900,4,G30:G900,4)+SUMIFS(N30:N900,F30:F900,4,G30:G900,4)+SUMIFS(O30:O900,F30:F900,4,G30:G900,4)+SUMIFS(P30:P900,F30:F900,4,G30:G900,4)+SUMIFS(Q30:Q900,F30:F900,4,G30:G900,4)+SUMIFS(R30:R900,F30:F900,4,G30:G900,4)</f>
        <v>355.69299999999998</v>
      </c>
      <c r="AG30" s="2579">
        <f>SUMIFS(M30:M900,F30:F900,5,G30:G900,4)+SUMIFS(N30:N900,F30:F900,5,G30:G900,4)+SUMIFS(O30:O900,F30:F900,5,G30:G900,4)+SUMIFS(P30:P900,F30:F900,5,G30:G900,4)+SUMIFS(Q30:Q900,F30:F900,5,G30:G900,4)+SUMIFS(R30:R900,F30:F900,5,G30:G900,4)</f>
        <v>26.355999999999998</v>
      </c>
      <c r="AH30" s="2579">
        <f>SUMIFS(M30:M900,F30:F900,"6а",G30:G900,4)+SUMIFS(N30:N900,F30:F900,"6а",G30:G900,4)+SUMIFS(O30:O900,F30:F900,"6а",G30:G900,4)+SUMIFS(P30:P900,F30:F900,"6а",G30:G900,4)+SUMIFS(Q30:Q900,F30:F900,"6а",G30:G900,4)+SUMIFS(R30:R900,F30:F900,"6а",G30:G900,4)</f>
        <v>0.8</v>
      </c>
      <c r="AI30" s="2579">
        <f>SUMIFS(M30:M900,F30:F900,"6б",G30:G900,4)+SUMIFS(N30:N900,F30:F900,"6б",G30:G900,4)+SUMIFS(O30:O900,F30:F900,"6б",G30:G900,4)+SUMIFS(P30:P900,F30:F900,"6б",G30:G900,4)+SUMIFS(Q30:Q900,F30:F900,"6б",G30:G900,4)+SUMIFS(R30:R900,F30:F900,"6б",G30:G900,4)</f>
        <v>4.0999999999999996</v>
      </c>
      <c r="AJ30" s="2580">
        <f>SUMIFS(M30:M900,F30:F900,"б/к",G30:G900,4)+SUMIFS(N30:N900,F30:F900,"б/к",G30:G900,4)+SUMIFS(O30:O900,F30:F900,"б/к",G30:G900,4)+SUMIFS(P30:P900,F30:F900,"б/к",G30:G900,4)+SUMIFS(Q30:Q900,F30:F900,"б/к",G30:G900,4)+SUMIFS(R30:R900,F30:F900,"б/к",G30:G900,4)</f>
        <v>0</v>
      </c>
      <c r="AK30" s="2815" t="s">
        <v>910</v>
      </c>
      <c r="AL30" s="2579">
        <f>SUMIFS(R30:R955,F30:F955,"6а",G30:G955,3)+SUMIFS(R30:R955,F30:F955,"6б",G30:G955,3)+SUMIFS(R30:R955,F30:F955,"б/к",G30:G955,3)</f>
        <v>0</v>
      </c>
      <c r="AM30" s="2817"/>
    </row>
    <row r="31" spans="1:39" s="16" customFormat="1" ht="46.5" x14ac:dyDescent="0.35">
      <c r="A31" s="2586"/>
      <c r="B31" s="1005">
        <v>10076</v>
      </c>
      <c r="C31" s="1005"/>
      <c r="D31" s="434"/>
      <c r="E31" s="289" t="s">
        <v>11559</v>
      </c>
      <c r="F31" s="2349"/>
      <c r="G31" s="2349" t="s">
        <v>191</v>
      </c>
      <c r="H31" s="2349" t="s">
        <v>191</v>
      </c>
      <c r="I31" s="483"/>
      <c r="J31" s="297"/>
      <c r="K31" s="483"/>
      <c r="L31" s="483"/>
      <c r="M31" s="483"/>
      <c r="N31" s="484"/>
      <c r="O31" s="1016"/>
      <c r="P31" s="968"/>
      <c r="Q31" s="1015"/>
      <c r="R31" s="1614"/>
      <c r="S31" s="45"/>
      <c r="T31" s="233"/>
      <c r="U31" s="233"/>
      <c r="V31" s="233"/>
      <c r="W31" s="45"/>
      <c r="X31" s="1619"/>
      <c r="Y31" s="45"/>
      <c r="Z31" s="309"/>
      <c r="AD31" s="2581" t="s">
        <v>7182</v>
      </c>
      <c r="AE31" s="2582">
        <f>SUMIFS(M30:M900,F30:F900,3,G30:G900,5)+SUMIFS(N30:N900,F30:F900,3,G30:G900,5)+SUMIFS(O30:O900,F30:F900,3,G30:G900,5)+SUMIFS(P30:P900,F30:F900,3,G30:G900,5)+SUMIFS(Q30:Q900,F30:F900,3,G30:G900,5)+SUMIFS(R30:R900,F30:F900,3,G30:G900,5)</f>
        <v>0</v>
      </c>
      <c r="AF31" s="2582">
        <f>SUMIFS(M30:M900,F30:F900,4,G30:G900,5)+SUMIFS(N30:N900,F30:F900,4,G30:G900,5)+SUMIFS(O30:O900,F30:F900,4,G30:G900,5)+SUMIFS(P30:P900,F30:F900,4,G30:G900,5)+SUMIFS(Q30:Q900,F30:F900,4,G30:G900,5)+SUMIFS(R30:R900,F30:F900,4,G30:G900,5)</f>
        <v>17.737000000000002</v>
      </c>
      <c r="AG31" s="2582">
        <f>SUMIFS(M30:M900,F30:F900,5,G30:G900,5)+SUMIFS(N30:N900,F30:F900,5,G30:G900,5)+SUMIFS(O30:O900,F30:F900,5,G30:G900,5)+SUMIFS(P30:P900,F30:F900,5,G30:G900,5)+SUMIFS(Q30:Q900,F30:F900,5,G30:G900,5)+SUMIFS(R30:R900,F30:F900,5,G30:G900,5)</f>
        <v>72.234000000000009</v>
      </c>
      <c r="AH31" s="2582">
        <f>SUMIFS(M30:M900,F30:F900,"6а",G30:G900,5)+SUMIFS(N30:N900,F30:F900,"6а",G30:G900,5)+SUMIFS(O30:O900,F30:F900,"6а",G30:G900,5)+SUMIFS(P30:P900,F30:F900,"6а",G30:G900,5)+SUMIFS(Q30:Q900,F30:F900,"6а",G30:G900,5)+SUMIFS(R30:R900,F30:F900,"6а",G30:G900,5)</f>
        <v>78.545000000000002</v>
      </c>
      <c r="AI31" s="2582">
        <f>SUMIFS(M30:M900,F30:F900,"6б",G30:G900,5)+SUMIFS(N30:N900,F30:F900,"6б",G30:G900,5)+SUMIFS(O30:O900,F30:F900,"6б",G30:G900,5)+SUMIFS(P30:P900,F30:F900,"6б",G30:G900,5)+SUMIFS(Q30:Q900,F30:F900,"6б",G30:G900,5)+SUMIFS(R30:R900,F30:F900,"6б",G30:G900,5)</f>
        <v>40.795000000000002</v>
      </c>
      <c r="AJ31" s="2583">
        <f>SUMIFS(M30:M900,F30:F900,"б/к",G30:G900,5)+SUMIFS(N30:N900,F30:F900,"б/к",G30:G900,5)+SUMIFS(O30:O900,F30:F900,"б/к",G30:G900,5)+SUMIFS(P30:P900,F30:F900,"б/к",G30:G900,5)+SUMIFS(Q30:Q900,F30:F900,"б/к",G30:G900,5)+SUMIFS(R30:R900,F30:F900,"б/к",G30:G900,5)</f>
        <v>42.975999999999985</v>
      </c>
      <c r="AK31" s="2815"/>
      <c r="AL31" s="2579"/>
      <c r="AM31" s="2817"/>
    </row>
    <row r="32" spans="1:39" s="16" customFormat="1" x14ac:dyDescent="0.35">
      <c r="A32" s="2586"/>
      <c r="B32" s="1005">
        <v>10076</v>
      </c>
      <c r="C32" s="1003"/>
      <c r="D32" s="434"/>
      <c r="E32" s="289" t="s">
        <v>11639</v>
      </c>
      <c r="F32" s="2349">
        <v>4</v>
      </c>
      <c r="G32" s="2349">
        <v>3</v>
      </c>
      <c r="H32" s="2349">
        <v>6</v>
      </c>
      <c r="I32" s="499"/>
      <c r="J32" s="298"/>
      <c r="K32" s="499"/>
      <c r="L32" s="499"/>
      <c r="M32" s="499"/>
      <c r="N32" s="2972">
        <v>4.28</v>
      </c>
      <c r="O32" s="1016"/>
      <c r="P32" s="968"/>
      <c r="Q32" s="1015"/>
      <c r="R32" s="1614"/>
      <c r="S32" s="45"/>
      <c r="T32" s="233"/>
      <c r="U32" s="233"/>
      <c r="V32" s="233"/>
      <c r="W32" s="45"/>
      <c r="X32" s="1619"/>
      <c r="Y32" s="45"/>
      <c r="Z32" s="309"/>
      <c r="AD32"/>
      <c r="AE32" s="1572"/>
      <c r="AF32"/>
      <c r="AG32"/>
      <c r="AH32"/>
      <c r="AI32" s="2584" t="s">
        <v>7183</v>
      </c>
      <c r="AJ32" s="2585">
        <f>SUMIF(AB30:AB900,"=1",J30:J900)</f>
        <v>643.7360000000001</v>
      </c>
      <c r="AK32" s="2818" t="s">
        <v>11235</v>
      </c>
      <c r="AL32" s="2821">
        <f>AL34+AL40+AL46</f>
        <v>386.94899999999996</v>
      </c>
      <c r="AM32" s="2820">
        <f>AL32-J19</f>
        <v>0</v>
      </c>
    </row>
    <row r="33" spans="1:39" s="16" customFormat="1" x14ac:dyDescent="0.35">
      <c r="A33" s="2586"/>
      <c r="B33" s="1005">
        <v>10076</v>
      </c>
      <c r="C33" s="1003"/>
      <c r="D33" s="434"/>
      <c r="E33" s="289" t="s">
        <v>11640</v>
      </c>
      <c r="F33" s="2349">
        <v>5</v>
      </c>
      <c r="G33" s="2349">
        <v>3</v>
      </c>
      <c r="H33" s="2349">
        <v>6</v>
      </c>
      <c r="I33" s="499"/>
      <c r="J33" s="298"/>
      <c r="K33" s="499"/>
      <c r="L33" s="499"/>
      <c r="M33" s="499"/>
      <c r="N33" s="2972">
        <f>4.5-4.28</f>
        <v>0.21999999999999975</v>
      </c>
      <c r="O33" s="1016"/>
      <c r="P33" s="968"/>
      <c r="Q33" s="1015"/>
      <c r="R33" s="1614"/>
      <c r="S33" s="45"/>
      <c r="T33" s="233"/>
      <c r="U33" s="233"/>
      <c r="V33" s="233"/>
      <c r="W33" s="45"/>
      <c r="X33" s="1619"/>
      <c r="Y33" s="45"/>
      <c r="Z33" s="309"/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s="16" customFormat="1" ht="30.5" x14ac:dyDescent="0.35">
      <c r="A34" s="433">
        <v>2</v>
      </c>
      <c r="B34" s="1003">
        <v>10076</v>
      </c>
      <c r="C34" s="1003"/>
      <c r="D34" s="2460" t="s">
        <v>3850</v>
      </c>
      <c r="E34" s="407" t="s">
        <v>9506</v>
      </c>
      <c r="F34" s="1834" t="s">
        <v>664</v>
      </c>
      <c r="G34" s="1834">
        <v>5</v>
      </c>
      <c r="H34" s="2349">
        <v>6</v>
      </c>
      <c r="I34" s="483">
        <f>J34+K34+L34</f>
        <v>0.94</v>
      </c>
      <c r="J34" s="297">
        <f>SUM(M34:R34)</f>
        <v>0.94</v>
      </c>
      <c r="K34" s="297"/>
      <c r="L34" s="297"/>
      <c r="M34" s="297"/>
      <c r="N34" s="486"/>
      <c r="O34" s="619"/>
      <c r="P34" s="969"/>
      <c r="Q34" s="932"/>
      <c r="R34" s="1615">
        <v>0.94</v>
      </c>
      <c r="S34" s="45"/>
      <c r="T34" s="233"/>
      <c r="U34" s="233"/>
      <c r="V34" s="233"/>
      <c r="W34" s="45"/>
      <c r="X34" s="233"/>
      <c r="Y34" s="45"/>
      <c r="Z34" s="309"/>
      <c r="AB34" s="3">
        <v>1</v>
      </c>
      <c r="AD34" s="2338"/>
      <c r="AK34" s="2818" t="s">
        <v>7184</v>
      </c>
      <c r="AL34" s="2821">
        <f>AL35+AL36+AL37+AL38+AL39</f>
        <v>355.69299999999998</v>
      </c>
      <c r="AM34" s="2820">
        <f>AL34-AF30</f>
        <v>0</v>
      </c>
    </row>
    <row r="35" spans="1:39" ht="30" x14ac:dyDescent="0.35">
      <c r="A35" s="433">
        <v>3</v>
      </c>
      <c r="B35" s="1003">
        <v>10077</v>
      </c>
      <c r="C35" s="1003"/>
      <c r="D35" s="434" t="s">
        <v>2040</v>
      </c>
      <c r="E35" s="407" t="s">
        <v>1233</v>
      </c>
      <c r="F35" s="1834"/>
      <c r="G35" s="1834" t="s">
        <v>191</v>
      </c>
      <c r="H35" s="2349" t="s">
        <v>191</v>
      </c>
      <c r="I35" s="297">
        <f>J35+K35+L35</f>
        <v>13.272</v>
      </c>
      <c r="J35" s="297">
        <f>SUM(M35:R35)</f>
        <v>12.817</v>
      </c>
      <c r="K35" s="297"/>
      <c r="L35" s="297">
        <f>SUM(L37:L45)</f>
        <v>0.45500000000000007</v>
      </c>
      <c r="M35" s="297"/>
      <c r="N35" s="486">
        <f>SUM(N36:N45)</f>
        <v>3.427</v>
      </c>
      <c r="O35" s="619"/>
      <c r="P35" s="969"/>
      <c r="Q35" s="932">
        <f>SUM(Q36:Q45)</f>
        <v>8.59</v>
      </c>
      <c r="R35" s="1615">
        <f>SUM(R37:R45)</f>
        <v>0.8</v>
      </c>
      <c r="S35" s="45"/>
      <c r="T35" s="233"/>
      <c r="U35" s="233"/>
      <c r="V35" s="233"/>
      <c r="W35" s="45">
        <v>18</v>
      </c>
      <c r="X35" s="233">
        <v>220.3</v>
      </c>
      <c r="Y35" s="45">
        <v>2</v>
      </c>
      <c r="Z35" s="309">
        <v>25</v>
      </c>
      <c r="AB35" s="3">
        <v>1</v>
      </c>
      <c r="AK35" s="2815" t="s">
        <v>11230</v>
      </c>
      <c r="AL35" s="2579">
        <f>SUMIFS(M30:M955,F30:F955,4,G30:G955,4)</f>
        <v>0</v>
      </c>
      <c r="AM35" s="2817"/>
    </row>
    <row r="36" spans="1:39" x14ac:dyDescent="0.35">
      <c r="A36" s="433"/>
      <c r="B36" s="1003">
        <v>10077</v>
      </c>
      <c r="C36" s="1003"/>
      <c r="D36" s="435"/>
      <c r="E36" s="430" t="s">
        <v>421</v>
      </c>
      <c r="F36" s="1834">
        <v>4</v>
      </c>
      <c r="G36" s="1834">
        <v>4</v>
      </c>
      <c r="H36" s="2349">
        <v>6</v>
      </c>
      <c r="I36" s="298"/>
      <c r="J36" s="298"/>
      <c r="K36" s="298"/>
      <c r="L36" s="298"/>
      <c r="M36" s="298"/>
      <c r="N36" s="487">
        <v>0.69</v>
      </c>
      <c r="O36" s="621"/>
      <c r="P36" s="970"/>
      <c r="Q36" s="933"/>
      <c r="R36" s="1616"/>
      <c r="S36" s="45"/>
      <c r="T36" s="233"/>
      <c r="U36" s="233"/>
      <c r="V36" s="233"/>
      <c r="W36" s="45"/>
      <c r="X36" s="233"/>
      <c r="Y36" s="45"/>
      <c r="Z36" s="309"/>
      <c r="AK36" s="2815" t="s">
        <v>11231</v>
      </c>
      <c r="AL36" s="2579">
        <f>SUMIFS(N30:N955,F30:F955,4,G30:G955,4)</f>
        <v>230.804</v>
      </c>
      <c r="AM36" s="2817"/>
    </row>
    <row r="37" spans="1:39" ht="62" x14ac:dyDescent="0.35">
      <c r="A37" s="433"/>
      <c r="B37" s="1003">
        <v>10077</v>
      </c>
      <c r="C37" s="1003"/>
      <c r="D37" s="435"/>
      <c r="E37" s="430" t="s">
        <v>224</v>
      </c>
      <c r="F37" s="1834">
        <v>4</v>
      </c>
      <c r="G37" s="1834">
        <v>4</v>
      </c>
      <c r="H37" s="1834" t="s">
        <v>191</v>
      </c>
      <c r="I37" s="298"/>
      <c r="J37" s="298"/>
      <c r="K37" s="298"/>
      <c r="L37" s="298">
        <f>1.145-0.69</f>
        <v>0.45500000000000007</v>
      </c>
      <c r="M37" s="298"/>
      <c r="N37" s="487"/>
      <c r="O37" s="621"/>
      <c r="P37" s="970"/>
      <c r="Q37" s="933"/>
      <c r="R37" s="1616"/>
      <c r="S37" s="45"/>
      <c r="T37" s="233"/>
      <c r="U37" s="233"/>
      <c r="V37" s="233"/>
      <c r="W37" s="45"/>
      <c r="X37" s="233"/>
      <c r="Y37" s="45"/>
      <c r="Z37" s="309"/>
      <c r="AK37" s="2815" t="s">
        <v>11232</v>
      </c>
      <c r="AL37" s="2579">
        <f>SUMIFS(O30:O955,F30:F955,4,G30:G955,4)</f>
        <v>0.62999999999999901</v>
      </c>
      <c r="AM37" s="2817"/>
    </row>
    <row r="38" spans="1:39" s="19" customFormat="1" x14ac:dyDescent="0.35">
      <c r="A38" s="433"/>
      <c r="B38" s="1003">
        <v>10077</v>
      </c>
      <c r="C38" s="1003"/>
      <c r="D38" s="435"/>
      <c r="E38" s="507" t="s">
        <v>3000</v>
      </c>
      <c r="F38" s="1834">
        <v>4</v>
      </c>
      <c r="G38" s="1834">
        <v>4</v>
      </c>
      <c r="H38" s="2349">
        <v>6</v>
      </c>
      <c r="I38" s="298"/>
      <c r="J38" s="298"/>
      <c r="K38" s="298"/>
      <c r="L38" s="298"/>
      <c r="M38" s="298"/>
      <c r="N38" s="487">
        <f>1.62-1.145</f>
        <v>0.47500000000000009</v>
      </c>
      <c r="O38" s="621"/>
      <c r="P38" s="970"/>
      <c r="Q38" s="933"/>
      <c r="R38" s="1616"/>
      <c r="S38" s="45"/>
      <c r="T38" s="233"/>
      <c r="U38" s="233"/>
      <c r="V38" s="233"/>
      <c r="W38" s="45"/>
      <c r="X38" s="233"/>
      <c r="Y38" s="45"/>
      <c r="Z38" s="309"/>
      <c r="AK38" s="2815" t="s">
        <v>11233</v>
      </c>
      <c r="AL38" s="2579">
        <f>SUMIFS(P30:P955,F30:F955,4,G30:G955,4)+SUMIFS(Q30:Q955,F30:F955,4,G30:G955,4)</f>
        <v>124.25899999999997</v>
      </c>
      <c r="AM38" s="2817"/>
    </row>
    <row r="39" spans="1:39" x14ac:dyDescent="0.35">
      <c r="A39" s="2044"/>
      <c r="B39" s="1003">
        <v>10077</v>
      </c>
      <c r="C39" s="1003"/>
      <c r="D39" s="436"/>
      <c r="E39" s="840" t="s">
        <v>3001</v>
      </c>
      <c r="F39" s="1834">
        <v>4</v>
      </c>
      <c r="G39" s="1834">
        <v>4</v>
      </c>
      <c r="H39" s="1834">
        <v>6</v>
      </c>
      <c r="I39" s="300"/>
      <c r="J39" s="300"/>
      <c r="K39" s="300"/>
      <c r="L39" s="300"/>
      <c r="M39" s="300"/>
      <c r="N39" s="487"/>
      <c r="O39" s="621"/>
      <c r="P39" s="970"/>
      <c r="Q39" s="933">
        <v>1.83</v>
      </c>
      <c r="R39" s="1616"/>
      <c r="S39" s="1641"/>
      <c r="T39" s="1642"/>
      <c r="U39" s="1642"/>
      <c r="V39" s="1642"/>
      <c r="W39" s="1641"/>
      <c r="X39" s="1642"/>
      <c r="Y39" s="1641"/>
      <c r="Z39" s="1643"/>
      <c r="AK39" s="2815" t="s">
        <v>910</v>
      </c>
      <c r="AL39" s="2579">
        <f>SUMIFS(R30:R955,F30:F955,4,G30:G955,4)</f>
        <v>0</v>
      </c>
      <c r="AM39" s="2817"/>
    </row>
    <row r="40" spans="1:39" s="19" customFormat="1" x14ac:dyDescent="0.35">
      <c r="A40" s="433"/>
      <c r="B40" s="1003">
        <v>10077</v>
      </c>
      <c r="C40" s="1003"/>
      <c r="D40" s="435"/>
      <c r="E40" s="430" t="s">
        <v>1820</v>
      </c>
      <c r="F40" s="1834">
        <v>4</v>
      </c>
      <c r="G40" s="1834">
        <v>4</v>
      </c>
      <c r="H40" s="2349">
        <v>6</v>
      </c>
      <c r="I40" s="298"/>
      <c r="J40" s="298"/>
      <c r="K40" s="298"/>
      <c r="L40" s="298"/>
      <c r="M40" s="298"/>
      <c r="N40" s="487">
        <v>0.54</v>
      </c>
      <c r="O40" s="621"/>
      <c r="P40" s="970"/>
      <c r="Q40" s="933"/>
      <c r="R40" s="1616"/>
      <c r="S40" s="45"/>
      <c r="T40" s="233"/>
      <c r="U40" s="233"/>
      <c r="V40" s="233"/>
      <c r="W40" s="45"/>
      <c r="X40" s="233"/>
      <c r="Y40" s="45"/>
      <c r="Z40" s="309"/>
      <c r="AK40" s="2818" t="s">
        <v>7185</v>
      </c>
      <c r="AL40" s="2821">
        <f>AL41+AL42+AL43+AL44+AL45</f>
        <v>26.355999999999998</v>
      </c>
      <c r="AM40" s="2820">
        <f>AL40-AG30</f>
        <v>0</v>
      </c>
    </row>
    <row r="41" spans="1:39" x14ac:dyDescent="0.35">
      <c r="A41" s="2044"/>
      <c r="B41" s="1003">
        <v>10077</v>
      </c>
      <c r="C41" s="1003"/>
      <c r="D41" s="436"/>
      <c r="E41" s="840" t="s">
        <v>1821</v>
      </c>
      <c r="F41" s="1834">
        <v>4</v>
      </c>
      <c r="G41" s="1834">
        <v>4</v>
      </c>
      <c r="H41" s="1834">
        <v>6</v>
      </c>
      <c r="I41" s="300"/>
      <c r="J41" s="300"/>
      <c r="K41" s="300"/>
      <c r="L41" s="300"/>
      <c r="M41" s="300"/>
      <c r="N41" s="487"/>
      <c r="O41" s="621"/>
      <c r="P41" s="970"/>
      <c r="Q41" s="933">
        <v>5.12</v>
      </c>
      <c r="R41" s="1616"/>
      <c r="S41" s="1641"/>
      <c r="T41" s="1642"/>
      <c r="U41" s="1642"/>
      <c r="V41" s="1642"/>
      <c r="W41" s="1641"/>
      <c r="X41" s="1642"/>
      <c r="Y41" s="1641"/>
      <c r="Z41" s="1643"/>
      <c r="AK41" s="2815" t="s">
        <v>11230</v>
      </c>
      <c r="AL41" s="2579">
        <f>SUMIFS(M30:M955,F30:F955,5,G30:G955,4)</f>
        <v>0</v>
      </c>
      <c r="AM41" s="2817"/>
    </row>
    <row r="42" spans="1:39" s="20" customFormat="1" x14ac:dyDescent="0.35">
      <c r="A42" s="433"/>
      <c r="B42" s="1003">
        <v>10077</v>
      </c>
      <c r="C42" s="1003"/>
      <c r="D42" s="435"/>
      <c r="E42" s="430" t="s">
        <v>3108</v>
      </c>
      <c r="F42" s="1834">
        <v>4</v>
      </c>
      <c r="G42" s="1834">
        <v>4</v>
      </c>
      <c r="H42" s="2349">
        <v>6</v>
      </c>
      <c r="I42" s="298"/>
      <c r="J42" s="298"/>
      <c r="K42" s="298"/>
      <c r="L42" s="298"/>
      <c r="M42" s="298"/>
      <c r="N42" s="487">
        <v>0.85</v>
      </c>
      <c r="O42" s="621"/>
      <c r="P42" s="970"/>
      <c r="Q42" s="933"/>
      <c r="R42" s="1616"/>
      <c r="S42" s="45"/>
      <c r="T42" s="233"/>
      <c r="U42" s="233"/>
      <c r="V42" s="233"/>
      <c r="W42" s="45"/>
      <c r="X42" s="233"/>
      <c r="Y42" s="45"/>
      <c r="Z42" s="309"/>
      <c r="AK42" s="2815" t="s">
        <v>11231</v>
      </c>
      <c r="AL42" s="2579">
        <f>SUMIFS(N30:N955,F30:F955,5,G30:G955,4)</f>
        <v>13.201999999999998</v>
      </c>
      <c r="AM42" s="2817"/>
    </row>
    <row r="43" spans="1:39" s="19" customFormat="1" x14ac:dyDescent="0.35">
      <c r="A43" s="2045"/>
      <c r="B43" s="1003">
        <v>10077</v>
      </c>
      <c r="C43" s="1003"/>
      <c r="D43" s="437"/>
      <c r="E43" s="841" t="s">
        <v>3109</v>
      </c>
      <c r="F43" s="1834" t="s">
        <v>827</v>
      </c>
      <c r="G43" s="1834">
        <v>4</v>
      </c>
      <c r="H43" s="2349">
        <v>6</v>
      </c>
      <c r="I43" s="301"/>
      <c r="J43" s="301"/>
      <c r="K43" s="301"/>
      <c r="L43" s="301"/>
      <c r="M43" s="301"/>
      <c r="N43" s="487"/>
      <c r="O43" s="621"/>
      <c r="P43" s="970"/>
      <c r="Q43" s="933"/>
      <c r="R43" s="1616">
        <v>0.8</v>
      </c>
      <c r="S43" s="1644"/>
      <c r="T43" s="1645"/>
      <c r="U43" s="1645"/>
      <c r="V43" s="1645"/>
      <c r="W43" s="1644"/>
      <c r="X43" s="1645"/>
      <c r="Y43" s="1644"/>
      <c r="Z43" s="1646"/>
      <c r="AK43" s="2815" t="s">
        <v>11232</v>
      </c>
      <c r="AL43" s="2579">
        <f>SUMIFS(O30:O955,F30:F955,5,G30:G955,4)</f>
        <v>0</v>
      </c>
      <c r="AM43" s="2817"/>
    </row>
    <row r="44" spans="1:39" x14ac:dyDescent="0.35">
      <c r="A44" s="2044"/>
      <c r="B44" s="1003">
        <v>10077</v>
      </c>
      <c r="C44" s="1003"/>
      <c r="D44" s="436"/>
      <c r="E44" s="840" t="s">
        <v>3110</v>
      </c>
      <c r="F44" s="1834">
        <v>4</v>
      </c>
      <c r="G44" s="1834">
        <v>4</v>
      </c>
      <c r="H44" s="1834">
        <v>6</v>
      </c>
      <c r="I44" s="300"/>
      <c r="J44" s="300"/>
      <c r="K44" s="300"/>
      <c r="L44" s="300"/>
      <c r="M44" s="300"/>
      <c r="N44" s="487"/>
      <c r="O44" s="621"/>
      <c r="P44" s="970"/>
      <c r="Q44" s="933">
        <v>1.64</v>
      </c>
      <c r="R44" s="1616"/>
      <c r="S44" s="1641"/>
      <c r="T44" s="1642"/>
      <c r="U44" s="1642"/>
      <c r="V44" s="1642"/>
      <c r="W44" s="1641"/>
      <c r="X44" s="1642"/>
      <c r="Y44" s="1641"/>
      <c r="Z44" s="1643"/>
      <c r="AK44" s="2815" t="s">
        <v>11233</v>
      </c>
      <c r="AL44" s="2579">
        <f>SUMIFS(P30:P955,F30:F955,5,G30:G955,4)+SUMIFS(Q30:Q955,F30:F955,5,G30:G955,4)</f>
        <v>13.154</v>
      </c>
      <c r="AM44" s="2817"/>
    </row>
    <row r="45" spans="1:39" s="16" customFormat="1" x14ac:dyDescent="0.35">
      <c r="A45" s="433"/>
      <c r="B45" s="1003">
        <v>10077</v>
      </c>
      <c r="C45" s="1003"/>
      <c r="D45" s="435"/>
      <c r="E45" s="430" t="s">
        <v>3111</v>
      </c>
      <c r="F45" s="1834">
        <v>4</v>
      </c>
      <c r="G45" s="1834">
        <v>4</v>
      </c>
      <c r="H45" s="2349">
        <v>6</v>
      </c>
      <c r="I45" s="499"/>
      <c r="J45" s="298"/>
      <c r="K45" s="298"/>
      <c r="L45" s="298"/>
      <c r="M45" s="298"/>
      <c r="N45" s="487">
        <f>13.272-12.4</f>
        <v>0.87199999999999989</v>
      </c>
      <c r="O45" s="621"/>
      <c r="P45" s="970"/>
      <c r="Q45" s="933"/>
      <c r="R45" s="1616"/>
      <c r="S45" s="45"/>
      <c r="T45" s="233"/>
      <c r="U45" s="233"/>
      <c r="V45" s="233"/>
      <c r="W45" s="45"/>
      <c r="X45" s="233"/>
      <c r="Y45" s="45"/>
      <c r="Z45" s="309"/>
      <c r="AK45" s="2815" t="s">
        <v>910</v>
      </c>
      <c r="AL45" s="2579">
        <f>SUMIFS(R30:R955,F30:F955,5,G30:G955,4)</f>
        <v>0</v>
      </c>
      <c r="AM45" s="2817"/>
    </row>
    <row r="46" spans="1:39" ht="30.5" x14ac:dyDescent="0.35">
      <c r="A46" s="433">
        <v>4</v>
      </c>
      <c r="B46" s="1003">
        <v>10077</v>
      </c>
      <c r="C46" s="1003"/>
      <c r="D46" s="2460" t="s">
        <v>3851</v>
      </c>
      <c r="E46" s="407" t="s">
        <v>7450</v>
      </c>
      <c r="F46" s="1834">
        <v>5</v>
      </c>
      <c r="G46" s="1834">
        <v>5</v>
      </c>
      <c r="H46" s="2349">
        <v>6</v>
      </c>
      <c r="I46" s="297">
        <f t="shared" ref="I46:I51" si="6">J46+K46+L46</f>
        <v>0.99</v>
      </c>
      <c r="J46" s="297">
        <f t="shared" ref="J46:J51" si="7">SUM(M46:R46)</f>
        <v>0.99</v>
      </c>
      <c r="K46" s="297"/>
      <c r="L46" s="297"/>
      <c r="M46" s="297"/>
      <c r="N46" s="486"/>
      <c r="O46" s="619">
        <v>0.99</v>
      </c>
      <c r="P46" s="969"/>
      <c r="Q46" s="932"/>
      <c r="R46" s="1615"/>
      <c r="S46" s="45"/>
      <c r="T46" s="233"/>
      <c r="U46" s="233"/>
      <c r="V46" s="233"/>
      <c r="W46" s="45"/>
      <c r="X46" s="233"/>
      <c r="Y46" s="45"/>
      <c r="Z46" s="309"/>
      <c r="AB46" s="3">
        <v>1</v>
      </c>
      <c r="AK46" s="2818" t="s">
        <v>11234</v>
      </c>
      <c r="AL46" s="2821">
        <f>AL47+AL48+AL49+AL50+AL51</f>
        <v>4.8999999999999995</v>
      </c>
      <c r="AM46" s="2820">
        <f>AL46-AH30-AI30-AJ30</f>
        <v>0</v>
      </c>
    </row>
    <row r="47" spans="1:39" ht="30.5" x14ac:dyDescent="0.35">
      <c r="A47" s="433">
        <v>5</v>
      </c>
      <c r="B47" s="1003">
        <v>10077</v>
      </c>
      <c r="C47" s="1003"/>
      <c r="D47" s="2460" t="s">
        <v>3852</v>
      </c>
      <c r="E47" s="407" t="s">
        <v>7451</v>
      </c>
      <c r="F47" s="1834" t="s">
        <v>664</v>
      </c>
      <c r="G47" s="1834">
        <v>5</v>
      </c>
      <c r="H47" s="2349">
        <v>6</v>
      </c>
      <c r="I47" s="297">
        <f t="shared" si="6"/>
        <v>0.8</v>
      </c>
      <c r="J47" s="297">
        <f t="shared" si="7"/>
        <v>0.8</v>
      </c>
      <c r="K47" s="297"/>
      <c r="L47" s="297"/>
      <c r="M47" s="297"/>
      <c r="N47" s="486"/>
      <c r="O47" s="619"/>
      <c r="P47" s="969"/>
      <c r="Q47" s="932"/>
      <c r="R47" s="1615">
        <v>0.8</v>
      </c>
      <c r="S47" s="45"/>
      <c r="T47" s="233"/>
      <c r="U47" s="233"/>
      <c r="V47" s="233"/>
      <c r="W47" s="45">
        <v>2</v>
      </c>
      <c r="X47" s="233">
        <v>15.1</v>
      </c>
      <c r="Y47" s="45"/>
      <c r="Z47" s="309"/>
      <c r="AB47" s="3">
        <v>1</v>
      </c>
      <c r="AK47" s="2815" t="s">
        <v>11230</v>
      </c>
      <c r="AL47" s="2579">
        <f>SUMIFS(M30:M955,F30:F955,"6а",G30:G955,4)+SUMIFS(M30:M955,F30:F955,"6б",G30:G955,4)+SUMIFS(M30:M955,F30:F955,"б/к",G30:G955,4)</f>
        <v>0</v>
      </c>
      <c r="AM47" s="2817"/>
    </row>
    <row r="48" spans="1:39" ht="30.5" x14ac:dyDescent="0.35">
      <c r="A48" s="433">
        <v>6</v>
      </c>
      <c r="B48" s="1003">
        <v>10077</v>
      </c>
      <c r="C48" s="1003"/>
      <c r="D48" s="2460" t="s">
        <v>3853</v>
      </c>
      <c r="E48" s="407" t="s">
        <v>7452</v>
      </c>
      <c r="F48" s="1834" t="s">
        <v>1490</v>
      </c>
      <c r="G48" s="1834">
        <v>5</v>
      </c>
      <c r="H48" s="2349">
        <v>6</v>
      </c>
      <c r="I48" s="297">
        <f t="shared" si="6"/>
        <v>1.1000000000000001</v>
      </c>
      <c r="J48" s="297">
        <f t="shared" si="7"/>
        <v>1.1000000000000001</v>
      </c>
      <c r="K48" s="297"/>
      <c r="L48" s="297"/>
      <c r="M48" s="297"/>
      <c r="N48" s="486"/>
      <c r="O48" s="619"/>
      <c r="P48" s="969"/>
      <c r="Q48" s="932"/>
      <c r="R48" s="1615">
        <v>1.1000000000000001</v>
      </c>
      <c r="S48" s="45"/>
      <c r="T48" s="233"/>
      <c r="U48" s="233"/>
      <c r="V48" s="233"/>
      <c r="W48" s="45">
        <v>1</v>
      </c>
      <c r="X48" s="233">
        <v>15.3</v>
      </c>
      <c r="Y48" s="45"/>
      <c r="Z48" s="309"/>
      <c r="AB48" s="3">
        <v>1</v>
      </c>
      <c r="AK48" s="2815" t="s">
        <v>11231</v>
      </c>
      <c r="AL48" s="2579">
        <f>SUMIFS(N30:N955,F30:F955,"6а",G30:G955,4)+SUMIFS(N30:N955,F30:F955,"6б",G30:G955,4)+SUMIFS(N30:N955,F30:F955,"б/к",G30:G955,4)</f>
        <v>0</v>
      </c>
      <c r="AM48" s="2817"/>
    </row>
    <row r="49" spans="1:39" ht="45.5" x14ac:dyDescent="0.35">
      <c r="A49" s="439">
        <v>7</v>
      </c>
      <c r="B49" s="1004">
        <v>10077</v>
      </c>
      <c r="C49" s="1004" t="s">
        <v>1656</v>
      </c>
      <c r="D49" s="2460" t="s">
        <v>3854</v>
      </c>
      <c r="E49" s="407" t="s">
        <v>8177</v>
      </c>
      <c r="F49" s="1834" t="s">
        <v>664</v>
      </c>
      <c r="G49" s="1834">
        <v>5</v>
      </c>
      <c r="H49" s="2349">
        <v>6</v>
      </c>
      <c r="I49" s="297">
        <f t="shared" si="6"/>
        <v>0.1</v>
      </c>
      <c r="J49" s="297">
        <f t="shared" si="7"/>
        <v>0.1</v>
      </c>
      <c r="K49" s="297"/>
      <c r="L49" s="297"/>
      <c r="M49" s="297"/>
      <c r="N49" s="486"/>
      <c r="O49" s="619"/>
      <c r="P49" s="969"/>
      <c r="Q49" s="932"/>
      <c r="R49" s="1615">
        <v>0.1</v>
      </c>
      <c r="S49" s="45"/>
      <c r="T49" s="233"/>
      <c r="U49" s="233"/>
      <c r="V49" s="233"/>
      <c r="W49" s="45"/>
      <c r="X49" s="233"/>
      <c r="Y49" s="45"/>
      <c r="Z49" s="309"/>
      <c r="AB49" s="3">
        <v>1</v>
      </c>
      <c r="AK49" s="2815" t="s">
        <v>11232</v>
      </c>
      <c r="AL49" s="2579">
        <f>SUMIFS(O30:O955,F30:F955,"6а",G30:G955,4)+SUMIFS(O30:O955,F30:F955,"6б",G30:G955,4)+SUMIFS(O30:O955,F30:F955,"б/к",G30:G955,4)</f>
        <v>0</v>
      </c>
      <c r="AM49" s="2817"/>
    </row>
    <row r="50" spans="1:39" ht="45.5" x14ac:dyDescent="0.35">
      <c r="A50" s="439">
        <v>8</v>
      </c>
      <c r="B50" s="1004">
        <v>10077</v>
      </c>
      <c r="C50" s="1004" t="s">
        <v>1656</v>
      </c>
      <c r="D50" s="2460" t="s">
        <v>3855</v>
      </c>
      <c r="E50" s="407" t="s">
        <v>9624</v>
      </c>
      <c r="F50" s="1834" t="s">
        <v>664</v>
      </c>
      <c r="G50" s="1834">
        <v>5</v>
      </c>
      <c r="H50" s="2349">
        <v>6</v>
      </c>
      <c r="I50" s="483">
        <f t="shared" si="6"/>
        <v>0.1</v>
      </c>
      <c r="J50" s="297">
        <f t="shared" si="7"/>
        <v>0.1</v>
      </c>
      <c r="K50" s="297"/>
      <c r="L50" s="297"/>
      <c r="M50" s="297"/>
      <c r="N50" s="486"/>
      <c r="O50" s="619"/>
      <c r="P50" s="969"/>
      <c r="Q50" s="932"/>
      <c r="R50" s="1615">
        <v>0.1</v>
      </c>
      <c r="S50" s="45"/>
      <c r="T50" s="233"/>
      <c r="U50" s="233"/>
      <c r="V50" s="233"/>
      <c r="W50" s="45"/>
      <c r="X50" s="233"/>
      <c r="Y50" s="45"/>
      <c r="Z50" s="309"/>
      <c r="AB50" s="3">
        <v>1</v>
      </c>
      <c r="AK50" s="2815" t="s">
        <v>11233</v>
      </c>
      <c r="AL50" s="2579">
        <f>SUMIFS(P30:P955,F30:F955,"6а",G30:G955,4)+SUMIFS(Q30:Q955,F30:F955,"6а",G30:G955,4)+SUMIFS(P30:P955,F30:F955,"6б",G30:G955,4)+SUMIFS(Q30:Q955,F30:F955,"6б",G30:G955,4)+SUMIFS(O30:O955,F30:F955,"б/к",G30:G955,4)+SUMIFS(P30:P955,F30:F955,"б/к",G30:G955,4)+SUMIFS(Q30:Q955,F30:F955,"б/к",G30:G955,4)</f>
        <v>0</v>
      </c>
      <c r="AM50" s="2817"/>
    </row>
    <row r="51" spans="1:39" ht="30" x14ac:dyDescent="0.35">
      <c r="A51" s="433">
        <v>9</v>
      </c>
      <c r="B51" s="1003">
        <v>10078</v>
      </c>
      <c r="C51" s="1003"/>
      <c r="D51" s="434" t="s">
        <v>787</v>
      </c>
      <c r="E51" s="407" t="s">
        <v>3201</v>
      </c>
      <c r="F51" s="1834"/>
      <c r="G51" s="1834" t="s">
        <v>191</v>
      </c>
      <c r="H51" s="2349" t="s">
        <v>191</v>
      </c>
      <c r="I51" s="483">
        <f t="shared" si="6"/>
        <v>7.4029999999999996</v>
      </c>
      <c r="J51" s="297">
        <f t="shared" si="7"/>
        <v>6.6429999999999998</v>
      </c>
      <c r="K51" s="297"/>
      <c r="L51" s="486">
        <f>SUM(L52:L59)</f>
        <v>0.76</v>
      </c>
      <c r="M51" s="297"/>
      <c r="N51" s="486">
        <f>SUM(N52:N59)</f>
        <v>2.6089999999999991</v>
      </c>
      <c r="O51" s="619"/>
      <c r="P51" s="969"/>
      <c r="Q51" s="932">
        <f>SUM(Q52:Q59)</f>
        <v>4.0340000000000007</v>
      </c>
      <c r="R51" s="1615"/>
      <c r="S51" s="45"/>
      <c r="T51" s="233"/>
      <c r="U51" s="233"/>
      <c r="V51" s="233"/>
      <c r="W51" s="45">
        <v>20</v>
      </c>
      <c r="X51" s="233">
        <v>218.5</v>
      </c>
      <c r="Y51" s="45">
        <v>15</v>
      </c>
      <c r="Z51" s="309">
        <v>155.6</v>
      </c>
      <c r="AB51" s="3">
        <v>1</v>
      </c>
      <c r="AK51" s="2815" t="s">
        <v>910</v>
      </c>
      <c r="AL51" s="2579">
        <f>SUMIFS(R30:R955,F30:F955,"6а",G30:G955,4)+SUMIFS(R30:R955,F30:F955,"6б",G30:G955,4)+SUMIFS(R30:R955,F30:F955,"б/к",G30:G955,4)</f>
        <v>4.8999999999999995</v>
      </c>
      <c r="AM51" s="2817"/>
    </row>
    <row r="52" spans="1:39" ht="46.5" x14ac:dyDescent="0.35">
      <c r="A52" s="433"/>
      <c r="B52" s="1003"/>
      <c r="C52" s="1003"/>
      <c r="D52" s="434"/>
      <c r="E52" s="431" t="s">
        <v>10917</v>
      </c>
      <c r="F52" s="1834">
        <v>5</v>
      </c>
      <c r="G52" s="1834">
        <v>4</v>
      </c>
      <c r="H52" s="2349" t="s">
        <v>191</v>
      </c>
      <c r="I52" s="484"/>
      <c r="J52" s="486"/>
      <c r="K52" s="486"/>
      <c r="L52" s="487">
        <v>0.127</v>
      </c>
      <c r="M52" s="486"/>
      <c r="N52" s="486"/>
      <c r="O52" s="619"/>
      <c r="P52" s="969"/>
      <c r="Q52" s="932"/>
      <c r="R52" s="1615"/>
      <c r="S52" s="45"/>
      <c r="T52" s="233"/>
      <c r="U52" s="233"/>
      <c r="V52" s="233"/>
      <c r="W52" s="45"/>
      <c r="X52" s="233"/>
      <c r="Y52" s="45"/>
      <c r="Z52" s="309"/>
      <c r="AK52" s="2815"/>
      <c r="AL52" s="2579"/>
      <c r="AM52" s="2817"/>
    </row>
    <row r="53" spans="1:39" s="19" customFormat="1" x14ac:dyDescent="0.35">
      <c r="A53" s="433"/>
      <c r="B53" s="1003">
        <v>10078</v>
      </c>
      <c r="C53" s="1003"/>
      <c r="D53" s="435"/>
      <c r="E53" s="431" t="s">
        <v>11196</v>
      </c>
      <c r="F53" s="1834">
        <v>5</v>
      </c>
      <c r="G53" s="1834">
        <v>4</v>
      </c>
      <c r="H53" s="2349">
        <v>6</v>
      </c>
      <c r="I53" s="487"/>
      <c r="J53" s="487"/>
      <c r="K53" s="487"/>
      <c r="L53" s="487"/>
      <c r="M53" s="487"/>
      <c r="N53" s="487">
        <f>2.316-0.127</f>
        <v>2.1890000000000001</v>
      </c>
      <c r="O53" s="621"/>
      <c r="P53" s="970"/>
      <c r="Q53" s="933"/>
      <c r="R53" s="1616"/>
      <c r="S53" s="45"/>
      <c r="T53" s="233"/>
      <c r="U53" s="233"/>
      <c r="V53" s="233"/>
      <c r="W53" s="45"/>
      <c r="X53" s="233"/>
      <c r="Y53" s="45"/>
      <c r="Z53" s="309"/>
      <c r="AA53" s="19" t="s">
        <v>7300</v>
      </c>
      <c r="AK53" s="2818" t="s">
        <v>11236</v>
      </c>
      <c r="AL53" s="2821">
        <f>AL55+AL61+AL68</f>
        <v>252.28699999999998</v>
      </c>
      <c r="AM53" s="2820">
        <f>AL53-J20</f>
        <v>0</v>
      </c>
    </row>
    <row r="54" spans="1:39" s="16" customFormat="1" x14ac:dyDescent="0.35">
      <c r="A54" s="433"/>
      <c r="B54" s="1003">
        <v>10078</v>
      </c>
      <c r="C54" s="1003"/>
      <c r="D54" s="435"/>
      <c r="E54" s="840" t="s">
        <v>1045</v>
      </c>
      <c r="F54" s="1834">
        <v>5</v>
      </c>
      <c r="G54" s="1834">
        <v>4</v>
      </c>
      <c r="H54" s="2349">
        <v>6</v>
      </c>
      <c r="I54" s="298"/>
      <c r="J54" s="298"/>
      <c r="K54" s="298"/>
      <c r="L54" s="298"/>
      <c r="M54" s="298"/>
      <c r="N54" s="487"/>
      <c r="O54" s="621"/>
      <c r="P54" s="970"/>
      <c r="Q54" s="933">
        <f>3.76-2.316</f>
        <v>1.444</v>
      </c>
      <c r="R54" s="1616"/>
      <c r="S54" s="45"/>
      <c r="T54" s="233"/>
      <c r="U54" s="233"/>
      <c r="V54" s="233"/>
      <c r="W54" s="45"/>
      <c r="X54" s="233"/>
      <c r="Y54" s="45"/>
      <c r="Z54" s="309"/>
      <c r="AK54" s="2815" t="s">
        <v>11229</v>
      </c>
      <c r="AL54" s="2579"/>
      <c r="AM54" s="2817"/>
    </row>
    <row r="55" spans="1:39" s="16" customFormat="1" x14ac:dyDescent="0.35">
      <c r="A55" s="433"/>
      <c r="B55" s="1005">
        <v>10078</v>
      </c>
      <c r="C55" s="1005"/>
      <c r="D55" s="435"/>
      <c r="E55" s="430" t="s">
        <v>3169</v>
      </c>
      <c r="F55" s="1834">
        <v>5</v>
      </c>
      <c r="G55" s="1834">
        <v>4</v>
      </c>
      <c r="H55" s="2349">
        <v>6</v>
      </c>
      <c r="I55" s="298"/>
      <c r="J55" s="298"/>
      <c r="K55" s="298"/>
      <c r="L55" s="298"/>
      <c r="M55" s="298"/>
      <c r="N55" s="487">
        <f>3.925-3.76</f>
        <v>0.16500000000000004</v>
      </c>
      <c r="O55" s="621"/>
      <c r="P55" s="970"/>
      <c r="Q55" s="933"/>
      <c r="R55" s="1616"/>
      <c r="S55" s="45"/>
      <c r="T55" s="233"/>
      <c r="U55" s="233"/>
      <c r="V55" s="233"/>
      <c r="W55" s="45"/>
      <c r="X55" s="233"/>
      <c r="Y55" s="45"/>
      <c r="Z55" s="309"/>
      <c r="AK55" s="2818" t="s">
        <v>7184</v>
      </c>
      <c r="AL55" s="2821">
        <f>AL56+AL57+AL58+AL59+AL60</f>
        <v>17.737000000000002</v>
      </c>
      <c r="AM55" s="2820">
        <f>AL55-AF31</f>
        <v>0</v>
      </c>
    </row>
    <row r="56" spans="1:39" ht="31" x14ac:dyDescent="0.35">
      <c r="A56" s="433"/>
      <c r="B56" s="1005">
        <v>10078</v>
      </c>
      <c r="C56" s="1005"/>
      <c r="D56" s="435"/>
      <c r="E56" s="430" t="s">
        <v>9757</v>
      </c>
      <c r="F56" s="1834">
        <v>5</v>
      </c>
      <c r="G56" s="1834">
        <v>4</v>
      </c>
      <c r="H56" s="1834" t="s">
        <v>191</v>
      </c>
      <c r="I56" s="298"/>
      <c r="J56" s="298"/>
      <c r="K56" s="298"/>
      <c r="L56" s="298">
        <f>4.558-3.925</f>
        <v>0.63300000000000001</v>
      </c>
      <c r="M56" s="298"/>
      <c r="N56" s="487"/>
      <c r="O56" s="621"/>
      <c r="P56" s="970"/>
      <c r="Q56" s="933"/>
      <c r="R56" s="1616"/>
      <c r="S56" s="45"/>
      <c r="T56" s="233"/>
      <c r="U56" s="233"/>
      <c r="V56" s="233"/>
      <c r="W56" s="45"/>
      <c r="X56" s="233"/>
      <c r="Y56" s="45"/>
      <c r="Z56" s="309"/>
      <c r="AK56" s="2815" t="s">
        <v>11230</v>
      </c>
      <c r="AL56" s="2579">
        <f>SUMIFS(M30:M955,F30:F955,4,G30:G955,5)</f>
        <v>0</v>
      </c>
      <c r="AM56" s="2817"/>
    </row>
    <row r="57" spans="1:39" x14ac:dyDescent="0.35">
      <c r="A57" s="433"/>
      <c r="B57" s="1005">
        <v>10078</v>
      </c>
      <c r="C57" s="1005"/>
      <c r="D57" s="435"/>
      <c r="E57" s="430" t="s">
        <v>2217</v>
      </c>
      <c r="F57" s="1834">
        <v>5</v>
      </c>
      <c r="G57" s="1834">
        <v>4</v>
      </c>
      <c r="H57" s="2349">
        <v>6</v>
      </c>
      <c r="I57" s="298"/>
      <c r="J57" s="298"/>
      <c r="K57" s="298"/>
      <c r="L57" s="298"/>
      <c r="M57" s="298"/>
      <c r="N57" s="487">
        <f>4.6-4.558</f>
        <v>4.1999999999999815E-2</v>
      </c>
      <c r="O57" s="621"/>
      <c r="P57" s="970"/>
      <c r="Q57" s="933"/>
      <c r="R57" s="1616"/>
      <c r="S57" s="45"/>
      <c r="T57" s="233"/>
      <c r="U57" s="233"/>
      <c r="V57" s="233"/>
      <c r="W57" s="45"/>
      <c r="X57" s="233"/>
      <c r="Y57" s="45"/>
      <c r="Z57" s="309"/>
      <c r="AK57" s="2815" t="s">
        <v>11231</v>
      </c>
      <c r="AL57" s="2579">
        <f>SUMIFS(N30:N955,F30:F955,4,G30:G955,5)</f>
        <v>13.092000000000001</v>
      </c>
      <c r="AM57" s="2817"/>
    </row>
    <row r="58" spans="1:39" s="19" customFormat="1" x14ac:dyDescent="0.35">
      <c r="A58" s="433"/>
      <c r="B58" s="1005">
        <v>10078</v>
      </c>
      <c r="C58" s="1005"/>
      <c r="D58" s="435"/>
      <c r="E58" s="840" t="s">
        <v>1955</v>
      </c>
      <c r="F58" s="1834">
        <v>5</v>
      </c>
      <c r="G58" s="1834">
        <v>4</v>
      </c>
      <c r="H58" s="2349">
        <v>6</v>
      </c>
      <c r="I58" s="298"/>
      <c r="J58" s="298"/>
      <c r="K58" s="298"/>
      <c r="L58" s="298"/>
      <c r="M58" s="298"/>
      <c r="N58" s="487"/>
      <c r="O58" s="621"/>
      <c r="P58" s="970"/>
      <c r="Q58" s="933">
        <f>7.19-4.6</f>
        <v>2.5900000000000007</v>
      </c>
      <c r="R58" s="1616"/>
      <c r="S58" s="45"/>
      <c r="T58" s="233"/>
      <c r="U58" s="233"/>
      <c r="V58" s="233"/>
      <c r="W58" s="45"/>
      <c r="X58" s="233"/>
      <c r="Y58" s="45"/>
      <c r="Z58" s="309"/>
      <c r="AK58" s="2815" t="s">
        <v>11232</v>
      </c>
      <c r="AL58" s="2579">
        <f>SUMIFS(O30:O955,F30:F955,4,G30:G955,5)</f>
        <v>0</v>
      </c>
      <c r="AM58" s="2817"/>
    </row>
    <row r="59" spans="1:39" x14ac:dyDescent="0.35">
      <c r="A59" s="2044"/>
      <c r="B59" s="1005">
        <v>10078</v>
      </c>
      <c r="C59" s="1005"/>
      <c r="D59" s="436"/>
      <c r="E59" s="431" t="s">
        <v>1956</v>
      </c>
      <c r="F59" s="1834">
        <v>5</v>
      </c>
      <c r="G59" s="1834">
        <v>4</v>
      </c>
      <c r="H59" s="2349">
        <v>6</v>
      </c>
      <c r="I59" s="300"/>
      <c r="J59" s="300"/>
      <c r="K59" s="300"/>
      <c r="L59" s="300"/>
      <c r="M59" s="300"/>
      <c r="N59" s="487">
        <f>7.403-7.19</f>
        <v>0.21299999999999919</v>
      </c>
      <c r="O59" s="621"/>
      <c r="P59" s="970"/>
      <c r="Q59" s="933"/>
      <c r="R59" s="1616"/>
      <c r="S59" s="1641"/>
      <c r="T59" s="1642"/>
      <c r="U59" s="1642"/>
      <c r="V59" s="1642"/>
      <c r="W59" s="1641"/>
      <c r="X59" s="1642"/>
      <c r="Y59" s="1641"/>
      <c r="Z59" s="1643"/>
      <c r="AK59" s="2815" t="s">
        <v>11233</v>
      </c>
      <c r="AL59" s="2579">
        <f>SUMIFS(P30:P955,F30:F955,4,G30:G955,5)+SUMIFS(Q30:Q955,F30:F955,4,G30:G955,5)</f>
        <v>4.6450000000000005</v>
      </c>
      <c r="AM59" s="2817"/>
    </row>
    <row r="60" spans="1:39" s="19" customFormat="1" ht="30.5" x14ac:dyDescent="0.35">
      <c r="A60" s="439">
        <v>10</v>
      </c>
      <c r="B60" s="1006">
        <v>10078</v>
      </c>
      <c r="C60" s="1004" t="s">
        <v>1656</v>
      </c>
      <c r="D60" s="2460" t="s">
        <v>3856</v>
      </c>
      <c r="E60" s="407" t="s">
        <v>8178</v>
      </c>
      <c r="F60" s="1834"/>
      <c r="G60" s="1834" t="s">
        <v>191</v>
      </c>
      <c r="H60" s="2349" t="s">
        <v>191</v>
      </c>
      <c r="I60" s="297">
        <f>J60+K60+L60</f>
        <v>0.6</v>
      </c>
      <c r="J60" s="297">
        <f>SUM(M60:R60)</f>
        <v>0.6</v>
      </c>
      <c r="K60" s="297"/>
      <c r="L60" s="297"/>
      <c r="M60" s="297"/>
      <c r="N60" s="486">
        <f>SUM(N61:N62)</f>
        <v>0.35</v>
      </c>
      <c r="O60" s="619"/>
      <c r="P60" s="969"/>
      <c r="Q60" s="932"/>
      <c r="R60" s="1615">
        <f>SUM(R61:R62)</f>
        <v>0.25</v>
      </c>
      <c r="S60" s="45"/>
      <c r="T60" s="233"/>
      <c r="U60" s="233"/>
      <c r="V60" s="233"/>
      <c r="W60" s="45"/>
      <c r="X60" s="233"/>
      <c r="Y60" s="45"/>
      <c r="Z60" s="309"/>
      <c r="AB60" s="3">
        <v>1</v>
      </c>
      <c r="AK60" s="2815" t="s">
        <v>910</v>
      </c>
      <c r="AL60" s="2579">
        <f>SUMIFS(R30:R955,F30:F955,4,G30:G955,5)</f>
        <v>0</v>
      </c>
      <c r="AM60" s="2817"/>
    </row>
    <row r="61" spans="1:39" x14ac:dyDescent="0.35">
      <c r="A61" s="2044"/>
      <c r="B61" s="1006">
        <v>10078</v>
      </c>
      <c r="C61" s="1003"/>
      <c r="D61" s="436"/>
      <c r="E61" s="430" t="s">
        <v>1898</v>
      </c>
      <c r="F61" s="1834" t="s">
        <v>1490</v>
      </c>
      <c r="G61" s="1834">
        <v>5</v>
      </c>
      <c r="H61" s="2349">
        <v>6</v>
      </c>
      <c r="I61" s="300"/>
      <c r="J61" s="300"/>
      <c r="K61" s="300"/>
      <c r="L61" s="300"/>
      <c r="M61" s="300"/>
      <c r="N61" s="487">
        <v>0.35</v>
      </c>
      <c r="O61" s="621"/>
      <c r="P61" s="970"/>
      <c r="Q61" s="933"/>
      <c r="R61" s="1616"/>
      <c r="S61" s="1641"/>
      <c r="T61" s="1642"/>
      <c r="U61" s="1642"/>
      <c r="V61" s="1642"/>
      <c r="W61" s="1641"/>
      <c r="X61" s="1642"/>
      <c r="Y61" s="1641"/>
      <c r="Z61" s="1643"/>
      <c r="AK61" s="2818" t="s">
        <v>7185</v>
      </c>
      <c r="AL61" s="2821">
        <f>AL62+AL63+AL64+AL65+AL66</f>
        <v>72.234000000000009</v>
      </c>
      <c r="AM61" s="2820">
        <f>AL61-AG31</f>
        <v>0</v>
      </c>
    </row>
    <row r="62" spans="1:39" x14ac:dyDescent="0.35">
      <c r="A62" s="2044"/>
      <c r="B62" s="1006">
        <v>10078</v>
      </c>
      <c r="C62" s="1003"/>
      <c r="D62" s="436"/>
      <c r="E62" s="841" t="s">
        <v>3141</v>
      </c>
      <c r="F62" s="1834" t="s">
        <v>1490</v>
      </c>
      <c r="G62" s="1834">
        <v>5</v>
      </c>
      <c r="H62" s="2349">
        <v>6</v>
      </c>
      <c r="I62" s="300"/>
      <c r="J62" s="300"/>
      <c r="K62" s="300"/>
      <c r="L62" s="300"/>
      <c r="M62" s="300"/>
      <c r="N62" s="487"/>
      <c r="O62" s="621"/>
      <c r="P62" s="970"/>
      <c r="Q62" s="933"/>
      <c r="R62" s="1616">
        <f>0.6-0.35</f>
        <v>0.25</v>
      </c>
      <c r="S62" s="1641"/>
      <c r="T62" s="1642"/>
      <c r="U62" s="1642"/>
      <c r="V62" s="1642"/>
      <c r="W62" s="1641"/>
      <c r="X62" s="1642"/>
      <c r="Y62" s="1641"/>
      <c r="Z62" s="1643"/>
      <c r="AK62" s="2815" t="s">
        <v>11230</v>
      </c>
      <c r="AL62" s="2579">
        <f>SUMIFS(M30:M955,F30:F955,5,G30:G955,5)</f>
        <v>0</v>
      </c>
      <c r="AM62" s="2817"/>
    </row>
    <row r="63" spans="1:39" s="16" customFormat="1" ht="30" x14ac:dyDescent="0.35">
      <c r="A63" s="433">
        <v>11</v>
      </c>
      <c r="B63" s="1005">
        <v>10079</v>
      </c>
      <c r="C63" s="1005"/>
      <c r="D63" s="434" t="s">
        <v>1942</v>
      </c>
      <c r="E63" s="407" t="s">
        <v>7037</v>
      </c>
      <c r="F63" s="1834">
        <v>4</v>
      </c>
      <c r="G63" s="1834">
        <v>4</v>
      </c>
      <c r="H63" s="2349">
        <v>6</v>
      </c>
      <c r="I63" s="297">
        <f>J63+K63+L63</f>
        <v>9.4</v>
      </c>
      <c r="J63" s="297">
        <f>SUM(M63:R63)</f>
        <v>9.4</v>
      </c>
      <c r="K63" s="297"/>
      <c r="L63" s="297"/>
      <c r="M63" s="297"/>
      <c r="N63" s="486">
        <v>9.4</v>
      </c>
      <c r="O63" s="619"/>
      <c r="P63" s="969"/>
      <c r="Q63" s="932"/>
      <c r="R63" s="1615"/>
      <c r="S63" s="45"/>
      <c r="T63" s="233"/>
      <c r="U63" s="233"/>
      <c r="V63" s="233"/>
      <c r="W63" s="45">
        <v>13</v>
      </c>
      <c r="X63" s="233">
        <v>183</v>
      </c>
      <c r="Y63" s="45">
        <v>2</v>
      </c>
      <c r="Z63" s="309">
        <v>23</v>
      </c>
      <c r="AB63" s="3">
        <v>1</v>
      </c>
      <c r="AK63" s="2815" t="s">
        <v>11231</v>
      </c>
      <c r="AL63" s="2579">
        <f>SUMIFS(N30:N955,F30:F955,5,G30:G955,5)</f>
        <v>27.428999999999998</v>
      </c>
      <c r="AM63" s="2817"/>
    </row>
    <row r="64" spans="1:39" ht="30.5" x14ac:dyDescent="0.35">
      <c r="A64" s="439">
        <v>12</v>
      </c>
      <c r="B64" s="1006">
        <v>10079</v>
      </c>
      <c r="C64" s="1004" t="s">
        <v>1656</v>
      </c>
      <c r="D64" s="2460" t="s">
        <v>3857</v>
      </c>
      <c r="E64" s="407" t="s">
        <v>9226</v>
      </c>
      <c r="F64" s="1834" t="s">
        <v>827</v>
      </c>
      <c r="G64" s="1834">
        <v>5</v>
      </c>
      <c r="H64" s="2349">
        <v>6</v>
      </c>
      <c r="I64" s="297">
        <f>J64+K64+L64</f>
        <v>1.1000000000000001</v>
      </c>
      <c r="J64" s="297">
        <f>SUM(M64:R64)</f>
        <v>1.1000000000000001</v>
      </c>
      <c r="K64" s="297"/>
      <c r="L64" s="297"/>
      <c r="M64" s="297"/>
      <c r="N64" s="486"/>
      <c r="O64" s="619"/>
      <c r="P64" s="969"/>
      <c r="Q64" s="932">
        <v>1.1000000000000001</v>
      </c>
      <c r="R64" s="2766"/>
      <c r="S64" s="45"/>
      <c r="T64" s="233"/>
      <c r="U64" s="233"/>
      <c r="V64" s="233"/>
      <c r="W64" s="45"/>
      <c r="X64" s="233"/>
      <c r="Y64" s="45"/>
      <c r="Z64" s="309"/>
      <c r="AB64" s="3">
        <v>1</v>
      </c>
      <c r="AK64" s="2815" t="s">
        <v>11232</v>
      </c>
      <c r="AL64" s="2579">
        <f>SUMIFS(O30:O955,F30:F955,5,G30:G955,5)</f>
        <v>4.3730000000000002</v>
      </c>
      <c r="AM64" s="2817"/>
    </row>
    <row r="65" spans="1:39" s="19" customFormat="1" ht="60.5" x14ac:dyDescent="0.35">
      <c r="A65" s="433">
        <v>13</v>
      </c>
      <c r="B65" s="1007">
        <v>10080</v>
      </c>
      <c r="C65" s="1007"/>
      <c r="D65" s="434" t="s">
        <v>1943</v>
      </c>
      <c r="E65" s="407" t="s">
        <v>9625</v>
      </c>
      <c r="F65" s="1953"/>
      <c r="G65" s="1953" t="s">
        <v>191</v>
      </c>
      <c r="H65" s="2349" t="s">
        <v>191</v>
      </c>
      <c r="I65" s="297">
        <f>J65+K65+L65</f>
        <v>24.18</v>
      </c>
      <c r="J65" s="297">
        <f>SUM(M65:R65)</f>
        <v>24.1</v>
      </c>
      <c r="K65" s="297"/>
      <c r="L65" s="486">
        <f>SUM(L66:L71)</f>
        <v>0.08</v>
      </c>
      <c r="M65" s="486"/>
      <c r="N65" s="486">
        <f>SUM(N66:N71)</f>
        <v>18.794</v>
      </c>
      <c r="O65" s="619"/>
      <c r="P65" s="969"/>
      <c r="Q65" s="932">
        <f>SUM(Q66:Q71)</f>
        <v>5.3059999999999992</v>
      </c>
      <c r="R65" s="1615"/>
      <c r="S65" s="45"/>
      <c r="T65" s="233"/>
      <c r="U65" s="233"/>
      <c r="V65" s="233"/>
      <c r="W65" s="45">
        <v>29</v>
      </c>
      <c r="X65" s="233">
        <v>406.95</v>
      </c>
      <c r="Y65" s="45">
        <v>10</v>
      </c>
      <c r="Z65" s="309">
        <v>100</v>
      </c>
      <c r="AB65" s="3">
        <v>1</v>
      </c>
      <c r="AK65" s="2815" t="s">
        <v>11233</v>
      </c>
      <c r="AL65" s="2579">
        <f>SUMIFS(P30:P955,F30:F955,5,G30:G955,5)+SUMIFS(Q30:Q955,F30:F955,5,G30:G955,5)</f>
        <v>31.382000000000005</v>
      </c>
      <c r="AM65" s="2817"/>
    </row>
    <row r="66" spans="1:39" ht="46.5" x14ac:dyDescent="0.35">
      <c r="A66" s="433"/>
      <c r="B66" s="1007">
        <v>10080</v>
      </c>
      <c r="C66" s="1007"/>
      <c r="D66" s="435"/>
      <c r="E66" s="431" t="s">
        <v>11241</v>
      </c>
      <c r="F66" s="1953">
        <v>4</v>
      </c>
      <c r="G66" s="1953">
        <v>4</v>
      </c>
      <c r="H66" s="2349" t="s">
        <v>191</v>
      </c>
      <c r="I66" s="298"/>
      <c r="J66" s="298"/>
      <c r="K66" s="298"/>
      <c r="L66" s="487">
        <v>0.08</v>
      </c>
      <c r="M66" s="487"/>
      <c r="N66" s="487"/>
      <c r="O66" s="621"/>
      <c r="P66" s="970"/>
      <c r="Q66" s="933"/>
      <c r="R66" s="1616"/>
      <c r="S66" s="45"/>
      <c r="T66" s="233"/>
      <c r="U66" s="233"/>
      <c r="V66" s="233"/>
      <c r="W66" s="45"/>
      <c r="X66" s="233"/>
      <c r="Y66" s="45"/>
      <c r="Z66" s="309"/>
      <c r="AK66" s="2815" t="s">
        <v>910</v>
      </c>
      <c r="AL66" s="2579">
        <f>SUMIFS(R30:R955,F30:F955,5,G30:G955,5)</f>
        <v>9.0500000000000007</v>
      </c>
      <c r="AM66" s="2817"/>
    </row>
    <row r="67" spans="1:39" x14ac:dyDescent="0.35">
      <c r="A67" s="433"/>
      <c r="B67" s="1007">
        <v>10080</v>
      </c>
      <c r="C67" s="1007"/>
      <c r="D67" s="435"/>
      <c r="E67" s="431" t="s">
        <v>11347</v>
      </c>
      <c r="F67" s="1953">
        <v>4</v>
      </c>
      <c r="G67" s="1953">
        <v>4</v>
      </c>
      <c r="H67" s="2349">
        <v>6</v>
      </c>
      <c r="I67" s="298"/>
      <c r="J67" s="298"/>
      <c r="K67" s="298"/>
      <c r="L67" s="487"/>
      <c r="M67" s="487"/>
      <c r="N67" s="487">
        <f>15.4-0.08</f>
        <v>15.32</v>
      </c>
      <c r="O67" s="621"/>
      <c r="P67" s="970"/>
      <c r="Q67" s="933"/>
      <c r="R67" s="1616"/>
      <c r="S67" s="45"/>
      <c r="T67" s="233"/>
      <c r="U67" s="233"/>
      <c r="V67" s="233"/>
      <c r="W67" s="45"/>
      <c r="X67" s="233"/>
      <c r="Y67" s="45"/>
      <c r="Z67" s="309"/>
      <c r="AK67" s="2815" t="s">
        <v>910</v>
      </c>
      <c r="AL67" s="2579">
        <f>SUMIFS(R31:R956,F31:F956,5,G31:G956,5)</f>
        <v>9.0500000000000007</v>
      </c>
      <c r="AM67" s="2817"/>
    </row>
    <row r="68" spans="1:39" s="16" customFormat="1" x14ac:dyDescent="0.35">
      <c r="A68" s="2044"/>
      <c r="B68" s="1007">
        <v>10080</v>
      </c>
      <c r="C68" s="1007"/>
      <c r="D68" s="436"/>
      <c r="E68" s="840" t="s">
        <v>3294</v>
      </c>
      <c r="F68" s="1953">
        <v>4</v>
      </c>
      <c r="G68" s="1953">
        <v>4</v>
      </c>
      <c r="H68" s="2349">
        <v>6</v>
      </c>
      <c r="I68" s="300"/>
      <c r="J68" s="300"/>
      <c r="K68" s="300"/>
      <c r="L68" s="300"/>
      <c r="M68" s="300"/>
      <c r="N68" s="487"/>
      <c r="O68" s="621"/>
      <c r="P68" s="970"/>
      <c r="Q68" s="933">
        <f>16.421-15.4</f>
        <v>1.020999999999999</v>
      </c>
      <c r="R68" s="1616"/>
      <c r="S68" s="1641"/>
      <c r="T68" s="1642"/>
      <c r="U68" s="1642"/>
      <c r="V68" s="1642"/>
      <c r="W68" s="1641"/>
      <c r="X68" s="1642"/>
      <c r="Y68" s="1641"/>
      <c r="Z68" s="1643"/>
      <c r="AK68" s="2818" t="s">
        <v>11234</v>
      </c>
      <c r="AL68" s="2821">
        <f>AL69+AL70+AL71+AL72+AL73</f>
        <v>162.31599999999997</v>
      </c>
      <c r="AM68" s="2820">
        <f>AL68-AH31-AI31-AJ31</f>
        <v>0</v>
      </c>
    </row>
    <row r="69" spans="1:39" x14ac:dyDescent="0.35">
      <c r="A69" s="2044"/>
      <c r="B69" s="1007">
        <v>10080</v>
      </c>
      <c r="C69" s="1007"/>
      <c r="D69" s="436"/>
      <c r="E69" s="507" t="s">
        <v>2774</v>
      </c>
      <c r="F69" s="1953">
        <v>4</v>
      </c>
      <c r="G69" s="1953">
        <v>4</v>
      </c>
      <c r="H69" s="2349">
        <v>6</v>
      </c>
      <c r="I69" s="300"/>
      <c r="J69" s="300"/>
      <c r="K69" s="300"/>
      <c r="L69" s="300"/>
      <c r="M69" s="300"/>
      <c r="N69" s="487">
        <f>18.772-16.421</f>
        <v>2.3509999999999991</v>
      </c>
      <c r="O69" s="621"/>
      <c r="P69" s="970"/>
      <c r="Q69" s="933"/>
      <c r="R69" s="1616"/>
      <c r="S69" s="1641"/>
      <c r="T69" s="1642"/>
      <c r="U69" s="1642"/>
      <c r="V69" s="1642"/>
      <c r="W69" s="1641"/>
      <c r="X69" s="1642"/>
      <c r="Y69" s="1641"/>
      <c r="Z69" s="1643"/>
      <c r="AK69" s="2815" t="s">
        <v>11230</v>
      </c>
      <c r="AL69" s="2579">
        <f>SUMIFS(M30:M955,F30:F955,"6а",G30:G955,5)+SUMIFS(M30:M955,F30:F955,"6б",G30:G955,5)+SUMIFS(M30:M955,F30:F955,"б/к",G30:G955,5)</f>
        <v>0</v>
      </c>
      <c r="AM69" s="2817"/>
    </row>
    <row r="70" spans="1:39" s="19" customFormat="1" x14ac:dyDescent="0.35">
      <c r="A70" s="2044"/>
      <c r="B70" s="1007">
        <v>10080</v>
      </c>
      <c r="C70" s="1007"/>
      <c r="D70" s="436"/>
      <c r="E70" s="840" t="s">
        <v>2775</v>
      </c>
      <c r="F70" s="1953">
        <v>4</v>
      </c>
      <c r="G70" s="1953">
        <v>4</v>
      </c>
      <c r="H70" s="2349">
        <v>6</v>
      </c>
      <c r="I70" s="300"/>
      <c r="J70" s="300"/>
      <c r="K70" s="300"/>
      <c r="L70" s="300"/>
      <c r="M70" s="300"/>
      <c r="N70" s="487"/>
      <c r="O70" s="621"/>
      <c r="P70" s="970"/>
      <c r="Q70" s="933">
        <f>23.057-18.772</f>
        <v>4.2850000000000001</v>
      </c>
      <c r="R70" s="1616"/>
      <c r="S70" s="1641"/>
      <c r="T70" s="1642"/>
      <c r="U70" s="1642"/>
      <c r="V70" s="1642"/>
      <c r="W70" s="1641"/>
      <c r="X70" s="1642"/>
      <c r="Y70" s="1641"/>
      <c r="Z70" s="1643"/>
      <c r="AK70" s="2815" t="s">
        <v>11231</v>
      </c>
      <c r="AL70" s="2579">
        <f>SUMIFS(N30:N955,F30:F955,"6а",G30:G955,5)+SUMIFS(N30:N955,F30:F955,"6б",G30:G955,5)+SUMIFS(N30:N955,F30:F955,"б/к",G30:G955,5)</f>
        <v>6.6669999999999989</v>
      </c>
      <c r="AM70" s="2817"/>
    </row>
    <row r="71" spans="1:39" x14ac:dyDescent="0.35">
      <c r="A71" s="2044"/>
      <c r="B71" s="1007">
        <v>10080</v>
      </c>
      <c r="C71" s="1007"/>
      <c r="D71" s="436"/>
      <c r="E71" s="507" t="s">
        <v>2776</v>
      </c>
      <c r="F71" s="1953">
        <v>4</v>
      </c>
      <c r="G71" s="1953">
        <v>4</v>
      </c>
      <c r="H71" s="2349">
        <v>6</v>
      </c>
      <c r="I71" s="1008"/>
      <c r="J71" s="300"/>
      <c r="K71" s="300"/>
      <c r="L71" s="300"/>
      <c r="M71" s="300"/>
      <c r="N71" s="487">
        <f>24.18-23.057</f>
        <v>1.1230000000000011</v>
      </c>
      <c r="O71" s="621"/>
      <c r="P71" s="970"/>
      <c r="Q71" s="933"/>
      <c r="R71" s="1616"/>
      <c r="S71" s="1641"/>
      <c r="T71" s="1642"/>
      <c r="U71" s="1642"/>
      <c r="V71" s="1642"/>
      <c r="W71" s="1641"/>
      <c r="X71" s="1642"/>
      <c r="Y71" s="1641"/>
      <c r="Z71" s="1643"/>
      <c r="AK71" s="2815" t="s">
        <v>11232</v>
      </c>
      <c r="AL71" s="2579">
        <f>SUMIFS(O30:O955,F30:F955,"6а",G30:G955,5)+SUMIFS(O30:O955,F30:F955,"6б",G30:G955,5)+SUMIFS(O30:O955,F30:F955,"б/к",G30:G955,5)</f>
        <v>0.53</v>
      </c>
      <c r="AM71" s="2817"/>
    </row>
    <row r="72" spans="1:39" s="16" customFormat="1" ht="75.5" x14ac:dyDescent="0.35">
      <c r="A72" s="433">
        <v>14</v>
      </c>
      <c r="B72" s="1005">
        <v>10080</v>
      </c>
      <c r="C72" s="1005"/>
      <c r="D72" s="2460" t="s">
        <v>3858</v>
      </c>
      <c r="E72" s="407" t="s">
        <v>9626</v>
      </c>
      <c r="F72" s="1834">
        <v>4</v>
      </c>
      <c r="G72" s="1834">
        <v>5</v>
      </c>
      <c r="H72" s="2349">
        <v>6</v>
      </c>
      <c r="I72" s="297">
        <f>J72+K72+L72</f>
        <v>3.96</v>
      </c>
      <c r="J72" s="297">
        <f>SUM(M72:R72)</f>
        <v>3.96</v>
      </c>
      <c r="K72" s="297"/>
      <c r="L72" s="297"/>
      <c r="M72" s="297"/>
      <c r="N72" s="486">
        <v>3.96</v>
      </c>
      <c r="O72" s="619"/>
      <c r="P72" s="969"/>
      <c r="Q72" s="932"/>
      <c r="R72" s="1615"/>
      <c r="S72" s="45"/>
      <c r="T72" s="233"/>
      <c r="U72" s="233"/>
      <c r="V72" s="233"/>
      <c r="W72" s="45">
        <v>6</v>
      </c>
      <c r="X72" s="233">
        <v>76.3</v>
      </c>
      <c r="Y72" s="57"/>
      <c r="Z72" s="309"/>
      <c r="AB72" s="3">
        <v>1</v>
      </c>
      <c r="AK72" s="2815" t="s">
        <v>11233</v>
      </c>
      <c r="AL72" s="2579">
        <f>SUMIFS(P30:P955,F30:F955,"6а",G30:G955,5)+SUMIFS(Q30:Q955,F30:F955,"6а",G30:G955,5)+SUMIFS(P30:P955,F30:F955,"6б",G30:G955,5)+SUMIFS(Q30:Q955,F30:F955,"6б",G30:G955,5)+SUMIFS(P30:P955,F30:F955,"б/к",G30:G955,5)+SUMIFS(Q30:Q955,F30:F955,"б/к",G30:G955,5)</f>
        <v>38.474000000000004</v>
      </c>
      <c r="AM72" s="2817"/>
    </row>
    <row r="73" spans="1:39" s="19" customFormat="1" ht="75.5" x14ac:dyDescent="0.35">
      <c r="A73" s="433">
        <v>15</v>
      </c>
      <c r="B73" s="1005">
        <v>10080</v>
      </c>
      <c r="C73" s="1005"/>
      <c r="D73" s="2460" t="s">
        <v>3859</v>
      </c>
      <c r="E73" s="407" t="s">
        <v>9627</v>
      </c>
      <c r="F73" s="1834"/>
      <c r="G73" s="1834" t="s">
        <v>191</v>
      </c>
      <c r="H73" s="2349" t="s">
        <v>191</v>
      </c>
      <c r="I73" s="483">
        <f>J73+K73+L73</f>
        <v>3.2759999999999998</v>
      </c>
      <c r="J73" s="297">
        <f>SUM(M73:R73)</f>
        <v>3.2759999999999998</v>
      </c>
      <c r="K73" s="297"/>
      <c r="L73" s="297"/>
      <c r="M73" s="297"/>
      <c r="N73" s="486">
        <f>SUM(N74:N76)</f>
        <v>0.32500000000000001</v>
      </c>
      <c r="O73" s="619"/>
      <c r="P73" s="969"/>
      <c r="Q73" s="932">
        <f>SUM(Q74:Q76)</f>
        <v>2.9509999999999996</v>
      </c>
      <c r="R73" s="1615"/>
      <c r="S73" s="45"/>
      <c r="T73" s="233"/>
      <c r="U73" s="233"/>
      <c r="V73" s="233"/>
      <c r="W73" s="45">
        <v>5</v>
      </c>
      <c r="X73" s="233">
        <v>70</v>
      </c>
      <c r="Y73" s="45">
        <v>1</v>
      </c>
      <c r="Z73" s="309">
        <v>10</v>
      </c>
      <c r="AA73" s="3"/>
      <c r="AB73" s="3">
        <v>1</v>
      </c>
      <c r="AK73" s="2815" t="s">
        <v>910</v>
      </c>
      <c r="AL73" s="2579">
        <f>SUMIFS(R30:R955,F30:F955,"6а",G30:G955,5)+SUMIFS(R30:R955,F30:F955,"6б",G30:G955,5)+SUMIFS(R30:R955,F30:F955,"б/к",G30:G955,5)</f>
        <v>116.64499999999998</v>
      </c>
      <c r="AM73" s="2817"/>
    </row>
    <row r="74" spans="1:39" s="19" customFormat="1" x14ac:dyDescent="0.35">
      <c r="A74" s="433"/>
      <c r="B74" s="1005"/>
      <c r="C74" s="1005"/>
      <c r="D74" s="434"/>
      <c r="E74" s="430" t="s">
        <v>3582</v>
      </c>
      <c r="F74" s="1834">
        <v>5</v>
      </c>
      <c r="G74" s="1834">
        <v>5</v>
      </c>
      <c r="H74" s="2349">
        <v>6</v>
      </c>
      <c r="I74" s="499"/>
      <c r="J74" s="298"/>
      <c r="K74" s="298"/>
      <c r="L74" s="298"/>
      <c r="M74" s="298"/>
      <c r="N74" s="487">
        <v>0.32500000000000001</v>
      </c>
      <c r="O74" s="300"/>
      <c r="P74" s="1835"/>
      <c r="Q74" s="1836"/>
      <c r="R74" s="1615"/>
      <c r="S74" s="45"/>
      <c r="T74" s="233"/>
      <c r="U74" s="233"/>
      <c r="V74" s="233"/>
      <c r="W74" s="45"/>
      <c r="X74" s="233"/>
      <c r="Y74" s="45"/>
      <c r="Z74" s="309"/>
      <c r="AA74" s="3"/>
      <c r="AB74" s="3"/>
      <c r="AK74" s="2815"/>
      <c r="AL74" s="2579"/>
      <c r="AM74" s="2817"/>
    </row>
    <row r="75" spans="1:39" s="19" customFormat="1" x14ac:dyDescent="0.35">
      <c r="A75" s="433"/>
      <c r="B75" s="1005"/>
      <c r="C75" s="1005"/>
      <c r="D75" s="434"/>
      <c r="E75" s="840" t="s">
        <v>3583</v>
      </c>
      <c r="F75" s="1834">
        <v>5</v>
      </c>
      <c r="G75" s="1834">
        <v>5</v>
      </c>
      <c r="H75" s="2349">
        <v>6</v>
      </c>
      <c r="I75" s="499"/>
      <c r="J75" s="298"/>
      <c r="K75" s="298"/>
      <c r="L75" s="298"/>
      <c r="M75" s="298"/>
      <c r="N75" s="487"/>
      <c r="O75" s="300"/>
      <c r="P75" s="1835"/>
      <c r="Q75" s="1836">
        <f>2.719-0.325</f>
        <v>2.3939999999999997</v>
      </c>
      <c r="R75" s="1615"/>
      <c r="S75" s="45"/>
      <c r="T75" s="233"/>
      <c r="U75" s="233"/>
      <c r="V75" s="233"/>
      <c r="W75" s="45"/>
      <c r="X75" s="233"/>
      <c r="Y75" s="45"/>
      <c r="Z75" s="309"/>
      <c r="AA75" s="3"/>
      <c r="AB75" s="3"/>
      <c r="AK75" s="2822" t="s">
        <v>11237</v>
      </c>
      <c r="AL75" s="2823">
        <f>AL11+AL32+AL53</f>
        <v>643.73599999999988</v>
      </c>
      <c r="AM75" s="2824">
        <f>AL75-J10</f>
        <v>0</v>
      </c>
    </row>
    <row r="76" spans="1:39" s="19" customFormat="1" x14ac:dyDescent="0.35">
      <c r="A76" s="433"/>
      <c r="B76" s="1005"/>
      <c r="C76" s="1005"/>
      <c r="D76" s="434"/>
      <c r="E76" s="840" t="s">
        <v>3581</v>
      </c>
      <c r="F76" s="1834" t="s">
        <v>827</v>
      </c>
      <c r="G76" s="1834">
        <v>5</v>
      </c>
      <c r="H76" s="1834">
        <v>6</v>
      </c>
      <c r="I76" s="499"/>
      <c r="J76" s="298"/>
      <c r="K76" s="298"/>
      <c r="L76" s="298"/>
      <c r="M76" s="298"/>
      <c r="N76" s="487"/>
      <c r="O76" s="300"/>
      <c r="P76" s="1835"/>
      <c r="Q76" s="1836">
        <f>3.276-2.719</f>
        <v>0.55699999999999994</v>
      </c>
      <c r="R76" s="1615"/>
      <c r="S76" s="45"/>
      <c r="T76" s="233"/>
      <c r="U76" s="233"/>
      <c r="V76" s="233"/>
      <c r="W76" s="45"/>
      <c r="X76" s="233"/>
      <c r="Y76" s="45"/>
      <c r="Z76" s="309"/>
      <c r="AA76" s="3"/>
      <c r="AB76" s="3"/>
      <c r="AK76" s="2825" t="s">
        <v>11238</v>
      </c>
      <c r="AL76" s="2826">
        <f>AL34+AL55+AL13</f>
        <v>377.71</v>
      </c>
      <c r="AM76" s="2827">
        <f>AL76-J12</f>
        <v>0</v>
      </c>
    </row>
    <row r="77" spans="1:39" ht="75.5" x14ac:dyDescent="0.35">
      <c r="A77" s="433">
        <v>16</v>
      </c>
      <c r="B77" s="1007">
        <v>10081</v>
      </c>
      <c r="C77" s="1007"/>
      <c r="D77" s="434" t="s">
        <v>1944</v>
      </c>
      <c r="E77" s="407" t="s">
        <v>9628</v>
      </c>
      <c r="F77" s="1834"/>
      <c r="G77" s="1834" t="s">
        <v>191</v>
      </c>
      <c r="H77" s="2349" t="s">
        <v>191</v>
      </c>
      <c r="I77" s="297">
        <f>J77+K77+L77</f>
        <v>24.3</v>
      </c>
      <c r="J77" s="297">
        <f>SUM(M77:R77)</f>
        <v>24.3</v>
      </c>
      <c r="K77" s="297"/>
      <c r="L77" s="297"/>
      <c r="M77" s="297"/>
      <c r="N77" s="2865">
        <f>SUM(N78:N79)</f>
        <v>15.6</v>
      </c>
      <c r="O77" s="619"/>
      <c r="P77" s="969"/>
      <c r="Q77" s="932">
        <f>SUM(Q78:Q79)</f>
        <v>8.7000000000000011</v>
      </c>
      <c r="R77" s="1615"/>
      <c r="S77" s="45"/>
      <c r="T77" s="233"/>
      <c r="U77" s="233"/>
      <c r="V77" s="233"/>
      <c r="W77" s="45">
        <v>15</v>
      </c>
      <c r="X77" s="233">
        <v>176</v>
      </c>
      <c r="Y77" s="45"/>
      <c r="Z77" s="309"/>
      <c r="AA77" s="19"/>
      <c r="AB77" s="3">
        <v>1</v>
      </c>
      <c r="AK77" s="2828" t="s">
        <v>11239</v>
      </c>
      <c r="AL77" s="2826">
        <f>AL19+AL40+AL61</f>
        <v>98.81</v>
      </c>
      <c r="AM77" s="2827">
        <f>AL77-J13</f>
        <v>0</v>
      </c>
    </row>
    <row r="78" spans="1:39" s="19" customFormat="1" x14ac:dyDescent="0.35">
      <c r="A78" s="433"/>
      <c r="B78" s="1007">
        <v>10081</v>
      </c>
      <c r="C78" s="1007"/>
      <c r="D78" s="435"/>
      <c r="E78" s="430" t="s">
        <v>11634</v>
      </c>
      <c r="F78" s="1834">
        <v>4</v>
      </c>
      <c r="G78" s="1834">
        <v>4</v>
      </c>
      <c r="H78" s="2349">
        <v>6</v>
      </c>
      <c r="I78" s="298"/>
      <c r="J78" s="298"/>
      <c r="K78" s="298"/>
      <c r="L78" s="298"/>
      <c r="M78" s="298"/>
      <c r="N78" s="2535">
        <v>15.6</v>
      </c>
      <c r="O78" s="621"/>
      <c r="P78" s="970"/>
      <c r="Q78" s="933"/>
      <c r="R78" s="1616"/>
      <c r="S78" s="45"/>
      <c r="T78" s="233"/>
      <c r="U78" s="233"/>
      <c r="V78" s="233"/>
      <c r="W78" s="45"/>
      <c r="X78" s="233"/>
      <c r="Y78" s="45"/>
      <c r="Z78" s="309"/>
      <c r="AA78" s="3"/>
      <c r="AK78" s="2828" t="s">
        <v>11240</v>
      </c>
      <c r="AL78" s="2826">
        <f>AL25+AL46+AL68</f>
        <v>167.21599999999998</v>
      </c>
      <c r="AM78" s="2827">
        <f>AL78-J14</f>
        <v>0</v>
      </c>
    </row>
    <row r="79" spans="1:39" x14ac:dyDescent="0.35">
      <c r="A79" s="2044"/>
      <c r="B79" s="1007">
        <v>10081</v>
      </c>
      <c r="C79" s="1007"/>
      <c r="D79" s="436"/>
      <c r="E79" s="840" t="s">
        <v>11635</v>
      </c>
      <c r="F79" s="1834">
        <v>4</v>
      </c>
      <c r="G79" s="1834">
        <v>4</v>
      </c>
      <c r="H79" s="2349">
        <v>6</v>
      </c>
      <c r="I79" s="300"/>
      <c r="J79" s="300"/>
      <c r="K79" s="300"/>
      <c r="L79" s="300"/>
      <c r="M79" s="300"/>
      <c r="N79" s="487"/>
      <c r="O79" s="621"/>
      <c r="P79" s="970"/>
      <c r="Q79" s="933">
        <f>24.3-15.6</f>
        <v>8.7000000000000011</v>
      </c>
      <c r="R79" s="1616"/>
      <c r="S79" s="1641"/>
      <c r="T79" s="1642"/>
      <c r="U79" s="1642"/>
      <c r="V79" s="1642"/>
      <c r="W79" s="1641"/>
      <c r="X79" s="1642"/>
      <c r="Y79" s="1641"/>
      <c r="Z79" s="1643"/>
      <c r="AA79" s="19"/>
    </row>
    <row r="80" spans="1:39" s="19" customFormat="1" ht="90.5" x14ac:dyDescent="0.35">
      <c r="A80" s="433">
        <v>17</v>
      </c>
      <c r="B80" s="1005">
        <v>10081</v>
      </c>
      <c r="C80" s="1005"/>
      <c r="D80" s="2460" t="s">
        <v>3860</v>
      </c>
      <c r="E80" s="407" t="s">
        <v>9629</v>
      </c>
      <c r="F80" s="1834"/>
      <c r="G80" s="1834" t="s">
        <v>191</v>
      </c>
      <c r="H80" s="2349" t="s">
        <v>191</v>
      </c>
      <c r="I80" s="297">
        <f>J80+K80+L80</f>
        <v>3.0229999999999997</v>
      </c>
      <c r="J80" s="297">
        <f>SUM(M80:R80)</f>
        <v>2.88</v>
      </c>
      <c r="K80" s="489"/>
      <c r="L80" s="490">
        <f>SUM(L81:L84)</f>
        <v>0.14300000000000002</v>
      </c>
      <c r="M80" s="489"/>
      <c r="N80" s="490">
        <f>SUM(N81:N84)</f>
        <v>1.2</v>
      </c>
      <c r="O80" s="624"/>
      <c r="P80" s="971"/>
      <c r="Q80" s="935">
        <f>SUM(Q81:Q84)</f>
        <v>1.6800000000000002</v>
      </c>
      <c r="R80" s="1617"/>
      <c r="S80" s="57"/>
      <c r="T80" s="234"/>
      <c r="U80" s="234"/>
      <c r="V80" s="234"/>
      <c r="W80" s="57">
        <v>3</v>
      </c>
      <c r="X80" s="234">
        <v>39.299999999999997</v>
      </c>
      <c r="Y80" s="57"/>
      <c r="Z80" s="309"/>
      <c r="AA80" s="16"/>
      <c r="AB80" s="3">
        <v>1</v>
      </c>
    </row>
    <row r="81" spans="1:28" s="16" customFormat="1" x14ac:dyDescent="0.35">
      <c r="A81" s="433"/>
      <c r="B81" s="1005">
        <v>10081</v>
      </c>
      <c r="C81" s="1005"/>
      <c r="D81" s="434"/>
      <c r="E81" s="507" t="s">
        <v>3428</v>
      </c>
      <c r="F81" s="1834" t="s">
        <v>827</v>
      </c>
      <c r="G81" s="1834">
        <v>5</v>
      </c>
      <c r="H81" s="2349">
        <v>6</v>
      </c>
      <c r="I81" s="303"/>
      <c r="J81" s="303"/>
      <c r="K81" s="497"/>
      <c r="L81" s="497"/>
      <c r="M81" s="497"/>
      <c r="N81" s="498">
        <v>1.2</v>
      </c>
      <c r="O81" s="624"/>
      <c r="P81" s="971"/>
      <c r="Q81" s="935"/>
      <c r="R81" s="1615"/>
      <c r="S81" s="57"/>
      <c r="T81" s="234"/>
      <c r="U81" s="234"/>
      <c r="V81" s="234"/>
      <c r="W81" s="57"/>
      <c r="X81" s="234"/>
      <c r="Y81" s="57"/>
      <c r="Z81" s="309"/>
      <c r="AA81" s="19"/>
    </row>
    <row r="82" spans="1:28" s="19" customFormat="1" x14ac:dyDescent="0.35">
      <c r="A82" s="433"/>
      <c r="B82" s="1005">
        <v>10081</v>
      </c>
      <c r="C82" s="1005"/>
      <c r="D82" s="434"/>
      <c r="E82" s="840" t="s">
        <v>10786</v>
      </c>
      <c r="F82" s="1834" t="s">
        <v>827</v>
      </c>
      <c r="G82" s="1834">
        <v>5</v>
      </c>
      <c r="H82" s="2349">
        <v>6</v>
      </c>
      <c r="I82" s="303"/>
      <c r="J82" s="303"/>
      <c r="K82" s="497"/>
      <c r="L82" s="497"/>
      <c r="M82" s="497"/>
      <c r="N82" s="498"/>
      <c r="O82" s="624"/>
      <c r="P82" s="971"/>
      <c r="Q82" s="1018">
        <f>1.929-1.2</f>
        <v>0.72900000000000009</v>
      </c>
      <c r="R82" s="2765"/>
      <c r="S82" s="57"/>
      <c r="T82" s="234"/>
      <c r="U82" s="234"/>
      <c r="V82" s="234"/>
      <c r="W82" s="57"/>
      <c r="X82" s="234"/>
      <c r="Y82" s="57"/>
      <c r="Z82" s="309"/>
      <c r="AA82" s="3"/>
    </row>
    <row r="83" spans="1:28" ht="62" x14ac:dyDescent="0.35">
      <c r="A83" s="433"/>
      <c r="B83" s="1005">
        <v>10081</v>
      </c>
      <c r="C83" s="1005"/>
      <c r="D83" s="434"/>
      <c r="E83" s="408" t="s">
        <v>9758</v>
      </c>
      <c r="F83" s="1834" t="s">
        <v>827</v>
      </c>
      <c r="G83" s="1834">
        <v>5</v>
      </c>
      <c r="H83" s="2349" t="s">
        <v>191</v>
      </c>
      <c r="I83" s="1011"/>
      <c r="J83" s="303"/>
      <c r="K83" s="497"/>
      <c r="L83" s="497">
        <f>2.072-1.929</f>
        <v>0.14300000000000002</v>
      </c>
      <c r="M83" s="497"/>
      <c r="N83" s="498"/>
      <c r="O83" s="624"/>
      <c r="P83" s="971"/>
      <c r="Q83" s="1018"/>
      <c r="R83" s="1616"/>
      <c r="S83" s="57"/>
      <c r="T83" s="234"/>
      <c r="U83" s="234"/>
      <c r="V83" s="234"/>
      <c r="W83" s="57"/>
      <c r="X83" s="234"/>
      <c r="Y83" s="57"/>
      <c r="Z83" s="309"/>
    </row>
    <row r="84" spans="1:28" x14ac:dyDescent="0.35">
      <c r="A84" s="433"/>
      <c r="B84" s="1005">
        <v>10081</v>
      </c>
      <c r="C84" s="1005"/>
      <c r="D84" s="434"/>
      <c r="E84" s="840" t="s">
        <v>2777</v>
      </c>
      <c r="F84" s="1834" t="s">
        <v>827</v>
      </c>
      <c r="G84" s="1834">
        <v>5</v>
      </c>
      <c r="H84" s="1834">
        <v>6</v>
      </c>
      <c r="I84" s="483"/>
      <c r="J84" s="297"/>
      <c r="K84" s="489"/>
      <c r="L84" s="489"/>
      <c r="M84" s="489"/>
      <c r="N84" s="490"/>
      <c r="O84" s="624"/>
      <c r="P84" s="971"/>
      <c r="Q84" s="1018">
        <f>3.023-2.072</f>
        <v>0.95100000000000007</v>
      </c>
      <c r="R84" s="1616"/>
      <c r="S84" s="57"/>
      <c r="T84" s="234"/>
      <c r="U84" s="234"/>
      <c r="V84" s="234"/>
      <c r="W84" s="57"/>
      <c r="X84" s="234"/>
      <c r="Y84" s="57"/>
      <c r="Z84" s="309"/>
      <c r="AA84" s="19"/>
    </row>
    <row r="85" spans="1:28" s="19" customFormat="1" ht="90.5" x14ac:dyDescent="0.35">
      <c r="A85" s="433">
        <v>18</v>
      </c>
      <c r="B85" s="1005">
        <v>10081</v>
      </c>
      <c r="C85" s="1005"/>
      <c r="D85" s="2460" t="s">
        <v>3861</v>
      </c>
      <c r="E85" s="407" t="s">
        <v>9630</v>
      </c>
      <c r="F85" s="1834">
        <v>4</v>
      </c>
      <c r="G85" s="1834">
        <v>5</v>
      </c>
      <c r="H85" s="2349">
        <v>6</v>
      </c>
      <c r="I85" s="297">
        <f t="shared" ref="I85:I94" si="8">J85+K85+L85</f>
        <v>1.038</v>
      </c>
      <c r="J85" s="297">
        <f t="shared" ref="J85:J94" si="9">SUM(M85:R85)</f>
        <v>1.038</v>
      </c>
      <c r="K85" s="297"/>
      <c r="L85" s="297"/>
      <c r="M85" s="297"/>
      <c r="N85" s="486">
        <v>1.038</v>
      </c>
      <c r="O85" s="619"/>
      <c r="P85" s="969"/>
      <c r="Q85" s="932"/>
      <c r="R85" s="1615"/>
      <c r="S85" s="45"/>
      <c r="T85" s="233"/>
      <c r="U85" s="233"/>
      <c r="V85" s="233"/>
      <c r="W85" s="45">
        <v>2</v>
      </c>
      <c r="X85" s="233">
        <v>20.66</v>
      </c>
      <c r="Y85" s="45"/>
      <c r="Z85" s="309"/>
      <c r="AA85" s="3"/>
      <c r="AB85" s="3">
        <v>1</v>
      </c>
    </row>
    <row r="86" spans="1:28" ht="120.5" x14ac:dyDescent="0.35">
      <c r="A86" s="433">
        <v>19</v>
      </c>
      <c r="B86" s="1005">
        <v>10081</v>
      </c>
      <c r="C86" s="1005"/>
      <c r="D86" s="2460" t="s">
        <v>3862</v>
      </c>
      <c r="E86" s="2359" t="s">
        <v>9631</v>
      </c>
      <c r="F86" s="1834">
        <v>5</v>
      </c>
      <c r="G86" s="1834">
        <v>5</v>
      </c>
      <c r="H86" s="2349">
        <v>6</v>
      </c>
      <c r="I86" s="297">
        <f t="shared" si="8"/>
        <v>0.442</v>
      </c>
      <c r="J86" s="297">
        <f t="shared" si="9"/>
        <v>0.442</v>
      </c>
      <c r="K86" s="297"/>
      <c r="L86" s="297"/>
      <c r="M86" s="297"/>
      <c r="N86" s="486">
        <v>0.442</v>
      </c>
      <c r="O86" s="619"/>
      <c r="P86" s="969"/>
      <c r="Q86" s="932"/>
      <c r="R86" s="1615"/>
      <c r="S86" s="45"/>
      <c r="T86" s="233"/>
      <c r="U86" s="233"/>
      <c r="V86" s="233"/>
      <c r="W86" s="45"/>
      <c r="X86" s="233"/>
      <c r="Y86" s="45"/>
      <c r="Z86" s="309"/>
      <c r="AB86" s="3">
        <v>1</v>
      </c>
    </row>
    <row r="87" spans="1:28" s="19" customFormat="1" ht="90.5" x14ac:dyDescent="0.35">
      <c r="A87" s="433">
        <v>20</v>
      </c>
      <c r="B87" s="1005">
        <v>10081</v>
      </c>
      <c r="C87" s="1005"/>
      <c r="D87" s="2460" t="s">
        <v>3863</v>
      </c>
      <c r="E87" s="407" t="s">
        <v>9632</v>
      </c>
      <c r="F87" s="1834">
        <v>5</v>
      </c>
      <c r="G87" s="1834">
        <v>5</v>
      </c>
      <c r="H87" s="2349">
        <v>6</v>
      </c>
      <c r="I87" s="297">
        <f t="shared" si="8"/>
        <v>1.08</v>
      </c>
      <c r="J87" s="297">
        <f t="shared" si="9"/>
        <v>1.08</v>
      </c>
      <c r="K87" s="297"/>
      <c r="L87" s="297"/>
      <c r="M87" s="297"/>
      <c r="N87" s="486"/>
      <c r="O87" s="619">
        <v>1.08</v>
      </c>
      <c r="P87" s="969"/>
      <c r="Q87" s="932"/>
      <c r="R87" s="1615"/>
      <c r="S87" s="45">
        <v>1</v>
      </c>
      <c r="T87" s="233">
        <v>24.6</v>
      </c>
      <c r="U87" s="233"/>
      <c r="V87" s="233"/>
      <c r="W87" s="45"/>
      <c r="X87" s="233"/>
      <c r="Y87" s="45"/>
      <c r="Z87" s="309"/>
      <c r="AB87" s="3">
        <v>1</v>
      </c>
    </row>
    <row r="88" spans="1:28" ht="105.5" x14ac:dyDescent="0.35">
      <c r="A88" s="433">
        <v>21</v>
      </c>
      <c r="B88" s="1006">
        <v>10081</v>
      </c>
      <c r="C88" s="1006" t="s">
        <v>1655</v>
      </c>
      <c r="D88" s="2460" t="s">
        <v>3865</v>
      </c>
      <c r="E88" s="407" t="s">
        <v>9633</v>
      </c>
      <c r="F88" s="1834" t="s">
        <v>664</v>
      </c>
      <c r="G88" s="1834">
        <v>5</v>
      </c>
      <c r="H88" s="2349">
        <v>6</v>
      </c>
      <c r="I88" s="483">
        <f t="shared" si="8"/>
        <v>0.5</v>
      </c>
      <c r="J88" s="297">
        <f t="shared" si="9"/>
        <v>0.5</v>
      </c>
      <c r="K88" s="297"/>
      <c r="L88" s="297"/>
      <c r="M88" s="297"/>
      <c r="N88" s="486"/>
      <c r="O88" s="619"/>
      <c r="P88" s="969"/>
      <c r="Q88" s="932"/>
      <c r="R88" s="1615">
        <v>0.5</v>
      </c>
      <c r="S88" s="45"/>
      <c r="T88" s="233"/>
      <c r="U88" s="233"/>
      <c r="V88" s="233"/>
      <c r="W88" s="45"/>
      <c r="X88" s="233"/>
      <c r="Y88" s="45"/>
      <c r="Z88" s="309"/>
      <c r="AA88" s="3" t="s">
        <v>11089</v>
      </c>
      <c r="AB88" s="3">
        <v>1</v>
      </c>
    </row>
    <row r="89" spans="1:28" s="19" customFormat="1" ht="105.5" x14ac:dyDescent="0.35">
      <c r="A89" s="433">
        <v>22</v>
      </c>
      <c r="B89" s="1006">
        <v>10081</v>
      </c>
      <c r="C89" s="1006" t="s">
        <v>1655</v>
      </c>
      <c r="D89" s="2460" t="s">
        <v>3866</v>
      </c>
      <c r="E89" s="407" t="s">
        <v>9634</v>
      </c>
      <c r="F89" s="1834" t="s">
        <v>664</v>
      </c>
      <c r="G89" s="1834">
        <v>5</v>
      </c>
      <c r="H89" s="2349">
        <v>6</v>
      </c>
      <c r="I89" s="483">
        <f t="shared" si="8"/>
        <v>0.5</v>
      </c>
      <c r="J89" s="297">
        <f t="shared" si="9"/>
        <v>0.5</v>
      </c>
      <c r="K89" s="297"/>
      <c r="L89" s="297"/>
      <c r="M89" s="297"/>
      <c r="N89" s="486"/>
      <c r="O89" s="619"/>
      <c r="P89" s="969"/>
      <c r="Q89" s="932"/>
      <c r="R89" s="1615">
        <v>0.5</v>
      </c>
      <c r="S89" s="45"/>
      <c r="T89" s="233"/>
      <c r="U89" s="233"/>
      <c r="V89" s="233"/>
      <c r="W89" s="45"/>
      <c r="X89" s="233"/>
      <c r="Y89" s="45"/>
      <c r="Z89" s="309"/>
      <c r="AA89" s="3" t="s">
        <v>11089</v>
      </c>
      <c r="AB89" s="3">
        <v>1</v>
      </c>
    </row>
    <row r="90" spans="1:28" ht="105.5" x14ac:dyDescent="0.35">
      <c r="A90" s="433">
        <v>23</v>
      </c>
      <c r="B90" s="1006">
        <v>10081</v>
      </c>
      <c r="C90" s="1006" t="s">
        <v>1655</v>
      </c>
      <c r="D90" s="2460" t="s">
        <v>3867</v>
      </c>
      <c r="E90" s="407" t="s">
        <v>9635</v>
      </c>
      <c r="F90" s="1834" t="s">
        <v>664</v>
      </c>
      <c r="G90" s="1834">
        <v>5</v>
      </c>
      <c r="H90" s="2349">
        <v>6</v>
      </c>
      <c r="I90" s="297">
        <f t="shared" si="8"/>
        <v>1.4</v>
      </c>
      <c r="J90" s="297">
        <f t="shared" si="9"/>
        <v>1.4</v>
      </c>
      <c r="K90" s="297"/>
      <c r="L90" s="297"/>
      <c r="M90" s="297"/>
      <c r="N90" s="486"/>
      <c r="O90" s="619"/>
      <c r="P90" s="969"/>
      <c r="Q90" s="932"/>
      <c r="R90" s="1615">
        <v>1.4</v>
      </c>
      <c r="S90" s="45"/>
      <c r="T90" s="233"/>
      <c r="U90" s="233"/>
      <c r="V90" s="233"/>
      <c r="W90" s="45"/>
      <c r="X90" s="233"/>
      <c r="Y90" s="45"/>
      <c r="Z90" s="309"/>
      <c r="AB90" s="3">
        <v>1</v>
      </c>
    </row>
    <row r="91" spans="1:28" s="19" customFormat="1" ht="90.5" x14ac:dyDescent="0.35">
      <c r="A91" s="433">
        <v>24</v>
      </c>
      <c r="B91" s="1006">
        <v>10081</v>
      </c>
      <c r="C91" s="1006" t="s">
        <v>1655</v>
      </c>
      <c r="D91" s="2460" t="s">
        <v>3868</v>
      </c>
      <c r="E91" s="407" t="s">
        <v>9636</v>
      </c>
      <c r="F91" s="1834" t="s">
        <v>664</v>
      </c>
      <c r="G91" s="1834">
        <v>5</v>
      </c>
      <c r="H91" s="2349">
        <v>6</v>
      </c>
      <c r="I91" s="297">
        <f t="shared" si="8"/>
        <v>1.4</v>
      </c>
      <c r="J91" s="297">
        <f t="shared" si="9"/>
        <v>1.4</v>
      </c>
      <c r="K91" s="297"/>
      <c r="L91" s="297"/>
      <c r="M91" s="297"/>
      <c r="N91" s="486"/>
      <c r="O91" s="619"/>
      <c r="P91" s="969"/>
      <c r="Q91" s="932"/>
      <c r="R91" s="1615">
        <v>1.4</v>
      </c>
      <c r="S91" s="45"/>
      <c r="T91" s="233"/>
      <c r="U91" s="233"/>
      <c r="V91" s="233"/>
      <c r="W91" s="45"/>
      <c r="X91" s="233"/>
      <c r="Y91" s="45"/>
      <c r="Z91" s="309"/>
      <c r="AB91" s="3">
        <v>1</v>
      </c>
    </row>
    <row r="92" spans="1:28" s="19" customFormat="1" ht="90.5" x14ac:dyDescent="0.35">
      <c r="A92" s="433">
        <v>25</v>
      </c>
      <c r="B92" s="1006">
        <v>10081</v>
      </c>
      <c r="C92" s="1004" t="s">
        <v>1656</v>
      </c>
      <c r="D92" s="2460" t="s">
        <v>3869</v>
      </c>
      <c r="E92" s="407" t="s">
        <v>9637</v>
      </c>
      <c r="F92" s="1834" t="s">
        <v>664</v>
      </c>
      <c r="G92" s="1834">
        <v>5</v>
      </c>
      <c r="H92" s="2349">
        <v>6</v>
      </c>
      <c r="I92" s="297">
        <f t="shared" si="8"/>
        <v>0.6</v>
      </c>
      <c r="J92" s="297">
        <f t="shared" si="9"/>
        <v>0.6</v>
      </c>
      <c r="K92" s="297"/>
      <c r="L92" s="297"/>
      <c r="M92" s="297"/>
      <c r="N92" s="486"/>
      <c r="O92" s="619"/>
      <c r="P92" s="969"/>
      <c r="Q92" s="932"/>
      <c r="R92" s="1615">
        <v>0.6</v>
      </c>
      <c r="S92" s="45"/>
      <c r="T92" s="233"/>
      <c r="U92" s="233"/>
      <c r="V92" s="233"/>
      <c r="W92" s="45"/>
      <c r="X92" s="233"/>
      <c r="Y92" s="45"/>
      <c r="Z92" s="309"/>
      <c r="AA92" s="16"/>
      <c r="AB92" s="3">
        <v>1</v>
      </c>
    </row>
    <row r="93" spans="1:28" s="16" customFormat="1" ht="90.5" x14ac:dyDescent="0.35">
      <c r="A93" s="433">
        <v>26</v>
      </c>
      <c r="B93" s="1006">
        <v>10081</v>
      </c>
      <c r="C93" s="1006" t="s">
        <v>1655</v>
      </c>
      <c r="D93" s="2460" t="s">
        <v>3870</v>
      </c>
      <c r="E93" s="407" t="s">
        <v>9638</v>
      </c>
      <c r="F93" s="1834" t="s">
        <v>664</v>
      </c>
      <c r="G93" s="1834">
        <v>5</v>
      </c>
      <c r="H93" s="2349">
        <v>6</v>
      </c>
      <c r="I93" s="297">
        <f t="shared" si="8"/>
        <v>0.4</v>
      </c>
      <c r="J93" s="297">
        <f t="shared" si="9"/>
        <v>0.4</v>
      </c>
      <c r="K93" s="297"/>
      <c r="L93" s="297"/>
      <c r="M93" s="297"/>
      <c r="N93" s="486"/>
      <c r="O93" s="619"/>
      <c r="P93" s="969"/>
      <c r="Q93" s="932"/>
      <c r="R93" s="1615">
        <v>0.4</v>
      </c>
      <c r="S93" s="45"/>
      <c r="T93" s="233"/>
      <c r="U93" s="233"/>
      <c r="V93" s="233"/>
      <c r="W93" s="45"/>
      <c r="X93" s="233"/>
      <c r="Y93" s="45"/>
      <c r="Z93" s="309"/>
      <c r="AA93" s="3"/>
      <c r="AB93" s="3">
        <v>1</v>
      </c>
    </row>
    <row r="94" spans="1:28" ht="30.5" x14ac:dyDescent="0.35">
      <c r="A94" s="433">
        <v>27</v>
      </c>
      <c r="B94" s="1007">
        <v>10082</v>
      </c>
      <c r="C94" s="1007"/>
      <c r="D94" s="434" t="s">
        <v>1945</v>
      </c>
      <c r="E94" s="407" t="s">
        <v>7038</v>
      </c>
      <c r="F94" s="1834"/>
      <c r="G94" s="1834" t="s">
        <v>191</v>
      </c>
      <c r="H94" s="2349" t="s">
        <v>191</v>
      </c>
      <c r="I94" s="297">
        <f t="shared" si="8"/>
        <v>11.190000000000001</v>
      </c>
      <c r="J94" s="297">
        <f t="shared" si="9"/>
        <v>11.190000000000001</v>
      </c>
      <c r="K94" s="297"/>
      <c r="L94" s="297"/>
      <c r="M94" s="297"/>
      <c r="N94" s="486">
        <f>SUM(N95:N97)</f>
        <v>8.73</v>
      </c>
      <c r="O94" s="619"/>
      <c r="P94" s="969"/>
      <c r="Q94" s="932">
        <f>SUM(Q95:Q97)</f>
        <v>2.46</v>
      </c>
      <c r="R94" s="1615"/>
      <c r="S94" s="45">
        <v>1</v>
      </c>
      <c r="T94" s="233">
        <f>6.4</f>
        <v>6.4</v>
      </c>
      <c r="U94" s="233"/>
      <c r="V94" s="233"/>
      <c r="W94" s="45">
        <v>13</v>
      </c>
      <c r="X94" s="233">
        <v>191.9</v>
      </c>
      <c r="Y94" s="45">
        <v>2</v>
      </c>
      <c r="Z94" s="309">
        <v>20</v>
      </c>
      <c r="AB94" s="3">
        <v>1</v>
      </c>
    </row>
    <row r="95" spans="1:28" x14ac:dyDescent="0.35">
      <c r="A95" s="433"/>
      <c r="B95" s="1007">
        <v>10082</v>
      </c>
      <c r="C95" s="1007"/>
      <c r="D95" s="435"/>
      <c r="E95" s="430" t="s">
        <v>2932</v>
      </c>
      <c r="F95" s="1834">
        <v>4</v>
      </c>
      <c r="G95" s="1834">
        <v>4</v>
      </c>
      <c r="H95" s="2349">
        <v>6</v>
      </c>
      <c r="I95" s="298"/>
      <c r="J95" s="298"/>
      <c r="K95" s="298"/>
      <c r="L95" s="298"/>
      <c r="M95" s="298"/>
      <c r="N95" s="487">
        <v>1.65</v>
      </c>
      <c r="O95" s="621"/>
      <c r="P95" s="970"/>
      <c r="Q95" s="933"/>
      <c r="R95" s="1616"/>
      <c r="S95" s="45"/>
      <c r="T95" s="233"/>
      <c r="U95" s="233"/>
      <c r="V95" s="233"/>
      <c r="W95" s="45"/>
      <c r="X95" s="233"/>
      <c r="Y95" s="45"/>
      <c r="Z95" s="309"/>
      <c r="AA95" s="16"/>
    </row>
    <row r="96" spans="1:28" s="16" customFormat="1" x14ac:dyDescent="0.35">
      <c r="A96" s="2044"/>
      <c r="B96" s="1007">
        <v>10082</v>
      </c>
      <c r="C96" s="1007"/>
      <c r="D96" s="436"/>
      <c r="E96" s="840" t="s">
        <v>2787</v>
      </c>
      <c r="F96" s="1834">
        <v>4</v>
      </c>
      <c r="G96" s="1834">
        <v>4</v>
      </c>
      <c r="H96" s="2349">
        <v>6</v>
      </c>
      <c r="I96" s="300"/>
      <c r="J96" s="300"/>
      <c r="K96" s="300"/>
      <c r="L96" s="300"/>
      <c r="M96" s="300"/>
      <c r="N96" s="487"/>
      <c r="O96" s="621"/>
      <c r="P96" s="970"/>
      <c r="Q96" s="933">
        <v>2.46</v>
      </c>
      <c r="R96" s="1616"/>
      <c r="S96" s="1641"/>
      <c r="T96" s="1642"/>
      <c r="U96" s="1642"/>
      <c r="V96" s="1642"/>
      <c r="W96" s="1641"/>
      <c r="X96" s="1642"/>
      <c r="Y96" s="1641"/>
      <c r="Z96" s="1643"/>
      <c r="AA96" s="3"/>
    </row>
    <row r="97" spans="1:28" x14ac:dyDescent="0.35">
      <c r="A97" s="433"/>
      <c r="B97" s="1007">
        <v>10082</v>
      </c>
      <c r="C97" s="1007"/>
      <c r="D97" s="435"/>
      <c r="E97" s="430" t="s">
        <v>1581</v>
      </c>
      <c r="F97" s="1834">
        <v>4</v>
      </c>
      <c r="G97" s="1834">
        <v>4</v>
      </c>
      <c r="H97" s="2349">
        <v>6</v>
      </c>
      <c r="I97" s="298"/>
      <c r="J97" s="298"/>
      <c r="K97" s="298"/>
      <c r="L97" s="298"/>
      <c r="M97" s="298"/>
      <c r="N97" s="487">
        <v>7.08</v>
      </c>
      <c r="O97" s="621"/>
      <c r="P97" s="970"/>
      <c r="Q97" s="933"/>
      <c r="R97" s="1616"/>
      <c r="S97" s="45"/>
      <c r="T97" s="233"/>
      <c r="U97" s="233"/>
      <c r="V97" s="233"/>
      <c r="W97" s="45"/>
      <c r="X97" s="233"/>
      <c r="Y97" s="45"/>
      <c r="Z97" s="309"/>
      <c r="AA97" s="20"/>
    </row>
    <row r="98" spans="1:28" s="20" customFormat="1" ht="45.5" x14ac:dyDescent="0.35">
      <c r="A98" s="433">
        <v>28</v>
      </c>
      <c r="B98" s="1005">
        <v>10082</v>
      </c>
      <c r="C98" s="1005"/>
      <c r="D98" s="2460" t="s">
        <v>3871</v>
      </c>
      <c r="E98" s="407" t="s">
        <v>7453</v>
      </c>
      <c r="F98" s="1834">
        <v>5</v>
      </c>
      <c r="G98" s="1834">
        <v>5</v>
      </c>
      <c r="H98" s="2349">
        <v>6</v>
      </c>
      <c r="I98" s="483">
        <f>J98+K98+L98</f>
        <v>1.5449999999999999</v>
      </c>
      <c r="J98" s="297">
        <f>SUM(M98:R98)</f>
        <v>1.5449999999999999</v>
      </c>
      <c r="K98" s="489"/>
      <c r="L98" s="489"/>
      <c r="M98" s="489"/>
      <c r="N98" s="490"/>
      <c r="O98" s="624"/>
      <c r="P98" s="971"/>
      <c r="Q98" s="935">
        <v>1.5449999999999999</v>
      </c>
      <c r="R98" s="1615"/>
      <c r="S98" s="57"/>
      <c r="T98" s="234"/>
      <c r="U98" s="234"/>
      <c r="V98" s="234"/>
      <c r="W98" s="57">
        <v>2</v>
      </c>
      <c r="X98" s="234">
        <v>20</v>
      </c>
      <c r="Y98" s="57"/>
      <c r="Z98" s="309"/>
      <c r="AA98" s="3"/>
      <c r="AB98" s="3">
        <v>1</v>
      </c>
    </row>
    <row r="99" spans="1:28" ht="60.5" x14ac:dyDescent="0.35">
      <c r="A99" s="439">
        <v>29</v>
      </c>
      <c r="B99" s="1006">
        <v>10082</v>
      </c>
      <c r="C99" s="1004" t="s">
        <v>1656</v>
      </c>
      <c r="D99" s="2460" t="s">
        <v>3872</v>
      </c>
      <c r="E99" s="407" t="s">
        <v>8179</v>
      </c>
      <c r="F99" s="1834" t="s">
        <v>664</v>
      </c>
      <c r="G99" s="1834">
        <v>5</v>
      </c>
      <c r="H99" s="2349">
        <v>6</v>
      </c>
      <c r="I99" s="297">
        <f>J99+K99+L99</f>
        <v>0.8</v>
      </c>
      <c r="J99" s="297">
        <f>SUM(M99:R99)</f>
        <v>0.8</v>
      </c>
      <c r="K99" s="297"/>
      <c r="L99" s="297"/>
      <c r="M99" s="297"/>
      <c r="N99" s="486"/>
      <c r="O99" s="619"/>
      <c r="P99" s="969"/>
      <c r="Q99" s="932"/>
      <c r="R99" s="1615">
        <v>0.8</v>
      </c>
      <c r="S99" s="45"/>
      <c r="T99" s="233"/>
      <c r="U99" s="233"/>
      <c r="V99" s="233"/>
      <c r="W99" s="45"/>
      <c r="X99" s="233"/>
      <c r="Y99" s="45"/>
      <c r="Z99" s="309"/>
      <c r="AA99" s="19"/>
      <c r="AB99" s="3">
        <v>1</v>
      </c>
    </row>
    <row r="100" spans="1:28" ht="45.5" x14ac:dyDescent="0.35">
      <c r="A100" s="433">
        <v>30</v>
      </c>
      <c r="B100" s="1006">
        <v>10082</v>
      </c>
      <c r="C100" s="1004" t="s">
        <v>1656</v>
      </c>
      <c r="D100" s="2460" t="s">
        <v>3873</v>
      </c>
      <c r="E100" s="407" t="s">
        <v>8180</v>
      </c>
      <c r="F100" s="1834" t="s">
        <v>1490</v>
      </c>
      <c r="G100" s="1834">
        <v>5</v>
      </c>
      <c r="H100" s="2349">
        <v>6</v>
      </c>
      <c r="I100" s="297">
        <f>J100+K100+L100</f>
        <v>1</v>
      </c>
      <c r="J100" s="297">
        <f>SUM(M100:R100)</f>
        <v>1</v>
      </c>
      <c r="K100" s="297"/>
      <c r="L100" s="297"/>
      <c r="M100" s="297"/>
      <c r="N100" s="486"/>
      <c r="O100" s="619"/>
      <c r="P100" s="969"/>
      <c r="Q100" s="932"/>
      <c r="R100" s="1615">
        <v>1</v>
      </c>
      <c r="S100" s="45"/>
      <c r="T100" s="233"/>
      <c r="U100" s="233"/>
      <c r="V100" s="233"/>
      <c r="W100" s="45"/>
      <c r="X100" s="233"/>
      <c r="Y100" s="45"/>
      <c r="Z100" s="309"/>
      <c r="AA100" s="16"/>
      <c r="AB100" s="3">
        <v>1</v>
      </c>
    </row>
    <row r="101" spans="1:28" s="16" customFormat="1" ht="45.5" x14ac:dyDescent="0.35">
      <c r="A101" s="439">
        <v>31</v>
      </c>
      <c r="B101" s="1006">
        <v>10082</v>
      </c>
      <c r="C101" s="1004" t="s">
        <v>1656</v>
      </c>
      <c r="D101" s="2460" t="s">
        <v>3874</v>
      </c>
      <c r="E101" s="407" t="s">
        <v>8181</v>
      </c>
      <c r="F101" s="1834" t="s">
        <v>664</v>
      </c>
      <c r="G101" s="1834">
        <v>5</v>
      </c>
      <c r="H101" s="2349">
        <v>6</v>
      </c>
      <c r="I101" s="297">
        <f>J101+K101+L101</f>
        <v>0.05</v>
      </c>
      <c r="J101" s="297">
        <f>SUM(M101:R101)</f>
        <v>0.05</v>
      </c>
      <c r="K101" s="297"/>
      <c r="L101" s="297"/>
      <c r="M101" s="297"/>
      <c r="N101" s="486"/>
      <c r="O101" s="619"/>
      <c r="P101" s="969"/>
      <c r="Q101" s="932"/>
      <c r="R101" s="1615">
        <v>0.05</v>
      </c>
      <c r="S101" s="45"/>
      <c r="T101" s="233"/>
      <c r="U101" s="233"/>
      <c r="V101" s="233"/>
      <c r="W101" s="45"/>
      <c r="X101" s="233"/>
      <c r="Y101" s="45"/>
      <c r="Z101" s="309"/>
      <c r="AA101" s="3"/>
      <c r="AB101" s="3">
        <v>1</v>
      </c>
    </row>
    <row r="102" spans="1:28" s="19" customFormat="1" ht="50.25" customHeight="1" x14ac:dyDescent="0.35">
      <c r="A102" s="433">
        <v>32</v>
      </c>
      <c r="B102" s="1007">
        <v>10083</v>
      </c>
      <c r="C102" s="1007"/>
      <c r="D102" s="434" t="s">
        <v>1946</v>
      </c>
      <c r="E102" s="2069" t="s">
        <v>10916</v>
      </c>
      <c r="F102" s="1834"/>
      <c r="G102" s="1834" t="s">
        <v>191</v>
      </c>
      <c r="H102" s="2349" t="s">
        <v>191</v>
      </c>
      <c r="I102" s="297">
        <f>J102+K102+L102</f>
        <v>15.32</v>
      </c>
      <c r="J102" s="297">
        <f>SUM(M102:R102)</f>
        <v>15.32</v>
      </c>
      <c r="K102" s="297"/>
      <c r="L102" s="297"/>
      <c r="M102" s="297"/>
      <c r="N102" s="486">
        <f>SUM(N103:N105)</f>
        <v>9.620000000000001</v>
      </c>
      <c r="O102" s="619"/>
      <c r="P102" s="969"/>
      <c r="Q102" s="932">
        <f>SUM(Q103:Q105)</f>
        <v>5.7</v>
      </c>
      <c r="R102" s="1615"/>
      <c r="S102" s="45"/>
      <c r="T102" s="233"/>
      <c r="U102" s="233"/>
      <c r="V102" s="233"/>
      <c r="W102" s="45">
        <v>13</v>
      </c>
      <c r="X102" s="1962">
        <v>192.6</v>
      </c>
      <c r="Y102" s="45">
        <v>1</v>
      </c>
      <c r="Z102" s="309">
        <v>15</v>
      </c>
      <c r="AA102" s="3" t="s">
        <v>2432</v>
      </c>
      <c r="AB102" s="3">
        <v>1</v>
      </c>
    </row>
    <row r="103" spans="1:28" s="16" customFormat="1" x14ac:dyDescent="0.35">
      <c r="A103" s="433"/>
      <c r="B103" s="1007">
        <v>10083</v>
      </c>
      <c r="C103" s="1007"/>
      <c r="D103" s="435"/>
      <c r="E103" s="430" t="s">
        <v>2801</v>
      </c>
      <c r="F103" s="1834">
        <v>4</v>
      </c>
      <c r="G103" s="1834">
        <v>4</v>
      </c>
      <c r="H103" s="2349">
        <v>6</v>
      </c>
      <c r="I103" s="499"/>
      <c r="J103" s="298"/>
      <c r="K103" s="298"/>
      <c r="L103" s="298"/>
      <c r="M103" s="298"/>
      <c r="N103" s="487">
        <v>6.46</v>
      </c>
      <c r="O103" s="621"/>
      <c r="P103" s="970"/>
      <c r="Q103" s="933"/>
      <c r="R103" s="1616"/>
      <c r="S103" s="45"/>
      <c r="T103" s="233"/>
      <c r="U103" s="233"/>
      <c r="V103" s="233"/>
      <c r="W103" s="45"/>
      <c r="X103" s="233"/>
      <c r="Y103" s="45"/>
      <c r="Z103" s="309"/>
    </row>
    <row r="104" spans="1:28" s="16" customFormat="1" x14ac:dyDescent="0.35">
      <c r="A104" s="2044"/>
      <c r="B104" s="1007">
        <v>10083</v>
      </c>
      <c r="C104" s="1007"/>
      <c r="D104" s="436"/>
      <c r="E104" s="840" t="s">
        <v>2802</v>
      </c>
      <c r="F104" s="1834">
        <v>4</v>
      </c>
      <c r="G104" s="1834">
        <v>4</v>
      </c>
      <c r="H104" s="2349">
        <v>6</v>
      </c>
      <c r="I104" s="300"/>
      <c r="J104" s="300"/>
      <c r="K104" s="300"/>
      <c r="L104" s="300"/>
      <c r="M104" s="300"/>
      <c r="N104" s="487"/>
      <c r="O104" s="621"/>
      <c r="P104" s="970"/>
      <c r="Q104" s="933">
        <v>5.7</v>
      </c>
      <c r="R104" s="1616"/>
      <c r="S104" s="1641"/>
      <c r="T104" s="1642"/>
      <c r="U104" s="1642"/>
      <c r="V104" s="1642"/>
      <c r="W104" s="1641"/>
      <c r="X104" s="1642"/>
      <c r="Y104" s="1641"/>
      <c r="Z104" s="1643"/>
      <c r="AA104" s="3"/>
    </row>
    <row r="105" spans="1:28" x14ac:dyDescent="0.35">
      <c r="A105" s="433"/>
      <c r="B105" s="1007">
        <v>10083</v>
      </c>
      <c r="C105" s="1007"/>
      <c r="D105" s="435"/>
      <c r="E105" s="430" t="s">
        <v>2803</v>
      </c>
      <c r="F105" s="1834">
        <v>4</v>
      </c>
      <c r="G105" s="1834">
        <v>4</v>
      </c>
      <c r="H105" s="2349">
        <v>6</v>
      </c>
      <c r="I105" s="298"/>
      <c r="J105" s="298"/>
      <c r="K105" s="298"/>
      <c r="L105" s="298"/>
      <c r="M105" s="298"/>
      <c r="N105" s="487">
        <v>3.16</v>
      </c>
      <c r="O105" s="621"/>
      <c r="P105" s="970"/>
      <c r="Q105" s="933"/>
      <c r="R105" s="1616"/>
      <c r="S105" s="45"/>
      <c r="T105" s="233"/>
      <c r="U105" s="233"/>
      <c r="V105" s="233"/>
      <c r="W105" s="45"/>
      <c r="X105" s="233"/>
      <c r="Y105" s="45"/>
      <c r="Z105" s="309"/>
      <c r="AA105" s="19"/>
    </row>
    <row r="106" spans="1:28" s="19" customFormat="1" ht="63.75" customHeight="1" x14ac:dyDescent="0.35">
      <c r="A106" s="439">
        <v>33</v>
      </c>
      <c r="B106" s="1006">
        <v>10083</v>
      </c>
      <c r="C106" s="1004" t="s">
        <v>1656</v>
      </c>
      <c r="D106" s="2460" t="s">
        <v>3875</v>
      </c>
      <c r="E106" s="2069" t="s">
        <v>10915</v>
      </c>
      <c r="F106" s="1834" t="s">
        <v>1490</v>
      </c>
      <c r="G106" s="1834">
        <v>5</v>
      </c>
      <c r="H106" s="2349">
        <v>6</v>
      </c>
      <c r="I106" s="483">
        <f>J106+K106+L106</f>
        <v>0.05</v>
      </c>
      <c r="J106" s="297">
        <f>SUM(M106:R106)</f>
        <v>0.05</v>
      </c>
      <c r="K106" s="297"/>
      <c r="L106" s="297"/>
      <c r="M106" s="297"/>
      <c r="N106" s="486"/>
      <c r="O106" s="619"/>
      <c r="P106" s="969"/>
      <c r="Q106" s="932"/>
      <c r="R106" s="1615">
        <v>0.05</v>
      </c>
      <c r="S106" s="45"/>
      <c r="T106" s="233"/>
      <c r="U106" s="233"/>
      <c r="V106" s="233"/>
      <c r="W106" s="45"/>
      <c r="X106" s="233"/>
      <c r="Y106" s="45"/>
      <c r="Z106" s="309"/>
      <c r="AA106" s="3"/>
      <c r="AB106" s="3">
        <v>1</v>
      </c>
    </row>
    <row r="107" spans="1:28" ht="30" x14ac:dyDescent="0.35">
      <c r="A107" s="433">
        <v>34</v>
      </c>
      <c r="B107" s="1007">
        <v>10084</v>
      </c>
      <c r="C107" s="1007"/>
      <c r="D107" s="434" t="s">
        <v>1947</v>
      </c>
      <c r="E107" s="407" t="s">
        <v>7039</v>
      </c>
      <c r="F107" s="1834"/>
      <c r="G107" s="1834" t="s">
        <v>191</v>
      </c>
      <c r="H107" s="2349" t="s">
        <v>191</v>
      </c>
      <c r="I107" s="483">
        <f>J107+K107+L107</f>
        <v>23.36</v>
      </c>
      <c r="J107" s="297">
        <f>SUM(M107:R107)</f>
        <v>23.36</v>
      </c>
      <c r="K107" s="297"/>
      <c r="L107" s="297"/>
      <c r="M107" s="297"/>
      <c r="N107" s="486">
        <f>SUM(N108:N114)</f>
        <v>12.45</v>
      </c>
      <c r="O107" s="619"/>
      <c r="P107" s="969"/>
      <c r="Q107" s="932">
        <f>SUM(Q108:Q114)</f>
        <v>10.91</v>
      </c>
      <c r="R107" s="1615"/>
      <c r="S107" s="45"/>
      <c r="T107" s="233"/>
      <c r="U107" s="233"/>
      <c r="V107" s="233"/>
      <c r="W107" s="45">
        <v>22</v>
      </c>
      <c r="X107" s="233">
        <v>321.58999999999997</v>
      </c>
      <c r="Y107" s="45">
        <v>9</v>
      </c>
      <c r="Z107" s="309">
        <v>102</v>
      </c>
      <c r="AA107" s="16"/>
      <c r="AB107" s="3">
        <v>1</v>
      </c>
    </row>
    <row r="108" spans="1:28" s="16" customFormat="1" x14ac:dyDescent="0.35">
      <c r="A108" s="433"/>
      <c r="B108" s="1007">
        <v>10084</v>
      </c>
      <c r="C108" s="1007"/>
      <c r="D108" s="435"/>
      <c r="E108" s="430" t="s">
        <v>3372</v>
      </c>
      <c r="F108" s="1834">
        <v>4</v>
      </c>
      <c r="G108" s="1834">
        <v>4</v>
      </c>
      <c r="H108" s="2349">
        <v>6</v>
      </c>
      <c r="I108" s="298"/>
      <c r="J108" s="298"/>
      <c r="K108" s="298"/>
      <c r="L108" s="298"/>
      <c r="M108" s="298"/>
      <c r="N108" s="487">
        <v>2.7450000000000001</v>
      </c>
      <c r="O108" s="621"/>
      <c r="P108" s="970"/>
      <c r="Q108" s="933"/>
      <c r="R108" s="1616"/>
      <c r="S108" s="45"/>
      <c r="T108" s="233"/>
      <c r="U108" s="233"/>
      <c r="V108" s="233"/>
      <c r="W108" s="45"/>
      <c r="X108" s="233"/>
      <c r="Y108" s="45"/>
      <c r="Z108" s="309"/>
      <c r="AA108" s="3"/>
    </row>
    <row r="109" spans="1:28" s="16" customFormat="1" x14ac:dyDescent="0.35">
      <c r="A109" s="433"/>
      <c r="B109" s="1007">
        <v>10084</v>
      </c>
      <c r="C109" s="1007"/>
      <c r="D109" s="435"/>
      <c r="E109" s="430" t="s">
        <v>3373</v>
      </c>
      <c r="F109" s="1834">
        <v>4</v>
      </c>
      <c r="G109" s="1834">
        <v>4</v>
      </c>
      <c r="H109" s="2349">
        <v>10</v>
      </c>
      <c r="I109" s="298"/>
      <c r="J109" s="298"/>
      <c r="K109" s="298"/>
      <c r="L109" s="298"/>
      <c r="M109" s="298"/>
      <c r="N109" s="487">
        <f>5.6-2.745</f>
        <v>2.8549999999999995</v>
      </c>
      <c r="O109" s="621"/>
      <c r="P109" s="970"/>
      <c r="Q109" s="933"/>
      <c r="R109" s="1616"/>
      <c r="S109" s="45"/>
      <c r="T109" s="233"/>
      <c r="U109" s="233"/>
      <c r="V109" s="233"/>
      <c r="W109" s="45"/>
      <c r="X109" s="233"/>
      <c r="Y109" s="45"/>
      <c r="Z109" s="309"/>
      <c r="AA109" s="3"/>
    </row>
    <row r="110" spans="1:28" x14ac:dyDescent="0.35">
      <c r="A110" s="2044"/>
      <c r="B110" s="1007">
        <v>10084</v>
      </c>
      <c r="C110" s="1007"/>
      <c r="D110" s="436"/>
      <c r="E110" s="840" t="s">
        <v>3450</v>
      </c>
      <c r="F110" s="1834">
        <v>4</v>
      </c>
      <c r="G110" s="1834">
        <v>4</v>
      </c>
      <c r="H110" s="1834">
        <v>6</v>
      </c>
      <c r="I110" s="300"/>
      <c r="J110" s="300"/>
      <c r="K110" s="300"/>
      <c r="L110" s="300"/>
      <c r="M110" s="300"/>
      <c r="N110" s="487"/>
      <c r="O110" s="621"/>
      <c r="P110" s="970"/>
      <c r="Q110" s="933">
        <f>9.66-5.6</f>
        <v>4.0600000000000005</v>
      </c>
      <c r="R110" s="1616"/>
      <c r="S110" s="1641"/>
      <c r="T110" s="1642"/>
      <c r="U110" s="1642"/>
      <c r="V110" s="1642"/>
      <c r="W110" s="1641"/>
      <c r="X110" s="1642"/>
      <c r="Y110" s="1641"/>
      <c r="Z110" s="1643"/>
      <c r="AA110" s="19"/>
    </row>
    <row r="111" spans="1:28" s="19" customFormat="1" x14ac:dyDescent="0.35">
      <c r="A111" s="433"/>
      <c r="B111" s="1007">
        <v>10084</v>
      </c>
      <c r="C111" s="1007"/>
      <c r="D111" s="435"/>
      <c r="E111" s="430" t="s">
        <v>476</v>
      </c>
      <c r="F111" s="1834">
        <v>4</v>
      </c>
      <c r="G111" s="1834">
        <v>4</v>
      </c>
      <c r="H111" s="2349">
        <v>6</v>
      </c>
      <c r="I111" s="298"/>
      <c r="J111" s="298"/>
      <c r="K111" s="298"/>
      <c r="L111" s="298"/>
      <c r="M111" s="298"/>
      <c r="N111" s="487">
        <v>4.78</v>
      </c>
      <c r="O111" s="621"/>
      <c r="P111" s="970"/>
      <c r="Q111" s="933"/>
      <c r="R111" s="1616"/>
      <c r="S111" s="45"/>
      <c r="T111" s="233"/>
      <c r="U111" s="233"/>
      <c r="V111" s="233"/>
      <c r="W111" s="45"/>
      <c r="X111" s="233"/>
      <c r="Y111" s="45"/>
      <c r="Z111" s="309"/>
      <c r="AA111" s="16"/>
    </row>
    <row r="112" spans="1:28" s="16" customFormat="1" x14ac:dyDescent="0.35">
      <c r="A112" s="2044"/>
      <c r="B112" s="1007">
        <v>10084</v>
      </c>
      <c r="C112" s="1007"/>
      <c r="D112" s="436"/>
      <c r="E112" s="840" t="s">
        <v>477</v>
      </c>
      <c r="F112" s="1834">
        <v>4</v>
      </c>
      <c r="G112" s="1834">
        <v>4</v>
      </c>
      <c r="H112" s="1834">
        <v>6</v>
      </c>
      <c r="I112" s="1008"/>
      <c r="J112" s="300"/>
      <c r="K112" s="300"/>
      <c r="L112" s="300"/>
      <c r="M112" s="300"/>
      <c r="N112" s="487"/>
      <c r="O112" s="621"/>
      <c r="P112" s="970"/>
      <c r="Q112" s="933">
        <v>3.46</v>
      </c>
      <c r="R112" s="1616"/>
      <c r="S112" s="1641"/>
      <c r="T112" s="1642"/>
      <c r="U112" s="1642"/>
      <c r="V112" s="1642"/>
      <c r="W112" s="1641"/>
      <c r="X112" s="1642"/>
      <c r="Y112" s="1641"/>
      <c r="Z112" s="1643"/>
    </row>
    <row r="113" spans="1:28" s="16" customFormat="1" x14ac:dyDescent="0.35">
      <c r="A113" s="433"/>
      <c r="B113" s="1007">
        <v>10084</v>
      </c>
      <c r="C113" s="1007"/>
      <c r="D113" s="435"/>
      <c r="E113" s="430" t="s">
        <v>741</v>
      </c>
      <c r="F113" s="1834">
        <v>4</v>
      </c>
      <c r="G113" s="1834">
        <v>4</v>
      </c>
      <c r="H113" s="2349">
        <v>6</v>
      </c>
      <c r="I113" s="298"/>
      <c r="J113" s="298"/>
      <c r="K113" s="298"/>
      <c r="L113" s="298"/>
      <c r="M113" s="298"/>
      <c r="N113" s="487">
        <f>19.97-17.9</f>
        <v>2.0700000000000003</v>
      </c>
      <c r="O113" s="621"/>
      <c r="P113" s="970"/>
      <c r="Q113" s="933"/>
      <c r="R113" s="1616"/>
      <c r="S113" s="45"/>
      <c r="T113" s="233"/>
      <c r="U113" s="233"/>
      <c r="V113" s="233"/>
      <c r="W113" s="45"/>
      <c r="X113" s="233"/>
      <c r="Y113" s="45"/>
      <c r="Z113" s="309"/>
    </row>
    <row r="114" spans="1:28" s="16" customFormat="1" x14ac:dyDescent="0.35">
      <c r="A114" s="2044"/>
      <c r="B114" s="1007">
        <v>10084</v>
      </c>
      <c r="C114" s="1007"/>
      <c r="D114" s="436"/>
      <c r="E114" s="840" t="s">
        <v>728</v>
      </c>
      <c r="F114" s="1834">
        <v>4</v>
      </c>
      <c r="G114" s="1834">
        <v>4</v>
      </c>
      <c r="H114" s="1834">
        <v>6</v>
      </c>
      <c r="I114" s="300"/>
      <c r="J114" s="300"/>
      <c r="K114" s="300"/>
      <c r="L114" s="300"/>
      <c r="M114" s="300"/>
      <c r="N114" s="487"/>
      <c r="O114" s="621"/>
      <c r="P114" s="970"/>
      <c r="Q114" s="933">
        <f>23.36-19.97</f>
        <v>3.3900000000000006</v>
      </c>
      <c r="R114" s="1616"/>
      <c r="S114" s="1641"/>
      <c r="T114" s="1642"/>
      <c r="U114" s="1642"/>
      <c r="V114" s="1642"/>
      <c r="W114" s="1641"/>
      <c r="X114" s="1642"/>
      <c r="Y114" s="1641"/>
      <c r="Z114" s="1643"/>
    </row>
    <row r="115" spans="1:28" s="16" customFormat="1" ht="30.5" x14ac:dyDescent="0.35">
      <c r="A115" s="433">
        <v>35</v>
      </c>
      <c r="B115" s="1005">
        <v>10084</v>
      </c>
      <c r="C115" s="1005"/>
      <c r="D115" s="2460" t="s">
        <v>3876</v>
      </c>
      <c r="E115" s="2069" t="s">
        <v>11197</v>
      </c>
      <c r="F115" s="1834" t="s">
        <v>1490</v>
      </c>
      <c r="G115" s="1834">
        <v>5</v>
      </c>
      <c r="H115" s="2349">
        <v>6</v>
      </c>
      <c r="I115" s="484">
        <f t="shared" ref="I115:I128" si="10">J115+K115+L115</f>
        <v>1</v>
      </c>
      <c r="J115" s="486">
        <f t="shared" ref="J115:J128" si="11">SUM(M115:R115)</f>
        <v>1</v>
      </c>
      <c r="K115" s="297"/>
      <c r="L115" s="297"/>
      <c r="M115" s="297"/>
      <c r="N115" s="486"/>
      <c r="O115" s="619"/>
      <c r="P115" s="969"/>
      <c r="Q115" s="932"/>
      <c r="R115" s="1615">
        <v>1</v>
      </c>
      <c r="S115" s="45"/>
      <c r="T115" s="233"/>
      <c r="U115" s="233"/>
      <c r="V115" s="233"/>
      <c r="W115" s="45"/>
      <c r="X115" s="233"/>
      <c r="Y115" s="45"/>
      <c r="Z115" s="309"/>
      <c r="AB115" s="3">
        <v>1</v>
      </c>
    </row>
    <row r="116" spans="1:28" s="19" customFormat="1" ht="60.5" x14ac:dyDescent="0.35">
      <c r="A116" s="439">
        <v>36</v>
      </c>
      <c r="B116" s="1006">
        <v>10084</v>
      </c>
      <c r="C116" s="1006" t="s">
        <v>1655</v>
      </c>
      <c r="D116" s="2460" t="s">
        <v>3877</v>
      </c>
      <c r="E116" s="407" t="s">
        <v>7454</v>
      </c>
      <c r="F116" s="1834" t="s">
        <v>664</v>
      </c>
      <c r="G116" s="1834">
        <v>5</v>
      </c>
      <c r="H116" s="2349">
        <v>6</v>
      </c>
      <c r="I116" s="483">
        <f t="shared" si="10"/>
        <v>0.5</v>
      </c>
      <c r="J116" s="297">
        <f t="shared" si="11"/>
        <v>0.5</v>
      </c>
      <c r="K116" s="297"/>
      <c r="L116" s="297"/>
      <c r="M116" s="297"/>
      <c r="N116" s="486"/>
      <c r="O116" s="619"/>
      <c r="P116" s="969"/>
      <c r="Q116" s="932"/>
      <c r="R116" s="1615">
        <v>0.5</v>
      </c>
      <c r="S116" s="45"/>
      <c r="T116" s="233"/>
      <c r="U116" s="233"/>
      <c r="V116" s="233"/>
      <c r="W116" s="45"/>
      <c r="X116" s="233"/>
      <c r="Y116" s="45"/>
      <c r="Z116" s="309"/>
      <c r="AB116" s="3">
        <v>1</v>
      </c>
    </row>
    <row r="117" spans="1:28" s="16" customFormat="1" ht="45.5" x14ac:dyDescent="0.35">
      <c r="A117" s="433">
        <v>37</v>
      </c>
      <c r="B117" s="1006">
        <v>10084</v>
      </c>
      <c r="C117" s="1006"/>
      <c r="D117" s="2460" t="s">
        <v>3878</v>
      </c>
      <c r="E117" s="407" t="s">
        <v>7455</v>
      </c>
      <c r="F117" s="1834" t="s">
        <v>664</v>
      </c>
      <c r="G117" s="1834">
        <v>5</v>
      </c>
      <c r="H117" s="2349">
        <v>6</v>
      </c>
      <c r="I117" s="483">
        <f t="shared" si="10"/>
        <v>1.2</v>
      </c>
      <c r="J117" s="297">
        <f t="shared" si="11"/>
        <v>1.2</v>
      </c>
      <c r="K117" s="297"/>
      <c r="L117" s="297"/>
      <c r="M117" s="297"/>
      <c r="N117" s="486"/>
      <c r="O117" s="619"/>
      <c r="P117" s="969"/>
      <c r="Q117" s="932"/>
      <c r="R117" s="1615">
        <v>1.2</v>
      </c>
      <c r="S117" s="45"/>
      <c r="T117" s="233"/>
      <c r="U117" s="233"/>
      <c r="V117" s="233"/>
      <c r="W117" s="45"/>
      <c r="X117" s="233"/>
      <c r="Y117" s="45"/>
      <c r="Z117" s="309"/>
      <c r="AB117" s="3">
        <v>1</v>
      </c>
    </row>
    <row r="118" spans="1:28" s="16" customFormat="1" ht="30.5" x14ac:dyDescent="0.35">
      <c r="A118" s="439">
        <v>38</v>
      </c>
      <c r="B118" s="1006">
        <v>10084</v>
      </c>
      <c r="C118" s="1006"/>
      <c r="D118" s="2460" t="s">
        <v>3879</v>
      </c>
      <c r="E118" s="407" t="s">
        <v>7456</v>
      </c>
      <c r="F118" s="1834"/>
      <c r="G118" s="1834" t="s">
        <v>191</v>
      </c>
      <c r="H118" s="2349" t="s">
        <v>191</v>
      </c>
      <c r="I118" s="297">
        <f t="shared" si="10"/>
        <v>1</v>
      </c>
      <c r="J118" s="297">
        <f t="shared" si="11"/>
        <v>1</v>
      </c>
      <c r="K118" s="297"/>
      <c r="L118" s="297"/>
      <c r="M118" s="297"/>
      <c r="N118" s="486"/>
      <c r="O118" s="619"/>
      <c r="P118" s="969"/>
      <c r="Q118" s="932">
        <f>SUM(Q119:Q120)</f>
        <v>0.1</v>
      </c>
      <c r="R118" s="1615">
        <f>SUM(R119:R120)</f>
        <v>0.9</v>
      </c>
      <c r="S118" s="45"/>
      <c r="T118" s="233"/>
      <c r="U118" s="233"/>
      <c r="V118" s="233"/>
      <c r="W118" s="45">
        <v>1</v>
      </c>
      <c r="X118" s="233">
        <v>15.1</v>
      </c>
      <c r="Y118" s="45"/>
      <c r="Z118" s="309"/>
      <c r="AB118" s="3">
        <v>1</v>
      </c>
    </row>
    <row r="119" spans="1:28" s="16" customFormat="1" x14ac:dyDescent="0.35">
      <c r="A119" s="439"/>
      <c r="B119" s="1006"/>
      <c r="C119" s="1004"/>
      <c r="D119" s="2460"/>
      <c r="E119" s="840" t="s">
        <v>1332</v>
      </c>
      <c r="F119" s="1834" t="s">
        <v>827</v>
      </c>
      <c r="G119" s="1834">
        <v>5</v>
      </c>
      <c r="H119" s="2349">
        <v>6</v>
      </c>
      <c r="I119" s="499"/>
      <c r="J119" s="298"/>
      <c r="K119" s="298"/>
      <c r="L119" s="298"/>
      <c r="M119" s="298"/>
      <c r="N119" s="487"/>
      <c r="O119" s="300"/>
      <c r="P119" s="1835"/>
      <c r="Q119" s="1836">
        <v>0.1</v>
      </c>
      <c r="R119" s="1837"/>
      <c r="S119" s="45"/>
      <c r="T119" s="233"/>
      <c r="U119" s="233"/>
      <c r="V119" s="233"/>
      <c r="W119" s="45"/>
      <c r="X119" s="233"/>
      <c r="Y119" s="45"/>
      <c r="Z119" s="309"/>
      <c r="AB119" s="3"/>
    </row>
    <row r="120" spans="1:28" s="16" customFormat="1" x14ac:dyDescent="0.35">
      <c r="A120" s="439"/>
      <c r="B120" s="1006"/>
      <c r="C120" s="1004"/>
      <c r="D120" s="2460"/>
      <c r="E120" s="1838" t="s">
        <v>11149</v>
      </c>
      <c r="F120" s="1834" t="s">
        <v>827</v>
      </c>
      <c r="G120" s="1834">
        <v>5</v>
      </c>
      <c r="H120" s="2349">
        <v>6</v>
      </c>
      <c r="I120" s="499"/>
      <c r="J120" s="298"/>
      <c r="K120" s="298"/>
      <c r="L120" s="298"/>
      <c r="M120" s="298"/>
      <c r="N120" s="487"/>
      <c r="O120" s="300"/>
      <c r="P120" s="1835"/>
      <c r="Q120" s="1836"/>
      <c r="R120" s="1837">
        <f>1-0.1</f>
        <v>0.9</v>
      </c>
      <c r="S120" s="45"/>
      <c r="T120" s="233"/>
      <c r="U120" s="233"/>
      <c r="V120" s="233"/>
      <c r="W120" s="45"/>
      <c r="X120" s="233"/>
      <c r="Y120" s="45"/>
      <c r="Z120" s="309"/>
      <c r="AB120" s="3"/>
    </row>
    <row r="121" spans="1:28" s="16" customFormat="1" ht="45.5" x14ac:dyDescent="0.35">
      <c r="A121" s="433">
        <v>39</v>
      </c>
      <c r="B121" s="1006">
        <v>10084</v>
      </c>
      <c r="C121" s="1004" t="s">
        <v>1656</v>
      </c>
      <c r="D121" s="2460" t="s">
        <v>3880</v>
      </c>
      <c r="E121" s="407" t="s">
        <v>8182</v>
      </c>
      <c r="F121" s="1834" t="s">
        <v>664</v>
      </c>
      <c r="G121" s="1834">
        <v>5</v>
      </c>
      <c r="H121" s="2349">
        <v>6</v>
      </c>
      <c r="I121" s="483">
        <f t="shared" si="10"/>
        <v>0.7</v>
      </c>
      <c r="J121" s="297">
        <f t="shared" si="11"/>
        <v>0.7</v>
      </c>
      <c r="K121" s="297"/>
      <c r="L121" s="297"/>
      <c r="M121" s="297"/>
      <c r="N121" s="486"/>
      <c r="O121" s="619"/>
      <c r="P121" s="969"/>
      <c r="Q121" s="932"/>
      <c r="R121" s="1615">
        <v>0.7</v>
      </c>
      <c r="S121" s="45"/>
      <c r="T121" s="233"/>
      <c r="U121" s="233"/>
      <c r="V121" s="233"/>
      <c r="W121" s="45"/>
      <c r="X121" s="233"/>
      <c r="Y121" s="45"/>
      <c r="Z121" s="309"/>
      <c r="AB121" s="3">
        <v>1</v>
      </c>
    </row>
    <row r="122" spans="1:28" ht="45.5" x14ac:dyDescent="0.35">
      <c r="A122" s="439">
        <v>40</v>
      </c>
      <c r="B122" s="1006">
        <v>10084</v>
      </c>
      <c r="C122" s="1006" t="s">
        <v>1655</v>
      </c>
      <c r="D122" s="2460" t="s">
        <v>3881</v>
      </c>
      <c r="E122" s="407" t="s">
        <v>7358</v>
      </c>
      <c r="F122" s="1834" t="s">
        <v>664</v>
      </c>
      <c r="G122" s="1834">
        <v>5</v>
      </c>
      <c r="H122" s="2349">
        <v>6</v>
      </c>
      <c r="I122" s="483">
        <f t="shared" si="10"/>
        <v>0.8</v>
      </c>
      <c r="J122" s="297">
        <f t="shared" si="11"/>
        <v>0.8</v>
      </c>
      <c r="K122" s="297"/>
      <c r="L122" s="297"/>
      <c r="M122" s="297"/>
      <c r="N122" s="486"/>
      <c r="O122" s="619"/>
      <c r="P122" s="969"/>
      <c r="Q122" s="932"/>
      <c r="R122" s="1615">
        <v>0.8</v>
      </c>
      <c r="S122" s="45"/>
      <c r="T122" s="233"/>
      <c r="U122" s="233"/>
      <c r="V122" s="233"/>
      <c r="W122" s="45"/>
      <c r="X122" s="233"/>
      <c r="Y122" s="45"/>
      <c r="Z122" s="309"/>
      <c r="AB122" s="3">
        <v>1</v>
      </c>
    </row>
    <row r="123" spans="1:28" s="19" customFormat="1" ht="45.5" x14ac:dyDescent="0.35">
      <c r="A123" s="433">
        <v>41</v>
      </c>
      <c r="B123" s="1006">
        <v>10084</v>
      </c>
      <c r="C123" s="1006" t="s">
        <v>1655</v>
      </c>
      <c r="D123" s="2460" t="s">
        <v>3882</v>
      </c>
      <c r="E123" s="407" t="s">
        <v>7359</v>
      </c>
      <c r="F123" s="1834" t="s">
        <v>664</v>
      </c>
      <c r="G123" s="1834">
        <v>5</v>
      </c>
      <c r="H123" s="2349">
        <v>6</v>
      </c>
      <c r="I123" s="297">
        <f t="shared" si="10"/>
        <v>0.1</v>
      </c>
      <c r="J123" s="297">
        <f t="shared" si="11"/>
        <v>0.1</v>
      </c>
      <c r="K123" s="297"/>
      <c r="L123" s="297"/>
      <c r="M123" s="297"/>
      <c r="N123" s="486"/>
      <c r="O123" s="619"/>
      <c r="P123" s="969"/>
      <c r="Q123" s="932"/>
      <c r="R123" s="1615">
        <v>0.1</v>
      </c>
      <c r="S123" s="45"/>
      <c r="T123" s="233"/>
      <c r="U123" s="233"/>
      <c r="V123" s="233"/>
      <c r="W123" s="45"/>
      <c r="X123" s="233"/>
      <c r="Y123" s="45"/>
      <c r="Z123" s="309"/>
      <c r="AB123" s="3">
        <v>1</v>
      </c>
    </row>
    <row r="124" spans="1:28" s="21" customFormat="1" ht="45.5" x14ac:dyDescent="0.35">
      <c r="A124" s="439">
        <v>42</v>
      </c>
      <c r="B124" s="1006">
        <v>10084</v>
      </c>
      <c r="C124" s="1006" t="s">
        <v>1655</v>
      </c>
      <c r="D124" s="2460" t="s">
        <v>3883</v>
      </c>
      <c r="E124" s="407" t="s">
        <v>7360</v>
      </c>
      <c r="F124" s="1834" t="s">
        <v>664</v>
      </c>
      <c r="G124" s="1834">
        <v>5</v>
      </c>
      <c r="H124" s="2349">
        <v>6</v>
      </c>
      <c r="I124" s="297">
        <f t="shared" si="10"/>
        <v>0.1</v>
      </c>
      <c r="J124" s="297">
        <f t="shared" si="11"/>
        <v>0.1</v>
      </c>
      <c r="K124" s="297"/>
      <c r="L124" s="297"/>
      <c r="M124" s="297"/>
      <c r="N124" s="486"/>
      <c r="O124" s="619"/>
      <c r="P124" s="969"/>
      <c r="Q124" s="932"/>
      <c r="R124" s="1615">
        <v>0.1</v>
      </c>
      <c r="S124" s="45"/>
      <c r="T124" s="233"/>
      <c r="U124" s="233"/>
      <c r="V124" s="233"/>
      <c r="W124" s="45"/>
      <c r="X124" s="233"/>
      <c r="Y124" s="45"/>
      <c r="Z124" s="309"/>
      <c r="AB124" s="3">
        <v>1</v>
      </c>
    </row>
    <row r="125" spans="1:28" s="16" customFormat="1" ht="60.5" x14ac:dyDescent="0.35">
      <c r="A125" s="433">
        <v>43</v>
      </c>
      <c r="B125" s="1006">
        <v>10084</v>
      </c>
      <c r="C125" s="1006" t="s">
        <v>1655</v>
      </c>
      <c r="D125" s="2460" t="s">
        <v>3884</v>
      </c>
      <c r="E125" s="407" t="s">
        <v>7361</v>
      </c>
      <c r="F125" s="1834" t="s">
        <v>664</v>
      </c>
      <c r="G125" s="1834">
        <v>5</v>
      </c>
      <c r="H125" s="2349">
        <v>6</v>
      </c>
      <c r="I125" s="483">
        <f t="shared" si="10"/>
        <v>0.7</v>
      </c>
      <c r="J125" s="297">
        <f t="shared" si="11"/>
        <v>0.7</v>
      </c>
      <c r="K125" s="297"/>
      <c r="L125" s="297"/>
      <c r="M125" s="297"/>
      <c r="N125" s="486"/>
      <c r="O125" s="619"/>
      <c r="P125" s="969"/>
      <c r="Q125" s="932"/>
      <c r="R125" s="1615">
        <v>0.7</v>
      </c>
      <c r="S125" s="45"/>
      <c r="T125" s="233"/>
      <c r="U125" s="233"/>
      <c r="V125" s="233"/>
      <c r="W125" s="45"/>
      <c r="X125" s="233"/>
      <c r="Y125" s="45"/>
      <c r="Z125" s="309"/>
      <c r="AB125" s="3">
        <v>1</v>
      </c>
    </row>
    <row r="126" spans="1:28" s="16" customFormat="1" ht="45.5" x14ac:dyDescent="0.35">
      <c r="A126" s="439">
        <v>44</v>
      </c>
      <c r="B126" s="1006">
        <v>10084</v>
      </c>
      <c r="C126" s="1006" t="s">
        <v>1655</v>
      </c>
      <c r="D126" s="2460" t="s">
        <v>3885</v>
      </c>
      <c r="E126" s="407" t="s">
        <v>7362</v>
      </c>
      <c r="F126" s="1834" t="s">
        <v>1490</v>
      </c>
      <c r="G126" s="1834">
        <v>5</v>
      </c>
      <c r="H126" s="2349">
        <v>6</v>
      </c>
      <c r="I126" s="297">
        <f t="shared" si="10"/>
        <v>0.4</v>
      </c>
      <c r="J126" s="297">
        <f t="shared" si="11"/>
        <v>0.4</v>
      </c>
      <c r="K126" s="297"/>
      <c r="L126" s="297"/>
      <c r="M126" s="297"/>
      <c r="N126" s="486"/>
      <c r="O126" s="619"/>
      <c r="P126" s="969"/>
      <c r="Q126" s="932"/>
      <c r="R126" s="1615">
        <v>0.4</v>
      </c>
      <c r="S126" s="45"/>
      <c r="T126" s="233"/>
      <c r="U126" s="233"/>
      <c r="V126" s="233"/>
      <c r="W126" s="45"/>
      <c r="X126" s="233"/>
      <c r="Y126" s="45"/>
      <c r="Z126" s="309"/>
      <c r="AB126" s="3">
        <v>1</v>
      </c>
    </row>
    <row r="127" spans="1:28" s="16" customFormat="1" ht="60.5" x14ac:dyDescent="0.35">
      <c r="A127" s="433">
        <v>45</v>
      </c>
      <c r="B127" s="1006">
        <v>10084</v>
      </c>
      <c r="C127" s="1006" t="s">
        <v>1655</v>
      </c>
      <c r="D127" s="2460" t="s">
        <v>3886</v>
      </c>
      <c r="E127" s="407" t="s">
        <v>7363</v>
      </c>
      <c r="F127" s="1834" t="s">
        <v>1490</v>
      </c>
      <c r="G127" s="1834">
        <v>5</v>
      </c>
      <c r="H127" s="2349">
        <v>6</v>
      </c>
      <c r="I127" s="483">
        <f t="shared" si="10"/>
        <v>0.9</v>
      </c>
      <c r="J127" s="297">
        <f t="shared" si="11"/>
        <v>0.9</v>
      </c>
      <c r="K127" s="297"/>
      <c r="L127" s="297"/>
      <c r="M127" s="297"/>
      <c r="N127" s="486"/>
      <c r="O127" s="619"/>
      <c r="P127" s="969"/>
      <c r="Q127" s="932"/>
      <c r="R127" s="1615">
        <v>0.9</v>
      </c>
      <c r="S127" s="45"/>
      <c r="T127" s="233"/>
      <c r="U127" s="233"/>
      <c r="V127" s="233"/>
      <c r="W127" s="45"/>
      <c r="X127" s="233"/>
      <c r="Y127" s="45"/>
      <c r="Z127" s="309"/>
      <c r="AB127" s="3">
        <v>1</v>
      </c>
    </row>
    <row r="128" spans="1:28" ht="30.5" x14ac:dyDescent="0.35">
      <c r="A128" s="439">
        <v>46</v>
      </c>
      <c r="B128" s="1007">
        <v>10085</v>
      </c>
      <c r="C128" s="1007"/>
      <c r="D128" s="434" t="s">
        <v>1282</v>
      </c>
      <c r="E128" s="407" t="s">
        <v>9639</v>
      </c>
      <c r="F128" s="1834"/>
      <c r="G128" s="1834" t="s">
        <v>191</v>
      </c>
      <c r="H128" s="2349" t="s">
        <v>191</v>
      </c>
      <c r="I128" s="297">
        <f t="shared" si="10"/>
        <v>13.739000000000001</v>
      </c>
      <c r="J128" s="297">
        <f t="shared" si="11"/>
        <v>13.739000000000001</v>
      </c>
      <c r="K128" s="297"/>
      <c r="L128" s="297"/>
      <c r="M128" s="297"/>
      <c r="N128" s="486">
        <f>SUM(N129:N132)</f>
        <v>1.6690000000000005</v>
      </c>
      <c r="O128" s="619"/>
      <c r="P128" s="969"/>
      <c r="Q128" s="932">
        <f>SUM(Q129:Q132)</f>
        <v>12.07</v>
      </c>
      <c r="R128" s="1615"/>
      <c r="S128" s="45"/>
      <c r="T128" s="233"/>
      <c r="U128" s="233"/>
      <c r="V128" s="233"/>
      <c r="W128" s="45">
        <v>22</v>
      </c>
      <c r="X128" s="233">
        <v>302.7</v>
      </c>
      <c r="Y128" s="45">
        <v>6</v>
      </c>
      <c r="Z128" s="309">
        <v>63</v>
      </c>
      <c r="AB128" s="3">
        <v>1</v>
      </c>
    </row>
    <row r="129" spans="1:29" s="16" customFormat="1" x14ac:dyDescent="0.35">
      <c r="A129" s="2044"/>
      <c r="B129" s="1007">
        <v>10085</v>
      </c>
      <c r="C129" s="1007"/>
      <c r="D129" s="436"/>
      <c r="E129" s="840" t="s">
        <v>3476</v>
      </c>
      <c r="F129" s="1834">
        <v>4</v>
      </c>
      <c r="G129" s="1834">
        <v>4</v>
      </c>
      <c r="H129" s="2349">
        <v>6</v>
      </c>
      <c r="I129" s="300"/>
      <c r="J129" s="300"/>
      <c r="K129" s="300"/>
      <c r="L129" s="300"/>
      <c r="M129" s="300"/>
      <c r="N129" s="487"/>
      <c r="O129" s="621"/>
      <c r="P129" s="970"/>
      <c r="Q129" s="933">
        <v>3.3570000000000002</v>
      </c>
      <c r="R129" s="1616"/>
      <c r="S129" s="1641"/>
      <c r="T129" s="1642"/>
      <c r="U129" s="1642"/>
      <c r="V129" s="1642"/>
      <c r="W129" s="1641"/>
      <c r="X129" s="1642"/>
      <c r="Y129" s="1641"/>
      <c r="Z129" s="1643"/>
    </row>
    <row r="130" spans="1:29" x14ac:dyDescent="0.35">
      <c r="A130" s="433"/>
      <c r="B130" s="1007">
        <v>10085</v>
      </c>
      <c r="C130" s="1007"/>
      <c r="D130" s="435"/>
      <c r="E130" s="430" t="s">
        <v>3477</v>
      </c>
      <c r="F130" s="1834">
        <v>4</v>
      </c>
      <c r="G130" s="1834">
        <v>4</v>
      </c>
      <c r="H130" s="2349">
        <v>6</v>
      </c>
      <c r="I130" s="298"/>
      <c r="J130" s="298"/>
      <c r="K130" s="298"/>
      <c r="L130" s="298"/>
      <c r="M130" s="298"/>
      <c r="N130" s="487">
        <f>5.005-3.357</f>
        <v>1.6479999999999997</v>
      </c>
      <c r="O130" s="621"/>
      <c r="P130" s="970"/>
      <c r="Q130" s="933"/>
      <c r="R130" s="1616"/>
      <c r="S130" s="45"/>
      <c r="T130" s="233"/>
      <c r="U130" s="233"/>
      <c r="V130" s="233"/>
      <c r="W130" s="45"/>
      <c r="X130" s="233"/>
      <c r="Y130" s="45"/>
      <c r="Z130" s="309"/>
    </row>
    <row r="131" spans="1:29" s="19" customFormat="1" x14ac:dyDescent="0.35">
      <c r="A131" s="2044"/>
      <c r="B131" s="1007">
        <v>10085</v>
      </c>
      <c r="C131" s="1007"/>
      <c r="D131" s="436"/>
      <c r="E131" s="840" t="s">
        <v>10434</v>
      </c>
      <c r="F131" s="1834">
        <v>4</v>
      </c>
      <c r="G131" s="1834">
        <v>4</v>
      </c>
      <c r="H131" s="2349">
        <v>6</v>
      </c>
      <c r="I131" s="1008"/>
      <c r="J131" s="300"/>
      <c r="K131" s="300"/>
      <c r="L131" s="300"/>
      <c r="M131" s="300"/>
      <c r="N131" s="487"/>
      <c r="O131" s="621"/>
      <c r="P131" s="970"/>
      <c r="Q131" s="933">
        <f>13.718-5.005</f>
        <v>8.713000000000001</v>
      </c>
      <c r="R131" s="1616"/>
      <c r="S131" s="1641"/>
      <c r="T131" s="1642"/>
      <c r="U131" s="1642"/>
      <c r="V131" s="1642"/>
      <c r="W131" s="1641"/>
      <c r="X131" s="1642"/>
      <c r="Y131" s="1641"/>
      <c r="Z131" s="1643"/>
    </row>
    <row r="132" spans="1:29" s="16" customFormat="1" x14ac:dyDescent="0.35">
      <c r="A132" s="2044"/>
      <c r="B132" s="1009"/>
      <c r="C132" s="1009"/>
      <c r="D132" s="436"/>
      <c r="E132" s="430" t="s">
        <v>3478</v>
      </c>
      <c r="F132" s="1834">
        <v>4</v>
      </c>
      <c r="G132" s="1834">
        <v>4</v>
      </c>
      <c r="H132" s="2349">
        <v>6</v>
      </c>
      <c r="I132" s="1008"/>
      <c r="J132" s="300"/>
      <c r="K132" s="300"/>
      <c r="L132" s="300"/>
      <c r="M132" s="300"/>
      <c r="N132" s="487">
        <f>13.739-13.718</f>
        <v>2.1000000000000796E-2</v>
      </c>
      <c r="O132" s="621"/>
      <c r="P132" s="970"/>
      <c r="Q132" s="933"/>
      <c r="R132" s="1616"/>
      <c r="S132" s="1641"/>
      <c r="T132" s="1642"/>
      <c r="U132" s="1642"/>
      <c r="V132" s="1642"/>
      <c r="W132" s="1641"/>
      <c r="X132" s="1642"/>
      <c r="Y132" s="1641"/>
      <c r="Z132" s="1643"/>
    </row>
    <row r="133" spans="1:29" s="16" customFormat="1" ht="30.5" x14ac:dyDescent="0.35">
      <c r="A133" s="439">
        <v>47</v>
      </c>
      <c r="B133" s="1009"/>
      <c r="C133" s="1009"/>
      <c r="D133" s="2460" t="s">
        <v>3888</v>
      </c>
      <c r="E133" s="2359" t="s">
        <v>9641</v>
      </c>
      <c r="F133" s="1834">
        <v>5</v>
      </c>
      <c r="G133" s="1834">
        <v>5</v>
      </c>
      <c r="H133" s="2222">
        <v>6</v>
      </c>
      <c r="I133" s="297">
        <f>J133+K133+L133</f>
        <v>0.5</v>
      </c>
      <c r="J133" s="297">
        <f>SUM(M133:R133)</f>
        <v>0.5</v>
      </c>
      <c r="K133" s="300"/>
      <c r="L133" s="300"/>
      <c r="M133" s="300"/>
      <c r="N133" s="486">
        <v>0.5</v>
      </c>
      <c r="O133" s="621"/>
      <c r="P133" s="970"/>
      <c r="Q133" s="933"/>
      <c r="R133" s="1616"/>
      <c r="S133" s="1641"/>
      <c r="T133" s="1642"/>
      <c r="U133" s="1642"/>
      <c r="V133" s="1642"/>
      <c r="W133" s="1641"/>
      <c r="X133" s="1642"/>
      <c r="Y133" s="1641"/>
      <c r="Z133" s="1643"/>
      <c r="AB133" s="3">
        <v>1</v>
      </c>
      <c r="AC133" s="16" t="s">
        <v>7364</v>
      </c>
    </row>
    <row r="134" spans="1:29" ht="45.5" x14ac:dyDescent="0.35">
      <c r="A134" s="2586">
        <v>48</v>
      </c>
      <c r="B134" s="1003">
        <v>10085</v>
      </c>
      <c r="C134" s="1003" t="s">
        <v>1656</v>
      </c>
      <c r="D134" s="2460" t="s">
        <v>3889</v>
      </c>
      <c r="E134" s="2069" t="s">
        <v>9640</v>
      </c>
      <c r="F134" s="1834"/>
      <c r="G134" s="1834" t="s">
        <v>191</v>
      </c>
      <c r="H134" s="2349" t="s">
        <v>191</v>
      </c>
      <c r="I134" s="297">
        <f t="shared" ref="I134:I139" si="12">J134+K134+L134</f>
        <v>1.1000000000000001</v>
      </c>
      <c r="J134" s="297">
        <f>SUM(M134:R134)</f>
        <v>1.1000000000000001</v>
      </c>
      <c r="K134" s="297"/>
      <c r="L134" s="297"/>
      <c r="M134" s="297"/>
      <c r="N134" s="486">
        <f>SUM(N135:N136)</f>
        <v>0.7</v>
      </c>
      <c r="O134" s="619"/>
      <c r="P134" s="969"/>
      <c r="Q134" s="932"/>
      <c r="R134" s="925">
        <f>SUM(R135:R136)</f>
        <v>0.40000000000000013</v>
      </c>
      <c r="S134" s="45"/>
      <c r="T134" s="233"/>
      <c r="U134" s="233"/>
      <c r="V134" s="233"/>
      <c r="W134" s="45"/>
      <c r="X134" s="233"/>
      <c r="Y134" s="45"/>
      <c r="Z134" s="309"/>
      <c r="AB134" s="3">
        <v>1</v>
      </c>
    </row>
    <row r="135" spans="1:29" x14ac:dyDescent="0.35">
      <c r="A135" s="2586"/>
      <c r="B135" s="1003">
        <v>10085</v>
      </c>
      <c r="C135" s="1003"/>
      <c r="D135" s="434"/>
      <c r="E135" s="430" t="s">
        <v>2585</v>
      </c>
      <c r="F135" s="1834" t="s">
        <v>1490</v>
      </c>
      <c r="G135" s="1834">
        <v>5</v>
      </c>
      <c r="H135" s="2349">
        <v>6</v>
      </c>
      <c r="I135" s="298"/>
      <c r="J135" s="298"/>
      <c r="K135" s="298"/>
      <c r="L135" s="298"/>
      <c r="M135" s="298"/>
      <c r="N135" s="487">
        <v>0.7</v>
      </c>
      <c r="O135" s="300"/>
      <c r="P135" s="1835"/>
      <c r="Q135" s="1836"/>
      <c r="R135" s="1837"/>
      <c r="S135" s="45"/>
      <c r="T135" s="233"/>
      <c r="U135" s="233"/>
      <c r="V135" s="233"/>
      <c r="W135" s="45"/>
      <c r="X135" s="233"/>
      <c r="Y135" s="45"/>
      <c r="Z135" s="309"/>
    </row>
    <row r="136" spans="1:29" x14ac:dyDescent="0.35">
      <c r="A136" s="2586"/>
      <c r="B136" s="1003">
        <v>10085</v>
      </c>
      <c r="C136" s="1003"/>
      <c r="D136" s="434"/>
      <c r="E136" s="1838" t="s">
        <v>539</v>
      </c>
      <c r="F136" s="1834" t="s">
        <v>664</v>
      </c>
      <c r="G136" s="1834">
        <v>5</v>
      </c>
      <c r="H136" s="2349">
        <v>6</v>
      </c>
      <c r="I136" s="298"/>
      <c r="J136" s="298"/>
      <c r="K136" s="298"/>
      <c r="L136" s="298"/>
      <c r="M136" s="298"/>
      <c r="N136" s="487"/>
      <c r="O136" s="300"/>
      <c r="P136" s="1835"/>
      <c r="Q136" s="1836"/>
      <c r="R136" s="1837">
        <f>1.1-0.7</f>
        <v>0.40000000000000013</v>
      </c>
      <c r="S136" s="45"/>
      <c r="T136" s="233"/>
      <c r="U136" s="233"/>
      <c r="V136" s="233"/>
      <c r="W136" s="45"/>
      <c r="X136" s="233"/>
      <c r="Y136" s="45"/>
      <c r="Z136" s="309"/>
    </row>
    <row r="137" spans="1:29" s="16" customFormat="1" ht="30" x14ac:dyDescent="0.35">
      <c r="A137" s="696">
        <v>49</v>
      </c>
      <c r="B137" s="693">
        <v>10085</v>
      </c>
      <c r="C137" s="693"/>
      <c r="D137" s="2460" t="s">
        <v>3890</v>
      </c>
      <c r="E137" s="2187" t="s">
        <v>9642</v>
      </c>
      <c r="F137" s="92" t="s">
        <v>1490</v>
      </c>
      <c r="G137" s="92">
        <v>5</v>
      </c>
      <c r="H137" s="2349">
        <v>6</v>
      </c>
      <c r="I137" s="702">
        <f t="shared" si="12"/>
        <v>1.1379999999999999</v>
      </c>
      <c r="J137" s="702">
        <f>SUM(M137:R137)</f>
        <v>1.1379999999999999</v>
      </c>
      <c r="K137" s="622"/>
      <c r="L137" s="622"/>
      <c r="M137" s="622"/>
      <c r="N137" s="622"/>
      <c r="O137" s="622"/>
      <c r="P137" s="622"/>
      <c r="Q137" s="622"/>
      <c r="R137" s="2190">
        <v>1.1379999999999999</v>
      </c>
      <c r="S137" s="106"/>
      <c r="T137" s="106"/>
      <c r="U137" s="106"/>
      <c r="V137" s="106"/>
      <c r="W137" s="105">
        <v>1</v>
      </c>
      <c r="X137" s="105">
        <v>10.64</v>
      </c>
      <c r="Y137" s="105"/>
      <c r="Z137" s="323"/>
      <c r="AA137" s="3"/>
      <c r="AB137" s="3">
        <v>1</v>
      </c>
    </row>
    <row r="138" spans="1:29" s="16" customFormat="1" ht="30" x14ac:dyDescent="0.35">
      <c r="A138" s="433">
        <v>50</v>
      </c>
      <c r="B138" s="1007">
        <v>10086</v>
      </c>
      <c r="C138" s="1007"/>
      <c r="D138" s="434" t="s">
        <v>789</v>
      </c>
      <c r="E138" s="2069" t="s">
        <v>7221</v>
      </c>
      <c r="F138" s="1834">
        <v>4</v>
      </c>
      <c r="G138" s="1834">
        <v>4</v>
      </c>
      <c r="H138" s="2349">
        <v>6</v>
      </c>
      <c r="I138" s="297">
        <f t="shared" si="12"/>
        <v>9.66</v>
      </c>
      <c r="J138" s="297">
        <f>SUM(M138:R138)</f>
        <v>9.66</v>
      </c>
      <c r="K138" s="297"/>
      <c r="L138" s="297"/>
      <c r="M138" s="297"/>
      <c r="N138" s="486">
        <v>9.66</v>
      </c>
      <c r="O138" s="619"/>
      <c r="P138" s="969"/>
      <c r="Q138" s="932"/>
      <c r="R138" s="1615"/>
      <c r="S138" s="45"/>
      <c r="T138" s="233"/>
      <c r="U138" s="233"/>
      <c r="V138" s="233"/>
      <c r="W138" s="2445">
        <v>17</v>
      </c>
      <c r="X138" s="2446">
        <v>241.2</v>
      </c>
      <c r="Y138" s="2445">
        <v>3</v>
      </c>
      <c r="Z138" s="2448">
        <v>30</v>
      </c>
      <c r="AB138" s="3">
        <v>1</v>
      </c>
    </row>
    <row r="139" spans="1:29" s="16" customFormat="1" ht="30.5" x14ac:dyDescent="0.35">
      <c r="A139" s="696">
        <v>51</v>
      </c>
      <c r="B139" s="693">
        <v>10086</v>
      </c>
      <c r="C139" s="693"/>
      <c r="D139" s="2460" t="s">
        <v>3891</v>
      </c>
      <c r="E139" s="2069" t="s">
        <v>7457</v>
      </c>
      <c r="F139" s="92"/>
      <c r="G139" s="92" t="s">
        <v>191</v>
      </c>
      <c r="H139" s="2349" t="s">
        <v>191</v>
      </c>
      <c r="I139" s="1150">
        <f t="shared" si="12"/>
        <v>0.6</v>
      </c>
      <c r="J139" s="702">
        <f>SUM(M139:R139)</f>
        <v>0.6</v>
      </c>
      <c r="K139" s="622"/>
      <c r="L139" s="622"/>
      <c r="M139" s="622"/>
      <c r="N139" s="622">
        <f>SUM(N140:N141)</f>
        <v>0.25</v>
      </c>
      <c r="O139" s="622"/>
      <c r="P139" s="622"/>
      <c r="Q139" s="622"/>
      <c r="R139" s="2193">
        <f>SUM(R140:R141)</f>
        <v>0.35</v>
      </c>
      <c r="S139" s="106"/>
      <c r="T139" s="106"/>
      <c r="U139" s="106"/>
      <c r="V139" s="106"/>
      <c r="W139" s="105"/>
      <c r="X139" s="105"/>
      <c r="Y139" s="105"/>
      <c r="Z139" s="323"/>
      <c r="AA139" s="3"/>
      <c r="AB139" s="3">
        <v>1</v>
      </c>
    </row>
    <row r="140" spans="1:29" s="16" customFormat="1" x14ac:dyDescent="0.35">
      <c r="A140" s="696"/>
      <c r="B140" s="693">
        <v>10086</v>
      </c>
      <c r="C140" s="693"/>
      <c r="D140" s="693"/>
      <c r="E140" s="430" t="s">
        <v>2134</v>
      </c>
      <c r="F140" s="92" t="s">
        <v>827</v>
      </c>
      <c r="G140" s="92">
        <v>5</v>
      </c>
      <c r="H140" s="2349">
        <v>6</v>
      </c>
      <c r="I140" s="2189"/>
      <c r="J140" s="1918"/>
      <c r="K140" s="395"/>
      <c r="L140" s="395"/>
      <c r="M140" s="395"/>
      <c r="N140" s="395">
        <v>0.25</v>
      </c>
      <c r="O140" s="395"/>
      <c r="P140" s="395"/>
      <c r="Q140" s="395"/>
      <c r="R140" s="2191"/>
      <c r="S140" s="106"/>
      <c r="T140" s="106"/>
      <c r="U140" s="106"/>
      <c r="V140" s="106"/>
      <c r="W140" s="105"/>
      <c r="X140" s="105"/>
      <c r="Y140" s="105"/>
      <c r="Z140" s="323"/>
      <c r="AA140" s="3"/>
    </row>
    <row r="141" spans="1:29" s="16" customFormat="1" x14ac:dyDescent="0.35">
      <c r="A141" s="696"/>
      <c r="B141" s="693">
        <v>10086</v>
      </c>
      <c r="C141" s="693"/>
      <c r="D141" s="693"/>
      <c r="E141" s="1838" t="s">
        <v>2579</v>
      </c>
      <c r="F141" s="92" t="s">
        <v>827</v>
      </c>
      <c r="G141" s="92">
        <v>5</v>
      </c>
      <c r="H141" s="2349">
        <v>6</v>
      </c>
      <c r="I141" s="2189"/>
      <c r="J141" s="1918"/>
      <c r="K141" s="395"/>
      <c r="L141" s="395"/>
      <c r="M141" s="395"/>
      <c r="N141" s="395"/>
      <c r="O141" s="395"/>
      <c r="P141" s="395"/>
      <c r="Q141" s="395"/>
      <c r="R141" s="2191">
        <f>0.6-0.25</f>
        <v>0.35</v>
      </c>
      <c r="S141" s="106"/>
      <c r="T141" s="106"/>
      <c r="U141" s="106"/>
      <c r="V141" s="106"/>
      <c r="W141" s="105"/>
      <c r="X141" s="105"/>
      <c r="Y141" s="105"/>
      <c r="Z141" s="323"/>
      <c r="AA141" s="3"/>
    </row>
    <row r="142" spans="1:29" s="16" customFormat="1" ht="30.5" x14ac:dyDescent="0.35">
      <c r="A142" s="433">
        <v>52</v>
      </c>
      <c r="B142" s="1007">
        <v>10087</v>
      </c>
      <c r="C142" s="1007"/>
      <c r="D142" s="434" t="s">
        <v>626</v>
      </c>
      <c r="E142" s="407" t="s">
        <v>2788</v>
      </c>
      <c r="F142" s="1834"/>
      <c r="G142" s="1834" t="s">
        <v>191</v>
      </c>
      <c r="H142" s="2349" t="s">
        <v>191</v>
      </c>
      <c r="I142" s="483">
        <f>J142+K142+L142</f>
        <v>15.388000000000002</v>
      </c>
      <c r="J142" s="297">
        <f>SUM(M142:R142)</f>
        <v>15.033000000000001</v>
      </c>
      <c r="K142" s="297"/>
      <c r="L142" s="297">
        <f>SUM(L143:L148)</f>
        <v>0.35499999999999998</v>
      </c>
      <c r="M142" s="297"/>
      <c r="N142" s="297">
        <f>SUM(N143:N148)</f>
        <v>10.311</v>
      </c>
      <c r="O142" s="619"/>
      <c r="P142" s="969"/>
      <c r="Q142" s="932">
        <f>SUM(Q143:Q148)</f>
        <v>4.7220000000000004</v>
      </c>
      <c r="R142" s="1615"/>
      <c r="S142" s="45"/>
      <c r="T142" s="233"/>
      <c r="U142" s="233"/>
      <c r="V142" s="233"/>
      <c r="W142" s="45">
        <v>36</v>
      </c>
      <c r="X142" s="233">
        <v>473.3</v>
      </c>
      <c r="Y142" s="45">
        <v>11</v>
      </c>
      <c r="Z142" s="309">
        <v>138</v>
      </c>
      <c r="AB142" s="3">
        <v>1</v>
      </c>
    </row>
    <row r="143" spans="1:29" s="16" customFormat="1" x14ac:dyDescent="0.35">
      <c r="A143" s="433"/>
      <c r="B143" s="1007">
        <v>10087</v>
      </c>
      <c r="C143" s="1007"/>
      <c r="D143" s="435"/>
      <c r="E143" s="430" t="s">
        <v>2873</v>
      </c>
      <c r="F143" s="1834">
        <v>4</v>
      </c>
      <c r="G143" s="1834">
        <v>4</v>
      </c>
      <c r="H143" s="2349">
        <v>6</v>
      </c>
      <c r="I143" s="499"/>
      <c r="J143" s="298"/>
      <c r="K143" s="298"/>
      <c r="L143" s="298"/>
      <c r="M143" s="298"/>
      <c r="N143" s="487">
        <v>3.5</v>
      </c>
      <c r="O143" s="621"/>
      <c r="P143" s="970"/>
      <c r="Q143" s="933"/>
      <c r="R143" s="1616"/>
      <c r="S143" s="45"/>
      <c r="T143" s="233"/>
      <c r="U143" s="233"/>
      <c r="V143" s="233"/>
      <c r="W143" s="45"/>
      <c r="X143" s="233"/>
      <c r="Y143" s="45"/>
      <c r="Z143" s="309"/>
    </row>
    <row r="144" spans="1:29" s="16" customFormat="1" ht="46.5" x14ac:dyDescent="0.35">
      <c r="A144" s="2044"/>
      <c r="B144" s="1007">
        <v>10087</v>
      </c>
      <c r="C144" s="1007"/>
      <c r="D144" s="436"/>
      <c r="E144" s="507" t="s">
        <v>10914</v>
      </c>
      <c r="F144" s="1834">
        <v>4</v>
      </c>
      <c r="G144" s="1834">
        <v>4</v>
      </c>
      <c r="H144" s="2349" t="s">
        <v>191</v>
      </c>
      <c r="I144" s="1008"/>
      <c r="J144" s="300"/>
      <c r="K144" s="300"/>
      <c r="L144" s="487">
        <f>3.855-3.5</f>
        <v>0.35499999999999998</v>
      </c>
      <c r="M144" s="300"/>
      <c r="N144" s="487"/>
      <c r="O144" s="621"/>
      <c r="P144" s="970"/>
      <c r="Q144" s="933"/>
      <c r="R144" s="1616"/>
      <c r="S144" s="1641"/>
      <c r="T144" s="1642"/>
      <c r="U144" s="1642"/>
      <c r="V144" s="1642"/>
      <c r="W144" s="1641"/>
      <c r="X144" s="1642"/>
      <c r="Y144" s="1641"/>
      <c r="Z144" s="1643"/>
    </row>
    <row r="145" spans="1:28" s="19" customFormat="1" x14ac:dyDescent="0.35">
      <c r="A145" s="2044"/>
      <c r="B145" s="1007">
        <v>10087</v>
      </c>
      <c r="C145" s="1007"/>
      <c r="D145" s="436"/>
      <c r="E145" s="507" t="s">
        <v>313</v>
      </c>
      <c r="F145" s="1834">
        <v>4</v>
      </c>
      <c r="G145" s="1834">
        <v>4</v>
      </c>
      <c r="H145" s="2349">
        <v>6</v>
      </c>
      <c r="I145" s="300"/>
      <c r="J145" s="300"/>
      <c r="K145" s="300"/>
      <c r="L145" s="487"/>
      <c r="M145" s="300"/>
      <c r="N145" s="487">
        <f>5.5-3.855</f>
        <v>1.645</v>
      </c>
      <c r="O145" s="621"/>
      <c r="P145" s="970"/>
      <c r="Q145" s="933"/>
      <c r="R145" s="1616"/>
      <c r="S145" s="1641"/>
      <c r="T145" s="1642"/>
      <c r="U145" s="1642"/>
      <c r="V145" s="1642"/>
      <c r="W145" s="1641"/>
      <c r="X145" s="1642"/>
      <c r="Y145" s="1641"/>
      <c r="Z145" s="1643"/>
      <c r="AA145" s="16"/>
      <c r="AB145" s="3"/>
    </row>
    <row r="146" spans="1:28" x14ac:dyDescent="0.35">
      <c r="A146" s="2044"/>
      <c r="B146" s="1007">
        <v>10087</v>
      </c>
      <c r="C146" s="1007"/>
      <c r="D146" s="436"/>
      <c r="E146" s="507" t="s">
        <v>314</v>
      </c>
      <c r="F146" s="1834">
        <v>4</v>
      </c>
      <c r="G146" s="1834">
        <v>4</v>
      </c>
      <c r="H146" s="2349">
        <v>6</v>
      </c>
      <c r="I146" s="300"/>
      <c r="J146" s="300"/>
      <c r="K146" s="300"/>
      <c r="L146" s="487"/>
      <c r="M146" s="300"/>
      <c r="N146" s="487">
        <v>1.3</v>
      </c>
      <c r="O146" s="621"/>
      <c r="P146" s="970"/>
      <c r="Q146" s="933"/>
      <c r="R146" s="1616"/>
      <c r="S146" s="1641"/>
      <c r="T146" s="1642"/>
      <c r="U146" s="1642"/>
      <c r="V146" s="1642"/>
      <c r="W146" s="1641"/>
      <c r="X146" s="1642"/>
      <c r="Y146" s="1641"/>
      <c r="Z146" s="1643"/>
      <c r="AA146" s="16"/>
    </row>
    <row r="147" spans="1:28" s="16" customFormat="1" x14ac:dyDescent="0.35">
      <c r="A147" s="2044"/>
      <c r="B147" s="1007">
        <v>10087</v>
      </c>
      <c r="C147" s="1007"/>
      <c r="D147" s="436"/>
      <c r="E147" s="840" t="s">
        <v>315</v>
      </c>
      <c r="F147" s="1834">
        <v>4</v>
      </c>
      <c r="G147" s="1834">
        <v>4</v>
      </c>
      <c r="H147" s="2349">
        <v>6</v>
      </c>
      <c r="I147" s="300"/>
      <c r="J147" s="300"/>
      <c r="K147" s="300"/>
      <c r="L147" s="487"/>
      <c r="M147" s="300"/>
      <c r="N147" s="487"/>
      <c r="O147" s="621"/>
      <c r="P147" s="970"/>
      <c r="Q147" s="933">
        <v>4.7220000000000004</v>
      </c>
      <c r="R147" s="1616"/>
      <c r="S147" s="1641"/>
      <c r="T147" s="1642"/>
      <c r="U147" s="1642"/>
      <c r="V147" s="1642"/>
      <c r="W147" s="1641"/>
      <c r="X147" s="1642"/>
      <c r="Y147" s="1641"/>
      <c r="Z147" s="1643"/>
      <c r="AB147" s="3"/>
    </row>
    <row r="148" spans="1:28" x14ac:dyDescent="0.35">
      <c r="A148" s="433"/>
      <c r="B148" s="1007">
        <v>10087</v>
      </c>
      <c r="C148" s="1007"/>
      <c r="D148" s="435"/>
      <c r="E148" s="430" t="s">
        <v>1757</v>
      </c>
      <c r="F148" s="1834">
        <v>4</v>
      </c>
      <c r="G148" s="1834">
        <v>4</v>
      </c>
      <c r="H148" s="2349">
        <v>6</v>
      </c>
      <c r="I148" s="499"/>
      <c r="J148" s="298"/>
      <c r="K148" s="298"/>
      <c r="L148" s="298"/>
      <c r="M148" s="298"/>
      <c r="N148" s="487">
        <v>3.8660000000000001</v>
      </c>
      <c r="O148" s="621"/>
      <c r="P148" s="970"/>
      <c r="Q148" s="933"/>
      <c r="R148" s="1616"/>
      <c r="S148" s="45"/>
      <c r="T148" s="233"/>
      <c r="U148" s="233"/>
      <c r="V148" s="233"/>
      <c r="W148" s="45"/>
      <c r="X148" s="233"/>
      <c r="Y148" s="45"/>
      <c r="Z148" s="309"/>
      <c r="AA148" s="16"/>
    </row>
    <row r="149" spans="1:28" s="19" customFormat="1" ht="45.5" x14ac:dyDescent="0.35">
      <c r="A149" s="433">
        <v>53</v>
      </c>
      <c r="B149" s="1007">
        <v>10087</v>
      </c>
      <c r="C149" s="1007"/>
      <c r="D149" s="2460" t="s">
        <v>3892</v>
      </c>
      <c r="E149" s="432" t="s">
        <v>7458</v>
      </c>
      <c r="F149" s="1834">
        <v>4</v>
      </c>
      <c r="G149" s="1834">
        <v>4</v>
      </c>
      <c r="H149" s="2349">
        <v>6</v>
      </c>
      <c r="I149" s="483">
        <f>J149+K149+L149</f>
        <v>0.35</v>
      </c>
      <c r="J149" s="297">
        <f>SUM(M149:R149)</f>
        <v>0.35</v>
      </c>
      <c r="K149" s="298"/>
      <c r="L149" s="298"/>
      <c r="M149" s="298"/>
      <c r="N149" s="487">
        <v>0.35</v>
      </c>
      <c r="O149" s="621"/>
      <c r="P149" s="970"/>
      <c r="Q149" s="933"/>
      <c r="R149" s="1616"/>
      <c r="S149" s="45"/>
      <c r="T149" s="233"/>
      <c r="U149" s="233"/>
      <c r="V149" s="233"/>
      <c r="W149" s="45"/>
      <c r="X149" s="233"/>
      <c r="Y149" s="45"/>
      <c r="Z149" s="309"/>
      <c r="AA149" s="16"/>
      <c r="AB149" s="3">
        <v>1</v>
      </c>
    </row>
    <row r="150" spans="1:28" ht="45.5" x14ac:dyDescent="0.35">
      <c r="A150" s="433">
        <v>54</v>
      </c>
      <c r="B150" s="1007">
        <v>10087</v>
      </c>
      <c r="C150" s="1007"/>
      <c r="D150" s="2460" t="s">
        <v>3893</v>
      </c>
      <c r="E150" s="432" t="s">
        <v>7459</v>
      </c>
      <c r="F150" s="1834">
        <v>4</v>
      </c>
      <c r="G150" s="1834">
        <v>4</v>
      </c>
      <c r="H150" s="2349">
        <v>6</v>
      </c>
      <c r="I150" s="297">
        <f>SUM(L150:Q150)</f>
        <v>0.73</v>
      </c>
      <c r="J150" s="297">
        <f>SUM(M150:R150)</f>
        <v>0.73</v>
      </c>
      <c r="K150" s="298"/>
      <c r="L150" s="298"/>
      <c r="M150" s="298"/>
      <c r="N150" s="487">
        <v>0.73</v>
      </c>
      <c r="O150" s="621"/>
      <c r="P150" s="970"/>
      <c r="Q150" s="933"/>
      <c r="R150" s="1616"/>
      <c r="S150" s="45"/>
      <c r="T150" s="233"/>
      <c r="U150" s="233"/>
      <c r="V150" s="233"/>
      <c r="W150" s="45"/>
      <c r="X150" s="233"/>
      <c r="Y150" s="45"/>
      <c r="Z150" s="309"/>
      <c r="AA150" s="16"/>
      <c r="AB150" s="3">
        <v>1</v>
      </c>
    </row>
    <row r="151" spans="1:28" s="16" customFormat="1" ht="45.5" x14ac:dyDescent="0.35">
      <c r="A151" s="433">
        <v>55</v>
      </c>
      <c r="B151" s="1007">
        <v>10087</v>
      </c>
      <c r="C151" s="1007"/>
      <c r="D151" s="2460" t="s">
        <v>3894</v>
      </c>
      <c r="E151" s="432" t="s">
        <v>7460</v>
      </c>
      <c r="F151" s="1834">
        <v>4</v>
      </c>
      <c r="G151" s="1834">
        <v>4</v>
      </c>
      <c r="H151" s="2349">
        <v>6</v>
      </c>
      <c r="I151" s="297">
        <f>SUM(L151:Q151)</f>
        <v>0.4</v>
      </c>
      <c r="J151" s="297">
        <f>SUM(M151:R151)</f>
        <v>0.4</v>
      </c>
      <c r="K151" s="298"/>
      <c r="L151" s="298"/>
      <c r="M151" s="298"/>
      <c r="N151" s="487">
        <v>0.4</v>
      </c>
      <c r="O151" s="621"/>
      <c r="P151" s="970"/>
      <c r="Q151" s="933"/>
      <c r="R151" s="1616"/>
      <c r="S151" s="45"/>
      <c r="T151" s="233"/>
      <c r="U151" s="233"/>
      <c r="V151" s="233"/>
      <c r="W151" s="45"/>
      <c r="X151" s="233"/>
      <c r="Y151" s="45"/>
      <c r="Z151" s="309"/>
      <c r="AB151" s="3">
        <v>1</v>
      </c>
    </row>
    <row r="152" spans="1:28" s="16" customFormat="1" ht="30.5" x14ac:dyDescent="0.35">
      <c r="A152" s="433">
        <v>56</v>
      </c>
      <c r="B152" s="1005">
        <v>10087</v>
      </c>
      <c r="C152" s="1005"/>
      <c r="D152" s="2460" t="s">
        <v>3895</v>
      </c>
      <c r="E152" s="407" t="s">
        <v>7461</v>
      </c>
      <c r="F152" s="1834" t="s">
        <v>827</v>
      </c>
      <c r="G152" s="1834">
        <v>5</v>
      </c>
      <c r="H152" s="2349">
        <v>6</v>
      </c>
      <c r="I152" s="297">
        <f>J152+K152+L152</f>
        <v>1</v>
      </c>
      <c r="J152" s="297">
        <f>SUM(M152:R152)</f>
        <v>1</v>
      </c>
      <c r="K152" s="297"/>
      <c r="L152" s="297"/>
      <c r="M152" s="297"/>
      <c r="N152" s="486"/>
      <c r="O152" s="619"/>
      <c r="P152" s="969"/>
      <c r="Q152" s="932"/>
      <c r="R152" s="1615">
        <v>1</v>
      </c>
      <c r="S152" s="45"/>
      <c r="T152" s="233"/>
      <c r="U152" s="233"/>
      <c r="V152" s="233"/>
      <c r="W152" s="45">
        <v>1</v>
      </c>
      <c r="X152" s="233">
        <v>10.5</v>
      </c>
      <c r="Y152" s="45"/>
      <c r="Z152" s="309"/>
      <c r="AB152" s="3">
        <v>1</v>
      </c>
    </row>
    <row r="153" spans="1:28" s="19" customFormat="1" ht="30.5" x14ac:dyDescent="0.35">
      <c r="A153" s="433">
        <v>57</v>
      </c>
      <c r="B153" s="1007">
        <v>10088</v>
      </c>
      <c r="C153" s="1007"/>
      <c r="D153" s="434" t="s">
        <v>627</v>
      </c>
      <c r="E153" s="407" t="s">
        <v>11318</v>
      </c>
      <c r="F153" s="1834"/>
      <c r="G153" s="1834" t="s">
        <v>191</v>
      </c>
      <c r="H153" s="2349" t="s">
        <v>191</v>
      </c>
      <c r="I153" s="297">
        <f>J153+K153+L153</f>
        <v>6.5019999999999998</v>
      </c>
      <c r="J153" s="297">
        <f>SUM(M153:R153)</f>
        <v>6.5019999999999998</v>
      </c>
      <c r="K153" s="297"/>
      <c r="L153" s="297"/>
      <c r="M153" s="297"/>
      <c r="N153" s="486">
        <f>SUM(N154:N158)</f>
        <v>0.51500000000000001</v>
      </c>
      <c r="O153" s="619"/>
      <c r="P153" s="969"/>
      <c r="Q153" s="932">
        <f>SUM(Q154:Q158)</f>
        <v>4.3410000000000002</v>
      </c>
      <c r="R153" s="1615">
        <f>SUM(R154:R158)</f>
        <v>1.6459999999999999</v>
      </c>
      <c r="S153" s="45"/>
      <c r="T153" s="233"/>
      <c r="U153" s="233"/>
      <c r="V153" s="233"/>
      <c r="W153" s="45">
        <v>12</v>
      </c>
      <c r="X153" s="233">
        <v>121.9</v>
      </c>
      <c r="Y153" s="45">
        <v>4</v>
      </c>
      <c r="Z153" s="309">
        <v>30</v>
      </c>
      <c r="AA153" s="16"/>
      <c r="AB153" s="3">
        <v>1</v>
      </c>
    </row>
    <row r="154" spans="1:28" x14ac:dyDescent="0.35">
      <c r="A154" s="433"/>
      <c r="B154" s="1007">
        <v>10088</v>
      </c>
      <c r="C154" s="1007"/>
      <c r="D154" s="435"/>
      <c r="E154" s="431" t="s">
        <v>3415</v>
      </c>
      <c r="F154" s="1834">
        <v>5</v>
      </c>
      <c r="G154" s="1834">
        <v>5</v>
      </c>
      <c r="H154" s="2349">
        <v>6</v>
      </c>
      <c r="I154" s="499"/>
      <c r="J154" s="298"/>
      <c r="K154" s="298"/>
      <c r="L154" s="298"/>
      <c r="M154" s="298"/>
      <c r="N154" s="487">
        <v>1.4999999999999999E-2</v>
      </c>
      <c r="O154" s="621"/>
      <c r="P154" s="970"/>
      <c r="Q154" s="933"/>
      <c r="R154" s="1616"/>
      <c r="S154" s="45"/>
      <c r="T154" s="233"/>
      <c r="U154" s="233"/>
      <c r="V154" s="233"/>
      <c r="W154" s="45"/>
      <c r="X154" s="233"/>
      <c r="Y154" s="45"/>
      <c r="Z154" s="309"/>
      <c r="AA154" s="19"/>
    </row>
    <row r="155" spans="1:28" s="16" customFormat="1" x14ac:dyDescent="0.35">
      <c r="A155" s="2045"/>
      <c r="B155" s="1007">
        <v>10088</v>
      </c>
      <c r="C155" s="1007"/>
      <c r="D155" s="437"/>
      <c r="E155" s="840" t="s">
        <v>11338</v>
      </c>
      <c r="F155" s="1834">
        <v>5</v>
      </c>
      <c r="G155" s="1834">
        <v>5</v>
      </c>
      <c r="H155" s="1834">
        <v>6</v>
      </c>
      <c r="I155" s="1012"/>
      <c r="J155" s="301"/>
      <c r="K155" s="301"/>
      <c r="L155" s="301"/>
      <c r="M155" s="301"/>
      <c r="N155" s="487"/>
      <c r="O155" s="621"/>
      <c r="P155" s="970"/>
      <c r="Q155" s="933">
        <f>4.28-0.015</f>
        <v>4.2650000000000006</v>
      </c>
      <c r="R155" s="1616"/>
      <c r="S155" s="1644"/>
      <c r="T155" s="1645"/>
      <c r="U155" s="1645"/>
      <c r="V155" s="1645"/>
      <c r="W155" s="1644"/>
      <c r="X155" s="1645"/>
      <c r="Y155" s="1644"/>
      <c r="Z155" s="1646"/>
      <c r="AA155" s="3"/>
      <c r="AB155" s="3"/>
    </row>
    <row r="156" spans="1:28" s="16" customFormat="1" x14ac:dyDescent="0.35">
      <c r="A156" s="433"/>
      <c r="B156" s="1007">
        <v>10088</v>
      </c>
      <c r="C156" s="1007"/>
      <c r="D156" s="435"/>
      <c r="E156" s="841" t="s">
        <v>3259</v>
      </c>
      <c r="F156" s="1834">
        <v>5</v>
      </c>
      <c r="G156" s="1834">
        <v>5</v>
      </c>
      <c r="H156" s="2349">
        <v>6</v>
      </c>
      <c r="I156" s="499"/>
      <c r="J156" s="298"/>
      <c r="K156" s="298"/>
      <c r="L156" s="298"/>
      <c r="M156" s="298"/>
      <c r="N156" s="487"/>
      <c r="O156" s="621"/>
      <c r="P156" s="970"/>
      <c r="Q156" s="933"/>
      <c r="R156" s="1616">
        <v>1.6459999999999999</v>
      </c>
      <c r="S156" s="45"/>
      <c r="T156" s="233"/>
      <c r="U156" s="233"/>
      <c r="V156" s="233"/>
      <c r="W156" s="45"/>
      <c r="X156" s="233"/>
      <c r="Y156" s="45"/>
      <c r="Z156" s="309"/>
    </row>
    <row r="157" spans="1:28" s="16" customFormat="1" x14ac:dyDescent="0.35">
      <c r="A157" s="433"/>
      <c r="B157" s="1007">
        <v>10088</v>
      </c>
      <c r="C157" s="1007"/>
      <c r="D157" s="435"/>
      <c r="E157" s="840" t="s">
        <v>3142</v>
      </c>
      <c r="F157" s="1834">
        <v>5</v>
      </c>
      <c r="G157" s="1834">
        <v>5</v>
      </c>
      <c r="H157" s="1834">
        <v>6</v>
      </c>
      <c r="I157" s="298"/>
      <c r="J157" s="298"/>
      <c r="K157" s="298"/>
      <c r="L157" s="298"/>
      <c r="M157" s="298"/>
      <c r="N157" s="487"/>
      <c r="O157" s="621"/>
      <c r="P157" s="970"/>
      <c r="Q157" s="933">
        <f>6.002-5.926</f>
        <v>7.5999999999999623E-2</v>
      </c>
      <c r="R157" s="1616"/>
      <c r="S157" s="45"/>
      <c r="T157" s="233"/>
      <c r="U157" s="233"/>
      <c r="V157" s="233"/>
      <c r="W157" s="45"/>
      <c r="X157" s="233"/>
      <c r="Y157" s="45"/>
      <c r="Z157" s="309"/>
      <c r="AA157" s="3"/>
    </row>
    <row r="158" spans="1:28" s="16" customFormat="1" x14ac:dyDescent="0.35">
      <c r="A158" s="433"/>
      <c r="B158" s="1007">
        <v>10088</v>
      </c>
      <c r="C158" s="1007"/>
      <c r="D158" s="435"/>
      <c r="E158" s="430" t="s">
        <v>2549</v>
      </c>
      <c r="F158" s="1834">
        <v>5</v>
      </c>
      <c r="G158" s="1834">
        <v>5</v>
      </c>
      <c r="H158" s="2349">
        <v>6</v>
      </c>
      <c r="I158" s="298"/>
      <c r="J158" s="298"/>
      <c r="K158" s="298"/>
      <c r="L158" s="298"/>
      <c r="M158" s="298"/>
      <c r="N158" s="487">
        <f>6.502-6.002</f>
        <v>0.5</v>
      </c>
      <c r="O158" s="621"/>
      <c r="P158" s="970"/>
      <c r="Q158" s="933"/>
      <c r="R158" s="1616"/>
      <c r="S158" s="45"/>
      <c r="T158" s="233"/>
      <c r="U158" s="233"/>
      <c r="V158" s="233"/>
      <c r="W158" s="45"/>
      <c r="X158" s="233"/>
      <c r="Y158" s="45"/>
      <c r="Z158" s="309"/>
      <c r="AA158" s="3"/>
    </row>
    <row r="159" spans="1:28" s="19" customFormat="1" ht="60.5" x14ac:dyDescent="0.35">
      <c r="A159" s="439">
        <v>58</v>
      </c>
      <c r="B159" s="1003">
        <v>10088</v>
      </c>
      <c r="C159" s="1003" t="s">
        <v>1655</v>
      </c>
      <c r="D159" s="2460" t="s">
        <v>3896</v>
      </c>
      <c r="E159" s="2069" t="s">
        <v>9429</v>
      </c>
      <c r="F159" s="1834" t="s">
        <v>664</v>
      </c>
      <c r="G159" s="1834">
        <v>5</v>
      </c>
      <c r="H159" s="2349">
        <v>6</v>
      </c>
      <c r="I159" s="297">
        <f>J159+K159+L159</f>
        <v>1.05</v>
      </c>
      <c r="J159" s="297">
        <f>SUM(M159:R159)</f>
        <v>1.05</v>
      </c>
      <c r="K159" s="301"/>
      <c r="L159" s="301"/>
      <c r="M159" s="301"/>
      <c r="N159" s="487"/>
      <c r="O159" s="621"/>
      <c r="P159" s="970"/>
      <c r="Q159" s="933"/>
      <c r="R159" s="1498">
        <v>1.05</v>
      </c>
      <c r="S159" s="1644"/>
      <c r="T159" s="1645"/>
      <c r="U159" s="1645"/>
      <c r="V159" s="1645"/>
      <c r="W159" s="1644"/>
      <c r="X159" s="1645"/>
      <c r="Y159" s="1644"/>
      <c r="Z159" s="1646"/>
      <c r="AB159" s="3">
        <v>1</v>
      </c>
    </row>
    <row r="160" spans="1:28" s="16" customFormat="1" ht="90.5" x14ac:dyDescent="0.35">
      <c r="A160" s="439">
        <v>59</v>
      </c>
      <c r="B160" s="1006">
        <v>10088</v>
      </c>
      <c r="C160" s="1006" t="s">
        <v>1655</v>
      </c>
      <c r="D160" s="2460" t="s">
        <v>3897</v>
      </c>
      <c r="E160" s="407" t="s">
        <v>9430</v>
      </c>
      <c r="F160" s="1834" t="s">
        <v>1490</v>
      </c>
      <c r="G160" s="1834">
        <v>5</v>
      </c>
      <c r="H160" s="2349">
        <v>6</v>
      </c>
      <c r="I160" s="297">
        <f>J160+K160+L160</f>
        <v>0.4</v>
      </c>
      <c r="J160" s="297">
        <f>SUM(M160:R160)</f>
        <v>0.4</v>
      </c>
      <c r="K160" s="297"/>
      <c r="L160" s="297"/>
      <c r="M160" s="297"/>
      <c r="N160" s="486"/>
      <c r="O160" s="619"/>
      <c r="P160" s="969"/>
      <c r="Q160" s="932"/>
      <c r="R160" s="1615">
        <v>0.4</v>
      </c>
      <c r="S160" s="45"/>
      <c r="T160" s="233"/>
      <c r="U160" s="233"/>
      <c r="V160" s="233"/>
      <c r="W160" s="45"/>
      <c r="X160" s="233"/>
      <c r="Y160" s="45"/>
      <c r="Z160" s="309"/>
      <c r="AA160" s="19"/>
      <c r="AB160" s="3">
        <v>1</v>
      </c>
    </row>
    <row r="161" spans="1:28" ht="45.5" x14ac:dyDescent="0.35">
      <c r="A161" s="439">
        <v>60</v>
      </c>
      <c r="B161" s="1003">
        <v>10088</v>
      </c>
      <c r="C161" s="1003" t="s">
        <v>1656</v>
      </c>
      <c r="D161" s="2460" t="s">
        <v>3898</v>
      </c>
      <c r="E161" s="2069" t="s">
        <v>9431</v>
      </c>
      <c r="F161" s="1834" t="s">
        <v>664</v>
      </c>
      <c r="G161" s="1834">
        <v>5</v>
      </c>
      <c r="H161" s="2349">
        <v>6</v>
      </c>
      <c r="I161" s="297">
        <f>J161+K161+L161</f>
        <v>0.1</v>
      </c>
      <c r="J161" s="297">
        <f>SUM(M161:R161)</f>
        <v>0.1</v>
      </c>
      <c r="K161" s="300"/>
      <c r="L161" s="300"/>
      <c r="M161" s="300"/>
      <c r="N161" s="487"/>
      <c r="O161" s="621"/>
      <c r="P161" s="970"/>
      <c r="Q161" s="933"/>
      <c r="R161" s="1498">
        <v>0.1</v>
      </c>
      <c r="S161" s="1641"/>
      <c r="T161" s="1642"/>
      <c r="U161" s="1642"/>
      <c r="V161" s="1642"/>
      <c r="W161" s="1641"/>
      <c r="X161" s="1642"/>
      <c r="Y161" s="1641"/>
      <c r="Z161" s="1643"/>
      <c r="AB161" s="3">
        <v>1</v>
      </c>
    </row>
    <row r="162" spans="1:28" s="16" customFormat="1" ht="30.5" x14ac:dyDescent="0.35">
      <c r="A162" s="439">
        <v>61</v>
      </c>
      <c r="B162" s="1007">
        <v>10089</v>
      </c>
      <c r="C162" s="1007"/>
      <c r="D162" s="434" t="s">
        <v>628</v>
      </c>
      <c r="E162" s="407" t="s">
        <v>3482</v>
      </c>
      <c r="F162" s="1834"/>
      <c r="G162" s="1834" t="s">
        <v>191</v>
      </c>
      <c r="H162" s="2349" t="s">
        <v>191</v>
      </c>
      <c r="I162" s="483">
        <f>J162+K162+L162</f>
        <v>14.395</v>
      </c>
      <c r="J162" s="297">
        <f>SUM(M162:R162)</f>
        <v>14.205</v>
      </c>
      <c r="K162" s="297"/>
      <c r="L162" s="297">
        <f>SUM(L163:L166)</f>
        <v>0.1899999999999995</v>
      </c>
      <c r="M162" s="297"/>
      <c r="N162" s="486">
        <f>SUM(N163:N166)</f>
        <v>11.468</v>
      </c>
      <c r="O162" s="619"/>
      <c r="P162" s="969"/>
      <c r="Q162" s="932">
        <f>SUM(Q163:Q166)</f>
        <v>2.7370000000000001</v>
      </c>
      <c r="R162" s="1615"/>
      <c r="S162" s="45"/>
      <c r="T162" s="233"/>
      <c r="U162" s="233"/>
      <c r="V162" s="233"/>
      <c r="W162" s="2445">
        <v>21</v>
      </c>
      <c r="X162" s="2446">
        <v>228.2</v>
      </c>
      <c r="Y162" s="2445">
        <v>8</v>
      </c>
      <c r="Z162" s="2448">
        <v>76.5</v>
      </c>
      <c r="AA162" s="3"/>
      <c r="AB162" s="3">
        <v>1</v>
      </c>
    </row>
    <row r="163" spans="1:28" s="16" customFormat="1" x14ac:dyDescent="0.35">
      <c r="A163" s="433"/>
      <c r="B163" s="1007">
        <v>10089</v>
      </c>
      <c r="C163" s="1007"/>
      <c r="D163" s="435"/>
      <c r="E163" s="840" t="s">
        <v>3479</v>
      </c>
      <c r="F163" s="1834">
        <v>4</v>
      </c>
      <c r="G163" s="1834">
        <v>4</v>
      </c>
      <c r="H163" s="2349">
        <v>6</v>
      </c>
      <c r="I163" s="499"/>
      <c r="J163" s="298"/>
      <c r="K163" s="298"/>
      <c r="L163" s="298"/>
      <c r="M163" s="298"/>
      <c r="N163" s="487"/>
      <c r="O163" s="621"/>
      <c r="P163" s="970"/>
      <c r="Q163" s="933">
        <v>2.7370000000000001</v>
      </c>
      <c r="R163" s="1616"/>
      <c r="S163" s="45"/>
      <c r="T163" s="233"/>
      <c r="U163" s="233"/>
      <c r="V163" s="233"/>
      <c r="W163" s="45"/>
      <c r="X163" s="233"/>
      <c r="Y163" s="45"/>
      <c r="Z163" s="309"/>
      <c r="AA163" s="16" t="s">
        <v>1070</v>
      </c>
      <c r="AB163" s="3"/>
    </row>
    <row r="164" spans="1:28" s="16" customFormat="1" x14ac:dyDescent="0.35">
      <c r="A164" s="2044"/>
      <c r="B164" s="1007">
        <v>10089</v>
      </c>
      <c r="C164" s="1007"/>
      <c r="D164" s="436"/>
      <c r="E164" s="431" t="s">
        <v>3480</v>
      </c>
      <c r="F164" s="1834">
        <v>4</v>
      </c>
      <c r="G164" s="1834">
        <v>4</v>
      </c>
      <c r="H164" s="2349">
        <v>6</v>
      </c>
      <c r="I164" s="1008"/>
      <c r="J164" s="300"/>
      <c r="K164" s="300"/>
      <c r="L164" s="300"/>
      <c r="M164" s="300"/>
      <c r="N164" s="487">
        <f>6.841-2.737</f>
        <v>4.1040000000000001</v>
      </c>
      <c r="O164" s="621"/>
      <c r="P164" s="970"/>
      <c r="Q164" s="933"/>
      <c r="R164" s="1616"/>
      <c r="S164" s="1641"/>
      <c r="T164" s="1642"/>
      <c r="U164" s="1642"/>
      <c r="V164" s="1642"/>
      <c r="W164" s="1641"/>
      <c r="X164" s="1642"/>
      <c r="Y164" s="1641"/>
      <c r="Z164" s="1643"/>
      <c r="AA164" s="16" t="s">
        <v>2291</v>
      </c>
      <c r="AB164" s="3"/>
    </row>
    <row r="165" spans="1:28" s="16" customFormat="1" ht="31" x14ac:dyDescent="0.35">
      <c r="A165" s="433"/>
      <c r="B165" s="1007"/>
      <c r="C165" s="1007"/>
      <c r="D165" s="435"/>
      <c r="E165" s="431" t="s">
        <v>9432</v>
      </c>
      <c r="F165" s="1834">
        <v>4</v>
      </c>
      <c r="G165" s="1834">
        <v>4</v>
      </c>
      <c r="H165" s="2349">
        <v>6</v>
      </c>
      <c r="I165" s="499"/>
      <c r="J165" s="298"/>
      <c r="K165" s="298"/>
      <c r="L165" s="298">
        <f>7.031-6.841</f>
        <v>0.1899999999999995</v>
      </c>
      <c r="M165" s="298"/>
      <c r="N165" s="487"/>
      <c r="O165" s="621"/>
      <c r="P165" s="970"/>
      <c r="Q165" s="933"/>
      <c r="R165" s="1616"/>
      <c r="S165" s="45"/>
      <c r="T165" s="233"/>
      <c r="U165" s="233"/>
      <c r="V165" s="233"/>
      <c r="W165" s="45"/>
      <c r="X165" s="233"/>
      <c r="Y165" s="45"/>
      <c r="Z165" s="309"/>
      <c r="AB165" s="3"/>
    </row>
    <row r="166" spans="1:28" s="16" customFormat="1" x14ac:dyDescent="0.35">
      <c r="A166" s="2044"/>
      <c r="B166" s="1007">
        <v>10089</v>
      </c>
      <c r="C166" s="1007"/>
      <c r="D166" s="436"/>
      <c r="E166" s="431" t="s">
        <v>3481</v>
      </c>
      <c r="F166" s="1834">
        <v>4</v>
      </c>
      <c r="G166" s="1834">
        <v>4</v>
      </c>
      <c r="H166" s="2349">
        <v>6</v>
      </c>
      <c r="I166" s="1008"/>
      <c r="J166" s="300"/>
      <c r="K166" s="300"/>
      <c r="L166" s="300"/>
      <c r="M166" s="300"/>
      <c r="N166" s="487">
        <f>14.395-7.031</f>
        <v>7.3639999999999999</v>
      </c>
      <c r="O166" s="621"/>
      <c r="P166" s="970"/>
      <c r="Q166" s="933"/>
      <c r="R166" s="1616"/>
      <c r="S166" s="1641"/>
      <c r="T166" s="1642"/>
      <c r="U166" s="1642"/>
      <c r="V166" s="1642"/>
      <c r="W166" s="1641"/>
      <c r="X166" s="1642"/>
      <c r="Y166" s="1641"/>
      <c r="Z166" s="1643"/>
      <c r="AA166" s="16" t="s">
        <v>2291</v>
      </c>
      <c r="AB166" s="3"/>
    </row>
    <row r="167" spans="1:28" s="16" customFormat="1" ht="45.5" x14ac:dyDescent="0.35">
      <c r="A167" s="433">
        <v>62</v>
      </c>
      <c r="B167" s="1005">
        <v>10089</v>
      </c>
      <c r="C167" s="1005"/>
      <c r="D167" s="2460" t="s">
        <v>3899</v>
      </c>
      <c r="E167" s="407" t="s">
        <v>7462</v>
      </c>
      <c r="F167" s="1834"/>
      <c r="G167" s="1834" t="s">
        <v>191</v>
      </c>
      <c r="H167" s="2349" t="s">
        <v>191</v>
      </c>
      <c r="I167" s="483">
        <f>J167+K167+L167</f>
        <v>1.859</v>
      </c>
      <c r="J167" s="297">
        <f>SUM(M167:R167)</f>
        <v>1.8050000000000002</v>
      </c>
      <c r="K167" s="297"/>
      <c r="L167" s="486">
        <f>SUM(L168:L171)</f>
        <v>5.3999999999999937E-2</v>
      </c>
      <c r="M167" s="297"/>
      <c r="N167" s="486">
        <f>SUM(N168:N171)</f>
        <v>0.94800000000000006</v>
      </c>
      <c r="O167" s="619"/>
      <c r="P167" s="969"/>
      <c r="Q167" s="932">
        <f>SUM(Q168:Q171)</f>
        <v>0.85699999999999998</v>
      </c>
      <c r="R167" s="1615"/>
      <c r="S167" s="45"/>
      <c r="T167" s="233"/>
      <c r="U167" s="233"/>
      <c r="V167" s="233"/>
      <c r="W167" s="45">
        <v>3</v>
      </c>
      <c r="X167" s="233">
        <v>35.03</v>
      </c>
      <c r="Y167" s="45"/>
      <c r="Z167" s="309"/>
      <c r="AA167" s="19"/>
      <c r="AB167" s="3">
        <v>1</v>
      </c>
    </row>
    <row r="168" spans="1:28" s="16" customFormat="1" x14ac:dyDescent="0.35">
      <c r="A168" s="433"/>
      <c r="B168" s="1005">
        <v>10089</v>
      </c>
      <c r="C168" s="1005"/>
      <c r="D168" s="434"/>
      <c r="E168" s="430" t="s">
        <v>3577</v>
      </c>
      <c r="F168" s="1834">
        <v>4</v>
      </c>
      <c r="G168" s="1834">
        <v>5</v>
      </c>
      <c r="H168" s="2349">
        <v>6</v>
      </c>
      <c r="I168" s="499"/>
      <c r="J168" s="298"/>
      <c r="K168" s="298"/>
      <c r="L168" s="298"/>
      <c r="M168" s="298"/>
      <c r="N168" s="487">
        <v>0.92700000000000005</v>
      </c>
      <c r="O168" s="300"/>
      <c r="P168" s="1835"/>
      <c r="Q168" s="1836"/>
      <c r="R168" s="1615"/>
      <c r="S168" s="45"/>
      <c r="T168" s="233"/>
      <c r="U168" s="233"/>
      <c r="V168" s="233"/>
      <c r="W168" s="45"/>
      <c r="X168" s="233"/>
      <c r="Y168" s="45"/>
      <c r="Z168" s="309"/>
      <c r="AA168" s="19"/>
      <c r="AB168" s="3"/>
    </row>
    <row r="169" spans="1:28" s="16" customFormat="1" ht="31" x14ac:dyDescent="0.35">
      <c r="A169" s="433"/>
      <c r="B169" s="1005">
        <v>10089</v>
      </c>
      <c r="C169" s="1005"/>
      <c r="D169" s="434"/>
      <c r="E169" s="430" t="s">
        <v>3578</v>
      </c>
      <c r="F169" s="1834">
        <v>4</v>
      </c>
      <c r="G169" s="1834">
        <v>5</v>
      </c>
      <c r="H169" s="2349" t="s">
        <v>191</v>
      </c>
      <c r="I169" s="499"/>
      <c r="J169" s="298"/>
      <c r="K169" s="298"/>
      <c r="L169" s="298">
        <f>0.981-0.927</f>
        <v>5.3999999999999937E-2</v>
      </c>
      <c r="M169" s="298"/>
      <c r="N169" s="487"/>
      <c r="O169" s="300"/>
      <c r="P169" s="1835"/>
      <c r="Q169" s="1836"/>
      <c r="R169" s="1615"/>
      <c r="S169" s="45"/>
      <c r="T169" s="233"/>
      <c r="U169" s="233"/>
      <c r="V169" s="233"/>
      <c r="W169" s="45"/>
      <c r="X169" s="233"/>
      <c r="Y169" s="45"/>
      <c r="Z169" s="309"/>
      <c r="AA169" s="19"/>
      <c r="AB169" s="3"/>
    </row>
    <row r="170" spans="1:28" s="16" customFormat="1" x14ac:dyDescent="0.35">
      <c r="A170" s="433"/>
      <c r="B170" s="1005"/>
      <c r="C170" s="1005"/>
      <c r="D170" s="434"/>
      <c r="E170" s="430" t="s">
        <v>3579</v>
      </c>
      <c r="F170" s="1834">
        <v>4</v>
      </c>
      <c r="G170" s="1834">
        <v>5</v>
      </c>
      <c r="H170" s="2349">
        <v>6</v>
      </c>
      <c r="I170" s="499"/>
      <c r="J170" s="298"/>
      <c r="K170" s="298"/>
      <c r="L170" s="298"/>
      <c r="M170" s="298"/>
      <c r="N170" s="487">
        <f>1.002-0.981</f>
        <v>2.1000000000000019E-2</v>
      </c>
      <c r="O170" s="300"/>
      <c r="P170" s="1835"/>
      <c r="Q170" s="1836"/>
      <c r="R170" s="1615"/>
      <c r="S170" s="45"/>
      <c r="T170" s="233"/>
      <c r="U170" s="233"/>
      <c r="V170" s="233"/>
      <c r="W170" s="45"/>
      <c r="X170" s="233"/>
      <c r="Y170" s="45"/>
      <c r="Z170" s="309"/>
      <c r="AA170" s="19"/>
      <c r="AB170" s="3"/>
    </row>
    <row r="171" spans="1:28" s="16" customFormat="1" x14ac:dyDescent="0.35">
      <c r="A171" s="433"/>
      <c r="B171" s="1005">
        <v>10089</v>
      </c>
      <c r="C171" s="1005"/>
      <c r="D171" s="434"/>
      <c r="E171" s="840" t="s">
        <v>3580</v>
      </c>
      <c r="F171" s="1834">
        <v>5</v>
      </c>
      <c r="G171" s="1834">
        <v>5</v>
      </c>
      <c r="H171" s="2349">
        <v>6</v>
      </c>
      <c r="I171" s="499"/>
      <c r="J171" s="298"/>
      <c r="K171" s="298"/>
      <c r="L171" s="298"/>
      <c r="M171" s="298"/>
      <c r="N171" s="487"/>
      <c r="O171" s="300"/>
      <c r="P171" s="1835"/>
      <c r="Q171" s="1836">
        <f>1.859-1.002</f>
        <v>0.85699999999999998</v>
      </c>
      <c r="R171" s="1615"/>
      <c r="S171" s="45"/>
      <c r="T171" s="233"/>
      <c r="U171" s="233"/>
      <c r="V171" s="233"/>
      <c r="W171" s="45"/>
      <c r="X171" s="233"/>
      <c r="Y171" s="45"/>
      <c r="Z171" s="309"/>
      <c r="AA171" s="19"/>
      <c r="AB171" s="3"/>
    </row>
    <row r="172" spans="1:28" s="16" customFormat="1" ht="45.5" x14ac:dyDescent="0.35">
      <c r="A172" s="433">
        <v>63</v>
      </c>
      <c r="B172" s="1005">
        <v>10089</v>
      </c>
      <c r="C172" s="1005"/>
      <c r="D172" s="2460" t="s">
        <v>3900</v>
      </c>
      <c r="E172" s="407" t="s">
        <v>7463</v>
      </c>
      <c r="F172" s="1834">
        <v>5</v>
      </c>
      <c r="G172" s="1834">
        <v>5</v>
      </c>
      <c r="H172" s="2349">
        <v>6</v>
      </c>
      <c r="I172" s="297">
        <f>J172+K172+L172</f>
        <v>1</v>
      </c>
      <c r="J172" s="297">
        <f>SUM(M172:R172)</f>
        <v>1</v>
      </c>
      <c r="K172" s="297"/>
      <c r="L172" s="297"/>
      <c r="M172" s="297"/>
      <c r="N172" s="486"/>
      <c r="O172" s="619"/>
      <c r="P172" s="969"/>
      <c r="Q172" s="932">
        <v>1</v>
      </c>
      <c r="R172" s="1615"/>
      <c r="S172" s="45"/>
      <c r="T172" s="233"/>
      <c r="U172" s="233"/>
      <c r="V172" s="233"/>
      <c r="W172" s="45"/>
      <c r="X172" s="233"/>
      <c r="Y172" s="45"/>
      <c r="Z172" s="309"/>
      <c r="AA172" s="3"/>
      <c r="AB172" s="3">
        <v>1</v>
      </c>
    </row>
    <row r="173" spans="1:28" s="16" customFormat="1" ht="45.5" x14ac:dyDescent="0.35">
      <c r="A173" s="433">
        <v>64</v>
      </c>
      <c r="B173" s="1005">
        <v>10089</v>
      </c>
      <c r="C173" s="1005"/>
      <c r="D173" s="2460" t="s">
        <v>3901</v>
      </c>
      <c r="E173" s="407" t="s">
        <v>7464</v>
      </c>
      <c r="F173" s="1834"/>
      <c r="G173" s="1834" t="s">
        <v>191</v>
      </c>
      <c r="H173" s="2349" t="s">
        <v>191</v>
      </c>
      <c r="I173" s="297">
        <f>J173+K173+L173</f>
        <v>2.81</v>
      </c>
      <c r="J173" s="297">
        <f>SUM(M173:R173)</f>
        <v>2.81</v>
      </c>
      <c r="K173" s="297"/>
      <c r="L173" s="297"/>
      <c r="M173" s="297"/>
      <c r="N173" s="2865">
        <f>SUM(N174:N178)</f>
        <v>0.33800000000000002</v>
      </c>
      <c r="O173" s="619"/>
      <c r="P173" s="969"/>
      <c r="Q173" s="932">
        <f t="shared" ref="Q173" si="13">SUM(Q174:Q178)</f>
        <v>2.472</v>
      </c>
      <c r="R173" s="1615"/>
      <c r="S173" s="45"/>
      <c r="T173" s="233"/>
      <c r="U173" s="233"/>
      <c r="V173" s="233"/>
      <c r="W173" s="45">
        <v>1</v>
      </c>
      <c r="X173" s="233">
        <v>10</v>
      </c>
      <c r="Y173" s="45"/>
      <c r="Z173" s="309"/>
      <c r="AB173" s="3">
        <v>1</v>
      </c>
    </row>
    <row r="174" spans="1:28" s="16" customFormat="1" x14ac:dyDescent="0.35">
      <c r="A174" s="433"/>
      <c r="B174" s="1005">
        <v>10089</v>
      </c>
      <c r="C174" s="1005"/>
      <c r="D174" s="434"/>
      <c r="E174" s="430" t="s">
        <v>11608</v>
      </c>
      <c r="F174" s="1834">
        <v>5</v>
      </c>
      <c r="G174" s="1834">
        <v>5</v>
      </c>
      <c r="H174" s="2349">
        <v>6</v>
      </c>
      <c r="I174" s="499"/>
      <c r="J174" s="298"/>
      <c r="K174" s="298"/>
      <c r="L174" s="298"/>
      <c r="M174" s="298"/>
      <c r="N174" s="2535">
        <v>0.33800000000000002</v>
      </c>
      <c r="O174" s="300"/>
      <c r="P174" s="1835"/>
      <c r="Q174" s="1836"/>
      <c r="R174" s="2049"/>
      <c r="S174" s="179"/>
      <c r="T174" s="2693"/>
      <c r="U174" s="2693"/>
      <c r="V174" s="2693"/>
      <c r="W174" s="179"/>
      <c r="X174" s="2693"/>
      <c r="Y174" s="179"/>
      <c r="Z174" s="509"/>
      <c r="AB174" s="3"/>
    </row>
    <row r="175" spans="1:28" s="16" customFormat="1" x14ac:dyDescent="0.35">
      <c r="A175" s="433"/>
      <c r="B175" s="1005">
        <v>10089</v>
      </c>
      <c r="C175" s="1005"/>
      <c r="D175" s="434"/>
      <c r="E175" s="840" t="s">
        <v>11609</v>
      </c>
      <c r="F175" s="1834">
        <v>5</v>
      </c>
      <c r="G175" s="1834">
        <v>5</v>
      </c>
      <c r="H175" s="2349">
        <v>6</v>
      </c>
      <c r="I175" s="499"/>
      <c r="J175" s="298"/>
      <c r="K175" s="298"/>
      <c r="L175" s="298"/>
      <c r="M175" s="298"/>
      <c r="N175" s="487"/>
      <c r="O175" s="300"/>
      <c r="P175" s="1835"/>
      <c r="Q175" s="1836">
        <f>0.72-0.338</f>
        <v>0.38199999999999995</v>
      </c>
      <c r="R175" s="2767"/>
      <c r="S175" s="179"/>
      <c r="T175" s="2693"/>
      <c r="U175" s="2693"/>
      <c r="V175" s="2693"/>
      <c r="W175" s="179"/>
      <c r="X175" s="2693"/>
      <c r="Y175" s="179"/>
      <c r="Z175" s="509"/>
    </row>
    <row r="176" spans="1:28" s="16" customFormat="1" x14ac:dyDescent="0.35">
      <c r="A176" s="433"/>
      <c r="B176" s="1005">
        <v>10089</v>
      </c>
      <c r="C176" s="1005"/>
      <c r="D176" s="434"/>
      <c r="E176" s="840" t="s">
        <v>11610</v>
      </c>
      <c r="F176" s="2690" t="s">
        <v>827</v>
      </c>
      <c r="G176" s="2690">
        <v>5</v>
      </c>
      <c r="H176" s="2953">
        <v>6</v>
      </c>
      <c r="I176" s="499"/>
      <c r="J176" s="298"/>
      <c r="K176" s="298"/>
      <c r="L176" s="298"/>
      <c r="M176" s="298"/>
      <c r="N176" s="487"/>
      <c r="O176" s="300"/>
      <c r="P176" s="1835"/>
      <c r="Q176" s="1836">
        <f>0.91-0.72</f>
        <v>0.19000000000000006</v>
      </c>
      <c r="R176" s="2767"/>
      <c r="S176" s="179"/>
      <c r="T176" s="2693"/>
      <c r="U176" s="2693"/>
      <c r="V176" s="2693"/>
      <c r="W176" s="179"/>
      <c r="X176" s="2693"/>
      <c r="Y176" s="179"/>
      <c r="Z176" s="509"/>
    </row>
    <row r="177" spans="1:29" s="16" customFormat="1" x14ac:dyDescent="0.35">
      <c r="A177" s="433"/>
      <c r="B177" s="1005">
        <v>10089</v>
      </c>
      <c r="C177" s="1005"/>
      <c r="D177" s="434"/>
      <c r="E177" s="840" t="s">
        <v>11611</v>
      </c>
      <c r="F177" s="1834">
        <v>5</v>
      </c>
      <c r="G177" s="1834">
        <v>5</v>
      </c>
      <c r="H177" s="2349">
        <v>6</v>
      </c>
      <c r="I177" s="499"/>
      <c r="J177" s="298"/>
      <c r="K177" s="298"/>
      <c r="L177" s="298"/>
      <c r="M177" s="298"/>
      <c r="N177" s="487"/>
      <c r="O177" s="300"/>
      <c r="P177" s="1835"/>
      <c r="Q177" s="1836">
        <f>2.162-0.91</f>
        <v>1.2519999999999998</v>
      </c>
      <c r="R177" s="2767"/>
      <c r="S177" s="179"/>
      <c r="T177" s="2693"/>
      <c r="U177" s="2693"/>
      <c r="V177" s="2693"/>
      <c r="W177" s="179"/>
      <c r="X177" s="2693"/>
      <c r="Y177" s="179"/>
      <c r="Z177" s="509"/>
    </row>
    <row r="178" spans="1:29" s="16" customFormat="1" x14ac:dyDescent="0.35">
      <c r="A178" s="433"/>
      <c r="B178" s="1005">
        <v>10089</v>
      </c>
      <c r="C178" s="1005"/>
      <c r="D178" s="434"/>
      <c r="E178" s="840" t="s">
        <v>11607</v>
      </c>
      <c r="F178" s="2690" t="s">
        <v>827</v>
      </c>
      <c r="G178" s="2690">
        <v>5</v>
      </c>
      <c r="H178" s="2953">
        <v>6</v>
      </c>
      <c r="I178" s="499"/>
      <c r="J178" s="298"/>
      <c r="K178" s="298"/>
      <c r="L178" s="298"/>
      <c r="M178" s="298"/>
      <c r="N178" s="487"/>
      <c r="O178" s="300"/>
      <c r="P178" s="1835"/>
      <c r="Q178" s="1836">
        <f>2.81-2.162</f>
        <v>0.64800000000000013</v>
      </c>
      <c r="R178" s="2767"/>
      <c r="S178" s="179"/>
      <c r="T178" s="2693"/>
      <c r="U178" s="2693"/>
      <c r="V178" s="2693"/>
      <c r="W178" s="179"/>
      <c r="X178" s="2693"/>
      <c r="Y178" s="179"/>
      <c r="Z178" s="509"/>
    </row>
    <row r="179" spans="1:29" ht="60.5" x14ac:dyDescent="0.35">
      <c r="A179" s="433">
        <v>65</v>
      </c>
      <c r="B179" s="1005">
        <v>10089</v>
      </c>
      <c r="C179" s="1005"/>
      <c r="D179" s="2460" t="s">
        <v>3902</v>
      </c>
      <c r="E179" s="407" t="s">
        <v>7465</v>
      </c>
      <c r="F179" s="1834" t="s">
        <v>664</v>
      </c>
      <c r="G179" s="1834">
        <v>5</v>
      </c>
      <c r="H179" s="2349">
        <v>6</v>
      </c>
      <c r="I179" s="483">
        <f>J179+K179+L179</f>
        <v>2.35</v>
      </c>
      <c r="J179" s="297">
        <f>SUM(M179:R179)</f>
        <v>2.35</v>
      </c>
      <c r="K179" s="297"/>
      <c r="L179" s="297"/>
      <c r="M179" s="297"/>
      <c r="N179" s="486"/>
      <c r="O179" s="619"/>
      <c r="P179" s="969"/>
      <c r="Q179" s="932"/>
      <c r="R179" s="1615">
        <v>2.35</v>
      </c>
      <c r="S179" s="45"/>
      <c r="T179" s="233"/>
      <c r="U179" s="233"/>
      <c r="V179" s="233"/>
      <c r="W179" s="45">
        <v>1</v>
      </c>
      <c r="X179" s="233">
        <v>10</v>
      </c>
      <c r="Y179" s="45"/>
      <c r="Z179" s="309"/>
      <c r="AA179" s="16"/>
      <c r="AB179" s="3">
        <v>1</v>
      </c>
    </row>
    <row r="180" spans="1:29" ht="60.5" x14ac:dyDescent="0.35">
      <c r="A180" s="2586">
        <v>66</v>
      </c>
      <c r="B180" s="1004">
        <v>10089</v>
      </c>
      <c r="C180" s="1004" t="s">
        <v>1655</v>
      </c>
      <c r="D180" s="2460" t="s">
        <v>3903</v>
      </c>
      <c r="E180" s="2069" t="s">
        <v>7365</v>
      </c>
      <c r="F180" s="1834" t="s">
        <v>664</v>
      </c>
      <c r="G180" s="1834">
        <v>5</v>
      </c>
      <c r="H180" s="2349">
        <v>6</v>
      </c>
      <c r="I180" s="297">
        <f>J180+K180+L180</f>
        <v>1.2</v>
      </c>
      <c r="J180" s="297">
        <f>SUM(M180:R180)</f>
        <v>1.2</v>
      </c>
      <c r="K180" s="297"/>
      <c r="L180" s="297"/>
      <c r="M180" s="297"/>
      <c r="N180" s="486"/>
      <c r="O180" s="619"/>
      <c r="P180" s="969"/>
      <c r="Q180" s="932"/>
      <c r="R180" s="925">
        <v>1.2</v>
      </c>
      <c r="S180" s="45"/>
      <c r="T180" s="233"/>
      <c r="U180" s="233"/>
      <c r="V180" s="233"/>
      <c r="W180" s="45"/>
      <c r="X180" s="233"/>
      <c r="Y180" s="45"/>
      <c r="Z180" s="309"/>
      <c r="AB180" s="3">
        <v>1</v>
      </c>
    </row>
    <row r="181" spans="1:29" ht="45.5" x14ac:dyDescent="0.35">
      <c r="A181" s="433">
        <v>67</v>
      </c>
      <c r="B181" s="1006">
        <v>10089</v>
      </c>
      <c r="C181" s="1004" t="s">
        <v>1656</v>
      </c>
      <c r="D181" s="2460" t="s">
        <v>3904</v>
      </c>
      <c r="E181" s="407" t="s">
        <v>8183</v>
      </c>
      <c r="F181" s="1834" t="s">
        <v>1490</v>
      </c>
      <c r="G181" s="1834">
        <v>5</v>
      </c>
      <c r="H181" s="2349">
        <v>6</v>
      </c>
      <c r="I181" s="483">
        <f>J181+K181+L181</f>
        <v>0.1</v>
      </c>
      <c r="J181" s="297">
        <f>SUM(M181:R181)</f>
        <v>0.1</v>
      </c>
      <c r="K181" s="297"/>
      <c r="L181" s="297"/>
      <c r="M181" s="297"/>
      <c r="N181" s="486"/>
      <c r="O181" s="619"/>
      <c r="P181" s="969"/>
      <c r="Q181" s="932"/>
      <c r="R181" s="1615">
        <v>0.1</v>
      </c>
      <c r="S181" s="45"/>
      <c r="T181" s="233"/>
      <c r="U181" s="233"/>
      <c r="V181" s="233"/>
      <c r="W181" s="45"/>
      <c r="X181" s="233"/>
      <c r="Y181" s="45"/>
      <c r="Z181" s="309"/>
      <c r="AA181" s="16"/>
      <c r="AB181" s="3">
        <v>1</v>
      </c>
    </row>
    <row r="182" spans="1:29" s="16" customFormat="1" ht="45.5" x14ac:dyDescent="0.35">
      <c r="A182" s="2586">
        <v>68</v>
      </c>
      <c r="B182" s="1006">
        <v>10089</v>
      </c>
      <c r="C182" s="1004" t="s">
        <v>1656</v>
      </c>
      <c r="D182" s="2460" t="s">
        <v>3905</v>
      </c>
      <c r="E182" s="407" t="s">
        <v>8184</v>
      </c>
      <c r="F182" s="1834"/>
      <c r="G182" s="1834" t="s">
        <v>191</v>
      </c>
      <c r="H182" s="2349" t="s">
        <v>191</v>
      </c>
      <c r="I182" s="297">
        <f>J182+K182+L182</f>
        <v>1.5</v>
      </c>
      <c r="J182" s="297">
        <f>SUM(M182:R182)</f>
        <v>1.5</v>
      </c>
      <c r="K182" s="297"/>
      <c r="L182" s="297"/>
      <c r="M182" s="297"/>
      <c r="N182" s="486"/>
      <c r="O182" s="619"/>
      <c r="P182" s="2051">
        <f>SUM(P183:P184)</f>
        <v>0.7</v>
      </c>
      <c r="Q182" s="932"/>
      <c r="R182" s="2192">
        <f>SUM(R183:R184)</f>
        <v>0.8</v>
      </c>
      <c r="S182" s="45"/>
      <c r="T182" s="233"/>
      <c r="U182" s="233"/>
      <c r="V182" s="233"/>
      <c r="W182" s="45"/>
      <c r="X182" s="233"/>
      <c r="Y182" s="45"/>
      <c r="Z182" s="309"/>
      <c r="AB182" s="3">
        <v>1</v>
      </c>
    </row>
    <row r="183" spans="1:29" x14ac:dyDescent="0.35">
      <c r="A183" s="439"/>
      <c r="B183" s="1006">
        <v>10089</v>
      </c>
      <c r="C183" s="1006"/>
      <c r="D183" s="440"/>
      <c r="E183" s="2052" t="s">
        <v>2585</v>
      </c>
      <c r="F183" s="1834" t="s">
        <v>1490</v>
      </c>
      <c r="G183" s="1834">
        <v>5</v>
      </c>
      <c r="H183" s="1834">
        <v>6</v>
      </c>
      <c r="I183" s="298"/>
      <c r="J183" s="298"/>
      <c r="K183" s="298"/>
      <c r="L183" s="298"/>
      <c r="M183" s="298"/>
      <c r="N183" s="487"/>
      <c r="O183" s="300"/>
      <c r="P183" s="970">
        <v>0.7</v>
      </c>
      <c r="Q183" s="1836"/>
      <c r="R183" s="1837"/>
      <c r="S183" s="45"/>
      <c r="T183" s="233"/>
      <c r="U183" s="233"/>
      <c r="V183" s="233"/>
      <c r="W183" s="45"/>
      <c r="X183" s="233"/>
      <c r="Y183" s="45"/>
      <c r="Z183" s="309"/>
      <c r="AA183" s="16"/>
    </row>
    <row r="184" spans="1:29" s="19" customFormat="1" x14ac:dyDescent="0.35">
      <c r="A184" s="439"/>
      <c r="B184" s="1006">
        <v>10089</v>
      </c>
      <c r="C184" s="1006"/>
      <c r="D184" s="440"/>
      <c r="E184" s="1838" t="s">
        <v>2586</v>
      </c>
      <c r="F184" s="1834" t="s">
        <v>1490</v>
      </c>
      <c r="G184" s="1834">
        <v>5</v>
      </c>
      <c r="H184" s="2349">
        <v>6</v>
      </c>
      <c r="I184" s="499"/>
      <c r="J184" s="298"/>
      <c r="K184" s="298"/>
      <c r="L184" s="298"/>
      <c r="M184" s="298"/>
      <c r="N184" s="487"/>
      <c r="O184" s="300"/>
      <c r="P184" s="1835"/>
      <c r="Q184" s="1836"/>
      <c r="R184" s="1837">
        <v>0.8</v>
      </c>
      <c r="S184" s="45"/>
      <c r="T184" s="233"/>
      <c r="U184" s="233"/>
      <c r="V184" s="233"/>
      <c r="W184" s="45"/>
      <c r="X184" s="233"/>
      <c r="Y184" s="45"/>
      <c r="Z184" s="309"/>
      <c r="AA184" s="16"/>
    </row>
    <row r="185" spans="1:29" s="20" customFormat="1" ht="75.5" x14ac:dyDescent="0.35">
      <c r="A185" s="2586">
        <v>69</v>
      </c>
      <c r="B185" s="1003">
        <v>10089</v>
      </c>
      <c r="C185" s="1003" t="s">
        <v>1655</v>
      </c>
      <c r="D185" s="2460" t="s">
        <v>3906</v>
      </c>
      <c r="E185" s="2069" t="s">
        <v>8185</v>
      </c>
      <c r="F185" s="1834" t="s">
        <v>664</v>
      </c>
      <c r="G185" s="1834">
        <v>5</v>
      </c>
      <c r="H185" s="2349">
        <v>6</v>
      </c>
      <c r="I185" s="297">
        <f t="shared" ref="I185:I196" si="14">J185+K185+L185</f>
        <v>0.9</v>
      </c>
      <c r="J185" s="297">
        <f t="shared" ref="J185:J196" si="15">SUM(M185:R185)</f>
        <v>0.9</v>
      </c>
      <c r="K185" s="298"/>
      <c r="L185" s="298"/>
      <c r="M185" s="298"/>
      <c r="N185" s="487"/>
      <c r="O185" s="621"/>
      <c r="P185" s="970"/>
      <c r="Q185" s="933"/>
      <c r="R185" s="1498">
        <v>0.9</v>
      </c>
      <c r="S185" s="45"/>
      <c r="T185" s="233"/>
      <c r="U185" s="233"/>
      <c r="V185" s="233"/>
      <c r="W185" s="45"/>
      <c r="X185" s="233"/>
      <c r="Y185" s="45"/>
      <c r="Z185" s="309"/>
      <c r="AB185" s="3">
        <v>1</v>
      </c>
    </row>
    <row r="186" spans="1:29" s="16" customFormat="1" ht="30" x14ac:dyDescent="0.35">
      <c r="A186" s="433">
        <v>70</v>
      </c>
      <c r="B186" s="1007">
        <v>10090</v>
      </c>
      <c r="C186" s="1007"/>
      <c r="D186" s="434" t="s">
        <v>629</v>
      </c>
      <c r="E186" s="407" t="s">
        <v>2773</v>
      </c>
      <c r="F186" s="1834">
        <v>4</v>
      </c>
      <c r="G186" s="1834">
        <v>4</v>
      </c>
      <c r="H186" s="2349">
        <v>6</v>
      </c>
      <c r="I186" s="297">
        <f t="shared" si="14"/>
        <v>7.6</v>
      </c>
      <c r="J186" s="297">
        <f t="shared" si="15"/>
        <v>7.6</v>
      </c>
      <c r="K186" s="297"/>
      <c r="L186" s="297"/>
      <c r="M186" s="297"/>
      <c r="N186" s="486">
        <v>7.6</v>
      </c>
      <c r="O186" s="619"/>
      <c r="P186" s="969"/>
      <c r="Q186" s="932"/>
      <c r="R186" s="1615"/>
      <c r="S186" s="45"/>
      <c r="T186" s="233"/>
      <c r="U186" s="233"/>
      <c r="V186" s="233"/>
      <c r="W186" s="2445">
        <v>17</v>
      </c>
      <c r="X186" s="2446">
        <v>227.5</v>
      </c>
      <c r="Y186" s="45">
        <v>8</v>
      </c>
      <c r="Z186" s="309">
        <v>88</v>
      </c>
      <c r="AB186" s="3">
        <v>1</v>
      </c>
    </row>
    <row r="187" spans="1:29" ht="30.5" x14ac:dyDescent="0.35">
      <c r="A187" s="2586">
        <v>71</v>
      </c>
      <c r="B187" s="1006">
        <v>10090</v>
      </c>
      <c r="C187" s="1004" t="s">
        <v>1656</v>
      </c>
      <c r="D187" s="2460" t="s">
        <v>3907</v>
      </c>
      <c r="E187" s="407" t="s">
        <v>8186</v>
      </c>
      <c r="F187" s="1834" t="s">
        <v>1490</v>
      </c>
      <c r="G187" s="1834">
        <v>5</v>
      </c>
      <c r="H187" s="2349">
        <v>6</v>
      </c>
      <c r="I187" s="297">
        <f t="shared" si="14"/>
        <v>0.7</v>
      </c>
      <c r="J187" s="297">
        <f t="shared" si="15"/>
        <v>0.7</v>
      </c>
      <c r="K187" s="297"/>
      <c r="L187" s="297"/>
      <c r="M187" s="297"/>
      <c r="N187" s="486"/>
      <c r="O187" s="619"/>
      <c r="P187" s="969"/>
      <c r="Q187" s="932"/>
      <c r="R187" s="1615">
        <v>0.7</v>
      </c>
      <c r="S187" s="45"/>
      <c r="T187" s="233"/>
      <c r="U187" s="233"/>
      <c r="V187" s="233"/>
      <c r="W187" s="45"/>
      <c r="X187" s="233"/>
      <c r="Y187" s="45"/>
      <c r="Z187" s="309"/>
      <c r="AA187" s="16"/>
      <c r="AB187" s="3">
        <v>1</v>
      </c>
    </row>
    <row r="188" spans="1:29" s="16" customFormat="1" ht="30.5" x14ac:dyDescent="0.35">
      <c r="A188" s="433">
        <v>72</v>
      </c>
      <c r="B188" s="1005">
        <v>10090</v>
      </c>
      <c r="C188" s="1003" t="s">
        <v>1656</v>
      </c>
      <c r="D188" s="2460" t="s">
        <v>3908</v>
      </c>
      <c r="E188" s="511" t="s">
        <v>8187</v>
      </c>
      <c r="F188" s="2349" t="s">
        <v>827</v>
      </c>
      <c r="G188" s="2349">
        <v>5</v>
      </c>
      <c r="H188" s="2349">
        <v>6</v>
      </c>
      <c r="I188" s="297">
        <f t="shared" si="14"/>
        <v>0.87</v>
      </c>
      <c r="J188" s="297">
        <f t="shared" si="15"/>
        <v>0.87</v>
      </c>
      <c r="K188" s="499"/>
      <c r="L188" s="499"/>
      <c r="M188" s="499"/>
      <c r="N188" s="2350"/>
      <c r="O188" s="1016"/>
      <c r="P188" s="968"/>
      <c r="Q188" s="1015">
        <v>0.87</v>
      </c>
      <c r="R188" s="2361"/>
      <c r="S188" s="45"/>
      <c r="T188" s="233"/>
      <c r="U188" s="233"/>
      <c r="V188" s="233"/>
      <c r="W188" s="45">
        <v>2</v>
      </c>
      <c r="X188" s="1619">
        <v>20</v>
      </c>
      <c r="Y188" s="45"/>
      <c r="Z188" s="309"/>
      <c r="AB188" s="3">
        <v>1</v>
      </c>
      <c r="AC188" s="3" t="s">
        <v>2570</v>
      </c>
    </row>
    <row r="189" spans="1:29" s="20" customFormat="1" ht="30" x14ac:dyDescent="0.35">
      <c r="A189" s="2586">
        <v>73</v>
      </c>
      <c r="B189" s="1007">
        <v>10091</v>
      </c>
      <c r="C189" s="1007"/>
      <c r="D189" s="434" t="s">
        <v>2074</v>
      </c>
      <c r="E189" s="407" t="s">
        <v>2079</v>
      </c>
      <c r="F189" s="1834"/>
      <c r="G189" s="1834" t="s">
        <v>191</v>
      </c>
      <c r="H189" s="2349" t="s">
        <v>191</v>
      </c>
      <c r="I189" s="297">
        <f t="shared" si="14"/>
        <v>8.4</v>
      </c>
      <c r="J189" s="297">
        <f t="shared" si="15"/>
        <v>8.24</v>
      </c>
      <c r="K189" s="297"/>
      <c r="L189" s="486">
        <f>SUM(L190:L193)</f>
        <v>0.16</v>
      </c>
      <c r="M189" s="297"/>
      <c r="N189" s="486">
        <f>SUM(N190:N193)</f>
        <v>8.24</v>
      </c>
      <c r="O189" s="619"/>
      <c r="P189" s="969"/>
      <c r="Q189" s="932"/>
      <c r="R189" s="1615"/>
      <c r="S189" s="45"/>
      <c r="T189" s="233"/>
      <c r="U189" s="233"/>
      <c r="V189" s="233"/>
      <c r="W189" s="2445">
        <v>14</v>
      </c>
      <c r="X189" s="2446">
        <v>180.6</v>
      </c>
      <c r="Y189" s="57">
        <v>5</v>
      </c>
      <c r="Z189" s="309">
        <v>60</v>
      </c>
      <c r="AA189" s="16"/>
      <c r="AB189" s="3">
        <v>1</v>
      </c>
    </row>
    <row r="190" spans="1:29" s="20" customFormat="1" ht="46.5" x14ac:dyDescent="0.35">
      <c r="A190" s="2586"/>
      <c r="B190" s="1007"/>
      <c r="C190" s="1007"/>
      <c r="D190" s="434"/>
      <c r="E190" s="431" t="s">
        <v>10918</v>
      </c>
      <c r="F190" s="1834">
        <v>4</v>
      </c>
      <c r="G190" s="1834">
        <v>4</v>
      </c>
      <c r="H190" s="2349" t="s">
        <v>191</v>
      </c>
      <c r="I190" s="484"/>
      <c r="J190" s="486"/>
      <c r="K190" s="486"/>
      <c r="L190" s="487">
        <v>0.16</v>
      </c>
      <c r="M190" s="486"/>
      <c r="N190" s="486"/>
      <c r="O190" s="619"/>
      <c r="P190" s="969"/>
      <c r="Q190" s="932"/>
      <c r="R190" s="1615"/>
      <c r="S190" s="45"/>
      <c r="T190" s="233"/>
      <c r="U190" s="233"/>
      <c r="V190" s="233"/>
      <c r="W190" s="45"/>
      <c r="X190" s="233"/>
      <c r="Y190" s="57"/>
      <c r="Z190" s="309"/>
      <c r="AA190" s="16"/>
      <c r="AB190" s="3"/>
    </row>
    <row r="191" spans="1:29" s="20" customFormat="1" x14ac:dyDescent="0.35">
      <c r="A191" s="439"/>
      <c r="B191" s="1007">
        <v>10091</v>
      </c>
      <c r="C191" s="1007"/>
      <c r="D191" s="434"/>
      <c r="E191" s="431" t="s">
        <v>11198</v>
      </c>
      <c r="F191" s="1834">
        <v>4</v>
      </c>
      <c r="G191" s="1834">
        <v>4</v>
      </c>
      <c r="H191" s="2349">
        <v>6</v>
      </c>
      <c r="I191" s="2350"/>
      <c r="J191" s="487"/>
      <c r="K191" s="487"/>
      <c r="L191" s="487"/>
      <c r="M191" s="487"/>
      <c r="N191" s="487">
        <f>5.149-0.16</f>
        <v>4.9889999999999999</v>
      </c>
      <c r="O191" s="300"/>
      <c r="P191" s="1835"/>
      <c r="Q191" s="1836"/>
      <c r="R191" s="1837"/>
      <c r="S191" s="45"/>
      <c r="T191" s="233"/>
      <c r="U191" s="233"/>
      <c r="V191" s="233"/>
      <c r="W191" s="45"/>
      <c r="X191" s="233"/>
      <c r="Y191" s="57"/>
      <c r="Z191" s="309"/>
      <c r="AA191" s="16"/>
      <c r="AB191" s="3"/>
    </row>
    <row r="192" spans="1:29" s="20" customFormat="1" x14ac:dyDescent="0.35">
      <c r="A192" s="439"/>
      <c r="B192" s="1007">
        <v>10091</v>
      </c>
      <c r="C192" s="1007"/>
      <c r="D192" s="434"/>
      <c r="E192" s="430" t="s">
        <v>3374</v>
      </c>
      <c r="F192" s="1834">
        <v>4</v>
      </c>
      <c r="G192" s="1834">
        <v>4</v>
      </c>
      <c r="H192" s="2349">
        <v>10</v>
      </c>
      <c r="I192" s="499"/>
      <c r="J192" s="298"/>
      <c r="K192" s="298"/>
      <c r="L192" s="298"/>
      <c r="M192" s="298"/>
      <c r="N192" s="487">
        <f>6.2-5.149</f>
        <v>1.0510000000000002</v>
      </c>
      <c r="O192" s="300"/>
      <c r="P192" s="1835"/>
      <c r="Q192" s="1836"/>
      <c r="R192" s="1837"/>
      <c r="S192" s="45"/>
      <c r="T192" s="233"/>
      <c r="U192" s="233"/>
      <c r="V192" s="233"/>
      <c r="W192" s="45"/>
      <c r="X192" s="233"/>
      <c r="Y192" s="57"/>
      <c r="Z192" s="309"/>
      <c r="AA192" s="16"/>
      <c r="AB192" s="3"/>
    </row>
    <row r="193" spans="1:28" s="20" customFormat="1" x14ac:dyDescent="0.35">
      <c r="A193" s="439"/>
      <c r="B193" s="1007">
        <v>10091</v>
      </c>
      <c r="C193" s="1007"/>
      <c r="D193" s="434"/>
      <c r="E193" s="430" t="s">
        <v>3375</v>
      </c>
      <c r="F193" s="1834">
        <v>4</v>
      </c>
      <c r="G193" s="1834">
        <v>4</v>
      </c>
      <c r="H193" s="2349">
        <v>6</v>
      </c>
      <c r="I193" s="499"/>
      <c r="J193" s="298"/>
      <c r="K193" s="298"/>
      <c r="L193" s="298"/>
      <c r="M193" s="298"/>
      <c r="N193" s="487">
        <f>8.4-6.2</f>
        <v>2.2000000000000002</v>
      </c>
      <c r="O193" s="300"/>
      <c r="P193" s="1835"/>
      <c r="Q193" s="1836"/>
      <c r="R193" s="1837"/>
      <c r="S193" s="45"/>
      <c r="T193" s="233"/>
      <c r="U193" s="233"/>
      <c r="V193" s="233"/>
      <c r="W193" s="45"/>
      <c r="X193" s="233"/>
      <c r="Y193" s="57"/>
      <c r="Z193" s="309"/>
      <c r="AA193" s="16"/>
      <c r="AB193" s="3"/>
    </row>
    <row r="194" spans="1:28" ht="30.5" x14ac:dyDescent="0.35">
      <c r="A194" s="2586">
        <v>74</v>
      </c>
      <c r="B194" s="1005">
        <v>10091</v>
      </c>
      <c r="C194" s="1005"/>
      <c r="D194" s="2460" t="s">
        <v>3909</v>
      </c>
      <c r="E194" s="407" t="s">
        <v>7466</v>
      </c>
      <c r="F194" s="1834">
        <v>4</v>
      </c>
      <c r="G194" s="1834">
        <v>5</v>
      </c>
      <c r="H194" s="2349">
        <v>6</v>
      </c>
      <c r="I194" s="483">
        <f t="shared" si="14"/>
        <v>1.72</v>
      </c>
      <c r="J194" s="297">
        <f t="shared" si="15"/>
        <v>1.72</v>
      </c>
      <c r="K194" s="297"/>
      <c r="L194" s="297"/>
      <c r="M194" s="297"/>
      <c r="N194" s="486">
        <v>1.72</v>
      </c>
      <c r="O194" s="619"/>
      <c r="P194" s="969"/>
      <c r="Q194" s="932"/>
      <c r="R194" s="1615"/>
      <c r="S194" s="45"/>
      <c r="T194" s="233"/>
      <c r="U194" s="233"/>
      <c r="V194" s="233"/>
      <c r="W194" s="45">
        <v>7</v>
      </c>
      <c r="X194" s="233">
        <v>81.900000000000006</v>
      </c>
      <c r="Y194" s="57">
        <v>4</v>
      </c>
      <c r="Z194" s="309">
        <v>40</v>
      </c>
      <c r="AA194" s="3" t="s">
        <v>601</v>
      </c>
      <c r="AB194" s="3">
        <v>1</v>
      </c>
    </row>
    <row r="195" spans="1:28" s="16" customFormat="1" ht="30.5" x14ac:dyDescent="0.35">
      <c r="A195" s="439">
        <v>75</v>
      </c>
      <c r="B195" s="1006">
        <v>10091</v>
      </c>
      <c r="C195" s="1004" t="s">
        <v>1656</v>
      </c>
      <c r="D195" s="2460" t="s">
        <v>3910</v>
      </c>
      <c r="E195" s="2069" t="s">
        <v>9227</v>
      </c>
      <c r="F195" s="1834" t="s">
        <v>827</v>
      </c>
      <c r="G195" s="1834">
        <v>5</v>
      </c>
      <c r="H195" s="2349">
        <v>6</v>
      </c>
      <c r="I195" s="297">
        <f t="shared" si="14"/>
        <v>0.23</v>
      </c>
      <c r="J195" s="297">
        <f t="shared" si="15"/>
        <v>0.23</v>
      </c>
      <c r="K195" s="297"/>
      <c r="L195" s="297"/>
      <c r="M195" s="297"/>
      <c r="N195" s="486">
        <v>0.23</v>
      </c>
      <c r="O195" s="619"/>
      <c r="P195" s="969"/>
      <c r="Q195" s="932"/>
      <c r="R195" s="1615"/>
      <c r="S195" s="45"/>
      <c r="T195" s="233"/>
      <c r="U195" s="233"/>
      <c r="V195" s="233"/>
      <c r="W195" s="45"/>
      <c r="X195" s="233"/>
      <c r="Y195" s="45"/>
      <c r="Z195" s="309"/>
      <c r="AB195" s="3">
        <v>1</v>
      </c>
    </row>
    <row r="196" spans="1:28" ht="30" x14ac:dyDescent="0.35">
      <c r="A196" s="2586">
        <v>76</v>
      </c>
      <c r="B196" s="1007">
        <v>10092</v>
      </c>
      <c r="C196" s="1007"/>
      <c r="D196" s="434" t="s">
        <v>2075</v>
      </c>
      <c r="E196" s="407" t="s">
        <v>9654</v>
      </c>
      <c r="F196" s="1834"/>
      <c r="G196" s="1834" t="s">
        <v>191</v>
      </c>
      <c r="H196" s="2349" t="s">
        <v>191</v>
      </c>
      <c r="I196" s="483">
        <f t="shared" si="14"/>
        <v>6.9969999999999999</v>
      </c>
      <c r="J196" s="297">
        <f t="shared" si="15"/>
        <v>6.9969999999999999</v>
      </c>
      <c r="K196" s="297"/>
      <c r="L196" s="297"/>
      <c r="M196" s="297"/>
      <c r="N196" s="486">
        <f>SUM(N197:N198)</f>
        <v>2.9</v>
      </c>
      <c r="O196" s="619"/>
      <c r="P196" s="969"/>
      <c r="Q196" s="932">
        <f>SUM(Q197:Q198)</f>
        <v>4.0969999999999995</v>
      </c>
      <c r="R196" s="1615"/>
      <c r="S196" s="45">
        <v>1</v>
      </c>
      <c r="T196" s="233">
        <v>6</v>
      </c>
      <c r="U196" s="233"/>
      <c r="V196" s="233"/>
      <c r="W196" s="45">
        <v>7</v>
      </c>
      <c r="X196" s="233">
        <v>103</v>
      </c>
      <c r="Y196" s="45"/>
      <c r="Z196" s="309"/>
      <c r="AB196" s="3">
        <v>1</v>
      </c>
    </row>
    <row r="197" spans="1:28" s="20" customFormat="1" x14ac:dyDescent="0.35">
      <c r="A197" s="433"/>
      <c r="B197" s="1007">
        <v>10092</v>
      </c>
      <c r="C197" s="1007"/>
      <c r="D197" s="435"/>
      <c r="E197" s="430" t="s">
        <v>562</v>
      </c>
      <c r="F197" s="1834">
        <v>4</v>
      </c>
      <c r="G197" s="1834">
        <v>4</v>
      </c>
      <c r="H197" s="2349">
        <v>6</v>
      </c>
      <c r="I197" s="298"/>
      <c r="J197" s="298"/>
      <c r="K197" s="298"/>
      <c r="L197" s="298"/>
      <c r="M197" s="298"/>
      <c r="N197" s="487">
        <v>2.9</v>
      </c>
      <c r="O197" s="621"/>
      <c r="P197" s="970"/>
      <c r="Q197" s="933"/>
      <c r="R197" s="1616"/>
      <c r="S197" s="45"/>
      <c r="T197" s="233"/>
      <c r="U197" s="233"/>
      <c r="V197" s="233"/>
      <c r="W197" s="45"/>
      <c r="X197" s="233"/>
      <c r="Y197" s="45"/>
      <c r="Z197" s="309"/>
      <c r="AA197" s="19"/>
      <c r="AB197" s="3"/>
    </row>
    <row r="198" spans="1:28" s="16" customFormat="1" x14ac:dyDescent="0.35">
      <c r="A198" s="2044"/>
      <c r="B198" s="1007">
        <v>10092</v>
      </c>
      <c r="C198" s="1007"/>
      <c r="D198" s="436"/>
      <c r="E198" s="840" t="s">
        <v>233</v>
      </c>
      <c r="F198" s="1834">
        <v>4</v>
      </c>
      <c r="G198" s="1834">
        <v>4</v>
      </c>
      <c r="H198" s="2349">
        <v>6</v>
      </c>
      <c r="I198" s="300"/>
      <c r="J198" s="300"/>
      <c r="K198" s="300"/>
      <c r="L198" s="300"/>
      <c r="M198" s="300"/>
      <c r="N198" s="487"/>
      <c r="O198" s="621"/>
      <c r="P198" s="970"/>
      <c r="Q198" s="933">
        <f>6.997-2.9</f>
        <v>4.0969999999999995</v>
      </c>
      <c r="R198" s="1616"/>
      <c r="S198" s="1641"/>
      <c r="T198" s="1642"/>
      <c r="U198" s="1642"/>
      <c r="V198" s="1642"/>
      <c r="W198" s="1641"/>
      <c r="X198" s="1642"/>
      <c r="Y198" s="1641"/>
      <c r="Z198" s="1643"/>
      <c r="AB198" s="3"/>
    </row>
    <row r="199" spans="1:28" s="21" customFormat="1" ht="30.5" x14ac:dyDescent="0.35">
      <c r="A199" s="433">
        <v>77</v>
      </c>
      <c r="B199" s="1005">
        <v>10092</v>
      </c>
      <c r="C199" s="1005"/>
      <c r="D199" s="2460" t="s">
        <v>3911</v>
      </c>
      <c r="E199" s="407" t="s">
        <v>9655</v>
      </c>
      <c r="F199" s="1834" t="s">
        <v>827</v>
      </c>
      <c r="G199" s="1834">
        <v>5</v>
      </c>
      <c r="H199" s="2349">
        <v>6</v>
      </c>
      <c r="I199" s="483">
        <f>J199+K199+L199</f>
        <v>2.72</v>
      </c>
      <c r="J199" s="297">
        <f>SUM(M199:R199)</f>
        <v>2.72</v>
      </c>
      <c r="K199" s="297"/>
      <c r="L199" s="297"/>
      <c r="M199" s="297"/>
      <c r="N199" s="486"/>
      <c r="O199" s="619"/>
      <c r="P199" s="969"/>
      <c r="Q199" s="932">
        <v>2.72</v>
      </c>
      <c r="R199" s="2766"/>
      <c r="S199" s="45"/>
      <c r="T199" s="233"/>
      <c r="U199" s="233"/>
      <c r="V199" s="233"/>
      <c r="W199" s="45">
        <v>1</v>
      </c>
      <c r="X199" s="233">
        <v>13.5</v>
      </c>
      <c r="Y199" s="45"/>
      <c r="Z199" s="309"/>
      <c r="AA199" s="3"/>
      <c r="AB199" s="3">
        <v>1</v>
      </c>
    </row>
    <row r="200" spans="1:28" s="20" customFormat="1" ht="30.5" x14ac:dyDescent="0.35">
      <c r="A200" s="433">
        <v>78</v>
      </c>
      <c r="B200" s="1005">
        <v>10092</v>
      </c>
      <c r="C200" s="1005"/>
      <c r="D200" s="2460" t="s">
        <v>3912</v>
      </c>
      <c r="E200" s="407" t="s">
        <v>9656</v>
      </c>
      <c r="F200" s="1834" t="s">
        <v>827</v>
      </c>
      <c r="G200" s="1834">
        <v>5</v>
      </c>
      <c r="H200" s="2349">
        <v>6</v>
      </c>
      <c r="I200" s="297">
        <f>J200+K200+L200</f>
        <v>0.88</v>
      </c>
      <c r="J200" s="297">
        <f>SUM(M200:R200)</f>
        <v>0.88</v>
      </c>
      <c r="K200" s="297"/>
      <c r="L200" s="297"/>
      <c r="M200" s="297"/>
      <c r="N200" s="486"/>
      <c r="O200" s="619"/>
      <c r="P200" s="969"/>
      <c r="Q200" s="932"/>
      <c r="R200" s="1615">
        <v>0.88</v>
      </c>
      <c r="S200" s="45"/>
      <c r="T200" s="233"/>
      <c r="U200" s="233"/>
      <c r="V200" s="233"/>
      <c r="W200" s="45">
        <v>1</v>
      </c>
      <c r="X200" s="233">
        <v>10</v>
      </c>
      <c r="Y200" s="45"/>
      <c r="Z200" s="309"/>
      <c r="AB200" s="3">
        <v>1</v>
      </c>
    </row>
    <row r="201" spans="1:28" s="16" customFormat="1" ht="30" x14ac:dyDescent="0.35">
      <c r="A201" s="433">
        <v>79</v>
      </c>
      <c r="B201" s="1007">
        <v>10093</v>
      </c>
      <c r="C201" s="1007"/>
      <c r="D201" s="434" t="s">
        <v>2121</v>
      </c>
      <c r="E201" s="407" t="s">
        <v>7040</v>
      </c>
      <c r="F201" s="1834"/>
      <c r="G201" s="1834" t="s">
        <v>191</v>
      </c>
      <c r="H201" s="2349" t="s">
        <v>191</v>
      </c>
      <c r="I201" s="297">
        <f>J201+K201+L201</f>
        <v>6.5</v>
      </c>
      <c r="J201" s="297">
        <f>SUM(M201:R201)</f>
        <v>6.5</v>
      </c>
      <c r="K201" s="297"/>
      <c r="L201" s="297"/>
      <c r="M201" s="297"/>
      <c r="N201" s="486">
        <f>SUM(N202:N204)</f>
        <v>5.54</v>
      </c>
      <c r="O201" s="619"/>
      <c r="P201" s="969"/>
      <c r="Q201" s="932">
        <f>SUM(Q202:Q204)</f>
        <v>0.96</v>
      </c>
      <c r="R201" s="1615"/>
      <c r="S201" s="45"/>
      <c r="T201" s="233"/>
      <c r="U201" s="233"/>
      <c r="V201" s="233"/>
      <c r="W201" s="45">
        <v>8</v>
      </c>
      <c r="X201" s="233">
        <v>99.9</v>
      </c>
      <c r="Y201" s="45">
        <v>3</v>
      </c>
      <c r="Z201" s="309">
        <v>34.4</v>
      </c>
      <c r="AB201" s="3">
        <v>1</v>
      </c>
    </row>
    <row r="202" spans="1:28" s="16" customFormat="1" x14ac:dyDescent="0.35">
      <c r="A202" s="433"/>
      <c r="B202" s="1007"/>
      <c r="C202" s="1007"/>
      <c r="D202" s="434"/>
      <c r="E202" s="431" t="s">
        <v>1785</v>
      </c>
      <c r="F202" s="1834">
        <v>4</v>
      </c>
      <c r="G202" s="1834">
        <v>4</v>
      </c>
      <c r="H202" s="2349">
        <v>6</v>
      </c>
      <c r="I202" s="298"/>
      <c r="J202" s="298"/>
      <c r="K202" s="298"/>
      <c r="L202" s="298"/>
      <c r="M202" s="298"/>
      <c r="N202" s="487">
        <v>5</v>
      </c>
      <c r="O202" s="300"/>
      <c r="P202" s="1835"/>
      <c r="Q202" s="1836"/>
      <c r="R202" s="1615"/>
      <c r="S202" s="45"/>
      <c r="T202" s="233"/>
      <c r="U202" s="233"/>
      <c r="V202" s="233"/>
      <c r="W202" s="45"/>
      <c r="X202" s="233"/>
      <c r="Y202" s="45"/>
      <c r="Z202" s="309"/>
      <c r="AB202" s="3"/>
    </row>
    <row r="203" spans="1:28" s="16" customFormat="1" x14ac:dyDescent="0.35">
      <c r="A203" s="433"/>
      <c r="B203" s="1007"/>
      <c r="C203" s="1007"/>
      <c r="D203" s="434"/>
      <c r="E203" s="840" t="s">
        <v>10759</v>
      </c>
      <c r="F203" s="1834">
        <v>4</v>
      </c>
      <c r="G203" s="1834">
        <v>4</v>
      </c>
      <c r="H203" s="2349">
        <v>6</v>
      </c>
      <c r="I203" s="298"/>
      <c r="J203" s="298"/>
      <c r="K203" s="298"/>
      <c r="L203" s="298"/>
      <c r="M203" s="298"/>
      <c r="N203" s="487"/>
      <c r="O203" s="300"/>
      <c r="P203" s="1835"/>
      <c r="Q203" s="1836">
        <f>5.96-5</f>
        <v>0.96</v>
      </c>
      <c r="R203" s="1615"/>
      <c r="S203" s="45"/>
      <c r="T203" s="233"/>
      <c r="U203" s="233"/>
      <c r="V203" s="233"/>
      <c r="W203" s="45"/>
      <c r="X203" s="233"/>
      <c r="Y203" s="45"/>
      <c r="Z203" s="309"/>
      <c r="AB203" s="3"/>
    </row>
    <row r="204" spans="1:28" s="16" customFormat="1" x14ac:dyDescent="0.35">
      <c r="A204" s="433"/>
      <c r="B204" s="1007"/>
      <c r="C204" s="1007"/>
      <c r="D204" s="434"/>
      <c r="E204" s="431" t="s">
        <v>11258</v>
      </c>
      <c r="F204" s="1834">
        <v>4</v>
      </c>
      <c r="G204" s="1834">
        <v>4</v>
      </c>
      <c r="H204" s="2349">
        <v>6</v>
      </c>
      <c r="I204" s="298"/>
      <c r="J204" s="298"/>
      <c r="K204" s="298"/>
      <c r="L204" s="298"/>
      <c r="M204" s="298"/>
      <c r="N204" s="487">
        <f>6.5-5.96</f>
        <v>0.54</v>
      </c>
      <c r="O204" s="300"/>
      <c r="P204" s="1835"/>
      <c r="Q204" s="1836"/>
      <c r="R204" s="1615"/>
      <c r="S204" s="45"/>
      <c r="T204" s="233"/>
      <c r="U204" s="233"/>
      <c r="V204" s="233"/>
      <c r="W204" s="45"/>
      <c r="X204" s="233"/>
      <c r="Y204" s="45"/>
      <c r="Z204" s="309"/>
      <c r="AB204" s="3"/>
    </row>
    <row r="205" spans="1:28" s="16" customFormat="1" ht="30.5" x14ac:dyDescent="0.35">
      <c r="A205" s="433">
        <v>80</v>
      </c>
      <c r="B205" s="1005">
        <v>10093</v>
      </c>
      <c r="C205" s="1005"/>
      <c r="D205" s="2460" t="s">
        <v>3913</v>
      </c>
      <c r="E205" s="407" t="s">
        <v>7467</v>
      </c>
      <c r="F205" s="1834"/>
      <c r="G205" s="1834" t="s">
        <v>191</v>
      </c>
      <c r="H205" s="2349" t="s">
        <v>191</v>
      </c>
      <c r="I205" s="297">
        <f>J205+K205+L205</f>
        <v>2.2650000000000001</v>
      </c>
      <c r="J205" s="297">
        <f>SUM(M205:R205)</f>
        <v>2.2650000000000001</v>
      </c>
      <c r="K205" s="297"/>
      <c r="L205" s="297"/>
      <c r="M205" s="297"/>
      <c r="N205" s="486"/>
      <c r="O205" s="619"/>
      <c r="P205" s="969"/>
      <c r="Q205" s="932">
        <f>SUM(Q206:Q207)</f>
        <v>1.7</v>
      </c>
      <c r="R205" s="1615">
        <f>SUM(R206:R207)</f>
        <v>0.56500000000000017</v>
      </c>
      <c r="S205" s="45"/>
      <c r="T205" s="233"/>
      <c r="U205" s="233"/>
      <c r="V205" s="233"/>
      <c r="W205" s="45">
        <v>3</v>
      </c>
      <c r="X205" s="233">
        <v>39.799999999999997</v>
      </c>
      <c r="Y205" s="57"/>
      <c r="Z205" s="309"/>
      <c r="AB205" s="3">
        <v>1</v>
      </c>
    </row>
    <row r="206" spans="1:28" s="16" customFormat="1" x14ac:dyDescent="0.35">
      <c r="A206" s="433"/>
      <c r="B206" s="1005">
        <v>10093</v>
      </c>
      <c r="C206" s="1005"/>
      <c r="D206" s="434"/>
      <c r="E206" s="840" t="s">
        <v>1738</v>
      </c>
      <c r="F206" s="1834">
        <v>4</v>
      </c>
      <c r="G206" s="1834">
        <v>5</v>
      </c>
      <c r="H206" s="1834">
        <v>6</v>
      </c>
      <c r="I206" s="499"/>
      <c r="J206" s="298"/>
      <c r="K206" s="298"/>
      <c r="L206" s="298"/>
      <c r="M206" s="298"/>
      <c r="N206" s="487"/>
      <c r="O206" s="621"/>
      <c r="P206" s="970"/>
      <c r="Q206" s="933">
        <v>1.7</v>
      </c>
      <c r="R206" s="1616"/>
      <c r="S206" s="45"/>
      <c r="T206" s="233"/>
      <c r="U206" s="233"/>
      <c r="V206" s="233"/>
      <c r="W206" s="45"/>
      <c r="X206" s="233"/>
      <c r="Y206" s="57"/>
      <c r="Z206" s="309"/>
    </row>
    <row r="207" spans="1:28" s="16" customFormat="1" x14ac:dyDescent="0.35">
      <c r="A207" s="433"/>
      <c r="B207" s="1005">
        <v>10093</v>
      </c>
      <c r="C207" s="1005"/>
      <c r="D207" s="434"/>
      <c r="E207" s="841" t="s">
        <v>234</v>
      </c>
      <c r="F207" s="1834" t="s">
        <v>827</v>
      </c>
      <c r="G207" s="1834">
        <v>5</v>
      </c>
      <c r="H207" s="2349">
        <v>6</v>
      </c>
      <c r="I207" s="499"/>
      <c r="J207" s="298"/>
      <c r="K207" s="298"/>
      <c r="L207" s="298"/>
      <c r="M207" s="298"/>
      <c r="N207" s="487"/>
      <c r="O207" s="621"/>
      <c r="P207" s="970"/>
      <c r="Q207" s="933"/>
      <c r="R207" s="1616">
        <f>2.265-1.7</f>
        <v>0.56500000000000017</v>
      </c>
      <c r="S207" s="45"/>
      <c r="T207" s="233"/>
      <c r="U207" s="233"/>
      <c r="V207" s="233"/>
      <c r="W207" s="45"/>
      <c r="X207" s="233"/>
      <c r="Y207" s="57"/>
      <c r="Z207" s="309"/>
      <c r="AA207" s="3"/>
    </row>
    <row r="208" spans="1:28" s="16" customFormat="1" ht="45.5" x14ac:dyDescent="0.35">
      <c r="A208" s="439">
        <v>81</v>
      </c>
      <c r="B208" s="1006">
        <v>10093</v>
      </c>
      <c r="C208" s="1004" t="s">
        <v>1656</v>
      </c>
      <c r="D208" s="2460" t="s">
        <v>3914</v>
      </c>
      <c r="E208" s="407" t="s">
        <v>8188</v>
      </c>
      <c r="F208" s="1834" t="s">
        <v>664</v>
      </c>
      <c r="G208" s="1834">
        <v>5</v>
      </c>
      <c r="H208" s="2349">
        <v>6</v>
      </c>
      <c r="I208" s="483">
        <f>J208+K208+L208</f>
        <v>1</v>
      </c>
      <c r="J208" s="297">
        <f>SUM(M208:R208)</f>
        <v>1</v>
      </c>
      <c r="K208" s="297"/>
      <c r="L208" s="297"/>
      <c r="M208" s="297"/>
      <c r="N208" s="486"/>
      <c r="O208" s="619"/>
      <c r="P208" s="969"/>
      <c r="Q208" s="932"/>
      <c r="R208" s="1615">
        <v>1</v>
      </c>
      <c r="S208" s="45"/>
      <c r="T208" s="233"/>
      <c r="U208" s="233"/>
      <c r="V208" s="233"/>
      <c r="W208" s="45"/>
      <c r="X208" s="233"/>
      <c r="Y208" s="45"/>
      <c r="Z208" s="309"/>
      <c r="AB208" s="3">
        <v>1</v>
      </c>
    </row>
    <row r="209" spans="1:28" s="16" customFormat="1" ht="30.5" x14ac:dyDescent="0.35">
      <c r="A209" s="433">
        <v>82</v>
      </c>
      <c r="B209" s="1005">
        <v>10093</v>
      </c>
      <c r="C209" s="1005"/>
      <c r="D209" s="2460" t="s">
        <v>3915</v>
      </c>
      <c r="E209" s="407" t="s">
        <v>9172</v>
      </c>
      <c r="F209" s="1834"/>
      <c r="G209" s="1834" t="s">
        <v>191</v>
      </c>
      <c r="H209" s="2349" t="s">
        <v>191</v>
      </c>
      <c r="I209" s="297">
        <f>J209+K209+L209</f>
        <v>2.4</v>
      </c>
      <c r="J209" s="297">
        <f>SUM(M209:R209)</f>
        <v>2.4</v>
      </c>
      <c r="K209" s="297"/>
      <c r="L209" s="297"/>
      <c r="M209" s="297"/>
      <c r="N209" s="486">
        <f>SUM(N210:N212)</f>
        <v>0.5</v>
      </c>
      <c r="O209" s="619"/>
      <c r="P209" s="969"/>
      <c r="Q209" s="932">
        <f>SUM(Q210:Q212)</f>
        <v>0.7</v>
      </c>
      <c r="R209" s="1615">
        <f>SUM(R210:R212)</f>
        <v>1.2</v>
      </c>
      <c r="S209" s="45"/>
      <c r="T209" s="233"/>
      <c r="U209" s="233"/>
      <c r="V209" s="233"/>
      <c r="W209" s="45">
        <v>6</v>
      </c>
      <c r="X209" s="233">
        <v>60.6</v>
      </c>
      <c r="Y209" s="45">
        <v>2</v>
      </c>
      <c r="Z209" s="309">
        <v>20</v>
      </c>
      <c r="AA209" s="19"/>
      <c r="AB209" s="3">
        <v>1</v>
      </c>
    </row>
    <row r="210" spans="1:28" s="16" customFormat="1" x14ac:dyDescent="0.35">
      <c r="A210" s="433"/>
      <c r="B210" s="1005">
        <v>10093</v>
      </c>
      <c r="C210" s="1005"/>
      <c r="D210" s="434"/>
      <c r="E210" s="430" t="s">
        <v>2490</v>
      </c>
      <c r="F210" s="1834">
        <v>5</v>
      </c>
      <c r="G210" s="1834">
        <v>5</v>
      </c>
      <c r="H210" s="2349">
        <v>6</v>
      </c>
      <c r="I210" s="297"/>
      <c r="J210" s="297"/>
      <c r="K210" s="297"/>
      <c r="L210" s="297"/>
      <c r="M210" s="297"/>
      <c r="N210" s="488">
        <v>0.5</v>
      </c>
      <c r="O210" s="621"/>
      <c r="P210" s="970"/>
      <c r="Q210" s="933"/>
      <c r="R210" s="1616"/>
      <c r="S210" s="45"/>
      <c r="T210" s="233"/>
      <c r="U210" s="233"/>
      <c r="V210" s="233"/>
      <c r="W210" s="45"/>
      <c r="X210" s="233"/>
      <c r="Y210" s="45"/>
      <c r="Z210" s="309"/>
    </row>
    <row r="211" spans="1:28" s="16" customFormat="1" x14ac:dyDescent="0.35">
      <c r="A211" s="433"/>
      <c r="B211" s="1005">
        <v>10093</v>
      </c>
      <c r="C211" s="1005"/>
      <c r="D211" s="434"/>
      <c r="E211" s="840" t="s">
        <v>1337</v>
      </c>
      <c r="F211" s="1834" t="s">
        <v>827</v>
      </c>
      <c r="G211" s="1834">
        <v>5</v>
      </c>
      <c r="H211" s="1834">
        <v>6</v>
      </c>
      <c r="I211" s="483"/>
      <c r="J211" s="297"/>
      <c r="K211" s="297"/>
      <c r="L211" s="297"/>
      <c r="M211" s="297"/>
      <c r="N211" s="488"/>
      <c r="O211" s="621"/>
      <c r="P211" s="970"/>
      <c r="Q211" s="933">
        <v>0.7</v>
      </c>
      <c r="R211" s="1616"/>
      <c r="S211" s="45"/>
      <c r="T211" s="233"/>
      <c r="U211" s="233"/>
      <c r="V211" s="233"/>
      <c r="W211" s="45"/>
      <c r="X211" s="233"/>
      <c r="Y211" s="45"/>
      <c r="Z211" s="309"/>
      <c r="AA211" s="3"/>
    </row>
    <row r="212" spans="1:28" s="16" customFormat="1" x14ac:dyDescent="0.35">
      <c r="A212" s="433"/>
      <c r="B212" s="1005">
        <v>10093</v>
      </c>
      <c r="C212" s="1005"/>
      <c r="D212" s="434"/>
      <c r="E212" s="841" t="s">
        <v>779</v>
      </c>
      <c r="F212" s="1834" t="s">
        <v>1490</v>
      </c>
      <c r="G212" s="1834">
        <v>5</v>
      </c>
      <c r="H212" s="2349">
        <v>6</v>
      </c>
      <c r="I212" s="297"/>
      <c r="J212" s="297"/>
      <c r="K212" s="297"/>
      <c r="L212" s="297"/>
      <c r="M212" s="297"/>
      <c r="N212" s="488"/>
      <c r="O212" s="621"/>
      <c r="P212" s="970"/>
      <c r="Q212" s="933"/>
      <c r="R212" s="1616">
        <v>1.2</v>
      </c>
      <c r="S212" s="45"/>
      <c r="T212" s="233"/>
      <c r="U212" s="233"/>
      <c r="V212" s="233"/>
      <c r="W212" s="45"/>
      <c r="X212" s="233"/>
      <c r="Y212" s="45"/>
      <c r="Z212" s="309"/>
      <c r="AA212" s="20"/>
      <c r="AB212" s="3"/>
    </row>
    <row r="213" spans="1:28" s="19" customFormat="1" ht="30.5" x14ac:dyDescent="0.35">
      <c r="A213" s="433">
        <v>83</v>
      </c>
      <c r="B213" s="1005">
        <v>10093</v>
      </c>
      <c r="C213" s="1005"/>
      <c r="D213" s="2460" t="s">
        <v>3916</v>
      </c>
      <c r="E213" s="407" t="s">
        <v>7468</v>
      </c>
      <c r="F213" s="1834"/>
      <c r="G213" s="1834" t="s">
        <v>191</v>
      </c>
      <c r="H213" s="2349" t="s">
        <v>191</v>
      </c>
      <c r="I213" s="483">
        <f>J213+K213+L213</f>
        <v>1.5</v>
      </c>
      <c r="J213" s="297">
        <f>SUM(M213:R213)</f>
        <v>1.5</v>
      </c>
      <c r="K213" s="297"/>
      <c r="L213" s="297"/>
      <c r="M213" s="297"/>
      <c r="N213" s="486">
        <f>SUM(N214:N215)</f>
        <v>0.08</v>
      </c>
      <c r="O213" s="619"/>
      <c r="P213" s="969"/>
      <c r="Q213" s="932"/>
      <c r="R213" s="1615">
        <f>SUM(R214:R215)</f>
        <v>1.42</v>
      </c>
      <c r="S213" s="45"/>
      <c r="T213" s="233"/>
      <c r="U213" s="233"/>
      <c r="V213" s="233"/>
      <c r="W213" s="45">
        <v>2</v>
      </c>
      <c r="X213" s="233">
        <v>25.1</v>
      </c>
      <c r="Y213" s="45"/>
      <c r="Z213" s="309"/>
      <c r="AA213" s="16"/>
      <c r="AB213" s="3">
        <v>1</v>
      </c>
    </row>
    <row r="214" spans="1:28" s="20" customFormat="1" x14ac:dyDescent="0.35">
      <c r="A214" s="433"/>
      <c r="B214" s="1005">
        <v>10093</v>
      </c>
      <c r="C214" s="1005"/>
      <c r="D214" s="434"/>
      <c r="E214" s="430" t="s">
        <v>377</v>
      </c>
      <c r="F214" s="1834" t="s">
        <v>827</v>
      </c>
      <c r="G214" s="1834">
        <v>5</v>
      </c>
      <c r="H214" s="2349">
        <v>6</v>
      </c>
      <c r="I214" s="298"/>
      <c r="J214" s="298"/>
      <c r="K214" s="298"/>
      <c r="L214" s="298"/>
      <c r="M214" s="298"/>
      <c r="N214" s="487">
        <v>0.08</v>
      </c>
      <c r="O214" s="621"/>
      <c r="P214" s="970"/>
      <c r="Q214" s="933"/>
      <c r="R214" s="1616"/>
      <c r="S214" s="45"/>
      <c r="T214" s="233"/>
      <c r="U214" s="233"/>
      <c r="V214" s="233"/>
      <c r="W214" s="45"/>
      <c r="X214" s="233"/>
      <c r="Y214" s="45"/>
      <c r="Z214" s="309"/>
      <c r="AA214" s="21"/>
    </row>
    <row r="215" spans="1:28" s="20" customFormat="1" x14ac:dyDescent="0.35">
      <c r="A215" s="433"/>
      <c r="B215" s="1005">
        <v>10093</v>
      </c>
      <c r="C215" s="1005"/>
      <c r="D215" s="434"/>
      <c r="E215" s="841" t="s">
        <v>378</v>
      </c>
      <c r="F215" s="1834" t="s">
        <v>827</v>
      </c>
      <c r="G215" s="1834">
        <v>5</v>
      </c>
      <c r="H215" s="2349">
        <v>6</v>
      </c>
      <c r="I215" s="499"/>
      <c r="J215" s="298"/>
      <c r="K215" s="298"/>
      <c r="L215" s="298"/>
      <c r="M215" s="298"/>
      <c r="N215" s="487"/>
      <c r="O215" s="621"/>
      <c r="P215" s="970"/>
      <c r="Q215" s="933"/>
      <c r="R215" s="1616">
        <v>1.42</v>
      </c>
      <c r="S215" s="45"/>
      <c r="T215" s="233"/>
      <c r="U215" s="233"/>
      <c r="V215" s="233"/>
      <c r="W215" s="45"/>
      <c r="X215" s="233"/>
      <c r="Y215" s="45"/>
      <c r="Z215" s="309"/>
    </row>
    <row r="216" spans="1:28" s="20" customFormat="1" ht="60.5" x14ac:dyDescent="0.35">
      <c r="A216" s="439">
        <v>84</v>
      </c>
      <c r="B216" s="1006">
        <v>10093</v>
      </c>
      <c r="C216" s="1004" t="s">
        <v>1656</v>
      </c>
      <c r="D216" s="2460" t="s">
        <v>3917</v>
      </c>
      <c r="E216" s="407" t="s">
        <v>8189</v>
      </c>
      <c r="F216" s="1834" t="s">
        <v>664</v>
      </c>
      <c r="G216" s="1834">
        <v>5</v>
      </c>
      <c r="H216" s="2349">
        <v>6</v>
      </c>
      <c r="I216" s="297">
        <f>J216+K216+L216</f>
        <v>0.15</v>
      </c>
      <c r="J216" s="297">
        <f>SUM(M216:R216)</f>
        <v>0.15</v>
      </c>
      <c r="K216" s="297"/>
      <c r="L216" s="297"/>
      <c r="M216" s="297"/>
      <c r="N216" s="486"/>
      <c r="O216" s="619"/>
      <c r="P216" s="969"/>
      <c r="Q216" s="932"/>
      <c r="R216" s="1615">
        <v>0.15</v>
      </c>
      <c r="S216" s="45"/>
      <c r="T216" s="233"/>
      <c r="U216" s="233"/>
      <c r="V216" s="233"/>
      <c r="W216" s="45"/>
      <c r="X216" s="233"/>
      <c r="Y216" s="45"/>
      <c r="Z216" s="309"/>
      <c r="AA216" s="16"/>
      <c r="AB216" s="3">
        <v>1</v>
      </c>
    </row>
    <row r="217" spans="1:28" s="16" customFormat="1" ht="30" x14ac:dyDescent="0.35">
      <c r="A217" s="433">
        <v>85</v>
      </c>
      <c r="B217" s="1007">
        <v>10094</v>
      </c>
      <c r="C217" s="1007"/>
      <c r="D217" s="434" t="s">
        <v>2122</v>
      </c>
      <c r="E217" s="407" t="s">
        <v>1754</v>
      </c>
      <c r="F217" s="1834">
        <v>4</v>
      </c>
      <c r="G217" s="1834">
        <v>4</v>
      </c>
      <c r="H217" s="2349">
        <v>6</v>
      </c>
      <c r="I217" s="297">
        <f>J217+K217+L217</f>
        <v>6.28</v>
      </c>
      <c r="J217" s="297">
        <f>SUM(M217:R217)</f>
        <v>6.28</v>
      </c>
      <c r="K217" s="297"/>
      <c r="L217" s="297"/>
      <c r="M217" s="297"/>
      <c r="N217" s="486">
        <v>6.28</v>
      </c>
      <c r="O217" s="619"/>
      <c r="P217" s="969"/>
      <c r="Q217" s="932"/>
      <c r="R217" s="1615"/>
      <c r="S217" s="45"/>
      <c r="T217" s="233"/>
      <c r="U217" s="233"/>
      <c r="V217" s="233"/>
      <c r="W217" s="45">
        <v>8</v>
      </c>
      <c r="X217" s="233">
        <v>110.6</v>
      </c>
      <c r="Y217" s="45">
        <v>2</v>
      </c>
      <c r="Z217" s="309">
        <v>25</v>
      </c>
      <c r="AB217" s="3">
        <v>1</v>
      </c>
    </row>
    <row r="218" spans="1:28" s="16" customFormat="1" ht="30" x14ac:dyDescent="0.35">
      <c r="A218" s="433">
        <v>86</v>
      </c>
      <c r="B218" s="1007">
        <v>10095</v>
      </c>
      <c r="C218" s="1007"/>
      <c r="D218" s="434" t="s">
        <v>3433</v>
      </c>
      <c r="E218" s="407" t="s">
        <v>1109</v>
      </c>
      <c r="F218" s="1834"/>
      <c r="G218" s="1834" t="s">
        <v>191</v>
      </c>
      <c r="H218" s="2349" t="s">
        <v>191</v>
      </c>
      <c r="I218" s="297">
        <f>J218+K218+L218</f>
        <v>3.33</v>
      </c>
      <c r="J218" s="297">
        <f>SUM(M218:R218)</f>
        <v>3.33</v>
      </c>
      <c r="K218" s="297"/>
      <c r="L218" s="297"/>
      <c r="M218" s="297"/>
      <c r="N218" s="486">
        <f>SUM(N219:N220)</f>
        <v>1.8</v>
      </c>
      <c r="O218" s="619"/>
      <c r="P218" s="969"/>
      <c r="Q218" s="932">
        <f>SUM(Q219:Q220)</f>
        <v>1.53</v>
      </c>
      <c r="R218" s="1615"/>
      <c r="S218" s="45"/>
      <c r="T218" s="233"/>
      <c r="U218" s="233"/>
      <c r="V218" s="233"/>
      <c r="W218" s="45">
        <v>8</v>
      </c>
      <c r="X218" s="233">
        <v>96.8</v>
      </c>
      <c r="Y218" s="45">
        <v>5</v>
      </c>
      <c r="Z218" s="309">
        <v>50</v>
      </c>
      <c r="AB218" s="3">
        <v>1</v>
      </c>
    </row>
    <row r="219" spans="1:28" s="16" customFormat="1" x14ac:dyDescent="0.35">
      <c r="A219" s="433"/>
      <c r="B219" s="1007"/>
      <c r="C219" s="1007"/>
      <c r="D219" s="434"/>
      <c r="E219" s="430" t="s">
        <v>3437</v>
      </c>
      <c r="F219" s="1834">
        <v>4</v>
      </c>
      <c r="G219" s="1834">
        <v>4</v>
      </c>
      <c r="H219" s="2349">
        <v>6</v>
      </c>
      <c r="I219" s="298"/>
      <c r="J219" s="298"/>
      <c r="K219" s="298"/>
      <c r="L219" s="298"/>
      <c r="M219" s="298"/>
      <c r="N219" s="487">
        <v>1.8</v>
      </c>
      <c r="O219" s="300"/>
      <c r="P219" s="1835"/>
      <c r="Q219" s="1836"/>
      <c r="R219" s="1615"/>
      <c r="S219" s="45"/>
      <c r="T219" s="233"/>
      <c r="U219" s="233"/>
      <c r="V219" s="233"/>
      <c r="W219" s="45"/>
      <c r="X219" s="233"/>
      <c r="Y219" s="45"/>
      <c r="Z219" s="309"/>
      <c r="AB219" s="3"/>
    </row>
    <row r="220" spans="1:28" s="16" customFormat="1" x14ac:dyDescent="0.35">
      <c r="A220" s="433"/>
      <c r="B220" s="1007"/>
      <c r="C220" s="1007"/>
      <c r="D220" s="434"/>
      <c r="E220" s="840" t="s">
        <v>3696</v>
      </c>
      <c r="F220" s="1834">
        <v>4</v>
      </c>
      <c r="G220" s="1834">
        <v>4</v>
      </c>
      <c r="H220" s="2349">
        <v>6</v>
      </c>
      <c r="I220" s="298"/>
      <c r="J220" s="298"/>
      <c r="K220" s="298"/>
      <c r="L220" s="298"/>
      <c r="M220" s="298"/>
      <c r="N220" s="487"/>
      <c r="O220" s="300"/>
      <c r="P220" s="1835"/>
      <c r="Q220" s="1836">
        <f>3.33-1.8</f>
        <v>1.53</v>
      </c>
      <c r="R220" s="1615"/>
      <c r="S220" s="45"/>
      <c r="T220" s="233"/>
      <c r="U220" s="233"/>
      <c r="V220" s="233"/>
      <c r="W220" s="45"/>
      <c r="X220" s="233"/>
      <c r="Y220" s="45"/>
      <c r="Z220" s="309"/>
      <c r="AB220" s="3"/>
    </row>
    <row r="221" spans="1:28" s="16" customFormat="1" ht="45.5" x14ac:dyDescent="0.35">
      <c r="A221" s="433">
        <v>87</v>
      </c>
      <c r="B221" s="1006">
        <v>10095</v>
      </c>
      <c r="C221" s="1006" t="s">
        <v>1655</v>
      </c>
      <c r="D221" s="2460" t="s">
        <v>3918</v>
      </c>
      <c r="E221" s="407" t="s">
        <v>7366</v>
      </c>
      <c r="F221" s="1834" t="s">
        <v>664</v>
      </c>
      <c r="G221" s="1834">
        <v>5</v>
      </c>
      <c r="H221" s="2349">
        <v>6</v>
      </c>
      <c r="I221" s="297">
        <f>J221+K221+L221</f>
        <v>1.5</v>
      </c>
      <c r="J221" s="297">
        <f>SUM(M221:R221)</f>
        <v>1.5</v>
      </c>
      <c r="K221" s="297"/>
      <c r="L221" s="297"/>
      <c r="M221" s="297"/>
      <c r="N221" s="486"/>
      <c r="O221" s="619"/>
      <c r="P221" s="969"/>
      <c r="Q221" s="932"/>
      <c r="R221" s="1615">
        <v>1.5</v>
      </c>
      <c r="S221" s="45"/>
      <c r="T221" s="233"/>
      <c r="U221" s="233"/>
      <c r="V221" s="233"/>
      <c r="W221" s="45"/>
      <c r="X221" s="233"/>
      <c r="Y221" s="45"/>
      <c r="Z221" s="309"/>
      <c r="AB221" s="3">
        <v>1</v>
      </c>
    </row>
    <row r="222" spans="1:28" s="16" customFormat="1" ht="75.5" x14ac:dyDescent="0.35">
      <c r="A222" s="433">
        <v>88</v>
      </c>
      <c r="B222" s="1006">
        <v>10095</v>
      </c>
      <c r="C222" s="1006" t="s">
        <v>1655</v>
      </c>
      <c r="D222" s="2460" t="s">
        <v>3919</v>
      </c>
      <c r="E222" s="407" t="s">
        <v>7367</v>
      </c>
      <c r="F222" s="1834" t="s">
        <v>664</v>
      </c>
      <c r="G222" s="1834">
        <v>5</v>
      </c>
      <c r="H222" s="2349">
        <v>6</v>
      </c>
      <c r="I222" s="297">
        <f>J222+K222+L222</f>
        <v>0.6</v>
      </c>
      <c r="J222" s="297">
        <f>SUM(M222:R222)</f>
        <v>0.6</v>
      </c>
      <c r="K222" s="297"/>
      <c r="L222" s="297"/>
      <c r="M222" s="297"/>
      <c r="N222" s="486"/>
      <c r="O222" s="619"/>
      <c r="P222" s="969"/>
      <c r="Q222" s="932"/>
      <c r="R222" s="1615">
        <v>0.6</v>
      </c>
      <c r="S222" s="45"/>
      <c r="T222" s="233"/>
      <c r="U222" s="233"/>
      <c r="V222" s="233"/>
      <c r="W222" s="45"/>
      <c r="X222" s="233"/>
      <c r="Y222" s="45"/>
      <c r="Z222" s="309"/>
      <c r="AB222" s="3">
        <v>1</v>
      </c>
    </row>
    <row r="223" spans="1:28" s="16" customFormat="1" ht="60.5" x14ac:dyDescent="0.35">
      <c r="A223" s="433">
        <v>89</v>
      </c>
      <c r="B223" s="1006">
        <v>10095</v>
      </c>
      <c r="C223" s="1004" t="s">
        <v>1656</v>
      </c>
      <c r="D223" s="2460" t="s">
        <v>3920</v>
      </c>
      <c r="E223" s="407" t="s">
        <v>9643</v>
      </c>
      <c r="F223" s="1834" t="s">
        <v>1490</v>
      </c>
      <c r="G223" s="1834">
        <v>5</v>
      </c>
      <c r="H223" s="2349">
        <v>6</v>
      </c>
      <c r="I223" s="483">
        <f>J223+K223+L223</f>
        <v>0.14000000000000001</v>
      </c>
      <c r="J223" s="297">
        <f>SUM(M223:R223)</f>
        <v>0.14000000000000001</v>
      </c>
      <c r="K223" s="297"/>
      <c r="L223" s="297"/>
      <c r="M223" s="297"/>
      <c r="N223" s="486"/>
      <c r="O223" s="619"/>
      <c r="P223" s="969"/>
      <c r="Q223" s="932"/>
      <c r="R223" s="1615">
        <v>0.14000000000000001</v>
      </c>
      <c r="S223" s="45"/>
      <c r="T223" s="233"/>
      <c r="U223" s="233"/>
      <c r="V223" s="233"/>
      <c r="W223" s="45"/>
      <c r="X223" s="233"/>
      <c r="Y223" s="45"/>
      <c r="Z223" s="309"/>
      <c r="AA223" s="19"/>
      <c r="AB223" s="3">
        <v>1</v>
      </c>
    </row>
    <row r="224" spans="1:28" s="16" customFormat="1" ht="30" x14ac:dyDescent="0.35">
      <c r="A224" s="433">
        <v>90</v>
      </c>
      <c r="B224" s="1007">
        <v>10096</v>
      </c>
      <c r="C224" s="1007"/>
      <c r="D224" s="434" t="s">
        <v>2343</v>
      </c>
      <c r="E224" s="407" t="s">
        <v>1098</v>
      </c>
      <c r="F224" s="1834"/>
      <c r="G224" s="1834" t="s">
        <v>191</v>
      </c>
      <c r="H224" s="2349" t="s">
        <v>191</v>
      </c>
      <c r="I224" s="483">
        <f>J224+K224+L224</f>
        <v>6.29</v>
      </c>
      <c r="J224" s="297">
        <f>SUM(M224:R224)</f>
        <v>6.29</v>
      </c>
      <c r="K224" s="297"/>
      <c r="L224" s="297"/>
      <c r="M224" s="297"/>
      <c r="N224" s="486">
        <f>SUM(N225:N226)</f>
        <v>1.1599999999999999</v>
      </c>
      <c r="O224" s="619"/>
      <c r="P224" s="969"/>
      <c r="Q224" s="932">
        <f>SUM(Q225:Q226)</f>
        <v>5.13</v>
      </c>
      <c r="R224" s="1615"/>
      <c r="S224" s="45"/>
      <c r="T224" s="233"/>
      <c r="U224" s="233"/>
      <c r="V224" s="233"/>
      <c r="W224" s="45">
        <v>8</v>
      </c>
      <c r="X224" s="233">
        <v>122.5</v>
      </c>
      <c r="Y224" s="45">
        <v>2</v>
      </c>
      <c r="Z224" s="309">
        <v>25</v>
      </c>
      <c r="AA224" s="20"/>
      <c r="AB224" s="3">
        <v>1</v>
      </c>
    </row>
    <row r="225" spans="1:29" s="16" customFormat="1" x14ac:dyDescent="0.35">
      <c r="A225" s="433"/>
      <c r="B225" s="1007">
        <v>10096</v>
      </c>
      <c r="C225" s="1007"/>
      <c r="D225" s="434"/>
      <c r="E225" s="430" t="s">
        <v>618</v>
      </c>
      <c r="F225" s="1834">
        <v>4</v>
      </c>
      <c r="G225" s="1834">
        <v>4</v>
      </c>
      <c r="H225" s="2349">
        <v>6</v>
      </c>
      <c r="I225" s="298"/>
      <c r="J225" s="298"/>
      <c r="K225" s="298"/>
      <c r="L225" s="298"/>
      <c r="M225" s="298"/>
      <c r="N225" s="487">
        <v>1.1599999999999999</v>
      </c>
      <c r="O225" s="621"/>
      <c r="P225" s="970"/>
      <c r="Q225" s="933"/>
      <c r="R225" s="1615"/>
      <c r="S225" s="45"/>
      <c r="T225" s="233"/>
      <c r="U225" s="233"/>
      <c r="V225" s="233"/>
      <c r="W225" s="45"/>
      <c r="X225" s="233"/>
      <c r="Y225" s="45"/>
      <c r="Z225" s="309"/>
      <c r="AA225" s="20"/>
      <c r="AB225" s="3"/>
    </row>
    <row r="226" spans="1:29" s="16" customFormat="1" x14ac:dyDescent="0.35">
      <c r="A226" s="433"/>
      <c r="B226" s="1007">
        <v>10096</v>
      </c>
      <c r="C226" s="1007"/>
      <c r="D226" s="434"/>
      <c r="E226" s="840" t="s">
        <v>1099</v>
      </c>
      <c r="F226" s="1834">
        <v>4</v>
      </c>
      <c r="G226" s="1834">
        <v>4</v>
      </c>
      <c r="H226" s="2349">
        <v>6</v>
      </c>
      <c r="I226" s="298"/>
      <c r="J226" s="298"/>
      <c r="K226" s="298"/>
      <c r="L226" s="298"/>
      <c r="M226" s="298"/>
      <c r="N226" s="487"/>
      <c r="O226" s="621"/>
      <c r="P226" s="970"/>
      <c r="Q226" s="933">
        <v>5.13</v>
      </c>
      <c r="R226" s="1615"/>
      <c r="S226" s="45"/>
      <c r="T226" s="233"/>
      <c r="U226" s="233"/>
      <c r="V226" s="233"/>
      <c r="W226" s="45"/>
      <c r="X226" s="233"/>
      <c r="Y226" s="45"/>
      <c r="Z226" s="309"/>
      <c r="AA226" s="20"/>
      <c r="AB226" s="3"/>
    </row>
    <row r="227" spans="1:29" s="16" customFormat="1" ht="30.5" x14ac:dyDescent="0.35">
      <c r="A227" s="433">
        <v>91</v>
      </c>
      <c r="B227" s="1005">
        <v>10096</v>
      </c>
      <c r="C227" s="1005"/>
      <c r="D227" s="2460" t="s">
        <v>3921</v>
      </c>
      <c r="E227" s="407" t="s">
        <v>9644</v>
      </c>
      <c r="F227" s="1834" t="s">
        <v>827</v>
      </c>
      <c r="G227" s="1834">
        <v>5</v>
      </c>
      <c r="H227" s="2349">
        <v>6</v>
      </c>
      <c r="I227" s="297">
        <f t="shared" ref="I227:I234" si="16">J227+K227+L227</f>
        <v>1.37</v>
      </c>
      <c r="J227" s="297">
        <f t="shared" ref="J227:J234" si="17">SUM(M227:R227)</f>
        <v>1.37</v>
      </c>
      <c r="K227" s="297"/>
      <c r="L227" s="297"/>
      <c r="M227" s="297"/>
      <c r="N227" s="486"/>
      <c r="O227" s="619"/>
      <c r="P227" s="969"/>
      <c r="Q227" s="932"/>
      <c r="R227" s="1615">
        <v>1.37</v>
      </c>
      <c r="S227" s="45"/>
      <c r="T227" s="233"/>
      <c r="U227" s="233"/>
      <c r="V227" s="233"/>
      <c r="W227" s="45"/>
      <c r="X227" s="233"/>
      <c r="Y227" s="45"/>
      <c r="Z227" s="309"/>
      <c r="AB227" s="3">
        <v>1</v>
      </c>
    </row>
    <row r="228" spans="1:29" s="16" customFormat="1" ht="30.5" x14ac:dyDescent="0.35">
      <c r="A228" s="433">
        <v>92</v>
      </c>
      <c r="B228" s="1005">
        <v>10096</v>
      </c>
      <c r="C228" s="1005"/>
      <c r="D228" s="2460" t="s">
        <v>3922</v>
      </c>
      <c r="E228" s="407" t="s">
        <v>9645</v>
      </c>
      <c r="F228" s="1834" t="s">
        <v>827</v>
      </c>
      <c r="G228" s="1834">
        <v>5</v>
      </c>
      <c r="H228" s="2349">
        <v>6</v>
      </c>
      <c r="I228" s="297">
        <f t="shared" si="16"/>
        <v>2.14</v>
      </c>
      <c r="J228" s="297">
        <f t="shared" si="17"/>
        <v>2.14</v>
      </c>
      <c r="K228" s="297"/>
      <c r="L228" s="297"/>
      <c r="M228" s="297"/>
      <c r="N228" s="486"/>
      <c r="O228" s="619"/>
      <c r="P228" s="969"/>
      <c r="Q228" s="932"/>
      <c r="R228" s="1615">
        <v>2.14</v>
      </c>
      <c r="S228" s="45"/>
      <c r="T228" s="233"/>
      <c r="U228" s="233"/>
      <c r="V228" s="233"/>
      <c r="W228" s="45">
        <v>3</v>
      </c>
      <c r="X228" s="233">
        <v>34.6</v>
      </c>
      <c r="Y228" s="45"/>
      <c r="Z228" s="309"/>
      <c r="AA228" s="3"/>
      <c r="AB228" s="3">
        <v>1</v>
      </c>
    </row>
    <row r="229" spans="1:29" s="16" customFormat="1" ht="30.5" x14ac:dyDescent="0.35">
      <c r="A229" s="433">
        <v>93</v>
      </c>
      <c r="B229" s="1005">
        <v>10096</v>
      </c>
      <c r="C229" s="1005"/>
      <c r="D229" s="2460" t="s">
        <v>3923</v>
      </c>
      <c r="E229" s="407" t="s">
        <v>9646</v>
      </c>
      <c r="F229" s="1834" t="s">
        <v>827</v>
      </c>
      <c r="G229" s="1834">
        <v>5</v>
      </c>
      <c r="H229" s="2349">
        <v>6</v>
      </c>
      <c r="I229" s="483">
        <f t="shared" si="16"/>
        <v>1.84</v>
      </c>
      <c r="J229" s="297">
        <f t="shared" si="17"/>
        <v>1.84</v>
      </c>
      <c r="K229" s="297"/>
      <c r="L229" s="297"/>
      <c r="M229" s="297"/>
      <c r="N229" s="486"/>
      <c r="O229" s="619"/>
      <c r="P229" s="969"/>
      <c r="Q229" s="932"/>
      <c r="R229" s="1615">
        <v>1.84</v>
      </c>
      <c r="S229" s="45"/>
      <c r="T229" s="233"/>
      <c r="U229" s="233"/>
      <c r="V229" s="233"/>
      <c r="W229" s="45">
        <v>2</v>
      </c>
      <c r="X229" s="233">
        <v>27.2</v>
      </c>
      <c r="Y229" s="45"/>
      <c r="Z229" s="309"/>
      <c r="AA229" s="19"/>
      <c r="AB229" s="3">
        <v>1</v>
      </c>
    </row>
    <row r="230" spans="1:29" s="16" customFormat="1" ht="45.5" x14ac:dyDescent="0.35">
      <c r="A230" s="433">
        <v>94</v>
      </c>
      <c r="B230" s="1006">
        <v>10096</v>
      </c>
      <c r="C230" s="1004" t="s">
        <v>1656</v>
      </c>
      <c r="D230" s="2460" t="s">
        <v>3924</v>
      </c>
      <c r="E230" s="407" t="s">
        <v>9647</v>
      </c>
      <c r="F230" s="1834" t="s">
        <v>664</v>
      </c>
      <c r="G230" s="1834">
        <v>5</v>
      </c>
      <c r="H230" s="2349">
        <v>6</v>
      </c>
      <c r="I230" s="297">
        <f t="shared" si="16"/>
        <v>0.8</v>
      </c>
      <c r="J230" s="297">
        <f t="shared" si="17"/>
        <v>0.8</v>
      </c>
      <c r="K230" s="297"/>
      <c r="L230" s="297"/>
      <c r="M230" s="297"/>
      <c r="N230" s="486"/>
      <c r="O230" s="619"/>
      <c r="P230" s="969"/>
      <c r="Q230" s="932"/>
      <c r="R230" s="1615">
        <v>0.8</v>
      </c>
      <c r="S230" s="45"/>
      <c r="T230" s="233"/>
      <c r="U230" s="233"/>
      <c r="V230" s="233"/>
      <c r="W230" s="45"/>
      <c r="X230" s="233"/>
      <c r="Y230" s="45"/>
      <c r="Z230" s="309"/>
      <c r="AB230" s="3">
        <v>1</v>
      </c>
    </row>
    <row r="231" spans="1:29" s="16" customFormat="1" ht="30.5" x14ac:dyDescent="0.35">
      <c r="A231" s="433">
        <v>95</v>
      </c>
      <c r="B231" s="1003">
        <v>10096</v>
      </c>
      <c r="C231" s="1003"/>
      <c r="D231" s="2460" t="s">
        <v>3925</v>
      </c>
      <c r="E231" s="407" t="s">
        <v>9648</v>
      </c>
      <c r="F231" s="1834" t="s">
        <v>1490</v>
      </c>
      <c r="G231" s="1834">
        <v>5</v>
      </c>
      <c r="H231" s="2349">
        <v>6</v>
      </c>
      <c r="I231" s="483">
        <f t="shared" si="16"/>
        <v>1.91</v>
      </c>
      <c r="J231" s="297">
        <f t="shared" si="17"/>
        <v>1.91</v>
      </c>
      <c r="K231" s="297"/>
      <c r="L231" s="297"/>
      <c r="M231" s="297"/>
      <c r="N231" s="486"/>
      <c r="O231" s="619"/>
      <c r="P231" s="969"/>
      <c r="Q231" s="932"/>
      <c r="R231" s="1615">
        <v>1.91</v>
      </c>
      <c r="S231" s="45"/>
      <c r="T231" s="233"/>
      <c r="U231" s="233"/>
      <c r="V231" s="233"/>
      <c r="W231" s="45"/>
      <c r="X231" s="233"/>
      <c r="Y231" s="45"/>
      <c r="Z231" s="309"/>
      <c r="AB231" s="3">
        <v>1</v>
      </c>
    </row>
    <row r="232" spans="1:29" s="16" customFormat="1" ht="30.5" x14ac:dyDescent="0.35">
      <c r="A232" s="433">
        <v>96</v>
      </c>
      <c r="B232" s="1004">
        <v>10096</v>
      </c>
      <c r="C232" s="1004"/>
      <c r="D232" s="2460" t="s">
        <v>3926</v>
      </c>
      <c r="E232" s="407" t="s">
        <v>7469</v>
      </c>
      <c r="F232" s="1834" t="s">
        <v>827</v>
      </c>
      <c r="G232" s="1834">
        <v>5</v>
      </c>
      <c r="H232" s="2349">
        <v>6</v>
      </c>
      <c r="I232" s="297">
        <f t="shared" si="16"/>
        <v>0.8</v>
      </c>
      <c r="J232" s="297">
        <f t="shared" si="17"/>
        <v>0.8</v>
      </c>
      <c r="K232" s="297"/>
      <c r="L232" s="297"/>
      <c r="M232" s="297"/>
      <c r="N232" s="486"/>
      <c r="O232" s="619"/>
      <c r="P232" s="969"/>
      <c r="Q232" s="932"/>
      <c r="R232" s="1615">
        <v>0.8</v>
      </c>
      <c r="S232" s="45"/>
      <c r="T232" s="233"/>
      <c r="U232" s="233"/>
      <c r="V232" s="233"/>
      <c r="W232" s="45"/>
      <c r="X232" s="233"/>
      <c r="Y232" s="45"/>
      <c r="Z232" s="309"/>
      <c r="AB232" s="3">
        <v>1</v>
      </c>
      <c r="AC232" s="3" t="s">
        <v>2570</v>
      </c>
    </row>
    <row r="233" spans="1:29" s="16" customFormat="1" ht="30.5" x14ac:dyDescent="0.35">
      <c r="A233" s="433">
        <v>97</v>
      </c>
      <c r="B233" s="1004">
        <v>10096</v>
      </c>
      <c r="C233" s="1004" t="s">
        <v>1656</v>
      </c>
      <c r="D233" s="2460" t="s">
        <v>3927</v>
      </c>
      <c r="E233" s="407" t="s">
        <v>9649</v>
      </c>
      <c r="F233" s="1834" t="s">
        <v>1490</v>
      </c>
      <c r="G233" s="1834">
        <v>5</v>
      </c>
      <c r="H233" s="2349">
        <v>6</v>
      </c>
      <c r="I233" s="297">
        <f t="shared" si="16"/>
        <v>0.2</v>
      </c>
      <c r="J233" s="297">
        <f t="shared" si="17"/>
        <v>0.2</v>
      </c>
      <c r="K233" s="297"/>
      <c r="L233" s="297"/>
      <c r="M233" s="297"/>
      <c r="N233" s="486"/>
      <c r="O233" s="619"/>
      <c r="P233" s="969"/>
      <c r="Q233" s="932"/>
      <c r="R233" s="1615">
        <v>0.2</v>
      </c>
      <c r="S233" s="45"/>
      <c r="T233" s="233"/>
      <c r="U233" s="233"/>
      <c r="V233" s="233"/>
      <c r="W233" s="45"/>
      <c r="X233" s="233"/>
      <c r="Y233" s="45"/>
      <c r="Z233" s="309"/>
      <c r="AB233" s="3">
        <v>1</v>
      </c>
    </row>
    <row r="234" spans="1:29" s="16" customFormat="1" ht="45.5" x14ac:dyDescent="0.35">
      <c r="A234" s="433">
        <v>98</v>
      </c>
      <c r="B234" s="1009">
        <v>10097</v>
      </c>
      <c r="C234" s="1009"/>
      <c r="D234" s="434" t="s">
        <v>1174</v>
      </c>
      <c r="E234" s="407" t="s">
        <v>7052</v>
      </c>
      <c r="F234" s="1834"/>
      <c r="G234" s="1834" t="s">
        <v>191</v>
      </c>
      <c r="H234" s="2349" t="s">
        <v>191</v>
      </c>
      <c r="I234" s="297">
        <f t="shared" si="16"/>
        <v>16.540000000000003</v>
      </c>
      <c r="J234" s="297">
        <f t="shared" si="17"/>
        <v>16.32</v>
      </c>
      <c r="K234" s="297"/>
      <c r="L234" s="486">
        <f>SUM(L235:L241)</f>
        <v>0.22000000000000078</v>
      </c>
      <c r="M234" s="297"/>
      <c r="N234" s="486">
        <f>SUM(N235:N241)</f>
        <v>10.138</v>
      </c>
      <c r="O234" s="619">
        <f>SUM(O235:O241)</f>
        <v>0.62999999999999901</v>
      </c>
      <c r="P234" s="969"/>
      <c r="Q234" s="932">
        <f>SUM(Q235:Q241)</f>
        <v>5.5519999999999996</v>
      </c>
      <c r="R234" s="1615"/>
      <c r="S234" s="45"/>
      <c r="T234" s="233"/>
      <c r="U234" s="233"/>
      <c r="V234" s="233"/>
      <c r="W234" s="2445">
        <v>41</v>
      </c>
      <c r="X234" s="2446">
        <v>567</v>
      </c>
      <c r="Y234" s="45">
        <v>16</v>
      </c>
      <c r="Z234" s="309">
        <v>202.4</v>
      </c>
      <c r="AA234" s="16" t="s">
        <v>31</v>
      </c>
      <c r="AB234" s="3">
        <v>1</v>
      </c>
    </row>
    <row r="235" spans="1:29" s="16" customFormat="1" x14ac:dyDescent="0.35">
      <c r="A235" s="433"/>
      <c r="B235" s="1009">
        <v>10097</v>
      </c>
      <c r="C235" s="1009"/>
      <c r="D235" s="435"/>
      <c r="E235" s="431" t="s">
        <v>11199</v>
      </c>
      <c r="F235" s="1834">
        <v>4</v>
      </c>
      <c r="G235" s="1834">
        <v>4</v>
      </c>
      <c r="H235" s="2349">
        <v>6</v>
      </c>
      <c r="I235" s="2350"/>
      <c r="J235" s="487"/>
      <c r="K235" s="487"/>
      <c r="L235" s="487"/>
      <c r="M235" s="487"/>
      <c r="N235" s="487">
        <v>8.02</v>
      </c>
      <c r="O235" s="621"/>
      <c r="P235" s="970"/>
      <c r="Q235" s="933"/>
      <c r="R235" s="1616"/>
      <c r="S235" s="45"/>
      <c r="T235" s="233"/>
      <c r="U235" s="233"/>
      <c r="V235" s="233"/>
      <c r="W235" s="45"/>
      <c r="X235" s="233"/>
      <c r="Y235" s="45"/>
      <c r="Z235" s="309"/>
      <c r="AA235" s="16" t="s">
        <v>1071</v>
      </c>
      <c r="AB235" s="3"/>
    </row>
    <row r="236" spans="1:29" s="16" customFormat="1" ht="46.5" x14ac:dyDescent="0.35">
      <c r="A236" s="433"/>
      <c r="B236" s="1009"/>
      <c r="C236" s="1009"/>
      <c r="D236" s="435"/>
      <c r="E236" s="431" t="s">
        <v>10922</v>
      </c>
      <c r="F236" s="1834">
        <v>4</v>
      </c>
      <c r="G236" s="1834">
        <v>4</v>
      </c>
      <c r="H236" s="2349" t="s">
        <v>191</v>
      </c>
      <c r="I236" s="2350"/>
      <c r="J236" s="487"/>
      <c r="K236" s="487"/>
      <c r="L236" s="487">
        <f>8.15-8.02</f>
        <v>0.13000000000000078</v>
      </c>
      <c r="M236" s="487"/>
      <c r="N236" s="487"/>
      <c r="O236" s="621"/>
      <c r="P236" s="970"/>
      <c r="Q236" s="933"/>
      <c r="R236" s="1616"/>
      <c r="S236" s="45"/>
      <c r="T236" s="233"/>
      <c r="U236" s="233"/>
      <c r="V236" s="233"/>
      <c r="W236" s="45"/>
      <c r="X236" s="233"/>
      <c r="Y236" s="45"/>
      <c r="Z236" s="309"/>
      <c r="AB236" s="3"/>
    </row>
    <row r="237" spans="1:29" s="16" customFormat="1" x14ac:dyDescent="0.35">
      <c r="A237" s="433"/>
      <c r="B237" s="1009">
        <v>10097</v>
      </c>
      <c r="C237" s="1009"/>
      <c r="D237" s="435"/>
      <c r="E237" s="431" t="s">
        <v>11200</v>
      </c>
      <c r="F237" s="1834">
        <v>4</v>
      </c>
      <c r="G237" s="1834">
        <v>4</v>
      </c>
      <c r="H237" s="2349">
        <v>6</v>
      </c>
      <c r="I237" s="2350"/>
      <c r="J237" s="487"/>
      <c r="K237" s="487"/>
      <c r="L237" s="487"/>
      <c r="M237" s="487"/>
      <c r="N237" s="487">
        <f>10.268-8.15</f>
        <v>2.1180000000000003</v>
      </c>
      <c r="O237" s="621"/>
      <c r="P237" s="970"/>
      <c r="Q237" s="933"/>
      <c r="R237" s="1616"/>
      <c r="S237" s="45"/>
      <c r="T237" s="233"/>
      <c r="U237" s="233"/>
      <c r="V237" s="233"/>
      <c r="W237" s="45"/>
      <c r="X237" s="233"/>
      <c r="Y237" s="45"/>
      <c r="Z237" s="309"/>
      <c r="AB237" s="3"/>
    </row>
    <row r="238" spans="1:29" s="16" customFormat="1" x14ac:dyDescent="0.35">
      <c r="A238" s="2044"/>
      <c r="B238" s="1009">
        <v>10097</v>
      </c>
      <c r="C238" s="1009"/>
      <c r="D238" s="436"/>
      <c r="E238" s="840" t="s">
        <v>7050</v>
      </c>
      <c r="F238" s="1834">
        <v>4</v>
      </c>
      <c r="G238" s="1834">
        <v>4</v>
      </c>
      <c r="H238" s="1834">
        <v>6</v>
      </c>
      <c r="I238" s="1008"/>
      <c r="J238" s="300"/>
      <c r="K238" s="300"/>
      <c r="L238" s="300"/>
      <c r="M238" s="300"/>
      <c r="N238" s="487"/>
      <c r="O238" s="621"/>
      <c r="P238" s="970"/>
      <c r="Q238" s="933">
        <f>15.6-10.268</f>
        <v>5.331999999999999</v>
      </c>
      <c r="R238" s="1616"/>
      <c r="S238" s="1641"/>
      <c r="T238" s="1642"/>
      <c r="U238" s="1642"/>
      <c r="V238" s="1642"/>
      <c r="W238" s="1641"/>
      <c r="X238" s="1642"/>
      <c r="Y238" s="1641"/>
      <c r="Z238" s="1643"/>
      <c r="AA238" s="16" t="s">
        <v>3262</v>
      </c>
    </row>
    <row r="239" spans="1:29" s="16" customFormat="1" ht="31" x14ac:dyDescent="0.35">
      <c r="A239" s="2044"/>
      <c r="B239" s="1009"/>
      <c r="C239" s="1009"/>
      <c r="D239" s="436"/>
      <c r="E239" s="507" t="s">
        <v>7053</v>
      </c>
      <c r="F239" s="1834">
        <v>4</v>
      </c>
      <c r="G239" s="1834">
        <v>4</v>
      </c>
      <c r="H239" s="1834" t="s">
        <v>191</v>
      </c>
      <c r="I239" s="1008"/>
      <c r="J239" s="300"/>
      <c r="K239" s="300"/>
      <c r="L239" s="487">
        <v>0.09</v>
      </c>
      <c r="M239" s="300"/>
      <c r="N239" s="487"/>
      <c r="O239" s="621"/>
      <c r="P239" s="970"/>
      <c r="Q239" s="933"/>
      <c r="R239" s="1616"/>
      <c r="S239" s="1641"/>
      <c r="T239" s="1642"/>
      <c r="U239" s="1642"/>
      <c r="V239" s="1642"/>
      <c r="W239" s="1641"/>
      <c r="X239" s="1642"/>
      <c r="Y239" s="1641"/>
      <c r="Z239" s="1643"/>
    </row>
    <row r="240" spans="1:29" s="16" customFormat="1" x14ac:dyDescent="0.35">
      <c r="A240" s="2044"/>
      <c r="B240" s="1009"/>
      <c r="C240" s="1009"/>
      <c r="D240" s="436"/>
      <c r="E240" s="840" t="s">
        <v>7049</v>
      </c>
      <c r="F240" s="1834">
        <v>4</v>
      </c>
      <c r="G240" s="1834">
        <v>4</v>
      </c>
      <c r="H240" s="1834">
        <v>6</v>
      </c>
      <c r="I240" s="1008"/>
      <c r="J240" s="300"/>
      <c r="K240" s="300"/>
      <c r="L240" s="300"/>
      <c r="M240" s="300"/>
      <c r="N240" s="487"/>
      <c r="O240" s="621"/>
      <c r="P240" s="970"/>
      <c r="Q240" s="933">
        <f>15.91-15.69</f>
        <v>0.22000000000000064</v>
      </c>
      <c r="R240" s="1616"/>
      <c r="S240" s="1641"/>
      <c r="T240" s="1642"/>
      <c r="U240" s="1642"/>
      <c r="V240" s="1642"/>
      <c r="W240" s="1641"/>
      <c r="X240" s="1642"/>
      <c r="Y240" s="1641"/>
      <c r="Z240" s="1643"/>
    </row>
    <row r="241" spans="1:29" s="16" customFormat="1" x14ac:dyDescent="0.35">
      <c r="A241" s="2046"/>
      <c r="B241" s="1009">
        <v>10097</v>
      </c>
      <c r="C241" s="1009"/>
      <c r="D241" s="438"/>
      <c r="E241" s="1019" t="s">
        <v>7051</v>
      </c>
      <c r="F241" s="1834">
        <v>4</v>
      </c>
      <c r="G241" s="1834">
        <v>4</v>
      </c>
      <c r="H241" s="1834">
        <v>6</v>
      </c>
      <c r="I241" s="299"/>
      <c r="J241" s="299"/>
      <c r="K241" s="299"/>
      <c r="L241" s="299"/>
      <c r="M241" s="299"/>
      <c r="N241" s="487"/>
      <c r="O241" s="621">
        <f>16.54-15.91</f>
        <v>0.62999999999999901</v>
      </c>
      <c r="P241" s="970"/>
      <c r="Q241" s="933"/>
      <c r="R241" s="1616"/>
      <c r="S241" s="1648"/>
      <c r="T241" s="1649"/>
      <c r="U241" s="1649"/>
      <c r="V241" s="1649"/>
      <c r="W241" s="1648"/>
      <c r="X241" s="1649"/>
      <c r="Y241" s="1648"/>
      <c r="Z241" s="1650"/>
    </row>
    <row r="242" spans="1:29" s="19" customFormat="1" ht="60.5" x14ac:dyDescent="0.35">
      <c r="A242" s="439">
        <v>99</v>
      </c>
      <c r="B242" s="1004">
        <v>10097</v>
      </c>
      <c r="C242" s="1004" t="s">
        <v>1656</v>
      </c>
      <c r="D242" s="2460" t="s">
        <v>3928</v>
      </c>
      <c r="E242" s="407" t="s">
        <v>8190</v>
      </c>
      <c r="F242" s="1834" t="s">
        <v>1490</v>
      </c>
      <c r="G242" s="1834">
        <v>5</v>
      </c>
      <c r="H242" s="2349">
        <v>6</v>
      </c>
      <c r="I242" s="297">
        <f>J242+K242+L242</f>
        <v>0.4</v>
      </c>
      <c r="J242" s="297">
        <f>SUM(M242:R242)</f>
        <v>0.4</v>
      </c>
      <c r="K242" s="297"/>
      <c r="L242" s="297"/>
      <c r="M242" s="297"/>
      <c r="N242" s="486"/>
      <c r="O242" s="619"/>
      <c r="P242" s="969"/>
      <c r="Q242" s="932"/>
      <c r="R242" s="1615">
        <v>0.4</v>
      </c>
      <c r="S242" s="45"/>
      <c r="T242" s="233"/>
      <c r="U242" s="233"/>
      <c r="V242" s="233"/>
      <c r="W242" s="45"/>
      <c r="X242" s="233"/>
      <c r="Y242" s="45"/>
      <c r="Z242" s="309"/>
      <c r="AA242" s="16"/>
      <c r="AB242" s="3">
        <v>1</v>
      </c>
    </row>
    <row r="243" spans="1:29" s="16" customFormat="1" ht="60.5" x14ac:dyDescent="0.35">
      <c r="A243" s="2586">
        <v>100</v>
      </c>
      <c r="B243" s="1005">
        <v>10097</v>
      </c>
      <c r="C243" s="1003" t="s">
        <v>1656</v>
      </c>
      <c r="D243" s="2460" t="s">
        <v>3929</v>
      </c>
      <c r="E243" s="511" t="s">
        <v>8191</v>
      </c>
      <c r="F243" s="2349" t="s">
        <v>664</v>
      </c>
      <c r="G243" s="2349">
        <v>5</v>
      </c>
      <c r="H243" s="2349">
        <v>6</v>
      </c>
      <c r="I243" s="297">
        <f>J243+K243+L243</f>
        <v>0.5</v>
      </c>
      <c r="J243" s="297">
        <f>SUM(M243:R243)</f>
        <v>0.5</v>
      </c>
      <c r="K243" s="499"/>
      <c r="L243" s="499"/>
      <c r="M243" s="499"/>
      <c r="N243" s="2350"/>
      <c r="O243" s="1016"/>
      <c r="P243" s="968"/>
      <c r="Q243" s="1015"/>
      <c r="R243" s="2361">
        <v>0.5</v>
      </c>
      <c r="S243" s="45"/>
      <c r="T243" s="233"/>
      <c r="U243" s="233"/>
      <c r="V243" s="233"/>
      <c r="W243" s="45"/>
      <c r="X243" s="1619"/>
      <c r="Y243" s="45"/>
      <c r="Z243" s="309"/>
      <c r="AB243" s="3">
        <v>1</v>
      </c>
    </row>
    <row r="244" spans="1:29" ht="30.5" x14ac:dyDescent="0.35">
      <c r="A244" s="433">
        <v>101</v>
      </c>
      <c r="B244" s="1009">
        <v>10098</v>
      </c>
      <c r="C244" s="1009"/>
      <c r="D244" s="434" t="s">
        <v>1175</v>
      </c>
      <c r="E244" s="407" t="s">
        <v>262</v>
      </c>
      <c r="F244" s="1834"/>
      <c r="G244" s="1834" t="s">
        <v>191</v>
      </c>
      <c r="H244" s="2349" t="s">
        <v>191</v>
      </c>
      <c r="I244" s="483">
        <f>J244+K244+L244</f>
        <v>10.468</v>
      </c>
      <c r="J244" s="297">
        <f>SUM(M244:R244)</f>
        <v>10.468</v>
      </c>
      <c r="K244" s="297"/>
      <c r="L244" s="297"/>
      <c r="M244" s="297"/>
      <c r="N244" s="486">
        <f>SUM(N245:N249)</f>
        <v>6.399</v>
      </c>
      <c r="O244" s="619"/>
      <c r="P244" s="969"/>
      <c r="Q244" s="932">
        <f>SUM(Q245:Q249)</f>
        <v>4.069</v>
      </c>
      <c r="R244" s="1615"/>
      <c r="S244" s="45"/>
      <c r="T244" s="233"/>
      <c r="U244" s="233"/>
      <c r="V244" s="233"/>
      <c r="W244" s="45">
        <v>23</v>
      </c>
      <c r="X244" s="233">
        <v>327.24</v>
      </c>
      <c r="Y244" s="45">
        <v>7</v>
      </c>
      <c r="Z244" s="309">
        <v>84</v>
      </c>
      <c r="AA244" s="16" t="s">
        <v>2113</v>
      </c>
      <c r="AB244" s="3">
        <v>1</v>
      </c>
    </row>
    <row r="245" spans="1:29" s="21" customFormat="1" x14ac:dyDescent="0.35">
      <c r="A245" s="2044"/>
      <c r="B245" s="1009">
        <v>10098</v>
      </c>
      <c r="C245" s="1009"/>
      <c r="D245" s="436"/>
      <c r="E245" s="408" t="s">
        <v>3428</v>
      </c>
      <c r="F245" s="1834">
        <v>4</v>
      </c>
      <c r="G245" s="1834">
        <v>4</v>
      </c>
      <c r="H245" s="2349">
        <v>6</v>
      </c>
      <c r="I245" s="1008"/>
      <c r="J245" s="300"/>
      <c r="K245" s="300"/>
      <c r="L245" s="300"/>
      <c r="M245" s="300"/>
      <c r="N245" s="487">
        <v>1.2</v>
      </c>
      <c r="O245" s="621"/>
      <c r="P245" s="970"/>
      <c r="Q245" s="933"/>
      <c r="R245" s="1616"/>
      <c r="S245" s="1641"/>
      <c r="T245" s="1642"/>
      <c r="U245" s="1642"/>
      <c r="V245" s="1642"/>
      <c r="W245" s="1641"/>
      <c r="X245" s="1642"/>
      <c r="Y245" s="1641"/>
      <c r="Z245" s="1643"/>
      <c r="AA245" s="16" t="s">
        <v>2113</v>
      </c>
    </row>
    <row r="246" spans="1:29" s="21" customFormat="1" x14ac:dyDescent="0.35">
      <c r="A246" s="2044"/>
      <c r="B246" s="1009"/>
      <c r="C246" s="1009"/>
      <c r="D246" s="436"/>
      <c r="E246" s="840" t="s">
        <v>3293</v>
      </c>
      <c r="F246" s="1834">
        <v>4</v>
      </c>
      <c r="G246" s="1834">
        <v>4</v>
      </c>
      <c r="H246" s="2349">
        <v>6</v>
      </c>
      <c r="I246" s="1008"/>
      <c r="J246" s="300"/>
      <c r="K246" s="300"/>
      <c r="L246" s="300"/>
      <c r="M246" s="300"/>
      <c r="N246" s="487"/>
      <c r="O246" s="621"/>
      <c r="P246" s="970"/>
      <c r="Q246" s="933">
        <f>3.28-1.2</f>
        <v>2.08</v>
      </c>
      <c r="R246" s="1616"/>
      <c r="S246" s="1641"/>
      <c r="T246" s="1642"/>
      <c r="U246" s="1642"/>
      <c r="V246" s="1642"/>
      <c r="W246" s="1641"/>
      <c r="X246" s="1642"/>
      <c r="Y246" s="1641"/>
      <c r="Z246" s="1643"/>
      <c r="AA246" s="16"/>
    </row>
    <row r="247" spans="1:29" s="21" customFormat="1" x14ac:dyDescent="0.35">
      <c r="A247" s="2044"/>
      <c r="B247" s="1009"/>
      <c r="C247" s="1009"/>
      <c r="D247" s="436"/>
      <c r="E247" s="408" t="s">
        <v>258</v>
      </c>
      <c r="F247" s="1834">
        <v>4</v>
      </c>
      <c r="G247" s="1834">
        <v>4</v>
      </c>
      <c r="H247" s="2349">
        <v>6</v>
      </c>
      <c r="I247" s="1008"/>
      <c r="J247" s="300"/>
      <c r="K247" s="300"/>
      <c r="L247" s="300"/>
      <c r="M247" s="300"/>
      <c r="N247" s="487">
        <f>4.016-3.28</f>
        <v>0.73600000000000021</v>
      </c>
      <c r="O247" s="621"/>
      <c r="P247" s="970"/>
      <c r="Q247" s="933"/>
      <c r="R247" s="1616"/>
      <c r="S247" s="1641"/>
      <c r="T247" s="1642"/>
      <c r="U247" s="1642"/>
      <c r="V247" s="1642"/>
      <c r="W247" s="1641"/>
      <c r="X247" s="1642"/>
      <c r="Y247" s="1641"/>
      <c r="Z247" s="1643"/>
      <c r="AA247" s="16"/>
    </row>
    <row r="248" spans="1:29" s="21" customFormat="1" x14ac:dyDescent="0.35">
      <c r="A248" s="2044"/>
      <c r="B248" s="1009"/>
      <c r="C248" s="1009"/>
      <c r="D248" s="436"/>
      <c r="E248" s="840" t="s">
        <v>260</v>
      </c>
      <c r="F248" s="1834">
        <v>4</v>
      </c>
      <c r="G248" s="1834">
        <v>4</v>
      </c>
      <c r="H248" s="2349">
        <v>6</v>
      </c>
      <c r="I248" s="1008"/>
      <c r="J248" s="300"/>
      <c r="K248" s="300"/>
      <c r="L248" s="300"/>
      <c r="M248" s="300"/>
      <c r="N248" s="487"/>
      <c r="O248" s="621"/>
      <c r="P248" s="970"/>
      <c r="Q248" s="933">
        <f>6.005-4.016</f>
        <v>1.9889999999999999</v>
      </c>
      <c r="R248" s="1616"/>
      <c r="S248" s="1641"/>
      <c r="T248" s="1642"/>
      <c r="U248" s="1642"/>
      <c r="V248" s="1642"/>
      <c r="W248" s="1641"/>
      <c r="X248" s="1642"/>
      <c r="Y248" s="1641"/>
      <c r="Z248" s="1643"/>
      <c r="AA248" s="16"/>
    </row>
    <row r="249" spans="1:29" s="21" customFormat="1" x14ac:dyDescent="0.35">
      <c r="A249" s="2044"/>
      <c r="B249" s="1009"/>
      <c r="C249" s="1009"/>
      <c r="D249" s="436"/>
      <c r="E249" s="408" t="s">
        <v>261</v>
      </c>
      <c r="F249" s="1834">
        <v>4</v>
      </c>
      <c r="G249" s="1834">
        <v>4</v>
      </c>
      <c r="H249" s="2349">
        <v>6</v>
      </c>
      <c r="I249" s="1008"/>
      <c r="J249" s="300"/>
      <c r="K249" s="300"/>
      <c r="L249" s="300"/>
      <c r="M249" s="300"/>
      <c r="N249" s="487">
        <f>10.468-6.005</f>
        <v>4.4630000000000001</v>
      </c>
      <c r="O249" s="621"/>
      <c r="P249" s="970"/>
      <c r="Q249" s="933"/>
      <c r="R249" s="1616"/>
      <c r="S249" s="1641"/>
      <c r="T249" s="1642"/>
      <c r="U249" s="1642"/>
      <c r="V249" s="1642"/>
      <c r="W249" s="1641"/>
      <c r="X249" s="1642"/>
      <c r="Y249" s="1641"/>
      <c r="Z249" s="1643"/>
      <c r="AA249" s="16"/>
    </row>
    <row r="250" spans="1:29" s="16" customFormat="1" ht="45.5" x14ac:dyDescent="0.35">
      <c r="A250" s="433">
        <v>102</v>
      </c>
      <c r="B250" s="1003">
        <v>10098</v>
      </c>
      <c r="C250" s="1003"/>
      <c r="D250" s="2460" t="s">
        <v>3930</v>
      </c>
      <c r="E250" s="407" t="s">
        <v>7470</v>
      </c>
      <c r="F250" s="1834" t="s">
        <v>827</v>
      </c>
      <c r="G250" s="1834">
        <v>5</v>
      </c>
      <c r="H250" s="2349">
        <v>6</v>
      </c>
      <c r="I250" s="297">
        <f>J250+K250+L250</f>
        <v>1.22</v>
      </c>
      <c r="J250" s="297">
        <f>SUM(M250:R250)</f>
        <v>1.22</v>
      </c>
      <c r="K250" s="297"/>
      <c r="L250" s="297"/>
      <c r="M250" s="297"/>
      <c r="N250" s="486"/>
      <c r="O250" s="619"/>
      <c r="P250" s="969"/>
      <c r="Q250" s="932"/>
      <c r="R250" s="1615">
        <v>1.22</v>
      </c>
      <c r="S250" s="45"/>
      <c r="T250" s="233"/>
      <c r="U250" s="233"/>
      <c r="V250" s="233"/>
      <c r="W250" s="45">
        <v>1</v>
      </c>
      <c r="X250" s="233">
        <v>15.1</v>
      </c>
      <c r="Y250" s="45"/>
      <c r="Z250" s="309"/>
      <c r="AB250" s="3">
        <v>1</v>
      </c>
      <c r="AC250" s="3" t="s">
        <v>2570</v>
      </c>
    </row>
    <row r="251" spans="1:29" s="19" customFormat="1" ht="45.5" x14ac:dyDescent="0.35">
      <c r="A251" s="433">
        <v>103</v>
      </c>
      <c r="B251" s="1009">
        <v>10099</v>
      </c>
      <c r="C251" s="1009"/>
      <c r="D251" s="434" t="s">
        <v>2614</v>
      </c>
      <c r="E251" s="407" t="s">
        <v>9650</v>
      </c>
      <c r="F251" s="1834">
        <v>5</v>
      </c>
      <c r="G251" s="1834">
        <v>4</v>
      </c>
      <c r="H251" s="2349">
        <v>6</v>
      </c>
      <c r="I251" s="297">
        <f>J251+K251+L251</f>
        <v>5.65</v>
      </c>
      <c r="J251" s="297">
        <f>SUM(M251:R251)</f>
        <v>5.65</v>
      </c>
      <c r="K251" s="297"/>
      <c r="L251" s="297"/>
      <c r="M251" s="297"/>
      <c r="N251" s="486"/>
      <c r="O251" s="619"/>
      <c r="P251" s="969"/>
      <c r="Q251" s="932">
        <v>5.65</v>
      </c>
      <c r="R251" s="1615"/>
      <c r="S251" s="45"/>
      <c r="T251" s="233"/>
      <c r="U251" s="233"/>
      <c r="V251" s="233"/>
      <c r="W251" s="45">
        <v>16</v>
      </c>
      <c r="X251" s="233">
        <v>237.1</v>
      </c>
      <c r="Y251" s="45">
        <v>9</v>
      </c>
      <c r="Z251" s="309">
        <v>135</v>
      </c>
      <c r="AA251" s="16"/>
      <c r="AB251" s="3">
        <v>1</v>
      </c>
    </row>
    <row r="252" spans="1:29" ht="60.5" x14ac:dyDescent="0.35">
      <c r="A252" s="433">
        <v>104</v>
      </c>
      <c r="B252" s="1004">
        <v>10099</v>
      </c>
      <c r="C252" s="1004" t="s">
        <v>1656</v>
      </c>
      <c r="D252" s="2460" t="s">
        <v>3931</v>
      </c>
      <c r="E252" s="407" t="s">
        <v>9651</v>
      </c>
      <c r="F252" s="1834" t="s">
        <v>664</v>
      </c>
      <c r="G252" s="1834">
        <v>5</v>
      </c>
      <c r="H252" s="2349">
        <v>6</v>
      </c>
      <c r="I252" s="483">
        <f>J252+K252+L252</f>
        <v>0.4</v>
      </c>
      <c r="J252" s="297">
        <f>SUM(M252:R252)</f>
        <v>0.4</v>
      </c>
      <c r="K252" s="297"/>
      <c r="L252" s="297"/>
      <c r="M252" s="297"/>
      <c r="N252" s="486"/>
      <c r="O252" s="619"/>
      <c r="P252" s="969"/>
      <c r="Q252" s="932"/>
      <c r="R252" s="1615">
        <v>0.4</v>
      </c>
      <c r="S252" s="45"/>
      <c r="T252" s="233"/>
      <c r="U252" s="233"/>
      <c r="V252" s="233"/>
      <c r="W252" s="45"/>
      <c r="X252" s="233"/>
      <c r="Y252" s="45"/>
      <c r="Z252" s="309"/>
      <c r="AA252" s="16"/>
      <c r="AB252" s="3">
        <v>1</v>
      </c>
    </row>
    <row r="253" spans="1:29" s="16" customFormat="1" ht="30" x14ac:dyDescent="0.35">
      <c r="A253" s="433">
        <v>105</v>
      </c>
      <c r="B253" s="1009">
        <v>10100</v>
      </c>
      <c r="C253" s="1009"/>
      <c r="D253" s="434" t="s">
        <v>2506</v>
      </c>
      <c r="E253" s="407" t="s">
        <v>7219</v>
      </c>
      <c r="F253" s="1834"/>
      <c r="G253" s="1834" t="s">
        <v>191</v>
      </c>
      <c r="H253" s="2349" t="s">
        <v>191</v>
      </c>
      <c r="I253" s="483">
        <f>J253+K253+L253</f>
        <v>4.79</v>
      </c>
      <c r="J253" s="297">
        <f>SUM(M253:R253)</f>
        <v>4.79</v>
      </c>
      <c r="K253" s="297"/>
      <c r="L253" s="297"/>
      <c r="M253" s="297"/>
      <c r="N253" s="486">
        <f>SUM(N254:N256)</f>
        <v>1.474</v>
      </c>
      <c r="O253" s="619"/>
      <c r="P253" s="969"/>
      <c r="Q253" s="932">
        <f>SUM(Q254:Q256)</f>
        <v>3.3159999999999998</v>
      </c>
      <c r="R253" s="1615"/>
      <c r="S253" s="45"/>
      <c r="T253" s="233"/>
      <c r="U253" s="233"/>
      <c r="V253" s="233"/>
      <c r="W253" s="45">
        <v>10</v>
      </c>
      <c r="X253" s="233">
        <v>115.17</v>
      </c>
      <c r="Y253" s="45">
        <v>3</v>
      </c>
      <c r="Z253" s="309">
        <v>30</v>
      </c>
      <c r="AA253" s="19"/>
      <c r="AB253" s="3">
        <v>1</v>
      </c>
    </row>
    <row r="254" spans="1:29" s="16" customFormat="1" x14ac:dyDescent="0.35">
      <c r="A254" s="433"/>
      <c r="B254" s="1009">
        <v>10100</v>
      </c>
      <c r="C254" s="1009"/>
      <c r="D254" s="434"/>
      <c r="E254" s="840" t="s">
        <v>3604</v>
      </c>
      <c r="F254" s="1834">
        <v>4</v>
      </c>
      <c r="G254" s="1834">
        <v>4</v>
      </c>
      <c r="H254" s="2349">
        <v>6</v>
      </c>
      <c r="I254" s="297"/>
      <c r="J254" s="297"/>
      <c r="K254" s="297"/>
      <c r="L254" s="297"/>
      <c r="M254" s="297"/>
      <c r="N254" s="486"/>
      <c r="O254" s="619"/>
      <c r="P254" s="969"/>
      <c r="Q254" s="933">
        <v>1.5069999999999999</v>
      </c>
      <c r="R254" s="1615"/>
      <c r="S254" s="45"/>
      <c r="T254" s="233"/>
      <c r="U254" s="233"/>
      <c r="V254" s="233"/>
      <c r="W254" s="45"/>
      <c r="X254" s="233"/>
      <c r="Y254" s="45"/>
      <c r="Z254" s="309"/>
      <c r="AA254" s="3"/>
    </row>
    <row r="255" spans="1:29" s="16" customFormat="1" x14ac:dyDescent="0.35">
      <c r="A255" s="433"/>
      <c r="B255" s="1009">
        <v>10100</v>
      </c>
      <c r="C255" s="1009"/>
      <c r="D255" s="435"/>
      <c r="E255" s="430" t="s">
        <v>3605</v>
      </c>
      <c r="F255" s="1834">
        <v>4</v>
      </c>
      <c r="G255" s="1834">
        <v>4</v>
      </c>
      <c r="H255" s="2349">
        <v>6</v>
      </c>
      <c r="I255" s="298"/>
      <c r="J255" s="298"/>
      <c r="K255" s="298"/>
      <c r="L255" s="298"/>
      <c r="M255" s="298"/>
      <c r="N255" s="487">
        <f>2.981-1.507</f>
        <v>1.474</v>
      </c>
      <c r="O255" s="621"/>
      <c r="P255" s="970"/>
      <c r="Q255" s="933"/>
      <c r="R255" s="1616"/>
      <c r="S255" s="45"/>
      <c r="T255" s="233"/>
      <c r="U255" s="233"/>
      <c r="V255" s="233"/>
      <c r="W255" s="45"/>
      <c r="X255" s="233"/>
      <c r="Y255" s="45"/>
      <c r="Z255" s="309"/>
      <c r="AA255" s="21"/>
    </row>
    <row r="256" spans="1:29" s="16" customFormat="1" x14ac:dyDescent="0.35">
      <c r="A256" s="2044"/>
      <c r="B256" s="1009">
        <v>10100</v>
      </c>
      <c r="C256" s="1009"/>
      <c r="D256" s="436"/>
      <c r="E256" s="840" t="s">
        <v>3606</v>
      </c>
      <c r="F256" s="1834">
        <v>4</v>
      </c>
      <c r="G256" s="1834">
        <v>4</v>
      </c>
      <c r="H256" s="2349">
        <v>6</v>
      </c>
      <c r="I256" s="300"/>
      <c r="J256" s="300"/>
      <c r="K256" s="300"/>
      <c r="L256" s="300"/>
      <c r="M256" s="300"/>
      <c r="N256" s="487"/>
      <c r="O256" s="621"/>
      <c r="P256" s="970"/>
      <c r="Q256" s="933">
        <f>4.79-2.981</f>
        <v>1.8090000000000002</v>
      </c>
      <c r="R256" s="1616"/>
      <c r="S256" s="1641"/>
      <c r="T256" s="1642"/>
      <c r="U256" s="1642"/>
      <c r="V256" s="1642"/>
      <c r="W256" s="1641"/>
      <c r="X256" s="1642"/>
      <c r="Y256" s="1641"/>
      <c r="Z256" s="1643"/>
      <c r="AA256" s="20"/>
    </row>
    <row r="257" spans="1:28" s="16" customFormat="1" ht="30" x14ac:dyDescent="0.35">
      <c r="A257" s="433">
        <v>106</v>
      </c>
      <c r="B257" s="1009">
        <v>10101</v>
      </c>
      <c r="C257" s="1009"/>
      <c r="D257" s="434" t="s">
        <v>276</v>
      </c>
      <c r="E257" s="407" t="s">
        <v>2331</v>
      </c>
      <c r="F257" s="1834"/>
      <c r="G257" s="1834" t="s">
        <v>191</v>
      </c>
      <c r="H257" s="2349" t="s">
        <v>191</v>
      </c>
      <c r="I257" s="297">
        <f>J257+K257+L257</f>
        <v>5.56</v>
      </c>
      <c r="J257" s="297">
        <f>SUM(M257:R257)</f>
        <v>5.56</v>
      </c>
      <c r="K257" s="297"/>
      <c r="L257" s="297"/>
      <c r="M257" s="297"/>
      <c r="N257" s="486">
        <f>SUM(N258:N260)</f>
        <v>3.59</v>
      </c>
      <c r="O257" s="619"/>
      <c r="P257" s="969"/>
      <c r="Q257" s="932">
        <f>SUM(Q258:Q260)</f>
        <v>1.97</v>
      </c>
      <c r="R257" s="1615"/>
      <c r="S257" s="45"/>
      <c r="T257" s="233"/>
      <c r="U257" s="233"/>
      <c r="V257" s="233"/>
      <c r="W257" s="45">
        <v>4</v>
      </c>
      <c r="X257" s="233">
        <v>61</v>
      </c>
      <c r="Y257" s="45">
        <v>3</v>
      </c>
      <c r="Z257" s="309">
        <v>40.6</v>
      </c>
      <c r="AA257" s="20"/>
      <c r="AB257" s="3">
        <v>1</v>
      </c>
    </row>
    <row r="258" spans="1:28" s="16" customFormat="1" x14ac:dyDescent="0.35">
      <c r="A258" s="433"/>
      <c r="B258" s="1009">
        <v>10101</v>
      </c>
      <c r="C258" s="1009"/>
      <c r="D258" s="434"/>
      <c r="E258" s="408" t="s">
        <v>2332</v>
      </c>
      <c r="F258" s="1834">
        <v>4</v>
      </c>
      <c r="G258" s="1834">
        <v>4</v>
      </c>
      <c r="H258" s="2349">
        <v>6</v>
      </c>
      <c r="I258" s="297"/>
      <c r="J258" s="297"/>
      <c r="K258" s="297"/>
      <c r="L258" s="297"/>
      <c r="M258" s="297"/>
      <c r="N258" s="488">
        <v>0.13</v>
      </c>
      <c r="O258" s="619"/>
      <c r="P258" s="969"/>
      <c r="Q258" s="932"/>
      <c r="R258" s="1615"/>
      <c r="S258" s="45"/>
      <c r="T258" s="233"/>
      <c r="U258" s="233"/>
      <c r="V258" s="233"/>
      <c r="W258" s="45"/>
      <c r="X258" s="233"/>
      <c r="Y258" s="45"/>
      <c r="Z258" s="309"/>
      <c r="AB258" s="3"/>
    </row>
    <row r="259" spans="1:28" s="16" customFormat="1" x14ac:dyDescent="0.35">
      <c r="A259" s="2044"/>
      <c r="B259" s="1009">
        <v>10101</v>
      </c>
      <c r="C259" s="1009"/>
      <c r="D259" s="436"/>
      <c r="E259" s="840" t="s">
        <v>251</v>
      </c>
      <c r="F259" s="1834">
        <v>4</v>
      </c>
      <c r="G259" s="1834">
        <v>4</v>
      </c>
      <c r="H259" s="2349">
        <v>6</v>
      </c>
      <c r="I259" s="1008"/>
      <c r="J259" s="300"/>
      <c r="K259" s="300"/>
      <c r="L259" s="300"/>
      <c r="M259" s="300"/>
      <c r="N259" s="487"/>
      <c r="O259" s="621"/>
      <c r="P259" s="970"/>
      <c r="Q259" s="933">
        <v>1.97</v>
      </c>
      <c r="R259" s="1616"/>
      <c r="S259" s="1641"/>
      <c r="T259" s="1642"/>
      <c r="U259" s="1642"/>
      <c r="V259" s="1642"/>
      <c r="W259" s="1641"/>
      <c r="X259" s="1642"/>
      <c r="Y259" s="1641"/>
      <c r="Z259" s="1643"/>
      <c r="AB259" s="3"/>
    </row>
    <row r="260" spans="1:28" s="19" customFormat="1" x14ac:dyDescent="0.35">
      <c r="A260" s="433"/>
      <c r="B260" s="1009">
        <v>10101</v>
      </c>
      <c r="C260" s="1009"/>
      <c r="D260" s="435"/>
      <c r="E260" s="430" t="s">
        <v>1092</v>
      </c>
      <c r="F260" s="1834">
        <v>4</v>
      </c>
      <c r="G260" s="1834">
        <v>4</v>
      </c>
      <c r="H260" s="2349">
        <v>6</v>
      </c>
      <c r="I260" s="499"/>
      <c r="J260" s="298"/>
      <c r="K260" s="298"/>
      <c r="L260" s="298"/>
      <c r="M260" s="298"/>
      <c r="N260" s="487">
        <v>3.46</v>
      </c>
      <c r="O260" s="621"/>
      <c r="P260" s="970"/>
      <c r="Q260" s="933"/>
      <c r="R260" s="1616"/>
      <c r="S260" s="45"/>
      <c r="T260" s="233"/>
      <c r="U260" s="233"/>
      <c r="V260" s="233"/>
      <c r="W260" s="45"/>
      <c r="X260" s="233"/>
      <c r="Y260" s="45"/>
      <c r="Z260" s="309"/>
      <c r="AA260" s="16"/>
    </row>
    <row r="261" spans="1:28" s="20" customFormat="1" ht="30.5" x14ac:dyDescent="0.35">
      <c r="A261" s="439">
        <v>107</v>
      </c>
      <c r="B261" s="1004">
        <v>10101</v>
      </c>
      <c r="C261" s="1004" t="s">
        <v>1656</v>
      </c>
      <c r="D261" s="2460" t="s">
        <v>3932</v>
      </c>
      <c r="E261" s="407" t="s">
        <v>8192</v>
      </c>
      <c r="F261" s="1834" t="s">
        <v>664</v>
      </c>
      <c r="G261" s="1834">
        <v>5</v>
      </c>
      <c r="H261" s="2349">
        <v>6</v>
      </c>
      <c r="I261" s="483">
        <f>J261+K261+L261</f>
        <v>0.2</v>
      </c>
      <c r="J261" s="297">
        <f>SUM(M261:R261)</f>
        <v>0.2</v>
      </c>
      <c r="K261" s="297"/>
      <c r="L261" s="297"/>
      <c r="M261" s="297"/>
      <c r="N261" s="486"/>
      <c r="O261" s="619"/>
      <c r="P261" s="969"/>
      <c r="Q261" s="932"/>
      <c r="R261" s="1615">
        <v>0.2</v>
      </c>
      <c r="S261" s="45"/>
      <c r="T261" s="233"/>
      <c r="U261" s="233"/>
      <c r="V261" s="233"/>
      <c r="W261" s="45"/>
      <c r="X261" s="233"/>
      <c r="Y261" s="45"/>
      <c r="Z261" s="309"/>
      <c r="AA261" s="19"/>
      <c r="AB261" s="3">
        <v>1</v>
      </c>
    </row>
    <row r="262" spans="1:28" s="19" customFormat="1" ht="30.5" x14ac:dyDescent="0.35">
      <c r="A262" s="439">
        <v>108</v>
      </c>
      <c r="B262" s="1004">
        <v>10101</v>
      </c>
      <c r="C262" s="1004" t="s">
        <v>1656</v>
      </c>
      <c r="D262" s="2460" t="s">
        <v>3933</v>
      </c>
      <c r="E262" s="407" t="s">
        <v>8193</v>
      </c>
      <c r="F262" s="1834" t="s">
        <v>664</v>
      </c>
      <c r="G262" s="1834">
        <v>5</v>
      </c>
      <c r="H262" s="2349">
        <v>6</v>
      </c>
      <c r="I262" s="297">
        <f>J262+K262+L262</f>
        <v>0.4</v>
      </c>
      <c r="J262" s="297">
        <f>SUM(M262:R262)</f>
        <v>0.4</v>
      </c>
      <c r="K262" s="297"/>
      <c r="L262" s="297"/>
      <c r="M262" s="297"/>
      <c r="N262" s="486"/>
      <c r="O262" s="619"/>
      <c r="P262" s="969"/>
      <c r="Q262" s="932"/>
      <c r="R262" s="1615">
        <v>0.4</v>
      </c>
      <c r="S262" s="45"/>
      <c r="T262" s="233"/>
      <c r="U262" s="233"/>
      <c r="V262" s="233"/>
      <c r="W262" s="45"/>
      <c r="X262" s="233"/>
      <c r="Y262" s="45"/>
      <c r="Z262" s="309"/>
      <c r="AA262" s="3"/>
      <c r="AB262" s="3">
        <v>1</v>
      </c>
    </row>
    <row r="263" spans="1:28" ht="30.5" x14ac:dyDescent="0.35">
      <c r="A263" s="433">
        <v>109</v>
      </c>
      <c r="B263" s="1009">
        <v>10102</v>
      </c>
      <c r="C263" s="1009"/>
      <c r="D263" s="434" t="s">
        <v>1805</v>
      </c>
      <c r="E263" s="407" t="s">
        <v>1111</v>
      </c>
      <c r="F263" s="1834"/>
      <c r="G263" s="1834" t="s">
        <v>191</v>
      </c>
      <c r="H263" s="2349" t="s">
        <v>191</v>
      </c>
      <c r="I263" s="297">
        <f>J263+K263+L263</f>
        <v>4.79</v>
      </c>
      <c r="J263" s="297">
        <f>SUM(M263:R263)</f>
        <v>4.79</v>
      </c>
      <c r="K263" s="297"/>
      <c r="L263" s="297"/>
      <c r="M263" s="297"/>
      <c r="N263" s="486">
        <f>SUM(N264:N267)</f>
        <v>1.52</v>
      </c>
      <c r="O263" s="619"/>
      <c r="P263" s="969"/>
      <c r="Q263" s="932">
        <f>SUM(Q264:Q267)</f>
        <v>3.27</v>
      </c>
      <c r="R263" s="1615"/>
      <c r="S263" s="45"/>
      <c r="T263" s="233"/>
      <c r="U263" s="233"/>
      <c r="V263" s="233"/>
      <c r="W263" s="45">
        <v>11</v>
      </c>
      <c r="X263" s="233">
        <v>137.5</v>
      </c>
      <c r="Y263" s="45">
        <v>5</v>
      </c>
      <c r="Z263" s="309">
        <v>60.6</v>
      </c>
      <c r="AA263" s="16"/>
      <c r="AB263" s="3">
        <v>1</v>
      </c>
    </row>
    <row r="264" spans="1:28" s="16" customFormat="1" x14ac:dyDescent="0.35">
      <c r="A264" s="433"/>
      <c r="B264" s="1009">
        <v>10102</v>
      </c>
      <c r="C264" s="1009"/>
      <c r="D264" s="435"/>
      <c r="E264" s="430" t="s">
        <v>742</v>
      </c>
      <c r="F264" s="1834">
        <v>4</v>
      </c>
      <c r="G264" s="1834">
        <v>4</v>
      </c>
      <c r="H264" s="2349">
        <v>6</v>
      </c>
      <c r="I264" s="298"/>
      <c r="J264" s="298"/>
      <c r="K264" s="298"/>
      <c r="L264" s="298"/>
      <c r="M264" s="298"/>
      <c r="N264" s="487">
        <v>0.97</v>
      </c>
      <c r="O264" s="621"/>
      <c r="P264" s="970"/>
      <c r="Q264" s="933"/>
      <c r="R264" s="1616"/>
      <c r="S264" s="45"/>
      <c r="T264" s="233"/>
      <c r="U264" s="233"/>
      <c r="V264" s="233"/>
      <c r="W264" s="45"/>
      <c r="X264" s="233"/>
      <c r="Y264" s="45"/>
      <c r="Z264" s="309"/>
      <c r="AB264" s="3"/>
    </row>
    <row r="265" spans="1:28" s="16" customFormat="1" x14ac:dyDescent="0.35">
      <c r="A265" s="2044"/>
      <c r="B265" s="1009">
        <v>10102</v>
      </c>
      <c r="C265" s="1009"/>
      <c r="D265" s="436"/>
      <c r="E265" s="840" t="s">
        <v>743</v>
      </c>
      <c r="F265" s="1834">
        <v>4</v>
      </c>
      <c r="G265" s="1834">
        <v>4</v>
      </c>
      <c r="H265" s="2349">
        <v>6</v>
      </c>
      <c r="I265" s="1008"/>
      <c r="J265" s="300"/>
      <c r="K265" s="300"/>
      <c r="L265" s="300"/>
      <c r="M265" s="300"/>
      <c r="N265" s="487"/>
      <c r="O265" s="621"/>
      <c r="P265" s="970"/>
      <c r="Q265" s="933">
        <v>1.75</v>
      </c>
      <c r="R265" s="1616"/>
      <c r="S265" s="1641"/>
      <c r="T265" s="1642"/>
      <c r="U265" s="1642"/>
      <c r="V265" s="1642"/>
      <c r="W265" s="1641"/>
      <c r="X265" s="1642"/>
      <c r="Y265" s="1641"/>
      <c r="Z265" s="1643"/>
      <c r="AB265" s="3"/>
    </row>
    <row r="266" spans="1:28" s="16" customFormat="1" x14ac:dyDescent="0.35">
      <c r="A266" s="433"/>
      <c r="B266" s="1009">
        <v>10102</v>
      </c>
      <c r="C266" s="1009"/>
      <c r="D266" s="435"/>
      <c r="E266" s="430" t="s">
        <v>744</v>
      </c>
      <c r="F266" s="1834">
        <v>4</v>
      </c>
      <c r="G266" s="1834">
        <v>4</v>
      </c>
      <c r="H266" s="2349">
        <v>6</v>
      </c>
      <c r="I266" s="499"/>
      <c r="J266" s="298"/>
      <c r="K266" s="298"/>
      <c r="L266" s="298"/>
      <c r="M266" s="298"/>
      <c r="N266" s="487">
        <v>0.55000000000000004</v>
      </c>
      <c r="O266" s="621"/>
      <c r="P266" s="970"/>
      <c r="Q266" s="933"/>
      <c r="R266" s="1616"/>
      <c r="S266" s="45"/>
      <c r="T266" s="233"/>
      <c r="U266" s="233"/>
      <c r="V266" s="233"/>
      <c r="W266" s="45"/>
      <c r="X266" s="233"/>
      <c r="Y266" s="45"/>
      <c r="Z266" s="309"/>
    </row>
    <row r="267" spans="1:28" s="16" customFormat="1" x14ac:dyDescent="0.35">
      <c r="A267" s="2044"/>
      <c r="B267" s="1009">
        <v>10102</v>
      </c>
      <c r="C267" s="1009"/>
      <c r="D267" s="436"/>
      <c r="E267" s="840" t="s">
        <v>745</v>
      </c>
      <c r="F267" s="1834">
        <v>4</v>
      </c>
      <c r="G267" s="1834">
        <v>4</v>
      </c>
      <c r="H267" s="2349">
        <v>6</v>
      </c>
      <c r="I267" s="1008"/>
      <c r="J267" s="300"/>
      <c r="K267" s="300"/>
      <c r="L267" s="300"/>
      <c r="M267" s="300"/>
      <c r="N267" s="487"/>
      <c r="O267" s="621"/>
      <c r="P267" s="970"/>
      <c r="Q267" s="933">
        <v>1.52</v>
      </c>
      <c r="R267" s="1616"/>
      <c r="S267" s="1641"/>
      <c r="T267" s="1642"/>
      <c r="U267" s="1642"/>
      <c r="V267" s="1642"/>
      <c r="W267" s="1641"/>
      <c r="X267" s="1642"/>
      <c r="Y267" s="1641"/>
      <c r="Z267" s="1643"/>
    </row>
    <row r="268" spans="1:28" ht="45.5" x14ac:dyDescent="0.35">
      <c r="A268" s="439">
        <v>110</v>
      </c>
      <c r="B268" s="1004">
        <v>10102</v>
      </c>
      <c r="C268" s="1004" t="s">
        <v>1656</v>
      </c>
      <c r="D268" s="2460" t="s">
        <v>3934</v>
      </c>
      <c r="E268" s="407" t="s">
        <v>8194</v>
      </c>
      <c r="F268" s="1834" t="s">
        <v>827</v>
      </c>
      <c r="G268" s="1834">
        <v>5</v>
      </c>
      <c r="H268" s="2349">
        <v>6</v>
      </c>
      <c r="I268" s="483">
        <f>J268+K268+L268</f>
        <v>1</v>
      </c>
      <c r="J268" s="297">
        <f>SUM(M268:R268)</f>
        <v>1</v>
      </c>
      <c r="K268" s="297"/>
      <c r="L268" s="297"/>
      <c r="M268" s="297"/>
      <c r="N268" s="486"/>
      <c r="O268" s="619"/>
      <c r="P268" s="969"/>
      <c r="Q268" s="932"/>
      <c r="R268" s="1615">
        <v>1</v>
      </c>
      <c r="S268" s="45"/>
      <c r="T268" s="233"/>
      <c r="U268" s="233"/>
      <c r="V268" s="233"/>
      <c r="W268" s="45"/>
      <c r="X268" s="233"/>
      <c r="Y268" s="45"/>
      <c r="Z268" s="309"/>
      <c r="AA268" s="16"/>
      <c r="AB268" s="3">
        <v>1</v>
      </c>
    </row>
    <row r="269" spans="1:28" s="19" customFormat="1" ht="30" x14ac:dyDescent="0.35">
      <c r="A269" s="2047">
        <v>111</v>
      </c>
      <c r="B269" s="1010">
        <v>10103</v>
      </c>
      <c r="C269" s="1010"/>
      <c r="D269" s="505" t="s">
        <v>1806</v>
      </c>
      <c r="E269" s="506" t="s">
        <v>9507</v>
      </c>
      <c r="F269" s="1834"/>
      <c r="G269" s="1834" t="s">
        <v>191</v>
      </c>
      <c r="H269" s="2349" t="s">
        <v>191</v>
      </c>
      <c r="I269" s="297">
        <f>J269+K269+L269</f>
        <v>4.0620000000000003</v>
      </c>
      <c r="J269" s="297">
        <f>SUM(M269:R269)</f>
        <v>3.9580000000000002</v>
      </c>
      <c r="K269" s="297"/>
      <c r="L269" s="297">
        <f>SUM(L270:L272)</f>
        <v>0.10400000000000009</v>
      </c>
      <c r="M269" s="297"/>
      <c r="N269" s="297">
        <f>SUM(N270:N272)</f>
        <v>3.9580000000000002</v>
      </c>
      <c r="O269" s="619"/>
      <c r="P269" s="969"/>
      <c r="Q269" s="932"/>
      <c r="R269" s="1615"/>
      <c r="S269" s="45"/>
      <c r="T269" s="233"/>
      <c r="U269" s="233"/>
      <c r="V269" s="233"/>
      <c r="W269" s="45">
        <v>6</v>
      </c>
      <c r="X269" s="233">
        <v>92.3</v>
      </c>
      <c r="Y269" s="45"/>
      <c r="Z269" s="309"/>
      <c r="AA269" s="16"/>
      <c r="AB269" s="3">
        <v>1</v>
      </c>
    </row>
    <row r="270" spans="1:28" s="16" customFormat="1" x14ac:dyDescent="0.35">
      <c r="A270" s="2047"/>
      <c r="B270" s="1010">
        <v>10103</v>
      </c>
      <c r="C270" s="1010"/>
      <c r="D270" s="505"/>
      <c r="E270" s="507" t="s">
        <v>1090</v>
      </c>
      <c r="F270" s="1834">
        <v>4</v>
      </c>
      <c r="G270" s="1834">
        <v>4</v>
      </c>
      <c r="H270" s="2349">
        <v>6</v>
      </c>
      <c r="I270" s="483"/>
      <c r="J270" s="297"/>
      <c r="K270" s="297"/>
      <c r="L270" s="297"/>
      <c r="M270" s="297"/>
      <c r="N270" s="303">
        <v>3.012</v>
      </c>
      <c r="O270" s="619"/>
      <c r="P270" s="969"/>
      <c r="Q270" s="932"/>
      <c r="R270" s="1615"/>
      <c r="S270" s="45"/>
      <c r="T270" s="233"/>
      <c r="U270" s="233"/>
      <c r="V270" s="233"/>
      <c r="W270" s="45"/>
      <c r="X270" s="233"/>
      <c r="Y270" s="45"/>
      <c r="Z270" s="309"/>
      <c r="AA270" s="19"/>
      <c r="AB270" s="3"/>
    </row>
    <row r="271" spans="1:28" s="16" customFormat="1" ht="62" x14ac:dyDescent="0.35">
      <c r="A271" s="2047"/>
      <c r="B271" s="1010">
        <v>10103</v>
      </c>
      <c r="C271" s="1010"/>
      <c r="D271" s="505"/>
      <c r="E271" s="507" t="s">
        <v>9759</v>
      </c>
      <c r="F271" s="1834">
        <v>4</v>
      </c>
      <c r="G271" s="1834">
        <v>4</v>
      </c>
      <c r="H271" s="2349" t="s">
        <v>191</v>
      </c>
      <c r="I271" s="499"/>
      <c r="J271" s="298"/>
      <c r="K271" s="298"/>
      <c r="L271" s="298">
        <f>3.116-3.012</f>
        <v>0.10400000000000009</v>
      </c>
      <c r="M271" s="297"/>
      <c r="N271" s="486"/>
      <c r="O271" s="619"/>
      <c r="P271" s="969"/>
      <c r="Q271" s="932"/>
      <c r="R271" s="1615"/>
      <c r="S271" s="45"/>
      <c r="T271" s="233"/>
      <c r="U271" s="233"/>
      <c r="V271" s="233"/>
      <c r="W271" s="45"/>
      <c r="X271" s="233"/>
      <c r="Y271" s="45"/>
      <c r="Z271" s="309"/>
      <c r="AA271" s="20"/>
      <c r="AB271" s="3"/>
    </row>
    <row r="272" spans="1:28" s="19" customFormat="1" x14ac:dyDescent="0.35">
      <c r="A272" s="2047"/>
      <c r="B272" s="1010">
        <v>10103</v>
      </c>
      <c r="C272" s="1010"/>
      <c r="D272" s="505"/>
      <c r="E272" s="507" t="s">
        <v>3202</v>
      </c>
      <c r="F272" s="1834">
        <v>4</v>
      </c>
      <c r="G272" s="1834">
        <v>4</v>
      </c>
      <c r="H272" s="2349">
        <v>6</v>
      </c>
      <c r="I272" s="499"/>
      <c r="J272" s="298"/>
      <c r="K272" s="298"/>
      <c r="L272" s="298"/>
      <c r="M272" s="297"/>
      <c r="N272" s="488">
        <f>4.062-3.116</f>
        <v>0.94600000000000017</v>
      </c>
      <c r="O272" s="619"/>
      <c r="P272" s="969"/>
      <c r="Q272" s="932"/>
      <c r="R272" s="1615"/>
      <c r="S272" s="45"/>
      <c r="T272" s="233"/>
      <c r="U272" s="233"/>
      <c r="V272" s="233"/>
      <c r="W272" s="45"/>
      <c r="X272" s="233"/>
      <c r="Y272" s="45"/>
      <c r="Z272" s="309"/>
    </row>
    <row r="273" spans="1:28" ht="30.5" x14ac:dyDescent="0.35">
      <c r="A273" s="2188">
        <v>112</v>
      </c>
      <c r="B273" s="1010">
        <v>10103</v>
      </c>
      <c r="C273" s="1004" t="s">
        <v>1656</v>
      </c>
      <c r="D273" s="2460" t="s">
        <v>3935</v>
      </c>
      <c r="E273" s="407" t="s">
        <v>9508</v>
      </c>
      <c r="F273" s="1834" t="s">
        <v>1490</v>
      </c>
      <c r="G273" s="1834">
        <v>5</v>
      </c>
      <c r="H273" s="2349">
        <v>6</v>
      </c>
      <c r="I273" s="297">
        <f>J273+K273+L273</f>
        <v>0.7</v>
      </c>
      <c r="J273" s="297">
        <f>SUM(M273:R273)</f>
        <v>0.7</v>
      </c>
      <c r="K273" s="297"/>
      <c r="L273" s="297"/>
      <c r="M273" s="297"/>
      <c r="N273" s="486"/>
      <c r="O273" s="619"/>
      <c r="P273" s="969"/>
      <c r="Q273" s="932"/>
      <c r="R273" s="925">
        <v>0.7</v>
      </c>
      <c r="S273" s="45"/>
      <c r="T273" s="233"/>
      <c r="U273" s="233"/>
      <c r="V273" s="233"/>
      <c r="W273" s="45"/>
      <c r="X273" s="233"/>
      <c r="Y273" s="45"/>
      <c r="Z273" s="2194"/>
      <c r="AA273" s="19"/>
      <c r="AB273" s="3">
        <v>1</v>
      </c>
    </row>
    <row r="274" spans="1:28" ht="45.5" x14ac:dyDescent="0.35">
      <c r="A274" s="433">
        <v>113</v>
      </c>
      <c r="B274" s="1009">
        <v>10104</v>
      </c>
      <c r="C274" s="1009"/>
      <c r="D274" s="434" t="s">
        <v>1807</v>
      </c>
      <c r="E274" s="407" t="s">
        <v>7041</v>
      </c>
      <c r="F274" s="1834">
        <v>4</v>
      </c>
      <c r="G274" s="1834">
        <v>4</v>
      </c>
      <c r="H274" s="2349">
        <v>6</v>
      </c>
      <c r="I274" s="297">
        <f>J274+K274+L274</f>
        <v>7.8520000000000003</v>
      </c>
      <c r="J274" s="297">
        <f>SUM(M274:R274)</f>
        <v>7.8520000000000003</v>
      </c>
      <c r="K274" s="297"/>
      <c r="L274" s="297"/>
      <c r="M274" s="297"/>
      <c r="N274" s="486">
        <v>7.8520000000000003</v>
      </c>
      <c r="O274" s="619"/>
      <c r="P274" s="969"/>
      <c r="Q274" s="932"/>
      <c r="R274" s="1615"/>
      <c r="S274" s="45"/>
      <c r="T274" s="233"/>
      <c r="U274" s="233"/>
      <c r="V274" s="233"/>
      <c r="W274" s="45">
        <v>24</v>
      </c>
      <c r="X274" s="233">
        <v>308</v>
      </c>
      <c r="Y274" s="45">
        <v>9</v>
      </c>
      <c r="Z274" s="309">
        <v>105</v>
      </c>
      <c r="AA274" s="2362" t="s">
        <v>180</v>
      </c>
      <c r="AB274" s="3">
        <v>1</v>
      </c>
    </row>
    <row r="275" spans="1:28" s="16" customFormat="1" ht="30" x14ac:dyDescent="0.35">
      <c r="A275" s="433">
        <v>114</v>
      </c>
      <c r="B275" s="1009">
        <v>10105</v>
      </c>
      <c r="C275" s="1009"/>
      <c r="D275" s="434" t="s">
        <v>321</v>
      </c>
      <c r="E275" s="407" t="s">
        <v>7222</v>
      </c>
      <c r="F275" s="1834"/>
      <c r="G275" s="1834" t="s">
        <v>191</v>
      </c>
      <c r="H275" s="2349" t="s">
        <v>191</v>
      </c>
      <c r="I275" s="297">
        <f>J275+K275+L275</f>
        <v>4.6999999999999993</v>
      </c>
      <c r="J275" s="297">
        <f>SUM(M275:R275)</f>
        <v>4.5039999999999996</v>
      </c>
      <c r="K275" s="297"/>
      <c r="L275" s="486">
        <f>SUM(L276:L280)</f>
        <v>0.19600000000000017</v>
      </c>
      <c r="M275" s="297"/>
      <c r="N275" s="486">
        <f>SUM(N276:N280)</f>
        <v>0.14000000000000001</v>
      </c>
      <c r="O275" s="619"/>
      <c r="P275" s="969"/>
      <c r="Q275" s="932"/>
      <c r="R275" s="1615">
        <f>SUM(R276:R280)</f>
        <v>4.3639999999999999</v>
      </c>
      <c r="S275" s="45"/>
      <c r="T275" s="233"/>
      <c r="U275" s="233"/>
      <c r="V275" s="233"/>
      <c r="W275" s="45">
        <v>4</v>
      </c>
      <c r="X275" s="233">
        <v>40.4</v>
      </c>
      <c r="Y275" s="45"/>
      <c r="Z275" s="309"/>
      <c r="AB275" s="3">
        <v>1</v>
      </c>
    </row>
    <row r="276" spans="1:28" s="16" customFormat="1" x14ac:dyDescent="0.35">
      <c r="A276" s="433"/>
      <c r="B276" s="1009">
        <v>10105</v>
      </c>
      <c r="C276" s="1009"/>
      <c r="D276" s="434"/>
      <c r="E276" s="430" t="s">
        <v>1321</v>
      </c>
      <c r="F276" s="1834">
        <v>5</v>
      </c>
      <c r="G276" s="1834">
        <v>5</v>
      </c>
      <c r="H276" s="2349">
        <v>6</v>
      </c>
      <c r="I276" s="298"/>
      <c r="J276" s="298"/>
      <c r="K276" s="298"/>
      <c r="L276" s="298"/>
      <c r="M276" s="298"/>
      <c r="N276" s="487">
        <v>0.14000000000000001</v>
      </c>
      <c r="O276" s="621"/>
      <c r="P276" s="970"/>
      <c r="Q276" s="933"/>
      <c r="R276" s="1616"/>
      <c r="S276" s="45"/>
      <c r="T276" s="233"/>
      <c r="U276" s="233"/>
      <c r="V276" s="233"/>
      <c r="W276" s="45"/>
      <c r="X276" s="233"/>
      <c r="Y276" s="45"/>
      <c r="Z276" s="309"/>
    </row>
    <row r="277" spans="1:28" s="16" customFormat="1" x14ac:dyDescent="0.35">
      <c r="A277" s="433"/>
      <c r="B277" s="1009">
        <v>10105</v>
      </c>
      <c r="C277" s="1009"/>
      <c r="D277" s="434"/>
      <c r="E277" s="841" t="s">
        <v>752</v>
      </c>
      <c r="F277" s="1834" t="s">
        <v>827</v>
      </c>
      <c r="G277" s="1834">
        <v>5</v>
      </c>
      <c r="H277" s="2349">
        <v>6</v>
      </c>
      <c r="I277" s="298"/>
      <c r="J277" s="298"/>
      <c r="K277" s="298"/>
      <c r="L277" s="298"/>
      <c r="M277" s="298"/>
      <c r="N277" s="487"/>
      <c r="O277" s="621"/>
      <c r="P277" s="970"/>
      <c r="Q277" s="933"/>
      <c r="R277" s="1616">
        <v>0.61</v>
      </c>
      <c r="S277" s="45"/>
      <c r="T277" s="233"/>
      <c r="U277" s="233"/>
      <c r="V277" s="233"/>
      <c r="W277" s="45"/>
      <c r="X277" s="233"/>
      <c r="Y277" s="45"/>
      <c r="Z277" s="309"/>
    </row>
    <row r="278" spans="1:28" s="16" customFormat="1" x14ac:dyDescent="0.35">
      <c r="A278" s="433"/>
      <c r="B278" s="1009">
        <v>10105</v>
      </c>
      <c r="C278" s="1009"/>
      <c r="D278" s="434"/>
      <c r="E278" s="841" t="s">
        <v>557</v>
      </c>
      <c r="F278" s="1834" t="s">
        <v>664</v>
      </c>
      <c r="G278" s="1834">
        <v>5</v>
      </c>
      <c r="H278" s="2349">
        <v>6</v>
      </c>
      <c r="I278" s="499"/>
      <c r="J278" s="298"/>
      <c r="K278" s="298"/>
      <c r="L278" s="298"/>
      <c r="M278" s="298"/>
      <c r="N278" s="487"/>
      <c r="O278" s="621"/>
      <c r="P278" s="970"/>
      <c r="Q278" s="933"/>
      <c r="R278" s="1616">
        <v>2.0299999999999998</v>
      </c>
      <c r="S278" s="45"/>
      <c r="T278" s="233"/>
      <c r="U278" s="233"/>
      <c r="V278" s="233"/>
      <c r="W278" s="45"/>
      <c r="X278" s="233"/>
      <c r="Y278" s="45"/>
      <c r="Z278" s="309"/>
      <c r="AB278" s="3"/>
    </row>
    <row r="279" spans="1:28" s="16" customFormat="1" ht="46.5" x14ac:dyDescent="0.35">
      <c r="A279" s="433"/>
      <c r="B279" s="1009">
        <v>10105</v>
      </c>
      <c r="C279" s="1009"/>
      <c r="D279" s="434"/>
      <c r="E279" s="430" t="s">
        <v>9760</v>
      </c>
      <c r="F279" s="1834">
        <v>5</v>
      </c>
      <c r="G279" s="1834">
        <v>5</v>
      </c>
      <c r="H279" s="2349" t="s">
        <v>191</v>
      </c>
      <c r="I279" s="499"/>
      <c r="J279" s="298"/>
      <c r="K279" s="298"/>
      <c r="L279" s="298">
        <v>0.19600000000000017</v>
      </c>
      <c r="M279" s="298"/>
      <c r="N279" s="487"/>
      <c r="O279" s="621"/>
      <c r="P279" s="970"/>
      <c r="Q279" s="933"/>
      <c r="R279" s="1616"/>
      <c r="S279" s="45"/>
      <c r="T279" s="233"/>
      <c r="U279" s="233"/>
      <c r="V279" s="233"/>
      <c r="W279" s="45"/>
      <c r="X279" s="233"/>
      <c r="Y279" s="45"/>
      <c r="Z279" s="309"/>
      <c r="AB279" s="3"/>
    </row>
    <row r="280" spans="1:28" s="16" customFormat="1" x14ac:dyDescent="0.35">
      <c r="A280" s="433"/>
      <c r="B280" s="1009">
        <v>10105</v>
      </c>
      <c r="C280" s="1009"/>
      <c r="D280" s="434"/>
      <c r="E280" s="841" t="s">
        <v>1727</v>
      </c>
      <c r="F280" s="1834" t="s">
        <v>827</v>
      </c>
      <c r="G280" s="1834">
        <v>5</v>
      </c>
      <c r="H280" s="2349">
        <v>6</v>
      </c>
      <c r="I280" s="499"/>
      <c r="J280" s="298"/>
      <c r="K280" s="298"/>
      <c r="L280" s="298"/>
      <c r="M280" s="298"/>
      <c r="N280" s="487"/>
      <c r="O280" s="621"/>
      <c r="P280" s="970"/>
      <c r="Q280" s="933"/>
      <c r="R280" s="1616">
        <v>1.724</v>
      </c>
      <c r="S280" s="45"/>
      <c r="T280" s="233"/>
      <c r="U280" s="233"/>
      <c r="V280" s="233"/>
      <c r="W280" s="45"/>
      <c r="X280" s="233"/>
      <c r="Y280" s="45"/>
      <c r="Z280" s="309"/>
      <c r="AA280" s="3"/>
      <c r="AB280" s="3"/>
    </row>
    <row r="281" spans="1:28" s="16" customFormat="1" ht="30.5" x14ac:dyDescent="0.35">
      <c r="A281" s="439">
        <v>115</v>
      </c>
      <c r="B281" s="1004">
        <v>10105</v>
      </c>
      <c r="C281" s="1004" t="s">
        <v>1656</v>
      </c>
      <c r="D281" s="2460" t="s">
        <v>3936</v>
      </c>
      <c r="E281" s="407" t="s">
        <v>8195</v>
      </c>
      <c r="F281" s="1834" t="s">
        <v>827</v>
      </c>
      <c r="G281" s="1834">
        <v>5</v>
      </c>
      <c r="H281" s="2349">
        <v>6</v>
      </c>
      <c r="I281" s="483">
        <f t="shared" ref="I281:I287" si="18">J281+K281+L281</f>
        <v>0.48</v>
      </c>
      <c r="J281" s="297">
        <f t="shared" ref="J281:J287" si="19">SUM(M281:R281)</f>
        <v>0.48</v>
      </c>
      <c r="K281" s="297"/>
      <c r="L281" s="297"/>
      <c r="M281" s="297"/>
      <c r="N281" s="486"/>
      <c r="O281" s="619"/>
      <c r="P281" s="969"/>
      <c r="Q281" s="932"/>
      <c r="R281" s="1615">
        <v>0.48</v>
      </c>
      <c r="S281" s="45"/>
      <c r="T281" s="233"/>
      <c r="U281" s="233"/>
      <c r="V281" s="233"/>
      <c r="W281" s="45"/>
      <c r="X281" s="233"/>
      <c r="Y281" s="45"/>
      <c r="Z281" s="309"/>
      <c r="AA281" s="19"/>
      <c r="AB281" s="3">
        <v>1</v>
      </c>
    </row>
    <row r="282" spans="1:28" s="16" customFormat="1" ht="30" x14ac:dyDescent="0.35">
      <c r="A282" s="433">
        <v>116</v>
      </c>
      <c r="B282" s="1009">
        <v>10106</v>
      </c>
      <c r="C282" s="1009"/>
      <c r="D282" s="434" t="s">
        <v>1808</v>
      </c>
      <c r="E282" s="407" t="s">
        <v>9652</v>
      </c>
      <c r="F282" s="1834">
        <v>4</v>
      </c>
      <c r="G282" s="1834">
        <v>4</v>
      </c>
      <c r="H282" s="2349">
        <v>6</v>
      </c>
      <c r="I282" s="483">
        <f t="shared" si="18"/>
        <v>5.08</v>
      </c>
      <c r="J282" s="297">
        <f t="shared" si="19"/>
        <v>5.08</v>
      </c>
      <c r="K282" s="297"/>
      <c r="L282" s="297"/>
      <c r="M282" s="297"/>
      <c r="N282" s="486">
        <v>5.08</v>
      </c>
      <c r="O282" s="619"/>
      <c r="P282" s="969"/>
      <c r="Q282" s="932"/>
      <c r="R282" s="1615"/>
      <c r="S282" s="45"/>
      <c r="T282" s="233"/>
      <c r="U282" s="233"/>
      <c r="V282" s="233"/>
      <c r="W282" s="45">
        <v>21</v>
      </c>
      <c r="X282" s="233">
        <v>239</v>
      </c>
      <c r="Y282" s="45">
        <v>16</v>
      </c>
      <c r="Z282" s="309">
        <v>169.5</v>
      </c>
      <c r="AB282" s="3">
        <v>1</v>
      </c>
    </row>
    <row r="283" spans="1:28" s="16" customFormat="1" ht="30.5" x14ac:dyDescent="0.35">
      <c r="A283" s="439">
        <v>117</v>
      </c>
      <c r="B283" s="1003">
        <v>10106</v>
      </c>
      <c r="C283" s="1003"/>
      <c r="D283" s="2460" t="s">
        <v>3937</v>
      </c>
      <c r="E283" s="407" t="s">
        <v>9653</v>
      </c>
      <c r="F283" s="1834" t="s">
        <v>1490</v>
      </c>
      <c r="G283" s="1834">
        <v>5</v>
      </c>
      <c r="H283" s="2349">
        <v>6</v>
      </c>
      <c r="I283" s="297">
        <f t="shared" si="18"/>
        <v>0.53</v>
      </c>
      <c r="J283" s="297">
        <f t="shared" si="19"/>
        <v>0.53</v>
      </c>
      <c r="K283" s="297"/>
      <c r="L283" s="297"/>
      <c r="M283" s="297"/>
      <c r="N283" s="486"/>
      <c r="O283" s="619">
        <v>0.53</v>
      </c>
      <c r="P283" s="969"/>
      <c r="Q283" s="932"/>
      <c r="R283" s="1615"/>
      <c r="S283" s="45"/>
      <c r="T283" s="233"/>
      <c r="U283" s="233"/>
      <c r="V283" s="233"/>
      <c r="W283" s="45"/>
      <c r="X283" s="233"/>
      <c r="Y283" s="45"/>
      <c r="Z283" s="309"/>
      <c r="AB283" s="3">
        <v>1</v>
      </c>
    </row>
    <row r="284" spans="1:28" s="16" customFormat="1" ht="30" x14ac:dyDescent="0.35">
      <c r="A284" s="433">
        <v>118</v>
      </c>
      <c r="B284" s="1009">
        <v>10107</v>
      </c>
      <c r="C284" s="1009"/>
      <c r="D284" s="434" t="s">
        <v>1578</v>
      </c>
      <c r="E284" s="407" t="s">
        <v>2631</v>
      </c>
      <c r="F284" s="1834">
        <v>5</v>
      </c>
      <c r="G284" s="1834">
        <v>4</v>
      </c>
      <c r="H284" s="2349">
        <v>6</v>
      </c>
      <c r="I284" s="297">
        <f t="shared" si="18"/>
        <v>3.6429999999999998</v>
      </c>
      <c r="J284" s="297">
        <f t="shared" si="19"/>
        <v>3.6429999999999998</v>
      </c>
      <c r="K284" s="297"/>
      <c r="L284" s="297"/>
      <c r="M284" s="297"/>
      <c r="N284" s="486">
        <v>3.6429999999999998</v>
      </c>
      <c r="O284" s="619"/>
      <c r="P284" s="969"/>
      <c r="Q284" s="932"/>
      <c r="R284" s="1615"/>
      <c r="S284" s="45"/>
      <c r="T284" s="233"/>
      <c r="U284" s="233"/>
      <c r="V284" s="233"/>
      <c r="W284" s="45">
        <v>5</v>
      </c>
      <c r="X284" s="233">
        <v>64</v>
      </c>
      <c r="Y284" s="45"/>
      <c r="Z284" s="309"/>
      <c r="AA284" s="19"/>
      <c r="AB284" s="3">
        <v>1</v>
      </c>
    </row>
    <row r="285" spans="1:28" s="16" customFormat="1" ht="45.5" x14ac:dyDescent="0.35">
      <c r="A285" s="439">
        <v>119</v>
      </c>
      <c r="B285" s="1004">
        <v>10107</v>
      </c>
      <c r="C285" s="1006" t="s">
        <v>1655</v>
      </c>
      <c r="D285" s="2460" t="s">
        <v>3938</v>
      </c>
      <c r="E285" s="407" t="s">
        <v>7368</v>
      </c>
      <c r="F285" s="1834" t="s">
        <v>664</v>
      </c>
      <c r="G285" s="1834">
        <v>5</v>
      </c>
      <c r="H285" s="2349">
        <v>6</v>
      </c>
      <c r="I285" s="483">
        <f t="shared" si="18"/>
        <v>0.1</v>
      </c>
      <c r="J285" s="297">
        <f t="shared" si="19"/>
        <v>0.1</v>
      </c>
      <c r="K285" s="297"/>
      <c r="L285" s="297"/>
      <c r="M285" s="297"/>
      <c r="N285" s="486">
        <v>0.1</v>
      </c>
      <c r="O285" s="619"/>
      <c r="P285" s="969"/>
      <c r="Q285" s="932"/>
      <c r="R285" s="1615"/>
      <c r="S285" s="45"/>
      <c r="T285" s="233"/>
      <c r="U285" s="233"/>
      <c r="V285" s="233"/>
      <c r="W285" s="45"/>
      <c r="X285" s="233"/>
      <c r="Y285" s="45"/>
      <c r="Z285" s="309"/>
      <c r="AA285" s="3"/>
      <c r="AB285" s="3">
        <v>1</v>
      </c>
    </row>
    <row r="286" spans="1:28" ht="30.5" x14ac:dyDescent="0.35">
      <c r="A286" s="433">
        <v>120</v>
      </c>
      <c r="B286" s="1003">
        <v>10107</v>
      </c>
      <c r="C286" s="1003" t="s">
        <v>1656</v>
      </c>
      <c r="D286" s="2460" t="s">
        <v>3939</v>
      </c>
      <c r="E286" s="2069" t="s">
        <v>8196</v>
      </c>
      <c r="F286" s="1834" t="s">
        <v>664</v>
      </c>
      <c r="G286" s="1834">
        <v>5</v>
      </c>
      <c r="H286" s="2349">
        <v>6</v>
      </c>
      <c r="I286" s="297">
        <f t="shared" si="18"/>
        <v>0.2</v>
      </c>
      <c r="J286" s="297">
        <f t="shared" si="19"/>
        <v>0.2</v>
      </c>
      <c r="K286" s="298"/>
      <c r="L286" s="298"/>
      <c r="M286" s="298"/>
      <c r="N286" s="487"/>
      <c r="O286" s="621"/>
      <c r="P286" s="970"/>
      <c r="Q286" s="933"/>
      <c r="R286" s="927">
        <v>0.2</v>
      </c>
      <c r="S286" s="45"/>
      <c r="T286" s="233"/>
      <c r="U286" s="233"/>
      <c r="V286" s="233"/>
      <c r="W286" s="45"/>
      <c r="X286" s="233"/>
      <c r="Y286" s="45"/>
      <c r="Z286" s="309"/>
      <c r="AB286" s="3">
        <v>1</v>
      </c>
    </row>
    <row r="287" spans="1:28" s="16" customFormat="1" ht="45.5" x14ac:dyDescent="0.35">
      <c r="A287" s="439">
        <v>121</v>
      </c>
      <c r="B287" s="1009">
        <v>10108</v>
      </c>
      <c r="C287" s="1009"/>
      <c r="D287" s="434" t="s">
        <v>1579</v>
      </c>
      <c r="E287" s="2069" t="s">
        <v>10912</v>
      </c>
      <c r="F287" s="1834"/>
      <c r="G287" s="1834" t="s">
        <v>191</v>
      </c>
      <c r="H287" s="2349" t="s">
        <v>191</v>
      </c>
      <c r="I287" s="483">
        <f t="shared" si="18"/>
        <v>21.395</v>
      </c>
      <c r="J287" s="297">
        <f t="shared" si="19"/>
        <v>21.395</v>
      </c>
      <c r="K287" s="297"/>
      <c r="L287" s="297"/>
      <c r="M287" s="297"/>
      <c r="N287" s="486">
        <f>SUM(N288:N289)</f>
        <v>4.8449999999999989</v>
      </c>
      <c r="O287" s="619"/>
      <c r="P287" s="969"/>
      <c r="Q287" s="932">
        <f>SUM(Q288:Q289)</f>
        <v>16.55</v>
      </c>
      <c r="R287" s="1615"/>
      <c r="S287" s="45"/>
      <c r="T287" s="233"/>
      <c r="U287" s="233"/>
      <c r="V287" s="233"/>
      <c r="W287" s="1881">
        <v>23</v>
      </c>
      <c r="X287" s="1962">
        <v>301.60000000000002</v>
      </c>
      <c r="Y287" s="45">
        <v>4</v>
      </c>
      <c r="Z287" s="309">
        <v>40</v>
      </c>
      <c r="AB287" s="3">
        <v>1</v>
      </c>
    </row>
    <row r="288" spans="1:28" s="16" customFormat="1" x14ac:dyDescent="0.35">
      <c r="A288" s="2044"/>
      <c r="B288" s="1009">
        <v>10108</v>
      </c>
      <c r="C288" s="1009"/>
      <c r="D288" s="436"/>
      <c r="E288" s="840" t="s">
        <v>804</v>
      </c>
      <c r="F288" s="1834">
        <v>4</v>
      </c>
      <c r="G288" s="1834">
        <v>4</v>
      </c>
      <c r="H288" s="2349">
        <v>6</v>
      </c>
      <c r="I288" s="300"/>
      <c r="J288" s="300"/>
      <c r="K288" s="300"/>
      <c r="L288" s="300"/>
      <c r="M288" s="300"/>
      <c r="N288" s="487"/>
      <c r="O288" s="621"/>
      <c r="P288" s="970"/>
      <c r="Q288" s="933">
        <v>16.55</v>
      </c>
      <c r="R288" s="1616"/>
      <c r="S288" s="1641"/>
      <c r="T288" s="1642"/>
      <c r="U288" s="1642"/>
      <c r="V288" s="1642"/>
      <c r="W288" s="1641"/>
      <c r="X288" s="1642"/>
      <c r="Y288" s="1641"/>
      <c r="Z288" s="1643"/>
    </row>
    <row r="289" spans="1:31" s="16" customFormat="1" x14ac:dyDescent="0.35">
      <c r="A289" s="433"/>
      <c r="B289" s="1009">
        <v>10108</v>
      </c>
      <c r="C289" s="1009"/>
      <c r="D289" s="435"/>
      <c r="E289" s="430" t="s">
        <v>805</v>
      </c>
      <c r="F289" s="1834">
        <v>4</v>
      </c>
      <c r="G289" s="1834">
        <v>4</v>
      </c>
      <c r="H289" s="2349">
        <v>6</v>
      </c>
      <c r="I289" s="298"/>
      <c r="J289" s="298"/>
      <c r="K289" s="298"/>
      <c r="L289" s="298"/>
      <c r="M289" s="298"/>
      <c r="N289" s="487">
        <f>21.395-16.55</f>
        <v>4.8449999999999989</v>
      </c>
      <c r="O289" s="621"/>
      <c r="P289" s="970"/>
      <c r="Q289" s="933"/>
      <c r="R289" s="1616"/>
      <c r="S289" s="45"/>
      <c r="T289" s="233"/>
      <c r="U289" s="233"/>
      <c r="V289" s="233"/>
      <c r="W289" s="45"/>
      <c r="X289" s="233"/>
      <c r="Y289" s="45"/>
      <c r="Z289" s="309"/>
    </row>
    <row r="290" spans="1:31" s="16" customFormat="1" ht="60.5" x14ac:dyDescent="0.35">
      <c r="A290" s="433">
        <v>122</v>
      </c>
      <c r="B290" s="1003">
        <v>10108</v>
      </c>
      <c r="C290" s="1003"/>
      <c r="D290" s="2460" t="s">
        <v>3940</v>
      </c>
      <c r="E290" s="2069" t="s">
        <v>10913</v>
      </c>
      <c r="F290" s="1834"/>
      <c r="G290" s="1834" t="s">
        <v>191</v>
      </c>
      <c r="H290" s="2349" t="s">
        <v>191</v>
      </c>
      <c r="I290" s="483">
        <f>J290+K290+L290</f>
        <v>2.6</v>
      </c>
      <c r="J290" s="297">
        <f>SUM(M290:R290)</f>
        <v>2.6</v>
      </c>
      <c r="K290" s="297"/>
      <c r="L290" s="297"/>
      <c r="M290" s="297"/>
      <c r="N290" s="486">
        <f>SUM(N291:N292)</f>
        <v>2.2000000000000002</v>
      </c>
      <c r="O290" s="619"/>
      <c r="P290" s="969"/>
      <c r="Q290" s="932">
        <f>SUM(Q291:Q292)</f>
        <v>0.4</v>
      </c>
      <c r="R290" s="1615"/>
      <c r="S290" s="45"/>
      <c r="T290" s="233"/>
      <c r="U290" s="233"/>
      <c r="V290" s="233"/>
      <c r="W290" s="45">
        <v>4</v>
      </c>
      <c r="X290" s="233">
        <v>59</v>
      </c>
      <c r="Y290" s="57"/>
      <c r="Z290" s="309"/>
      <c r="AB290" s="3">
        <v>1</v>
      </c>
    </row>
    <row r="291" spans="1:31" s="16" customFormat="1" x14ac:dyDescent="0.35">
      <c r="A291" s="433"/>
      <c r="B291" s="1003">
        <v>10108</v>
      </c>
      <c r="C291" s="1003"/>
      <c r="D291" s="434"/>
      <c r="E291" s="430" t="s">
        <v>3084</v>
      </c>
      <c r="F291" s="1834">
        <v>4</v>
      </c>
      <c r="G291" s="1834">
        <v>5</v>
      </c>
      <c r="H291" s="2349">
        <v>6</v>
      </c>
      <c r="I291" s="499"/>
      <c r="J291" s="298"/>
      <c r="K291" s="298"/>
      <c r="L291" s="298"/>
      <c r="M291" s="298"/>
      <c r="N291" s="487">
        <v>2.2000000000000002</v>
      </c>
      <c r="O291" s="621"/>
      <c r="P291" s="970"/>
      <c r="Q291" s="933"/>
      <c r="R291" s="1616"/>
      <c r="S291" s="45"/>
      <c r="T291" s="233"/>
      <c r="U291" s="233"/>
      <c r="V291" s="233"/>
      <c r="W291" s="45"/>
      <c r="X291" s="233"/>
      <c r="Y291" s="57"/>
      <c r="Z291" s="309"/>
      <c r="AB291" s="3"/>
    </row>
    <row r="292" spans="1:31" s="16" customFormat="1" x14ac:dyDescent="0.35">
      <c r="A292" s="433"/>
      <c r="B292" s="1003">
        <v>10108</v>
      </c>
      <c r="C292" s="1003"/>
      <c r="D292" s="434"/>
      <c r="E292" s="840" t="s">
        <v>806</v>
      </c>
      <c r="F292" s="1834">
        <v>4</v>
      </c>
      <c r="G292" s="1834">
        <v>5</v>
      </c>
      <c r="H292" s="2349">
        <v>6</v>
      </c>
      <c r="I292" s="298"/>
      <c r="J292" s="298"/>
      <c r="K292" s="298"/>
      <c r="L292" s="298"/>
      <c r="M292" s="298"/>
      <c r="N292" s="487"/>
      <c r="O292" s="621"/>
      <c r="P292" s="970"/>
      <c r="Q292" s="933">
        <v>0.4</v>
      </c>
      <c r="R292" s="1616"/>
      <c r="S292" s="45"/>
      <c r="T292" s="233"/>
      <c r="U292" s="233"/>
      <c r="V292" s="233"/>
      <c r="W292" s="45"/>
      <c r="X292" s="233"/>
      <c r="Y292" s="57"/>
      <c r="Z292" s="309"/>
      <c r="AB292" s="3"/>
    </row>
    <row r="293" spans="1:31" s="16" customFormat="1" ht="75.5" x14ac:dyDescent="0.35">
      <c r="A293" s="433">
        <v>123</v>
      </c>
      <c r="B293" s="1003">
        <v>10108</v>
      </c>
      <c r="C293" s="1003"/>
      <c r="D293" s="2460" t="s">
        <v>3941</v>
      </c>
      <c r="E293" s="2069" t="s">
        <v>10906</v>
      </c>
      <c r="F293" s="1834">
        <v>5</v>
      </c>
      <c r="G293" s="1834">
        <v>5</v>
      </c>
      <c r="H293" s="2349">
        <v>6</v>
      </c>
      <c r="I293" s="483">
        <f t="shared" ref="I293:I298" si="20">J293+K293+L293</f>
        <v>1.1850000000000001</v>
      </c>
      <c r="J293" s="297">
        <f t="shared" ref="J293:J298" si="21">SUM(M293:R293)</f>
        <v>1.1850000000000001</v>
      </c>
      <c r="K293" s="297"/>
      <c r="L293" s="297"/>
      <c r="M293" s="297"/>
      <c r="N293" s="486"/>
      <c r="O293" s="619">
        <v>1.1850000000000001</v>
      </c>
      <c r="P293" s="969"/>
      <c r="Q293" s="932"/>
      <c r="R293" s="1615"/>
      <c r="S293" s="45"/>
      <c r="T293" s="233"/>
      <c r="U293" s="233"/>
      <c r="V293" s="233"/>
      <c r="W293" s="45">
        <v>4</v>
      </c>
      <c r="X293" s="233">
        <v>51.7</v>
      </c>
      <c r="Y293" s="45">
        <v>1</v>
      </c>
      <c r="Z293" s="309">
        <v>15</v>
      </c>
      <c r="AB293" s="3">
        <v>1</v>
      </c>
    </row>
    <row r="294" spans="1:31" s="16" customFormat="1" ht="90.5" x14ac:dyDescent="0.35">
      <c r="A294" s="439">
        <v>124</v>
      </c>
      <c r="B294" s="1004">
        <v>10108</v>
      </c>
      <c r="C294" s="1006" t="s">
        <v>1655</v>
      </c>
      <c r="D294" s="2460" t="s">
        <v>3942</v>
      </c>
      <c r="E294" s="2069" t="s">
        <v>10907</v>
      </c>
      <c r="F294" s="1834" t="s">
        <v>664</v>
      </c>
      <c r="G294" s="1834">
        <v>5</v>
      </c>
      <c r="H294" s="2349">
        <v>6</v>
      </c>
      <c r="I294" s="297">
        <f t="shared" si="20"/>
        <v>0.1</v>
      </c>
      <c r="J294" s="297">
        <f t="shared" si="21"/>
        <v>0.1</v>
      </c>
      <c r="K294" s="297"/>
      <c r="L294" s="297"/>
      <c r="M294" s="297"/>
      <c r="N294" s="486"/>
      <c r="O294" s="619"/>
      <c r="P294" s="969"/>
      <c r="Q294" s="932"/>
      <c r="R294" s="1615">
        <v>0.1</v>
      </c>
      <c r="S294" s="45"/>
      <c r="T294" s="233"/>
      <c r="U294" s="233"/>
      <c r="V294" s="233"/>
      <c r="W294" s="45"/>
      <c r="X294" s="233"/>
      <c r="Y294" s="45"/>
      <c r="Z294" s="309"/>
      <c r="AB294" s="3">
        <v>1</v>
      </c>
    </row>
    <row r="295" spans="1:31" s="16" customFormat="1" ht="75.5" x14ac:dyDescent="0.35">
      <c r="A295" s="433">
        <v>125</v>
      </c>
      <c r="B295" s="1003">
        <v>10108</v>
      </c>
      <c r="C295" s="1003"/>
      <c r="D295" s="2460" t="s">
        <v>3943</v>
      </c>
      <c r="E295" s="2069" t="s">
        <v>10908</v>
      </c>
      <c r="F295" s="1834">
        <v>5</v>
      </c>
      <c r="G295" s="1834">
        <v>5</v>
      </c>
      <c r="H295" s="2349">
        <v>6</v>
      </c>
      <c r="I295" s="483">
        <f t="shared" si="20"/>
        <v>1.1180000000000001</v>
      </c>
      <c r="J295" s="297">
        <f t="shared" si="21"/>
        <v>1.1180000000000001</v>
      </c>
      <c r="K295" s="297"/>
      <c r="L295" s="297"/>
      <c r="M295" s="297"/>
      <c r="N295" s="486"/>
      <c r="O295" s="619">
        <v>1.1180000000000001</v>
      </c>
      <c r="P295" s="969"/>
      <c r="Q295" s="932"/>
      <c r="R295" s="1615"/>
      <c r="S295" s="45"/>
      <c r="T295" s="233"/>
      <c r="U295" s="233"/>
      <c r="V295" s="233"/>
      <c r="W295" s="45">
        <v>3</v>
      </c>
      <c r="X295" s="233">
        <v>32.6</v>
      </c>
      <c r="Y295" s="45"/>
      <c r="Z295" s="309"/>
      <c r="AB295" s="3">
        <v>1</v>
      </c>
    </row>
    <row r="296" spans="1:31" s="16" customFormat="1" ht="60.5" x14ac:dyDescent="0.35">
      <c r="A296" s="439">
        <v>126</v>
      </c>
      <c r="B296" s="1003">
        <v>10108</v>
      </c>
      <c r="C296" s="1003"/>
      <c r="D296" s="2460" t="s">
        <v>3944</v>
      </c>
      <c r="E296" s="2069" t="s">
        <v>10909</v>
      </c>
      <c r="F296" s="1834" t="s">
        <v>827</v>
      </c>
      <c r="G296" s="1834">
        <v>5</v>
      </c>
      <c r="H296" s="2349">
        <v>6</v>
      </c>
      <c r="I296" s="483">
        <f t="shared" si="20"/>
        <v>0.8</v>
      </c>
      <c r="J296" s="297">
        <f t="shared" si="21"/>
        <v>0.8</v>
      </c>
      <c r="K296" s="297"/>
      <c r="L296" s="297"/>
      <c r="M296" s="297"/>
      <c r="N296" s="486"/>
      <c r="O296" s="619"/>
      <c r="P296" s="969"/>
      <c r="Q296" s="932">
        <v>0.8</v>
      </c>
      <c r="R296" s="2766"/>
      <c r="S296" s="45"/>
      <c r="T296" s="233"/>
      <c r="U296" s="233"/>
      <c r="V296" s="233"/>
      <c r="W296" s="45"/>
      <c r="X296" s="233"/>
      <c r="Y296" s="45"/>
      <c r="Z296" s="309"/>
      <c r="AB296" s="3">
        <v>1</v>
      </c>
    </row>
    <row r="297" spans="1:31" s="16" customFormat="1" ht="75.5" x14ac:dyDescent="0.35">
      <c r="A297" s="433">
        <v>127</v>
      </c>
      <c r="B297" s="1003">
        <v>10108</v>
      </c>
      <c r="C297" s="1003"/>
      <c r="D297" s="2460" t="s">
        <v>3945</v>
      </c>
      <c r="E297" s="2069" t="s">
        <v>10910</v>
      </c>
      <c r="F297" s="1834" t="s">
        <v>827</v>
      </c>
      <c r="G297" s="1834">
        <v>5</v>
      </c>
      <c r="H297" s="2349">
        <v>6</v>
      </c>
      <c r="I297" s="483">
        <f t="shared" si="20"/>
        <v>0.98</v>
      </c>
      <c r="J297" s="297">
        <f t="shared" si="21"/>
        <v>0.98</v>
      </c>
      <c r="K297" s="297"/>
      <c r="L297" s="297"/>
      <c r="M297" s="297"/>
      <c r="N297" s="486"/>
      <c r="O297" s="619"/>
      <c r="P297" s="969"/>
      <c r="Q297" s="932">
        <v>0.98</v>
      </c>
      <c r="R297" s="1615"/>
      <c r="S297" s="45"/>
      <c r="T297" s="233"/>
      <c r="U297" s="233"/>
      <c r="V297" s="233"/>
      <c r="W297" s="45">
        <v>2</v>
      </c>
      <c r="X297" s="233">
        <v>17.100000000000001</v>
      </c>
      <c r="Y297" s="45"/>
      <c r="Z297" s="309"/>
      <c r="AB297" s="3">
        <v>1</v>
      </c>
    </row>
    <row r="298" spans="1:31" s="16" customFormat="1" ht="60.5" x14ac:dyDescent="0.35">
      <c r="A298" s="439">
        <v>128</v>
      </c>
      <c r="B298" s="1003">
        <v>10108</v>
      </c>
      <c r="C298" s="1003"/>
      <c r="D298" s="2460" t="s">
        <v>3946</v>
      </c>
      <c r="E298" s="2069" t="s">
        <v>10911</v>
      </c>
      <c r="F298" s="1834"/>
      <c r="G298" s="1834" t="s">
        <v>191</v>
      </c>
      <c r="H298" s="2349" t="s">
        <v>191</v>
      </c>
      <c r="I298" s="483">
        <f t="shared" si="20"/>
        <v>1.04</v>
      </c>
      <c r="J298" s="297">
        <f t="shared" si="21"/>
        <v>1.04</v>
      </c>
      <c r="K298" s="297"/>
      <c r="L298" s="297"/>
      <c r="M298" s="297"/>
      <c r="N298" s="486"/>
      <c r="O298" s="619"/>
      <c r="P298" s="969"/>
      <c r="Q298" s="932">
        <f>SUM(Q299:Q300)</f>
        <v>0.4</v>
      </c>
      <c r="R298" s="1615">
        <f>SUM(R299:R300)</f>
        <v>0.64</v>
      </c>
      <c r="S298" s="45"/>
      <c r="T298" s="233"/>
      <c r="U298" s="233"/>
      <c r="V298" s="233"/>
      <c r="W298" s="45"/>
      <c r="X298" s="233"/>
      <c r="Y298" s="45"/>
      <c r="Z298" s="309"/>
      <c r="AB298" s="3">
        <v>1</v>
      </c>
    </row>
    <row r="299" spans="1:31" s="16" customFormat="1" x14ac:dyDescent="0.35">
      <c r="A299" s="433"/>
      <c r="B299" s="1003">
        <v>10108</v>
      </c>
      <c r="C299" s="1003"/>
      <c r="D299" s="434"/>
      <c r="E299" s="840" t="s">
        <v>1074</v>
      </c>
      <c r="F299" s="1834" t="s">
        <v>827</v>
      </c>
      <c r="G299" s="1834">
        <v>5</v>
      </c>
      <c r="H299" s="1834">
        <v>6</v>
      </c>
      <c r="I299" s="499"/>
      <c r="J299" s="298"/>
      <c r="K299" s="298"/>
      <c r="L299" s="298"/>
      <c r="M299" s="298"/>
      <c r="N299" s="487"/>
      <c r="O299" s="621"/>
      <c r="P299" s="970"/>
      <c r="Q299" s="933">
        <v>0.4</v>
      </c>
      <c r="R299" s="1616"/>
      <c r="S299" s="45"/>
      <c r="T299" s="233"/>
      <c r="U299" s="233"/>
      <c r="V299" s="233"/>
      <c r="W299" s="45"/>
      <c r="X299" s="233"/>
      <c r="Y299" s="45"/>
      <c r="Z299" s="309"/>
      <c r="AB299" s="3"/>
    </row>
    <row r="300" spans="1:31" s="16" customFormat="1" x14ac:dyDescent="0.35">
      <c r="A300" s="433"/>
      <c r="B300" s="1003">
        <v>10108</v>
      </c>
      <c r="C300" s="1003"/>
      <c r="D300" s="434"/>
      <c r="E300" s="841" t="s">
        <v>2617</v>
      </c>
      <c r="F300" s="1834" t="s">
        <v>827</v>
      </c>
      <c r="G300" s="1834">
        <v>5</v>
      </c>
      <c r="H300" s="2349">
        <v>6</v>
      </c>
      <c r="I300" s="499"/>
      <c r="J300" s="298"/>
      <c r="K300" s="298"/>
      <c r="L300" s="298"/>
      <c r="M300" s="298"/>
      <c r="N300" s="487"/>
      <c r="O300" s="621"/>
      <c r="P300" s="970"/>
      <c r="Q300" s="933"/>
      <c r="R300" s="1616">
        <v>0.64</v>
      </c>
      <c r="S300" s="45"/>
      <c r="T300" s="233"/>
      <c r="U300" s="233"/>
      <c r="V300" s="233"/>
      <c r="W300" s="45"/>
      <c r="X300" s="233"/>
      <c r="Y300" s="45"/>
      <c r="Z300" s="309"/>
      <c r="AB300" s="3"/>
    </row>
    <row r="301" spans="1:31" s="16" customFormat="1" ht="60.5" x14ac:dyDescent="0.35">
      <c r="A301" s="433">
        <v>129</v>
      </c>
      <c r="B301" s="1003">
        <v>10108</v>
      </c>
      <c r="C301" s="1003"/>
      <c r="D301" s="2460" t="s">
        <v>3947</v>
      </c>
      <c r="E301" s="2069" t="s">
        <v>11067</v>
      </c>
      <c r="F301" s="1834">
        <v>5</v>
      </c>
      <c r="G301" s="1834">
        <v>5</v>
      </c>
      <c r="H301" s="2349">
        <v>6</v>
      </c>
      <c r="I301" s="483">
        <f t="shared" ref="I301:I306" si="22">J301+K301+L301</f>
        <v>2.0499999999999998</v>
      </c>
      <c r="J301" s="297">
        <f t="shared" ref="J301:J306" si="23">SUM(M301:R301)</f>
        <v>2.0499999999999998</v>
      </c>
      <c r="K301" s="297"/>
      <c r="L301" s="297"/>
      <c r="M301" s="297"/>
      <c r="N301" s="486"/>
      <c r="O301" s="619"/>
      <c r="P301" s="969"/>
      <c r="Q301" s="932">
        <v>2.0499999999999998</v>
      </c>
      <c r="R301" s="2766"/>
      <c r="S301" s="45"/>
      <c r="T301" s="233"/>
      <c r="U301" s="233"/>
      <c r="V301" s="233"/>
      <c r="W301" s="2445">
        <v>3</v>
      </c>
      <c r="X301" s="2446">
        <v>32.5</v>
      </c>
      <c r="Y301" s="45"/>
      <c r="Z301" s="309"/>
      <c r="AB301" s="3">
        <v>1</v>
      </c>
      <c r="AC301" s="62"/>
      <c r="AD301" s="353"/>
      <c r="AE301" s="282"/>
    </row>
    <row r="302" spans="1:31" s="16" customFormat="1" ht="75.5" x14ac:dyDescent="0.35">
      <c r="A302" s="696">
        <v>130</v>
      </c>
      <c r="B302" s="1040">
        <v>10108</v>
      </c>
      <c r="C302" s="1040"/>
      <c r="D302" s="2460" t="s">
        <v>3948</v>
      </c>
      <c r="E302" s="2069" t="s">
        <v>11068</v>
      </c>
      <c r="F302" s="92" t="s">
        <v>1490</v>
      </c>
      <c r="G302" s="92">
        <v>5</v>
      </c>
      <c r="H302" s="2349">
        <v>6</v>
      </c>
      <c r="I302" s="1150">
        <f t="shared" si="22"/>
        <v>0.84299999999999997</v>
      </c>
      <c r="J302" s="702">
        <f t="shared" si="23"/>
        <v>0.84299999999999997</v>
      </c>
      <c r="K302" s="622"/>
      <c r="L302" s="622"/>
      <c r="M302" s="622"/>
      <c r="N302" s="622"/>
      <c r="O302" s="622"/>
      <c r="P302" s="622"/>
      <c r="Q302" s="932">
        <v>0.84299999999999997</v>
      </c>
      <c r="R302" s="2190"/>
      <c r="S302" s="106"/>
      <c r="T302" s="106"/>
      <c r="U302" s="106"/>
      <c r="V302" s="106"/>
      <c r="W302" s="105"/>
      <c r="X302" s="105"/>
      <c r="Y302" s="105"/>
      <c r="Z302" s="323"/>
      <c r="AA302" s="3"/>
      <c r="AB302" s="3">
        <v>1</v>
      </c>
    </row>
    <row r="303" spans="1:31" s="16" customFormat="1" ht="30.5" x14ac:dyDescent="0.35">
      <c r="A303" s="433">
        <v>131</v>
      </c>
      <c r="B303" s="1009">
        <v>10110</v>
      </c>
      <c r="C303" s="1009"/>
      <c r="D303" s="434" t="s">
        <v>1580</v>
      </c>
      <c r="E303" s="407" t="s">
        <v>9658</v>
      </c>
      <c r="F303" s="1834">
        <v>4</v>
      </c>
      <c r="G303" s="1834">
        <v>4</v>
      </c>
      <c r="H303" s="2349">
        <v>6</v>
      </c>
      <c r="I303" s="483">
        <f t="shared" si="22"/>
        <v>6.85</v>
      </c>
      <c r="J303" s="297">
        <f t="shared" si="23"/>
        <v>6.85</v>
      </c>
      <c r="K303" s="297"/>
      <c r="L303" s="297"/>
      <c r="M303" s="297"/>
      <c r="N303" s="486"/>
      <c r="O303" s="619"/>
      <c r="P303" s="969"/>
      <c r="Q303" s="932">
        <v>6.85</v>
      </c>
      <c r="R303" s="1615"/>
      <c r="S303" s="45"/>
      <c r="T303" s="233"/>
      <c r="U303" s="233"/>
      <c r="V303" s="233"/>
      <c r="W303" s="45">
        <v>18</v>
      </c>
      <c r="X303" s="233">
        <v>230.9</v>
      </c>
      <c r="Y303" s="45">
        <v>10</v>
      </c>
      <c r="Z303" s="309">
        <v>109.8</v>
      </c>
      <c r="AB303" s="3">
        <v>1</v>
      </c>
    </row>
    <row r="304" spans="1:31" s="16" customFormat="1" ht="45.5" x14ac:dyDescent="0.35">
      <c r="A304" s="696">
        <v>132</v>
      </c>
      <c r="B304" s="1003">
        <v>10110</v>
      </c>
      <c r="C304" s="1003"/>
      <c r="D304" s="2460" t="s">
        <v>3949</v>
      </c>
      <c r="E304" s="407" t="s">
        <v>9659</v>
      </c>
      <c r="F304" s="1834" t="s">
        <v>827</v>
      </c>
      <c r="G304" s="1834">
        <v>5</v>
      </c>
      <c r="H304" s="2349">
        <v>6</v>
      </c>
      <c r="I304" s="483">
        <f t="shared" si="22"/>
        <v>0.62</v>
      </c>
      <c r="J304" s="297">
        <f t="shared" si="23"/>
        <v>0.62</v>
      </c>
      <c r="K304" s="297"/>
      <c r="L304" s="297"/>
      <c r="M304" s="297"/>
      <c r="N304" s="486"/>
      <c r="O304" s="619"/>
      <c r="P304" s="969"/>
      <c r="Q304" s="932">
        <v>0.62</v>
      </c>
      <c r="R304" s="1615"/>
      <c r="S304" s="45"/>
      <c r="T304" s="233"/>
      <c r="U304" s="233"/>
      <c r="V304" s="233"/>
      <c r="W304" s="45">
        <v>4</v>
      </c>
      <c r="X304" s="233">
        <v>51.5</v>
      </c>
      <c r="Y304" s="45">
        <v>1</v>
      </c>
      <c r="Z304" s="309">
        <v>10.3</v>
      </c>
      <c r="AB304" s="3">
        <v>1</v>
      </c>
    </row>
    <row r="305" spans="1:29" s="16" customFormat="1" ht="60.5" x14ac:dyDescent="0.35">
      <c r="A305" s="433">
        <v>133</v>
      </c>
      <c r="B305" s="1003">
        <v>10110</v>
      </c>
      <c r="C305" s="1003"/>
      <c r="D305" s="2460" t="s">
        <v>3864</v>
      </c>
      <c r="E305" s="407" t="s">
        <v>9660</v>
      </c>
      <c r="F305" s="1834" t="s">
        <v>827</v>
      </c>
      <c r="G305" s="1834">
        <v>5</v>
      </c>
      <c r="H305" s="2349">
        <v>6</v>
      </c>
      <c r="I305" s="483">
        <f t="shared" si="22"/>
        <v>0.36</v>
      </c>
      <c r="J305" s="297">
        <f t="shared" si="23"/>
        <v>0.36</v>
      </c>
      <c r="K305" s="297"/>
      <c r="L305" s="297"/>
      <c r="M305" s="297"/>
      <c r="N305" s="486"/>
      <c r="O305" s="619"/>
      <c r="P305" s="969"/>
      <c r="Q305" s="932"/>
      <c r="R305" s="1615">
        <v>0.36</v>
      </c>
      <c r="S305" s="45"/>
      <c r="T305" s="233"/>
      <c r="U305" s="233"/>
      <c r="V305" s="233"/>
      <c r="W305" s="45"/>
      <c r="X305" s="233"/>
      <c r="Y305" s="45"/>
      <c r="Z305" s="309"/>
      <c r="AB305" s="3">
        <v>1</v>
      </c>
    </row>
    <row r="306" spans="1:29" s="16" customFormat="1" ht="30" x14ac:dyDescent="0.35">
      <c r="A306" s="696">
        <v>134</v>
      </c>
      <c r="B306" s="1009">
        <v>10111</v>
      </c>
      <c r="C306" s="1009"/>
      <c r="D306" s="434" t="s">
        <v>620</v>
      </c>
      <c r="E306" s="407" t="s">
        <v>644</v>
      </c>
      <c r="F306" s="1834"/>
      <c r="G306" s="1834" t="s">
        <v>191</v>
      </c>
      <c r="H306" s="2349" t="s">
        <v>191</v>
      </c>
      <c r="I306" s="483">
        <f t="shared" si="22"/>
        <v>8.8999999999999986</v>
      </c>
      <c r="J306" s="297">
        <f t="shared" si="23"/>
        <v>8.8999999999999986</v>
      </c>
      <c r="K306" s="297"/>
      <c r="L306" s="297"/>
      <c r="M306" s="297"/>
      <c r="N306" s="486"/>
      <c r="O306" s="619"/>
      <c r="P306" s="969"/>
      <c r="Q306" s="932">
        <f>SUM(Q307:Q308)</f>
        <v>4.8</v>
      </c>
      <c r="R306" s="1615">
        <f>SUM(R307:R308)</f>
        <v>4.0999999999999996</v>
      </c>
      <c r="S306" s="45">
        <v>1</v>
      </c>
      <c r="T306" s="233">
        <v>46.1</v>
      </c>
      <c r="U306" s="233"/>
      <c r="V306" s="233"/>
      <c r="W306" s="45">
        <v>11</v>
      </c>
      <c r="X306" s="233">
        <v>121.5</v>
      </c>
      <c r="Y306" s="45">
        <v>6</v>
      </c>
      <c r="Z306" s="309">
        <v>60</v>
      </c>
      <c r="AB306" s="3">
        <v>1</v>
      </c>
    </row>
    <row r="307" spans="1:29" s="16" customFormat="1" x14ac:dyDescent="0.35">
      <c r="A307" s="2044"/>
      <c r="B307" s="1009">
        <v>10111</v>
      </c>
      <c r="C307" s="1009"/>
      <c r="D307" s="436"/>
      <c r="E307" s="840" t="s">
        <v>853</v>
      </c>
      <c r="F307" s="1834">
        <v>4</v>
      </c>
      <c r="G307" s="1834">
        <v>4</v>
      </c>
      <c r="H307" s="1834">
        <v>6</v>
      </c>
      <c r="I307" s="1008"/>
      <c r="J307" s="300"/>
      <c r="K307" s="300"/>
      <c r="L307" s="300"/>
      <c r="M307" s="300"/>
      <c r="N307" s="487"/>
      <c r="O307" s="621"/>
      <c r="P307" s="970"/>
      <c r="Q307" s="933">
        <v>4.8</v>
      </c>
      <c r="R307" s="1616"/>
      <c r="S307" s="1641"/>
      <c r="T307" s="1642"/>
      <c r="U307" s="1642"/>
      <c r="V307" s="1642"/>
      <c r="W307" s="1641"/>
      <c r="X307" s="1642"/>
      <c r="Y307" s="1641"/>
      <c r="Z307" s="1643"/>
    </row>
    <row r="308" spans="1:29" s="16" customFormat="1" x14ac:dyDescent="0.35">
      <c r="A308" s="433"/>
      <c r="B308" s="1009">
        <v>10111</v>
      </c>
      <c r="C308" s="1009"/>
      <c r="D308" s="435"/>
      <c r="E308" s="841" t="s">
        <v>2046</v>
      </c>
      <c r="F308" s="1834" t="s">
        <v>1490</v>
      </c>
      <c r="G308" s="1834">
        <v>4</v>
      </c>
      <c r="H308" s="2349">
        <v>6</v>
      </c>
      <c r="I308" s="298"/>
      <c r="J308" s="298"/>
      <c r="K308" s="298"/>
      <c r="L308" s="298"/>
      <c r="M308" s="298"/>
      <c r="N308" s="487"/>
      <c r="O308" s="621"/>
      <c r="P308" s="970"/>
      <c r="Q308" s="933"/>
      <c r="R308" s="1616">
        <v>4.0999999999999996</v>
      </c>
      <c r="S308" s="45"/>
      <c r="T308" s="233"/>
      <c r="U308" s="233"/>
      <c r="V308" s="233"/>
      <c r="W308" s="45"/>
      <c r="X308" s="233"/>
      <c r="Y308" s="45"/>
      <c r="Z308" s="309"/>
      <c r="AC308" s="3" t="s">
        <v>2570</v>
      </c>
    </row>
    <row r="309" spans="1:29" s="16" customFormat="1" ht="30.5" x14ac:dyDescent="0.35">
      <c r="A309" s="2586">
        <v>135</v>
      </c>
      <c r="B309" s="1607">
        <v>10111</v>
      </c>
      <c r="C309" s="1004" t="s">
        <v>1656</v>
      </c>
      <c r="D309" s="2460" t="s">
        <v>3950</v>
      </c>
      <c r="E309" s="2360" t="s">
        <v>8197</v>
      </c>
      <c r="F309" s="2349" t="s">
        <v>664</v>
      </c>
      <c r="G309" s="2349">
        <v>5</v>
      </c>
      <c r="H309" s="2349">
        <v>6</v>
      </c>
      <c r="I309" s="297">
        <f>J309+K309+L309</f>
        <v>1</v>
      </c>
      <c r="J309" s="297">
        <f>SUM(M309:R309)</f>
        <v>1</v>
      </c>
      <c r="K309" s="483"/>
      <c r="L309" s="483"/>
      <c r="M309" s="483"/>
      <c r="N309" s="484"/>
      <c r="O309" s="1016"/>
      <c r="P309" s="968"/>
      <c r="Q309" s="1015"/>
      <c r="R309" s="2361">
        <v>1</v>
      </c>
      <c r="S309" s="45"/>
      <c r="T309" s="233"/>
      <c r="U309" s="233"/>
      <c r="V309" s="233"/>
      <c r="W309" s="45"/>
      <c r="X309" s="1619"/>
      <c r="Y309" s="45"/>
      <c r="Z309" s="309"/>
      <c r="AB309" s="3">
        <v>1</v>
      </c>
    </row>
    <row r="310" spans="1:29" s="16" customFormat="1" ht="30.5" x14ac:dyDescent="0.35">
      <c r="A310" s="2586">
        <v>136</v>
      </c>
      <c r="B310" s="1607">
        <v>10111</v>
      </c>
      <c r="C310" s="1005" t="s">
        <v>1656</v>
      </c>
      <c r="D310" s="2460" t="s">
        <v>3951</v>
      </c>
      <c r="E310" s="511" t="s">
        <v>8198</v>
      </c>
      <c r="F310" s="2349" t="s">
        <v>664</v>
      </c>
      <c r="G310" s="2349">
        <v>5</v>
      </c>
      <c r="H310" s="2349">
        <v>6</v>
      </c>
      <c r="I310" s="297">
        <f>J310+K310+L310</f>
        <v>1.1000000000000001</v>
      </c>
      <c r="J310" s="297">
        <f>SUM(M310:R310)</f>
        <v>1.1000000000000001</v>
      </c>
      <c r="K310" s="483"/>
      <c r="L310" s="483"/>
      <c r="M310" s="483"/>
      <c r="N310" s="484"/>
      <c r="O310" s="1016"/>
      <c r="P310" s="968"/>
      <c r="Q310" s="1015"/>
      <c r="R310" s="2361">
        <v>1.1000000000000001</v>
      </c>
      <c r="S310" s="45"/>
      <c r="T310" s="233"/>
      <c r="U310" s="233"/>
      <c r="V310" s="233"/>
      <c r="W310" s="45"/>
      <c r="X310" s="1619"/>
      <c r="Y310" s="45"/>
      <c r="Z310" s="309"/>
      <c r="AB310" s="3">
        <v>1</v>
      </c>
    </row>
    <row r="311" spans="1:29" s="16" customFormat="1" ht="30" x14ac:dyDescent="0.35">
      <c r="A311" s="2586">
        <v>137</v>
      </c>
      <c r="B311" s="1009">
        <v>10112</v>
      </c>
      <c r="C311" s="1009"/>
      <c r="D311" s="434" t="s">
        <v>621</v>
      </c>
      <c r="E311" s="407" t="s">
        <v>3380</v>
      </c>
      <c r="F311" s="1834">
        <v>4</v>
      </c>
      <c r="G311" s="1834">
        <v>4</v>
      </c>
      <c r="H311" s="2349">
        <v>6</v>
      </c>
      <c r="I311" s="297">
        <f>J311+K311+L311</f>
        <v>2.9</v>
      </c>
      <c r="J311" s="297">
        <f>SUM(M311:R311)</f>
        <v>2.9</v>
      </c>
      <c r="K311" s="297"/>
      <c r="L311" s="297"/>
      <c r="M311" s="297"/>
      <c r="N311" s="486">
        <v>2.9</v>
      </c>
      <c r="O311" s="619"/>
      <c r="P311" s="969"/>
      <c r="Q311" s="932"/>
      <c r="R311" s="1615"/>
      <c r="S311" s="45"/>
      <c r="T311" s="233"/>
      <c r="U311" s="233"/>
      <c r="V311" s="233"/>
      <c r="W311" s="45">
        <v>4</v>
      </c>
      <c r="X311" s="233">
        <v>50.2</v>
      </c>
      <c r="Y311" s="45">
        <v>1</v>
      </c>
      <c r="Z311" s="309">
        <v>10.3</v>
      </c>
      <c r="AB311" s="3">
        <v>1</v>
      </c>
    </row>
    <row r="312" spans="1:29" s="16" customFormat="1" ht="60.5" x14ac:dyDescent="0.35">
      <c r="A312" s="2586">
        <v>138</v>
      </c>
      <c r="B312" s="1009">
        <v>10113</v>
      </c>
      <c r="C312" s="1009"/>
      <c r="D312" s="434" t="s">
        <v>622</v>
      </c>
      <c r="E312" s="407" t="s">
        <v>9661</v>
      </c>
      <c r="F312" s="1834"/>
      <c r="G312" s="1834" t="s">
        <v>191</v>
      </c>
      <c r="H312" s="2349" t="s">
        <v>191</v>
      </c>
      <c r="I312" s="297">
        <f>J312+K312+L312</f>
        <v>10.42</v>
      </c>
      <c r="J312" s="297">
        <f>SUM(M312:R312)</f>
        <v>10.42</v>
      </c>
      <c r="K312" s="297"/>
      <c r="L312" s="297"/>
      <c r="M312" s="297"/>
      <c r="N312" s="2865">
        <f>SUM(N313:N314)</f>
        <v>6.95</v>
      </c>
      <c r="O312" s="619"/>
      <c r="P312" s="969"/>
      <c r="Q312" s="932">
        <f>SUM(Q313:Q314)</f>
        <v>3.4699999999999998</v>
      </c>
      <c r="R312" s="1615"/>
      <c r="S312" s="45"/>
      <c r="T312" s="233"/>
      <c r="U312" s="233"/>
      <c r="V312" s="233"/>
      <c r="W312" s="2445">
        <v>28</v>
      </c>
      <c r="X312" s="2446">
        <v>347.5</v>
      </c>
      <c r="Y312" s="2445">
        <v>13</v>
      </c>
      <c r="Z312" s="2448">
        <v>140.5</v>
      </c>
      <c r="AB312" s="3">
        <v>1</v>
      </c>
    </row>
    <row r="313" spans="1:29" s="16" customFormat="1" x14ac:dyDescent="0.35">
      <c r="A313" s="433"/>
      <c r="B313" s="1009">
        <v>10113</v>
      </c>
      <c r="C313" s="1009"/>
      <c r="D313" s="434"/>
      <c r="E313" s="408" t="s">
        <v>11571</v>
      </c>
      <c r="F313" s="1834">
        <v>5</v>
      </c>
      <c r="G313" s="1834">
        <v>4</v>
      </c>
      <c r="H313" s="2349">
        <v>6</v>
      </c>
      <c r="I313" s="1011"/>
      <c r="J313" s="303"/>
      <c r="K313" s="303"/>
      <c r="L313" s="303"/>
      <c r="M313" s="303"/>
      <c r="N313" s="2535">
        <v>6.95</v>
      </c>
      <c r="O313" s="621"/>
      <c r="P313" s="970"/>
      <c r="Q313" s="933"/>
      <c r="R313" s="1616"/>
      <c r="S313" s="45"/>
      <c r="T313" s="233"/>
      <c r="U313" s="233"/>
      <c r="V313" s="233"/>
      <c r="W313" s="45"/>
      <c r="X313" s="233"/>
      <c r="Y313" s="45"/>
      <c r="Z313" s="309"/>
    </row>
    <row r="314" spans="1:29" s="16" customFormat="1" x14ac:dyDescent="0.35">
      <c r="A314" s="433"/>
      <c r="B314" s="1009">
        <v>10113</v>
      </c>
      <c r="C314" s="1009"/>
      <c r="D314" s="434"/>
      <c r="E314" s="840" t="s">
        <v>11572</v>
      </c>
      <c r="F314" s="1834">
        <v>5</v>
      </c>
      <c r="G314" s="1834">
        <v>4</v>
      </c>
      <c r="H314" s="2349">
        <v>6</v>
      </c>
      <c r="I314" s="303"/>
      <c r="J314" s="303"/>
      <c r="K314" s="303"/>
      <c r="L314" s="303"/>
      <c r="M314" s="303"/>
      <c r="N314" s="488"/>
      <c r="O314" s="621"/>
      <c r="P314" s="970"/>
      <c r="Q314" s="933">
        <f>10.42-6.95</f>
        <v>3.4699999999999998</v>
      </c>
      <c r="R314" s="1616"/>
      <c r="S314" s="45"/>
      <c r="T314" s="233"/>
      <c r="U314" s="233"/>
      <c r="V314" s="233"/>
      <c r="W314" s="45"/>
      <c r="X314" s="233"/>
      <c r="Y314" s="45"/>
      <c r="Z314" s="309"/>
    </row>
    <row r="315" spans="1:29" s="16" customFormat="1" ht="75" x14ac:dyDescent="0.35">
      <c r="A315" s="696">
        <v>139</v>
      </c>
      <c r="B315" s="1040">
        <v>10113</v>
      </c>
      <c r="C315" s="1040"/>
      <c r="D315" s="2460" t="s">
        <v>3952</v>
      </c>
      <c r="E315" s="2187" t="s">
        <v>9662</v>
      </c>
      <c r="F315" s="92" t="s">
        <v>1490</v>
      </c>
      <c r="G315" s="92">
        <v>5</v>
      </c>
      <c r="H315" s="2349">
        <v>6</v>
      </c>
      <c r="I315" s="1150">
        <f>J315+K315+L315</f>
        <v>2.3170000000000002</v>
      </c>
      <c r="J315" s="702">
        <f>SUM(M315:R315)</f>
        <v>2.3170000000000002</v>
      </c>
      <c r="K315" s="622"/>
      <c r="L315" s="622"/>
      <c r="M315" s="622"/>
      <c r="N315" s="622"/>
      <c r="O315" s="622"/>
      <c r="P315" s="622"/>
      <c r="Q315" s="622"/>
      <c r="R315" s="2190">
        <v>2.3170000000000002</v>
      </c>
      <c r="S315" s="106"/>
      <c r="T315" s="106"/>
      <c r="U315" s="106"/>
      <c r="V315" s="106"/>
      <c r="W315" s="105">
        <v>1</v>
      </c>
      <c r="X315" s="105">
        <v>15.75</v>
      </c>
      <c r="Y315" s="105"/>
      <c r="Z315" s="323"/>
      <c r="AA315" s="3"/>
      <c r="AB315" s="3">
        <v>1</v>
      </c>
    </row>
    <row r="316" spans="1:29" s="16" customFormat="1" ht="90.5" x14ac:dyDescent="0.35">
      <c r="A316" s="439">
        <v>140</v>
      </c>
      <c r="B316" s="1004">
        <v>10113</v>
      </c>
      <c r="C316" s="1004" t="s">
        <v>1656</v>
      </c>
      <c r="D316" s="2460" t="s">
        <v>3953</v>
      </c>
      <c r="E316" s="407" t="s">
        <v>9663</v>
      </c>
      <c r="F316" s="1834" t="s">
        <v>664</v>
      </c>
      <c r="G316" s="1834">
        <v>5</v>
      </c>
      <c r="H316" s="2349">
        <v>6</v>
      </c>
      <c r="I316" s="297">
        <f>J316+K316+L316</f>
        <v>0.31</v>
      </c>
      <c r="J316" s="297">
        <f>SUM(M316:R316)</f>
        <v>0.31</v>
      </c>
      <c r="K316" s="297"/>
      <c r="L316" s="297"/>
      <c r="M316" s="297"/>
      <c r="N316" s="486"/>
      <c r="O316" s="619"/>
      <c r="P316" s="969"/>
      <c r="Q316" s="932"/>
      <c r="R316" s="1615">
        <v>0.31</v>
      </c>
      <c r="S316" s="45"/>
      <c r="T316" s="233"/>
      <c r="U316" s="233"/>
      <c r="V316" s="233"/>
      <c r="W316" s="45"/>
      <c r="X316" s="233"/>
      <c r="Y316" s="45"/>
      <c r="Z316" s="309"/>
      <c r="AB316" s="3">
        <v>1</v>
      </c>
    </row>
    <row r="317" spans="1:29" s="16" customFormat="1" ht="30" x14ac:dyDescent="0.35">
      <c r="A317" s="433">
        <v>141</v>
      </c>
      <c r="B317" s="1009">
        <v>10114</v>
      </c>
      <c r="C317" s="1009"/>
      <c r="D317" s="434" t="s">
        <v>623</v>
      </c>
      <c r="E317" s="407" t="s">
        <v>802</v>
      </c>
      <c r="F317" s="1834"/>
      <c r="G317" s="1834" t="s">
        <v>191</v>
      </c>
      <c r="H317" s="2349" t="s">
        <v>191</v>
      </c>
      <c r="I317" s="483">
        <f>J317+K317+L317</f>
        <v>5.9660000000000002</v>
      </c>
      <c r="J317" s="297">
        <f>SUM(M317:R317)</f>
        <v>5.9660000000000002</v>
      </c>
      <c r="K317" s="297"/>
      <c r="L317" s="297"/>
      <c r="M317" s="297"/>
      <c r="N317" s="486">
        <f>SUM(N318:N321)</f>
        <v>1.2</v>
      </c>
      <c r="O317" s="619"/>
      <c r="P317" s="969"/>
      <c r="Q317" s="932">
        <f>SUM(Q318:Q321)</f>
        <v>1.1599999999999999</v>
      </c>
      <c r="R317" s="1615">
        <f>SUM(R318:R321)</f>
        <v>3.6060000000000003</v>
      </c>
      <c r="S317" s="45"/>
      <c r="T317" s="233"/>
      <c r="U317" s="233"/>
      <c r="V317" s="233"/>
      <c r="W317" s="45">
        <v>9</v>
      </c>
      <c r="X317" s="233">
        <v>100</v>
      </c>
      <c r="Y317" s="45">
        <v>1</v>
      </c>
      <c r="Z317" s="309">
        <v>10</v>
      </c>
      <c r="AB317" s="3">
        <v>1</v>
      </c>
    </row>
    <row r="318" spans="1:29" s="16" customFormat="1" x14ac:dyDescent="0.35">
      <c r="A318" s="433"/>
      <c r="B318" s="1009">
        <v>10114</v>
      </c>
      <c r="C318" s="1009"/>
      <c r="D318" s="434"/>
      <c r="E318" s="841" t="s">
        <v>1332</v>
      </c>
      <c r="F318" s="1834" t="s">
        <v>664</v>
      </c>
      <c r="G318" s="1834">
        <v>5</v>
      </c>
      <c r="H318" s="2349">
        <v>6</v>
      </c>
      <c r="I318" s="499"/>
      <c r="J318" s="298"/>
      <c r="K318" s="298"/>
      <c r="L318" s="298"/>
      <c r="M318" s="298"/>
      <c r="N318" s="487"/>
      <c r="O318" s="621"/>
      <c r="P318" s="970"/>
      <c r="Q318" s="933"/>
      <c r="R318" s="1616">
        <v>0.1</v>
      </c>
      <c r="S318" s="45"/>
      <c r="T318" s="233"/>
      <c r="U318" s="233"/>
      <c r="V318" s="233"/>
      <c r="W318" s="45"/>
      <c r="X318" s="233"/>
      <c r="Y318" s="45"/>
      <c r="Z318" s="309"/>
      <c r="AB318" s="3"/>
    </row>
    <row r="319" spans="1:29" s="16" customFormat="1" x14ac:dyDescent="0.35">
      <c r="A319" s="433"/>
      <c r="B319" s="1009">
        <v>10114</v>
      </c>
      <c r="C319" s="1009"/>
      <c r="D319" s="434"/>
      <c r="E319" s="840" t="s">
        <v>194</v>
      </c>
      <c r="F319" s="1834">
        <v>5</v>
      </c>
      <c r="G319" s="1834">
        <v>5</v>
      </c>
      <c r="H319" s="1834">
        <v>6</v>
      </c>
      <c r="I319" s="499"/>
      <c r="J319" s="298"/>
      <c r="K319" s="298"/>
      <c r="L319" s="298"/>
      <c r="M319" s="298"/>
      <c r="N319" s="487"/>
      <c r="O319" s="621"/>
      <c r="P319" s="970"/>
      <c r="Q319" s="933">
        <f>1.26-0.1</f>
        <v>1.1599999999999999</v>
      </c>
      <c r="R319" s="1616"/>
      <c r="S319" s="45"/>
      <c r="T319" s="233"/>
      <c r="U319" s="233"/>
      <c r="V319" s="233"/>
      <c r="W319" s="45"/>
      <c r="X319" s="233"/>
      <c r="Y319" s="45"/>
      <c r="Z319" s="309"/>
      <c r="AB319" s="3"/>
    </row>
    <row r="320" spans="1:29" s="16" customFormat="1" x14ac:dyDescent="0.35">
      <c r="A320" s="433"/>
      <c r="B320" s="1009">
        <v>10114</v>
      </c>
      <c r="C320" s="1009"/>
      <c r="D320" s="434"/>
      <c r="E320" s="430" t="s">
        <v>195</v>
      </c>
      <c r="F320" s="1834">
        <v>5</v>
      </c>
      <c r="G320" s="1834">
        <v>5</v>
      </c>
      <c r="H320" s="2349">
        <v>6</v>
      </c>
      <c r="I320" s="499"/>
      <c r="J320" s="298"/>
      <c r="K320" s="298"/>
      <c r="L320" s="298"/>
      <c r="M320" s="298"/>
      <c r="N320" s="487">
        <f>2.46-1.26</f>
        <v>1.2</v>
      </c>
      <c r="O320" s="621"/>
      <c r="P320" s="970"/>
      <c r="Q320" s="933"/>
      <c r="R320" s="1616"/>
      <c r="S320" s="45"/>
      <c r="T320" s="233"/>
      <c r="U320" s="233"/>
      <c r="V320" s="233"/>
      <c r="W320" s="45"/>
      <c r="X320" s="233"/>
      <c r="Y320" s="45"/>
      <c r="Z320" s="309"/>
      <c r="AB320" s="3"/>
    </row>
    <row r="321" spans="1:32" s="16" customFormat="1" x14ac:dyDescent="0.35">
      <c r="A321" s="433"/>
      <c r="B321" s="1009">
        <v>10114</v>
      </c>
      <c r="C321" s="1009"/>
      <c r="D321" s="434"/>
      <c r="E321" s="841" t="s">
        <v>196</v>
      </c>
      <c r="F321" s="1834" t="s">
        <v>664</v>
      </c>
      <c r="G321" s="1834">
        <v>5</v>
      </c>
      <c r="H321" s="2349">
        <v>6</v>
      </c>
      <c r="I321" s="499"/>
      <c r="J321" s="298"/>
      <c r="K321" s="298"/>
      <c r="L321" s="298"/>
      <c r="M321" s="298"/>
      <c r="N321" s="487"/>
      <c r="O321" s="621"/>
      <c r="P321" s="970"/>
      <c r="Q321" s="933"/>
      <c r="R321" s="1616">
        <f>5.966-2.46</f>
        <v>3.5060000000000002</v>
      </c>
      <c r="S321" s="45"/>
      <c r="T321" s="233"/>
      <c r="U321" s="233"/>
      <c r="V321" s="233"/>
      <c r="W321" s="45"/>
      <c r="X321" s="233"/>
      <c r="Y321" s="45"/>
      <c r="Z321" s="309"/>
      <c r="AB321" s="3"/>
    </row>
    <row r="322" spans="1:32" s="16" customFormat="1" ht="30" x14ac:dyDescent="0.35">
      <c r="A322" s="433">
        <v>142</v>
      </c>
      <c r="B322" s="1009">
        <v>10116</v>
      </c>
      <c r="C322" s="1009"/>
      <c r="D322" s="434" t="s">
        <v>624</v>
      </c>
      <c r="E322" s="407" t="s">
        <v>7042</v>
      </c>
      <c r="F322" s="1834">
        <v>5</v>
      </c>
      <c r="G322" s="1834">
        <v>5</v>
      </c>
      <c r="H322" s="2349">
        <v>6</v>
      </c>
      <c r="I322" s="483">
        <f t="shared" ref="I322:I329" si="24">J322+K322+L322</f>
        <v>1.052</v>
      </c>
      <c r="J322" s="297">
        <f t="shared" ref="J322:J329" si="25">SUM(M322:R322)</f>
        <v>1.052</v>
      </c>
      <c r="K322" s="297"/>
      <c r="L322" s="297"/>
      <c r="M322" s="297"/>
      <c r="N322" s="486"/>
      <c r="O322" s="619"/>
      <c r="P322" s="969"/>
      <c r="Q322" s="932"/>
      <c r="R322" s="1615">
        <v>1.052</v>
      </c>
      <c r="S322" s="45"/>
      <c r="T322" s="233"/>
      <c r="U322" s="233"/>
      <c r="V322" s="233"/>
      <c r="W322" s="45">
        <v>1</v>
      </c>
      <c r="X322" s="233">
        <v>15.1</v>
      </c>
      <c r="Y322" s="45"/>
      <c r="Z322" s="309"/>
      <c r="AB322" s="3">
        <v>1</v>
      </c>
    </row>
    <row r="323" spans="1:32" s="16" customFormat="1" ht="30.5" x14ac:dyDescent="0.35">
      <c r="A323" s="433">
        <v>143</v>
      </c>
      <c r="B323" s="1009">
        <v>10117</v>
      </c>
      <c r="C323" s="1009"/>
      <c r="D323" s="434" t="s">
        <v>625</v>
      </c>
      <c r="E323" s="407" t="s">
        <v>7043</v>
      </c>
      <c r="F323" s="1834"/>
      <c r="G323" s="1834" t="s">
        <v>191</v>
      </c>
      <c r="H323" s="2349" t="s">
        <v>191</v>
      </c>
      <c r="I323" s="297">
        <f t="shared" si="24"/>
        <v>5.81</v>
      </c>
      <c r="J323" s="297">
        <f t="shared" si="25"/>
        <v>5.81</v>
      </c>
      <c r="K323" s="297"/>
      <c r="L323" s="297"/>
      <c r="M323" s="297"/>
      <c r="N323" s="486">
        <f>SUM(N324:N325)</f>
        <v>1.3599999999999994</v>
      </c>
      <c r="O323" s="619"/>
      <c r="P323" s="969"/>
      <c r="Q323" s="932">
        <f>SUM(Q324:Q325)</f>
        <v>4.45</v>
      </c>
      <c r="R323" s="1615"/>
      <c r="S323" s="45"/>
      <c r="T323" s="233"/>
      <c r="U323" s="233"/>
      <c r="V323" s="233"/>
      <c r="W323" s="45">
        <v>11</v>
      </c>
      <c r="X323" s="233">
        <v>119.1</v>
      </c>
      <c r="Y323" s="45">
        <v>7</v>
      </c>
      <c r="Z323" s="309">
        <v>70</v>
      </c>
      <c r="AB323" s="3">
        <v>1</v>
      </c>
      <c r="AC323" s="3" t="s">
        <v>1003</v>
      </c>
      <c r="AD323" s="2100">
        <v>32969</v>
      </c>
      <c r="AE323" s="2100">
        <v>32993</v>
      </c>
      <c r="AF323" s="3" t="s">
        <v>1004</v>
      </c>
    </row>
    <row r="324" spans="1:32" s="16" customFormat="1" x14ac:dyDescent="0.35">
      <c r="A324" s="433"/>
      <c r="B324" s="1009"/>
      <c r="C324" s="1009"/>
      <c r="D324" s="434"/>
      <c r="E324" s="840" t="s">
        <v>10432</v>
      </c>
      <c r="F324" s="1834">
        <v>5</v>
      </c>
      <c r="G324" s="1834">
        <v>5</v>
      </c>
      <c r="H324" s="2349">
        <v>6</v>
      </c>
      <c r="I324" s="298"/>
      <c r="J324" s="298"/>
      <c r="K324" s="298"/>
      <c r="L324" s="298"/>
      <c r="M324" s="298"/>
      <c r="N324" s="487"/>
      <c r="O324" s="300"/>
      <c r="P324" s="1835"/>
      <c r="Q324" s="1836">
        <v>4.45</v>
      </c>
      <c r="R324" s="1615"/>
      <c r="S324" s="45"/>
      <c r="T324" s="233"/>
      <c r="U324" s="233"/>
      <c r="V324" s="233"/>
      <c r="W324" s="45"/>
      <c r="X324" s="233"/>
      <c r="Y324" s="45"/>
      <c r="Z324" s="309"/>
      <c r="AB324" s="3"/>
      <c r="AC324" s="3"/>
      <c r="AD324" s="2100"/>
      <c r="AE324" s="2100"/>
      <c r="AF324" s="3"/>
    </row>
    <row r="325" spans="1:32" s="16" customFormat="1" x14ac:dyDescent="0.35">
      <c r="A325" s="433"/>
      <c r="B325" s="1009"/>
      <c r="C325" s="1009"/>
      <c r="D325" s="434"/>
      <c r="E325" s="430" t="s">
        <v>10433</v>
      </c>
      <c r="F325" s="1834">
        <v>5</v>
      </c>
      <c r="G325" s="1834">
        <v>5</v>
      </c>
      <c r="H325" s="2349">
        <v>6</v>
      </c>
      <c r="I325" s="298"/>
      <c r="J325" s="298"/>
      <c r="K325" s="298"/>
      <c r="L325" s="298"/>
      <c r="M325" s="298"/>
      <c r="N325" s="487">
        <f>5.81-4.45</f>
        <v>1.3599999999999994</v>
      </c>
      <c r="O325" s="300"/>
      <c r="P325" s="1835"/>
      <c r="Q325" s="1836"/>
      <c r="R325" s="1615"/>
      <c r="S325" s="45"/>
      <c r="T325" s="233"/>
      <c r="U325" s="233"/>
      <c r="V325" s="233"/>
      <c r="W325" s="45"/>
      <c r="X325" s="233"/>
      <c r="Y325" s="45"/>
      <c r="Z325" s="309"/>
      <c r="AB325" s="3"/>
      <c r="AC325" s="3"/>
      <c r="AD325" s="2100"/>
      <c r="AE325" s="2100"/>
      <c r="AF325" s="3"/>
    </row>
    <row r="326" spans="1:32" s="16" customFormat="1" ht="45.5" x14ac:dyDescent="0.35">
      <c r="A326" s="433">
        <v>144</v>
      </c>
      <c r="B326" s="1003">
        <v>10117</v>
      </c>
      <c r="C326" s="1003"/>
      <c r="D326" s="2460" t="s">
        <v>3954</v>
      </c>
      <c r="E326" s="407" t="s">
        <v>7471</v>
      </c>
      <c r="F326" s="1834" t="s">
        <v>827</v>
      </c>
      <c r="G326" s="1834">
        <v>5</v>
      </c>
      <c r="H326" s="2349">
        <v>6</v>
      </c>
      <c r="I326" s="297">
        <f t="shared" si="24"/>
        <v>0.8</v>
      </c>
      <c r="J326" s="297">
        <f t="shared" si="25"/>
        <v>0.8</v>
      </c>
      <c r="K326" s="297"/>
      <c r="L326" s="297"/>
      <c r="M326" s="297"/>
      <c r="N326" s="486">
        <v>0.8</v>
      </c>
      <c r="O326" s="619"/>
      <c r="P326" s="969"/>
      <c r="Q326" s="932"/>
      <c r="R326" s="1615"/>
      <c r="S326" s="45"/>
      <c r="T326" s="233"/>
      <c r="U326" s="233"/>
      <c r="V326" s="233"/>
      <c r="W326" s="45">
        <v>1</v>
      </c>
      <c r="X326" s="233">
        <v>15.2</v>
      </c>
      <c r="Y326" s="45"/>
      <c r="Z326" s="309"/>
      <c r="AB326" s="3">
        <v>1</v>
      </c>
    </row>
    <row r="327" spans="1:32" s="16" customFormat="1" ht="45.5" x14ac:dyDescent="0.35">
      <c r="A327" s="433">
        <v>145</v>
      </c>
      <c r="B327" s="1003">
        <v>10117</v>
      </c>
      <c r="C327" s="1003"/>
      <c r="D327" s="2460" t="s">
        <v>3955</v>
      </c>
      <c r="E327" s="407" t="s">
        <v>7472</v>
      </c>
      <c r="F327" s="1834" t="s">
        <v>1490</v>
      </c>
      <c r="G327" s="1834">
        <v>5</v>
      </c>
      <c r="H327" s="2349">
        <v>6</v>
      </c>
      <c r="I327" s="483">
        <f t="shared" si="24"/>
        <v>2.64</v>
      </c>
      <c r="J327" s="297">
        <f t="shared" si="25"/>
        <v>2.64</v>
      </c>
      <c r="K327" s="297"/>
      <c r="L327" s="297"/>
      <c r="M327" s="297"/>
      <c r="N327" s="486"/>
      <c r="O327" s="619"/>
      <c r="P327" s="969"/>
      <c r="Q327" s="932"/>
      <c r="R327" s="1615">
        <v>2.64</v>
      </c>
      <c r="S327" s="45"/>
      <c r="T327" s="233"/>
      <c r="U327" s="233"/>
      <c r="V327" s="233"/>
      <c r="W327" s="45">
        <v>1</v>
      </c>
      <c r="X327" s="233">
        <v>12.9</v>
      </c>
      <c r="Y327" s="45"/>
      <c r="Z327" s="309"/>
      <c r="AB327" s="3">
        <v>1</v>
      </c>
    </row>
    <row r="328" spans="1:32" s="16" customFormat="1" ht="45.5" x14ac:dyDescent="0.35">
      <c r="A328" s="433">
        <v>146</v>
      </c>
      <c r="B328" s="1004">
        <v>10117</v>
      </c>
      <c r="C328" s="1004" t="s">
        <v>1656</v>
      </c>
      <c r="D328" s="2460" t="s">
        <v>3956</v>
      </c>
      <c r="E328" s="407" t="s">
        <v>8199</v>
      </c>
      <c r="F328" s="1834" t="s">
        <v>1490</v>
      </c>
      <c r="G328" s="1834">
        <v>5</v>
      </c>
      <c r="H328" s="2349">
        <v>6</v>
      </c>
      <c r="I328" s="483">
        <f t="shared" si="24"/>
        <v>0.18</v>
      </c>
      <c r="J328" s="297">
        <f t="shared" si="25"/>
        <v>0.18</v>
      </c>
      <c r="K328" s="297"/>
      <c r="L328" s="297"/>
      <c r="M328" s="297"/>
      <c r="N328" s="486"/>
      <c r="O328" s="619"/>
      <c r="P328" s="969"/>
      <c r="Q328" s="932"/>
      <c r="R328" s="1615">
        <v>0.18</v>
      </c>
      <c r="S328" s="45"/>
      <c r="T328" s="233"/>
      <c r="U328" s="233"/>
      <c r="V328" s="233"/>
      <c r="W328" s="45"/>
      <c r="X328" s="233"/>
      <c r="Y328" s="45"/>
      <c r="Z328" s="309"/>
      <c r="AB328" s="3">
        <v>1</v>
      </c>
    </row>
    <row r="329" spans="1:32" s="16" customFormat="1" ht="30" x14ac:dyDescent="0.35">
      <c r="A329" s="433">
        <v>147</v>
      </c>
      <c r="B329" s="1009">
        <v>10118</v>
      </c>
      <c r="C329" s="1009"/>
      <c r="D329" s="434" t="s">
        <v>2393</v>
      </c>
      <c r="E329" s="407" t="s">
        <v>7220</v>
      </c>
      <c r="F329" s="1834"/>
      <c r="G329" s="1834" t="s">
        <v>191</v>
      </c>
      <c r="H329" s="2349" t="s">
        <v>191</v>
      </c>
      <c r="I329" s="483">
        <f t="shared" si="24"/>
        <v>3.16</v>
      </c>
      <c r="J329" s="297">
        <f t="shared" si="25"/>
        <v>3.16</v>
      </c>
      <c r="K329" s="297"/>
      <c r="L329" s="297"/>
      <c r="M329" s="297"/>
      <c r="N329" s="486">
        <f>SUM(N330:N331)</f>
        <v>0.1</v>
      </c>
      <c r="O329" s="619"/>
      <c r="P329" s="969"/>
      <c r="Q329" s="932"/>
      <c r="R329" s="1615">
        <f>SUM(R330:R331)</f>
        <v>3.06</v>
      </c>
      <c r="S329" s="45"/>
      <c r="T329" s="233"/>
      <c r="U329" s="233"/>
      <c r="V329" s="233"/>
      <c r="W329" s="45"/>
      <c r="X329" s="233"/>
      <c r="Y329" s="45"/>
      <c r="Z329" s="309"/>
      <c r="AB329" s="3">
        <v>1</v>
      </c>
    </row>
    <row r="330" spans="1:32" s="16" customFormat="1" x14ac:dyDescent="0.35">
      <c r="A330" s="433"/>
      <c r="B330" s="1009">
        <v>10118</v>
      </c>
      <c r="C330" s="1009"/>
      <c r="D330" s="435"/>
      <c r="E330" s="430" t="s">
        <v>1332</v>
      </c>
      <c r="F330" s="1834">
        <v>5</v>
      </c>
      <c r="G330" s="1834">
        <v>5</v>
      </c>
      <c r="H330" s="2349">
        <v>6</v>
      </c>
      <c r="I330" s="499"/>
      <c r="J330" s="298"/>
      <c r="K330" s="298"/>
      <c r="L330" s="298"/>
      <c r="M330" s="298"/>
      <c r="N330" s="487">
        <v>0.1</v>
      </c>
      <c r="O330" s="621"/>
      <c r="P330" s="970"/>
      <c r="Q330" s="933"/>
      <c r="R330" s="1616"/>
      <c r="S330" s="45"/>
      <c r="T330" s="233"/>
      <c r="U330" s="233"/>
      <c r="V330" s="233"/>
      <c r="W330" s="45"/>
      <c r="X330" s="233"/>
      <c r="Y330" s="45"/>
      <c r="Z330" s="309"/>
      <c r="AB330" s="3"/>
    </row>
    <row r="331" spans="1:32" s="16" customFormat="1" x14ac:dyDescent="0.35">
      <c r="A331" s="433"/>
      <c r="B331" s="1009">
        <v>10118</v>
      </c>
      <c r="C331" s="1009"/>
      <c r="D331" s="435"/>
      <c r="E331" s="841" t="s">
        <v>750</v>
      </c>
      <c r="F331" s="1834" t="s">
        <v>827</v>
      </c>
      <c r="G331" s="1834">
        <v>5</v>
      </c>
      <c r="H331" s="2349">
        <v>6</v>
      </c>
      <c r="I331" s="499"/>
      <c r="J331" s="298"/>
      <c r="K331" s="298"/>
      <c r="L331" s="298"/>
      <c r="M331" s="298"/>
      <c r="N331" s="487"/>
      <c r="O331" s="621"/>
      <c r="P331" s="970"/>
      <c r="Q331" s="933"/>
      <c r="R331" s="1616">
        <v>3.06</v>
      </c>
      <c r="S331" s="45"/>
      <c r="T331" s="233"/>
      <c r="U331" s="233"/>
      <c r="V331" s="233"/>
      <c r="W331" s="45"/>
      <c r="X331" s="233"/>
      <c r="Y331" s="45"/>
      <c r="Z331" s="309"/>
      <c r="AB331" s="3"/>
    </row>
    <row r="332" spans="1:32" s="16" customFormat="1" ht="30.5" x14ac:dyDescent="0.35">
      <c r="A332" s="433">
        <v>148</v>
      </c>
      <c r="B332" s="1009">
        <v>10119</v>
      </c>
      <c r="C332" s="1009"/>
      <c r="D332" s="434" t="s">
        <v>1527</v>
      </c>
      <c r="E332" s="407" t="s">
        <v>9394</v>
      </c>
      <c r="F332" s="1834"/>
      <c r="G332" s="1834" t="s">
        <v>191</v>
      </c>
      <c r="H332" s="2349" t="s">
        <v>191</v>
      </c>
      <c r="I332" s="483">
        <f>J332+K332+L332</f>
        <v>6.8879999999999999</v>
      </c>
      <c r="J332" s="297">
        <f>SUM(M332:R332)</f>
        <v>6.8879999999999999</v>
      </c>
      <c r="K332" s="297"/>
      <c r="L332" s="297"/>
      <c r="M332" s="297"/>
      <c r="N332" s="486">
        <f>SUM(N333:N334)</f>
        <v>1.77</v>
      </c>
      <c r="O332" s="619"/>
      <c r="P332" s="969"/>
      <c r="Q332" s="932">
        <f>SUM(Q333:Q334)</f>
        <v>5.1180000000000003</v>
      </c>
      <c r="R332" s="1615"/>
      <c r="S332" s="45"/>
      <c r="T332" s="233"/>
      <c r="U332" s="233"/>
      <c r="V332" s="233"/>
      <c r="W332" s="45">
        <v>8</v>
      </c>
      <c r="X332" s="233">
        <v>86</v>
      </c>
      <c r="Y332" s="45">
        <v>2</v>
      </c>
      <c r="Z332" s="309">
        <v>20</v>
      </c>
      <c r="AB332" s="3">
        <v>1</v>
      </c>
    </row>
    <row r="333" spans="1:32" s="16" customFormat="1" x14ac:dyDescent="0.35">
      <c r="A333" s="433"/>
      <c r="B333" s="1009">
        <v>10119</v>
      </c>
      <c r="C333" s="1009"/>
      <c r="D333" s="435"/>
      <c r="E333" s="430" t="s">
        <v>245</v>
      </c>
      <c r="F333" s="1834">
        <v>5</v>
      </c>
      <c r="G333" s="1834">
        <v>5</v>
      </c>
      <c r="H333" s="2349">
        <v>6</v>
      </c>
      <c r="I333" s="298"/>
      <c r="J333" s="298"/>
      <c r="K333" s="298"/>
      <c r="L333" s="298"/>
      <c r="M333" s="298"/>
      <c r="N333" s="487">
        <v>1.77</v>
      </c>
      <c r="O333" s="621"/>
      <c r="P333" s="970"/>
      <c r="Q333" s="933"/>
      <c r="R333" s="1616"/>
      <c r="S333" s="45"/>
      <c r="T333" s="233"/>
      <c r="U333" s="233"/>
      <c r="V333" s="233"/>
      <c r="W333" s="45"/>
      <c r="X333" s="233"/>
      <c r="Y333" s="45"/>
      <c r="Z333" s="309"/>
    </row>
    <row r="334" spans="1:32" s="16" customFormat="1" x14ac:dyDescent="0.35">
      <c r="A334" s="2044"/>
      <c r="B334" s="1009">
        <v>10119</v>
      </c>
      <c r="C334" s="1009"/>
      <c r="D334" s="436"/>
      <c r="E334" s="840" t="s">
        <v>751</v>
      </c>
      <c r="F334" s="1834" t="s">
        <v>827</v>
      </c>
      <c r="G334" s="1834">
        <v>5</v>
      </c>
      <c r="H334" s="2349">
        <v>6</v>
      </c>
      <c r="I334" s="300"/>
      <c r="J334" s="300"/>
      <c r="K334" s="300"/>
      <c r="L334" s="300"/>
      <c r="M334" s="300"/>
      <c r="N334" s="487"/>
      <c r="O334" s="621"/>
      <c r="P334" s="970"/>
      <c r="Q334" s="933">
        <v>5.1180000000000003</v>
      </c>
      <c r="R334" s="1616"/>
      <c r="S334" s="1641"/>
      <c r="T334" s="1642"/>
      <c r="U334" s="1642"/>
      <c r="V334" s="1642"/>
      <c r="W334" s="1641"/>
      <c r="X334" s="1642"/>
      <c r="Y334" s="1641"/>
      <c r="Z334" s="1643"/>
    </row>
    <row r="335" spans="1:32" s="16" customFormat="1" ht="45.5" x14ac:dyDescent="0.35">
      <c r="A335" s="433">
        <v>149</v>
      </c>
      <c r="B335" s="1003">
        <v>10119</v>
      </c>
      <c r="C335" s="1003"/>
      <c r="D335" s="2460" t="s">
        <v>3957</v>
      </c>
      <c r="E335" s="407" t="s">
        <v>9395</v>
      </c>
      <c r="F335" s="1834" t="s">
        <v>827</v>
      </c>
      <c r="G335" s="1834">
        <v>5</v>
      </c>
      <c r="H335" s="2349">
        <v>6</v>
      </c>
      <c r="I335" s="483">
        <f>J335+K335+L335</f>
        <v>1.3</v>
      </c>
      <c r="J335" s="297">
        <f>SUM(M335:R335)</f>
        <v>1.3</v>
      </c>
      <c r="K335" s="297"/>
      <c r="L335" s="297"/>
      <c r="M335" s="297"/>
      <c r="N335" s="486"/>
      <c r="O335" s="619"/>
      <c r="P335" s="969"/>
      <c r="Q335" s="932">
        <v>1.3</v>
      </c>
      <c r="R335" s="1615"/>
      <c r="S335" s="45"/>
      <c r="T335" s="233"/>
      <c r="U335" s="233"/>
      <c r="V335" s="233"/>
      <c r="W335" s="45">
        <v>1</v>
      </c>
      <c r="X335" s="233">
        <v>15.1</v>
      </c>
      <c r="Y335" s="57"/>
      <c r="Z335" s="309"/>
      <c r="AB335" s="3">
        <v>1</v>
      </c>
    </row>
    <row r="336" spans="1:32" s="16" customFormat="1" ht="60.5" x14ac:dyDescent="0.35">
      <c r="A336" s="439">
        <v>150</v>
      </c>
      <c r="B336" s="1004">
        <v>10119</v>
      </c>
      <c r="C336" s="1006" t="s">
        <v>1655</v>
      </c>
      <c r="D336" s="2460" t="s">
        <v>3958</v>
      </c>
      <c r="E336" s="407" t="s">
        <v>9396</v>
      </c>
      <c r="F336" s="1834" t="s">
        <v>1490</v>
      </c>
      <c r="G336" s="1834">
        <v>5</v>
      </c>
      <c r="H336" s="2349">
        <v>6</v>
      </c>
      <c r="I336" s="483">
        <f>J336+K336+L336</f>
        <v>0.3</v>
      </c>
      <c r="J336" s="297">
        <f>SUM(M336:R336)</f>
        <v>0.3</v>
      </c>
      <c r="K336" s="297"/>
      <c r="L336" s="297"/>
      <c r="M336" s="297"/>
      <c r="N336" s="486"/>
      <c r="O336" s="619"/>
      <c r="P336" s="969"/>
      <c r="Q336" s="932"/>
      <c r="R336" s="1615">
        <v>0.3</v>
      </c>
      <c r="S336" s="45"/>
      <c r="T336" s="233"/>
      <c r="U336" s="233"/>
      <c r="V336" s="233"/>
      <c r="W336" s="45"/>
      <c r="X336" s="233"/>
      <c r="Y336" s="45"/>
      <c r="Z336" s="309"/>
      <c r="AB336" s="3">
        <v>1</v>
      </c>
    </row>
    <row r="337" spans="1:29" s="16" customFormat="1" ht="45.5" x14ac:dyDescent="0.35">
      <c r="A337" s="433">
        <v>151</v>
      </c>
      <c r="B337" s="1004">
        <v>10119</v>
      </c>
      <c r="C337" s="1006" t="s">
        <v>1656</v>
      </c>
      <c r="D337" s="2460" t="s">
        <v>3959</v>
      </c>
      <c r="E337" s="407" t="s">
        <v>9397</v>
      </c>
      <c r="F337" s="1834" t="s">
        <v>664</v>
      </c>
      <c r="G337" s="1834">
        <v>5</v>
      </c>
      <c r="H337" s="2349">
        <v>6</v>
      </c>
      <c r="I337" s="483">
        <f>J337+K337+L337</f>
        <v>0.1</v>
      </c>
      <c r="J337" s="297">
        <f>SUM(M337:R337)</f>
        <v>0.1</v>
      </c>
      <c r="K337" s="297"/>
      <c r="L337" s="297"/>
      <c r="M337" s="297"/>
      <c r="N337" s="486"/>
      <c r="O337" s="619"/>
      <c r="P337" s="969"/>
      <c r="Q337" s="932"/>
      <c r="R337" s="1615">
        <v>0.1</v>
      </c>
      <c r="S337" s="45"/>
      <c r="T337" s="233"/>
      <c r="U337" s="233"/>
      <c r="V337" s="233"/>
      <c r="W337" s="45"/>
      <c r="X337" s="233"/>
      <c r="Y337" s="45"/>
      <c r="Z337" s="309"/>
      <c r="AB337" s="3">
        <v>1</v>
      </c>
    </row>
    <row r="338" spans="1:29" s="16" customFormat="1" ht="30" x14ac:dyDescent="0.35">
      <c r="A338" s="439">
        <v>152</v>
      </c>
      <c r="B338" s="1009">
        <v>10120</v>
      </c>
      <c r="C338" s="1009"/>
      <c r="D338" s="434" t="s">
        <v>1528</v>
      </c>
      <c r="E338" s="407" t="s">
        <v>310</v>
      </c>
      <c r="F338" s="1834"/>
      <c r="G338" s="1834" t="s">
        <v>191</v>
      </c>
      <c r="H338" s="2349" t="s">
        <v>191</v>
      </c>
      <c r="I338" s="483">
        <f>J338+K338+L338</f>
        <v>2.66</v>
      </c>
      <c r="J338" s="297">
        <f>SUM(M338:R338)</f>
        <v>2.66</v>
      </c>
      <c r="K338" s="297"/>
      <c r="L338" s="297"/>
      <c r="M338" s="297"/>
      <c r="N338" s="486">
        <f>SUM(N339:N340)</f>
        <v>0.83</v>
      </c>
      <c r="O338" s="619"/>
      <c r="P338" s="969"/>
      <c r="Q338" s="932"/>
      <c r="R338" s="1615">
        <f>SUM(R339:R340)</f>
        <v>1.83</v>
      </c>
      <c r="S338" s="45"/>
      <c r="T338" s="233"/>
      <c r="U338" s="233"/>
      <c r="V338" s="233"/>
      <c r="W338" s="45">
        <v>3</v>
      </c>
      <c r="X338" s="233">
        <v>22</v>
      </c>
      <c r="Y338" s="45"/>
      <c r="Z338" s="309"/>
      <c r="AB338" s="3">
        <v>1</v>
      </c>
    </row>
    <row r="339" spans="1:29" s="16" customFormat="1" x14ac:dyDescent="0.35">
      <c r="A339" s="433"/>
      <c r="B339" s="1009">
        <v>10120</v>
      </c>
      <c r="C339" s="1009"/>
      <c r="D339" s="435"/>
      <c r="E339" s="430" t="s">
        <v>1138</v>
      </c>
      <c r="F339" s="1834">
        <v>4</v>
      </c>
      <c r="G339" s="1834">
        <v>5</v>
      </c>
      <c r="H339" s="2349">
        <v>6</v>
      </c>
      <c r="I339" s="499"/>
      <c r="J339" s="298"/>
      <c r="K339" s="298"/>
      <c r="L339" s="298"/>
      <c r="M339" s="298"/>
      <c r="N339" s="487">
        <v>0.83</v>
      </c>
      <c r="O339" s="621"/>
      <c r="P339" s="970"/>
      <c r="Q339" s="933"/>
      <c r="R339" s="1616"/>
      <c r="S339" s="45"/>
      <c r="T339" s="233"/>
      <c r="U339" s="233"/>
      <c r="V339" s="233"/>
      <c r="W339" s="45"/>
      <c r="X339" s="233"/>
      <c r="Y339" s="45"/>
      <c r="Z339" s="309"/>
      <c r="AB339" s="3"/>
    </row>
    <row r="340" spans="1:29" s="16" customFormat="1" x14ac:dyDescent="0.35">
      <c r="A340" s="2045"/>
      <c r="B340" s="1009">
        <v>10120</v>
      </c>
      <c r="C340" s="1009"/>
      <c r="D340" s="437"/>
      <c r="E340" s="841" t="s">
        <v>2563</v>
      </c>
      <c r="F340" s="1834">
        <v>5</v>
      </c>
      <c r="G340" s="1834">
        <v>5</v>
      </c>
      <c r="H340" s="2349">
        <v>6</v>
      </c>
      <c r="I340" s="1012"/>
      <c r="J340" s="301"/>
      <c r="K340" s="301"/>
      <c r="L340" s="301"/>
      <c r="M340" s="301"/>
      <c r="N340" s="487"/>
      <c r="O340" s="621"/>
      <c r="P340" s="970"/>
      <c r="Q340" s="933"/>
      <c r="R340" s="1616">
        <v>1.83</v>
      </c>
      <c r="S340" s="1644"/>
      <c r="T340" s="1645"/>
      <c r="U340" s="1645"/>
      <c r="V340" s="1645"/>
      <c r="W340" s="1644"/>
      <c r="X340" s="1645"/>
      <c r="Y340" s="1644"/>
      <c r="Z340" s="1646"/>
    </row>
    <row r="341" spans="1:29" s="16" customFormat="1" ht="30" x14ac:dyDescent="0.35">
      <c r="A341" s="433">
        <v>153</v>
      </c>
      <c r="B341" s="1009">
        <v>10121</v>
      </c>
      <c r="C341" s="1009"/>
      <c r="D341" s="434" t="s">
        <v>1529</v>
      </c>
      <c r="E341" s="407" t="s">
        <v>7044</v>
      </c>
      <c r="F341" s="1834">
        <v>5</v>
      </c>
      <c r="G341" s="1834">
        <v>5</v>
      </c>
      <c r="H341" s="2349">
        <v>6</v>
      </c>
      <c r="I341" s="483">
        <f>J341+K341+L341</f>
        <v>4.0999999999999996</v>
      </c>
      <c r="J341" s="297">
        <f>SUM(M341:R341)</f>
        <v>4.0999999999999996</v>
      </c>
      <c r="K341" s="297"/>
      <c r="L341" s="297"/>
      <c r="M341" s="297"/>
      <c r="N341" s="486"/>
      <c r="O341" s="619"/>
      <c r="P341" s="969"/>
      <c r="Q341" s="932"/>
      <c r="R341" s="1615">
        <v>4.0999999999999996</v>
      </c>
      <c r="S341" s="45"/>
      <c r="T341" s="233"/>
      <c r="U341" s="233"/>
      <c r="V341" s="233"/>
      <c r="W341" s="45">
        <v>3</v>
      </c>
      <c r="X341" s="233">
        <v>32.200000000000003</v>
      </c>
      <c r="Y341" s="45"/>
      <c r="Z341" s="309"/>
      <c r="AB341" s="3">
        <v>1</v>
      </c>
    </row>
    <row r="342" spans="1:29" s="16" customFormat="1" ht="30" x14ac:dyDescent="0.35">
      <c r="A342" s="433">
        <v>154</v>
      </c>
      <c r="B342" s="1009">
        <v>10122</v>
      </c>
      <c r="C342" s="1009"/>
      <c r="D342" s="434" t="s">
        <v>1530</v>
      </c>
      <c r="E342" s="407" t="s">
        <v>2414</v>
      </c>
      <c r="F342" s="1834" t="s">
        <v>827</v>
      </c>
      <c r="G342" s="1834">
        <v>5</v>
      </c>
      <c r="H342" s="2349">
        <v>6</v>
      </c>
      <c r="I342" s="483">
        <f>J342+K342+L342</f>
        <v>1.93</v>
      </c>
      <c r="J342" s="297">
        <f>SUM(M342:R342)</f>
        <v>1.93</v>
      </c>
      <c r="K342" s="297"/>
      <c r="L342" s="297"/>
      <c r="M342" s="297"/>
      <c r="N342" s="486"/>
      <c r="O342" s="619"/>
      <c r="P342" s="969"/>
      <c r="Q342" s="932">
        <v>1.93</v>
      </c>
      <c r="R342" s="2766"/>
      <c r="S342" s="45"/>
      <c r="T342" s="233"/>
      <c r="U342" s="233"/>
      <c r="V342" s="233"/>
      <c r="W342" s="45">
        <v>2</v>
      </c>
      <c r="X342" s="233">
        <v>17.899999999999999</v>
      </c>
      <c r="Y342" s="45"/>
      <c r="Z342" s="309"/>
      <c r="AB342" s="3">
        <v>1</v>
      </c>
      <c r="AC342" s="3" t="s">
        <v>2570</v>
      </c>
    </row>
    <row r="343" spans="1:29" ht="45.5" x14ac:dyDescent="0.35">
      <c r="A343" s="433">
        <v>155</v>
      </c>
      <c r="B343" s="1003">
        <v>10122</v>
      </c>
      <c r="C343" s="1003" t="s">
        <v>1655</v>
      </c>
      <c r="D343" s="2460" t="s">
        <v>3960</v>
      </c>
      <c r="E343" s="2069" t="s">
        <v>7369</v>
      </c>
      <c r="F343" s="1834" t="s">
        <v>664</v>
      </c>
      <c r="G343" s="1834">
        <v>5</v>
      </c>
      <c r="H343" s="2349">
        <v>6</v>
      </c>
      <c r="I343" s="297">
        <f>J343+K343+L343</f>
        <v>0.1</v>
      </c>
      <c r="J343" s="297">
        <f>SUM(M343:R343)</f>
        <v>0.1</v>
      </c>
      <c r="K343" s="297"/>
      <c r="L343" s="297"/>
      <c r="M343" s="297"/>
      <c r="N343" s="486"/>
      <c r="O343" s="619"/>
      <c r="P343" s="969"/>
      <c r="Q343" s="932"/>
      <c r="R343" s="925">
        <v>0.1</v>
      </c>
      <c r="S343" s="45"/>
      <c r="T343" s="233"/>
      <c r="U343" s="233"/>
      <c r="V343" s="233"/>
      <c r="W343" s="45"/>
      <c r="X343" s="233"/>
      <c r="Y343" s="45"/>
      <c r="Z343" s="309"/>
      <c r="AB343" s="3">
        <v>1</v>
      </c>
    </row>
    <row r="344" spans="1:29" s="16" customFormat="1" ht="30.5" x14ac:dyDescent="0.35">
      <c r="A344" s="433">
        <v>156</v>
      </c>
      <c r="B344" s="1009">
        <v>10123</v>
      </c>
      <c r="C344" s="1009"/>
      <c r="D344" s="434" t="s">
        <v>469</v>
      </c>
      <c r="E344" s="407" t="s">
        <v>7045</v>
      </c>
      <c r="F344" s="1834"/>
      <c r="G344" s="1834" t="s">
        <v>191</v>
      </c>
      <c r="H344" s="2349" t="s">
        <v>191</v>
      </c>
      <c r="I344" s="483">
        <f>J344+K344+L344</f>
        <v>7.9359999999999999</v>
      </c>
      <c r="J344" s="297">
        <f>SUM(M344:R344)</f>
        <v>7.9359999999999999</v>
      </c>
      <c r="K344" s="489"/>
      <c r="L344" s="489"/>
      <c r="M344" s="489"/>
      <c r="N344" s="490">
        <f>SUM(N345:N346)</f>
        <v>4.6950000000000003</v>
      </c>
      <c r="O344" s="624"/>
      <c r="P344" s="971"/>
      <c r="Q344" s="935">
        <f>SUM(Q345:Q346)</f>
        <v>3.2409999999999997</v>
      </c>
      <c r="R344" s="1617"/>
      <c r="S344" s="57"/>
      <c r="T344" s="234"/>
      <c r="U344" s="234"/>
      <c r="V344" s="234"/>
      <c r="W344" s="57">
        <v>10</v>
      </c>
      <c r="X344" s="1962">
        <v>127.8</v>
      </c>
      <c r="Y344" s="57">
        <v>2</v>
      </c>
      <c r="Z344" s="309">
        <v>20</v>
      </c>
      <c r="AB344" s="3">
        <v>1</v>
      </c>
    </row>
    <row r="345" spans="1:29" s="16" customFormat="1" x14ac:dyDescent="0.35">
      <c r="A345" s="433"/>
      <c r="B345" s="1009">
        <v>10123</v>
      </c>
      <c r="C345" s="1009"/>
      <c r="D345" s="435"/>
      <c r="E345" s="430" t="s">
        <v>3483</v>
      </c>
      <c r="F345" s="1834">
        <v>4</v>
      </c>
      <c r="G345" s="1834">
        <v>4</v>
      </c>
      <c r="H345" s="2349">
        <v>6</v>
      </c>
      <c r="I345" s="499"/>
      <c r="J345" s="298"/>
      <c r="K345" s="492"/>
      <c r="L345" s="492"/>
      <c r="M345" s="492"/>
      <c r="N345" s="493">
        <v>4.6950000000000003</v>
      </c>
      <c r="O345" s="1017"/>
      <c r="P345" s="972"/>
      <c r="Q345" s="933"/>
      <c r="R345" s="1618"/>
      <c r="S345" s="57"/>
      <c r="T345" s="234"/>
      <c r="U345" s="234"/>
      <c r="V345" s="234"/>
      <c r="W345" s="57"/>
      <c r="X345" s="233"/>
      <c r="Y345" s="57"/>
      <c r="Z345" s="309"/>
    </row>
    <row r="346" spans="1:29" s="16" customFormat="1" x14ac:dyDescent="0.35">
      <c r="A346" s="2044"/>
      <c r="B346" s="1009">
        <v>10123</v>
      </c>
      <c r="C346" s="1009"/>
      <c r="D346" s="436"/>
      <c r="E346" s="840" t="s">
        <v>3484</v>
      </c>
      <c r="F346" s="1834">
        <v>4</v>
      </c>
      <c r="G346" s="1834">
        <v>4</v>
      </c>
      <c r="H346" s="2349">
        <v>6</v>
      </c>
      <c r="I346" s="1008"/>
      <c r="J346" s="300"/>
      <c r="K346" s="496"/>
      <c r="L346" s="496"/>
      <c r="M346" s="496"/>
      <c r="N346" s="493"/>
      <c r="O346" s="1017"/>
      <c r="P346" s="972"/>
      <c r="Q346" s="933">
        <f>7.936-4.695</f>
        <v>3.2409999999999997</v>
      </c>
      <c r="R346" s="1618"/>
      <c r="S346" s="1647"/>
      <c r="T346" s="1651"/>
      <c r="U346" s="1651"/>
      <c r="V346" s="1651"/>
      <c r="W346" s="1647"/>
      <c r="X346" s="1642"/>
      <c r="Y346" s="1647"/>
      <c r="Z346" s="1643"/>
      <c r="AB346" s="3"/>
    </row>
    <row r="347" spans="1:29" s="16" customFormat="1" ht="45.5" x14ac:dyDescent="0.35">
      <c r="A347" s="433">
        <v>157</v>
      </c>
      <c r="B347" s="1003">
        <v>10123</v>
      </c>
      <c r="C347" s="1003"/>
      <c r="D347" s="2460" t="s">
        <v>3961</v>
      </c>
      <c r="E347" s="407" t="s">
        <v>7473</v>
      </c>
      <c r="F347" s="1834" t="s">
        <v>1490</v>
      </c>
      <c r="G347" s="1834">
        <v>5</v>
      </c>
      <c r="H347" s="2349">
        <v>6</v>
      </c>
      <c r="I347" s="483">
        <f>J347+K347+L347</f>
        <v>0.86</v>
      </c>
      <c r="J347" s="297">
        <f>SUM(M347:R347)</f>
        <v>0.86</v>
      </c>
      <c r="K347" s="297"/>
      <c r="L347" s="297"/>
      <c r="M347" s="297"/>
      <c r="N347" s="486"/>
      <c r="O347" s="619"/>
      <c r="P347" s="969"/>
      <c r="Q347" s="932"/>
      <c r="R347" s="1615">
        <v>0.86</v>
      </c>
      <c r="S347" s="45"/>
      <c r="T347" s="233"/>
      <c r="U347" s="233"/>
      <c r="V347" s="233"/>
      <c r="W347" s="45">
        <v>1</v>
      </c>
      <c r="X347" s="233">
        <v>5</v>
      </c>
      <c r="Y347" s="45"/>
      <c r="Z347" s="309"/>
      <c r="AB347" s="3">
        <v>1</v>
      </c>
    </row>
    <row r="348" spans="1:29" s="16" customFormat="1" ht="45.5" x14ac:dyDescent="0.35">
      <c r="A348" s="433">
        <v>158</v>
      </c>
      <c r="B348" s="1003">
        <v>10123</v>
      </c>
      <c r="C348" s="1003"/>
      <c r="D348" s="2460" t="s">
        <v>3962</v>
      </c>
      <c r="E348" s="407" t="s">
        <v>7474</v>
      </c>
      <c r="F348" s="1834"/>
      <c r="G348" s="1834" t="s">
        <v>191</v>
      </c>
      <c r="H348" s="2349" t="s">
        <v>191</v>
      </c>
      <c r="I348" s="483">
        <f>J348+K348+L348</f>
        <v>2.12</v>
      </c>
      <c r="J348" s="297">
        <f>SUM(M348:R348)</f>
        <v>2.12</v>
      </c>
      <c r="K348" s="297"/>
      <c r="L348" s="297"/>
      <c r="M348" s="297"/>
      <c r="N348" s="490">
        <f>SUM(N349:N350)</f>
        <v>0.42</v>
      </c>
      <c r="O348" s="619"/>
      <c r="P348" s="969"/>
      <c r="Q348" s="932">
        <f t="shared" ref="Q348" si="26">SUM(Q349:Q350)</f>
        <v>1.7000000000000002</v>
      </c>
      <c r="R348" s="1615"/>
      <c r="S348" s="45"/>
      <c r="T348" s="233"/>
      <c r="U348" s="233"/>
      <c r="V348" s="233"/>
      <c r="W348" s="45"/>
      <c r="X348" s="233"/>
      <c r="Y348" s="45"/>
      <c r="Z348" s="309"/>
      <c r="AB348" s="3">
        <v>1</v>
      </c>
    </row>
    <row r="349" spans="1:29" s="16" customFormat="1" x14ac:dyDescent="0.35">
      <c r="A349" s="433"/>
      <c r="B349" s="1003">
        <v>10123</v>
      </c>
      <c r="C349" s="1003"/>
      <c r="D349" s="434"/>
      <c r="E349" s="430" t="s">
        <v>11334</v>
      </c>
      <c r="F349" s="1834" t="s">
        <v>827</v>
      </c>
      <c r="G349" s="1834">
        <v>5</v>
      </c>
      <c r="H349" s="2349">
        <v>6</v>
      </c>
      <c r="I349" s="499"/>
      <c r="J349" s="298"/>
      <c r="K349" s="298"/>
      <c r="L349" s="298"/>
      <c r="M349" s="298"/>
      <c r="N349" s="487">
        <v>0.42</v>
      </c>
      <c r="O349" s="300"/>
      <c r="P349" s="1835"/>
      <c r="Q349" s="1836"/>
      <c r="R349" s="1837"/>
      <c r="S349" s="45"/>
      <c r="T349" s="233"/>
      <c r="U349" s="233"/>
      <c r="V349" s="233"/>
      <c r="W349" s="45"/>
      <c r="X349" s="233"/>
      <c r="Y349" s="45"/>
      <c r="Z349" s="309"/>
    </row>
    <row r="350" spans="1:29" s="16" customFormat="1" x14ac:dyDescent="0.35">
      <c r="A350" s="433"/>
      <c r="B350" s="1003">
        <v>10123</v>
      </c>
      <c r="C350" s="1003"/>
      <c r="D350" s="434"/>
      <c r="E350" s="840" t="s">
        <v>11335</v>
      </c>
      <c r="F350" s="1834" t="s">
        <v>827</v>
      </c>
      <c r="G350" s="1834">
        <v>5</v>
      </c>
      <c r="H350" s="2349">
        <v>6</v>
      </c>
      <c r="I350" s="499"/>
      <c r="J350" s="298"/>
      <c r="K350" s="298"/>
      <c r="L350" s="298"/>
      <c r="M350" s="298"/>
      <c r="N350" s="487"/>
      <c r="O350" s="300"/>
      <c r="P350" s="1835"/>
      <c r="Q350" s="1836">
        <f>2.12-0.42</f>
        <v>1.7000000000000002</v>
      </c>
      <c r="R350" s="2767"/>
      <c r="S350" s="45"/>
      <c r="T350" s="233"/>
      <c r="U350" s="233"/>
      <c r="V350" s="233"/>
      <c r="W350" s="45"/>
      <c r="X350" s="233"/>
      <c r="Y350" s="45"/>
      <c r="Z350" s="309"/>
    </row>
    <row r="351" spans="1:29" s="16" customFormat="1" ht="60.5" x14ac:dyDescent="0.35">
      <c r="A351" s="439">
        <v>159</v>
      </c>
      <c r="B351" s="1004">
        <v>10123</v>
      </c>
      <c r="C351" s="1006" t="s">
        <v>1655</v>
      </c>
      <c r="D351" s="2460" t="s">
        <v>3963</v>
      </c>
      <c r="E351" s="407" t="s">
        <v>7370</v>
      </c>
      <c r="F351" s="1834" t="s">
        <v>1490</v>
      </c>
      <c r="G351" s="1834">
        <v>5</v>
      </c>
      <c r="H351" s="2349">
        <v>6</v>
      </c>
      <c r="I351" s="297">
        <f>J351+K351+L351</f>
        <v>0.1</v>
      </c>
      <c r="J351" s="297">
        <f>SUM(M351:R351)</f>
        <v>0.1</v>
      </c>
      <c r="K351" s="297"/>
      <c r="L351" s="297"/>
      <c r="M351" s="297"/>
      <c r="N351" s="486"/>
      <c r="O351" s="619"/>
      <c r="P351" s="969"/>
      <c r="Q351" s="932"/>
      <c r="R351" s="1615">
        <v>0.1</v>
      </c>
      <c r="S351" s="45"/>
      <c r="T351" s="233"/>
      <c r="U351" s="233"/>
      <c r="V351" s="233"/>
      <c r="W351" s="45"/>
      <c r="X351" s="233"/>
      <c r="Y351" s="45"/>
      <c r="Z351" s="309"/>
      <c r="AB351" s="3">
        <v>1</v>
      </c>
    </row>
    <row r="352" spans="1:29" s="16" customFormat="1" ht="45.5" x14ac:dyDescent="0.35">
      <c r="A352" s="439">
        <v>160</v>
      </c>
      <c r="B352" s="1004">
        <v>10123</v>
      </c>
      <c r="C352" s="1004"/>
      <c r="D352" s="2460" t="s">
        <v>3964</v>
      </c>
      <c r="E352" s="407" t="s">
        <v>7475</v>
      </c>
      <c r="F352" s="1834"/>
      <c r="G352" s="1834" t="s">
        <v>191</v>
      </c>
      <c r="H352" s="2349" t="s">
        <v>191</v>
      </c>
      <c r="I352" s="297">
        <f>J352+K352+L352</f>
        <v>2.5499999999999998</v>
      </c>
      <c r="J352" s="297">
        <f>SUM(M352:R352)</f>
        <v>2.5499999999999998</v>
      </c>
      <c r="K352" s="297"/>
      <c r="L352" s="297"/>
      <c r="M352" s="297"/>
      <c r="N352" s="486"/>
      <c r="O352" s="619"/>
      <c r="P352" s="969"/>
      <c r="Q352" s="932">
        <f>SUM(Q353:Q354)</f>
        <v>2</v>
      </c>
      <c r="R352" s="1615">
        <f>SUM(R353:R354)</f>
        <v>0.54999999999999982</v>
      </c>
      <c r="S352" s="45"/>
      <c r="T352" s="233"/>
      <c r="U352" s="233"/>
      <c r="V352" s="233"/>
      <c r="W352" s="45">
        <v>1</v>
      </c>
      <c r="X352" s="1962">
        <v>15.3</v>
      </c>
      <c r="Y352" s="45"/>
      <c r="Z352" s="309"/>
      <c r="AB352" s="3">
        <v>1</v>
      </c>
      <c r="AC352" s="3" t="s">
        <v>2570</v>
      </c>
    </row>
    <row r="353" spans="1:29" s="16" customFormat="1" x14ac:dyDescent="0.35">
      <c r="A353" s="439"/>
      <c r="B353" s="1004"/>
      <c r="C353" s="1004"/>
      <c r="D353" s="2460"/>
      <c r="E353" s="840" t="s">
        <v>1191</v>
      </c>
      <c r="F353" s="1834" t="s">
        <v>827</v>
      </c>
      <c r="G353" s="1834">
        <v>5</v>
      </c>
      <c r="H353" s="2349">
        <v>6</v>
      </c>
      <c r="I353" s="499"/>
      <c r="J353" s="298"/>
      <c r="K353" s="298"/>
      <c r="L353" s="298"/>
      <c r="M353" s="298"/>
      <c r="N353" s="487"/>
      <c r="O353" s="300"/>
      <c r="P353" s="1835"/>
      <c r="Q353" s="1836">
        <v>2</v>
      </c>
      <c r="R353" s="1837"/>
      <c r="S353" s="45"/>
      <c r="T353" s="233"/>
      <c r="U353" s="233"/>
      <c r="V353" s="233"/>
      <c r="W353" s="45"/>
      <c r="X353" s="1962"/>
      <c r="Y353" s="45"/>
      <c r="Z353" s="309"/>
      <c r="AB353" s="3"/>
      <c r="AC353" s="3"/>
    </row>
    <row r="354" spans="1:29" s="16" customFormat="1" x14ac:dyDescent="0.35">
      <c r="A354" s="439"/>
      <c r="B354" s="1004"/>
      <c r="C354" s="1004"/>
      <c r="D354" s="2460"/>
      <c r="E354" s="1838" t="s">
        <v>11208</v>
      </c>
      <c r="F354" s="1834" t="s">
        <v>827</v>
      </c>
      <c r="G354" s="1834">
        <v>5</v>
      </c>
      <c r="H354" s="2349">
        <v>6</v>
      </c>
      <c r="I354" s="499"/>
      <c r="J354" s="298"/>
      <c r="K354" s="298"/>
      <c r="L354" s="298"/>
      <c r="M354" s="298"/>
      <c r="N354" s="487"/>
      <c r="O354" s="300"/>
      <c r="P354" s="1835"/>
      <c r="Q354" s="1836"/>
      <c r="R354" s="1837">
        <f>2.55-2</f>
        <v>0.54999999999999982</v>
      </c>
      <c r="S354" s="45"/>
      <c r="T354" s="233"/>
      <c r="U354" s="233"/>
      <c r="V354" s="233"/>
      <c r="W354" s="45"/>
      <c r="X354" s="1962"/>
      <c r="Y354" s="45"/>
      <c r="Z354" s="309"/>
      <c r="AB354" s="3"/>
      <c r="AC354" s="3"/>
    </row>
    <row r="355" spans="1:29" s="16" customFormat="1" ht="60.5" x14ac:dyDescent="0.35">
      <c r="A355" s="439">
        <v>161</v>
      </c>
      <c r="B355" s="1040">
        <v>10123</v>
      </c>
      <c r="C355" s="1040"/>
      <c r="D355" s="2460" t="s">
        <v>3965</v>
      </c>
      <c r="E355" s="2069" t="s">
        <v>7476</v>
      </c>
      <c r="F355" s="92" t="s">
        <v>1490</v>
      </c>
      <c r="G355" s="92">
        <v>5</v>
      </c>
      <c r="H355" s="2349">
        <v>6</v>
      </c>
      <c r="I355" s="1150">
        <f>J355+K355+L355</f>
        <v>0.96499999999999997</v>
      </c>
      <c r="J355" s="702">
        <f>SUM(M355:R355)</f>
        <v>0.96499999999999997</v>
      </c>
      <c r="K355" s="622"/>
      <c r="L355" s="622"/>
      <c r="M355" s="622"/>
      <c r="N355" s="622"/>
      <c r="O355" s="622"/>
      <c r="P355" s="622"/>
      <c r="Q355" s="622"/>
      <c r="R355" s="2190">
        <v>0.96499999999999997</v>
      </c>
      <c r="S355" s="106"/>
      <c r="T355" s="106"/>
      <c r="U355" s="106"/>
      <c r="V355" s="106"/>
      <c r="W355" s="105"/>
      <c r="X355" s="105"/>
      <c r="Y355" s="105"/>
      <c r="Z355" s="323"/>
      <c r="AA355" s="3"/>
      <c r="AB355" s="3">
        <v>1</v>
      </c>
    </row>
    <row r="356" spans="1:29" s="16" customFormat="1" ht="30" x14ac:dyDescent="0.35">
      <c r="A356" s="439">
        <v>162</v>
      </c>
      <c r="B356" s="1009">
        <v>10124</v>
      </c>
      <c r="C356" s="1009"/>
      <c r="D356" s="434" t="s">
        <v>2714</v>
      </c>
      <c r="E356" s="407" t="s">
        <v>1658</v>
      </c>
      <c r="F356" s="1834"/>
      <c r="G356" s="1834" t="s">
        <v>191</v>
      </c>
      <c r="H356" s="2349" t="s">
        <v>191</v>
      </c>
      <c r="I356" s="483">
        <f>J356+K356+L356</f>
        <v>3.9</v>
      </c>
      <c r="J356" s="297">
        <f>SUM(M356:R356)</f>
        <v>3.7079999999999997</v>
      </c>
      <c r="K356" s="489"/>
      <c r="L356" s="490">
        <f>SUM(L357:L359)</f>
        <v>0.19200000000000017</v>
      </c>
      <c r="M356" s="489"/>
      <c r="N356" s="490">
        <f>SUM(N357:N359)</f>
        <v>2.165</v>
      </c>
      <c r="O356" s="624"/>
      <c r="P356" s="971"/>
      <c r="Q356" s="932"/>
      <c r="R356" s="1617">
        <f>SUM(R357:R359)</f>
        <v>1.5429999999999997</v>
      </c>
      <c r="S356" s="57"/>
      <c r="T356" s="234"/>
      <c r="U356" s="234"/>
      <c r="V356" s="234"/>
      <c r="W356" s="2447">
        <v>5</v>
      </c>
      <c r="X356" s="2446">
        <v>57.2</v>
      </c>
      <c r="Y356" s="57"/>
      <c r="Z356" s="309"/>
      <c r="AB356" s="3">
        <v>1</v>
      </c>
    </row>
    <row r="357" spans="1:29" s="16" customFormat="1" x14ac:dyDescent="0.35">
      <c r="A357" s="433"/>
      <c r="B357" s="1009">
        <v>10124</v>
      </c>
      <c r="C357" s="1009"/>
      <c r="D357" s="435"/>
      <c r="E357" s="431" t="s">
        <v>11201</v>
      </c>
      <c r="F357" s="1834">
        <v>5</v>
      </c>
      <c r="G357" s="1834">
        <v>5</v>
      </c>
      <c r="H357" s="2349">
        <v>6</v>
      </c>
      <c r="I357" s="2350"/>
      <c r="J357" s="487"/>
      <c r="K357" s="493"/>
      <c r="L357" s="493"/>
      <c r="M357" s="493"/>
      <c r="N357" s="493">
        <v>2.165</v>
      </c>
      <c r="O357" s="1017"/>
      <c r="P357" s="972"/>
      <c r="Q357" s="933"/>
      <c r="R357" s="1618"/>
      <c r="S357" s="57"/>
      <c r="T357" s="234"/>
      <c r="U357" s="234"/>
      <c r="V357" s="234"/>
      <c r="W357" s="57"/>
      <c r="X357" s="233"/>
      <c r="Y357" s="57"/>
      <c r="Z357" s="309"/>
    </row>
    <row r="358" spans="1:29" s="16" customFormat="1" ht="46.5" x14ac:dyDescent="0.35">
      <c r="A358" s="433"/>
      <c r="B358" s="1009"/>
      <c r="C358" s="1009"/>
      <c r="D358" s="435"/>
      <c r="E358" s="431" t="s">
        <v>10919</v>
      </c>
      <c r="F358" s="1834">
        <v>5</v>
      </c>
      <c r="G358" s="1834">
        <v>5</v>
      </c>
      <c r="H358" s="2349" t="s">
        <v>191</v>
      </c>
      <c r="I358" s="2350"/>
      <c r="J358" s="487"/>
      <c r="K358" s="493"/>
      <c r="L358" s="493">
        <f>2.357-2.165</f>
        <v>0.19200000000000017</v>
      </c>
      <c r="M358" s="493"/>
      <c r="N358" s="493"/>
      <c r="O358" s="1017"/>
      <c r="P358" s="972"/>
      <c r="Q358" s="933"/>
      <c r="R358" s="1618"/>
      <c r="S358" s="57"/>
      <c r="T358" s="234"/>
      <c r="U358" s="234"/>
      <c r="V358" s="234"/>
      <c r="W358" s="57"/>
      <c r="X358" s="233"/>
      <c r="Y358" s="57"/>
      <c r="Z358" s="309"/>
    </row>
    <row r="359" spans="1:29" s="16" customFormat="1" x14ac:dyDescent="0.35">
      <c r="A359" s="2045"/>
      <c r="B359" s="1009">
        <v>10124</v>
      </c>
      <c r="C359" s="1009"/>
      <c r="D359" s="437"/>
      <c r="E359" s="841" t="s">
        <v>10920</v>
      </c>
      <c r="F359" s="1834" t="s">
        <v>827</v>
      </c>
      <c r="G359" s="1834">
        <v>5</v>
      </c>
      <c r="H359" s="2349">
        <v>6</v>
      </c>
      <c r="I359" s="1012"/>
      <c r="J359" s="301"/>
      <c r="K359" s="495"/>
      <c r="L359" s="495"/>
      <c r="M359" s="495"/>
      <c r="N359" s="493"/>
      <c r="O359" s="1017"/>
      <c r="P359" s="972"/>
      <c r="Q359" s="933"/>
      <c r="R359" s="1618">
        <f>3.9-2.357</f>
        <v>1.5429999999999997</v>
      </c>
      <c r="S359" s="1652"/>
      <c r="T359" s="1653"/>
      <c r="U359" s="1653"/>
      <c r="V359" s="1653"/>
      <c r="W359" s="1652"/>
      <c r="X359" s="1645"/>
      <c r="Y359" s="1652"/>
      <c r="Z359" s="1646"/>
      <c r="AB359" s="3"/>
    </row>
    <row r="360" spans="1:29" s="16" customFormat="1" ht="30" x14ac:dyDescent="0.35">
      <c r="A360" s="433">
        <v>163</v>
      </c>
      <c r="B360" s="1009">
        <v>10125</v>
      </c>
      <c r="C360" s="1009"/>
      <c r="D360" s="434" t="s">
        <v>1504</v>
      </c>
      <c r="E360" s="407" t="s">
        <v>2573</v>
      </c>
      <c r="F360" s="1834" t="s">
        <v>827</v>
      </c>
      <c r="G360" s="1834">
        <v>5</v>
      </c>
      <c r="H360" s="2349">
        <v>6</v>
      </c>
      <c r="I360" s="483">
        <f>J360+K360+L360</f>
        <v>2.2999999999999998</v>
      </c>
      <c r="J360" s="297">
        <f>SUM(M360:R360)</f>
        <v>2.2999999999999998</v>
      </c>
      <c r="K360" s="489"/>
      <c r="L360" s="489"/>
      <c r="M360" s="489"/>
      <c r="N360" s="490"/>
      <c r="O360" s="624"/>
      <c r="P360" s="971"/>
      <c r="Q360" s="932"/>
      <c r="R360" s="1617">
        <v>2.2999999999999998</v>
      </c>
      <c r="S360" s="57"/>
      <c r="T360" s="234"/>
      <c r="U360" s="234"/>
      <c r="V360" s="234"/>
      <c r="W360" s="57">
        <v>5</v>
      </c>
      <c r="X360" s="233">
        <v>46</v>
      </c>
      <c r="Y360" s="57"/>
      <c r="Z360" s="309"/>
      <c r="AB360" s="3">
        <v>1</v>
      </c>
    </row>
    <row r="361" spans="1:29" s="16" customFormat="1" ht="45.5" x14ac:dyDescent="0.35">
      <c r="A361" s="433">
        <v>164</v>
      </c>
      <c r="B361" s="1009">
        <v>10126</v>
      </c>
      <c r="C361" s="1009"/>
      <c r="D361" s="434" t="s">
        <v>375</v>
      </c>
      <c r="E361" s="2069" t="s">
        <v>10905</v>
      </c>
      <c r="F361" s="1834"/>
      <c r="G361" s="1834" t="s">
        <v>191</v>
      </c>
      <c r="H361" s="2349" t="s">
        <v>191</v>
      </c>
      <c r="I361" s="483">
        <f>J361+K361+L361</f>
        <v>5.35</v>
      </c>
      <c r="J361" s="297">
        <f>SUM(M361:R361)</f>
        <v>5.35</v>
      </c>
      <c r="K361" s="489"/>
      <c r="L361" s="489"/>
      <c r="M361" s="489"/>
      <c r="N361" s="490">
        <f>SUM(N362:N364)</f>
        <v>0.41500000000000004</v>
      </c>
      <c r="O361" s="624"/>
      <c r="P361" s="971">
        <f>SUM(P362:P364)</f>
        <v>0.56999999999999995</v>
      </c>
      <c r="Q361" s="932"/>
      <c r="R361" s="1617">
        <f>SUM(R362:R364)</f>
        <v>4.3649999999999993</v>
      </c>
      <c r="S361" s="57"/>
      <c r="T361" s="234"/>
      <c r="U361" s="234"/>
      <c r="V361" s="234"/>
      <c r="W361" s="57">
        <v>1</v>
      </c>
      <c r="X361" s="233">
        <v>17.8</v>
      </c>
      <c r="Y361" s="57"/>
      <c r="Z361" s="309"/>
      <c r="AB361" s="3">
        <v>1</v>
      </c>
    </row>
    <row r="362" spans="1:29" s="16" customFormat="1" x14ac:dyDescent="0.35">
      <c r="A362" s="433"/>
      <c r="B362" s="1009">
        <v>10126</v>
      </c>
      <c r="C362" s="1009"/>
      <c r="D362" s="434"/>
      <c r="E362" s="973" t="s">
        <v>1659</v>
      </c>
      <c r="F362" s="1834" t="s">
        <v>827</v>
      </c>
      <c r="G362" s="1834">
        <v>5</v>
      </c>
      <c r="H362" s="2349">
        <v>6</v>
      </c>
      <c r="I362" s="499"/>
      <c r="J362" s="298"/>
      <c r="K362" s="492"/>
      <c r="L362" s="492"/>
      <c r="M362" s="492"/>
      <c r="N362" s="493"/>
      <c r="O362" s="1017"/>
      <c r="P362" s="972">
        <v>0.56999999999999995</v>
      </c>
      <c r="Q362" s="933"/>
      <c r="R362" s="1618"/>
      <c r="S362" s="57"/>
      <c r="T362" s="234"/>
      <c r="U362" s="234"/>
      <c r="V362" s="234"/>
      <c r="W362" s="57"/>
      <c r="X362" s="233"/>
      <c r="Y362" s="57"/>
      <c r="Z362" s="309"/>
    </row>
    <row r="363" spans="1:29" s="16" customFormat="1" x14ac:dyDescent="0.35">
      <c r="A363" s="433"/>
      <c r="B363" s="1009">
        <v>10126</v>
      </c>
      <c r="C363" s="1009"/>
      <c r="D363" s="434"/>
      <c r="E363" s="841" t="s">
        <v>819</v>
      </c>
      <c r="F363" s="1834" t="s">
        <v>1490</v>
      </c>
      <c r="G363" s="1834">
        <v>5</v>
      </c>
      <c r="H363" s="2349">
        <v>6</v>
      </c>
      <c r="I363" s="499"/>
      <c r="J363" s="298"/>
      <c r="K363" s="492"/>
      <c r="L363" s="492"/>
      <c r="M363" s="492"/>
      <c r="N363" s="493"/>
      <c r="O363" s="1017"/>
      <c r="P363" s="972"/>
      <c r="Q363" s="933"/>
      <c r="R363" s="1618">
        <f>4.935-0.57</f>
        <v>4.3649999999999993</v>
      </c>
      <c r="S363" s="57"/>
      <c r="T363" s="234"/>
      <c r="U363" s="234"/>
      <c r="V363" s="234"/>
      <c r="W363" s="57"/>
      <c r="X363" s="233"/>
      <c r="Y363" s="57"/>
      <c r="Z363" s="309"/>
      <c r="AB363" s="3"/>
    </row>
    <row r="364" spans="1:29" s="16" customFormat="1" x14ac:dyDescent="0.35">
      <c r="A364" s="433"/>
      <c r="B364" s="1009">
        <v>10126</v>
      </c>
      <c r="C364" s="1009"/>
      <c r="D364" s="434"/>
      <c r="E364" s="430" t="s">
        <v>1042</v>
      </c>
      <c r="F364" s="1834" t="s">
        <v>827</v>
      </c>
      <c r="G364" s="1834">
        <v>5</v>
      </c>
      <c r="H364" s="2349">
        <v>6</v>
      </c>
      <c r="I364" s="499"/>
      <c r="J364" s="298"/>
      <c r="K364" s="492"/>
      <c r="L364" s="492"/>
      <c r="M364" s="492"/>
      <c r="N364" s="493">
        <f>5.35-4.935</f>
        <v>0.41500000000000004</v>
      </c>
      <c r="O364" s="1017"/>
      <c r="P364" s="972"/>
      <c r="Q364" s="933"/>
      <c r="R364" s="1618"/>
      <c r="S364" s="57"/>
      <c r="T364" s="234"/>
      <c r="U364" s="234"/>
      <c r="V364" s="234"/>
      <c r="W364" s="57"/>
      <c r="X364" s="233"/>
      <c r="Y364" s="57"/>
      <c r="Z364" s="309"/>
      <c r="AB364" s="3"/>
    </row>
    <row r="365" spans="1:29" s="16" customFormat="1" ht="30" x14ac:dyDescent="0.35">
      <c r="A365" s="433">
        <v>165</v>
      </c>
      <c r="B365" s="1009">
        <v>10127</v>
      </c>
      <c r="C365" s="1009"/>
      <c r="D365" s="434" t="s">
        <v>1980</v>
      </c>
      <c r="E365" s="407" t="s">
        <v>7046</v>
      </c>
      <c r="F365" s="1834" t="s">
        <v>827</v>
      </c>
      <c r="G365" s="1834">
        <v>5</v>
      </c>
      <c r="H365" s="2349">
        <v>6</v>
      </c>
      <c r="I365" s="483">
        <f>J365+K365+L365</f>
        <v>3.36</v>
      </c>
      <c r="J365" s="297">
        <f>SUM(M365:R365)</f>
        <v>3.36</v>
      </c>
      <c r="K365" s="489"/>
      <c r="L365" s="489"/>
      <c r="M365" s="489"/>
      <c r="N365" s="490"/>
      <c r="O365" s="624"/>
      <c r="P365" s="971"/>
      <c r="Q365" s="932">
        <v>3.36</v>
      </c>
      <c r="R365" s="2768"/>
      <c r="S365" s="57">
        <v>1</v>
      </c>
      <c r="T365" s="234">
        <v>9.9499999999999993</v>
      </c>
      <c r="U365" s="234"/>
      <c r="V365" s="234"/>
      <c r="W365" s="57">
        <v>2</v>
      </c>
      <c r="X365" s="233">
        <v>20</v>
      </c>
      <c r="Y365" s="57"/>
      <c r="Z365" s="309"/>
      <c r="AB365" s="3">
        <v>1</v>
      </c>
    </row>
    <row r="366" spans="1:29" s="16" customFormat="1" ht="75.5" x14ac:dyDescent="0.35">
      <c r="A366" s="433">
        <v>166</v>
      </c>
      <c r="B366" s="1009">
        <v>10128</v>
      </c>
      <c r="C366" s="1009"/>
      <c r="D366" s="434" t="s">
        <v>2786</v>
      </c>
      <c r="E366" s="407" t="s">
        <v>9664</v>
      </c>
      <c r="F366" s="1834"/>
      <c r="G366" s="1834" t="s">
        <v>191</v>
      </c>
      <c r="H366" s="2349" t="s">
        <v>191</v>
      </c>
      <c r="I366" s="483">
        <f>J366+K366+L366</f>
        <v>2.2199999999999998</v>
      </c>
      <c r="J366" s="297">
        <f>SUM(M366:R366)</f>
        <v>2.2199999999999998</v>
      </c>
      <c r="K366" s="489"/>
      <c r="L366" s="489"/>
      <c r="M366" s="489"/>
      <c r="N366" s="490"/>
      <c r="O366" s="624"/>
      <c r="P366" s="971"/>
      <c r="Q366" s="932">
        <f>SUM(Q367:Q369)</f>
        <v>1.52</v>
      </c>
      <c r="R366" s="1615">
        <f>SUM(R367:R369)</f>
        <v>0.7</v>
      </c>
      <c r="S366" s="57"/>
      <c r="T366" s="234"/>
      <c r="U366" s="234"/>
      <c r="V366" s="234"/>
      <c r="W366" s="57">
        <v>2</v>
      </c>
      <c r="X366" s="233">
        <v>30.4</v>
      </c>
      <c r="Y366" s="57"/>
      <c r="Z366" s="309"/>
      <c r="AB366" s="3">
        <v>1</v>
      </c>
    </row>
    <row r="367" spans="1:29" s="16" customFormat="1" x14ac:dyDescent="0.35">
      <c r="A367" s="433"/>
      <c r="B367" s="1009">
        <v>10128</v>
      </c>
      <c r="C367" s="1009"/>
      <c r="D367" s="434"/>
      <c r="E367" s="840" t="s">
        <v>3164</v>
      </c>
      <c r="F367" s="1834" t="s">
        <v>827</v>
      </c>
      <c r="G367" s="1834">
        <v>5</v>
      </c>
      <c r="H367" s="1834">
        <v>6</v>
      </c>
      <c r="I367" s="483"/>
      <c r="J367" s="297"/>
      <c r="K367" s="489"/>
      <c r="L367" s="489"/>
      <c r="M367" s="489"/>
      <c r="N367" s="490"/>
      <c r="O367" s="624"/>
      <c r="P367" s="971"/>
      <c r="Q367" s="933">
        <v>1.1000000000000001</v>
      </c>
      <c r="R367" s="1618"/>
      <c r="S367" s="57"/>
      <c r="T367" s="234"/>
      <c r="U367" s="234"/>
      <c r="V367" s="234"/>
      <c r="W367" s="57"/>
      <c r="X367" s="233"/>
      <c r="Y367" s="57"/>
      <c r="Z367" s="309"/>
    </row>
    <row r="368" spans="1:29" x14ac:dyDescent="0.35">
      <c r="A368" s="433"/>
      <c r="B368" s="1009">
        <v>10128</v>
      </c>
      <c r="C368" s="1009"/>
      <c r="D368" s="434"/>
      <c r="E368" s="841" t="s">
        <v>2527</v>
      </c>
      <c r="F368" s="1834" t="s">
        <v>827</v>
      </c>
      <c r="G368" s="1834">
        <v>5</v>
      </c>
      <c r="H368" s="2349">
        <v>6</v>
      </c>
      <c r="I368" s="483"/>
      <c r="J368" s="297"/>
      <c r="K368" s="489"/>
      <c r="L368" s="489"/>
      <c r="M368" s="489"/>
      <c r="N368" s="490"/>
      <c r="O368" s="624"/>
      <c r="P368" s="971"/>
      <c r="Q368" s="933"/>
      <c r="R368" s="1618">
        <v>0.7</v>
      </c>
      <c r="S368" s="57"/>
      <c r="T368" s="234"/>
      <c r="U368" s="234"/>
      <c r="V368" s="234"/>
      <c r="W368" s="57"/>
      <c r="X368" s="233"/>
      <c r="Y368" s="57"/>
      <c r="Z368" s="309"/>
      <c r="AA368" s="16"/>
    </row>
    <row r="369" spans="1:29" x14ac:dyDescent="0.35">
      <c r="A369" s="433"/>
      <c r="B369" s="1009">
        <v>10128</v>
      </c>
      <c r="C369" s="1009"/>
      <c r="D369" s="434"/>
      <c r="E369" s="840" t="s">
        <v>2528</v>
      </c>
      <c r="F369" s="1834" t="s">
        <v>827</v>
      </c>
      <c r="G369" s="1834">
        <v>5</v>
      </c>
      <c r="H369" s="1834">
        <v>6</v>
      </c>
      <c r="I369" s="483"/>
      <c r="J369" s="297"/>
      <c r="K369" s="489"/>
      <c r="L369" s="489"/>
      <c r="M369" s="489"/>
      <c r="N369" s="490"/>
      <c r="O369" s="624"/>
      <c r="P369" s="971"/>
      <c r="Q369" s="933">
        <v>0.42</v>
      </c>
      <c r="R369" s="1618"/>
      <c r="S369" s="57"/>
      <c r="T369" s="234"/>
      <c r="U369" s="234"/>
      <c r="V369" s="234"/>
      <c r="W369" s="57"/>
      <c r="X369" s="233"/>
      <c r="Y369" s="57"/>
      <c r="Z369" s="309"/>
      <c r="AA369" s="16"/>
    </row>
    <row r="370" spans="1:29" ht="45.5" x14ac:dyDescent="0.35">
      <c r="A370" s="433">
        <v>167</v>
      </c>
      <c r="B370" s="1009">
        <v>10129</v>
      </c>
      <c r="C370" s="1009"/>
      <c r="D370" s="434" t="s">
        <v>333</v>
      </c>
      <c r="E370" s="432" t="s">
        <v>9398</v>
      </c>
      <c r="F370" s="1834">
        <v>5</v>
      </c>
      <c r="G370" s="1834">
        <v>5</v>
      </c>
      <c r="H370" s="2349">
        <v>6</v>
      </c>
      <c r="I370" s="483">
        <f>J370+K370+L370</f>
        <v>1.5</v>
      </c>
      <c r="J370" s="297">
        <f>SUM(M370:R370)</f>
        <v>1.5</v>
      </c>
      <c r="K370" s="489"/>
      <c r="L370" s="489"/>
      <c r="M370" s="489"/>
      <c r="N370" s="490">
        <v>1.5</v>
      </c>
      <c r="O370" s="624"/>
      <c r="P370" s="971"/>
      <c r="Q370" s="932"/>
      <c r="R370" s="1617"/>
      <c r="S370" s="57"/>
      <c r="T370" s="234"/>
      <c r="U370" s="234"/>
      <c r="V370" s="234"/>
      <c r="W370" s="57">
        <v>1</v>
      </c>
      <c r="X370" s="233">
        <v>10.61</v>
      </c>
      <c r="Y370" s="57"/>
      <c r="Z370" s="309"/>
      <c r="AA370" s="16"/>
      <c r="AB370" s="3">
        <v>1</v>
      </c>
    </row>
    <row r="371" spans="1:29" s="19" customFormat="1" ht="60.5" x14ac:dyDescent="0.35">
      <c r="A371" s="439">
        <v>168</v>
      </c>
      <c r="B371" s="1009">
        <v>10129</v>
      </c>
      <c r="C371" s="1006"/>
      <c r="D371" s="2460" t="s">
        <v>3966</v>
      </c>
      <c r="E371" s="407" t="s">
        <v>9399</v>
      </c>
      <c r="F371" s="1834">
        <v>5</v>
      </c>
      <c r="G371" s="1834">
        <v>5</v>
      </c>
      <c r="H371" s="2349">
        <v>6</v>
      </c>
      <c r="I371" s="297">
        <f>J371+K371+L371</f>
        <v>0.93400000000000005</v>
      </c>
      <c r="J371" s="297">
        <f>SUM(M371:R371)</f>
        <v>0.93400000000000005</v>
      </c>
      <c r="K371" s="297"/>
      <c r="L371" s="297"/>
      <c r="M371" s="297"/>
      <c r="N371" s="486">
        <v>0.93400000000000005</v>
      </c>
      <c r="O371" s="619"/>
      <c r="P371" s="969"/>
      <c r="Q371" s="932"/>
      <c r="R371" s="1615"/>
      <c r="S371" s="45"/>
      <c r="T371" s="233"/>
      <c r="U371" s="233"/>
      <c r="V371" s="233"/>
      <c r="W371" s="45"/>
      <c r="X371" s="233"/>
      <c r="Y371" s="45"/>
      <c r="Z371" s="309"/>
      <c r="AA371" s="3"/>
      <c r="AB371" s="3">
        <v>1</v>
      </c>
    </row>
    <row r="372" spans="1:29" ht="45.5" x14ac:dyDescent="0.35">
      <c r="A372" s="433">
        <v>169</v>
      </c>
      <c r="B372" s="1009">
        <v>10452</v>
      </c>
      <c r="C372" s="1009"/>
      <c r="D372" s="434" t="s">
        <v>1505</v>
      </c>
      <c r="E372" s="407" t="s">
        <v>7207</v>
      </c>
      <c r="F372" s="1834"/>
      <c r="G372" s="1834" t="s">
        <v>191</v>
      </c>
      <c r="H372" s="2349" t="s">
        <v>191</v>
      </c>
      <c r="I372" s="483">
        <f>J372+K372+L372</f>
        <v>25.175999999999998</v>
      </c>
      <c r="J372" s="297">
        <f>SUM(M372:R372)</f>
        <v>24.901</v>
      </c>
      <c r="K372" s="297"/>
      <c r="L372" s="297">
        <f>SUM(L373:L376)</f>
        <v>0.27499999999999858</v>
      </c>
      <c r="M372" s="297"/>
      <c r="N372" s="486">
        <f>SUM(N373:N376)</f>
        <v>23.172000000000001</v>
      </c>
      <c r="O372" s="619"/>
      <c r="P372" s="969"/>
      <c r="Q372" s="932">
        <f>SUM(Q373:Q376)</f>
        <v>1.7289999999999992</v>
      </c>
      <c r="R372" s="1615"/>
      <c r="S372" s="45"/>
      <c r="T372" s="233"/>
      <c r="U372" s="233"/>
      <c r="V372" s="233"/>
      <c r="W372" s="1881">
        <v>42</v>
      </c>
      <c r="X372" s="1962">
        <v>591.1</v>
      </c>
      <c r="Y372" s="164">
        <v>10</v>
      </c>
      <c r="Z372" s="309">
        <v>105</v>
      </c>
      <c r="AA372" s="16"/>
      <c r="AB372" s="3">
        <v>1</v>
      </c>
    </row>
    <row r="373" spans="1:29" x14ac:dyDescent="0.35">
      <c r="A373" s="433"/>
      <c r="B373" s="1009">
        <v>10452</v>
      </c>
      <c r="C373" s="1009"/>
      <c r="D373" s="435"/>
      <c r="E373" s="430" t="s">
        <v>3599</v>
      </c>
      <c r="F373" s="1834">
        <v>4</v>
      </c>
      <c r="G373" s="1834">
        <v>4</v>
      </c>
      <c r="H373" s="2349">
        <v>6</v>
      </c>
      <c r="I373" s="499"/>
      <c r="J373" s="298"/>
      <c r="K373" s="298"/>
      <c r="L373" s="298"/>
      <c r="M373" s="298"/>
      <c r="N373" s="487">
        <f>16.43-4.884</f>
        <v>11.545999999999999</v>
      </c>
      <c r="O373" s="621"/>
      <c r="P373" s="970"/>
      <c r="Q373" s="933"/>
      <c r="R373" s="1616"/>
      <c r="S373" s="45"/>
      <c r="T373" s="233"/>
      <c r="U373" s="233"/>
      <c r="V373" s="233"/>
      <c r="W373" s="45"/>
      <c r="X373" s="233"/>
      <c r="Y373" s="57"/>
      <c r="Z373" s="309"/>
      <c r="AA373" s="16"/>
    </row>
    <row r="374" spans="1:29" ht="31" x14ac:dyDescent="0.35">
      <c r="A374" s="433"/>
      <c r="B374" s="1009">
        <v>10452</v>
      </c>
      <c r="C374" s="1009"/>
      <c r="D374" s="435"/>
      <c r="E374" s="430" t="s">
        <v>9433</v>
      </c>
      <c r="F374" s="1834">
        <v>4</v>
      </c>
      <c r="G374" s="1834">
        <v>4</v>
      </c>
      <c r="H374" s="2349">
        <v>6</v>
      </c>
      <c r="I374" s="499"/>
      <c r="J374" s="298"/>
      <c r="K374" s="298"/>
      <c r="L374" s="298">
        <f>16.705-16.43</f>
        <v>0.27499999999999858</v>
      </c>
      <c r="M374" s="298"/>
      <c r="N374" s="487"/>
      <c r="O374" s="621"/>
      <c r="P374" s="970"/>
      <c r="Q374" s="933"/>
      <c r="R374" s="1616"/>
      <c r="S374" s="45"/>
      <c r="T374" s="233"/>
      <c r="U374" s="233"/>
      <c r="V374" s="233"/>
      <c r="W374" s="45"/>
      <c r="X374" s="233"/>
      <c r="Y374" s="57"/>
      <c r="Z374" s="309"/>
      <c r="AA374" s="16"/>
    </row>
    <row r="375" spans="1:29" x14ac:dyDescent="0.35">
      <c r="A375" s="433"/>
      <c r="B375" s="1009">
        <v>10452</v>
      </c>
      <c r="C375" s="1009"/>
      <c r="D375" s="435"/>
      <c r="E375" s="430" t="s">
        <v>3600</v>
      </c>
      <c r="F375" s="1834">
        <v>4</v>
      </c>
      <c r="G375" s="1834">
        <v>4</v>
      </c>
      <c r="H375" s="2349">
        <v>6</v>
      </c>
      <c r="I375" s="499"/>
      <c r="J375" s="298"/>
      <c r="K375" s="298"/>
      <c r="L375" s="298"/>
      <c r="M375" s="298"/>
      <c r="N375" s="487">
        <f>28.331-16.705</f>
        <v>11.626000000000001</v>
      </c>
      <c r="O375" s="621"/>
      <c r="P375" s="970"/>
      <c r="Q375" s="933"/>
      <c r="R375" s="1616"/>
      <c r="S375" s="45"/>
      <c r="T375" s="233"/>
      <c r="U375" s="233"/>
      <c r="V375" s="233"/>
      <c r="W375" s="45"/>
      <c r="X375" s="233"/>
      <c r="Y375" s="57"/>
      <c r="Z375" s="309"/>
      <c r="AA375" s="16"/>
    </row>
    <row r="376" spans="1:29" x14ac:dyDescent="0.35">
      <c r="A376" s="2044"/>
      <c r="B376" s="1009">
        <v>10452</v>
      </c>
      <c r="C376" s="1009"/>
      <c r="D376" s="436"/>
      <c r="E376" s="840" t="s">
        <v>3598</v>
      </c>
      <c r="F376" s="1834">
        <v>4</v>
      </c>
      <c r="G376" s="1834">
        <v>4</v>
      </c>
      <c r="H376" s="2349">
        <v>6</v>
      </c>
      <c r="I376" s="1008"/>
      <c r="J376" s="300"/>
      <c r="K376" s="300"/>
      <c r="L376" s="300"/>
      <c r="M376" s="300"/>
      <c r="N376" s="487"/>
      <c r="O376" s="621"/>
      <c r="P376" s="970"/>
      <c r="Q376" s="933">
        <f>30.06-28.331</f>
        <v>1.7289999999999992</v>
      </c>
      <c r="R376" s="1616"/>
      <c r="S376" s="1641"/>
      <c r="T376" s="1642"/>
      <c r="U376" s="1642"/>
      <c r="V376" s="1642"/>
      <c r="W376" s="1641"/>
      <c r="X376" s="1642"/>
      <c r="Y376" s="1647"/>
      <c r="Z376" s="1643"/>
      <c r="AA376" s="16"/>
    </row>
    <row r="377" spans="1:29" ht="45.5" x14ac:dyDescent="0.35">
      <c r="A377" s="433">
        <v>170</v>
      </c>
      <c r="B377" s="1003">
        <v>10452</v>
      </c>
      <c r="C377" s="1003"/>
      <c r="D377" s="2460" t="s">
        <v>3967</v>
      </c>
      <c r="E377" s="407" t="s">
        <v>7477</v>
      </c>
      <c r="F377" s="1834">
        <v>5</v>
      </c>
      <c r="G377" s="1834">
        <v>5</v>
      </c>
      <c r="H377" s="2349">
        <v>6</v>
      </c>
      <c r="I377" s="483">
        <f t="shared" ref="I377:I386" si="27">J377+K377+L377</f>
        <v>1.93</v>
      </c>
      <c r="J377" s="297">
        <f t="shared" ref="J377:J386" si="28">SUM(M377:R377)</f>
        <v>1.93</v>
      </c>
      <c r="K377" s="297"/>
      <c r="L377" s="297"/>
      <c r="M377" s="297"/>
      <c r="N377" s="486">
        <v>1.93</v>
      </c>
      <c r="O377" s="619"/>
      <c r="P377" s="969"/>
      <c r="Q377" s="932"/>
      <c r="R377" s="1615"/>
      <c r="S377" s="45"/>
      <c r="T377" s="233"/>
      <c r="U377" s="233"/>
      <c r="V377" s="233"/>
      <c r="W377" s="45">
        <v>6</v>
      </c>
      <c r="X377" s="233">
        <v>68.900000000000006</v>
      </c>
      <c r="Y377" s="45">
        <v>1</v>
      </c>
      <c r="Z377" s="309">
        <v>12.4</v>
      </c>
      <c r="AA377" s="16"/>
      <c r="AB377" s="3">
        <v>1</v>
      </c>
    </row>
    <row r="378" spans="1:29" ht="75.5" x14ac:dyDescent="0.35">
      <c r="A378" s="439">
        <v>171</v>
      </c>
      <c r="B378" s="1004">
        <v>10452</v>
      </c>
      <c r="C378" s="1004" t="s">
        <v>1656</v>
      </c>
      <c r="D378" s="2460" t="s">
        <v>3968</v>
      </c>
      <c r="E378" s="407" t="s">
        <v>8200</v>
      </c>
      <c r="F378" s="1834" t="s">
        <v>664</v>
      </c>
      <c r="G378" s="1834">
        <v>5</v>
      </c>
      <c r="H378" s="2349">
        <v>6</v>
      </c>
      <c r="I378" s="483">
        <f t="shared" si="27"/>
        <v>0.6</v>
      </c>
      <c r="J378" s="297">
        <f t="shared" si="28"/>
        <v>0.6</v>
      </c>
      <c r="K378" s="297"/>
      <c r="L378" s="297"/>
      <c r="M378" s="297"/>
      <c r="N378" s="486"/>
      <c r="O378" s="619"/>
      <c r="P378" s="969"/>
      <c r="Q378" s="932"/>
      <c r="R378" s="1615">
        <v>0.6</v>
      </c>
      <c r="S378" s="45"/>
      <c r="T378" s="233"/>
      <c r="U378" s="233"/>
      <c r="V378" s="233"/>
      <c r="W378" s="45"/>
      <c r="X378" s="233"/>
      <c r="Y378" s="45"/>
      <c r="Z378" s="309"/>
      <c r="AA378" s="16"/>
      <c r="AB378" s="3">
        <v>1</v>
      </c>
    </row>
    <row r="379" spans="1:29" ht="45.5" x14ac:dyDescent="0.35">
      <c r="A379" s="433">
        <v>172</v>
      </c>
      <c r="B379" s="1003">
        <v>10452</v>
      </c>
      <c r="C379" s="1003"/>
      <c r="D379" s="2460" t="s">
        <v>3969</v>
      </c>
      <c r="E379" s="407" t="s">
        <v>7478</v>
      </c>
      <c r="F379" s="1834" t="s">
        <v>827</v>
      </c>
      <c r="G379" s="1834">
        <v>5</v>
      </c>
      <c r="H379" s="2349">
        <v>6</v>
      </c>
      <c r="I379" s="483">
        <f t="shared" si="27"/>
        <v>1.27</v>
      </c>
      <c r="J379" s="297">
        <f t="shared" si="28"/>
        <v>1.27</v>
      </c>
      <c r="K379" s="297"/>
      <c r="L379" s="297"/>
      <c r="M379" s="297"/>
      <c r="N379" s="486"/>
      <c r="O379" s="619"/>
      <c r="P379" s="969"/>
      <c r="Q379" s="932"/>
      <c r="R379" s="1615">
        <v>1.27</v>
      </c>
      <c r="S379" s="45"/>
      <c r="T379" s="233"/>
      <c r="U379" s="233"/>
      <c r="V379" s="233"/>
      <c r="W379" s="45">
        <v>3</v>
      </c>
      <c r="X379" s="233">
        <v>33.200000000000003</v>
      </c>
      <c r="Y379" s="45">
        <v>1</v>
      </c>
      <c r="Z379" s="309">
        <v>11</v>
      </c>
      <c r="AA379" s="16"/>
      <c r="AB379" s="3">
        <v>1</v>
      </c>
    </row>
    <row r="380" spans="1:29" ht="75.5" x14ac:dyDescent="0.35">
      <c r="A380" s="439">
        <v>173</v>
      </c>
      <c r="B380" s="1004">
        <v>10452</v>
      </c>
      <c r="C380" s="1006" t="s">
        <v>1655</v>
      </c>
      <c r="D380" s="2460" t="s">
        <v>3970</v>
      </c>
      <c r="E380" s="407" t="s">
        <v>7479</v>
      </c>
      <c r="F380" s="1834" t="s">
        <v>664</v>
      </c>
      <c r="G380" s="1834">
        <v>5</v>
      </c>
      <c r="H380" s="2349">
        <v>6</v>
      </c>
      <c r="I380" s="483">
        <f t="shared" si="27"/>
        <v>0.7</v>
      </c>
      <c r="J380" s="297">
        <f t="shared" si="28"/>
        <v>0.7</v>
      </c>
      <c r="K380" s="297"/>
      <c r="L380" s="297"/>
      <c r="M380" s="297"/>
      <c r="N380" s="486"/>
      <c r="O380" s="619"/>
      <c r="P380" s="969"/>
      <c r="Q380" s="932"/>
      <c r="R380" s="1615">
        <v>0.7</v>
      </c>
      <c r="S380" s="45"/>
      <c r="T380" s="233"/>
      <c r="U380" s="233"/>
      <c r="V380" s="233"/>
      <c r="W380" s="45"/>
      <c r="X380" s="233"/>
      <c r="Y380" s="45"/>
      <c r="Z380" s="309"/>
      <c r="AA380" s="16"/>
      <c r="AB380" s="3">
        <v>1</v>
      </c>
    </row>
    <row r="381" spans="1:29" ht="75.5" x14ac:dyDescent="0.35">
      <c r="A381" s="433">
        <v>174</v>
      </c>
      <c r="B381" s="1004">
        <v>10452</v>
      </c>
      <c r="C381" s="1006" t="s">
        <v>1655</v>
      </c>
      <c r="D381" s="2460" t="s">
        <v>3971</v>
      </c>
      <c r="E381" s="407" t="s">
        <v>7480</v>
      </c>
      <c r="F381" s="1834" t="s">
        <v>664</v>
      </c>
      <c r="G381" s="1834">
        <v>5</v>
      </c>
      <c r="H381" s="2349">
        <v>6</v>
      </c>
      <c r="I381" s="483">
        <f t="shared" si="27"/>
        <v>0.6</v>
      </c>
      <c r="J381" s="297">
        <f t="shared" si="28"/>
        <v>0.6</v>
      </c>
      <c r="K381" s="297"/>
      <c r="L381" s="297"/>
      <c r="M381" s="297"/>
      <c r="N381" s="486"/>
      <c r="O381" s="619"/>
      <c r="P381" s="969"/>
      <c r="Q381" s="932"/>
      <c r="R381" s="1615">
        <v>0.6</v>
      </c>
      <c r="S381" s="45"/>
      <c r="T381" s="233"/>
      <c r="U381" s="233"/>
      <c r="V381" s="233"/>
      <c r="W381" s="45"/>
      <c r="X381" s="233"/>
      <c r="Y381" s="45"/>
      <c r="Z381" s="309"/>
      <c r="AA381" s="16"/>
      <c r="AB381" s="3">
        <v>1</v>
      </c>
    </row>
    <row r="382" spans="1:29" ht="75.5" x14ac:dyDescent="0.35">
      <c r="A382" s="439">
        <v>175</v>
      </c>
      <c r="B382" s="1004">
        <v>10452</v>
      </c>
      <c r="C382" s="1006" t="s">
        <v>1655</v>
      </c>
      <c r="D382" s="2460" t="s">
        <v>3972</v>
      </c>
      <c r="E382" s="407" t="s">
        <v>7481</v>
      </c>
      <c r="F382" s="1834" t="s">
        <v>664</v>
      </c>
      <c r="G382" s="1834">
        <v>5</v>
      </c>
      <c r="H382" s="2349">
        <v>6</v>
      </c>
      <c r="I382" s="483">
        <f t="shared" si="27"/>
        <v>0.8</v>
      </c>
      <c r="J382" s="297">
        <f t="shared" si="28"/>
        <v>0.8</v>
      </c>
      <c r="K382" s="297"/>
      <c r="L382" s="297"/>
      <c r="M382" s="297"/>
      <c r="N382" s="486"/>
      <c r="O382" s="619"/>
      <c r="P382" s="969"/>
      <c r="Q382" s="932"/>
      <c r="R382" s="1615">
        <v>0.8</v>
      </c>
      <c r="S382" s="45"/>
      <c r="T382" s="233"/>
      <c r="U382" s="233"/>
      <c r="V382" s="233"/>
      <c r="W382" s="45"/>
      <c r="X382" s="233"/>
      <c r="Y382" s="45"/>
      <c r="Z382" s="309"/>
      <c r="AA382" s="16"/>
      <c r="AB382" s="3">
        <v>1</v>
      </c>
    </row>
    <row r="383" spans="1:29" ht="45.5" x14ac:dyDescent="0.35">
      <c r="A383" s="433">
        <v>176</v>
      </c>
      <c r="B383" s="1004">
        <v>10452</v>
      </c>
      <c r="C383" s="1004" t="s">
        <v>1656</v>
      </c>
      <c r="D383" s="2460" t="s">
        <v>7047</v>
      </c>
      <c r="E383" s="407" t="s">
        <v>8201</v>
      </c>
      <c r="F383" s="92" t="s">
        <v>1490</v>
      </c>
      <c r="G383" s="1834">
        <v>5</v>
      </c>
      <c r="H383" s="2349">
        <v>6</v>
      </c>
      <c r="I383" s="483">
        <f t="shared" si="27"/>
        <v>1.2</v>
      </c>
      <c r="J383" s="297">
        <f t="shared" si="28"/>
        <v>1.2</v>
      </c>
      <c r="K383" s="297"/>
      <c r="L383" s="297"/>
      <c r="M383" s="297"/>
      <c r="N383" s="486"/>
      <c r="O383" s="619"/>
      <c r="P383" s="969"/>
      <c r="Q383" s="932"/>
      <c r="R383" s="1615">
        <v>1.2</v>
      </c>
      <c r="S383" s="45"/>
      <c r="T383" s="233"/>
      <c r="U383" s="233"/>
      <c r="V383" s="233"/>
      <c r="W383" s="45">
        <v>3</v>
      </c>
      <c r="X383" s="233">
        <v>22.5</v>
      </c>
      <c r="Y383" s="45"/>
      <c r="Z383" s="309"/>
      <c r="AA383" s="16"/>
      <c r="AB383" s="3">
        <v>1</v>
      </c>
      <c r="AC383" s="3" t="s">
        <v>2570</v>
      </c>
    </row>
    <row r="384" spans="1:29" ht="45.5" x14ac:dyDescent="0.35">
      <c r="A384" s="439">
        <v>177</v>
      </c>
      <c r="B384" s="1004">
        <v>10452</v>
      </c>
      <c r="C384" s="1004" t="s">
        <v>1656</v>
      </c>
      <c r="D384" s="2460" t="s">
        <v>3973</v>
      </c>
      <c r="E384" s="407" t="s">
        <v>8202</v>
      </c>
      <c r="F384" s="1834" t="s">
        <v>664</v>
      </c>
      <c r="G384" s="1834">
        <v>5</v>
      </c>
      <c r="H384" s="2349">
        <v>6</v>
      </c>
      <c r="I384" s="483">
        <f t="shared" si="27"/>
        <v>0.3</v>
      </c>
      <c r="J384" s="297">
        <f t="shared" si="28"/>
        <v>0.3</v>
      </c>
      <c r="K384" s="297"/>
      <c r="L384" s="297"/>
      <c r="M384" s="297"/>
      <c r="N384" s="486"/>
      <c r="O384" s="619"/>
      <c r="P384" s="969"/>
      <c r="Q384" s="932"/>
      <c r="R384" s="1615">
        <v>0.3</v>
      </c>
      <c r="S384" s="45"/>
      <c r="T384" s="233"/>
      <c r="U384" s="233"/>
      <c r="V384" s="233"/>
      <c r="W384" s="45"/>
      <c r="X384" s="233"/>
      <c r="Y384" s="45"/>
      <c r="Z384" s="309"/>
      <c r="AB384" s="3">
        <v>1</v>
      </c>
    </row>
    <row r="385" spans="1:28" ht="45.5" x14ac:dyDescent="0.35">
      <c r="A385" s="433">
        <v>178</v>
      </c>
      <c r="B385" s="1004">
        <v>10452</v>
      </c>
      <c r="C385" s="1004" t="s">
        <v>1656</v>
      </c>
      <c r="D385" s="2460" t="s">
        <v>3974</v>
      </c>
      <c r="E385" s="407" t="s">
        <v>8203</v>
      </c>
      <c r="F385" s="1834" t="s">
        <v>664</v>
      </c>
      <c r="G385" s="1834">
        <v>5</v>
      </c>
      <c r="H385" s="2349">
        <v>6</v>
      </c>
      <c r="I385" s="483">
        <f>J385+K385+L385</f>
        <v>0.8</v>
      </c>
      <c r="J385" s="297">
        <f>SUM(M385:R385)</f>
        <v>0.8</v>
      </c>
      <c r="K385" s="297"/>
      <c r="L385" s="297"/>
      <c r="M385" s="297"/>
      <c r="N385" s="486"/>
      <c r="O385" s="619"/>
      <c r="P385" s="969"/>
      <c r="Q385" s="932"/>
      <c r="R385" s="1615">
        <v>0.8</v>
      </c>
      <c r="S385" s="45"/>
      <c r="T385" s="233"/>
      <c r="U385" s="233"/>
      <c r="V385" s="233"/>
      <c r="W385" s="45"/>
      <c r="X385" s="233"/>
      <c r="Y385" s="45"/>
      <c r="Z385" s="309"/>
      <c r="AB385" s="3">
        <v>1</v>
      </c>
    </row>
    <row r="386" spans="1:28" ht="45.5" x14ac:dyDescent="0.35">
      <c r="A386" s="439">
        <v>179</v>
      </c>
      <c r="B386" s="1009">
        <v>10463</v>
      </c>
      <c r="C386" s="1009"/>
      <c r="D386" s="434" t="s">
        <v>899</v>
      </c>
      <c r="E386" s="407" t="s">
        <v>7048</v>
      </c>
      <c r="F386" s="1834"/>
      <c r="G386" s="1834" t="s">
        <v>191</v>
      </c>
      <c r="H386" s="2349" t="s">
        <v>191</v>
      </c>
      <c r="I386" s="483">
        <f t="shared" si="27"/>
        <v>2.625</v>
      </c>
      <c r="J386" s="297">
        <f t="shared" si="28"/>
        <v>2.625</v>
      </c>
      <c r="K386" s="297"/>
      <c r="L386" s="297"/>
      <c r="M386" s="297"/>
      <c r="N386" s="486">
        <f>SUM(N387:N390)</f>
        <v>0.31599999999999984</v>
      </c>
      <c r="O386" s="619"/>
      <c r="P386" s="969"/>
      <c r="Q386" s="932">
        <f>SUM(Q387:Q390)</f>
        <v>2.3090000000000002</v>
      </c>
      <c r="R386" s="1615"/>
      <c r="S386" s="45"/>
      <c r="T386" s="233"/>
      <c r="U386" s="233"/>
      <c r="V386" s="233"/>
      <c r="W386" s="1881">
        <v>4</v>
      </c>
      <c r="X386" s="1962">
        <v>40.31</v>
      </c>
      <c r="Y386" s="57">
        <v>1</v>
      </c>
      <c r="Z386" s="309">
        <v>10</v>
      </c>
      <c r="AB386" s="3">
        <v>1</v>
      </c>
    </row>
    <row r="387" spans="1:28" x14ac:dyDescent="0.35">
      <c r="A387" s="2044"/>
      <c r="B387" s="1009">
        <v>10463</v>
      </c>
      <c r="C387" s="1009"/>
      <c r="D387" s="436"/>
      <c r="E387" s="840" t="s">
        <v>1066</v>
      </c>
      <c r="F387" s="1834">
        <v>5</v>
      </c>
      <c r="G387" s="1834">
        <v>5</v>
      </c>
      <c r="H387" s="2349">
        <v>6</v>
      </c>
      <c r="I387" s="1008"/>
      <c r="J387" s="300"/>
      <c r="K387" s="300"/>
      <c r="L387" s="300"/>
      <c r="M387" s="300"/>
      <c r="N387" s="487"/>
      <c r="O387" s="621"/>
      <c r="P387" s="970"/>
      <c r="Q387" s="933">
        <f>7.96-6.827</f>
        <v>1.133</v>
      </c>
      <c r="R387" s="1616"/>
      <c r="S387" s="1641"/>
      <c r="T387" s="1642"/>
      <c r="U387" s="1642"/>
      <c r="V387" s="1642"/>
      <c r="W387" s="1641"/>
      <c r="X387" s="1642"/>
      <c r="Y387" s="1647"/>
      <c r="Z387" s="1643"/>
    </row>
    <row r="388" spans="1:28" x14ac:dyDescent="0.35">
      <c r="A388" s="2045"/>
      <c r="B388" s="1009">
        <v>10463</v>
      </c>
      <c r="C388" s="1009"/>
      <c r="D388" s="437"/>
      <c r="E388" s="431" t="s">
        <v>920</v>
      </c>
      <c r="F388" s="1834">
        <v>4</v>
      </c>
      <c r="G388" s="1834">
        <v>5</v>
      </c>
      <c r="H388" s="2349">
        <v>6</v>
      </c>
      <c r="I388" s="1012"/>
      <c r="J388" s="301"/>
      <c r="K388" s="301"/>
      <c r="L388" s="301"/>
      <c r="M388" s="301"/>
      <c r="N388" s="487">
        <f>8.276-7.96</f>
        <v>0.31599999999999984</v>
      </c>
      <c r="O388" s="621"/>
      <c r="P388" s="970"/>
      <c r="Q388" s="933"/>
      <c r="R388" s="1616"/>
      <c r="S388" s="1644"/>
      <c r="T388" s="1645"/>
      <c r="U388" s="1645"/>
      <c r="V388" s="1645"/>
      <c r="W388" s="1644"/>
      <c r="X388" s="1645"/>
      <c r="Y388" s="1652"/>
      <c r="Z388" s="1646"/>
    </row>
    <row r="389" spans="1:28" x14ac:dyDescent="0.35">
      <c r="A389" s="2045"/>
      <c r="B389" s="1009"/>
      <c r="C389" s="1009"/>
      <c r="D389" s="437"/>
      <c r="E389" s="840" t="s">
        <v>3601</v>
      </c>
      <c r="F389" s="1834">
        <v>5</v>
      </c>
      <c r="G389" s="1834">
        <v>5</v>
      </c>
      <c r="H389" s="2349">
        <v>6</v>
      </c>
      <c r="I389" s="1012"/>
      <c r="J389" s="301"/>
      <c r="K389" s="301"/>
      <c r="L389" s="301"/>
      <c r="M389" s="301"/>
      <c r="N389" s="487"/>
      <c r="O389" s="621"/>
      <c r="P389" s="970"/>
      <c r="Q389" s="933">
        <f>8.827-8.276</f>
        <v>0.55100000000000016</v>
      </c>
      <c r="R389" s="1616"/>
      <c r="S389" s="1644"/>
      <c r="T389" s="1645"/>
      <c r="U389" s="1645"/>
      <c r="V389" s="1645"/>
      <c r="W389" s="1644"/>
      <c r="X389" s="1645"/>
      <c r="Y389" s="1652"/>
      <c r="Z389" s="1646"/>
    </row>
    <row r="390" spans="1:28" x14ac:dyDescent="0.35">
      <c r="A390" s="2045"/>
      <c r="B390" s="1009">
        <v>10463</v>
      </c>
      <c r="C390" s="1009"/>
      <c r="D390" s="437"/>
      <c r="E390" s="840" t="s">
        <v>3602</v>
      </c>
      <c r="F390" s="1834" t="s">
        <v>1490</v>
      </c>
      <c r="G390" s="1834">
        <v>5</v>
      </c>
      <c r="H390" s="2349">
        <v>6</v>
      </c>
      <c r="I390" s="1012"/>
      <c r="J390" s="301"/>
      <c r="K390" s="301"/>
      <c r="L390" s="301"/>
      <c r="M390" s="301"/>
      <c r="N390" s="487"/>
      <c r="O390" s="621"/>
      <c r="P390" s="970"/>
      <c r="Q390" s="933">
        <f>9.452-8.827</f>
        <v>0.625</v>
      </c>
      <c r="R390" s="1616"/>
      <c r="S390" s="1644"/>
      <c r="T390" s="1645"/>
      <c r="U390" s="1645"/>
      <c r="V390" s="1645"/>
      <c r="W390" s="1644"/>
      <c r="X390" s="1645"/>
      <c r="Y390" s="1652"/>
      <c r="Z390" s="1646"/>
    </row>
    <row r="391" spans="1:28" ht="60.5" x14ac:dyDescent="0.35">
      <c r="A391" s="696">
        <v>180</v>
      </c>
      <c r="B391" s="1040">
        <v>10463</v>
      </c>
      <c r="C391" s="1040"/>
      <c r="D391" s="2460" t="s">
        <v>3975</v>
      </c>
      <c r="E391" s="2069" t="s">
        <v>7482</v>
      </c>
      <c r="F391" s="92"/>
      <c r="G391" s="92" t="s">
        <v>191</v>
      </c>
      <c r="H391" s="2349" t="s">
        <v>191</v>
      </c>
      <c r="I391" s="1150">
        <f>J391+K391+L391</f>
        <v>1.405</v>
      </c>
      <c r="J391" s="702">
        <f>SUM(M391:R391)</f>
        <v>1.272</v>
      </c>
      <c r="K391" s="622"/>
      <c r="L391" s="622">
        <f>SUM(L393:L394)</f>
        <v>0.13300000000000001</v>
      </c>
      <c r="M391" s="622"/>
      <c r="N391" s="622"/>
      <c r="O391" s="622"/>
      <c r="P391" s="622"/>
      <c r="Q391" s="622"/>
      <c r="R391" s="2190">
        <f>SUM(R392:R394)</f>
        <v>1.272</v>
      </c>
      <c r="S391" s="106"/>
      <c r="T391" s="106"/>
      <c r="U391" s="106"/>
      <c r="V391" s="106"/>
      <c r="W391" s="105">
        <v>2</v>
      </c>
      <c r="X391" s="105">
        <v>18</v>
      </c>
      <c r="Y391" s="105"/>
      <c r="Z391" s="323"/>
      <c r="AB391" s="3">
        <v>1</v>
      </c>
    </row>
    <row r="392" spans="1:28" x14ac:dyDescent="0.35">
      <c r="A392" s="696"/>
      <c r="B392" s="1040">
        <v>10463</v>
      </c>
      <c r="C392" s="1040"/>
      <c r="D392" s="693"/>
      <c r="E392" s="841" t="s">
        <v>445</v>
      </c>
      <c r="F392" s="92" t="s">
        <v>1490</v>
      </c>
      <c r="G392" s="92">
        <v>5</v>
      </c>
      <c r="H392" s="2349">
        <v>6</v>
      </c>
      <c r="I392" s="2189"/>
      <c r="J392" s="1918"/>
      <c r="K392" s="395"/>
      <c r="L392" s="395"/>
      <c r="M392" s="395"/>
      <c r="N392" s="395"/>
      <c r="O392" s="395"/>
      <c r="P392" s="395"/>
      <c r="Q392" s="395"/>
      <c r="R392" s="2191">
        <v>0.378</v>
      </c>
      <c r="S392" s="106"/>
      <c r="T392" s="106"/>
      <c r="U392" s="106"/>
      <c r="V392" s="106"/>
      <c r="W392" s="105"/>
      <c r="X392" s="105"/>
      <c r="Y392" s="105"/>
      <c r="Z392" s="323"/>
    </row>
    <row r="393" spans="1:28" ht="46.5" x14ac:dyDescent="0.35">
      <c r="A393" s="696"/>
      <c r="B393" s="1040">
        <v>10463</v>
      </c>
      <c r="C393" s="1040"/>
      <c r="D393" s="693"/>
      <c r="E393" s="430" t="s">
        <v>9761</v>
      </c>
      <c r="F393" s="92" t="s">
        <v>1490</v>
      </c>
      <c r="G393" s="92">
        <v>5</v>
      </c>
      <c r="H393" s="2413" t="s">
        <v>191</v>
      </c>
      <c r="I393" s="2189"/>
      <c r="J393" s="1918"/>
      <c r="K393" s="395"/>
      <c r="L393" s="395">
        <f>0.511-0.378</f>
        <v>0.13300000000000001</v>
      </c>
      <c r="M393" s="395"/>
      <c r="N393" s="395"/>
      <c r="O393" s="395"/>
      <c r="P393" s="395"/>
      <c r="Q393" s="395"/>
      <c r="R393" s="2191"/>
      <c r="S393" s="106"/>
      <c r="T393" s="106"/>
      <c r="U393" s="106"/>
      <c r="V393" s="106"/>
      <c r="W393" s="105"/>
      <c r="X393" s="105"/>
      <c r="Y393" s="105"/>
      <c r="Z393" s="323"/>
    </row>
    <row r="394" spans="1:28" x14ac:dyDescent="0.35">
      <c r="A394" s="696"/>
      <c r="B394" s="1040">
        <v>10463</v>
      </c>
      <c r="C394" s="1040"/>
      <c r="D394" s="693"/>
      <c r="E394" s="841" t="s">
        <v>117</v>
      </c>
      <c r="F394" s="92" t="s">
        <v>1490</v>
      </c>
      <c r="G394" s="92">
        <v>5</v>
      </c>
      <c r="H394" s="2349">
        <v>6</v>
      </c>
      <c r="I394" s="2189"/>
      <c r="J394" s="1918"/>
      <c r="K394" s="395"/>
      <c r="L394" s="395"/>
      <c r="M394" s="395"/>
      <c r="N394" s="395"/>
      <c r="O394" s="395"/>
      <c r="P394" s="395"/>
      <c r="Q394" s="395"/>
      <c r="R394" s="2191">
        <f>1.405-0.511</f>
        <v>0.89400000000000002</v>
      </c>
      <c r="S394" s="106"/>
      <c r="T394" s="106"/>
      <c r="U394" s="106"/>
      <c r="V394" s="106"/>
      <c r="W394" s="105"/>
      <c r="X394" s="105"/>
      <c r="Y394" s="105"/>
      <c r="Z394" s="323"/>
    </row>
    <row r="395" spans="1:28" ht="30.5" x14ac:dyDescent="0.35">
      <c r="A395" s="2045"/>
      <c r="B395" s="1003" t="s">
        <v>9434</v>
      </c>
      <c r="C395" s="1003"/>
      <c r="D395" s="437"/>
      <c r="E395" s="1596" t="s">
        <v>9435</v>
      </c>
      <c r="F395" s="1834"/>
      <c r="G395" s="1834"/>
      <c r="H395" s="2349"/>
      <c r="I395" s="1012"/>
      <c r="J395" s="301"/>
      <c r="K395" s="301"/>
      <c r="L395" s="301"/>
      <c r="M395" s="301"/>
      <c r="N395" s="487"/>
      <c r="O395" s="621"/>
      <c r="P395" s="970"/>
      <c r="Q395" s="933"/>
      <c r="R395" s="1616"/>
      <c r="S395" s="1644"/>
      <c r="T395" s="1645"/>
      <c r="U395" s="1645"/>
      <c r="V395" s="1645"/>
      <c r="W395" s="1644"/>
      <c r="X395" s="1645"/>
      <c r="Y395" s="1652"/>
      <c r="Z395" s="1646"/>
    </row>
    <row r="396" spans="1:28" ht="30.5" x14ac:dyDescent="0.35">
      <c r="A396" s="433">
        <v>181</v>
      </c>
      <c r="B396" s="1003" t="s">
        <v>9434</v>
      </c>
      <c r="C396" s="1003"/>
      <c r="D396" s="2460" t="s">
        <v>3976</v>
      </c>
      <c r="E396" s="407" t="s">
        <v>9436</v>
      </c>
      <c r="F396" s="1834"/>
      <c r="G396" s="1834" t="s">
        <v>191</v>
      </c>
      <c r="H396" s="2349" t="s">
        <v>191</v>
      </c>
      <c r="I396" s="483">
        <f>J396+K396+L396</f>
        <v>1.9</v>
      </c>
      <c r="J396" s="297">
        <f>SUM(M396:R396)</f>
        <v>1.9</v>
      </c>
      <c r="K396" s="297"/>
      <c r="L396" s="297"/>
      <c r="M396" s="297"/>
      <c r="N396" s="486">
        <f>SUM(N397:N398)</f>
        <v>1.2</v>
      </c>
      <c r="O396" s="619"/>
      <c r="P396" s="969"/>
      <c r="Q396" s="932"/>
      <c r="R396" s="1615">
        <f>SUM(R397:R398)</f>
        <v>0.7</v>
      </c>
      <c r="S396" s="45"/>
      <c r="T396" s="233"/>
      <c r="U396" s="233"/>
      <c r="V396" s="233"/>
      <c r="W396" s="45">
        <v>2</v>
      </c>
      <c r="X396" s="233">
        <v>25.2</v>
      </c>
      <c r="Y396" s="45"/>
      <c r="Z396" s="309"/>
      <c r="AB396" s="3">
        <v>1</v>
      </c>
    </row>
    <row r="397" spans="1:28" ht="23.25" customHeight="1" x14ac:dyDescent="0.35">
      <c r="A397" s="433"/>
      <c r="B397" s="1003" t="s">
        <v>9434</v>
      </c>
      <c r="C397" s="1003"/>
      <c r="D397" s="435"/>
      <c r="E397" s="430" t="s">
        <v>3428</v>
      </c>
      <c r="F397" s="1834">
        <v>5</v>
      </c>
      <c r="G397" s="1834">
        <v>5</v>
      </c>
      <c r="H397" s="2349">
        <v>6</v>
      </c>
      <c r="I397" s="499"/>
      <c r="J397" s="298"/>
      <c r="K397" s="298"/>
      <c r="L397" s="298"/>
      <c r="M397" s="298"/>
      <c r="N397" s="487">
        <v>1.2</v>
      </c>
      <c r="O397" s="621"/>
      <c r="P397" s="970"/>
      <c r="Q397" s="933"/>
      <c r="R397" s="1616"/>
      <c r="S397" s="45"/>
      <c r="T397" s="233"/>
      <c r="U397" s="233"/>
      <c r="V397" s="233"/>
      <c r="W397" s="45"/>
      <c r="X397" s="233"/>
      <c r="Y397" s="45"/>
      <c r="Z397" s="309"/>
    </row>
    <row r="398" spans="1:28" ht="21.75" customHeight="1" x14ac:dyDescent="0.35">
      <c r="A398" s="2044"/>
      <c r="B398" s="1003" t="s">
        <v>9434</v>
      </c>
      <c r="C398" s="1003"/>
      <c r="D398" s="436"/>
      <c r="E398" s="841" t="s">
        <v>2550</v>
      </c>
      <c r="F398" s="1834" t="s">
        <v>827</v>
      </c>
      <c r="G398" s="1834">
        <v>5</v>
      </c>
      <c r="H398" s="2349">
        <v>6</v>
      </c>
      <c r="I398" s="1008"/>
      <c r="J398" s="300"/>
      <c r="K398" s="300"/>
      <c r="L398" s="300"/>
      <c r="M398" s="300"/>
      <c r="N398" s="487"/>
      <c r="O398" s="621"/>
      <c r="P398" s="970"/>
      <c r="Q398" s="933"/>
      <c r="R398" s="1616">
        <f>1.9-1.2</f>
        <v>0.7</v>
      </c>
      <c r="S398" s="1641"/>
      <c r="T398" s="1642"/>
      <c r="U398" s="1642"/>
      <c r="V398" s="1642"/>
      <c r="W398" s="1641"/>
      <c r="X398" s="1642"/>
      <c r="Y398" s="1641"/>
      <c r="Z398" s="1643"/>
    </row>
    <row r="399" spans="1:28" ht="30.5" x14ac:dyDescent="0.35">
      <c r="A399" s="433">
        <v>182</v>
      </c>
      <c r="B399" s="1003" t="s">
        <v>9434</v>
      </c>
      <c r="C399" s="1003"/>
      <c r="D399" s="2460" t="s">
        <v>3977</v>
      </c>
      <c r="E399" s="407" t="s">
        <v>9437</v>
      </c>
      <c r="F399" s="1834"/>
      <c r="G399" s="1834" t="s">
        <v>191</v>
      </c>
      <c r="H399" s="2349" t="s">
        <v>191</v>
      </c>
      <c r="I399" s="483">
        <f>J399+K399+L399</f>
        <v>1.3</v>
      </c>
      <c r="J399" s="297">
        <f>SUM(M399:R399)</f>
        <v>1.3</v>
      </c>
      <c r="K399" s="297"/>
      <c r="L399" s="297"/>
      <c r="M399" s="297"/>
      <c r="N399" s="486">
        <f>SUM(N400:N401)</f>
        <v>0.2</v>
      </c>
      <c r="O399" s="619"/>
      <c r="P399" s="969"/>
      <c r="Q399" s="932">
        <f>SUM(Q400:Q401)</f>
        <v>1.1000000000000001</v>
      </c>
      <c r="R399" s="1615"/>
      <c r="S399" s="45"/>
      <c r="T399" s="233"/>
      <c r="U399" s="233"/>
      <c r="V399" s="233"/>
      <c r="W399" s="45"/>
      <c r="X399" s="233"/>
      <c r="Y399" s="45"/>
      <c r="Z399" s="309"/>
      <c r="AB399" s="3">
        <v>1</v>
      </c>
    </row>
    <row r="400" spans="1:28" ht="19.5" customHeight="1" x14ac:dyDescent="0.35">
      <c r="A400" s="2044"/>
      <c r="B400" s="1003" t="s">
        <v>9434</v>
      </c>
      <c r="C400" s="1003"/>
      <c r="D400" s="436"/>
      <c r="E400" s="840" t="s">
        <v>3164</v>
      </c>
      <c r="F400" s="1834">
        <v>5</v>
      </c>
      <c r="G400" s="1834">
        <v>5</v>
      </c>
      <c r="H400" s="2349">
        <v>6</v>
      </c>
      <c r="I400" s="1008"/>
      <c r="J400" s="300"/>
      <c r="K400" s="300"/>
      <c r="L400" s="300"/>
      <c r="M400" s="300"/>
      <c r="N400" s="487"/>
      <c r="O400" s="621"/>
      <c r="P400" s="970"/>
      <c r="Q400" s="933">
        <v>1.1000000000000001</v>
      </c>
      <c r="R400" s="1616"/>
      <c r="S400" s="1641"/>
      <c r="T400" s="1642"/>
      <c r="U400" s="1642"/>
      <c r="V400" s="1642"/>
      <c r="W400" s="1641"/>
      <c r="X400" s="1642"/>
      <c r="Y400" s="1641"/>
      <c r="Z400" s="1643"/>
    </row>
    <row r="401" spans="1:31" x14ac:dyDescent="0.35">
      <c r="A401" s="433"/>
      <c r="B401" s="1003" t="s">
        <v>159</v>
      </c>
      <c r="C401" s="1003"/>
      <c r="D401" s="435"/>
      <c r="E401" s="430" t="s">
        <v>1577</v>
      </c>
      <c r="F401" s="1834">
        <v>5</v>
      </c>
      <c r="G401" s="1834">
        <v>5</v>
      </c>
      <c r="H401" s="2349">
        <v>6</v>
      </c>
      <c r="I401" s="499"/>
      <c r="J401" s="298"/>
      <c r="K401" s="298"/>
      <c r="L401" s="298"/>
      <c r="M401" s="298"/>
      <c r="N401" s="487">
        <v>0.2</v>
      </c>
      <c r="O401" s="621"/>
      <c r="P401" s="970"/>
      <c r="Q401" s="933"/>
      <c r="R401" s="1616"/>
      <c r="S401" s="45"/>
      <c r="T401" s="233"/>
      <c r="U401" s="233"/>
      <c r="V401" s="233"/>
      <c r="W401" s="45"/>
      <c r="X401" s="233"/>
      <c r="Y401" s="45"/>
      <c r="Z401" s="309"/>
    </row>
    <row r="402" spans="1:31" ht="30.5" x14ac:dyDescent="0.35">
      <c r="A402" s="433">
        <v>183</v>
      </c>
      <c r="B402" s="1003" t="s">
        <v>159</v>
      </c>
      <c r="C402" s="1003"/>
      <c r="D402" s="2460" t="s">
        <v>3978</v>
      </c>
      <c r="E402" s="407" t="s">
        <v>9438</v>
      </c>
      <c r="F402" s="1834"/>
      <c r="G402" s="1834" t="s">
        <v>191</v>
      </c>
      <c r="H402" s="2349" t="s">
        <v>191</v>
      </c>
      <c r="I402" s="483">
        <f>J402+K402+L402</f>
        <v>2.88</v>
      </c>
      <c r="J402" s="297">
        <f>SUM(M402:R402)</f>
        <v>2.75</v>
      </c>
      <c r="K402" s="297"/>
      <c r="L402" s="486">
        <f>SUM(L403:L405)</f>
        <v>0.13</v>
      </c>
      <c r="M402" s="297"/>
      <c r="N402" s="486">
        <f>SUM(N403:N405)</f>
        <v>1.65</v>
      </c>
      <c r="O402" s="619"/>
      <c r="P402" s="969"/>
      <c r="Q402" s="932"/>
      <c r="R402" s="1615">
        <f>SUM(R403:R405)</f>
        <v>1.0999999999999999</v>
      </c>
      <c r="S402" s="45"/>
      <c r="T402" s="233"/>
      <c r="U402" s="233"/>
      <c r="V402" s="233"/>
      <c r="W402" s="45"/>
      <c r="X402" s="233"/>
      <c r="Y402" s="45"/>
      <c r="Z402" s="309"/>
      <c r="AB402" s="3">
        <v>1</v>
      </c>
    </row>
    <row r="403" spans="1:31" ht="46.5" x14ac:dyDescent="0.35">
      <c r="A403" s="433"/>
      <c r="B403" s="1003"/>
      <c r="C403" s="1003"/>
      <c r="D403" s="2460"/>
      <c r="E403" s="431" t="s">
        <v>10921</v>
      </c>
      <c r="F403" s="1834">
        <v>5</v>
      </c>
      <c r="G403" s="1834">
        <v>5</v>
      </c>
      <c r="H403" s="2349" t="s">
        <v>191</v>
      </c>
      <c r="I403" s="2350"/>
      <c r="J403" s="487"/>
      <c r="K403" s="487"/>
      <c r="L403" s="487">
        <v>0.13</v>
      </c>
      <c r="M403" s="487"/>
      <c r="N403" s="486"/>
      <c r="O403" s="619"/>
      <c r="P403" s="969"/>
      <c r="Q403" s="932"/>
      <c r="R403" s="1615"/>
      <c r="S403" s="45"/>
      <c r="T403" s="233"/>
      <c r="U403" s="233"/>
      <c r="V403" s="233"/>
      <c r="W403" s="45"/>
      <c r="X403" s="233"/>
      <c r="Y403" s="45"/>
      <c r="Z403" s="309"/>
    </row>
    <row r="404" spans="1:31" x14ac:dyDescent="0.35">
      <c r="A404" s="433"/>
      <c r="B404" s="1003" t="s">
        <v>159</v>
      </c>
      <c r="C404" s="1003"/>
      <c r="D404" s="434"/>
      <c r="E404" s="431" t="s">
        <v>11202</v>
      </c>
      <c r="F404" s="1834">
        <v>5</v>
      </c>
      <c r="G404" s="1834">
        <v>5</v>
      </c>
      <c r="H404" s="2349">
        <v>6</v>
      </c>
      <c r="I404" s="2350"/>
      <c r="J404" s="487"/>
      <c r="K404" s="487"/>
      <c r="L404" s="487"/>
      <c r="M404" s="487"/>
      <c r="N404" s="487">
        <f>1.78-0.13</f>
        <v>1.65</v>
      </c>
      <c r="O404" s="621"/>
      <c r="P404" s="970"/>
      <c r="Q404" s="933"/>
      <c r="R404" s="1616"/>
      <c r="S404" s="45"/>
      <c r="T404" s="233"/>
      <c r="U404" s="233"/>
      <c r="V404" s="233"/>
      <c r="W404" s="45"/>
      <c r="X404" s="233"/>
      <c r="Y404" s="45"/>
      <c r="Z404" s="309"/>
    </row>
    <row r="405" spans="1:31" x14ac:dyDescent="0.35">
      <c r="A405" s="433"/>
      <c r="B405" s="1003" t="s">
        <v>159</v>
      </c>
      <c r="C405" s="1003"/>
      <c r="D405" s="434"/>
      <c r="E405" s="841" t="s">
        <v>729</v>
      </c>
      <c r="F405" s="1834" t="s">
        <v>827</v>
      </c>
      <c r="G405" s="1834">
        <v>5</v>
      </c>
      <c r="H405" s="2349">
        <v>6</v>
      </c>
      <c r="I405" s="499"/>
      <c r="J405" s="298"/>
      <c r="K405" s="298"/>
      <c r="L405" s="298"/>
      <c r="M405" s="298"/>
      <c r="N405" s="487"/>
      <c r="O405" s="621"/>
      <c r="P405" s="970"/>
      <c r="Q405" s="933"/>
      <c r="R405" s="1616">
        <f>2.88-1.78</f>
        <v>1.0999999999999999</v>
      </c>
      <c r="S405" s="45"/>
      <c r="T405" s="233"/>
      <c r="U405" s="233"/>
      <c r="V405" s="233"/>
      <c r="W405" s="45"/>
      <c r="X405" s="233"/>
      <c r="Y405" s="45"/>
      <c r="Z405" s="309"/>
    </row>
    <row r="406" spans="1:31" ht="45.5" x14ac:dyDescent="0.35">
      <c r="A406" s="439">
        <v>184</v>
      </c>
      <c r="B406" s="1004" t="s">
        <v>159</v>
      </c>
      <c r="C406" s="1004" t="s">
        <v>1656</v>
      </c>
      <c r="D406" s="2460" t="s">
        <v>3979</v>
      </c>
      <c r="E406" s="407" t="s">
        <v>9439</v>
      </c>
      <c r="F406" s="1834" t="s">
        <v>664</v>
      </c>
      <c r="G406" s="1834">
        <v>5</v>
      </c>
      <c r="H406" s="2349">
        <v>6</v>
      </c>
      <c r="I406" s="483">
        <f t="shared" ref="I406:I415" si="29">J406+K406+L406</f>
        <v>0.15</v>
      </c>
      <c r="J406" s="297">
        <f t="shared" ref="J406:J415" si="30">SUM(M406:R406)</f>
        <v>0.15</v>
      </c>
      <c r="K406" s="297"/>
      <c r="L406" s="297"/>
      <c r="M406" s="297"/>
      <c r="N406" s="486"/>
      <c r="O406" s="619"/>
      <c r="P406" s="969"/>
      <c r="Q406" s="932"/>
      <c r="R406" s="1615">
        <v>0.15</v>
      </c>
      <c r="S406" s="45"/>
      <c r="T406" s="233"/>
      <c r="U406" s="233"/>
      <c r="V406" s="233"/>
      <c r="W406" s="45"/>
      <c r="X406" s="233"/>
      <c r="Y406" s="45"/>
      <c r="Z406" s="309"/>
      <c r="AB406" s="3">
        <v>1</v>
      </c>
    </row>
    <row r="407" spans="1:31" ht="30.5" x14ac:dyDescent="0.35">
      <c r="A407" s="433">
        <v>185</v>
      </c>
      <c r="B407" s="1003" t="s">
        <v>159</v>
      </c>
      <c r="C407" s="1003"/>
      <c r="D407" s="2460" t="s">
        <v>3980</v>
      </c>
      <c r="E407" s="407" t="s">
        <v>9440</v>
      </c>
      <c r="F407" s="1834">
        <v>5</v>
      </c>
      <c r="G407" s="1834">
        <v>5</v>
      </c>
      <c r="H407" s="2349">
        <v>6</v>
      </c>
      <c r="I407" s="483">
        <f t="shared" si="29"/>
        <v>1.2</v>
      </c>
      <c r="J407" s="297">
        <f t="shared" si="30"/>
        <v>1.2</v>
      </c>
      <c r="K407" s="297"/>
      <c r="L407" s="297"/>
      <c r="M407" s="297"/>
      <c r="N407" s="486">
        <v>1.2</v>
      </c>
      <c r="O407" s="619"/>
      <c r="P407" s="969"/>
      <c r="Q407" s="932"/>
      <c r="R407" s="1615"/>
      <c r="S407" s="45"/>
      <c r="T407" s="233"/>
      <c r="U407" s="233"/>
      <c r="V407" s="233"/>
      <c r="W407" s="1881">
        <v>5</v>
      </c>
      <c r="X407" s="1962">
        <v>63.13</v>
      </c>
      <c r="Y407" s="45"/>
      <c r="Z407" s="309"/>
      <c r="AB407" s="3">
        <v>1</v>
      </c>
    </row>
    <row r="408" spans="1:31" ht="30.5" x14ac:dyDescent="0.35">
      <c r="A408" s="439">
        <v>186</v>
      </c>
      <c r="B408" s="1003" t="s">
        <v>159</v>
      </c>
      <c r="C408" s="1004" t="s">
        <v>1656</v>
      </c>
      <c r="D408" s="2460" t="s">
        <v>3981</v>
      </c>
      <c r="E408" s="407" t="s">
        <v>9441</v>
      </c>
      <c r="F408" s="1834" t="s">
        <v>827</v>
      </c>
      <c r="G408" s="1834">
        <v>5</v>
      </c>
      <c r="H408" s="2349">
        <v>6</v>
      </c>
      <c r="I408" s="483">
        <f t="shared" si="29"/>
        <v>5.2999999999999999E-2</v>
      </c>
      <c r="J408" s="297">
        <f t="shared" si="30"/>
        <v>5.2999999999999999E-2</v>
      </c>
      <c r="K408" s="297"/>
      <c r="L408" s="297"/>
      <c r="M408" s="297"/>
      <c r="N408" s="486">
        <v>5.2999999999999999E-2</v>
      </c>
      <c r="O408" s="619"/>
      <c r="P408" s="969"/>
      <c r="Q408" s="932"/>
      <c r="R408" s="1615"/>
      <c r="S408" s="45"/>
      <c r="T408" s="233"/>
      <c r="U408" s="233"/>
      <c r="V408" s="233"/>
      <c r="W408" s="45"/>
      <c r="X408" s="233"/>
      <c r="Y408" s="45"/>
      <c r="Z408" s="309"/>
      <c r="AB408" s="3">
        <v>1</v>
      </c>
    </row>
    <row r="409" spans="1:31" ht="30.5" x14ac:dyDescent="0.35">
      <c r="A409" s="433">
        <v>187</v>
      </c>
      <c r="B409" s="1003" t="s">
        <v>159</v>
      </c>
      <c r="C409" s="1003"/>
      <c r="D409" s="2460" t="s">
        <v>3982</v>
      </c>
      <c r="E409" s="407" t="s">
        <v>9442</v>
      </c>
      <c r="F409" s="1834" t="s">
        <v>827</v>
      </c>
      <c r="G409" s="1834">
        <v>5</v>
      </c>
      <c r="H409" s="2349">
        <v>6</v>
      </c>
      <c r="I409" s="483">
        <f t="shared" si="29"/>
        <v>1.83</v>
      </c>
      <c r="J409" s="297">
        <f t="shared" si="30"/>
        <v>1.83</v>
      </c>
      <c r="K409" s="297"/>
      <c r="L409" s="297"/>
      <c r="M409" s="297"/>
      <c r="N409" s="486"/>
      <c r="O409" s="619"/>
      <c r="P409" s="969"/>
      <c r="Q409" s="932">
        <v>1.83</v>
      </c>
      <c r="R409" s="2766"/>
      <c r="S409" s="45"/>
      <c r="T409" s="233"/>
      <c r="U409" s="233"/>
      <c r="V409" s="233"/>
      <c r="W409" s="45"/>
      <c r="X409" s="233"/>
      <c r="Y409" s="45"/>
      <c r="Z409" s="309"/>
      <c r="AB409" s="3">
        <v>1</v>
      </c>
    </row>
    <row r="410" spans="1:31" ht="45.5" x14ac:dyDescent="0.35">
      <c r="A410" s="439">
        <v>188</v>
      </c>
      <c r="B410" s="1004" t="s">
        <v>159</v>
      </c>
      <c r="C410" s="1004"/>
      <c r="D410" s="2460" t="s">
        <v>3983</v>
      </c>
      <c r="E410" s="407" t="s">
        <v>9443</v>
      </c>
      <c r="F410" s="1834" t="s">
        <v>827</v>
      </c>
      <c r="G410" s="1834">
        <v>5</v>
      </c>
      <c r="H410" s="2349">
        <v>6</v>
      </c>
      <c r="I410" s="483">
        <f t="shared" si="29"/>
        <v>0.4</v>
      </c>
      <c r="J410" s="297">
        <f t="shared" si="30"/>
        <v>0.4</v>
      </c>
      <c r="K410" s="297"/>
      <c r="L410" s="297"/>
      <c r="M410" s="297"/>
      <c r="N410" s="486"/>
      <c r="O410" s="619"/>
      <c r="P410" s="969"/>
      <c r="Q410" s="932"/>
      <c r="R410" s="1615">
        <v>0.4</v>
      </c>
      <c r="S410" s="45"/>
      <c r="T410" s="233"/>
      <c r="U410" s="233"/>
      <c r="V410" s="233"/>
      <c r="W410" s="45"/>
      <c r="X410" s="233"/>
      <c r="Y410" s="45"/>
      <c r="Z410" s="309"/>
      <c r="AB410" s="3">
        <v>1</v>
      </c>
      <c r="AC410" s="62" t="s">
        <v>2736</v>
      </c>
      <c r="AD410" s="353">
        <v>37602</v>
      </c>
      <c r="AE410" s="282">
        <v>2002</v>
      </c>
    </row>
    <row r="411" spans="1:31" ht="30.5" x14ac:dyDescent="0.35">
      <c r="A411" s="433">
        <v>189</v>
      </c>
      <c r="B411" s="1004" t="s">
        <v>159</v>
      </c>
      <c r="C411" s="1004" t="s">
        <v>1656</v>
      </c>
      <c r="D411" s="2460" t="s">
        <v>3984</v>
      </c>
      <c r="E411" s="407" t="s">
        <v>9444</v>
      </c>
      <c r="F411" s="1834" t="s">
        <v>1490</v>
      </c>
      <c r="G411" s="1834">
        <v>5</v>
      </c>
      <c r="H411" s="2349">
        <v>6</v>
      </c>
      <c r="I411" s="483">
        <f t="shared" si="29"/>
        <v>0.2</v>
      </c>
      <c r="J411" s="297">
        <f t="shared" si="30"/>
        <v>0.2</v>
      </c>
      <c r="K411" s="297"/>
      <c r="L411" s="297"/>
      <c r="M411" s="297"/>
      <c r="N411" s="486"/>
      <c r="O411" s="619"/>
      <c r="P411" s="969"/>
      <c r="Q411" s="932"/>
      <c r="R411" s="1615">
        <v>0.2</v>
      </c>
      <c r="S411" s="45"/>
      <c r="T411" s="233"/>
      <c r="U411" s="233"/>
      <c r="V411" s="233"/>
      <c r="W411" s="45"/>
      <c r="X411" s="233"/>
      <c r="Y411" s="45"/>
      <c r="Z411" s="309"/>
      <c r="AB411" s="3">
        <v>1</v>
      </c>
    </row>
    <row r="412" spans="1:31" ht="45.5" x14ac:dyDescent="0.35">
      <c r="A412" s="439">
        <v>190</v>
      </c>
      <c r="B412" s="1004" t="s">
        <v>159</v>
      </c>
      <c r="C412" s="1006" t="s">
        <v>1655</v>
      </c>
      <c r="D412" s="2460" t="s">
        <v>3985</v>
      </c>
      <c r="E412" s="407" t="s">
        <v>9665</v>
      </c>
      <c r="F412" s="1834" t="s">
        <v>1490</v>
      </c>
      <c r="G412" s="1834">
        <v>5</v>
      </c>
      <c r="H412" s="2349">
        <v>6</v>
      </c>
      <c r="I412" s="483">
        <f t="shared" si="29"/>
        <v>0.35</v>
      </c>
      <c r="J412" s="297">
        <f t="shared" si="30"/>
        <v>0.35</v>
      </c>
      <c r="K412" s="297"/>
      <c r="L412" s="297"/>
      <c r="M412" s="297"/>
      <c r="N412" s="486"/>
      <c r="O412" s="619"/>
      <c r="P412" s="969"/>
      <c r="Q412" s="932"/>
      <c r="R412" s="1615">
        <v>0.35</v>
      </c>
      <c r="S412" s="45"/>
      <c r="T412" s="233"/>
      <c r="U412" s="233"/>
      <c r="V412" s="233"/>
      <c r="W412" s="45"/>
      <c r="X412" s="233"/>
      <c r="Y412" s="45"/>
      <c r="Z412" s="309"/>
      <c r="AB412" s="3">
        <v>1</v>
      </c>
    </row>
    <row r="413" spans="1:31" ht="30.5" x14ac:dyDescent="0.35">
      <c r="A413" s="433">
        <v>191</v>
      </c>
      <c r="B413" s="1040" t="s">
        <v>159</v>
      </c>
      <c r="C413" s="1040"/>
      <c r="D413" s="2460" t="s">
        <v>3986</v>
      </c>
      <c r="E413" s="2069" t="s">
        <v>9445</v>
      </c>
      <c r="F413" s="92" t="s">
        <v>1490</v>
      </c>
      <c r="G413" s="92">
        <v>5</v>
      </c>
      <c r="H413" s="2349">
        <v>6</v>
      </c>
      <c r="I413" s="1150">
        <f t="shared" si="29"/>
        <v>1.5</v>
      </c>
      <c r="J413" s="702">
        <f t="shared" si="30"/>
        <v>1.5</v>
      </c>
      <c r="K413" s="622"/>
      <c r="L413" s="622"/>
      <c r="M413" s="622"/>
      <c r="N413" s="622"/>
      <c r="O413" s="622"/>
      <c r="P413" s="622"/>
      <c r="Q413" s="622"/>
      <c r="R413" s="2190">
        <v>1.5</v>
      </c>
      <c r="S413" s="106"/>
      <c r="T413" s="106"/>
      <c r="U413" s="106"/>
      <c r="V413" s="106"/>
      <c r="W413" s="105"/>
      <c r="X413" s="105"/>
      <c r="Y413" s="105"/>
      <c r="Z413" s="323"/>
      <c r="AB413" s="3">
        <v>1</v>
      </c>
    </row>
    <row r="414" spans="1:31" ht="45.5" x14ac:dyDescent="0.35">
      <c r="A414" s="439">
        <v>192</v>
      </c>
      <c r="B414" s="1004" t="s">
        <v>159</v>
      </c>
      <c r="C414" s="1004" t="s">
        <v>1656</v>
      </c>
      <c r="D414" s="2460" t="s">
        <v>3987</v>
      </c>
      <c r="E414" s="407" t="s">
        <v>9446</v>
      </c>
      <c r="F414" s="1834" t="s">
        <v>664</v>
      </c>
      <c r="G414" s="1834">
        <v>5</v>
      </c>
      <c r="H414" s="2349">
        <v>6</v>
      </c>
      <c r="I414" s="483">
        <f>J414+K414+L414</f>
        <v>0.25</v>
      </c>
      <c r="J414" s="297">
        <f>SUM(M414:R414)</f>
        <v>0.25</v>
      </c>
      <c r="K414" s="297"/>
      <c r="L414" s="297"/>
      <c r="M414" s="297"/>
      <c r="N414" s="486"/>
      <c r="O414" s="619"/>
      <c r="P414" s="969"/>
      <c r="Q414" s="932"/>
      <c r="R414" s="1615">
        <v>0.25</v>
      </c>
      <c r="S414" s="45"/>
      <c r="T414" s="233"/>
      <c r="U414" s="233"/>
      <c r="V414" s="233"/>
      <c r="W414" s="45"/>
      <c r="X414" s="233"/>
      <c r="Y414" s="45"/>
      <c r="Z414" s="309"/>
      <c r="AB414" s="3">
        <v>1</v>
      </c>
    </row>
    <row r="415" spans="1:31" ht="75.5" x14ac:dyDescent="0.35">
      <c r="A415" s="439">
        <v>193</v>
      </c>
      <c r="B415" s="1040" t="s">
        <v>159</v>
      </c>
      <c r="C415" s="1040"/>
      <c r="D415" s="2460" t="s">
        <v>3988</v>
      </c>
      <c r="E415" s="2069" t="s">
        <v>9666</v>
      </c>
      <c r="F415" s="1834"/>
      <c r="G415" s="1834" t="s">
        <v>191</v>
      </c>
      <c r="H415" s="2349" t="s">
        <v>191</v>
      </c>
      <c r="I415" s="1150">
        <f t="shared" si="29"/>
        <v>2</v>
      </c>
      <c r="J415" s="702">
        <f t="shared" si="30"/>
        <v>1.0350000000000001</v>
      </c>
      <c r="K415" s="622"/>
      <c r="L415" s="622">
        <f>SUM(L416:L417)</f>
        <v>0.96499999999999997</v>
      </c>
      <c r="M415" s="622"/>
      <c r="N415" s="622">
        <f>SUM(N416:N417)</f>
        <v>1.0350000000000001</v>
      </c>
      <c r="O415" s="622"/>
      <c r="P415" s="622"/>
      <c r="Q415" s="622"/>
      <c r="R415" s="2190"/>
      <c r="S415" s="106"/>
      <c r="T415" s="106"/>
      <c r="U415" s="106"/>
      <c r="V415" s="106"/>
      <c r="W415" s="105"/>
      <c r="X415" s="105"/>
      <c r="Y415" s="105"/>
      <c r="Z415" s="323"/>
      <c r="AB415" s="3">
        <v>1</v>
      </c>
    </row>
    <row r="416" spans="1:31" ht="46.5" x14ac:dyDescent="0.35">
      <c r="A416" s="439"/>
      <c r="B416" s="1040"/>
      <c r="C416" s="1040"/>
      <c r="D416" s="2460"/>
      <c r="E416" s="431" t="s">
        <v>10898</v>
      </c>
      <c r="F416" s="92">
        <v>5</v>
      </c>
      <c r="G416" s="92">
        <v>5</v>
      </c>
      <c r="H416" s="2349" t="s">
        <v>191</v>
      </c>
      <c r="I416" s="2189"/>
      <c r="J416" s="1918"/>
      <c r="K416" s="395"/>
      <c r="L416" s="395">
        <v>0.96499999999999997</v>
      </c>
      <c r="M416" s="395"/>
      <c r="N416" s="395"/>
      <c r="O416" s="622"/>
      <c r="P416" s="622"/>
      <c r="Q416" s="622"/>
      <c r="R416" s="2190"/>
      <c r="S416" s="106"/>
      <c r="T416" s="106"/>
      <c r="U416" s="106"/>
      <c r="V416" s="106"/>
      <c r="W416" s="105"/>
      <c r="X416" s="105"/>
      <c r="Y416" s="105"/>
      <c r="Z416" s="323"/>
    </row>
    <row r="417" spans="1:29" x14ac:dyDescent="0.35">
      <c r="A417" s="439"/>
      <c r="B417" s="1040"/>
      <c r="C417" s="1040"/>
      <c r="D417" s="2460"/>
      <c r="E417" s="431" t="s">
        <v>11203</v>
      </c>
      <c r="F417" s="92">
        <v>5</v>
      </c>
      <c r="G417" s="92">
        <v>5</v>
      </c>
      <c r="H417" s="2349">
        <v>6</v>
      </c>
      <c r="I417" s="2189"/>
      <c r="J417" s="1918"/>
      <c r="K417" s="395"/>
      <c r="L417" s="395"/>
      <c r="M417" s="395"/>
      <c r="N417" s="395">
        <f>2-0.965</f>
        <v>1.0350000000000001</v>
      </c>
      <c r="O417" s="622"/>
      <c r="P417" s="622"/>
      <c r="Q417" s="622"/>
      <c r="R417" s="2190"/>
      <c r="S417" s="106"/>
      <c r="T417" s="106"/>
      <c r="U417" s="106"/>
      <c r="V417" s="106"/>
      <c r="W417" s="105"/>
      <c r="X417" s="105"/>
      <c r="Y417" s="105"/>
      <c r="Z417" s="323"/>
    </row>
    <row r="418" spans="1:29" ht="35.25" customHeight="1" x14ac:dyDescent="0.35">
      <c r="A418" s="439"/>
      <c r="B418" s="1003" t="s">
        <v>160</v>
      </c>
      <c r="C418" s="1003"/>
      <c r="D418" s="440"/>
      <c r="E418" s="1596" t="s">
        <v>6761</v>
      </c>
      <c r="F418" s="1834"/>
      <c r="G418" s="1834"/>
      <c r="H418" s="2349"/>
      <c r="I418" s="483"/>
      <c r="J418" s="297"/>
      <c r="K418" s="297"/>
      <c r="L418" s="297"/>
      <c r="M418" s="297"/>
      <c r="N418" s="486"/>
      <c r="O418" s="619"/>
      <c r="P418" s="969"/>
      <c r="Q418" s="932"/>
      <c r="R418" s="1615"/>
      <c r="S418" s="45"/>
      <c r="T418" s="233"/>
      <c r="U418" s="233"/>
      <c r="V418" s="233"/>
      <c r="W418" s="45"/>
      <c r="X418" s="233"/>
      <c r="Y418" s="45"/>
      <c r="Z418" s="309"/>
    </row>
    <row r="419" spans="1:29" ht="45.5" x14ac:dyDescent="0.35">
      <c r="A419" s="433">
        <v>194</v>
      </c>
      <c r="B419" s="1003" t="s">
        <v>160</v>
      </c>
      <c r="C419" s="1003"/>
      <c r="D419" s="2460" t="s">
        <v>3989</v>
      </c>
      <c r="E419" s="407" t="s">
        <v>9667</v>
      </c>
      <c r="F419" s="1834"/>
      <c r="G419" s="1834" t="s">
        <v>191</v>
      </c>
      <c r="H419" s="2349" t="s">
        <v>191</v>
      </c>
      <c r="I419" s="483">
        <f>J419+K419+L419</f>
        <v>5.3230000000000004</v>
      </c>
      <c r="J419" s="297">
        <f>SUM(M419:R419)</f>
        <v>5.3230000000000004</v>
      </c>
      <c r="K419" s="297"/>
      <c r="L419" s="297"/>
      <c r="M419" s="297"/>
      <c r="N419" s="486">
        <f>SUM(N420:N423)</f>
        <v>0.83100000000000041</v>
      </c>
      <c r="O419" s="619"/>
      <c r="P419" s="969"/>
      <c r="Q419" s="932">
        <f>SUM(Q420:Q423)</f>
        <v>4.07</v>
      </c>
      <c r="R419" s="1615">
        <f>SUM(R420:R423)</f>
        <v>0.42199999999999971</v>
      </c>
      <c r="S419" s="45"/>
      <c r="T419" s="233"/>
      <c r="U419" s="233"/>
      <c r="V419" s="233"/>
      <c r="W419" s="1881">
        <v>6</v>
      </c>
      <c r="X419" s="1962">
        <v>66.099999999999994</v>
      </c>
      <c r="Y419" s="45"/>
      <c r="Z419" s="309"/>
      <c r="AB419" s="3">
        <v>1</v>
      </c>
    </row>
    <row r="420" spans="1:29" x14ac:dyDescent="0.35">
      <c r="A420" s="2044"/>
      <c r="B420" s="1003" t="s">
        <v>160</v>
      </c>
      <c r="C420" s="1003"/>
      <c r="D420" s="436"/>
      <c r="E420" s="840" t="s">
        <v>2409</v>
      </c>
      <c r="F420" s="1834">
        <v>5</v>
      </c>
      <c r="G420" s="1834">
        <v>5</v>
      </c>
      <c r="H420" s="1834">
        <v>6</v>
      </c>
      <c r="I420" s="1008"/>
      <c r="J420" s="300"/>
      <c r="K420" s="300"/>
      <c r="L420" s="300"/>
      <c r="M420" s="300"/>
      <c r="N420" s="487"/>
      <c r="O420" s="621"/>
      <c r="P420" s="970"/>
      <c r="Q420" s="933">
        <v>2.1</v>
      </c>
      <c r="R420" s="1616"/>
      <c r="S420" s="1641"/>
      <c r="T420" s="1642"/>
      <c r="U420" s="1642"/>
      <c r="V420" s="1642"/>
      <c r="W420" s="1641"/>
      <c r="X420" s="1642"/>
      <c r="Y420" s="1641"/>
      <c r="Z420" s="1643"/>
    </row>
    <row r="421" spans="1:29" x14ac:dyDescent="0.35">
      <c r="A421" s="2045"/>
      <c r="B421" s="1003" t="s">
        <v>160</v>
      </c>
      <c r="C421" s="1003"/>
      <c r="D421" s="437"/>
      <c r="E421" s="841" t="s">
        <v>11336</v>
      </c>
      <c r="F421" s="1834">
        <v>5</v>
      </c>
      <c r="G421" s="1834">
        <v>5</v>
      </c>
      <c r="H421" s="2349">
        <v>6</v>
      </c>
      <c r="I421" s="1012"/>
      <c r="J421" s="301"/>
      <c r="K421" s="301"/>
      <c r="L421" s="301"/>
      <c r="M421" s="301"/>
      <c r="N421" s="487"/>
      <c r="O421" s="621"/>
      <c r="P421" s="970"/>
      <c r="Q421" s="933"/>
      <c r="R421" s="1616">
        <f>2.522-2.1</f>
        <v>0.42199999999999971</v>
      </c>
      <c r="S421" s="1644"/>
      <c r="T421" s="1645"/>
      <c r="U421" s="1645"/>
      <c r="V421" s="1645"/>
      <c r="W421" s="1644"/>
      <c r="X421" s="1645"/>
      <c r="Y421" s="1644"/>
      <c r="Z421" s="1646"/>
      <c r="AC421" s="3" t="s">
        <v>10865</v>
      </c>
    </row>
    <row r="422" spans="1:29" x14ac:dyDescent="0.35">
      <c r="A422" s="2044"/>
      <c r="B422" s="1003" t="s">
        <v>160</v>
      </c>
      <c r="C422" s="1003"/>
      <c r="D422" s="436"/>
      <c r="E422" s="840" t="s">
        <v>11337</v>
      </c>
      <c r="F422" s="1834">
        <v>5</v>
      </c>
      <c r="G422" s="1834">
        <v>5</v>
      </c>
      <c r="H422" s="1834">
        <v>6</v>
      </c>
      <c r="I422" s="1008"/>
      <c r="J422" s="300"/>
      <c r="K422" s="300"/>
      <c r="L422" s="300"/>
      <c r="M422" s="300"/>
      <c r="N422" s="487"/>
      <c r="O422" s="621"/>
      <c r="P422" s="970"/>
      <c r="Q422" s="933">
        <f>4.492-2.522</f>
        <v>1.9700000000000002</v>
      </c>
      <c r="R422" s="1616"/>
      <c r="S422" s="1641"/>
      <c r="T422" s="1642"/>
      <c r="U422" s="1642"/>
      <c r="V422" s="1642"/>
      <c r="W422" s="1641"/>
      <c r="X422" s="1642"/>
      <c r="Y422" s="1641"/>
      <c r="Z422" s="1643"/>
    </row>
    <row r="423" spans="1:29" x14ac:dyDescent="0.35">
      <c r="A423" s="433"/>
      <c r="B423" s="1003" t="s">
        <v>160</v>
      </c>
      <c r="C423" s="1003"/>
      <c r="D423" s="435"/>
      <c r="E423" s="430" t="s">
        <v>2515</v>
      </c>
      <c r="F423" s="1834">
        <v>5</v>
      </c>
      <c r="G423" s="1834">
        <v>5</v>
      </c>
      <c r="H423" s="2349">
        <v>6</v>
      </c>
      <c r="I423" s="499"/>
      <c r="J423" s="298"/>
      <c r="K423" s="298"/>
      <c r="L423" s="298"/>
      <c r="M423" s="298"/>
      <c r="N423" s="487">
        <f>5.323-4.492</f>
        <v>0.83100000000000041</v>
      </c>
      <c r="O423" s="621"/>
      <c r="P423" s="970"/>
      <c r="Q423" s="933"/>
      <c r="R423" s="1616"/>
      <c r="S423" s="45"/>
      <c r="T423" s="233"/>
      <c r="U423" s="233"/>
      <c r="V423" s="233"/>
      <c r="W423" s="45"/>
      <c r="X423" s="233"/>
      <c r="Y423" s="45"/>
      <c r="Z423" s="309"/>
    </row>
    <row r="424" spans="1:29" s="19" customFormat="1" ht="75.5" x14ac:dyDescent="0.35">
      <c r="A424" s="2586">
        <v>195</v>
      </c>
      <c r="B424" s="1003" t="s">
        <v>160</v>
      </c>
      <c r="C424" s="1003" t="s">
        <v>1656</v>
      </c>
      <c r="D424" s="2460" t="s">
        <v>3990</v>
      </c>
      <c r="E424" s="2069" t="s">
        <v>9668</v>
      </c>
      <c r="F424" s="1834" t="s">
        <v>664</v>
      </c>
      <c r="G424" s="1834">
        <v>5</v>
      </c>
      <c r="H424" s="2349">
        <v>6</v>
      </c>
      <c r="I424" s="297">
        <f>J424+K424+L424</f>
        <v>0.4</v>
      </c>
      <c r="J424" s="297">
        <f>SUM(M424:R424)</f>
        <v>0.4</v>
      </c>
      <c r="K424" s="298"/>
      <c r="L424" s="298"/>
      <c r="M424" s="298"/>
      <c r="N424" s="487"/>
      <c r="O424" s="621"/>
      <c r="P424" s="970"/>
      <c r="Q424" s="933"/>
      <c r="R424" s="1498">
        <v>0.4</v>
      </c>
      <c r="S424" s="45"/>
      <c r="T424" s="233"/>
      <c r="U424" s="233"/>
      <c r="V424" s="233"/>
      <c r="W424" s="45"/>
      <c r="X424" s="233"/>
      <c r="Y424" s="45"/>
      <c r="Z424" s="309"/>
      <c r="AB424" s="3">
        <v>1</v>
      </c>
    </row>
    <row r="425" spans="1:29" ht="45.5" x14ac:dyDescent="0.35">
      <c r="A425" s="433"/>
      <c r="B425" s="1004" t="s">
        <v>161</v>
      </c>
      <c r="C425" s="1004"/>
      <c r="D425" s="435"/>
      <c r="E425" s="1596" t="s">
        <v>6762</v>
      </c>
      <c r="F425" s="1834"/>
      <c r="G425" s="1834"/>
      <c r="H425" s="2349"/>
      <c r="I425" s="499"/>
      <c r="J425" s="298"/>
      <c r="K425" s="298"/>
      <c r="L425" s="298"/>
      <c r="M425" s="298"/>
      <c r="N425" s="487"/>
      <c r="O425" s="621"/>
      <c r="P425" s="970"/>
      <c r="Q425" s="933"/>
      <c r="R425" s="1616"/>
      <c r="S425" s="45"/>
      <c r="T425" s="233"/>
      <c r="U425" s="233"/>
      <c r="V425" s="233"/>
      <c r="W425" s="45"/>
      <c r="X425" s="233"/>
      <c r="Y425" s="45"/>
      <c r="Z425" s="309"/>
    </row>
    <row r="426" spans="1:29" ht="60.5" x14ac:dyDescent="0.35">
      <c r="A426" s="439">
        <v>196</v>
      </c>
      <c r="B426" s="1004" t="s">
        <v>161</v>
      </c>
      <c r="C426" s="1006" t="s">
        <v>1655</v>
      </c>
      <c r="D426" s="2460" t="s">
        <v>3991</v>
      </c>
      <c r="E426" s="407" t="s">
        <v>7301</v>
      </c>
      <c r="F426" s="1834" t="s">
        <v>1490</v>
      </c>
      <c r="G426" s="1834">
        <v>5</v>
      </c>
      <c r="H426" s="2349">
        <v>6</v>
      </c>
      <c r="I426" s="483">
        <f>J426+K426+L426</f>
        <v>0.6</v>
      </c>
      <c r="J426" s="297">
        <f>SUM(M426:R426)</f>
        <v>0.6</v>
      </c>
      <c r="K426" s="297"/>
      <c r="L426" s="297"/>
      <c r="M426" s="297"/>
      <c r="N426" s="486"/>
      <c r="O426" s="619"/>
      <c r="P426" s="969"/>
      <c r="Q426" s="932"/>
      <c r="R426" s="1615">
        <v>0.6</v>
      </c>
      <c r="S426" s="45"/>
      <c r="T426" s="233"/>
      <c r="U426" s="233"/>
      <c r="V426" s="233"/>
      <c r="W426" s="45"/>
      <c r="X426" s="233"/>
      <c r="Y426" s="45"/>
      <c r="Z426" s="309"/>
      <c r="AB426" s="3">
        <v>1</v>
      </c>
    </row>
    <row r="427" spans="1:29" ht="75.5" x14ac:dyDescent="0.35">
      <c r="A427" s="439">
        <v>197</v>
      </c>
      <c r="B427" s="1004" t="s">
        <v>161</v>
      </c>
      <c r="C427" s="1006" t="s">
        <v>1655</v>
      </c>
      <c r="D427" s="2460" t="s">
        <v>3992</v>
      </c>
      <c r="E427" s="407" t="s">
        <v>7302</v>
      </c>
      <c r="F427" s="1834" t="s">
        <v>1490</v>
      </c>
      <c r="G427" s="1834">
        <v>5</v>
      </c>
      <c r="H427" s="2349">
        <v>6</v>
      </c>
      <c r="I427" s="483">
        <f>J427+K427+L427</f>
        <v>1.2</v>
      </c>
      <c r="J427" s="297">
        <f>SUM(M427:R427)</f>
        <v>1.2</v>
      </c>
      <c r="K427" s="297"/>
      <c r="L427" s="297"/>
      <c r="M427" s="297"/>
      <c r="N427" s="486"/>
      <c r="O427" s="619"/>
      <c r="P427" s="969"/>
      <c r="Q427" s="932"/>
      <c r="R427" s="1615">
        <v>1.2</v>
      </c>
      <c r="S427" s="45"/>
      <c r="T427" s="233"/>
      <c r="U427" s="233"/>
      <c r="V427" s="233"/>
      <c r="W427" s="45"/>
      <c r="X427" s="233"/>
      <c r="Y427" s="45"/>
      <c r="Z427" s="309"/>
      <c r="AB427" s="3">
        <v>1</v>
      </c>
    </row>
    <row r="428" spans="1:29" ht="60.5" x14ac:dyDescent="0.35">
      <c r="A428" s="439">
        <v>198</v>
      </c>
      <c r="B428" s="1004" t="s">
        <v>161</v>
      </c>
      <c r="C428" s="1006" t="s">
        <v>1655</v>
      </c>
      <c r="D428" s="2460" t="s">
        <v>3993</v>
      </c>
      <c r="E428" s="407" t="s">
        <v>7303</v>
      </c>
      <c r="F428" s="1834" t="s">
        <v>1490</v>
      </c>
      <c r="G428" s="1834">
        <v>5</v>
      </c>
      <c r="H428" s="2349">
        <v>6</v>
      </c>
      <c r="I428" s="483">
        <f>J428+K428+L428</f>
        <v>0.35</v>
      </c>
      <c r="J428" s="297">
        <f>SUM(M428:R428)</f>
        <v>0.35</v>
      </c>
      <c r="K428" s="297"/>
      <c r="L428" s="297"/>
      <c r="M428" s="297"/>
      <c r="N428" s="486"/>
      <c r="O428" s="619"/>
      <c r="P428" s="969"/>
      <c r="Q428" s="932"/>
      <c r="R428" s="1615">
        <v>0.35</v>
      </c>
      <c r="S428" s="45"/>
      <c r="T428" s="233"/>
      <c r="U428" s="233"/>
      <c r="V428" s="233"/>
      <c r="W428" s="45"/>
      <c r="X428" s="233"/>
      <c r="Y428" s="45"/>
      <c r="Z428" s="309"/>
      <c r="AB428" s="3">
        <v>1</v>
      </c>
    </row>
    <row r="429" spans="1:29" ht="60.5" x14ac:dyDescent="0.35">
      <c r="A429" s="439">
        <v>199</v>
      </c>
      <c r="B429" s="1004" t="s">
        <v>161</v>
      </c>
      <c r="C429" s="1006" t="s">
        <v>1655</v>
      </c>
      <c r="D429" s="2460" t="s">
        <v>3994</v>
      </c>
      <c r="E429" s="407" t="s">
        <v>7304</v>
      </c>
      <c r="F429" s="1834" t="s">
        <v>1490</v>
      </c>
      <c r="G429" s="1834">
        <v>5</v>
      </c>
      <c r="H429" s="2349">
        <v>6</v>
      </c>
      <c r="I429" s="483">
        <f>J429+K429+L429</f>
        <v>0.6</v>
      </c>
      <c r="J429" s="297">
        <f>SUM(M429:R429)</f>
        <v>0.6</v>
      </c>
      <c r="K429" s="297"/>
      <c r="L429" s="297"/>
      <c r="M429" s="297"/>
      <c r="N429" s="486"/>
      <c r="O429" s="619"/>
      <c r="P429" s="969"/>
      <c r="Q429" s="932"/>
      <c r="R429" s="1615">
        <v>0.6</v>
      </c>
      <c r="S429" s="45"/>
      <c r="T429" s="233"/>
      <c r="U429" s="233"/>
      <c r="V429" s="233"/>
      <c r="W429" s="45"/>
      <c r="X429" s="233"/>
      <c r="Y429" s="45"/>
      <c r="Z429" s="309"/>
      <c r="AB429" s="3">
        <v>1</v>
      </c>
    </row>
    <row r="430" spans="1:29" ht="45.5" x14ac:dyDescent="0.35">
      <c r="A430" s="439"/>
      <c r="B430" s="1004"/>
      <c r="C430" s="1004"/>
      <c r="D430" s="440"/>
      <c r="E430" s="1596" t="s">
        <v>6763</v>
      </c>
      <c r="F430" s="1834"/>
      <c r="G430" s="1834"/>
      <c r="H430" s="2349"/>
      <c r="I430" s="483"/>
      <c r="J430" s="297"/>
      <c r="K430" s="297"/>
      <c r="L430" s="297"/>
      <c r="M430" s="297"/>
      <c r="N430" s="486"/>
      <c r="O430" s="619"/>
      <c r="P430" s="969"/>
      <c r="Q430" s="932"/>
      <c r="R430" s="1615"/>
      <c r="S430" s="45"/>
      <c r="T430" s="233"/>
      <c r="U430" s="233"/>
      <c r="V430" s="233"/>
      <c r="W430" s="45"/>
      <c r="X430" s="233"/>
      <c r="Y430" s="45"/>
      <c r="Z430" s="309"/>
    </row>
    <row r="431" spans="1:29" ht="45.5" x14ac:dyDescent="0.35">
      <c r="A431" s="433">
        <v>200</v>
      </c>
      <c r="B431" s="1003" t="s">
        <v>162</v>
      </c>
      <c r="C431" s="1003"/>
      <c r="D431" s="2460" t="s">
        <v>3995</v>
      </c>
      <c r="E431" s="407" t="s">
        <v>7483</v>
      </c>
      <c r="F431" s="1834">
        <v>5</v>
      </c>
      <c r="G431" s="1834">
        <v>5</v>
      </c>
      <c r="H431" s="2349">
        <v>6</v>
      </c>
      <c r="I431" s="483">
        <f>J431+K431+L431</f>
        <v>0.94</v>
      </c>
      <c r="J431" s="297">
        <f>SUM(M431:R431)</f>
        <v>0.94</v>
      </c>
      <c r="K431" s="297"/>
      <c r="L431" s="297"/>
      <c r="M431" s="297"/>
      <c r="N431" s="486">
        <v>0.94</v>
      </c>
      <c r="O431" s="619"/>
      <c r="P431" s="969"/>
      <c r="Q431" s="932"/>
      <c r="R431" s="1615"/>
      <c r="S431" s="45"/>
      <c r="T431" s="233"/>
      <c r="U431" s="233"/>
      <c r="V431" s="233"/>
      <c r="W431" s="2445">
        <v>2</v>
      </c>
      <c r="X431" s="2446">
        <v>22.3</v>
      </c>
      <c r="Y431" s="45"/>
      <c r="Z431" s="309"/>
      <c r="AB431" s="3">
        <v>1</v>
      </c>
    </row>
    <row r="432" spans="1:29" ht="60.5" x14ac:dyDescent="0.35">
      <c r="A432" s="433">
        <v>201</v>
      </c>
      <c r="B432" s="1003" t="s">
        <v>162</v>
      </c>
      <c r="C432" s="1003"/>
      <c r="D432" s="2460" t="s">
        <v>3887</v>
      </c>
      <c r="E432" s="407" t="s">
        <v>7484</v>
      </c>
      <c r="F432" s="1834">
        <v>5</v>
      </c>
      <c r="G432" s="1834">
        <v>5</v>
      </c>
      <c r="H432" s="2349">
        <v>6</v>
      </c>
      <c r="I432" s="483">
        <f>J432+K432+L432</f>
        <v>1.06</v>
      </c>
      <c r="J432" s="297">
        <f>SUM(M432:R432)</f>
        <v>1.06</v>
      </c>
      <c r="K432" s="297"/>
      <c r="L432" s="297"/>
      <c r="M432" s="297"/>
      <c r="N432" s="486">
        <v>1.06</v>
      </c>
      <c r="O432" s="619"/>
      <c r="P432" s="969"/>
      <c r="Q432" s="932"/>
      <c r="R432" s="1615"/>
      <c r="S432" s="45"/>
      <c r="T432" s="233"/>
      <c r="U432" s="233"/>
      <c r="V432" s="233"/>
      <c r="W432" s="2445">
        <v>3</v>
      </c>
      <c r="X432" s="2446">
        <v>35.4</v>
      </c>
      <c r="Y432" s="45"/>
      <c r="Z432" s="309"/>
      <c r="AB432" s="3">
        <v>1</v>
      </c>
    </row>
    <row r="433" spans="1:28" s="16" customFormat="1" ht="60.5" x14ac:dyDescent="0.35">
      <c r="A433" s="433">
        <v>202</v>
      </c>
      <c r="B433" s="1003" t="s">
        <v>162</v>
      </c>
      <c r="C433" s="1003" t="s">
        <v>1655</v>
      </c>
      <c r="D433" s="2460" t="s">
        <v>3996</v>
      </c>
      <c r="E433" s="2069" t="s">
        <v>7315</v>
      </c>
      <c r="F433" s="1834" t="s">
        <v>664</v>
      </c>
      <c r="G433" s="1834">
        <v>5</v>
      </c>
      <c r="H433" s="2349">
        <v>6</v>
      </c>
      <c r="I433" s="297">
        <f>J433+K433+L433</f>
        <v>7.0000000000000007E-2</v>
      </c>
      <c r="J433" s="297">
        <f>SUM(M433:R433)</f>
        <v>7.0000000000000007E-2</v>
      </c>
      <c r="K433" s="298"/>
      <c r="L433" s="298"/>
      <c r="M433" s="298"/>
      <c r="N433" s="487"/>
      <c r="O433" s="621"/>
      <c r="P433" s="970"/>
      <c r="Q433" s="933"/>
      <c r="R433" s="1498">
        <v>7.0000000000000007E-2</v>
      </c>
      <c r="S433" s="45"/>
      <c r="T433" s="233"/>
      <c r="U433" s="233"/>
      <c r="V433" s="233"/>
      <c r="W433" s="45"/>
      <c r="X433" s="233"/>
      <c r="Y433" s="45"/>
      <c r="Z433" s="309"/>
      <c r="AB433" s="3">
        <v>1</v>
      </c>
    </row>
    <row r="434" spans="1:28" ht="45.5" x14ac:dyDescent="0.35">
      <c r="A434" s="439"/>
      <c r="B434" s="1003" t="s">
        <v>162</v>
      </c>
      <c r="C434" s="1003"/>
      <c r="D434" s="440"/>
      <c r="E434" s="1596" t="s">
        <v>846</v>
      </c>
      <c r="F434" s="1834"/>
      <c r="G434" s="1834"/>
      <c r="H434" s="2349"/>
      <c r="I434" s="483"/>
      <c r="J434" s="297"/>
      <c r="K434" s="297"/>
      <c r="L434" s="297"/>
      <c r="M434" s="297"/>
      <c r="N434" s="486"/>
      <c r="O434" s="619"/>
      <c r="P434" s="969"/>
      <c r="Q434" s="932"/>
      <c r="R434" s="1615"/>
      <c r="S434" s="45"/>
      <c r="T434" s="233"/>
      <c r="U434" s="233"/>
      <c r="V434" s="233"/>
      <c r="W434" s="45"/>
      <c r="X434" s="233"/>
      <c r="Y434" s="45"/>
      <c r="Z434" s="309"/>
    </row>
    <row r="435" spans="1:28" ht="60.5" x14ac:dyDescent="0.35">
      <c r="A435" s="433">
        <v>203</v>
      </c>
      <c r="B435" s="1003" t="s">
        <v>162</v>
      </c>
      <c r="C435" s="1003"/>
      <c r="D435" s="2460" t="s">
        <v>3997</v>
      </c>
      <c r="E435" s="407" t="s">
        <v>7485</v>
      </c>
      <c r="F435" s="1834">
        <v>4</v>
      </c>
      <c r="G435" s="1834">
        <v>4</v>
      </c>
      <c r="H435" s="2349">
        <v>6</v>
      </c>
      <c r="I435" s="483">
        <f>J435+K435+L435</f>
        <v>5.5149999999999997</v>
      </c>
      <c r="J435" s="297">
        <f>SUM(M435:R435)</f>
        <v>5.5149999999999997</v>
      </c>
      <c r="K435" s="297"/>
      <c r="L435" s="297"/>
      <c r="M435" s="297"/>
      <c r="N435" s="486">
        <v>5.5149999999999997</v>
      </c>
      <c r="O435" s="619"/>
      <c r="P435" s="969"/>
      <c r="Q435" s="932"/>
      <c r="R435" s="1615"/>
      <c r="S435" s="45"/>
      <c r="T435" s="233"/>
      <c r="U435" s="233"/>
      <c r="V435" s="233"/>
      <c r="W435" s="45">
        <v>7</v>
      </c>
      <c r="X435" s="1962">
        <v>88.4</v>
      </c>
      <c r="Y435" s="45">
        <v>2</v>
      </c>
      <c r="Z435" s="309">
        <v>21.1</v>
      </c>
      <c r="AB435" s="3">
        <v>1</v>
      </c>
    </row>
    <row r="436" spans="1:28" ht="60.5" x14ac:dyDescent="0.35">
      <c r="A436" s="433">
        <v>204</v>
      </c>
      <c r="B436" s="1003" t="s">
        <v>162</v>
      </c>
      <c r="C436" s="1003"/>
      <c r="D436" s="2460" t="s">
        <v>3998</v>
      </c>
      <c r="E436" s="407" t="s">
        <v>7486</v>
      </c>
      <c r="F436" s="1834" t="s">
        <v>1490</v>
      </c>
      <c r="G436" s="1834">
        <v>5</v>
      </c>
      <c r="H436" s="2349">
        <v>6</v>
      </c>
      <c r="I436" s="483">
        <f>J436+K436+L436</f>
        <v>0.94</v>
      </c>
      <c r="J436" s="297">
        <f>SUM(M436:R436)</f>
        <v>0.94</v>
      </c>
      <c r="K436" s="297"/>
      <c r="L436" s="297"/>
      <c r="M436" s="297"/>
      <c r="N436" s="486"/>
      <c r="O436" s="619"/>
      <c r="P436" s="969"/>
      <c r="Q436" s="932"/>
      <c r="R436" s="1615">
        <v>0.94</v>
      </c>
      <c r="S436" s="45"/>
      <c r="T436" s="233"/>
      <c r="U436" s="233"/>
      <c r="V436" s="233"/>
      <c r="W436" s="45">
        <v>1</v>
      </c>
      <c r="X436" s="233">
        <v>10</v>
      </c>
      <c r="Y436" s="45"/>
      <c r="Z436" s="309"/>
      <c r="AB436" s="3">
        <v>1</v>
      </c>
    </row>
    <row r="437" spans="1:28" ht="45.5" x14ac:dyDescent="0.35">
      <c r="A437" s="433">
        <v>205</v>
      </c>
      <c r="B437" s="1003" t="s">
        <v>162</v>
      </c>
      <c r="C437" s="1003"/>
      <c r="D437" s="2460" t="s">
        <v>3999</v>
      </c>
      <c r="E437" s="407" t="s">
        <v>7487</v>
      </c>
      <c r="F437" s="1834" t="s">
        <v>1490</v>
      </c>
      <c r="G437" s="1834">
        <v>5</v>
      </c>
      <c r="H437" s="2349">
        <v>6</v>
      </c>
      <c r="I437" s="483">
        <f>J437+K437+L437</f>
        <v>0.27</v>
      </c>
      <c r="J437" s="297">
        <f>SUM(M437:R437)</f>
        <v>0.27</v>
      </c>
      <c r="K437" s="297"/>
      <c r="L437" s="297"/>
      <c r="M437" s="297"/>
      <c r="N437" s="486"/>
      <c r="O437" s="619"/>
      <c r="P437" s="969"/>
      <c r="Q437" s="932"/>
      <c r="R437" s="1615">
        <v>0.27</v>
      </c>
      <c r="S437" s="45"/>
      <c r="T437" s="233"/>
      <c r="U437" s="233"/>
      <c r="V437" s="233"/>
      <c r="W437" s="45"/>
      <c r="X437" s="233"/>
      <c r="Y437" s="45"/>
      <c r="Z437" s="309"/>
      <c r="AB437" s="3">
        <v>1</v>
      </c>
    </row>
    <row r="438" spans="1:28" ht="60.5" x14ac:dyDescent="0.35">
      <c r="A438" s="433">
        <v>206</v>
      </c>
      <c r="B438" s="1004" t="s">
        <v>162</v>
      </c>
      <c r="C438" s="1006" t="s">
        <v>1655</v>
      </c>
      <c r="D438" s="2460" t="s">
        <v>4000</v>
      </c>
      <c r="E438" s="407" t="s">
        <v>7316</v>
      </c>
      <c r="F438" s="1834" t="s">
        <v>1490</v>
      </c>
      <c r="G438" s="1834">
        <v>5</v>
      </c>
      <c r="H438" s="2349">
        <v>6</v>
      </c>
      <c r="I438" s="483">
        <f>J438+K438+L438</f>
        <v>0.7</v>
      </c>
      <c r="J438" s="297">
        <f>SUM(M438:R438)</f>
        <v>0.7</v>
      </c>
      <c r="K438" s="297"/>
      <c r="L438" s="297"/>
      <c r="M438" s="297"/>
      <c r="N438" s="486"/>
      <c r="O438" s="619"/>
      <c r="P438" s="969"/>
      <c r="Q438" s="932"/>
      <c r="R438" s="1615">
        <v>0.7</v>
      </c>
      <c r="S438" s="45"/>
      <c r="T438" s="233"/>
      <c r="U438" s="233"/>
      <c r="V438" s="233"/>
      <c r="W438" s="45"/>
      <c r="X438" s="233"/>
      <c r="Y438" s="45"/>
      <c r="Z438" s="309"/>
      <c r="AB438" s="3">
        <v>1</v>
      </c>
    </row>
    <row r="439" spans="1:28" ht="30.5" x14ac:dyDescent="0.35">
      <c r="A439" s="439"/>
      <c r="B439" s="1003" t="s">
        <v>163</v>
      </c>
      <c r="C439" s="1003"/>
      <c r="D439" s="440"/>
      <c r="E439" s="1596" t="s">
        <v>1271</v>
      </c>
      <c r="F439" s="1834"/>
      <c r="G439" s="1834"/>
      <c r="H439" s="2349"/>
      <c r="I439" s="483"/>
      <c r="J439" s="297"/>
      <c r="K439" s="297"/>
      <c r="L439" s="297"/>
      <c r="M439" s="297"/>
      <c r="N439" s="486"/>
      <c r="O439" s="619"/>
      <c r="P439" s="969"/>
      <c r="Q439" s="932"/>
      <c r="R439" s="1615"/>
      <c r="S439" s="45"/>
      <c r="T439" s="233"/>
      <c r="U439" s="233"/>
      <c r="V439" s="233"/>
      <c r="W439" s="45"/>
      <c r="X439" s="233"/>
      <c r="Y439" s="45"/>
      <c r="Z439" s="309"/>
    </row>
    <row r="440" spans="1:28" ht="30.5" x14ac:dyDescent="0.35">
      <c r="A440" s="433">
        <v>207</v>
      </c>
      <c r="B440" s="1003" t="s">
        <v>163</v>
      </c>
      <c r="C440" s="1003"/>
      <c r="D440" s="2460" t="s">
        <v>4001</v>
      </c>
      <c r="E440" s="407" t="s">
        <v>7488</v>
      </c>
      <c r="F440" s="1834">
        <v>4</v>
      </c>
      <c r="G440" s="1834">
        <v>4</v>
      </c>
      <c r="H440" s="2349">
        <v>6</v>
      </c>
      <c r="I440" s="483">
        <f>J440+K440+L440</f>
        <v>1.2849999999999999</v>
      </c>
      <c r="J440" s="297">
        <f>SUM(M440:R440)</f>
        <v>1.2849999999999999</v>
      </c>
      <c r="K440" s="297"/>
      <c r="L440" s="297"/>
      <c r="M440" s="297"/>
      <c r="N440" s="486">
        <v>1.2849999999999999</v>
      </c>
      <c r="O440" s="619"/>
      <c r="P440" s="969"/>
      <c r="Q440" s="932"/>
      <c r="R440" s="1615"/>
      <c r="S440" s="45"/>
      <c r="T440" s="233"/>
      <c r="U440" s="233"/>
      <c r="V440" s="233"/>
      <c r="W440" s="45">
        <v>4</v>
      </c>
      <c r="X440" s="233">
        <v>55</v>
      </c>
      <c r="Y440" s="57">
        <v>2</v>
      </c>
      <c r="Z440" s="309">
        <v>24.6</v>
      </c>
      <c r="AB440" s="3">
        <v>1</v>
      </c>
    </row>
    <row r="441" spans="1:28" ht="30.5" x14ac:dyDescent="0.35">
      <c r="A441" s="433">
        <v>208</v>
      </c>
      <c r="B441" s="1003" t="s">
        <v>163</v>
      </c>
      <c r="C441" s="1003"/>
      <c r="D441" s="2460" t="s">
        <v>4002</v>
      </c>
      <c r="E441" s="407" t="s">
        <v>7489</v>
      </c>
      <c r="F441" s="1834">
        <v>5</v>
      </c>
      <c r="G441" s="1834">
        <v>5</v>
      </c>
      <c r="H441" s="2349">
        <v>6</v>
      </c>
      <c r="I441" s="483">
        <f>J441+K441+L441</f>
        <v>1.454</v>
      </c>
      <c r="J441" s="297">
        <f>SUM(M441:R441)</f>
        <v>1.454</v>
      </c>
      <c r="K441" s="297"/>
      <c r="L441" s="297"/>
      <c r="M441" s="297"/>
      <c r="N441" s="486">
        <v>1.454</v>
      </c>
      <c r="O441" s="619"/>
      <c r="P441" s="969"/>
      <c r="Q441" s="932"/>
      <c r="R441" s="1615"/>
      <c r="S441" s="45"/>
      <c r="T441" s="233"/>
      <c r="U441" s="233"/>
      <c r="V441" s="233"/>
      <c r="W441" s="45">
        <v>8</v>
      </c>
      <c r="X441" s="233">
        <v>70.599999999999994</v>
      </c>
      <c r="Y441" s="45"/>
      <c r="Z441" s="309"/>
      <c r="AB441" s="3">
        <v>1</v>
      </c>
    </row>
    <row r="442" spans="1:28" ht="30.5" x14ac:dyDescent="0.35">
      <c r="A442" s="433">
        <v>209</v>
      </c>
      <c r="B442" s="1004" t="s">
        <v>163</v>
      </c>
      <c r="C442" s="1004" t="s">
        <v>1656</v>
      </c>
      <c r="D442" s="2460" t="s">
        <v>4003</v>
      </c>
      <c r="E442" s="407" t="s">
        <v>8204</v>
      </c>
      <c r="F442" s="1834" t="s">
        <v>664</v>
      </c>
      <c r="G442" s="1834">
        <v>5</v>
      </c>
      <c r="H442" s="2349">
        <v>6</v>
      </c>
      <c r="I442" s="483">
        <f>J442+K442+L442</f>
        <v>0.3</v>
      </c>
      <c r="J442" s="297">
        <f>SUM(M442:R442)</f>
        <v>0.3</v>
      </c>
      <c r="K442" s="297"/>
      <c r="L442" s="297"/>
      <c r="M442" s="297"/>
      <c r="N442" s="486"/>
      <c r="O442" s="619"/>
      <c r="P442" s="969"/>
      <c r="Q442" s="932"/>
      <c r="R442" s="1615">
        <v>0.3</v>
      </c>
      <c r="S442" s="45"/>
      <c r="T442" s="233"/>
      <c r="U442" s="233"/>
      <c r="V442" s="233"/>
      <c r="W442" s="45"/>
      <c r="X442" s="233"/>
      <c r="Y442" s="45"/>
      <c r="Z442" s="309"/>
      <c r="AB442" s="3">
        <v>1</v>
      </c>
    </row>
    <row r="443" spans="1:28" ht="30.5" x14ac:dyDescent="0.35">
      <c r="A443" s="433">
        <v>210</v>
      </c>
      <c r="B443" s="1004" t="s">
        <v>163</v>
      </c>
      <c r="C443" s="1004" t="s">
        <v>1656</v>
      </c>
      <c r="D443" s="2460" t="s">
        <v>4004</v>
      </c>
      <c r="E443" s="407" t="s">
        <v>8205</v>
      </c>
      <c r="F443" s="1834" t="s">
        <v>1490</v>
      </c>
      <c r="G443" s="1834">
        <v>5</v>
      </c>
      <c r="H443" s="2349">
        <v>6</v>
      </c>
      <c r="I443" s="483">
        <f>J443+K443+L443</f>
        <v>0.6</v>
      </c>
      <c r="J443" s="297">
        <f>SUM(M443:R443)</f>
        <v>0.6</v>
      </c>
      <c r="K443" s="297"/>
      <c r="L443" s="297"/>
      <c r="M443" s="297"/>
      <c r="N443" s="486"/>
      <c r="O443" s="619"/>
      <c r="P443" s="969"/>
      <c r="Q443" s="932"/>
      <c r="R443" s="1615">
        <v>0.6</v>
      </c>
      <c r="S443" s="45"/>
      <c r="T443" s="233"/>
      <c r="U443" s="233"/>
      <c r="V443" s="233"/>
      <c r="W443" s="45"/>
      <c r="X443" s="233"/>
      <c r="Y443" s="45"/>
      <c r="Z443" s="309"/>
      <c r="AB443" s="3">
        <v>1</v>
      </c>
    </row>
    <row r="444" spans="1:28" ht="60.5" x14ac:dyDescent="0.35">
      <c r="A444" s="439"/>
      <c r="B444" s="1003" t="s">
        <v>164</v>
      </c>
      <c r="C444" s="1003"/>
      <c r="D444" s="440"/>
      <c r="E444" s="1596" t="s">
        <v>1115</v>
      </c>
      <c r="F444" s="1834"/>
      <c r="G444" s="1834"/>
      <c r="H444" s="2349"/>
      <c r="I444" s="483"/>
      <c r="J444" s="297"/>
      <c r="K444" s="297"/>
      <c r="L444" s="297"/>
      <c r="M444" s="297"/>
      <c r="N444" s="486"/>
      <c r="O444" s="619"/>
      <c r="P444" s="969"/>
      <c r="Q444" s="932"/>
      <c r="R444" s="1615"/>
      <c r="S444" s="45"/>
      <c r="T444" s="233"/>
      <c r="U444" s="233"/>
      <c r="V444" s="233"/>
      <c r="W444" s="45"/>
      <c r="X444" s="233"/>
      <c r="Y444" s="45"/>
      <c r="Z444" s="309"/>
    </row>
    <row r="445" spans="1:28" ht="60.5" x14ac:dyDescent="0.35">
      <c r="A445" s="433">
        <v>211</v>
      </c>
      <c r="B445" s="1003" t="s">
        <v>164</v>
      </c>
      <c r="C445" s="1003"/>
      <c r="D445" s="2460" t="s">
        <v>4005</v>
      </c>
      <c r="E445" s="2069" t="s">
        <v>9338</v>
      </c>
      <c r="F445" s="1834"/>
      <c r="G445" s="1834" t="s">
        <v>191</v>
      </c>
      <c r="H445" s="2349" t="s">
        <v>191</v>
      </c>
      <c r="I445" s="483">
        <f>J445+K445+L445</f>
        <v>3.41</v>
      </c>
      <c r="J445" s="297">
        <f>SUM(M445:R445)</f>
        <v>3.41</v>
      </c>
      <c r="K445" s="297"/>
      <c r="L445" s="297"/>
      <c r="M445" s="297"/>
      <c r="N445" s="486">
        <f>SUM(N446:N447)</f>
        <v>1.796</v>
      </c>
      <c r="O445" s="619"/>
      <c r="P445" s="969"/>
      <c r="Q445" s="932">
        <f>SUM(Q446:Q447)</f>
        <v>1.6140000000000001</v>
      </c>
      <c r="R445" s="1615"/>
      <c r="S445" s="45"/>
      <c r="T445" s="233"/>
      <c r="U445" s="233"/>
      <c r="V445" s="233"/>
      <c r="W445" s="45">
        <v>6</v>
      </c>
      <c r="X445" s="233">
        <v>67.25</v>
      </c>
      <c r="Y445" s="45">
        <v>1</v>
      </c>
      <c r="Z445" s="309">
        <v>10</v>
      </c>
      <c r="AB445" s="3">
        <v>1</v>
      </c>
    </row>
    <row r="446" spans="1:28" x14ac:dyDescent="0.35">
      <c r="A446" s="2044"/>
      <c r="B446" s="1003" t="s">
        <v>164</v>
      </c>
      <c r="C446" s="1003"/>
      <c r="D446" s="436"/>
      <c r="E446" s="840" t="s">
        <v>366</v>
      </c>
      <c r="F446" s="1834">
        <v>4</v>
      </c>
      <c r="G446" s="1834">
        <v>5</v>
      </c>
      <c r="H446" s="2349">
        <v>6</v>
      </c>
      <c r="I446" s="1008"/>
      <c r="J446" s="300"/>
      <c r="K446" s="300"/>
      <c r="L446" s="300"/>
      <c r="M446" s="300"/>
      <c r="N446" s="487"/>
      <c r="O446" s="621"/>
      <c r="P446" s="970"/>
      <c r="Q446" s="933">
        <v>1.6140000000000001</v>
      </c>
      <c r="R446" s="1616"/>
      <c r="S446" s="1641"/>
      <c r="T446" s="1642"/>
      <c r="U446" s="1642"/>
      <c r="V446" s="1642"/>
      <c r="W446" s="1641"/>
      <c r="X446" s="1642"/>
      <c r="Y446" s="1641"/>
      <c r="Z446" s="1643"/>
    </row>
    <row r="447" spans="1:28" x14ac:dyDescent="0.35">
      <c r="A447" s="433"/>
      <c r="B447" s="1003" t="s">
        <v>164</v>
      </c>
      <c r="C447" s="1003"/>
      <c r="D447" s="435"/>
      <c r="E447" s="430" t="s">
        <v>3603</v>
      </c>
      <c r="F447" s="1834">
        <v>4</v>
      </c>
      <c r="G447" s="1834">
        <v>5</v>
      </c>
      <c r="H447" s="2349">
        <v>6</v>
      </c>
      <c r="I447" s="499"/>
      <c r="J447" s="298"/>
      <c r="K447" s="298"/>
      <c r="L447" s="298"/>
      <c r="M447" s="298"/>
      <c r="N447" s="487">
        <f>3.41-1.614</f>
        <v>1.796</v>
      </c>
      <c r="O447" s="621"/>
      <c r="P447" s="970"/>
      <c r="Q447" s="933"/>
      <c r="R447" s="1616"/>
      <c r="S447" s="45"/>
      <c r="T447" s="233"/>
      <c r="U447" s="233"/>
      <c r="V447" s="233"/>
      <c r="W447" s="45"/>
      <c r="X447" s="233"/>
      <c r="Y447" s="45"/>
      <c r="Z447" s="309"/>
    </row>
    <row r="448" spans="1:28" ht="75.5" x14ac:dyDescent="0.35">
      <c r="A448" s="433">
        <v>212</v>
      </c>
      <c r="B448" s="1003" t="s">
        <v>164</v>
      </c>
      <c r="C448" s="1003"/>
      <c r="D448" s="2460" t="s">
        <v>4006</v>
      </c>
      <c r="E448" s="407" t="s">
        <v>9173</v>
      </c>
      <c r="F448" s="1834">
        <v>4</v>
      </c>
      <c r="G448" s="1834">
        <v>4</v>
      </c>
      <c r="H448" s="2349">
        <v>6</v>
      </c>
      <c r="I448" s="483">
        <f>J448+K448+L448</f>
        <v>2.2519999999999998</v>
      </c>
      <c r="J448" s="297">
        <f>SUM(M448:R448)</f>
        <v>2.2519999999999998</v>
      </c>
      <c r="K448" s="297"/>
      <c r="L448" s="297"/>
      <c r="M448" s="297"/>
      <c r="N448" s="486">
        <v>2.2519999999999998</v>
      </c>
      <c r="O448" s="619"/>
      <c r="P448" s="969"/>
      <c r="Q448" s="932"/>
      <c r="R448" s="1615"/>
      <c r="S448" s="45"/>
      <c r="T448" s="233"/>
      <c r="U448" s="233"/>
      <c r="V448" s="233"/>
      <c r="W448" s="45">
        <v>4</v>
      </c>
      <c r="X448" s="233">
        <v>46.3</v>
      </c>
      <c r="Y448" s="45">
        <v>2</v>
      </c>
      <c r="Z448" s="309">
        <v>20.2</v>
      </c>
      <c r="AB448" s="3">
        <v>1</v>
      </c>
    </row>
    <row r="449" spans="1:28" ht="90.5" x14ac:dyDescent="0.35">
      <c r="A449" s="2586">
        <v>213</v>
      </c>
      <c r="B449" s="1003" t="s">
        <v>164</v>
      </c>
      <c r="C449" s="1003" t="s">
        <v>1656</v>
      </c>
      <c r="D449" s="2460" t="s">
        <v>4007</v>
      </c>
      <c r="E449" s="2069" t="s">
        <v>9207</v>
      </c>
      <c r="F449" s="1834" t="s">
        <v>664</v>
      </c>
      <c r="G449" s="1834">
        <v>5</v>
      </c>
      <c r="H449" s="2349">
        <v>6</v>
      </c>
      <c r="I449" s="297">
        <f>J449+K449+L449</f>
        <v>0.1</v>
      </c>
      <c r="J449" s="297">
        <f>SUM(M449:R449)</f>
        <v>0.1</v>
      </c>
      <c r="K449" s="298"/>
      <c r="L449" s="298"/>
      <c r="M449" s="298"/>
      <c r="N449" s="487"/>
      <c r="O449" s="621"/>
      <c r="P449" s="970"/>
      <c r="Q449" s="933"/>
      <c r="R449" s="927">
        <v>0.1</v>
      </c>
      <c r="S449" s="45"/>
      <c r="T449" s="233"/>
      <c r="U449" s="233"/>
      <c r="V449" s="233"/>
      <c r="W449" s="45"/>
      <c r="X449" s="233"/>
      <c r="Y449" s="45"/>
      <c r="Z449" s="309"/>
      <c r="AB449" s="3">
        <v>1</v>
      </c>
    </row>
    <row r="450" spans="1:28" ht="75.5" x14ac:dyDescent="0.35">
      <c r="A450" s="433">
        <v>214</v>
      </c>
      <c r="B450" s="1003" t="s">
        <v>164</v>
      </c>
      <c r="C450" s="1003" t="s">
        <v>1655</v>
      </c>
      <c r="D450" s="2460" t="s">
        <v>4008</v>
      </c>
      <c r="E450" s="2069" t="s">
        <v>7317</v>
      </c>
      <c r="F450" s="1834" t="s">
        <v>664</v>
      </c>
      <c r="G450" s="1834">
        <v>5</v>
      </c>
      <c r="H450" s="2349">
        <v>6</v>
      </c>
      <c r="I450" s="297">
        <f>J450+K450+L450</f>
        <v>0.8</v>
      </c>
      <c r="J450" s="297">
        <f>SUM(M450:R450)</f>
        <v>0.8</v>
      </c>
      <c r="K450" s="300"/>
      <c r="L450" s="300"/>
      <c r="M450" s="300"/>
      <c r="N450" s="487"/>
      <c r="O450" s="621"/>
      <c r="P450" s="970"/>
      <c r="Q450" s="933"/>
      <c r="R450" s="927">
        <v>0.8</v>
      </c>
      <c r="S450" s="1641"/>
      <c r="T450" s="1642"/>
      <c r="U450" s="1642"/>
      <c r="V450" s="1642"/>
      <c r="W450" s="1641"/>
      <c r="X450" s="1642"/>
      <c r="Y450" s="1641"/>
      <c r="Z450" s="1643"/>
      <c r="AB450" s="3">
        <v>1</v>
      </c>
    </row>
    <row r="451" spans="1:28" ht="75.5" x14ac:dyDescent="0.35">
      <c r="A451" s="2586">
        <v>215</v>
      </c>
      <c r="B451" s="1003" t="s">
        <v>164</v>
      </c>
      <c r="C451" s="1006" t="s">
        <v>1655</v>
      </c>
      <c r="D451" s="2460" t="s">
        <v>4009</v>
      </c>
      <c r="E451" s="2069" t="s">
        <v>7318</v>
      </c>
      <c r="F451" s="1834" t="s">
        <v>664</v>
      </c>
      <c r="G451" s="1834">
        <v>5</v>
      </c>
      <c r="H451" s="2349">
        <v>6</v>
      </c>
      <c r="I451" s="297">
        <f>J451+K451+L451</f>
        <v>1</v>
      </c>
      <c r="J451" s="297">
        <f>SUM(M451:R451)</f>
        <v>1</v>
      </c>
      <c r="K451" s="297"/>
      <c r="L451" s="297"/>
      <c r="M451" s="297"/>
      <c r="N451" s="486"/>
      <c r="O451" s="619"/>
      <c r="P451" s="969"/>
      <c r="Q451" s="932"/>
      <c r="R451" s="925">
        <v>1</v>
      </c>
      <c r="S451" s="45"/>
      <c r="T451" s="233"/>
      <c r="U451" s="233"/>
      <c r="V451" s="233"/>
      <c r="W451" s="45"/>
      <c r="X451" s="233"/>
      <c r="Y451" s="45"/>
      <c r="Z451" s="309"/>
      <c r="AB451" s="3">
        <v>1</v>
      </c>
    </row>
    <row r="452" spans="1:28" ht="60.5" x14ac:dyDescent="0.35">
      <c r="A452" s="433">
        <v>216</v>
      </c>
      <c r="B452" s="1003" t="s">
        <v>164</v>
      </c>
      <c r="C452" s="1003"/>
      <c r="D452" s="2460" t="s">
        <v>4010</v>
      </c>
      <c r="E452" s="407" t="s">
        <v>7490</v>
      </c>
      <c r="F452" s="1834"/>
      <c r="G452" s="1834" t="s">
        <v>191</v>
      </c>
      <c r="H452" s="2349" t="s">
        <v>191</v>
      </c>
      <c r="I452" s="483">
        <f>J452+K452+L452</f>
        <v>1.2150000000000001</v>
      </c>
      <c r="J452" s="297">
        <f>SUM(M452:R452)</f>
        <v>1.2150000000000001</v>
      </c>
      <c r="K452" s="297"/>
      <c r="L452" s="297"/>
      <c r="M452" s="297"/>
      <c r="N452" s="486">
        <f>SUM(N453:N455)</f>
        <v>0.28400000000000003</v>
      </c>
      <c r="O452" s="619"/>
      <c r="P452" s="969"/>
      <c r="Q452" s="932">
        <f>SUM(Q453:Q455)</f>
        <v>0.93100000000000005</v>
      </c>
      <c r="R452" s="1615"/>
      <c r="S452" s="45"/>
      <c r="T452" s="233"/>
      <c r="U452" s="233"/>
      <c r="V452" s="233"/>
      <c r="W452" s="45">
        <v>3</v>
      </c>
      <c r="X452" s="233">
        <v>40.299999999999997</v>
      </c>
      <c r="Y452" s="45"/>
      <c r="Z452" s="309"/>
      <c r="AB452" s="3">
        <v>1</v>
      </c>
    </row>
    <row r="453" spans="1:28" x14ac:dyDescent="0.35">
      <c r="A453" s="2048"/>
      <c r="B453" s="1003" t="s">
        <v>164</v>
      </c>
      <c r="C453" s="1003"/>
      <c r="D453" s="436"/>
      <c r="E453" s="840" t="s">
        <v>2988</v>
      </c>
      <c r="F453" s="1834">
        <v>4</v>
      </c>
      <c r="G453" s="1834">
        <v>5</v>
      </c>
      <c r="H453" s="2349">
        <v>6</v>
      </c>
      <c r="I453" s="1008"/>
      <c r="J453" s="300"/>
      <c r="K453" s="300"/>
      <c r="L453" s="300"/>
      <c r="M453" s="300"/>
      <c r="N453" s="487"/>
      <c r="O453" s="621"/>
      <c r="P453" s="970"/>
      <c r="Q453" s="933">
        <v>0.76400000000000001</v>
      </c>
      <c r="R453" s="1616"/>
      <c r="S453" s="1641"/>
      <c r="T453" s="1642"/>
      <c r="U453" s="1642"/>
      <c r="V453" s="1642"/>
      <c r="W453" s="1641"/>
      <c r="X453" s="1642"/>
      <c r="Y453" s="1641"/>
      <c r="Z453" s="1643"/>
    </row>
    <row r="454" spans="1:28" x14ac:dyDescent="0.35">
      <c r="A454" s="439"/>
      <c r="B454" s="1003" t="s">
        <v>164</v>
      </c>
      <c r="C454" s="1003"/>
      <c r="D454" s="435"/>
      <c r="E454" s="430" t="s">
        <v>3377</v>
      </c>
      <c r="F454" s="1834">
        <v>4</v>
      </c>
      <c r="G454" s="1834">
        <v>5</v>
      </c>
      <c r="H454" s="2349">
        <v>6</v>
      </c>
      <c r="I454" s="499"/>
      <c r="J454" s="298"/>
      <c r="K454" s="298"/>
      <c r="L454" s="298"/>
      <c r="M454" s="298"/>
      <c r="N454" s="487">
        <f>1.048-0.764</f>
        <v>0.28400000000000003</v>
      </c>
      <c r="O454" s="621"/>
      <c r="P454" s="970"/>
      <c r="Q454" s="933"/>
      <c r="R454" s="1616"/>
      <c r="S454" s="45"/>
      <c r="T454" s="233"/>
      <c r="U454" s="233"/>
      <c r="V454" s="233"/>
      <c r="W454" s="45"/>
      <c r="X454" s="233"/>
      <c r="Y454" s="45"/>
      <c r="Z454" s="309"/>
    </row>
    <row r="455" spans="1:28" x14ac:dyDescent="0.35">
      <c r="A455" s="439"/>
      <c r="B455" s="1003" t="s">
        <v>164</v>
      </c>
      <c r="C455" s="1003"/>
      <c r="D455" s="435"/>
      <c r="E455" s="840" t="s">
        <v>3378</v>
      </c>
      <c r="F455" s="1834">
        <v>4</v>
      </c>
      <c r="G455" s="1834">
        <v>5</v>
      </c>
      <c r="H455" s="2349">
        <v>6</v>
      </c>
      <c r="I455" s="499"/>
      <c r="J455" s="298"/>
      <c r="K455" s="298"/>
      <c r="L455" s="298"/>
      <c r="M455" s="298"/>
      <c r="N455" s="487"/>
      <c r="O455" s="621"/>
      <c r="P455" s="970"/>
      <c r="Q455" s="933">
        <f>1.215-1.048</f>
        <v>0.16700000000000004</v>
      </c>
      <c r="R455" s="1616"/>
      <c r="S455" s="45"/>
      <c r="T455" s="233"/>
      <c r="U455" s="233"/>
      <c r="V455" s="233"/>
      <c r="W455" s="45"/>
      <c r="X455" s="233"/>
      <c r="Y455" s="45"/>
      <c r="Z455" s="309"/>
    </row>
    <row r="456" spans="1:28" ht="60.5" x14ac:dyDescent="0.35">
      <c r="A456" s="433">
        <v>217</v>
      </c>
      <c r="B456" s="1003" t="s">
        <v>164</v>
      </c>
      <c r="C456" s="1003"/>
      <c r="D456" s="2460" t="s">
        <v>4011</v>
      </c>
      <c r="E456" s="407" t="s">
        <v>7491</v>
      </c>
      <c r="F456" s="1834" t="s">
        <v>827</v>
      </c>
      <c r="G456" s="1834">
        <v>5</v>
      </c>
      <c r="H456" s="2349">
        <v>6</v>
      </c>
      <c r="I456" s="483">
        <f t="shared" ref="I456:I470" si="31">J456+K456+L456</f>
        <v>1.44</v>
      </c>
      <c r="J456" s="297">
        <f t="shared" ref="J456:J470" si="32">SUM(M456:R456)</f>
        <v>1.44</v>
      </c>
      <c r="K456" s="297"/>
      <c r="L456" s="297"/>
      <c r="M456" s="297"/>
      <c r="N456" s="486"/>
      <c r="O456" s="619"/>
      <c r="P456" s="969"/>
      <c r="Q456" s="932"/>
      <c r="R456" s="1615">
        <v>1.44</v>
      </c>
      <c r="S456" s="45"/>
      <c r="T456" s="233"/>
      <c r="U456" s="233"/>
      <c r="V456" s="233"/>
      <c r="W456" s="45"/>
      <c r="X456" s="233"/>
      <c r="Y456" s="45"/>
      <c r="Z456" s="309"/>
      <c r="AB456" s="3">
        <v>1</v>
      </c>
    </row>
    <row r="457" spans="1:28" ht="60.5" x14ac:dyDescent="0.35">
      <c r="A457" s="433">
        <v>218</v>
      </c>
      <c r="B457" s="1003" t="s">
        <v>164</v>
      </c>
      <c r="C457" s="1003"/>
      <c r="D457" s="2460" t="s">
        <v>4012</v>
      </c>
      <c r="E457" s="407" t="s">
        <v>7492</v>
      </c>
      <c r="F457" s="1834">
        <v>5</v>
      </c>
      <c r="G457" s="1834">
        <v>5</v>
      </c>
      <c r="H457" s="2349">
        <v>6</v>
      </c>
      <c r="I457" s="483">
        <f t="shared" si="31"/>
        <v>2.6070000000000002</v>
      </c>
      <c r="J457" s="297">
        <f t="shared" si="32"/>
        <v>2.6070000000000002</v>
      </c>
      <c r="K457" s="297"/>
      <c r="L457" s="297"/>
      <c r="M457" s="297"/>
      <c r="N457" s="486"/>
      <c r="O457" s="619"/>
      <c r="P457" s="969"/>
      <c r="Q457" s="932">
        <v>2.6070000000000002</v>
      </c>
      <c r="R457" s="1615"/>
      <c r="S457" s="45"/>
      <c r="T457" s="233"/>
      <c r="U457" s="233"/>
      <c r="V457" s="233"/>
      <c r="W457" s="45">
        <v>5</v>
      </c>
      <c r="X457" s="233">
        <v>50.9</v>
      </c>
      <c r="Y457" s="45">
        <v>1</v>
      </c>
      <c r="Z457" s="309">
        <v>10</v>
      </c>
      <c r="AB457" s="3">
        <v>1</v>
      </c>
    </row>
    <row r="458" spans="1:28" ht="75.5" x14ac:dyDescent="0.35">
      <c r="A458" s="433">
        <v>219</v>
      </c>
      <c r="B458" s="1003" t="s">
        <v>164</v>
      </c>
      <c r="C458" s="1003"/>
      <c r="D458" s="2460" t="s">
        <v>4013</v>
      </c>
      <c r="E458" s="407" t="s">
        <v>7493</v>
      </c>
      <c r="F458" s="1834" t="s">
        <v>827</v>
      </c>
      <c r="G458" s="1834">
        <v>5</v>
      </c>
      <c r="H458" s="2349">
        <v>6</v>
      </c>
      <c r="I458" s="483">
        <f t="shared" si="31"/>
        <v>0.85</v>
      </c>
      <c r="J458" s="297">
        <f t="shared" si="32"/>
        <v>0.85</v>
      </c>
      <c r="K458" s="297"/>
      <c r="L458" s="297"/>
      <c r="M458" s="297"/>
      <c r="N458" s="486"/>
      <c r="O458" s="619"/>
      <c r="P458" s="969"/>
      <c r="Q458" s="932"/>
      <c r="R458" s="1615">
        <v>0.85</v>
      </c>
      <c r="S458" s="45"/>
      <c r="T458" s="233"/>
      <c r="U458" s="233"/>
      <c r="V458" s="233"/>
      <c r="W458" s="45"/>
      <c r="X458" s="233"/>
      <c r="Y458" s="45"/>
      <c r="Z458" s="309"/>
      <c r="AA458" s="3" t="s">
        <v>11088</v>
      </c>
      <c r="AB458" s="3">
        <v>1</v>
      </c>
    </row>
    <row r="459" spans="1:28" ht="75.5" x14ac:dyDescent="0.35">
      <c r="A459" s="433">
        <v>220</v>
      </c>
      <c r="B459" s="1003" t="s">
        <v>164</v>
      </c>
      <c r="C459" s="1003"/>
      <c r="D459" s="2460" t="s">
        <v>4014</v>
      </c>
      <c r="E459" s="407" t="s">
        <v>7494</v>
      </c>
      <c r="F459" s="1834">
        <v>5</v>
      </c>
      <c r="G459" s="1834">
        <v>5</v>
      </c>
      <c r="H459" s="2349">
        <v>6</v>
      </c>
      <c r="I459" s="483">
        <f t="shared" si="31"/>
        <v>1.34</v>
      </c>
      <c r="J459" s="297">
        <f t="shared" si="32"/>
        <v>1.34</v>
      </c>
      <c r="K459" s="297"/>
      <c r="L459" s="297"/>
      <c r="M459" s="297"/>
      <c r="N459" s="486">
        <v>1.34</v>
      </c>
      <c r="O459" s="619"/>
      <c r="P459" s="969"/>
      <c r="Q459" s="932"/>
      <c r="R459" s="1615"/>
      <c r="S459" s="45"/>
      <c r="T459" s="233"/>
      <c r="U459" s="233"/>
      <c r="V459" s="233"/>
      <c r="W459" s="45"/>
      <c r="X459" s="233"/>
      <c r="Y459" s="45"/>
      <c r="Z459" s="309"/>
      <c r="AB459" s="3">
        <v>1</v>
      </c>
    </row>
    <row r="460" spans="1:28" ht="60.5" x14ac:dyDescent="0.35">
      <c r="A460" s="433">
        <v>221</v>
      </c>
      <c r="B460" s="1003" t="s">
        <v>164</v>
      </c>
      <c r="C460" s="1003"/>
      <c r="D460" s="2460" t="s">
        <v>4015</v>
      </c>
      <c r="E460" s="407" t="s">
        <v>7495</v>
      </c>
      <c r="F460" s="1834">
        <v>5</v>
      </c>
      <c r="G460" s="1834">
        <v>5</v>
      </c>
      <c r="H460" s="2349">
        <v>6</v>
      </c>
      <c r="I460" s="483">
        <f t="shared" si="31"/>
        <v>1.1599999999999999</v>
      </c>
      <c r="J460" s="297">
        <f t="shared" si="32"/>
        <v>1.1599999999999999</v>
      </c>
      <c r="K460" s="297"/>
      <c r="L460" s="297"/>
      <c r="M460" s="297"/>
      <c r="N460" s="486"/>
      <c r="O460" s="619"/>
      <c r="P460" s="969"/>
      <c r="Q460" s="932">
        <v>1.1599999999999999</v>
      </c>
      <c r="R460" s="1615"/>
      <c r="S460" s="45"/>
      <c r="T460" s="233"/>
      <c r="U460" s="233"/>
      <c r="V460" s="233"/>
      <c r="W460" s="45"/>
      <c r="X460" s="233"/>
      <c r="Y460" s="45"/>
      <c r="Z460" s="309"/>
      <c r="AB460" s="3">
        <v>1</v>
      </c>
    </row>
    <row r="461" spans="1:28" ht="75.5" x14ac:dyDescent="0.35">
      <c r="A461" s="433">
        <v>222</v>
      </c>
      <c r="B461" s="1003" t="s">
        <v>164</v>
      </c>
      <c r="C461" s="1003"/>
      <c r="D461" s="2460" t="s">
        <v>4016</v>
      </c>
      <c r="E461" s="407" t="s">
        <v>9669</v>
      </c>
      <c r="F461" s="1834" t="s">
        <v>664</v>
      </c>
      <c r="G461" s="1834">
        <v>5</v>
      </c>
      <c r="H461" s="2349">
        <v>6</v>
      </c>
      <c r="I461" s="483">
        <f t="shared" si="31"/>
        <v>2.12</v>
      </c>
      <c r="J461" s="297">
        <f t="shared" si="32"/>
        <v>2.12</v>
      </c>
      <c r="K461" s="297"/>
      <c r="L461" s="297"/>
      <c r="M461" s="297"/>
      <c r="N461" s="486"/>
      <c r="O461" s="619"/>
      <c r="P461" s="969"/>
      <c r="Q461" s="932"/>
      <c r="R461" s="1615">
        <v>2.12</v>
      </c>
      <c r="S461" s="45"/>
      <c r="T461" s="233"/>
      <c r="U461" s="233"/>
      <c r="V461" s="233"/>
      <c r="W461" s="45"/>
      <c r="X461" s="233"/>
      <c r="Y461" s="45"/>
      <c r="Z461" s="309"/>
      <c r="AB461" s="3">
        <v>1</v>
      </c>
    </row>
    <row r="462" spans="1:28" ht="90.5" x14ac:dyDescent="0.35">
      <c r="A462" s="433">
        <v>223</v>
      </c>
      <c r="B462" s="1004" t="s">
        <v>164</v>
      </c>
      <c r="C462" s="1004" t="s">
        <v>1656</v>
      </c>
      <c r="D462" s="2460" t="s">
        <v>4017</v>
      </c>
      <c r="E462" s="407" t="s">
        <v>9670</v>
      </c>
      <c r="F462" s="1834" t="s">
        <v>664</v>
      </c>
      <c r="G462" s="1834">
        <v>5</v>
      </c>
      <c r="H462" s="2349">
        <v>6</v>
      </c>
      <c r="I462" s="483">
        <f t="shared" si="31"/>
        <v>0.05</v>
      </c>
      <c r="J462" s="297">
        <f t="shared" si="32"/>
        <v>0.05</v>
      </c>
      <c r="K462" s="297"/>
      <c r="L462" s="297"/>
      <c r="M462" s="297"/>
      <c r="N462" s="486"/>
      <c r="O462" s="619"/>
      <c r="P462" s="969"/>
      <c r="Q462" s="932"/>
      <c r="R462" s="1615">
        <v>0.05</v>
      </c>
      <c r="S462" s="45"/>
      <c r="T462" s="233"/>
      <c r="U462" s="233"/>
      <c r="V462" s="233"/>
      <c r="W462" s="45"/>
      <c r="X462" s="233"/>
      <c r="Y462" s="45"/>
      <c r="Z462" s="309"/>
      <c r="AB462" s="3">
        <v>1</v>
      </c>
    </row>
    <row r="463" spans="1:28" ht="60.5" x14ac:dyDescent="0.35">
      <c r="A463" s="433">
        <v>224</v>
      </c>
      <c r="B463" s="1003" t="s">
        <v>164</v>
      </c>
      <c r="C463" s="1003"/>
      <c r="D463" s="2460" t="s">
        <v>4018</v>
      </c>
      <c r="E463" s="407" t="s">
        <v>7496</v>
      </c>
      <c r="F463" s="1834" t="s">
        <v>827</v>
      </c>
      <c r="G463" s="1834">
        <v>5</v>
      </c>
      <c r="H463" s="2349">
        <v>6</v>
      </c>
      <c r="I463" s="483">
        <f t="shared" si="31"/>
        <v>2.37</v>
      </c>
      <c r="J463" s="297">
        <f t="shared" si="32"/>
        <v>2.37</v>
      </c>
      <c r="K463" s="297"/>
      <c r="L463" s="297"/>
      <c r="M463" s="297"/>
      <c r="N463" s="486"/>
      <c r="O463" s="619"/>
      <c r="P463" s="969"/>
      <c r="Q463" s="932"/>
      <c r="R463" s="1615">
        <v>2.37</v>
      </c>
      <c r="S463" s="45"/>
      <c r="T463" s="233"/>
      <c r="U463" s="233"/>
      <c r="V463" s="233"/>
      <c r="W463" s="45">
        <v>2</v>
      </c>
      <c r="X463" s="233">
        <v>30.2</v>
      </c>
      <c r="Y463" s="45"/>
      <c r="Z463" s="309"/>
      <c r="AB463" s="3">
        <v>1</v>
      </c>
    </row>
    <row r="464" spans="1:28" ht="75.5" x14ac:dyDescent="0.35">
      <c r="A464" s="433">
        <v>225</v>
      </c>
      <c r="B464" s="1004" t="s">
        <v>164</v>
      </c>
      <c r="C464" s="1004"/>
      <c r="D464" s="2460" t="s">
        <v>4019</v>
      </c>
      <c r="E464" s="407" t="s">
        <v>9657</v>
      </c>
      <c r="F464" s="1834">
        <v>5</v>
      </c>
      <c r="G464" s="1834">
        <v>5</v>
      </c>
      <c r="H464" s="2349">
        <v>6</v>
      </c>
      <c r="I464" s="483">
        <f t="shared" si="31"/>
        <v>1.5</v>
      </c>
      <c r="J464" s="297">
        <f t="shared" si="32"/>
        <v>1.5</v>
      </c>
      <c r="K464" s="297"/>
      <c r="L464" s="297"/>
      <c r="M464" s="297"/>
      <c r="N464" s="486">
        <v>1.5</v>
      </c>
      <c r="O464" s="619"/>
      <c r="P464" s="969"/>
      <c r="Q464" s="932"/>
      <c r="R464" s="1615"/>
      <c r="S464" s="45"/>
      <c r="T464" s="233"/>
      <c r="U464" s="233"/>
      <c r="V464" s="233"/>
      <c r="W464" s="45"/>
      <c r="X464" s="233"/>
      <c r="Y464" s="45"/>
      <c r="Z464" s="309"/>
      <c r="AB464" s="3">
        <v>1</v>
      </c>
    </row>
    <row r="465" spans="1:29" ht="60.5" x14ac:dyDescent="0.35">
      <c r="A465" s="433">
        <v>226</v>
      </c>
      <c r="B465" s="1004" t="s">
        <v>164</v>
      </c>
      <c r="C465" s="1004" t="s">
        <v>1656</v>
      </c>
      <c r="D465" s="2460" t="s">
        <v>4020</v>
      </c>
      <c r="E465" s="407" t="s">
        <v>8206</v>
      </c>
      <c r="F465" s="1834" t="s">
        <v>664</v>
      </c>
      <c r="G465" s="1834">
        <v>5</v>
      </c>
      <c r="H465" s="2349">
        <v>6</v>
      </c>
      <c r="I465" s="483">
        <f t="shared" si="31"/>
        <v>0.5</v>
      </c>
      <c r="J465" s="297">
        <f t="shared" si="32"/>
        <v>0.5</v>
      </c>
      <c r="K465" s="297"/>
      <c r="L465" s="297"/>
      <c r="M465" s="297"/>
      <c r="N465" s="486"/>
      <c r="O465" s="619"/>
      <c r="P465" s="969"/>
      <c r="Q465" s="932"/>
      <c r="R465" s="1615">
        <v>0.5</v>
      </c>
      <c r="S465" s="45"/>
      <c r="T465" s="233"/>
      <c r="U465" s="233"/>
      <c r="V465" s="233"/>
      <c r="W465" s="45"/>
      <c r="X465" s="233"/>
      <c r="Y465" s="45"/>
      <c r="Z465" s="309"/>
      <c r="AB465" s="3">
        <v>1</v>
      </c>
    </row>
    <row r="466" spans="1:29" ht="60.5" x14ac:dyDescent="0.35">
      <c r="A466" s="433">
        <v>227</v>
      </c>
      <c r="B466" s="1004" t="s">
        <v>164</v>
      </c>
      <c r="C466" s="1004" t="s">
        <v>1656</v>
      </c>
      <c r="D466" s="2460" t="s">
        <v>4021</v>
      </c>
      <c r="E466" s="407" t="s">
        <v>8207</v>
      </c>
      <c r="F466" s="1834" t="s">
        <v>1490</v>
      </c>
      <c r="G466" s="1834">
        <v>5</v>
      </c>
      <c r="H466" s="2349">
        <v>6</v>
      </c>
      <c r="I466" s="483">
        <f t="shared" si="31"/>
        <v>0.5</v>
      </c>
      <c r="J466" s="297">
        <f t="shared" si="32"/>
        <v>0.5</v>
      </c>
      <c r="K466" s="297"/>
      <c r="L466" s="297"/>
      <c r="M466" s="297"/>
      <c r="N466" s="486"/>
      <c r="O466" s="619"/>
      <c r="P466" s="969"/>
      <c r="Q466" s="932"/>
      <c r="R466" s="1615">
        <v>0.5</v>
      </c>
      <c r="S466" s="45"/>
      <c r="T466" s="233"/>
      <c r="U466" s="233"/>
      <c r="V466" s="233"/>
      <c r="W466" s="45"/>
      <c r="X466" s="233"/>
      <c r="Y466" s="45"/>
      <c r="Z466" s="309"/>
      <c r="AB466" s="3">
        <v>1</v>
      </c>
    </row>
    <row r="467" spans="1:29" ht="60.5" x14ac:dyDescent="0.35">
      <c r="A467" s="433">
        <v>228</v>
      </c>
      <c r="B467" s="1004" t="s">
        <v>164</v>
      </c>
      <c r="C467" s="1004" t="s">
        <v>1656</v>
      </c>
      <c r="D467" s="2460" t="s">
        <v>4022</v>
      </c>
      <c r="E467" s="407" t="s">
        <v>8208</v>
      </c>
      <c r="F467" s="1834" t="s">
        <v>664</v>
      </c>
      <c r="G467" s="1834">
        <v>5</v>
      </c>
      <c r="H467" s="2349">
        <v>6</v>
      </c>
      <c r="I467" s="483">
        <f t="shared" si="31"/>
        <v>0.75</v>
      </c>
      <c r="J467" s="297">
        <f t="shared" si="32"/>
        <v>0.75</v>
      </c>
      <c r="K467" s="297"/>
      <c r="L467" s="297"/>
      <c r="M467" s="297"/>
      <c r="N467" s="486"/>
      <c r="O467" s="619"/>
      <c r="P467" s="969"/>
      <c r="Q467" s="932"/>
      <c r="R467" s="1615">
        <v>0.75</v>
      </c>
      <c r="S467" s="45"/>
      <c r="T467" s="233"/>
      <c r="U467" s="233"/>
      <c r="V467" s="233"/>
      <c r="W467" s="45"/>
      <c r="X467" s="233"/>
      <c r="Y467" s="45"/>
      <c r="Z467" s="309"/>
      <c r="AB467" s="3">
        <v>1</v>
      </c>
    </row>
    <row r="468" spans="1:29" ht="60.5" x14ac:dyDescent="0.35">
      <c r="A468" s="433">
        <v>229</v>
      </c>
      <c r="B468" s="1040" t="s">
        <v>164</v>
      </c>
      <c r="C468" s="1040"/>
      <c r="D468" s="2460" t="s">
        <v>4023</v>
      </c>
      <c r="E468" s="2069" t="s">
        <v>7497</v>
      </c>
      <c r="F468" s="92" t="s">
        <v>1490</v>
      </c>
      <c r="G468" s="92">
        <v>5</v>
      </c>
      <c r="H468" s="2349">
        <v>6</v>
      </c>
      <c r="I468" s="1150">
        <f t="shared" si="31"/>
        <v>0.8</v>
      </c>
      <c r="J468" s="702">
        <f t="shared" si="32"/>
        <v>0.8</v>
      </c>
      <c r="K468" s="622"/>
      <c r="L468" s="622"/>
      <c r="M468" s="622"/>
      <c r="N468" s="622"/>
      <c r="O468" s="622"/>
      <c r="P468" s="622"/>
      <c r="Q468" s="622"/>
      <c r="R468" s="2190">
        <v>0.8</v>
      </c>
      <c r="S468" s="106"/>
      <c r="T468" s="106"/>
      <c r="U468" s="106"/>
      <c r="V468" s="106"/>
      <c r="W468" s="105"/>
      <c r="X468" s="105"/>
      <c r="Y468" s="105"/>
      <c r="Z468" s="323"/>
      <c r="AB468" s="3">
        <v>1</v>
      </c>
      <c r="AC468" s="3" t="s">
        <v>2570</v>
      </c>
    </row>
    <row r="469" spans="1:29" ht="60" x14ac:dyDescent="0.35">
      <c r="A469" s="433">
        <v>230</v>
      </c>
      <c r="B469" s="1040" t="s">
        <v>164</v>
      </c>
      <c r="C469" s="1040"/>
      <c r="D469" s="2460" t="s">
        <v>4024</v>
      </c>
      <c r="E469" s="2187" t="s">
        <v>7498</v>
      </c>
      <c r="F469" s="92" t="s">
        <v>664</v>
      </c>
      <c r="G469" s="92">
        <v>5</v>
      </c>
      <c r="H469" s="2349">
        <v>6</v>
      </c>
      <c r="I469" s="1150">
        <f t="shared" si="31"/>
        <v>0.8</v>
      </c>
      <c r="J469" s="702">
        <f t="shared" si="32"/>
        <v>0.8</v>
      </c>
      <c r="K469" s="622"/>
      <c r="L469" s="622"/>
      <c r="M469" s="622"/>
      <c r="N469" s="622"/>
      <c r="O469" s="622"/>
      <c r="P469" s="622"/>
      <c r="Q469" s="622"/>
      <c r="R469" s="2190">
        <v>0.8</v>
      </c>
      <c r="S469" s="106"/>
      <c r="T469" s="106"/>
      <c r="U469" s="106"/>
      <c r="V469" s="106"/>
      <c r="W469" s="105"/>
      <c r="X469" s="105"/>
      <c r="Y469" s="105"/>
      <c r="Z469" s="323"/>
      <c r="AB469" s="3">
        <v>1</v>
      </c>
    </row>
    <row r="470" spans="1:29" ht="60.5" x14ac:dyDescent="0.35">
      <c r="A470" s="433">
        <v>231</v>
      </c>
      <c r="B470" s="1040" t="s">
        <v>164</v>
      </c>
      <c r="C470" s="1040"/>
      <c r="D470" s="2460" t="s">
        <v>4025</v>
      </c>
      <c r="E470" s="2069" t="s">
        <v>11616</v>
      </c>
      <c r="F470" s="92"/>
      <c r="G470" s="92" t="s">
        <v>191</v>
      </c>
      <c r="H470" s="2349" t="s">
        <v>191</v>
      </c>
      <c r="I470" s="2956">
        <f t="shared" si="31"/>
        <v>2.0670000000000002</v>
      </c>
      <c r="J470" s="2841">
        <f t="shared" si="32"/>
        <v>2.0020000000000002</v>
      </c>
      <c r="K470" s="622"/>
      <c r="L470" s="2937">
        <f>SUM(L471:L474)</f>
        <v>6.500000000000003E-2</v>
      </c>
      <c r="M470" s="622"/>
      <c r="N470" s="2937">
        <f>SUM(N471:N474)</f>
        <v>0.66899999999999993</v>
      </c>
      <c r="O470" s="622"/>
      <c r="P470" s="622"/>
      <c r="Q470" s="932">
        <f>SUM(Q471:Q474)</f>
        <v>1.3330000000000002</v>
      </c>
      <c r="R470" s="2955">
        <f>SUM(R471:R474)</f>
        <v>0</v>
      </c>
      <c r="S470" s="106"/>
      <c r="T470" s="106"/>
      <c r="U470" s="106"/>
      <c r="V470" s="106"/>
      <c r="W470" s="105">
        <v>4</v>
      </c>
      <c r="X470" s="105">
        <v>38.020000000000003</v>
      </c>
      <c r="Y470" s="105">
        <v>1</v>
      </c>
      <c r="Z470" s="323">
        <v>10</v>
      </c>
      <c r="AB470" s="3">
        <v>1</v>
      </c>
    </row>
    <row r="471" spans="1:29" ht="31" x14ac:dyDescent="0.35">
      <c r="A471" s="433"/>
      <c r="B471" s="1040" t="s">
        <v>164</v>
      </c>
      <c r="C471" s="1040"/>
      <c r="D471" s="693"/>
      <c r="E471" s="2864" t="s">
        <v>11613</v>
      </c>
      <c r="F471" s="92" t="s">
        <v>827</v>
      </c>
      <c r="G471" s="92">
        <v>5</v>
      </c>
      <c r="H471" s="2349" t="s">
        <v>191</v>
      </c>
      <c r="I471" s="2189"/>
      <c r="J471" s="1918"/>
      <c r="K471" s="395"/>
      <c r="L471" s="2930">
        <f>0.033</f>
        <v>3.3000000000000002E-2</v>
      </c>
      <c r="M471" s="395"/>
      <c r="N471" s="2930"/>
      <c r="O471" s="395"/>
      <c r="P471" s="395"/>
      <c r="Q471" s="395"/>
      <c r="R471" s="2191"/>
      <c r="S471" s="106"/>
      <c r="T471" s="106"/>
      <c r="U471" s="106"/>
      <c r="V471" s="106"/>
      <c r="W471" s="105"/>
      <c r="X471" s="105"/>
      <c r="Y471" s="105"/>
      <c r="Z471" s="323"/>
    </row>
    <row r="472" spans="1:29" x14ac:dyDescent="0.35">
      <c r="A472" s="433"/>
      <c r="B472" s="1040" t="s">
        <v>164</v>
      </c>
      <c r="C472" s="1040"/>
      <c r="D472" s="693"/>
      <c r="E472" s="431" t="s">
        <v>11615</v>
      </c>
      <c r="F472" s="92" t="s">
        <v>827</v>
      </c>
      <c r="G472" s="92">
        <v>5</v>
      </c>
      <c r="H472" s="2349">
        <v>6</v>
      </c>
      <c r="I472" s="2189"/>
      <c r="J472" s="1918"/>
      <c r="K472" s="395"/>
      <c r="L472" s="395"/>
      <c r="M472" s="395"/>
      <c r="N472" s="2930">
        <f>0.702-0.033</f>
        <v>0.66899999999999993</v>
      </c>
      <c r="O472" s="395"/>
      <c r="P472" s="395"/>
      <c r="Q472" s="395"/>
      <c r="R472" s="2191"/>
      <c r="S472" s="106"/>
      <c r="T472" s="106"/>
      <c r="U472" s="106"/>
      <c r="V472" s="106"/>
      <c r="W472" s="105"/>
      <c r="X472" s="105"/>
      <c r="Y472" s="105"/>
      <c r="Z472" s="323"/>
    </row>
    <row r="473" spans="1:29" x14ac:dyDescent="0.35">
      <c r="A473" s="433"/>
      <c r="B473" s="1040" t="s">
        <v>164</v>
      </c>
      <c r="C473" s="1040"/>
      <c r="D473" s="693"/>
      <c r="E473" s="840" t="s">
        <v>11612</v>
      </c>
      <c r="F473" s="92" t="s">
        <v>827</v>
      </c>
      <c r="G473" s="92">
        <v>5</v>
      </c>
      <c r="H473" s="2953">
        <v>6</v>
      </c>
      <c r="I473" s="2189"/>
      <c r="J473" s="1918"/>
      <c r="K473" s="395"/>
      <c r="L473" s="395"/>
      <c r="M473" s="395"/>
      <c r="N473" s="395"/>
      <c r="O473" s="395"/>
      <c r="P473" s="395"/>
      <c r="Q473" s="933">
        <f>2.035-0.702</f>
        <v>1.3330000000000002</v>
      </c>
      <c r="R473" s="2954">
        <v>0</v>
      </c>
      <c r="S473" s="106"/>
      <c r="T473" s="106"/>
      <c r="U473" s="106"/>
      <c r="V473" s="106"/>
      <c r="W473" s="105"/>
      <c r="X473" s="105"/>
      <c r="Y473" s="105"/>
      <c r="Z473" s="323"/>
    </row>
    <row r="474" spans="1:29" ht="31" x14ac:dyDescent="0.35">
      <c r="A474" s="433"/>
      <c r="B474" s="1040" t="s">
        <v>164</v>
      </c>
      <c r="C474" s="1040"/>
      <c r="D474" s="693"/>
      <c r="E474" s="2864" t="s">
        <v>11614</v>
      </c>
      <c r="F474" s="92" t="s">
        <v>827</v>
      </c>
      <c r="G474" s="92">
        <v>5</v>
      </c>
      <c r="H474" s="2349" t="s">
        <v>191</v>
      </c>
      <c r="I474" s="2189"/>
      <c r="J474" s="1918"/>
      <c r="K474" s="395"/>
      <c r="L474" s="2930">
        <f>2.067-2.035</f>
        <v>3.2000000000000028E-2</v>
      </c>
      <c r="M474" s="395"/>
      <c r="N474" s="2930">
        <v>0</v>
      </c>
      <c r="O474" s="395"/>
      <c r="P474" s="395"/>
      <c r="Q474" s="395"/>
      <c r="R474" s="2191"/>
      <c r="S474" s="106"/>
      <c r="T474" s="106"/>
      <c r="U474" s="106"/>
      <c r="V474" s="106"/>
      <c r="W474" s="105"/>
      <c r="X474" s="105"/>
      <c r="Y474" s="105"/>
      <c r="Z474" s="323"/>
    </row>
    <row r="475" spans="1:29" ht="75.5" x14ac:dyDescent="0.35">
      <c r="A475" s="433">
        <v>232</v>
      </c>
      <c r="B475" s="1040" t="s">
        <v>164</v>
      </c>
      <c r="C475" s="1040"/>
      <c r="D475" s="2460" t="s">
        <v>4026</v>
      </c>
      <c r="E475" s="2069" t="s">
        <v>9174</v>
      </c>
      <c r="F475" s="92">
        <v>5</v>
      </c>
      <c r="G475" s="92">
        <v>5</v>
      </c>
      <c r="H475" s="2349">
        <v>6</v>
      </c>
      <c r="I475" s="1150">
        <f>J475+K475+L475</f>
        <v>0.5</v>
      </c>
      <c r="J475" s="702">
        <f>SUM(M475:R475)</f>
        <v>0.5</v>
      </c>
      <c r="K475" s="622"/>
      <c r="L475" s="622"/>
      <c r="M475" s="622"/>
      <c r="N475" s="622">
        <v>0.5</v>
      </c>
      <c r="O475" s="622"/>
      <c r="P475" s="622"/>
      <c r="Q475" s="622"/>
      <c r="R475" s="2190"/>
      <c r="S475" s="106"/>
      <c r="T475" s="106"/>
      <c r="U475" s="106"/>
      <c r="V475" s="106"/>
      <c r="W475" s="105"/>
      <c r="X475" s="105"/>
      <c r="Y475" s="105"/>
      <c r="Z475" s="323"/>
      <c r="AB475" s="3">
        <v>1</v>
      </c>
    </row>
    <row r="476" spans="1:29" ht="45.5" x14ac:dyDescent="0.35">
      <c r="A476" s="439"/>
      <c r="B476" s="1003" t="s">
        <v>165</v>
      </c>
      <c r="C476" s="1003"/>
      <c r="D476" s="440"/>
      <c r="E476" s="1596" t="s">
        <v>10740</v>
      </c>
      <c r="F476" s="1834"/>
      <c r="G476" s="1834"/>
      <c r="H476" s="2349"/>
      <c r="I476" s="483"/>
      <c r="J476" s="297"/>
      <c r="K476" s="297"/>
      <c r="L476" s="297"/>
      <c r="M476" s="297"/>
      <c r="N476" s="486"/>
      <c r="O476" s="619"/>
      <c r="P476" s="969"/>
      <c r="Q476" s="932"/>
      <c r="R476" s="1615"/>
      <c r="S476" s="45"/>
      <c r="T476" s="233"/>
      <c r="U476" s="233"/>
      <c r="V476" s="233"/>
      <c r="W476" s="45"/>
      <c r="X476" s="233"/>
      <c r="Y476" s="45"/>
      <c r="Z476" s="309"/>
    </row>
    <row r="477" spans="1:29" ht="45.5" x14ac:dyDescent="0.35">
      <c r="A477" s="433">
        <v>233</v>
      </c>
      <c r="B477" s="1003" t="s">
        <v>165</v>
      </c>
      <c r="C477" s="1003"/>
      <c r="D477" s="2460" t="s">
        <v>4027</v>
      </c>
      <c r="E477" s="2069" t="s">
        <v>10899</v>
      </c>
      <c r="F477" s="1834">
        <v>5</v>
      </c>
      <c r="G477" s="1834">
        <v>5</v>
      </c>
      <c r="H477" s="2349">
        <v>6</v>
      </c>
      <c r="I477" s="297">
        <f>J477+K477+L477</f>
        <v>0.8</v>
      </c>
      <c r="J477" s="297">
        <f>SUM(M477:R477)</f>
        <v>0.8</v>
      </c>
      <c r="K477" s="297"/>
      <c r="L477" s="297"/>
      <c r="M477" s="297"/>
      <c r="N477" s="486">
        <v>0.8</v>
      </c>
      <c r="O477" s="619"/>
      <c r="P477" s="969"/>
      <c r="Q477" s="932"/>
      <c r="R477" s="1615"/>
      <c r="S477" s="45"/>
      <c r="T477" s="233"/>
      <c r="U477" s="233"/>
      <c r="V477" s="233"/>
      <c r="W477" s="45">
        <v>1</v>
      </c>
      <c r="X477" s="233">
        <v>10.7</v>
      </c>
      <c r="Y477" s="45"/>
      <c r="Z477" s="309"/>
      <c r="AB477" s="3">
        <v>1</v>
      </c>
    </row>
    <row r="478" spans="1:29" ht="45.5" x14ac:dyDescent="0.35">
      <c r="A478" s="433">
        <v>234</v>
      </c>
      <c r="B478" s="1003" t="s">
        <v>165</v>
      </c>
      <c r="C478" s="1003"/>
      <c r="D478" s="2460" t="s">
        <v>4028</v>
      </c>
      <c r="E478" s="2069" t="s">
        <v>10900</v>
      </c>
      <c r="F478" s="1834">
        <v>5</v>
      </c>
      <c r="G478" s="1834">
        <v>5</v>
      </c>
      <c r="H478" s="2349">
        <v>6</v>
      </c>
      <c r="I478" s="483">
        <f>J478+K478+L478</f>
        <v>1.33</v>
      </c>
      <c r="J478" s="297">
        <f>SUM(M478:R478)</f>
        <v>1.33</v>
      </c>
      <c r="K478" s="297"/>
      <c r="L478" s="297"/>
      <c r="M478" s="297"/>
      <c r="N478" s="486"/>
      <c r="O478" s="619"/>
      <c r="P478" s="969"/>
      <c r="Q478" s="932">
        <v>1.33</v>
      </c>
      <c r="R478" s="1615"/>
      <c r="S478" s="45"/>
      <c r="T478" s="233"/>
      <c r="U478" s="233"/>
      <c r="V478" s="233"/>
      <c r="W478" s="45"/>
      <c r="X478" s="233"/>
      <c r="Y478" s="45"/>
      <c r="Z478" s="309"/>
      <c r="AB478" s="3">
        <v>1</v>
      </c>
    </row>
    <row r="479" spans="1:29" ht="45.5" x14ac:dyDescent="0.35">
      <c r="A479" s="433">
        <v>235</v>
      </c>
      <c r="B479" s="1003" t="s">
        <v>165</v>
      </c>
      <c r="C479" s="1003"/>
      <c r="D479" s="2460" t="s">
        <v>4029</v>
      </c>
      <c r="E479" s="2069" t="s">
        <v>10901</v>
      </c>
      <c r="F479" s="1834" t="s">
        <v>827</v>
      </c>
      <c r="G479" s="1834">
        <v>5</v>
      </c>
      <c r="H479" s="2349">
        <v>6</v>
      </c>
      <c r="I479" s="483">
        <f>J479+K479+L479</f>
        <v>0.46500000000000002</v>
      </c>
      <c r="J479" s="297">
        <f>SUM(M479:R479)</f>
        <v>0.46500000000000002</v>
      </c>
      <c r="K479" s="297"/>
      <c r="L479" s="297"/>
      <c r="M479" s="297"/>
      <c r="N479" s="486"/>
      <c r="O479" s="619"/>
      <c r="P479" s="969"/>
      <c r="Q479" s="932"/>
      <c r="R479" s="1615">
        <v>0.46500000000000002</v>
      </c>
      <c r="S479" s="45"/>
      <c r="T479" s="233"/>
      <c r="U479" s="233"/>
      <c r="V479" s="233"/>
      <c r="W479" s="45">
        <v>1</v>
      </c>
      <c r="X479" s="233">
        <v>11</v>
      </c>
      <c r="Y479" s="45"/>
      <c r="Z479" s="309"/>
      <c r="AB479" s="3">
        <v>1</v>
      </c>
    </row>
    <row r="480" spans="1:29" ht="45.5" x14ac:dyDescent="0.35">
      <c r="A480" s="433">
        <v>236</v>
      </c>
      <c r="B480" s="1005" t="s">
        <v>165</v>
      </c>
      <c r="C480" s="1005"/>
      <c r="D480" s="2460" t="s">
        <v>4030</v>
      </c>
      <c r="E480" s="2069" t="s">
        <v>10902</v>
      </c>
      <c r="F480" s="1834" t="s">
        <v>827</v>
      </c>
      <c r="G480" s="1834">
        <v>5</v>
      </c>
      <c r="H480" s="2349">
        <v>6</v>
      </c>
      <c r="I480" s="297">
        <f>J480+K480+L480</f>
        <v>1.22</v>
      </c>
      <c r="J480" s="297">
        <f>SUM(M480:R480)</f>
        <v>1.22</v>
      </c>
      <c r="K480" s="297"/>
      <c r="L480" s="297"/>
      <c r="M480" s="297"/>
      <c r="N480" s="486"/>
      <c r="O480" s="619"/>
      <c r="P480" s="969"/>
      <c r="Q480" s="932"/>
      <c r="R480" s="925">
        <v>1.22</v>
      </c>
      <c r="S480" s="45"/>
      <c r="T480" s="233"/>
      <c r="U480" s="233"/>
      <c r="V480" s="233"/>
      <c r="W480" s="45">
        <v>2</v>
      </c>
      <c r="X480" s="233">
        <v>23.7</v>
      </c>
      <c r="Y480" s="45"/>
      <c r="Z480" s="2194"/>
      <c r="AB480" s="3">
        <v>1</v>
      </c>
    </row>
    <row r="481" spans="1:29" ht="45.5" x14ac:dyDescent="0.35">
      <c r="A481" s="433">
        <v>237</v>
      </c>
      <c r="B481" s="1005" t="s">
        <v>165</v>
      </c>
      <c r="C481" s="1005"/>
      <c r="D481" s="2460" t="s">
        <v>4031</v>
      </c>
      <c r="E481" s="2069" t="s">
        <v>10903</v>
      </c>
      <c r="F481" s="1834"/>
      <c r="G481" s="1834" t="s">
        <v>191</v>
      </c>
      <c r="H481" s="2349" t="s">
        <v>191</v>
      </c>
      <c r="I481" s="297">
        <f>J481+K481+L481</f>
        <v>1.325</v>
      </c>
      <c r="J481" s="297">
        <f>SUM(M481:R481)</f>
        <v>1.325</v>
      </c>
      <c r="K481" s="297"/>
      <c r="L481" s="297"/>
      <c r="M481" s="297"/>
      <c r="N481" s="486">
        <f>SUM(N482:N483)</f>
        <v>0.35</v>
      </c>
      <c r="O481" s="619"/>
      <c r="P481" s="969"/>
      <c r="Q481" s="932"/>
      <c r="R481" s="925">
        <f>SUM(R482:R483)</f>
        <v>0.97499999999999998</v>
      </c>
      <c r="S481" s="45"/>
      <c r="T481" s="233"/>
      <c r="U481" s="233"/>
      <c r="V481" s="233"/>
      <c r="W481" s="45"/>
      <c r="X481" s="233"/>
      <c r="Y481" s="45"/>
      <c r="Z481" s="2194"/>
      <c r="AB481" s="3">
        <v>1</v>
      </c>
    </row>
    <row r="482" spans="1:29" x14ac:dyDescent="0.35">
      <c r="A482" s="1003"/>
      <c r="B482" s="1005"/>
      <c r="C482" s="1005"/>
      <c r="D482" s="2460"/>
      <c r="E482" s="507" t="s">
        <v>1898</v>
      </c>
      <c r="F482" s="725" t="s">
        <v>827</v>
      </c>
      <c r="G482" s="725">
        <v>5</v>
      </c>
      <c r="H482" s="2806">
        <v>6</v>
      </c>
      <c r="I482" s="488"/>
      <c r="J482" s="488"/>
      <c r="K482" s="488"/>
      <c r="L482" s="488"/>
      <c r="M482" s="488"/>
      <c r="N482" s="488">
        <v>0.35</v>
      </c>
      <c r="O482" s="300"/>
      <c r="P482" s="1835"/>
      <c r="Q482" s="2535"/>
      <c r="R482" s="2049"/>
      <c r="S482" s="45"/>
      <c r="T482" s="233"/>
      <c r="U482" s="233"/>
      <c r="V482" s="233"/>
      <c r="W482" s="45"/>
      <c r="X482" s="233"/>
      <c r="Y482" s="45"/>
      <c r="Z482" s="2194"/>
    </row>
    <row r="483" spans="1:29" x14ac:dyDescent="0.35">
      <c r="A483" s="1003"/>
      <c r="B483" s="1005"/>
      <c r="C483" s="1005"/>
      <c r="D483" s="2460"/>
      <c r="E483" s="841" t="s">
        <v>11071</v>
      </c>
      <c r="F483" s="1834" t="s">
        <v>827</v>
      </c>
      <c r="G483" s="1834">
        <v>5</v>
      </c>
      <c r="H483" s="2349">
        <v>6</v>
      </c>
      <c r="I483" s="298"/>
      <c r="J483" s="298"/>
      <c r="K483" s="298"/>
      <c r="L483" s="298"/>
      <c r="M483" s="298"/>
      <c r="N483" s="487"/>
      <c r="O483" s="300"/>
      <c r="P483" s="1835"/>
      <c r="Q483" s="1836"/>
      <c r="R483" s="2049">
        <f>1.325-0.35</f>
        <v>0.97499999999999998</v>
      </c>
      <c r="S483" s="45"/>
      <c r="T483" s="233"/>
      <c r="U483" s="233"/>
      <c r="V483" s="233"/>
      <c r="W483" s="45"/>
      <c r="X483" s="233"/>
      <c r="Y483" s="45"/>
      <c r="Z483" s="2194"/>
    </row>
    <row r="484" spans="1:29" ht="30.5" x14ac:dyDescent="0.35">
      <c r="A484" s="1005"/>
      <c r="B484" s="1005" t="s">
        <v>166</v>
      </c>
      <c r="C484" s="1005"/>
      <c r="D484" s="434"/>
      <c r="E484" s="1596" t="s">
        <v>2109</v>
      </c>
      <c r="F484" s="1834"/>
      <c r="G484" s="1834"/>
      <c r="H484" s="1834"/>
      <c r="I484" s="297"/>
      <c r="J484" s="297"/>
      <c r="K484" s="297"/>
      <c r="L484" s="297"/>
      <c r="M484" s="297"/>
      <c r="N484" s="486"/>
      <c r="O484" s="619"/>
      <c r="P484" s="969"/>
      <c r="Q484" s="932"/>
      <c r="R484" s="925"/>
      <c r="S484" s="45"/>
      <c r="T484" s="233"/>
      <c r="U484" s="233"/>
      <c r="V484" s="233"/>
      <c r="W484" s="45"/>
      <c r="X484" s="233"/>
      <c r="Y484" s="45"/>
      <c r="Z484" s="2194"/>
    </row>
    <row r="485" spans="1:29" ht="30.5" x14ac:dyDescent="0.35">
      <c r="A485" s="1005">
        <v>238</v>
      </c>
      <c r="B485" s="1005" t="s">
        <v>166</v>
      </c>
      <c r="C485" s="1005"/>
      <c r="D485" s="2460" t="s">
        <v>4032</v>
      </c>
      <c r="E485" s="407" t="s">
        <v>11562</v>
      </c>
      <c r="F485" s="1834"/>
      <c r="G485" s="1834" t="s">
        <v>191</v>
      </c>
      <c r="H485" s="2349" t="s">
        <v>191</v>
      </c>
      <c r="I485" s="2865">
        <f>J485+K485+L485</f>
        <v>1.53</v>
      </c>
      <c r="J485" s="2865">
        <f>SUM(M485:R485)</f>
        <v>1.53</v>
      </c>
      <c r="K485" s="297"/>
      <c r="L485" s="297"/>
      <c r="M485" s="297"/>
      <c r="N485" s="2865">
        <f>SUM(N486:N487)</f>
        <v>0.85</v>
      </c>
      <c r="O485" s="619"/>
      <c r="P485" s="969"/>
      <c r="Q485" s="932"/>
      <c r="R485" s="925">
        <f>SUM(R486:R487)</f>
        <v>0.68</v>
      </c>
      <c r="S485" s="45"/>
      <c r="T485" s="233"/>
      <c r="U485" s="233"/>
      <c r="V485" s="233"/>
      <c r="W485" s="45">
        <v>1</v>
      </c>
      <c r="X485" s="233">
        <v>10.199999999999999</v>
      </c>
      <c r="Y485" s="45"/>
      <c r="Z485" s="2194"/>
      <c r="AB485" s="3">
        <v>1</v>
      </c>
    </row>
    <row r="486" spans="1:29" x14ac:dyDescent="0.35">
      <c r="A486" s="1005"/>
      <c r="B486" s="1005"/>
      <c r="C486" s="1005"/>
      <c r="D486" s="434"/>
      <c r="E486" s="431" t="s">
        <v>11561</v>
      </c>
      <c r="F486" s="1834" t="s">
        <v>827</v>
      </c>
      <c r="G486" s="1834">
        <v>5</v>
      </c>
      <c r="H486" s="2349">
        <v>6</v>
      </c>
      <c r="I486" s="298"/>
      <c r="J486" s="298"/>
      <c r="K486" s="298"/>
      <c r="L486" s="298"/>
      <c r="M486" s="298"/>
      <c r="N486" s="2535">
        <v>0.85</v>
      </c>
      <c r="O486" s="300"/>
      <c r="P486" s="1835"/>
      <c r="Q486" s="1836"/>
      <c r="R486" s="2049"/>
      <c r="S486" s="45"/>
      <c r="T486" s="233"/>
      <c r="U486" s="233"/>
      <c r="V486" s="233"/>
      <c r="W486" s="45"/>
      <c r="X486" s="233"/>
      <c r="Y486" s="45"/>
      <c r="Z486" s="2194"/>
    </row>
    <row r="487" spans="1:29" x14ac:dyDescent="0.35">
      <c r="A487" s="1005"/>
      <c r="B487" s="1005"/>
      <c r="C487" s="1005"/>
      <c r="D487" s="434"/>
      <c r="E487" s="841" t="s">
        <v>11560</v>
      </c>
      <c r="F487" s="1834" t="s">
        <v>827</v>
      </c>
      <c r="G487" s="1834">
        <v>5</v>
      </c>
      <c r="H487" s="2349">
        <v>6</v>
      </c>
      <c r="I487" s="298"/>
      <c r="J487" s="298"/>
      <c r="K487" s="298"/>
      <c r="L487" s="298"/>
      <c r="M487" s="298"/>
      <c r="N487" s="487"/>
      <c r="O487" s="300"/>
      <c r="P487" s="1835"/>
      <c r="Q487" s="1836"/>
      <c r="R487" s="2049">
        <f>1.53-0.85</f>
        <v>0.68</v>
      </c>
      <c r="S487" s="45"/>
      <c r="T487" s="233"/>
      <c r="U487" s="233"/>
      <c r="V487" s="233"/>
      <c r="W487" s="45"/>
      <c r="X487" s="233"/>
      <c r="Y487" s="45"/>
      <c r="Z487" s="2194"/>
    </row>
    <row r="488" spans="1:29" ht="60.5" x14ac:dyDescent="0.35">
      <c r="A488" s="1006">
        <v>239</v>
      </c>
      <c r="B488" s="1006" t="s">
        <v>166</v>
      </c>
      <c r="C488" s="1006" t="s">
        <v>1655</v>
      </c>
      <c r="D488" s="2460" t="s">
        <v>4033</v>
      </c>
      <c r="E488" s="407" t="s">
        <v>7499</v>
      </c>
      <c r="F488" s="1834" t="s">
        <v>1490</v>
      </c>
      <c r="G488" s="1834">
        <v>5</v>
      </c>
      <c r="H488" s="2349">
        <v>6</v>
      </c>
      <c r="I488" s="297">
        <f>J488+K488+L488</f>
        <v>0.2</v>
      </c>
      <c r="J488" s="297">
        <f>SUM(M488:R488)</f>
        <v>0.2</v>
      </c>
      <c r="K488" s="297"/>
      <c r="L488" s="297"/>
      <c r="M488" s="297"/>
      <c r="N488" s="486">
        <v>0.2</v>
      </c>
      <c r="O488" s="619"/>
      <c r="P488" s="969"/>
      <c r="Q488" s="932"/>
      <c r="R488" s="925"/>
      <c r="S488" s="45"/>
      <c r="T488" s="233"/>
      <c r="U488" s="233"/>
      <c r="V488" s="233"/>
      <c r="W488" s="45"/>
      <c r="X488" s="233"/>
      <c r="Y488" s="45"/>
      <c r="Z488" s="2194"/>
      <c r="AB488" s="3">
        <v>1</v>
      </c>
    </row>
    <row r="489" spans="1:29" ht="60.5" x14ac:dyDescent="0.35">
      <c r="A489" s="1005">
        <v>240</v>
      </c>
      <c r="B489" s="1006" t="s">
        <v>166</v>
      </c>
      <c r="C489" s="1006" t="s">
        <v>1655</v>
      </c>
      <c r="D489" s="2460" t="s">
        <v>4034</v>
      </c>
      <c r="E489" s="407" t="s">
        <v>7500</v>
      </c>
      <c r="F489" s="1834" t="s">
        <v>1490</v>
      </c>
      <c r="G489" s="1834">
        <v>5</v>
      </c>
      <c r="H489" s="2349">
        <v>6</v>
      </c>
      <c r="I489" s="297">
        <f>J489+K489+L489</f>
        <v>0.2</v>
      </c>
      <c r="J489" s="297">
        <f>SUM(M489:R489)</f>
        <v>0.2</v>
      </c>
      <c r="K489" s="297"/>
      <c r="L489" s="297"/>
      <c r="M489" s="297"/>
      <c r="N489" s="486"/>
      <c r="O489" s="619"/>
      <c r="P489" s="969"/>
      <c r="Q489" s="932"/>
      <c r="R489" s="925">
        <v>0.2</v>
      </c>
      <c r="S489" s="45"/>
      <c r="T489" s="233"/>
      <c r="U489" s="233"/>
      <c r="V489" s="233"/>
      <c r="W489" s="45"/>
      <c r="X489" s="233"/>
      <c r="Y489" s="45"/>
      <c r="Z489" s="2194"/>
      <c r="AB489" s="3">
        <v>1</v>
      </c>
    </row>
    <row r="490" spans="1:29" ht="30.5" x14ac:dyDescent="0.35">
      <c r="A490" s="1006">
        <v>241</v>
      </c>
      <c r="B490" s="1005" t="s">
        <v>166</v>
      </c>
      <c r="C490" s="1005"/>
      <c r="D490" s="2460" t="s">
        <v>4035</v>
      </c>
      <c r="E490" s="407" t="s">
        <v>7501</v>
      </c>
      <c r="F490" s="1834" t="s">
        <v>827</v>
      </c>
      <c r="G490" s="1834">
        <v>5</v>
      </c>
      <c r="H490" s="2349">
        <v>6</v>
      </c>
      <c r="I490" s="297">
        <f>J490+K490+L490</f>
        <v>0.73</v>
      </c>
      <c r="J490" s="297">
        <f>SUM(M490:R490)</f>
        <v>0.73</v>
      </c>
      <c r="K490" s="297"/>
      <c r="L490" s="297"/>
      <c r="M490" s="297"/>
      <c r="N490" s="486"/>
      <c r="O490" s="619"/>
      <c r="P490" s="969"/>
      <c r="Q490" s="932">
        <v>0.73</v>
      </c>
      <c r="R490" s="2706"/>
      <c r="S490" s="45"/>
      <c r="T490" s="233"/>
      <c r="U490" s="233"/>
      <c r="V490" s="233"/>
      <c r="W490" s="45">
        <v>1</v>
      </c>
      <c r="X490" s="233">
        <v>10</v>
      </c>
      <c r="Y490" s="45"/>
      <c r="Z490" s="2194"/>
      <c r="AB490" s="3">
        <v>1</v>
      </c>
    </row>
    <row r="491" spans="1:29" ht="30.5" x14ac:dyDescent="0.35">
      <c r="A491" s="1005">
        <v>242</v>
      </c>
      <c r="B491" s="693" t="s">
        <v>166</v>
      </c>
      <c r="C491" s="693"/>
      <c r="D491" s="2460" t="s">
        <v>4036</v>
      </c>
      <c r="E491" s="2069" t="s">
        <v>7502</v>
      </c>
      <c r="F491" s="92" t="s">
        <v>1490</v>
      </c>
      <c r="G491" s="92">
        <v>5</v>
      </c>
      <c r="H491" s="2349">
        <v>6</v>
      </c>
      <c r="I491" s="702">
        <f>J491+K491+L491</f>
        <v>0.8</v>
      </c>
      <c r="J491" s="702">
        <f>SUM(M491:R491)</f>
        <v>0.8</v>
      </c>
      <c r="K491" s="622"/>
      <c r="L491" s="622"/>
      <c r="M491" s="622"/>
      <c r="N491" s="622"/>
      <c r="O491" s="622"/>
      <c r="P491" s="622"/>
      <c r="Q491" s="622"/>
      <c r="R491" s="906">
        <v>0.8</v>
      </c>
      <c r="S491" s="106"/>
      <c r="T491" s="106"/>
      <c r="U491" s="106"/>
      <c r="V491" s="106"/>
      <c r="W491" s="105"/>
      <c r="X491" s="105"/>
      <c r="Y491" s="105"/>
      <c r="Z491" s="181"/>
      <c r="AB491" s="3">
        <v>1</v>
      </c>
      <c r="AC491" s="3" t="s">
        <v>2570</v>
      </c>
    </row>
    <row r="492" spans="1:29" ht="30.5" x14ac:dyDescent="0.35">
      <c r="A492" s="1006"/>
      <c r="B492" s="1006" t="s">
        <v>571</v>
      </c>
      <c r="C492" s="1006"/>
      <c r="D492" s="440"/>
      <c r="E492" s="1596" t="s">
        <v>327</v>
      </c>
      <c r="F492" s="1834"/>
      <c r="G492" s="1834"/>
      <c r="H492" s="1834"/>
      <c r="I492" s="297"/>
      <c r="J492" s="297"/>
      <c r="K492" s="297"/>
      <c r="L492" s="297"/>
      <c r="M492" s="297"/>
      <c r="N492" s="486"/>
      <c r="O492" s="619"/>
      <c r="P492" s="969"/>
      <c r="Q492" s="932"/>
      <c r="R492" s="925"/>
      <c r="S492" s="45"/>
      <c r="T492" s="233"/>
      <c r="U492" s="233"/>
      <c r="V492" s="233"/>
      <c r="W492" s="45"/>
      <c r="X492" s="233"/>
      <c r="Y492" s="45"/>
      <c r="Z492" s="2194"/>
    </row>
    <row r="493" spans="1:29" ht="30.5" x14ac:dyDescent="0.35">
      <c r="A493" s="1005">
        <v>243</v>
      </c>
      <c r="B493" s="1005" t="s">
        <v>571</v>
      </c>
      <c r="C493" s="1005"/>
      <c r="D493" s="2460" t="s">
        <v>4037</v>
      </c>
      <c r="E493" s="407" t="s">
        <v>7503</v>
      </c>
      <c r="F493" s="1834" t="s">
        <v>827</v>
      </c>
      <c r="G493" s="1834">
        <v>5</v>
      </c>
      <c r="H493" s="2349">
        <v>6</v>
      </c>
      <c r="I493" s="297">
        <f>J493+K493+L493</f>
        <v>3.55</v>
      </c>
      <c r="J493" s="297">
        <f>SUM(M493:R493)</f>
        <v>3.55</v>
      </c>
      <c r="K493" s="297"/>
      <c r="L493" s="297"/>
      <c r="M493" s="297"/>
      <c r="N493" s="486"/>
      <c r="O493" s="619"/>
      <c r="P493" s="969"/>
      <c r="Q493" s="932">
        <v>3.55</v>
      </c>
      <c r="R493" s="2706"/>
      <c r="S493" s="45"/>
      <c r="T493" s="233"/>
      <c r="U493" s="233"/>
      <c r="V493" s="233"/>
      <c r="W493" s="45"/>
      <c r="X493" s="233"/>
      <c r="Y493" s="45"/>
      <c r="Z493" s="2194"/>
      <c r="AB493" s="3">
        <v>1</v>
      </c>
      <c r="AC493" s="3" t="s">
        <v>2570</v>
      </c>
    </row>
    <row r="494" spans="1:29" ht="30.5" x14ac:dyDescent="0.35">
      <c r="A494" s="1005">
        <v>244</v>
      </c>
      <c r="B494" s="1005" t="s">
        <v>571</v>
      </c>
      <c r="C494" s="1004" t="s">
        <v>1656</v>
      </c>
      <c r="D494" s="2460" t="s">
        <v>4038</v>
      </c>
      <c r="E494" s="407" t="s">
        <v>8209</v>
      </c>
      <c r="F494" s="1834" t="s">
        <v>1490</v>
      </c>
      <c r="G494" s="1834">
        <v>5</v>
      </c>
      <c r="H494" s="2349">
        <v>6</v>
      </c>
      <c r="I494" s="297">
        <f>J494+K494+L494</f>
        <v>0.5</v>
      </c>
      <c r="J494" s="297">
        <f>SUM(M494:R494)</f>
        <v>0.5</v>
      </c>
      <c r="K494" s="297"/>
      <c r="L494" s="297"/>
      <c r="M494" s="297"/>
      <c r="N494" s="486"/>
      <c r="O494" s="619"/>
      <c r="P494" s="969"/>
      <c r="Q494" s="932"/>
      <c r="R494" s="925">
        <v>0.5</v>
      </c>
      <c r="S494" s="45"/>
      <c r="T494" s="233"/>
      <c r="U494" s="233"/>
      <c r="V494" s="233"/>
      <c r="W494" s="45"/>
      <c r="X494" s="233"/>
      <c r="Y494" s="45"/>
      <c r="Z494" s="2194"/>
      <c r="AB494" s="3">
        <v>1</v>
      </c>
    </row>
    <row r="495" spans="1:29" ht="90.5" x14ac:dyDescent="0.35">
      <c r="A495" s="1005"/>
      <c r="B495" s="1006" t="s">
        <v>572</v>
      </c>
      <c r="C495" s="1006"/>
      <c r="D495" s="434"/>
      <c r="E495" s="1596" t="s">
        <v>9671</v>
      </c>
      <c r="F495" s="1834"/>
      <c r="G495" s="1834"/>
      <c r="H495" s="1834"/>
      <c r="I495" s="297"/>
      <c r="J495" s="297"/>
      <c r="K495" s="297"/>
      <c r="L495" s="297"/>
      <c r="M495" s="297"/>
      <c r="N495" s="486"/>
      <c r="O495" s="619"/>
      <c r="P495" s="969"/>
      <c r="Q495" s="932"/>
      <c r="R495" s="925"/>
      <c r="S495" s="45"/>
      <c r="T495" s="233"/>
      <c r="U495" s="233"/>
      <c r="V495" s="233"/>
      <c r="W495" s="45"/>
      <c r="X495" s="233"/>
      <c r="Y495" s="45"/>
      <c r="Z495" s="2194"/>
    </row>
    <row r="496" spans="1:29" ht="60.5" x14ac:dyDescent="0.35">
      <c r="A496" s="1006">
        <v>245</v>
      </c>
      <c r="B496" s="1006" t="s">
        <v>572</v>
      </c>
      <c r="C496" s="1006"/>
      <c r="D496" s="2460" t="s">
        <v>4039</v>
      </c>
      <c r="E496" s="2069" t="s">
        <v>10904</v>
      </c>
      <c r="F496" s="1834" t="s">
        <v>9672</v>
      </c>
      <c r="G496" s="1834" t="s">
        <v>9672</v>
      </c>
      <c r="H496" s="2349" t="s">
        <v>9672</v>
      </c>
      <c r="I496" s="297">
        <f>J496+K496+L496</f>
        <v>1.55</v>
      </c>
      <c r="J496" s="297">
        <f>SUM(M496:R496)</f>
        <v>0.15000000000000013</v>
      </c>
      <c r="K496" s="297"/>
      <c r="L496" s="297">
        <f>SUM(L497:L498)</f>
        <v>1.4</v>
      </c>
      <c r="M496" s="297"/>
      <c r="N496" s="486"/>
      <c r="O496" s="619"/>
      <c r="P496" s="969"/>
      <c r="Q496" s="932"/>
      <c r="R496" s="925">
        <f>SUM(R497:R498)</f>
        <v>0.15000000000000013</v>
      </c>
      <c r="S496" s="45"/>
      <c r="T496" s="233"/>
      <c r="U496" s="233"/>
      <c r="V496" s="233"/>
      <c r="W496" s="45"/>
      <c r="X496" s="233"/>
      <c r="Y496" s="45"/>
      <c r="Z496" s="2194"/>
      <c r="AB496" s="3">
        <v>1</v>
      </c>
    </row>
    <row r="497" spans="1:32" s="176" customFormat="1" ht="46.5" x14ac:dyDescent="0.35">
      <c r="A497" s="1573"/>
      <c r="B497" s="1006" t="s">
        <v>572</v>
      </c>
      <c r="C497" s="1052"/>
      <c r="D497" s="2473"/>
      <c r="E497" s="816" t="s">
        <v>9673</v>
      </c>
      <c r="F497" s="1834" t="s">
        <v>1490</v>
      </c>
      <c r="G497" s="1834">
        <v>5</v>
      </c>
      <c r="H497" s="812" t="s">
        <v>9672</v>
      </c>
      <c r="I497" s="2116"/>
      <c r="J497" s="2116"/>
      <c r="K497" s="493"/>
      <c r="L497" s="493">
        <v>1.4</v>
      </c>
      <c r="M497" s="493"/>
      <c r="N497" s="493"/>
      <c r="O497" s="493"/>
      <c r="P497" s="493"/>
      <c r="Q497" s="2181"/>
      <c r="R497" s="907"/>
      <c r="S497" s="101"/>
      <c r="T497" s="101"/>
      <c r="U497" s="101"/>
      <c r="V497" s="101"/>
      <c r="W497" s="1969"/>
      <c r="X497" s="1969"/>
      <c r="Y497" s="1969"/>
      <c r="Z497" s="2186"/>
      <c r="AE497" s="2461"/>
      <c r="AF497" s="68"/>
    </row>
    <row r="498" spans="1:32" x14ac:dyDescent="0.35">
      <c r="A498" s="1005"/>
      <c r="B498" s="1006" t="s">
        <v>572</v>
      </c>
      <c r="C498" s="1005"/>
      <c r="D498" s="434"/>
      <c r="E498" s="841" t="s">
        <v>9674</v>
      </c>
      <c r="F498" s="1834" t="s">
        <v>1490</v>
      </c>
      <c r="G498" s="1834">
        <v>5</v>
      </c>
      <c r="H498" s="2349">
        <v>6</v>
      </c>
      <c r="I498" s="298"/>
      <c r="J498" s="298"/>
      <c r="K498" s="298"/>
      <c r="L498" s="298"/>
      <c r="M498" s="298"/>
      <c r="N498" s="487"/>
      <c r="O498" s="300"/>
      <c r="P498" s="1835"/>
      <c r="Q498" s="1836"/>
      <c r="R498" s="2049">
        <f>1.55-1.4</f>
        <v>0.15000000000000013</v>
      </c>
      <c r="S498" s="45"/>
      <c r="T498" s="233"/>
      <c r="U498" s="233"/>
      <c r="V498" s="233"/>
      <c r="W498" s="45"/>
      <c r="X498" s="233"/>
      <c r="Y498" s="45"/>
      <c r="Z498" s="2194"/>
    </row>
    <row r="499" spans="1:32" x14ac:dyDescent="0.35">
      <c r="F499" s="1021"/>
      <c r="G499" s="1021"/>
      <c r="H499" s="1021"/>
    </row>
    <row r="500" spans="1:32" x14ac:dyDescent="0.35">
      <c r="F500" s="1021"/>
      <c r="G500" s="1021"/>
      <c r="H500" s="1021"/>
    </row>
    <row r="501" spans="1:32" x14ac:dyDescent="0.35">
      <c r="F501" s="1021"/>
      <c r="G501" s="1021"/>
      <c r="H501" s="1021"/>
    </row>
    <row r="502" spans="1:32" x14ac:dyDescent="0.35">
      <c r="F502" s="1021"/>
      <c r="G502" s="1021"/>
      <c r="H502" s="1021"/>
    </row>
    <row r="503" spans="1:32" x14ac:dyDescent="0.35">
      <c r="F503" s="1021"/>
      <c r="G503" s="1021"/>
      <c r="H503" s="1021"/>
    </row>
    <row r="504" spans="1:32" x14ac:dyDescent="0.35">
      <c r="F504" s="1021"/>
      <c r="G504" s="1021"/>
      <c r="H504" s="1021"/>
    </row>
    <row r="505" spans="1:32" x14ac:dyDescent="0.35">
      <c r="F505" s="1021"/>
      <c r="G505" s="1021"/>
      <c r="H505" s="1021"/>
    </row>
    <row r="506" spans="1:32" x14ac:dyDescent="0.35">
      <c r="F506" s="1021"/>
      <c r="G506" s="1021"/>
      <c r="H506" s="1021"/>
    </row>
  </sheetData>
  <autoFilter ref="A29:AB498"/>
  <mergeCells count="35">
    <mergeCell ref="Y7:Y8"/>
    <mergeCell ref="Z7:Z8"/>
    <mergeCell ref="W7:W8"/>
    <mergeCell ref="X7:X8"/>
    <mergeCell ref="Q6:Q8"/>
    <mergeCell ref="Y6:Z6"/>
    <mergeCell ref="U7:U8"/>
    <mergeCell ref="V7:V8"/>
    <mergeCell ref="T7:T8"/>
    <mergeCell ref="A2:Z2"/>
    <mergeCell ref="A3:Z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W6:X6"/>
    <mergeCell ref="W5:Z5"/>
    <mergeCell ref="I6:I8"/>
    <mergeCell ref="H5:H8"/>
    <mergeCell ref="O6:O8"/>
    <mergeCell ref="P6:P8"/>
    <mergeCell ref="S5:V5"/>
    <mergeCell ref="U6:V6"/>
    <mergeCell ref="J6:J8"/>
    <mergeCell ref="K6:K8"/>
    <mergeCell ref="S7:S8"/>
    <mergeCell ref="L6:L8"/>
    <mergeCell ref="M6:M8"/>
  </mergeCells>
  <phoneticPr fontId="0" type="noConversion"/>
  <printOptions horizontalCentered="1"/>
  <pageMargins left="0.23" right="0.21" top="0.78740157480314965" bottom="0.39370078740157483" header="0.51181102362204722" footer="0.19685039370078741"/>
  <pageSetup paperSize="9" scale="59" fitToHeight="0" orientation="landscape" r:id="rId1"/>
  <headerFooter alignWithMargins="0">
    <oddFooter>&amp;L&amp;"Times New Roman,обычный"&amp;10Бобруйское ДРСУ-171&amp;R&amp;"Times New Roman,обычный"&amp;10&amp;P</oddFooter>
  </headerFooter>
  <rowBreaks count="9" manualBreakCount="9">
    <brk id="49" max="24" man="1"/>
    <brk id="133" max="24" man="1"/>
    <brk id="172" max="24" man="1"/>
    <brk id="208" max="24" man="1"/>
    <brk id="284" max="24" man="1"/>
    <brk id="314" max="24" man="1"/>
    <brk id="384" max="24" man="1"/>
    <brk id="417" max="24" man="1"/>
    <brk id="43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M531"/>
  <sheetViews>
    <sheetView zoomScale="90" zoomScaleNormal="90" workbookViewId="0">
      <pane xSplit="5" ySplit="10" topLeftCell="F11" activePane="bottomRight" state="frozen"/>
      <selection activeCell="V129" sqref="V129"/>
      <selection pane="topRight" activeCell="V129" sqref="V129"/>
      <selection pane="bottomLeft" activeCell="V129" sqref="V129"/>
      <selection pane="bottomRight" activeCell="H5" sqref="H5:H8"/>
    </sheetView>
  </sheetViews>
  <sheetFormatPr defaultColWidth="9.75" defaultRowHeight="15.5" x14ac:dyDescent="0.35"/>
  <cols>
    <col min="1" max="1" width="5.08203125" style="7" customWidth="1"/>
    <col min="2" max="3" width="7.25" style="7" hidden="1" customWidth="1"/>
    <col min="4" max="4" width="7.33203125" style="3" customWidth="1"/>
    <col min="5" max="5" width="43.4140625" style="3" customWidth="1"/>
    <col min="6" max="6" width="6.75" style="7" customWidth="1"/>
    <col min="7" max="10" width="7.25" style="7" customWidth="1"/>
    <col min="11" max="13" width="6.75" style="7" customWidth="1"/>
    <col min="14" max="14" width="7.08203125" style="7" customWidth="1"/>
    <col min="15" max="16" width="6.75" style="7" customWidth="1"/>
    <col min="17" max="17" width="7.25" style="7" customWidth="1"/>
    <col min="18" max="18" width="7.08203125" style="7" customWidth="1"/>
    <col min="19" max="19" width="4.4140625" style="7" customWidth="1"/>
    <col min="20" max="20" width="6.25" style="7" customWidth="1"/>
    <col min="21" max="21" width="4.6640625" style="7" customWidth="1"/>
    <col min="22" max="22" width="5.6640625" style="7" customWidth="1"/>
    <col min="23" max="23" width="4.4140625" style="7" customWidth="1"/>
    <col min="24" max="24" width="8.08203125" style="7" customWidth="1"/>
    <col min="25" max="25" width="4.4140625" style="7" customWidth="1"/>
    <col min="26" max="26" width="7.75" style="7" customWidth="1"/>
    <col min="27" max="36" width="9.75" style="3"/>
    <col min="37" max="37" width="22.25" style="3" customWidth="1"/>
    <col min="38" max="16384" width="9.75" style="3"/>
  </cols>
  <sheetData>
    <row r="1" spans="1:39" x14ac:dyDescent="0.35">
      <c r="E1" s="29"/>
      <c r="F1" s="82"/>
    </row>
    <row r="2" spans="1:39" ht="20" x14ac:dyDescent="0.4">
      <c r="A2" s="3114" t="s">
        <v>10618</v>
      </c>
      <c r="B2" s="3114"/>
      <c r="C2" s="3114"/>
      <c r="D2" s="3114"/>
      <c r="E2" s="3114"/>
      <c r="F2" s="3114"/>
      <c r="G2" s="3114"/>
      <c r="H2" s="3114"/>
      <c r="I2" s="3114"/>
      <c r="J2" s="3114"/>
      <c r="K2" s="3114"/>
      <c r="L2" s="3114"/>
      <c r="M2" s="3114"/>
      <c r="N2" s="3114"/>
      <c r="O2" s="3114"/>
      <c r="P2" s="3114"/>
      <c r="Q2" s="3114"/>
      <c r="R2" s="3114"/>
      <c r="S2" s="3114"/>
      <c r="T2" s="3114"/>
      <c r="U2" s="3114"/>
      <c r="V2" s="3114"/>
      <c r="W2" s="3114"/>
      <c r="X2" s="3114"/>
      <c r="Y2" s="3114"/>
      <c r="Z2" s="3114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E4" s="29"/>
      <c r="F4" s="82"/>
      <c r="J4" s="1853"/>
      <c r="O4" s="1995"/>
      <c r="Q4" s="1853"/>
      <c r="T4" s="284"/>
    </row>
    <row r="5" spans="1:39" ht="15.75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105" t="s">
        <v>3086</v>
      </c>
      <c r="T5" s="3106"/>
      <c r="U5" s="3106"/>
      <c r="V5" s="3108"/>
      <c r="W5" s="3105" t="s">
        <v>2907</v>
      </c>
      <c r="X5" s="3106"/>
      <c r="Y5" s="3106"/>
      <c r="Z5" s="3107"/>
      <c r="AA5" s="2252"/>
    </row>
    <row r="6" spans="1:39" ht="33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100" t="s">
        <v>911</v>
      </c>
      <c r="T6" s="3101"/>
      <c r="U6" s="3109" t="s">
        <v>24</v>
      </c>
      <c r="V6" s="3109"/>
      <c r="W6" s="3110" t="s">
        <v>911</v>
      </c>
      <c r="X6" s="3111"/>
      <c r="Y6" s="3115" t="s">
        <v>926</v>
      </c>
      <c r="Z6" s="3116"/>
      <c r="AA6" s="2252"/>
    </row>
    <row r="7" spans="1:39" ht="15.75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73" t="s">
        <v>3087</v>
      </c>
      <c r="T7" s="3073" t="s">
        <v>2487</v>
      </c>
      <c r="U7" s="3112" t="s">
        <v>3087</v>
      </c>
      <c r="V7" s="3112" t="s">
        <v>2487</v>
      </c>
      <c r="W7" s="3104" t="s">
        <v>3087</v>
      </c>
      <c r="X7" s="3104" t="s">
        <v>2487</v>
      </c>
      <c r="Y7" s="3104" t="s">
        <v>3087</v>
      </c>
      <c r="Z7" s="3102" t="s">
        <v>2487</v>
      </c>
      <c r="AA7" s="2252"/>
    </row>
    <row r="8" spans="1:39" ht="16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73"/>
      <c r="T8" s="3073"/>
      <c r="U8" s="3113"/>
      <c r="V8" s="3113"/>
      <c r="W8" s="3073"/>
      <c r="X8" s="3073"/>
      <c r="Y8" s="3073"/>
      <c r="Z8" s="3103"/>
      <c r="AA8" s="2252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2615">
        <v>16</v>
      </c>
      <c r="T9" s="2615">
        <v>17</v>
      </c>
      <c r="U9" s="2615">
        <v>18</v>
      </c>
      <c r="V9" s="2615">
        <v>19</v>
      </c>
      <c r="W9" s="2615">
        <v>20</v>
      </c>
      <c r="X9" s="2615">
        <v>21</v>
      </c>
      <c r="Y9" s="2615">
        <v>22</v>
      </c>
      <c r="Z9" s="2616">
        <v>23</v>
      </c>
      <c r="AA9" s="2253"/>
      <c r="AB9" s="1268"/>
    </row>
    <row r="10" spans="1:39" ht="16" thickBot="1" x14ac:dyDescent="0.4">
      <c r="A10" s="450"/>
      <c r="B10" s="1267"/>
      <c r="C10" s="1267"/>
      <c r="D10" s="462"/>
      <c r="E10" s="472" t="s">
        <v>2392</v>
      </c>
      <c r="F10" s="451"/>
      <c r="G10" s="451"/>
      <c r="H10" s="451"/>
      <c r="I10" s="1661">
        <f>J10+K10+L10</f>
        <v>628.45500000000004</v>
      </c>
      <c r="J10" s="1661">
        <f>M10+N10+O10+P10+Q10+R10</f>
        <v>627.25700000000006</v>
      </c>
      <c r="K10" s="1661">
        <f t="shared" ref="K10:R10" si="0">K11+K12+K13+K14</f>
        <v>0.8</v>
      </c>
      <c r="L10" s="1661">
        <f t="shared" si="0"/>
        <v>0.39799999999998931</v>
      </c>
      <c r="M10" s="974">
        <f t="shared" si="0"/>
        <v>10.042999999999992</v>
      </c>
      <c r="N10" s="1661">
        <f t="shared" si="0"/>
        <v>243.18000000000009</v>
      </c>
      <c r="O10" s="849">
        <f t="shared" si="0"/>
        <v>1.06</v>
      </c>
      <c r="P10" s="1661">
        <f t="shared" si="0"/>
        <v>0</v>
      </c>
      <c r="Q10" s="858">
        <f t="shared" si="0"/>
        <v>196.18100000000001</v>
      </c>
      <c r="R10" s="868">
        <f t="shared" si="0"/>
        <v>176.79300000000003</v>
      </c>
      <c r="S10" s="103">
        <f>SUM(S30:S906)</f>
        <v>30</v>
      </c>
      <c r="T10" s="1495">
        <f t="shared" ref="T10:Z10" si="1">SUM(T30:T906)</f>
        <v>597.79999999999995</v>
      </c>
      <c r="U10" s="103">
        <f t="shared" si="1"/>
        <v>0</v>
      </c>
      <c r="V10" s="1495">
        <f t="shared" si="1"/>
        <v>0</v>
      </c>
      <c r="W10" s="103">
        <f t="shared" si="1"/>
        <v>931</v>
      </c>
      <c r="X10" s="1495">
        <f t="shared" si="1"/>
        <v>11956.490000000003</v>
      </c>
      <c r="Y10" s="103">
        <f t="shared" si="1"/>
        <v>232</v>
      </c>
      <c r="Z10" s="1662">
        <f t="shared" si="1"/>
        <v>2570.1</v>
      </c>
      <c r="AA10" s="2254"/>
      <c r="AB10" s="1268">
        <f>SUM(AB30:AB913)</f>
        <v>221</v>
      </c>
      <c r="AK10" s="2150" t="s">
        <v>11226</v>
      </c>
      <c r="AL10" s="43"/>
      <c r="AM10" s="2812" t="s">
        <v>11227</v>
      </c>
    </row>
    <row r="11" spans="1:39" x14ac:dyDescent="0.35">
      <c r="A11" s="182"/>
      <c r="B11" s="992"/>
      <c r="C11" s="992"/>
      <c r="D11" s="183"/>
      <c r="E11" s="1264" t="s">
        <v>909</v>
      </c>
      <c r="F11" s="1245">
        <v>3</v>
      </c>
      <c r="G11" s="1245"/>
      <c r="H11" s="1245"/>
      <c r="I11" s="1276"/>
      <c r="J11" s="1276"/>
      <c r="K11" s="1276"/>
      <c r="L11" s="1276"/>
      <c r="M11" s="1344"/>
      <c r="N11" s="1276"/>
      <c r="O11" s="1277"/>
      <c r="P11" s="1276"/>
      <c r="Q11" s="1278"/>
      <c r="R11" s="1279"/>
      <c r="S11" s="2617"/>
      <c r="T11" s="2618"/>
      <c r="U11" s="2617"/>
      <c r="V11" s="2617"/>
      <c r="W11" s="2617"/>
      <c r="X11" s="2619"/>
      <c r="Y11" s="2617"/>
      <c r="Z11" s="2620"/>
      <c r="AA11" s="2255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16.659999999999997</v>
      </c>
      <c r="AM11" s="2814">
        <f>AL11-J18</f>
        <v>0</v>
      </c>
    </row>
    <row r="12" spans="1:39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250">
        <f t="shared" ref="I12:I20" si="2">J12+K12+L12</f>
        <v>299.92000000000013</v>
      </c>
      <c r="J12" s="1250">
        <f t="shared" ref="J12:J20" si="3">R12+Q12+P12+O12+N12+M12</f>
        <v>298.86000000000013</v>
      </c>
      <c r="K12" s="1281">
        <f>SUMIF(F30:F936,4,K30:K936)</f>
        <v>0.8</v>
      </c>
      <c r="L12" s="1281">
        <f>SUMIF(F30:F936,4,L30:L936)</f>
        <v>0.25999999999999562</v>
      </c>
      <c r="M12" s="1345">
        <f>SUMIF(F30:F936,4,M30:M936)</f>
        <v>10.042999999999992</v>
      </c>
      <c r="N12" s="1281">
        <f>SUMIF(F30:F936,4,N30:N936)</f>
        <v>192.39900000000009</v>
      </c>
      <c r="O12" s="1282">
        <f>SUMIF(F30:F936,4,O30:O936)</f>
        <v>0</v>
      </c>
      <c r="P12" s="1281">
        <f>SUMIF(F30:F936,4,P30:P936)</f>
        <v>0</v>
      </c>
      <c r="Q12" s="1283">
        <f>SUMIF(F30:F936,4,Q30:Q936)</f>
        <v>96.418000000000006</v>
      </c>
      <c r="R12" s="1284">
        <f>SUMIF(F30:F936,4,R30:R936)</f>
        <v>0</v>
      </c>
      <c r="S12" s="2451"/>
      <c r="T12" s="249"/>
      <c r="U12" s="2450"/>
      <c r="V12" s="2450"/>
      <c r="W12" s="2450"/>
      <c r="X12" s="2621"/>
      <c r="Y12" s="2450"/>
      <c r="Z12" s="2622"/>
      <c r="AA12" s="2255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285"/>
      <c r="B13" s="993"/>
      <c r="C13" s="993"/>
      <c r="D13" s="274"/>
      <c r="E13" s="640"/>
      <c r="F13" s="1249">
        <v>5</v>
      </c>
      <c r="G13" s="1249"/>
      <c r="H13" s="1249"/>
      <c r="I13" s="1250">
        <f t="shared" si="2"/>
        <v>140.06399999999999</v>
      </c>
      <c r="J13" s="1250">
        <f t="shared" si="3"/>
        <v>140.04599999999999</v>
      </c>
      <c r="K13" s="1281">
        <f>SUMIF(F30:F936,5,K30:K936)</f>
        <v>0</v>
      </c>
      <c r="L13" s="1281">
        <f>SUMIF(F30:F936,5,L30:L936)</f>
        <v>1.7999999999993577E-2</v>
      </c>
      <c r="M13" s="1345">
        <f>SUMIF(F30:F936,5,M30:M936)</f>
        <v>0</v>
      </c>
      <c r="N13" s="1281">
        <f>SUMIF(F30:F936,5,N30:N936)</f>
        <v>39.912000000000006</v>
      </c>
      <c r="O13" s="1282">
        <f>SUMIF(F30:F936,5,O30:O936)</f>
        <v>1.06</v>
      </c>
      <c r="P13" s="1281">
        <f>SUMIF(F30:F936,5,P30:P936)</f>
        <v>0</v>
      </c>
      <c r="Q13" s="1283">
        <f>SUMIF(F30:F936,5,Q30:Q936)</f>
        <v>92.823999999999998</v>
      </c>
      <c r="R13" s="1284">
        <f>SUMIF(F30:F936,5,R30:R936)</f>
        <v>6.25</v>
      </c>
      <c r="S13" s="2451"/>
      <c r="T13" s="249"/>
      <c r="U13" s="2450"/>
      <c r="V13" s="2450"/>
      <c r="W13" s="2450"/>
      <c r="X13" s="2621"/>
      <c r="Y13" s="2450"/>
      <c r="Z13" s="2622"/>
      <c r="AA13" s="2255"/>
      <c r="AD13" s="2777" t="s">
        <v>11126</v>
      </c>
      <c r="AE13" s="2776"/>
      <c r="AF13" s="2778">
        <v>79</v>
      </c>
      <c r="AG13" s="2783">
        <f>M12+N12+O12</f>
        <v>202.44200000000006</v>
      </c>
      <c r="AH13" s="2783">
        <f>M13+N13+O13</f>
        <v>40.972000000000008</v>
      </c>
      <c r="AI13" s="2784">
        <f>M14+N14+O14</f>
        <v>10.869</v>
      </c>
      <c r="AK13" s="2818" t="s">
        <v>7184</v>
      </c>
      <c r="AL13" s="2819">
        <f>AL14+AL15+AL16+AL17+AL18</f>
        <v>16.659999999999997</v>
      </c>
      <c r="AM13" s="2820">
        <f>AL13-AF29</f>
        <v>0</v>
      </c>
    </row>
    <row r="14" spans="1:39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>J14+K14+L14</f>
        <v>188.47100000000003</v>
      </c>
      <c r="J14" s="1250">
        <f>R14+Q14+P14+O14+N14+M14</f>
        <v>188.35100000000003</v>
      </c>
      <c r="K14" s="1250">
        <f>K15+K16+K17</f>
        <v>0</v>
      </c>
      <c r="L14" s="1250">
        <f>L15+L16+L17</f>
        <v>0.12000000000000011</v>
      </c>
      <c r="M14" s="1333">
        <f t="shared" ref="M14:R14" si="4">M15+M16+M17</f>
        <v>0</v>
      </c>
      <c r="N14" s="1250">
        <f t="shared" si="4"/>
        <v>10.869</v>
      </c>
      <c r="O14" s="1251">
        <f t="shared" si="4"/>
        <v>0</v>
      </c>
      <c r="P14" s="1317">
        <f t="shared" si="4"/>
        <v>0</v>
      </c>
      <c r="Q14" s="1252">
        <f t="shared" si="4"/>
        <v>6.9390000000000001</v>
      </c>
      <c r="R14" s="1256">
        <f t="shared" si="4"/>
        <v>170.54300000000003</v>
      </c>
      <c r="S14" s="2451"/>
      <c r="T14" s="249"/>
      <c r="U14" s="2450"/>
      <c r="V14" s="2450"/>
      <c r="W14" s="2450"/>
      <c r="X14" s="2621"/>
      <c r="Y14" s="2450"/>
      <c r="Z14" s="2622"/>
      <c r="AA14" s="2255"/>
      <c r="AD14" s="2777" t="s">
        <v>11127</v>
      </c>
      <c r="AE14" s="2776"/>
      <c r="AF14" s="2778">
        <v>80</v>
      </c>
      <c r="AG14" s="2785">
        <f>P12+Q12</f>
        <v>96.418000000000006</v>
      </c>
      <c r="AH14" s="2785">
        <f>P13+Q13</f>
        <v>92.823999999999998</v>
      </c>
      <c r="AI14" s="2786">
        <f>P14+Q14</f>
        <v>6.9390000000000001</v>
      </c>
      <c r="AK14" s="2815" t="s">
        <v>11230</v>
      </c>
      <c r="AL14" s="2579">
        <f>SUMIFS(M30:M951,F30:F951,4,G30:G951,3)</f>
        <v>10.042999999999992</v>
      </c>
      <c r="AM14" s="2817"/>
    </row>
    <row r="15" spans="1:39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>J15+K15+L15</f>
        <v>47.945000000000007</v>
      </c>
      <c r="J15" s="1318">
        <f>R15+Q15+P15+O15+N15+M15</f>
        <v>47.945000000000007</v>
      </c>
      <c r="K15" s="1318">
        <f>SUMIF(F30:F897,"=6а",K30:K897)</f>
        <v>0</v>
      </c>
      <c r="L15" s="1318">
        <f>SUMIF(F30:F897,"=6а",L30:L897)</f>
        <v>0</v>
      </c>
      <c r="M15" s="2317">
        <f>SUMIF(F30:F897,"=6а",M30:M897)</f>
        <v>0</v>
      </c>
      <c r="N15" s="1318">
        <f>SUMIF(F30:F897,"=6а",N30:N897)</f>
        <v>9.1489999999999991</v>
      </c>
      <c r="O15" s="1319">
        <f>SUMIF(F30:F897,"=6а",O30:O897)</f>
        <v>0</v>
      </c>
      <c r="P15" s="1320">
        <f>SUMIF(F30:F897,"=6а",P30:P897)</f>
        <v>0</v>
      </c>
      <c r="Q15" s="1321">
        <f>SUMIF(F30:F897,"=6а",Q30:Q897)</f>
        <v>2.2859999999999996</v>
      </c>
      <c r="R15" s="1322">
        <f>SUMIF(F30:F897,"=6а",R30:R897)</f>
        <v>36.510000000000005</v>
      </c>
      <c r="S15" s="2450"/>
      <c r="T15" s="249"/>
      <c r="U15" s="2450"/>
      <c r="V15" s="2450"/>
      <c r="W15" s="2450"/>
      <c r="X15" s="2621"/>
      <c r="Y15" s="2450"/>
      <c r="Z15" s="2622"/>
      <c r="AA15" s="2255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6.25</v>
      </c>
      <c r="AI15" s="2788">
        <f>R14</f>
        <v>170.54300000000003</v>
      </c>
      <c r="AK15" s="2815" t="s">
        <v>11231</v>
      </c>
      <c r="AL15" s="2579">
        <f>SUMIFS(N30:N951,F30:F951,4,G30:G951,3)</f>
        <v>6.6170000000000044</v>
      </c>
      <c r="AM15" s="2817"/>
    </row>
    <row r="16" spans="1:39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>J16+K16+L16</f>
        <v>46.308</v>
      </c>
      <c r="J16" s="1318">
        <f>R16+Q16+P16+O16+N16+M16</f>
        <v>46.188000000000002</v>
      </c>
      <c r="K16" s="1318">
        <f>SUMIF(F30:F898,"=6б",K30:K898)</f>
        <v>0</v>
      </c>
      <c r="L16" s="1318">
        <f>SUMIF(F30:F898,"=6б",L30:L898)</f>
        <v>0.12000000000000011</v>
      </c>
      <c r="M16" s="2317">
        <f>SUMIF(F30:F898,"=6б",M30:M898)</f>
        <v>0</v>
      </c>
      <c r="N16" s="1318">
        <f>SUMIF(F30:F898,"=6б",N30:N898)</f>
        <v>1.04</v>
      </c>
      <c r="O16" s="1319">
        <f>SUMIF(F30:F898,"=6б",O30:O898)</f>
        <v>0</v>
      </c>
      <c r="P16" s="1320">
        <f>SUMIF(F30:F898,"=6б",P30:P898)</f>
        <v>0</v>
      </c>
      <c r="Q16" s="1321">
        <f>SUMIF(F30:F898,"=6б",Q30:Q898)</f>
        <v>4.6530000000000005</v>
      </c>
      <c r="R16" s="1322">
        <f>SUMIF(F30:F898,"=6б",R30:R898)</f>
        <v>40.495000000000005</v>
      </c>
      <c r="S16" s="2450"/>
      <c r="T16" s="249"/>
      <c r="U16" s="2450"/>
      <c r="V16" s="2450"/>
      <c r="W16" s="2450"/>
      <c r="X16" s="2621"/>
      <c r="Y16" s="2450"/>
      <c r="Z16" s="2622"/>
      <c r="AA16" s="2255"/>
      <c r="AK16" s="2815" t="s">
        <v>11232</v>
      </c>
      <c r="AL16" s="2579">
        <f>SUMIFS(O30:O951,F30:F951,4,G30:G951,3)</f>
        <v>0</v>
      </c>
      <c r="AM16" s="2817"/>
    </row>
    <row r="17" spans="1:39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72">
        <f>J17+K17+L17</f>
        <v>94.218000000000032</v>
      </c>
      <c r="J17" s="2272">
        <f>R17+Q17+P17+O17+N17+M17</f>
        <v>94.218000000000032</v>
      </c>
      <c r="K17" s="2272">
        <f>SUMIF(F30:F899,"=б/к",K30:K899)</f>
        <v>0</v>
      </c>
      <c r="L17" s="2272">
        <f>SUMIF(F30:F899,"=б/к",L30:L899)</f>
        <v>0</v>
      </c>
      <c r="M17" s="2318">
        <f>SUMIF(F30:F899,"=б/к",M30:M899)</f>
        <v>0</v>
      </c>
      <c r="N17" s="2272">
        <f>SUMIF(F30:F899,"=б/к",N30:N899)</f>
        <v>0.68</v>
      </c>
      <c r="O17" s="2272">
        <f>SUMIF(F30:F899,"=б/к",O30:O899)</f>
        <v>0</v>
      </c>
      <c r="P17" s="2272">
        <f>SUMIF(F30:F899,"=б/к",P30:P899)</f>
        <v>0</v>
      </c>
      <c r="Q17" s="2273">
        <f>SUMIF(F30:F899,"=б/к",Q30:Q899)</f>
        <v>0</v>
      </c>
      <c r="R17" s="2274">
        <f>SUMIF(F30:F899,"=б/к",R30:R899)</f>
        <v>93.538000000000025</v>
      </c>
      <c r="S17" s="2450"/>
      <c r="T17" s="249"/>
      <c r="U17" s="2450"/>
      <c r="V17" s="2450"/>
      <c r="W17" s="2450"/>
      <c r="X17" s="2621"/>
      <c r="Y17" s="2450"/>
      <c r="Z17" s="2622"/>
      <c r="AA17" s="2255"/>
      <c r="AK17" s="2815" t="s">
        <v>11233</v>
      </c>
      <c r="AL17" s="2579">
        <f>SUMIFS(P30:P951,F30:F951,4,G30:G951,3)+SUMIFS(Q30:Q951,F30:F951,4,G30:G951,3)</f>
        <v>0</v>
      </c>
      <c r="AM17" s="2817"/>
    </row>
    <row r="18" spans="1:39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286">
        <f t="shared" si="2"/>
        <v>16.659999999999997</v>
      </c>
      <c r="J18" s="1286">
        <f t="shared" si="3"/>
        <v>16.659999999999997</v>
      </c>
      <c r="K18" s="1286">
        <f>SUMIF(G30:G936,3,K30:K936)</f>
        <v>0</v>
      </c>
      <c r="L18" s="1286">
        <f>SUMIF(G30:G936,3,L30:L936)</f>
        <v>0</v>
      </c>
      <c r="M18" s="1346">
        <f>SUMIF(G30:G936,3,M30:M936)</f>
        <v>10.042999999999992</v>
      </c>
      <c r="N18" s="1286">
        <f>SUMIF(G30:G936,3,N30:N936)</f>
        <v>6.6170000000000044</v>
      </c>
      <c r="O18" s="1287">
        <f>SUMIF(G30:G936,3,O30:O936)</f>
        <v>0</v>
      </c>
      <c r="P18" s="1286">
        <f>SUMIF(G30:G936,3,P30:P936)</f>
        <v>0</v>
      </c>
      <c r="Q18" s="1288">
        <f>SUMIF(G30:G936,3,Q30:Q936)</f>
        <v>0</v>
      </c>
      <c r="R18" s="1289">
        <f>SUMIF(G30:G936,3,R30:R936)</f>
        <v>0</v>
      </c>
      <c r="S18" s="2450"/>
      <c r="T18" s="249"/>
      <c r="U18" s="2450"/>
      <c r="V18" s="2450"/>
      <c r="W18" s="2450"/>
      <c r="X18" s="2621"/>
      <c r="Y18" s="2450"/>
      <c r="Z18" s="2622"/>
      <c r="AA18" s="2256"/>
      <c r="AK18" s="2815" t="s">
        <v>910</v>
      </c>
      <c r="AL18" s="2579">
        <f>SUMIFS(R30:R951,F30:F951,4,G30:G951,3)</f>
        <v>0</v>
      </c>
      <c r="AM18" s="2817"/>
    </row>
    <row r="19" spans="1:39" x14ac:dyDescent="0.35">
      <c r="A19" s="285"/>
      <c r="B19" s="993"/>
      <c r="C19" s="993"/>
      <c r="D19" s="274"/>
      <c r="E19" s="98"/>
      <c r="F19" s="1240"/>
      <c r="G19" s="1241">
        <v>4</v>
      </c>
      <c r="H19" s="1241"/>
      <c r="I19" s="1286">
        <f t="shared" si="2"/>
        <v>299.61200000000008</v>
      </c>
      <c r="J19" s="1286">
        <f t="shared" si="3"/>
        <v>298.56200000000007</v>
      </c>
      <c r="K19" s="1286">
        <f>SUMIF(G30:G936,4,K30:K936)</f>
        <v>0.8</v>
      </c>
      <c r="L19" s="1286">
        <f>SUMIF(G30:G936,4,L30:L936)</f>
        <v>0.2499999999999892</v>
      </c>
      <c r="M19" s="1346">
        <f>SUMIF(G30:G936,4,M30:M936)</f>
        <v>0</v>
      </c>
      <c r="N19" s="1286">
        <f>SUMIF(G30:G936,4,N30:N936)</f>
        <v>187.88200000000006</v>
      </c>
      <c r="O19" s="1287">
        <f>SUMIF(G30:G936,4,O30:O936)</f>
        <v>0</v>
      </c>
      <c r="P19" s="1286">
        <f>SUMIF(G30:G936,4,P30:P936)</f>
        <v>0</v>
      </c>
      <c r="Q19" s="1288">
        <f>SUMIF(G30:G936,4,Q30:Q936)</f>
        <v>100.15</v>
      </c>
      <c r="R19" s="1289">
        <f>SUMIF(G30:G936,4,R30:R936)</f>
        <v>10.529999999999998</v>
      </c>
      <c r="S19" s="2450"/>
      <c r="T19" s="249"/>
      <c r="U19" s="2450"/>
      <c r="V19" s="2450"/>
      <c r="W19" s="2450"/>
      <c r="X19" s="2621"/>
      <c r="Y19" s="2450"/>
      <c r="Z19" s="2622"/>
      <c r="AA19" s="2256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285"/>
      <c r="B20" s="993"/>
      <c r="C20" s="993"/>
      <c r="D20" s="274"/>
      <c r="E20" s="319"/>
      <c r="F20" s="1258"/>
      <c r="G20" s="1259">
        <v>5</v>
      </c>
      <c r="H20" s="1259"/>
      <c r="I20" s="1286">
        <f t="shared" si="2"/>
        <v>312.18300000000011</v>
      </c>
      <c r="J20" s="1286">
        <f t="shared" si="3"/>
        <v>312.03500000000008</v>
      </c>
      <c r="K20" s="1286">
        <f>SUMIF(G30:G936,5,K30:K936)</f>
        <v>0</v>
      </c>
      <c r="L20" s="1286">
        <f>SUMIF(G30:G936,5,L30:L936)</f>
        <v>0.14800000000000013</v>
      </c>
      <c r="M20" s="1346">
        <f>SUMIF(G30:G936,5,M30:M936)</f>
        <v>0</v>
      </c>
      <c r="N20" s="1286">
        <f>SUMIF(G30:G936,5,N30:N936)</f>
        <v>48.680999999999997</v>
      </c>
      <c r="O20" s="1287">
        <f>SUMIF(G30:G936,5,O30:O936)</f>
        <v>1.06</v>
      </c>
      <c r="P20" s="1286">
        <f>SUMIF(G30:G936,5,P30:P936)</f>
        <v>0</v>
      </c>
      <c r="Q20" s="1288">
        <f>SUMIF(G30:G936,5,Q30:Q936)</f>
        <v>96.031000000000006</v>
      </c>
      <c r="R20" s="1289">
        <f>SUMIF(G30:G936,5,R30:R936)</f>
        <v>166.26300000000006</v>
      </c>
      <c r="S20" s="2450"/>
      <c r="T20" s="249"/>
      <c r="U20" s="2450"/>
      <c r="V20" s="2450"/>
      <c r="W20" s="2450"/>
      <c r="X20" s="2621"/>
      <c r="Y20" s="2450"/>
      <c r="Z20" s="2622"/>
      <c r="AA20" s="2256"/>
      <c r="AK20" s="2815" t="s">
        <v>11230</v>
      </c>
      <c r="AL20" s="2579">
        <f>SUMIFS(M30:M951,F30:F951,5,G30:G951,3)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319"/>
      <c r="N21" s="2011"/>
      <c r="O21" s="611"/>
      <c r="P21" s="2011"/>
      <c r="Q21" s="888"/>
      <c r="R21" s="886"/>
      <c r="S21" s="249"/>
      <c r="T21" s="249"/>
      <c r="U21" s="249"/>
      <c r="V21" s="249"/>
      <c r="W21" s="249"/>
      <c r="X21" s="249"/>
      <c r="Y21" s="249"/>
      <c r="Z21" s="2623"/>
      <c r="AA21" s="2256"/>
      <c r="AB21" s="3"/>
      <c r="AC21" s="3"/>
      <c r="AK21" s="2815" t="s">
        <v>11231</v>
      </c>
      <c r="AL21" s="2579">
        <f>SUMIFS(N30:N951,F30:F951,5,G30:G951,3)</f>
        <v>0</v>
      </c>
      <c r="AM21" s="2817"/>
    </row>
    <row r="22" spans="1:39" customFormat="1" x14ac:dyDescent="0.35">
      <c r="A22" s="285"/>
      <c r="B22" s="993"/>
      <c r="C22" s="993"/>
      <c r="D22" s="538">
        <f>SUMIF(C30:C829,"=сад",AB30:AB829)</f>
        <v>1</v>
      </c>
      <c r="E22" s="2241" t="s">
        <v>2763</v>
      </c>
      <c r="F22" s="98"/>
      <c r="G22" s="226"/>
      <c r="H22" s="226"/>
      <c r="I22" s="2247">
        <f>J22+K22+L22</f>
        <v>2.2999999999999998</v>
      </c>
      <c r="J22" s="2247">
        <f>R22+Q22+P22+O22+N22+M22</f>
        <v>2.2999999999999998</v>
      </c>
      <c r="K22" s="2247">
        <f>SUMIF(C30:C829,"=сад",K30:K829)</f>
        <v>0</v>
      </c>
      <c r="L22" s="2247">
        <f>SUMIF(C30:C829,"=сад",L30:L829)</f>
        <v>0</v>
      </c>
      <c r="M22" s="2320">
        <f>SUMIF(C30:C829,"=сад",M30:M829)</f>
        <v>0</v>
      </c>
      <c r="N22" s="2247">
        <f>SUMIF(C30:C829,"=сад",N30:N829)</f>
        <v>0.49299999999999999</v>
      </c>
      <c r="O22" s="2248">
        <f>SUMIF(C30:C829,"=сад",O30:O829)</f>
        <v>0</v>
      </c>
      <c r="P22" s="2247">
        <f>SUMIF(C30:C829,"=сад",P30:P829)</f>
        <v>0</v>
      </c>
      <c r="Q22" s="2249">
        <f>SUMIF(C30:C829,"=сад",Q30:Q829)</f>
        <v>0</v>
      </c>
      <c r="R22" s="2250">
        <f>SUMIF(C30:C829,"=сад",R30:R829)</f>
        <v>1.8069999999999999</v>
      </c>
      <c r="S22" s="249"/>
      <c r="T22" s="249"/>
      <c r="U22" s="249"/>
      <c r="V22" s="249"/>
      <c r="W22" s="249"/>
      <c r="X22" s="249"/>
      <c r="Y22" s="249"/>
      <c r="Z22" s="2623"/>
      <c r="AA22" s="2256"/>
      <c r="AB22" s="3"/>
      <c r="AC22" s="3"/>
      <c r="AK22" s="2815" t="s">
        <v>11232</v>
      </c>
      <c r="AL22" s="2579">
        <f>SUMIFS(O30:O951,F30:F951,5,G30:G951,3)</f>
        <v>0</v>
      </c>
      <c r="AM22" s="2817"/>
    </row>
    <row r="23" spans="1:39" customFormat="1" x14ac:dyDescent="0.35">
      <c r="A23" s="285"/>
      <c r="B23" s="993"/>
      <c r="C23" s="993"/>
      <c r="D23" s="538">
        <f>SUMIF(C30:C830,"=индив",AB30:AB830)</f>
        <v>1</v>
      </c>
      <c r="E23" s="2241" t="s">
        <v>2762</v>
      </c>
      <c r="F23" s="98"/>
      <c r="G23" s="226"/>
      <c r="H23" s="226"/>
      <c r="I23" s="2247">
        <f>J23+K23+L23</f>
        <v>0.8</v>
      </c>
      <c r="J23" s="2247">
        <f>R23+Q23+P23+O23+N23+M23</f>
        <v>0.8</v>
      </c>
      <c r="K23" s="2247">
        <f>SUMIF(C30:C830,"=индив",K30:K830)</f>
        <v>0</v>
      </c>
      <c r="L23" s="2247">
        <f>SUMIF(C30:C830,"=индив",L30:L830)</f>
        <v>0</v>
      </c>
      <c r="M23" s="2320">
        <f>SUMIF(C30:C830,"=индив",M30:M830)</f>
        <v>0</v>
      </c>
      <c r="N23" s="2247">
        <f>SUMIF(C30:C830,"=индив",N30:N830)</f>
        <v>0</v>
      </c>
      <c r="O23" s="2248">
        <f>SUMIF(C30:C830,"=индив",O30:O830)</f>
        <v>0</v>
      </c>
      <c r="P23" s="2247">
        <f>SUMIF(C30:C830,"=индив",P30:P830)</f>
        <v>0</v>
      </c>
      <c r="Q23" s="2249">
        <f>SUMIF(C30:C830,"=индив",Q30:Q830)</f>
        <v>0.8</v>
      </c>
      <c r="R23" s="2250">
        <f>SUMIF(C30:C830,"=индив",R30:R830)</f>
        <v>0</v>
      </c>
      <c r="S23" s="249"/>
      <c r="T23" s="249"/>
      <c r="U23" s="249"/>
      <c r="V23" s="249"/>
      <c r="W23" s="249"/>
      <c r="X23" s="249"/>
      <c r="Y23" s="249"/>
      <c r="Z23" s="2623"/>
      <c r="AA23" s="2256"/>
      <c r="AB23" s="3"/>
      <c r="AC23" s="3"/>
      <c r="AK23" s="2815" t="s">
        <v>11233</v>
      </c>
      <c r="AL23" s="2579">
        <f>SUMIFS(P30:P951,F30:F951,5,G30:G951,3)+SUMIFS(Q30:Q951,F30:F951,5,G30:G951,3)</f>
        <v>0</v>
      </c>
      <c r="AM23" s="2817"/>
    </row>
    <row r="24" spans="1:39" customFormat="1" x14ac:dyDescent="0.35">
      <c r="A24" s="285"/>
      <c r="B24" s="993"/>
      <c r="C24" s="993"/>
      <c r="D24" s="538">
        <f>SUMIF(C30:C831,"=кладб",AB30:AB831)</f>
        <v>109</v>
      </c>
      <c r="E24" s="2241" t="s">
        <v>2761</v>
      </c>
      <c r="F24" s="98"/>
      <c r="G24" s="226"/>
      <c r="H24" s="226"/>
      <c r="I24" s="2247">
        <f>J24+K24+L24</f>
        <v>69.871000000000024</v>
      </c>
      <c r="J24" s="2247">
        <f>R24+Q24+P24+O24+N24+M24</f>
        <v>69.871000000000024</v>
      </c>
      <c r="K24" s="2247">
        <f>SUMIF(C30:C831,"=кладб",K30:K831)</f>
        <v>0</v>
      </c>
      <c r="L24" s="2247">
        <f>SUMIF(C30:C831,"=кладб",L30:L831)</f>
        <v>0</v>
      </c>
      <c r="M24" s="2320">
        <f>SUMIF(C30:C831,"=кладб",M30:M831)</f>
        <v>0</v>
      </c>
      <c r="N24" s="2247">
        <f>SUMIF(C30:C831,"=кладб",N30:N831)</f>
        <v>1.0660000000000001</v>
      </c>
      <c r="O24" s="2248">
        <f>SUMIF(C30:C831,"=кладб",O30:O831)</f>
        <v>0</v>
      </c>
      <c r="P24" s="2247">
        <f>SUMIF(C30:C831,"=кладб",P30:P831)</f>
        <v>0</v>
      </c>
      <c r="Q24" s="2249">
        <f>SUMIF(C30:C831,"=кладб",Q30:Q831)</f>
        <v>0</v>
      </c>
      <c r="R24" s="2250">
        <f>SUMIF(C30:C831,"=кладб",R30:R831)</f>
        <v>68.805000000000021</v>
      </c>
      <c r="S24" s="249"/>
      <c r="T24" s="249"/>
      <c r="U24" s="249"/>
      <c r="V24" s="249"/>
      <c r="W24" s="249"/>
      <c r="X24" s="249"/>
      <c r="Y24" s="249"/>
      <c r="Z24" s="2623"/>
      <c r="AA24" s="2256"/>
      <c r="AB24" s="3"/>
      <c r="AC24" s="3"/>
      <c r="AK24" s="2815" t="s">
        <v>910</v>
      </c>
      <c r="AL24" s="2579">
        <f>SUMIFS(R30:R951,F30:F951,5,G30:G951,3)</f>
        <v>0</v>
      </c>
      <c r="AM24" s="2817"/>
    </row>
    <row r="25" spans="1:39" customFormat="1" x14ac:dyDescent="0.35">
      <c r="A25" s="387"/>
      <c r="B25" s="994"/>
      <c r="C25" s="994"/>
      <c r="D25" s="538">
        <f>SUMIF(C30:C832,"=прир",AB30:AB832)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SUMIF(C30:C832,"=прир",K30:K832)</f>
        <v>0</v>
      </c>
      <c r="L25" s="2259">
        <f>SUMIF(C30:C832,"=прир",L30:L832)</f>
        <v>0</v>
      </c>
      <c r="M25" s="2321">
        <f>SUMIF(C30:C832,"=прир",M30:M832)</f>
        <v>0</v>
      </c>
      <c r="N25" s="2259">
        <f>SUMIF(C30:C832,"=прир",N30:N832)</f>
        <v>0</v>
      </c>
      <c r="O25" s="2260">
        <f>SUMIF(C30:C832,"=прир",O30:O832)</f>
        <v>0</v>
      </c>
      <c r="P25" s="2259">
        <f>SUMIF(C30:C832,"=прир",P30:P832)</f>
        <v>0</v>
      </c>
      <c r="Q25" s="2261">
        <f>SUMIF(C30:C832,"=прир",Q30:Q832)</f>
        <v>0</v>
      </c>
      <c r="R25" s="2262">
        <f>SUMIF(C30:C832,"=прир",R30:R832)</f>
        <v>0</v>
      </c>
      <c r="S25" s="2624"/>
      <c r="T25" s="2624"/>
      <c r="U25" s="2624"/>
      <c r="V25" s="2624"/>
      <c r="W25" s="2624"/>
      <c r="X25" s="2624"/>
      <c r="Y25" s="2624"/>
      <c r="Z25" s="2625"/>
      <c r="AA25" s="2256"/>
      <c r="AB25" s="3"/>
      <c r="AC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SUMIF(C30:C833,"=ист",AB30:AB833)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SUMIF(C30:C833,"=ист",K30:K833)</f>
        <v>0</v>
      </c>
      <c r="L26" s="2259">
        <f>SUMIF(C30:C833,"=ист",L30:L833)</f>
        <v>0</v>
      </c>
      <c r="M26" s="2321">
        <f>SUMIF(C30:C833,"=ист",M30:M833)</f>
        <v>0</v>
      </c>
      <c r="N26" s="2259">
        <f>SUMIF(C30:C833,"=ист",N30:N833)</f>
        <v>0</v>
      </c>
      <c r="O26" s="2260">
        <f>SUMIF(C30:C833,"=ист",O30:O833)</f>
        <v>0</v>
      </c>
      <c r="P26" s="2259">
        <f>SUMIF(C30:C833,"=ист",P30:P833)</f>
        <v>0</v>
      </c>
      <c r="Q26" s="2261">
        <f>SUMIF(C30:C833,"=ист",Q30:Q833)</f>
        <v>0</v>
      </c>
      <c r="R26" s="2262">
        <f>SUMIF(C30:C833,"=ист",R30:R833)</f>
        <v>0</v>
      </c>
      <c r="S26" s="2624"/>
      <c r="T26" s="2624"/>
      <c r="U26" s="2624"/>
      <c r="V26" s="2624"/>
      <c r="W26" s="2624"/>
      <c r="X26" s="2624"/>
      <c r="Y26" s="2624"/>
      <c r="Z26" s="2625"/>
      <c r="AA26" s="2256"/>
      <c r="AB26" s="3"/>
      <c r="AC26" s="3"/>
      <c r="AK26" s="2815" t="s">
        <v>11230</v>
      </c>
      <c r="AL26" s="2579">
        <f>SUMIFS(M30:M951,F30:F951,"6а",G30:G951,3)+SUMIFS(M30:M951,F30:F951,"6б",G30:G951,3)+SUMIFS(M30:M951,F30:F951,"б/к",G30:G951,3)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626"/>
      <c r="T27" s="2626"/>
      <c r="U27" s="2626"/>
      <c r="V27" s="2626"/>
      <c r="W27" s="2626"/>
      <c r="X27" s="2626"/>
      <c r="Y27" s="2626"/>
      <c r="Z27" s="2627"/>
      <c r="AA27" s="2256"/>
      <c r="AB27" s="3"/>
      <c r="AC27" s="3"/>
      <c r="AK27" s="2815" t="s">
        <v>11231</v>
      </c>
      <c r="AL27" s="2579">
        <f>SUMIFS(N30:N951,F30:F951,"6а",G30:G951,3)+SUMIFS(N30:N951,F30:F951,"6б",G30:G951,3)+SUMIFS(N30:N951,F30:F951,"б/к",G30:G951,3)</f>
        <v>0</v>
      </c>
      <c r="AM27" s="2817"/>
    </row>
    <row r="28" spans="1:39" ht="16" thickBot="1" x14ac:dyDescent="0.4">
      <c r="A28" s="450"/>
      <c r="B28" s="995"/>
      <c r="C28" s="995"/>
      <c r="D28" s="462"/>
      <c r="E28" s="451"/>
      <c r="F28" s="451"/>
      <c r="G28" s="451"/>
      <c r="H28" s="451"/>
      <c r="I28" s="2325">
        <f t="shared" ref="I28:R28" si="5">SUBTOTAL(9,I30:I592)</f>
        <v>628.45500000000027</v>
      </c>
      <c r="J28" s="2325">
        <f t="shared" si="5"/>
        <v>627.2570000000004</v>
      </c>
      <c r="K28" s="2325">
        <f t="shared" si="5"/>
        <v>1.6</v>
      </c>
      <c r="L28" s="2325">
        <f t="shared" si="5"/>
        <v>0.79599999999997872</v>
      </c>
      <c r="M28" s="2325">
        <f t="shared" si="5"/>
        <v>20.085999999999984</v>
      </c>
      <c r="N28" s="2325">
        <f t="shared" si="5"/>
        <v>439.79899999999992</v>
      </c>
      <c r="O28" s="2325">
        <f t="shared" si="5"/>
        <v>2.12</v>
      </c>
      <c r="P28" s="2325">
        <f t="shared" si="5"/>
        <v>0</v>
      </c>
      <c r="Q28" s="2325">
        <f t="shared" si="5"/>
        <v>350.5049999999996</v>
      </c>
      <c r="R28" s="2325">
        <f t="shared" si="5"/>
        <v>229.86100000000002</v>
      </c>
      <c r="S28" s="103"/>
      <c r="T28" s="1460"/>
      <c r="U28" s="103"/>
      <c r="V28" s="103"/>
      <c r="W28" s="103"/>
      <c r="X28" s="2628"/>
      <c r="Y28" s="103"/>
      <c r="Z28" s="2629"/>
      <c r="AA28" s="451"/>
      <c r="AB28" s="2322">
        <f>SUBTOTAL(9,AB30:AB592)</f>
        <v>221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SUMIFS(O30:O951,F30:F951,"6а",G30:G951,3)+SUMIFS(O30:O951,F30:F951,"6б",G30:G951,3)+SUMIFS(O30:O951,F30:F951,"б/к",G30:G951,3)</f>
        <v>0</v>
      </c>
      <c r="AM28" s="2817"/>
    </row>
    <row r="29" spans="1:39" x14ac:dyDescent="0.35">
      <c r="A29" s="89"/>
      <c r="B29" s="1023"/>
      <c r="C29" s="1023"/>
      <c r="D29" s="86"/>
      <c r="E29" s="476" t="s">
        <v>2871</v>
      </c>
      <c r="F29" s="38"/>
      <c r="G29" s="87"/>
      <c r="H29" s="87"/>
      <c r="I29" s="1075"/>
      <c r="J29" s="1075"/>
      <c r="K29" s="1075"/>
      <c r="L29" s="1075"/>
      <c r="M29" s="1094"/>
      <c r="N29" s="1076"/>
      <c r="O29" s="1091"/>
      <c r="P29" s="1075"/>
      <c r="Q29" s="1086"/>
      <c r="R29" s="1081"/>
      <c r="S29" s="87"/>
      <c r="T29" s="245"/>
      <c r="U29" s="87"/>
      <c r="V29" s="87"/>
      <c r="W29" s="87"/>
      <c r="X29" s="88"/>
      <c r="Y29" s="87"/>
      <c r="Z29" s="265"/>
      <c r="AA29" s="2"/>
      <c r="AD29" s="2578" t="s">
        <v>7180</v>
      </c>
      <c r="AE29" s="2579">
        <f>SUMIFS(M30:M897,F30:F897,3,G30:G897,3)+SUMIFS(N30:N897,F30:F897,3,G30:G897,3)+SUMIFS(O30:O897,F30:F897,3,G30:G897,3)+SUMIFS(P30:P897,F30:F897,3,G30:G897,3)+SUMIFS(Q30:Q897,F30:F897,3,G30:G897,3)+SUMIFS(R30:R897,F30:F897,3,G30:G897,3)</f>
        <v>0</v>
      </c>
      <c r="AF29" s="2579">
        <f>SUMIFS(M30:M897,F30:F897,4,G30:G897,3)+SUMIFS(N30:N897,F30:F897,4,G30:G897,3)+SUMIFS(O30:O897,F30:F897,4,G30:G897,3)+SUMIFS(P30:P897,F30:F897,4,G30:G897,3)+SUMIFS(Q30:Q897,F30:F897,4,G30:G897,3)+SUMIFS(R30:R897,F30:F897,4,G30:G897,3)</f>
        <v>16.659999999999997</v>
      </c>
      <c r="AG29" s="2579">
        <f>SUMIFS(M30:M897,F30:F897,5,G30:G897,3)+SUMIFS(N30:N897,F30:F897,5,G30:G897,3)+SUMIFS(O30:O897,F30:F897,5,G30:G897,3)+SUMIFS(P30:P897,F30:F897,5,G30:G897,3)+SUMIFS(Q30:Q897,F30:F897,5,G30:G897,3)+SUMIFS(R30:R897,F30:F897,5,G30:G897,3)</f>
        <v>0</v>
      </c>
      <c r="AH29" s="2579">
        <f>SUMIFS(M30:M897,F30:F897,"6а",G30:G897,3)+SUMIFS(N30:N897,F30:F897,"6а",G30:G897,3)+SUMIFS(O30:O897,F30:F897,"6а",G30:G897,3)+SUMIFS(P30:P897,F30:F897,"6а",G30:G897,3)+SUMIFS(Q30:Q897,F30:F897,"6а",G30:G897,3)+SUMIFS(R30:R897,F30:F897,"6а",G30:G897,3)</f>
        <v>0</v>
      </c>
      <c r="AI29" s="2579">
        <f>SUMIFS(M30:M897,F30:F897,"6б",G30:G897,3)+SUMIFS(N30:N897,F30:F897,"6б",G30:G897,3)+SUMIFS(O30:O897,F30:F897,"6б",G30:G897,3)+SUMIFS(P30:P897,F30:F897,"6б",G30:G897,3)+SUMIFS(Q30:Q897,F30:F897,"6б",G30:G897,3)+SUMIFS(R30:R897,F30:F897,"6б",G30:G897,3)</f>
        <v>0</v>
      </c>
      <c r="AJ29" s="2580">
        <f>SUMIFS(M30:M897,F30:F897,"б/к",G30:G897,3)+SUMIFS(N30:N897,F30:F897,"б/к",G30:G897,3)+SUMIFS(O30:O897,F30:F897,"б/к",G30:G897,3)+SUMIFS(P30:P897,F30:F897,"б/к",G30:G897,3)+SUMIFS(Q30:Q897,F30:F897,"б/к",G30:G897,3)+SUMIFS(R30:R897,F30:F897,"б/к",G30:G897,3)</f>
        <v>0</v>
      </c>
      <c r="AK29" s="2815" t="s">
        <v>11233</v>
      </c>
      <c r="AL29" s="2579">
        <f>SUMIFS(P30:P951,F30:F951,"6а",G30:G951,3)+SUMIFS(Q30:Q951,F30:F951,"6а",G30:G951,3)+SUMIFS(P30:P951,F30:F951,"6б",G30:G951,3)+SUMIFS(Q30:Q951,F30:F951,"6б",G30:G951,3)+SUMIFS(P30:P951,F30:F951,"б/к",G30:G951,3)+SUMIFS(Q30:Q951,F30:F951,"б/к",G30:G951,3)</f>
        <v>0</v>
      </c>
      <c r="AM29" s="2817"/>
    </row>
    <row r="30" spans="1:39" ht="30" x14ac:dyDescent="0.35">
      <c r="A30" s="347">
        <v>1</v>
      </c>
      <c r="B30" s="358">
        <v>10151</v>
      </c>
      <c r="C30" s="358"/>
      <c r="D30" s="358" t="s">
        <v>1518</v>
      </c>
      <c r="E30" s="290" t="s">
        <v>7200</v>
      </c>
      <c r="F30" s="41"/>
      <c r="G30" s="2289" t="s">
        <v>191</v>
      </c>
      <c r="H30" s="2289" t="s">
        <v>191</v>
      </c>
      <c r="I30" s="744">
        <f>SUM(K30:R30)</f>
        <v>27.186</v>
      </c>
      <c r="J30" s="744">
        <f>SUM(M30:R30)</f>
        <v>27.161000000000001</v>
      </c>
      <c r="K30" s="744"/>
      <c r="L30" s="671">
        <f>SUM(L31:L37)</f>
        <v>2.5000000000000001E-2</v>
      </c>
      <c r="M30" s="975"/>
      <c r="N30" s="671">
        <f>SUM(N31:N37)</f>
        <v>20.343000000000004</v>
      </c>
      <c r="O30" s="850"/>
      <c r="P30" s="744"/>
      <c r="Q30" s="859">
        <f>SUM(Q31:Q37)</f>
        <v>6.8179999999999978</v>
      </c>
      <c r="R30" s="869"/>
      <c r="S30" s="538">
        <v>3</v>
      </c>
      <c r="T30" s="249">
        <v>37.700000000000003</v>
      </c>
      <c r="U30" s="110"/>
      <c r="V30" s="110"/>
      <c r="W30" s="226">
        <v>49</v>
      </c>
      <c r="X30" s="2451">
        <v>664</v>
      </c>
      <c r="Y30" s="226">
        <v>16</v>
      </c>
      <c r="Z30" s="2630">
        <v>211.7</v>
      </c>
      <c r="AA30" s="2"/>
      <c r="AB30" s="3">
        <v>1</v>
      </c>
      <c r="AD30" s="2578" t="s">
        <v>7181</v>
      </c>
      <c r="AE30" s="2579">
        <f>SUMIFS(M30:M897,F30:F897,3,G30:G897,4)+SUMIFS(N30:N897,F30:F897,3,G30:G897,4)+SUMIFS(O30:O897,F30:F897,3,G30:G897,4)+SUMIFS(P30:P897,F30:F897,3,G30:G897,4)+SUMIFS(Q30:Q897,F30:F897,3,G30:G897,4)+SUMIFS(R30:R897,F30:F897,3,G30:G897,4)</f>
        <v>0</v>
      </c>
      <c r="AF30" s="2579">
        <f>SUMIFS(M30:M897,F30:F897,4,G30:G897,4)+SUMIFS(N30:N897,F30:F897,4,G30:G897,4)+SUMIFS(O30:O897,F30:F897,4,G30:G897,4)+SUMIFS(P30:P897,F30:F897,4,G30:G897,4)+SUMIFS(Q30:Q897,F30:F897,4,G30:G897,4)+SUMIFS(R30:R897,F30:F897,4,G30:G897,4)</f>
        <v>248.29000000000005</v>
      </c>
      <c r="AG30" s="2579">
        <f>SUMIFS(M30:M897,F30:F897,5,G30:G897,4)+SUMIFS(N30:N897,F30:F897,5,G30:G897,4)+SUMIFS(O30:O897,F30:F897,5,G30:G897,4)+SUMIFS(P30:P897,F30:F897,5,G30:G897,4)+SUMIFS(Q30:Q897,F30:F897,5,G30:G897,4)+SUMIFS(R30:R897,F30:F897,5,G30:G897,4)</f>
        <v>41.626000000000005</v>
      </c>
      <c r="AH30" s="2579">
        <f>SUMIFS(M30:M897,F30:F897,"6а",G30:G897,4)+SUMIFS(N30:N897,F30:F897,"6а",G30:G897,4)+SUMIFS(O30:O897,F30:F897,"6а",G30:G897,4)+SUMIFS(P30:P897,F30:F897,"6а",G30:G897,4)+SUMIFS(Q30:Q897,F30:F897,"6а",G30:G897,4)+SUMIFS(R30:R897,F30:F897,"6а",G30:G897,4)</f>
        <v>2.3259999999999996</v>
      </c>
      <c r="AI30" s="2579">
        <f>SUMIFS(M30:M897,F30:F897,"6б",G30:G897,4)+SUMIFS(N30:N897,F30:F897,"6б",G30:G897,4)+SUMIFS(O30:O897,F30:F897,"6б",G30:G897,4)+SUMIFS(P30:P897,F30:F897,"6б",G30:G897,4)+SUMIFS(Q30:Q897,F30:F897,"6б",G30:G897,4)+SUMIFS(R30:R897,F30:F897,"6б",G30:G897,4)</f>
        <v>3.67</v>
      </c>
      <c r="AJ30" s="2580">
        <f>SUMIFS(M30:M897,F30:F897,"б/к",G30:G897,4)+SUMIFS(N30:N897,F30:F897,"б/к",G30:G897,4)+SUMIFS(O30:O897,F30:F897,"б/к",G30:G897,4)+SUMIFS(P30:P897,F30:F897,"б/к",G30:G897,4)+SUMIFS(Q30:Q897,F30:F897,"б/к",G30:G897,4)+SUMIFS(R30:R897,F30:F897,"б/к",G30:G897,4)</f>
        <v>2.65</v>
      </c>
      <c r="AK30" s="2815" t="s">
        <v>910</v>
      </c>
      <c r="AL30" s="2579">
        <f>SUMIFS(R30:R951,F30:F951,"6а",G30:G951,3)+SUMIFS(R30:R951,F30:F951,"6б",G30:G951,3)+SUMIFS(R30:R951,F30:F951,"б/к",G30:G951,3)</f>
        <v>0</v>
      </c>
      <c r="AM30" s="2817"/>
    </row>
    <row r="31" spans="1:39" ht="31" x14ac:dyDescent="0.35">
      <c r="A31" s="347"/>
      <c r="B31" s="358"/>
      <c r="C31" s="358"/>
      <c r="D31" s="358"/>
      <c r="E31" s="1935" t="s">
        <v>9459</v>
      </c>
      <c r="F31" s="40">
        <v>4</v>
      </c>
      <c r="G31" s="40">
        <v>4</v>
      </c>
      <c r="H31" s="2289" t="s">
        <v>191</v>
      </c>
      <c r="I31" s="744"/>
      <c r="J31" s="744"/>
      <c r="K31" s="744"/>
      <c r="L31" s="747">
        <v>2.5000000000000001E-2</v>
      </c>
      <c r="M31" s="975"/>
      <c r="N31" s="671"/>
      <c r="O31" s="850"/>
      <c r="P31" s="744"/>
      <c r="Q31" s="859"/>
      <c r="R31" s="869"/>
      <c r="S31" s="538"/>
      <c r="T31" s="249"/>
      <c r="U31" s="110"/>
      <c r="V31" s="110"/>
      <c r="W31" s="226"/>
      <c r="X31" s="2451"/>
      <c r="Y31" s="226"/>
      <c r="Z31" s="2630"/>
      <c r="AA31" s="2"/>
      <c r="AD31" s="2581" t="s">
        <v>7182</v>
      </c>
      <c r="AE31" s="2582">
        <f>SUMIFS(M30:M897,F30:F897,3,G30:G897,5)+SUMIFS(N30:N897,F30:F897,3,G30:G897,5)+SUMIFS(O30:O897,F30:F897,3,G30:G897,5)+SUMIFS(P30:P897,F30:F897,3,G30:G897,5)+SUMIFS(Q30:Q897,F30:F897,3,G30:G897,5)+SUMIFS(R30:R897,F30:F897,3,G30:G897,5)</f>
        <v>0</v>
      </c>
      <c r="AF31" s="2582">
        <f>SUMIFS(M30:M897,F30:F897,4,G30:G897,5)+SUMIFS(N30:N897,F30:F897,4,G30:G897,5)+SUMIFS(O30:O897,F30:F897,4,G30:G897,5)+SUMIFS(P30:P897,F30:F897,4,G30:G897,5)+SUMIFS(Q30:Q897,F30:F897,4,G30:G897,5)+SUMIFS(R30:R897,F30:F897,4,G30:G897,5)</f>
        <v>33.909999999999997</v>
      </c>
      <c r="AG31" s="2582">
        <f>SUMIFS(M30:M897,F30:F897,5,G30:G897,5)+SUMIFS(N30:N897,F30:F897,5,G30:G897,5)+SUMIFS(O30:O897,F30:F897,5,G30:G897,5)+SUMIFS(P30:P897,F30:F897,5,G30:G897,5)+SUMIFS(Q30:Q897,F30:F897,5,G30:G897,5)+SUMIFS(R30:R897,F30:F897,5,G30:G897,5)</f>
        <v>98.420000000000016</v>
      </c>
      <c r="AH31" s="2582">
        <f>SUMIFS(M30:M897,F30:F897,"6а",G30:G897,5)+SUMIFS(N30:N897,F30:F897,"6а",G30:G897,5)+SUMIFS(O30:O897,F30:F897,"6а",G30:G897,5)+SUMIFS(P30:P897,F30:F897,"6а",G30:G897,5)+SUMIFS(Q30:Q897,F30:F897,"6а",G30:G897,5)+SUMIFS(R30:R897,F30:F897,"6а",G30:G897,5)</f>
        <v>45.619000000000007</v>
      </c>
      <c r="AI31" s="2582">
        <f>SUMIFS(M30:M897,F30:F897,"6б",G30:G897,5)+SUMIFS(N30:N897,F30:F897,"6б",G30:G897,5)+SUMIFS(O30:O897,F30:F897,"6б",G30:G897,5)+SUMIFS(P30:P897,F30:F897,"6б",G30:G897,5)+SUMIFS(Q30:Q897,F30:F897,"6б",G30:G897,5)+SUMIFS(R30:R897,F30:F897,"6б",G30:G897,5)</f>
        <v>42.518000000000008</v>
      </c>
      <c r="AJ31" s="2583">
        <f>SUMIFS(M30:M897,F30:F897,"б/к",G30:G897,5)+SUMIFS(N30:N897,F30:F897,"б/к",G30:G897,5)+SUMIFS(O30:O897,F30:F897,"б/к",G30:G897,5)+SUMIFS(P30:P897,F30:F897,"б/к",G30:G897,5)+SUMIFS(Q30:Q897,F30:F897,"б/к",G30:G897,5)+SUMIFS(R30:R897,F30:F897,"б/к",G30:G897,5)</f>
        <v>91.568000000000026</v>
      </c>
      <c r="AK31" s="2815"/>
      <c r="AL31" s="2579"/>
      <c r="AM31" s="2817"/>
    </row>
    <row r="32" spans="1:39" x14ac:dyDescent="0.35">
      <c r="A32" s="359"/>
      <c r="B32" s="358">
        <v>10151</v>
      </c>
      <c r="C32" s="358"/>
      <c r="D32" s="360"/>
      <c r="E32" s="393" t="s">
        <v>7205</v>
      </c>
      <c r="F32" s="40">
        <v>4</v>
      </c>
      <c r="G32" s="40">
        <v>4</v>
      </c>
      <c r="H32" s="2289">
        <v>6</v>
      </c>
      <c r="I32" s="745"/>
      <c r="J32" s="745"/>
      <c r="K32" s="745"/>
      <c r="L32" s="745"/>
      <c r="M32" s="976"/>
      <c r="N32" s="746">
        <f>14.36-0.025</f>
        <v>14.334999999999999</v>
      </c>
      <c r="O32" s="1092"/>
      <c r="P32" s="747"/>
      <c r="Q32" s="1087"/>
      <c r="R32" s="1082"/>
      <c r="S32" s="2631"/>
      <c r="T32" s="2632"/>
      <c r="U32" s="166"/>
      <c r="V32" s="166"/>
      <c r="W32" s="110"/>
      <c r="X32" s="2634"/>
      <c r="Y32" s="110"/>
      <c r="Z32" s="2633"/>
      <c r="AA32" s="2"/>
      <c r="AD32" s="2842"/>
      <c r="AE32" s="1572"/>
      <c r="AF32" s="2842"/>
      <c r="AG32" s="2842"/>
      <c r="AH32" s="2842"/>
      <c r="AI32" s="2584" t="s">
        <v>7183</v>
      </c>
      <c r="AJ32" s="2585">
        <f>SUMIF(AB30:AB897,"=1",J30:J897)</f>
        <v>627.2570000000004</v>
      </c>
      <c r="AK32" s="2818" t="s">
        <v>11235</v>
      </c>
      <c r="AL32" s="2821">
        <f>AL34+AL42+AL48</f>
        <v>298.56200000000007</v>
      </c>
      <c r="AM32" s="2820">
        <f>AL32-J19</f>
        <v>0</v>
      </c>
    </row>
    <row r="33" spans="1:39" x14ac:dyDescent="0.35">
      <c r="A33" s="359"/>
      <c r="B33" s="358">
        <v>10151</v>
      </c>
      <c r="C33" s="358"/>
      <c r="D33" s="360"/>
      <c r="E33" s="393" t="s">
        <v>1229</v>
      </c>
      <c r="F33" s="40">
        <v>4</v>
      </c>
      <c r="G33" s="40">
        <v>4</v>
      </c>
      <c r="H33" s="2289">
        <v>6</v>
      </c>
      <c r="I33" s="745"/>
      <c r="J33" s="745"/>
      <c r="K33" s="745"/>
      <c r="L33" s="745"/>
      <c r="M33" s="976"/>
      <c r="N33" s="746">
        <f>17.79-14.36</f>
        <v>3.4299999999999997</v>
      </c>
      <c r="O33" s="1092"/>
      <c r="P33" s="747"/>
      <c r="Q33" s="1087"/>
      <c r="R33" s="1082"/>
      <c r="S33" s="2631"/>
      <c r="T33" s="2632"/>
      <c r="U33" s="166"/>
      <c r="V33" s="166"/>
      <c r="W33" s="110"/>
      <c r="X33" s="2634"/>
      <c r="Y33" s="110"/>
      <c r="Z33" s="2633"/>
      <c r="AA33" s="2"/>
      <c r="AD33" s="2842"/>
      <c r="AE33" s="1572"/>
      <c r="AF33" s="2842"/>
      <c r="AG33" s="2842"/>
      <c r="AH33" s="2842"/>
      <c r="AI33" s="2842"/>
      <c r="AJ33" s="2585">
        <f>SUM(AE29:AJ31)-AJ32</f>
        <v>0</v>
      </c>
      <c r="AK33" s="2815" t="s">
        <v>11229</v>
      </c>
      <c r="AL33" s="2579"/>
      <c r="AM33" s="2817"/>
    </row>
    <row r="34" spans="1:39" x14ac:dyDescent="0.35">
      <c r="A34" s="359"/>
      <c r="B34" s="358">
        <v>10151</v>
      </c>
      <c r="C34" s="358"/>
      <c r="D34" s="360"/>
      <c r="E34" s="393" t="s">
        <v>7201</v>
      </c>
      <c r="F34" s="40">
        <v>4</v>
      </c>
      <c r="G34" s="40">
        <v>4</v>
      </c>
      <c r="H34" s="2289">
        <v>6</v>
      </c>
      <c r="I34" s="745"/>
      <c r="J34" s="745"/>
      <c r="K34" s="745"/>
      <c r="L34" s="745"/>
      <c r="M34" s="976"/>
      <c r="N34" s="746">
        <f>18.853-17.79</f>
        <v>1.0630000000000024</v>
      </c>
      <c r="O34" s="1092"/>
      <c r="P34" s="747"/>
      <c r="Q34" s="1087"/>
      <c r="R34" s="1082"/>
      <c r="S34" s="2631"/>
      <c r="T34" s="2632"/>
      <c r="U34" s="166"/>
      <c r="V34" s="166"/>
      <c r="W34" s="110"/>
      <c r="X34" s="2634"/>
      <c r="Y34" s="110"/>
      <c r="Z34" s="2633"/>
      <c r="AA34" s="2"/>
      <c r="AD34"/>
      <c r="AE34" s="1572"/>
      <c r="AF34"/>
      <c r="AG34"/>
      <c r="AH34"/>
      <c r="AI34"/>
      <c r="AJ34" s="2585"/>
      <c r="AK34" s="2818" t="s">
        <v>7184</v>
      </c>
      <c r="AL34" s="2821">
        <f>AL35+AL36+AL37+AL38+AL39</f>
        <v>248.29000000000005</v>
      </c>
      <c r="AM34" s="2820">
        <f>AL34-AF30</f>
        <v>0</v>
      </c>
    </row>
    <row r="35" spans="1:39" x14ac:dyDescent="0.35">
      <c r="A35" s="359"/>
      <c r="B35" s="358">
        <v>10151</v>
      </c>
      <c r="C35" s="358"/>
      <c r="D35" s="360"/>
      <c r="E35" s="900" t="s">
        <v>7202</v>
      </c>
      <c r="F35" s="40">
        <v>4</v>
      </c>
      <c r="G35" s="40">
        <v>4</v>
      </c>
      <c r="H35" s="2289">
        <v>6</v>
      </c>
      <c r="I35" s="745"/>
      <c r="J35" s="745"/>
      <c r="K35" s="745"/>
      <c r="L35" s="745"/>
      <c r="M35" s="976"/>
      <c r="N35" s="746"/>
      <c r="O35" s="1092"/>
      <c r="P35" s="747"/>
      <c r="Q35" s="1087">
        <f>20.145-18.853</f>
        <v>1.291999999999998</v>
      </c>
      <c r="R35" s="1082"/>
      <c r="S35" s="2631"/>
      <c r="T35" s="2632"/>
      <c r="U35" s="166"/>
      <c r="V35" s="166"/>
      <c r="W35" s="110"/>
      <c r="X35" s="2634"/>
      <c r="Y35" s="110"/>
      <c r="Z35" s="2633"/>
      <c r="AA35" s="2"/>
      <c r="AK35" s="2815" t="s">
        <v>11230</v>
      </c>
      <c r="AL35" s="2579">
        <f>SUMIFS(M30:M951,F30:F951,4,G30:G951,4)</f>
        <v>0</v>
      </c>
      <c r="AM35" s="2817"/>
    </row>
    <row r="36" spans="1:39" x14ac:dyDescent="0.35">
      <c r="A36" s="359"/>
      <c r="B36" s="358">
        <v>10151</v>
      </c>
      <c r="C36" s="358"/>
      <c r="D36" s="360"/>
      <c r="E36" s="393" t="s">
        <v>7203</v>
      </c>
      <c r="F36" s="40">
        <v>4</v>
      </c>
      <c r="G36" s="40">
        <v>4</v>
      </c>
      <c r="H36" s="2289">
        <v>6</v>
      </c>
      <c r="I36" s="745"/>
      <c r="J36" s="745"/>
      <c r="K36" s="745"/>
      <c r="L36" s="745"/>
      <c r="M36" s="976"/>
      <c r="N36" s="746">
        <f>21.66-20.145</f>
        <v>1.5150000000000006</v>
      </c>
      <c r="O36" s="1092"/>
      <c r="P36" s="747"/>
      <c r="Q36" s="1087"/>
      <c r="R36" s="1082"/>
      <c r="S36" s="2631"/>
      <c r="T36" s="2632"/>
      <c r="U36" s="166"/>
      <c r="V36" s="166"/>
      <c r="W36" s="110"/>
      <c r="X36" s="2634"/>
      <c r="Y36" s="110"/>
      <c r="Z36" s="2633"/>
      <c r="AA36" s="2"/>
      <c r="AK36" s="2815" t="s">
        <v>11231</v>
      </c>
      <c r="AL36" s="2579">
        <f>SUMIFS(N30:N951,F30:F951,4,G30:G951,4)</f>
        <v>171.98000000000005</v>
      </c>
      <c r="AM36" s="2817"/>
    </row>
    <row r="37" spans="1:39" x14ac:dyDescent="0.35">
      <c r="A37" s="359"/>
      <c r="B37" s="358">
        <v>10151</v>
      </c>
      <c r="C37" s="358"/>
      <c r="D37" s="360"/>
      <c r="E37" s="900" t="s">
        <v>7204</v>
      </c>
      <c r="F37" s="40">
        <v>4</v>
      </c>
      <c r="G37" s="40">
        <v>4</v>
      </c>
      <c r="H37" s="2289">
        <v>6</v>
      </c>
      <c r="I37" s="745"/>
      <c r="J37" s="745"/>
      <c r="K37" s="745"/>
      <c r="L37" s="745"/>
      <c r="M37" s="976"/>
      <c r="N37" s="746"/>
      <c r="O37" s="1092"/>
      <c r="P37" s="747"/>
      <c r="Q37" s="1087">
        <f>27.186-21.66</f>
        <v>5.5259999999999998</v>
      </c>
      <c r="R37" s="1082"/>
      <c r="S37" s="2631"/>
      <c r="T37" s="2632"/>
      <c r="U37" s="166"/>
      <c r="V37" s="166"/>
      <c r="W37" s="110"/>
      <c r="X37" s="2634"/>
      <c r="Y37" s="110"/>
      <c r="Z37" s="2633"/>
      <c r="AA37" s="2"/>
      <c r="AK37" s="2815" t="s">
        <v>11232</v>
      </c>
      <c r="AL37" s="2579">
        <f>SUMIFS(O30:O951,F30:F951,4,G30:G951,4)</f>
        <v>0</v>
      </c>
      <c r="AM37" s="2817"/>
    </row>
    <row r="38" spans="1:39" ht="30.5" x14ac:dyDescent="0.35">
      <c r="A38" s="347">
        <v>2</v>
      </c>
      <c r="B38" s="358">
        <v>10151</v>
      </c>
      <c r="C38" s="358"/>
      <c r="D38" s="2460" t="s">
        <v>4040</v>
      </c>
      <c r="E38" s="394" t="s">
        <v>7504</v>
      </c>
      <c r="F38" s="41" t="s">
        <v>827</v>
      </c>
      <c r="G38" s="41">
        <v>5</v>
      </c>
      <c r="H38" s="41">
        <v>6</v>
      </c>
      <c r="I38" s="744">
        <f>SUM(M38:R38)</f>
        <v>1.46</v>
      </c>
      <c r="J38" s="744">
        <f t="shared" ref="J38:J50" si="6">SUM(M38:R38)</f>
        <v>1.46</v>
      </c>
      <c r="K38" s="749"/>
      <c r="L38" s="749"/>
      <c r="M38" s="1095"/>
      <c r="N38" s="1077"/>
      <c r="O38" s="856"/>
      <c r="P38" s="1078"/>
      <c r="Q38" s="1088"/>
      <c r="R38" s="1083">
        <v>1.46</v>
      </c>
      <c r="S38" s="163"/>
      <c r="T38" s="248"/>
      <c r="U38" s="110"/>
      <c r="V38" s="110"/>
      <c r="W38" s="226">
        <v>2</v>
      </c>
      <c r="X38" s="2451">
        <v>29.4</v>
      </c>
      <c r="Y38" s="110"/>
      <c r="Z38" s="2633"/>
      <c r="AA38" s="2"/>
      <c r="AB38" s="3">
        <v>1</v>
      </c>
      <c r="AK38" s="2815" t="s">
        <v>11233</v>
      </c>
      <c r="AL38" s="2579">
        <f>SUMIFS(P30:P951,F30:F951,4,G30:G951,4)+SUMIFS(Q30:Q951,F30:F951,4,G30:G951,4)</f>
        <v>76.31</v>
      </c>
      <c r="AM38" s="2817"/>
    </row>
    <row r="39" spans="1:39" ht="30.5" x14ac:dyDescent="0.35">
      <c r="A39" s="347">
        <v>3</v>
      </c>
      <c r="B39" s="358">
        <v>10151</v>
      </c>
      <c r="C39" s="358"/>
      <c r="D39" s="2460" t="s">
        <v>4041</v>
      </c>
      <c r="E39" s="394" t="s">
        <v>10382</v>
      </c>
      <c r="F39" s="41"/>
      <c r="G39" s="2289" t="s">
        <v>191</v>
      </c>
      <c r="H39" s="2289" t="s">
        <v>191</v>
      </c>
      <c r="I39" s="744">
        <f>SUM(M39:R39)</f>
        <v>3.7559999999999998</v>
      </c>
      <c r="J39" s="744">
        <f t="shared" si="6"/>
        <v>3.7559999999999998</v>
      </c>
      <c r="K39" s="749"/>
      <c r="L39" s="749"/>
      <c r="M39" s="1096"/>
      <c r="N39" s="1077">
        <f>SUM(N40:N41)</f>
        <v>3.7559999999999998</v>
      </c>
      <c r="O39" s="856"/>
      <c r="P39" s="1078"/>
      <c r="Q39" s="1088"/>
      <c r="R39" s="1083"/>
      <c r="S39" s="163"/>
      <c r="T39" s="248"/>
      <c r="U39" s="110"/>
      <c r="V39" s="110"/>
      <c r="W39" s="226">
        <v>10</v>
      </c>
      <c r="X39" s="2451">
        <v>115.79</v>
      </c>
      <c r="Y39" s="110">
        <v>4</v>
      </c>
      <c r="Z39" s="2633">
        <v>40</v>
      </c>
      <c r="AA39" s="2"/>
      <c r="AB39" s="3">
        <v>1</v>
      </c>
      <c r="AD39" s="2307"/>
      <c r="AK39" s="2815" t="s">
        <v>910</v>
      </c>
      <c r="AL39" s="2579">
        <f>SUMIFS(R30:R951,F30:F951,4,G30:G951,4)</f>
        <v>0</v>
      </c>
      <c r="AM39" s="2817"/>
    </row>
    <row r="40" spans="1:39" x14ac:dyDescent="0.35">
      <c r="A40" s="347"/>
      <c r="B40" s="358"/>
      <c r="C40" s="358"/>
      <c r="D40" s="2460"/>
      <c r="E40" s="2836" t="s">
        <v>11605</v>
      </c>
      <c r="F40" s="2951">
        <v>4</v>
      </c>
      <c r="G40" s="41">
        <v>4</v>
      </c>
      <c r="H40" s="2289">
        <v>6</v>
      </c>
      <c r="I40" s="747"/>
      <c r="J40" s="747"/>
      <c r="K40" s="745"/>
      <c r="L40" s="745"/>
      <c r="M40" s="1095"/>
      <c r="N40" s="692">
        <f>2.39</f>
        <v>2.39</v>
      </c>
      <c r="O40" s="857"/>
      <c r="P40" s="2534"/>
      <c r="Q40" s="1090"/>
      <c r="R40" s="1085"/>
      <c r="S40" s="2631"/>
      <c r="T40" s="2632"/>
      <c r="U40" s="166"/>
      <c r="V40" s="166"/>
      <c r="W40" s="2289"/>
      <c r="X40" s="2949"/>
      <c r="Y40" s="166"/>
      <c r="Z40" s="2950"/>
      <c r="AA40" s="2"/>
      <c r="AD40" s="2307"/>
      <c r="AK40" s="2815"/>
      <c r="AL40" s="2579"/>
      <c r="AM40" s="2817"/>
    </row>
    <row r="41" spans="1:39" x14ac:dyDescent="0.35">
      <c r="A41" s="347"/>
      <c r="B41" s="358"/>
      <c r="C41" s="358"/>
      <c r="D41" s="2460"/>
      <c r="E41" s="2836" t="s">
        <v>11606</v>
      </c>
      <c r="F41" s="2951" t="s">
        <v>827</v>
      </c>
      <c r="G41" s="41">
        <v>4</v>
      </c>
      <c r="H41" s="2289">
        <v>6</v>
      </c>
      <c r="I41" s="747"/>
      <c r="J41" s="747"/>
      <c r="K41" s="745"/>
      <c r="L41" s="745"/>
      <c r="M41" s="1095"/>
      <c r="N41" s="692">
        <f>3.756-2.39</f>
        <v>1.3659999999999997</v>
      </c>
      <c r="O41" s="857"/>
      <c r="P41" s="2534"/>
      <c r="Q41" s="1090"/>
      <c r="R41" s="1085"/>
      <c r="S41" s="2631"/>
      <c r="T41" s="2632"/>
      <c r="U41" s="166"/>
      <c r="V41" s="166"/>
      <c r="W41" s="2289"/>
      <c r="X41" s="2949"/>
      <c r="Y41" s="166"/>
      <c r="Z41" s="2950"/>
      <c r="AA41" s="2"/>
      <c r="AD41" s="2307"/>
      <c r="AK41" s="2815"/>
      <c r="AL41" s="2579"/>
      <c r="AM41" s="2817"/>
    </row>
    <row r="42" spans="1:39" ht="60.5" x14ac:dyDescent="0.35">
      <c r="A42" s="347">
        <v>4</v>
      </c>
      <c r="B42" s="105">
        <v>10151</v>
      </c>
      <c r="C42" s="105" t="s">
        <v>1656</v>
      </c>
      <c r="D42" s="2460" t="s">
        <v>4042</v>
      </c>
      <c r="E42" s="269" t="s">
        <v>8210</v>
      </c>
      <c r="F42" s="92" t="s">
        <v>664</v>
      </c>
      <c r="G42" s="92">
        <v>5</v>
      </c>
      <c r="H42" s="41">
        <v>6</v>
      </c>
      <c r="I42" s="702">
        <f>J42+K42+L42</f>
        <v>1.5</v>
      </c>
      <c r="J42" s="702">
        <f t="shared" si="6"/>
        <v>1.5</v>
      </c>
      <c r="K42" s="93"/>
      <c r="L42" s="93"/>
      <c r="M42" s="577"/>
      <c r="N42" s="577"/>
      <c r="O42" s="577"/>
      <c r="P42" s="577"/>
      <c r="Q42" s="577"/>
      <c r="R42" s="2096">
        <v>1.5</v>
      </c>
      <c r="S42" s="113"/>
      <c r="T42" s="577"/>
      <c r="U42" s="93"/>
      <c r="V42" s="93"/>
      <c r="W42" s="93"/>
      <c r="X42" s="2021"/>
      <c r="Y42" s="93"/>
      <c r="Z42" s="93"/>
      <c r="AB42" s="3">
        <v>1</v>
      </c>
      <c r="AD42" s="2307"/>
      <c r="AK42" s="2818" t="s">
        <v>7185</v>
      </c>
      <c r="AL42" s="2821">
        <f>AL43+AL44+AL45+AL46+AL47</f>
        <v>41.626000000000005</v>
      </c>
      <c r="AM42" s="2820">
        <f>AL42-AG30</f>
        <v>0</v>
      </c>
    </row>
    <row r="43" spans="1:39" ht="60.5" x14ac:dyDescent="0.35">
      <c r="A43" s="347">
        <v>5</v>
      </c>
      <c r="B43" s="105">
        <v>10151</v>
      </c>
      <c r="C43" s="105" t="s">
        <v>1656</v>
      </c>
      <c r="D43" s="2460" t="s">
        <v>4043</v>
      </c>
      <c r="E43" s="269" t="s">
        <v>8211</v>
      </c>
      <c r="F43" s="92" t="s">
        <v>664</v>
      </c>
      <c r="G43" s="92">
        <v>5</v>
      </c>
      <c r="H43" s="41">
        <v>6</v>
      </c>
      <c r="I43" s="702">
        <f>J43+K43+L43</f>
        <v>1</v>
      </c>
      <c r="J43" s="702">
        <f t="shared" si="6"/>
        <v>1</v>
      </c>
      <c r="K43" s="93"/>
      <c r="L43" s="93"/>
      <c r="M43" s="577"/>
      <c r="N43" s="577"/>
      <c r="O43" s="577"/>
      <c r="P43" s="577"/>
      <c r="Q43" s="577"/>
      <c r="R43" s="2096">
        <v>1</v>
      </c>
      <c r="S43" s="113"/>
      <c r="T43" s="577"/>
      <c r="U43" s="93"/>
      <c r="V43" s="93"/>
      <c r="W43" s="93"/>
      <c r="X43" s="2021"/>
      <c r="Y43" s="93"/>
      <c r="Z43" s="93"/>
      <c r="AB43" s="3">
        <v>1</v>
      </c>
      <c r="AD43" s="2307"/>
      <c r="AK43" s="2815" t="s">
        <v>11230</v>
      </c>
      <c r="AL43" s="2579">
        <f>SUMIFS(M30:M951,F30:F951,5,G30:G951,4)</f>
        <v>0</v>
      </c>
      <c r="AM43" s="2817"/>
    </row>
    <row r="44" spans="1:39" ht="30.5" x14ac:dyDescent="0.35">
      <c r="A44" s="347">
        <v>6</v>
      </c>
      <c r="B44" s="358">
        <v>10151</v>
      </c>
      <c r="C44" s="358"/>
      <c r="D44" s="2460" t="s">
        <v>4044</v>
      </c>
      <c r="E44" s="269" t="s">
        <v>11604</v>
      </c>
      <c r="F44" s="2289">
        <v>5</v>
      </c>
      <c r="G44" s="2289">
        <v>5</v>
      </c>
      <c r="H44" s="2289">
        <v>6</v>
      </c>
      <c r="I44" s="2934">
        <f>SUM(M44:R44)</f>
        <v>1.47</v>
      </c>
      <c r="J44" s="2934">
        <f t="shared" si="6"/>
        <v>1.47</v>
      </c>
      <c r="K44" s="1848"/>
      <c r="L44" s="1848"/>
      <c r="M44" s="2804"/>
      <c r="N44" s="2870">
        <v>1.47</v>
      </c>
      <c r="O44" s="856"/>
      <c r="P44" s="1078"/>
      <c r="Q44" s="1088"/>
      <c r="R44" s="1083"/>
      <c r="S44" s="163"/>
      <c r="T44" s="248"/>
      <c r="U44" s="110"/>
      <c r="V44" s="110"/>
      <c r="W44" s="226">
        <v>2</v>
      </c>
      <c r="X44" s="2451">
        <v>30.5</v>
      </c>
      <c r="Y44" s="110"/>
      <c r="Z44" s="2633"/>
      <c r="AA44" s="2"/>
      <c r="AB44" s="3">
        <v>1</v>
      </c>
      <c r="AD44" s="2307"/>
      <c r="AK44" s="2815" t="s">
        <v>11231</v>
      </c>
      <c r="AL44" s="2579">
        <f>SUMIFS(N30:N951,F30:F951,5,G30:G951,4)</f>
        <v>14.536000000000005</v>
      </c>
      <c r="AM44" s="2817"/>
    </row>
    <row r="45" spans="1:39" ht="45.5" x14ac:dyDescent="0.35">
      <c r="A45" s="347">
        <v>7</v>
      </c>
      <c r="B45" s="105">
        <v>10151</v>
      </c>
      <c r="C45" s="105" t="s">
        <v>1656</v>
      </c>
      <c r="D45" s="2460" t="s">
        <v>4045</v>
      </c>
      <c r="E45" s="269" t="s">
        <v>9208</v>
      </c>
      <c r="F45" s="92" t="s">
        <v>664</v>
      </c>
      <c r="G45" s="92">
        <v>5</v>
      </c>
      <c r="H45" s="41">
        <v>6</v>
      </c>
      <c r="I45" s="702">
        <f>J45+K45+L45</f>
        <v>0.1</v>
      </c>
      <c r="J45" s="702">
        <f t="shared" si="6"/>
        <v>0.1</v>
      </c>
      <c r="K45" s="93"/>
      <c r="L45" s="93"/>
      <c r="M45" s="577"/>
      <c r="N45" s="577"/>
      <c r="O45" s="577"/>
      <c r="P45" s="577"/>
      <c r="Q45" s="577"/>
      <c r="R45" s="2096">
        <v>0.1</v>
      </c>
      <c r="S45" s="113"/>
      <c r="T45" s="577"/>
      <c r="U45" s="93"/>
      <c r="V45" s="93"/>
      <c r="W45" s="93"/>
      <c r="X45" s="2021"/>
      <c r="Y45" s="93"/>
      <c r="Z45" s="93"/>
      <c r="AB45" s="3">
        <v>1</v>
      </c>
      <c r="AD45" s="2307"/>
      <c r="AK45" s="2815" t="s">
        <v>11232</v>
      </c>
      <c r="AL45" s="2579">
        <f>SUMIFS(O30:O951,F30:F951,5,G30:G951,4)</f>
        <v>0</v>
      </c>
      <c r="AM45" s="2817"/>
    </row>
    <row r="46" spans="1:39" ht="45.5" x14ac:dyDescent="0.35">
      <c r="A46" s="347">
        <v>8</v>
      </c>
      <c r="B46" s="405">
        <v>10151</v>
      </c>
      <c r="C46" s="405" t="s">
        <v>1657</v>
      </c>
      <c r="D46" s="2460" t="s">
        <v>4046</v>
      </c>
      <c r="E46" s="269" t="s">
        <v>9313</v>
      </c>
      <c r="F46" s="40" t="s">
        <v>827</v>
      </c>
      <c r="G46" s="40">
        <v>5</v>
      </c>
      <c r="H46" s="2289">
        <v>6</v>
      </c>
      <c r="I46" s="744">
        <f>SUM(M46:R46)</f>
        <v>0.8</v>
      </c>
      <c r="J46" s="744">
        <f t="shared" si="6"/>
        <v>0.8</v>
      </c>
      <c r="K46" s="744"/>
      <c r="L46" s="744"/>
      <c r="M46" s="1096"/>
      <c r="N46" s="1077"/>
      <c r="O46" s="856"/>
      <c r="P46" s="1078"/>
      <c r="Q46" s="1088">
        <v>0.8</v>
      </c>
      <c r="R46" s="1083"/>
      <c r="S46" s="538"/>
      <c r="T46" s="2621"/>
      <c r="U46" s="226"/>
      <c r="V46" s="226"/>
      <c r="W46" s="226"/>
      <c r="X46" s="2451"/>
      <c r="Y46" s="2450"/>
      <c r="Z46" s="2630"/>
      <c r="AA46" s="2"/>
      <c r="AB46" s="3">
        <v>1</v>
      </c>
      <c r="AD46" s="2307"/>
      <c r="AK46" s="2815" t="s">
        <v>11233</v>
      </c>
      <c r="AL46" s="2579">
        <f>SUMIFS(P30:P951,F30:F951,5,G30:G951,4)+SUMIFS(Q30:Q951,F30:F951,5,G30:G951,4)</f>
        <v>23.84</v>
      </c>
      <c r="AM46" s="2817"/>
    </row>
    <row r="47" spans="1:39" ht="45.5" x14ac:dyDescent="0.35">
      <c r="A47" s="347">
        <v>9</v>
      </c>
      <c r="B47" s="105">
        <v>10151</v>
      </c>
      <c r="C47" s="105" t="s">
        <v>1656</v>
      </c>
      <c r="D47" s="2460" t="s">
        <v>4047</v>
      </c>
      <c r="E47" s="269" t="s">
        <v>8212</v>
      </c>
      <c r="F47" s="92" t="s">
        <v>664</v>
      </c>
      <c r="G47" s="92">
        <v>5</v>
      </c>
      <c r="H47" s="41">
        <v>6</v>
      </c>
      <c r="I47" s="702">
        <f>J47+K47+L47</f>
        <v>0.2</v>
      </c>
      <c r="J47" s="702">
        <f t="shared" si="6"/>
        <v>0.2</v>
      </c>
      <c r="K47" s="93"/>
      <c r="L47" s="93"/>
      <c r="M47" s="577"/>
      <c r="N47" s="577"/>
      <c r="O47" s="577"/>
      <c r="P47" s="577"/>
      <c r="Q47" s="577"/>
      <c r="R47" s="2096">
        <v>0.2</v>
      </c>
      <c r="S47" s="113"/>
      <c r="T47" s="577"/>
      <c r="U47" s="93"/>
      <c r="V47" s="93"/>
      <c r="W47" s="93"/>
      <c r="X47" s="2021"/>
      <c r="Y47" s="93"/>
      <c r="Z47" s="93"/>
      <c r="AB47" s="3">
        <v>1</v>
      </c>
      <c r="AD47" s="2307"/>
      <c r="AK47" s="2815" t="s">
        <v>910</v>
      </c>
      <c r="AL47" s="2579">
        <f>SUMIFS(R30:R951,F30:F951,5,G30:G951,4)</f>
        <v>3.25</v>
      </c>
      <c r="AM47" s="2817"/>
    </row>
    <row r="48" spans="1:39" ht="45.5" x14ac:dyDescent="0.35">
      <c r="A48" s="347">
        <v>10</v>
      </c>
      <c r="B48" s="105">
        <v>10151</v>
      </c>
      <c r="C48" s="105" t="s">
        <v>1656</v>
      </c>
      <c r="D48" s="2460" t="s">
        <v>4048</v>
      </c>
      <c r="E48" s="269" t="s">
        <v>8213</v>
      </c>
      <c r="F48" s="92" t="s">
        <v>664</v>
      </c>
      <c r="G48" s="92">
        <v>5</v>
      </c>
      <c r="H48" s="41">
        <v>6</v>
      </c>
      <c r="I48" s="702">
        <f>J48+K48+L48</f>
        <v>0.3</v>
      </c>
      <c r="J48" s="702">
        <f t="shared" si="6"/>
        <v>0.3</v>
      </c>
      <c r="K48" s="93"/>
      <c r="L48" s="93"/>
      <c r="M48" s="577"/>
      <c r="N48" s="577"/>
      <c r="O48" s="577"/>
      <c r="P48" s="577"/>
      <c r="Q48" s="577"/>
      <c r="R48" s="2096">
        <v>0.3</v>
      </c>
      <c r="S48" s="113"/>
      <c r="T48" s="577"/>
      <c r="U48" s="93"/>
      <c r="V48" s="93"/>
      <c r="W48" s="93"/>
      <c r="X48" s="2021"/>
      <c r="Y48" s="93"/>
      <c r="Z48" s="93"/>
      <c r="AB48" s="3">
        <v>1</v>
      </c>
      <c r="AD48" s="2307"/>
      <c r="AK48" s="2818" t="s">
        <v>11234</v>
      </c>
      <c r="AL48" s="2821">
        <f>AL49+AL50+AL51+AL52+AL53</f>
        <v>8.645999999999999</v>
      </c>
      <c r="AM48" s="2820">
        <f>AL48-AH30-AI30-AJ30</f>
        <v>0</v>
      </c>
    </row>
    <row r="49" spans="1:39" ht="30.5" x14ac:dyDescent="0.35">
      <c r="A49" s="347">
        <v>11</v>
      </c>
      <c r="B49" s="105">
        <v>10151</v>
      </c>
      <c r="C49" s="105" t="s">
        <v>1656</v>
      </c>
      <c r="D49" s="2460" t="s">
        <v>4049</v>
      </c>
      <c r="E49" s="269" t="s">
        <v>8214</v>
      </c>
      <c r="F49" s="92" t="s">
        <v>664</v>
      </c>
      <c r="G49" s="92">
        <v>5</v>
      </c>
      <c r="H49" s="41">
        <v>6</v>
      </c>
      <c r="I49" s="702">
        <f>J49+K49+L49</f>
        <v>0.1</v>
      </c>
      <c r="J49" s="702">
        <f t="shared" si="6"/>
        <v>0.1</v>
      </c>
      <c r="K49" s="93"/>
      <c r="L49" s="93"/>
      <c r="M49" s="577"/>
      <c r="N49" s="577"/>
      <c r="O49" s="577"/>
      <c r="P49" s="577"/>
      <c r="Q49" s="577"/>
      <c r="R49" s="2096">
        <v>0.1</v>
      </c>
      <c r="S49" s="113"/>
      <c r="T49" s="577"/>
      <c r="U49" s="93"/>
      <c r="V49" s="93"/>
      <c r="W49" s="93"/>
      <c r="X49" s="2021"/>
      <c r="Y49" s="93"/>
      <c r="Z49" s="93"/>
      <c r="AB49" s="3">
        <v>1</v>
      </c>
      <c r="AD49" s="2307"/>
      <c r="AK49" s="2815" t="s">
        <v>11230</v>
      </c>
      <c r="AL49" s="2579">
        <f>SUMIFS(M30:M951,F30:F951,"6а",G30:G951,4)+SUMIFS(M30:M951,F30:F951,"6б",G30:G951,4)+SUMIFS(M30:M951,F30:F951,"б/к",G30:G951,4)</f>
        <v>0</v>
      </c>
      <c r="AM49" s="2817"/>
    </row>
    <row r="50" spans="1:39" ht="30.5" x14ac:dyDescent="0.35">
      <c r="A50" s="347">
        <v>12</v>
      </c>
      <c r="B50" s="358">
        <v>10152</v>
      </c>
      <c r="C50" s="358"/>
      <c r="D50" s="358" t="s">
        <v>2233</v>
      </c>
      <c r="E50" s="290" t="s">
        <v>6876</v>
      </c>
      <c r="F50" s="41"/>
      <c r="G50" s="41" t="s">
        <v>191</v>
      </c>
      <c r="H50" s="2289" t="s">
        <v>191</v>
      </c>
      <c r="I50" s="744">
        <f>SUM(M50:R50)</f>
        <v>17.700000000000003</v>
      </c>
      <c r="J50" s="744">
        <f t="shared" si="6"/>
        <v>17.700000000000003</v>
      </c>
      <c r="K50" s="744"/>
      <c r="L50" s="744"/>
      <c r="M50" s="975"/>
      <c r="N50" s="671">
        <f>+N51+N53</f>
        <v>13.46</v>
      </c>
      <c r="O50" s="850"/>
      <c r="P50" s="744"/>
      <c r="Q50" s="859">
        <f>+Q52+Q54</f>
        <v>4.24</v>
      </c>
      <c r="R50" s="869"/>
      <c r="S50" s="163"/>
      <c r="T50" s="249"/>
      <c r="U50" s="110"/>
      <c r="V50" s="110"/>
      <c r="W50" s="226">
        <v>42</v>
      </c>
      <c r="X50" s="2451">
        <v>516</v>
      </c>
      <c r="Y50" s="2450">
        <v>20</v>
      </c>
      <c r="Z50" s="2630">
        <v>214</v>
      </c>
      <c r="AA50" s="2"/>
      <c r="AB50" s="3">
        <v>1</v>
      </c>
      <c r="AD50" s="2307"/>
      <c r="AK50" s="2815" t="s">
        <v>11231</v>
      </c>
      <c r="AL50" s="2579">
        <f>SUMIFS(N30:N951,F30:F951,"6а",G30:G951,4)+SUMIFS(N30:N951,F30:F951,"6б",G30:G951,4)+SUMIFS(N30:N951,F30:F951,"б/к",G30:G951,4)</f>
        <v>1.3659999999999997</v>
      </c>
      <c r="AM50" s="2817"/>
    </row>
    <row r="51" spans="1:39" x14ac:dyDescent="0.35">
      <c r="A51" s="359"/>
      <c r="B51" s="358">
        <v>10152</v>
      </c>
      <c r="C51" s="358"/>
      <c r="D51" s="360"/>
      <c r="E51" s="393" t="s">
        <v>709</v>
      </c>
      <c r="F51" s="40">
        <v>4</v>
      </c>
      <c r="G51" s="40">
        <v>4</v>
      </c>
      <c r="H51" s="2289">
        <v>6</v>
      </c>
      <c r="I51" s="745"/>
      <c r="J51" s="745"/>
      <c r="K51" s="745"/>
      <c r="L51" s="745"/>
      <c r="M51" s="976"/>
      <c r="N51" s="746">
        <v>13.24</v>
      </c>
      <c r="O51" s="1092"/>
      <c r="P51" s="747"/>
      <c r="Q51" s="1087"/>
      <c r="R51" s="1082"/>
      <c r="S51" s="2631"/>
      <c r="T51" s="2632"/>
      <c r="U51" s="166"/>
      <c r="V51" s="166"/>
      <c r="W51" s="110"/>
      <c r="X51" s="2634"/>
      <c r="Y51" s="110"/>
      <c r="Z51" s="2633"/>
      <c r="AA51" s="2"/>
      <c r="AK51" s="2815" t="s">
        <v>11232</v>
      </c>
      <c r="AL51" s="2579">
        <f>SUMIFS(O30:O951,F30:F951,"6а",G30:G951,4)+SUMIFS(O30:O951,F30:F951,"6б",G30:G951,4)+SUMIFS(O30:O951,F30:F951,"б/к",G30:G951,4)</f>
        <v>0</v>
      </c>
      <c r="AM51" s="2817"/>
    </row>
    <row r="52" spans="1:39" x14ac:dyDescent="0.35">
      <c r="A52" s="359"/>
      <c r="B52" s="358">
        <v>10152</v>
      </c>
      <c r="C52" s="358"/>
      <c r="D52" s="360"/>
      <c r="E52" s="900" t="s">
        <v>710</v>
      </c>
      <c r="F52" s="40">
        <v>4</v>
      </c>
      <c r="G52" s="40">
        <v>4</v>
      </c>
      <c r="H52" s="2289">
        <v>6</v>
      </c>
      <c r="I52" s="745"/>
      <c r="J52" s="745"/>
      <c r="K52" s="745"/>
      <c r="L52" s="745"/>
      <c r="M52" s="976"/>
      <c r="N52" s="748"/>
      <c r="O52" s="1093"/>
      <c r="P52" s="745"/>
      <c r="Q52" s="1087">
        <v>3.93</v>
      </c>
      <c r="R52" s="1084"/>
      <c r="S52" s="2631"/>
      <c r="T52" s="2632"/>
      <c r="U52" s="166"/>
      <c r="V52" s="166"/>
      <c r="W52" s="110"/>
      <c r="X52" s="2634"/>
      <c r="Y52" s="110"/>
      <c r="Z52" s="2633"/>
      <c r="AA52" s="2"/>
      <c r="AK52" s="2815" t="s">
        <v>11233</v>
      </c>
      <c r="AL52" s="2579">
        <f>SUMIFS(P30:P951,F30:F951,"6а",G30:G951,4)+SUMIFS(Q30:Q951,F30:F951,"6а",G30:G951,4)+SUMIFS(P30:P951,F30:F951,"6б",G30:G951,4)+SUMIFS(Q30:Q951,F30:F951,"6б",G30:G951,4)+SUMIFS(O30:O951,F30:F951,"б/к",G30:G951,4)+SUMIFS(P30:P951,F30:F951,"б/к",G30:G951,4)+SUMIFS(Q30:Q951,F30:F951,"б/к",G30:G951,4)</f>
        <v>0</v>
      </c>
      <c r="AM52" s="2817"/>
    </row>
    <row r="53" spans="1:39" x14ac:dyDescent="0.35">
      <c r="A53" s="359"/>
      <c r="B53" s="358">
        <v>10152</v>
      </c>
      <c r="C53" s="358"/>
      <c r="D53" s="360"/>
      <c r="E53" s="393" t="s">
        <v>711</v>
      </c>
      <c r="F53" s="40">
        <v>4</v>
      </c>
      <c r="G53" s="40">
        <v>4</v>
      </c>
      <c r="H53" s="2289">
        <v>6</v>
      </c>
      <c r="I53" s="745"/>
      <c r="J53" s="745"/>
      <c r="K53" s="745"/>
      <c r="L53" s="745"/>
      <c r="M53" s="976"/>
      <c r="N53" s="746">
        <v>0.22</v>
      </c>
      <c r="O53" s="1093"/>
      <c r="P53" s="745"/>
      <c r="Q53" s="1089"/>
      <c r="R53" s="1084"/>
      <c r="S53" s="2631"/>
      <c r="T53" s="2632"/>
      <c r="U53" s="166"/>
      <c r="V53" s="166"/>
      <c r="W53" s="110"/>
      <c r="X53" s="2634"/>
      <c r="Y53" s="110"/>
      <c r="Z53" s="2633"/>
      <c r="AA53" s="2"/>
      <c r="AK53" s="2815" t="s">
        <v>910</v>
      </c>
      <c r="AL53" s="2579">
        <f>SUMIFS(R30:R951,F30:F951,"6а",G30:G951,4)+SUMIFS(R30:R951,F30:F951,"6б",G30:G951,4)+SUMIFS(R30:R951,F30:F951,"б/к",G30:G951,4)</f>
        <v>7.2799999999999994</v>
      </c>
      <c r="AM53" s="2817"/>
    </row>
    <row r="54" spans="1:39" x14ac:dyDescent="0.35">
      <c r="A54" s="359"/>
      <c r="B54" s="358">
        <v>10152</v>
      </c>
      <c r="C54" s="358"/>
      <c r="D54" s="360"/>
      <c r="E54" s="900" t="s">
        <v>1305</v>
      </c>
      <c r="F54" s="40">
        <v>4</v>
      </c>
      <c r="G54" s="40">
        <v>4</v>
      </c>
      <c r="H54" s="2289">
        <v>6</v>
      </c>
      <c r="I54" s="745"/>
      <c r="J54" s="745"/>
      <c r="K54" s="745"/>
      <c r="L54" s="745"/>
      <c r="M54" s="976"/>
      <c r="N54" s="746"/>
      <c r="O54" s="1092"/>
      <c r="P54" s="747"/>
      <c r="Q54" s="1087">
        <v>0.31</v>
      </c>
      <c r="R54" s="1082"/>
      <c r="S54" s="2631"/>
      <c r="T54" s="2632"/>
      <c r="U54" s="166"/>
      <c r="V54" s="166"/>
      <c r="W54" s="110"/>
      <c r="X54" s="2634"/>
      <c r="Y54" s="110"/>
      <c r="Z54" s="2633"/>
      <c r="AA54" s="2"/>
      <c r="AK54" s="2815"/>
      <c r="AL54" s="2579"/>
      <c r="AM54" s="2817"/>
    </row>
    <row r="55" spans="1:39" ht="45.5" x14ac:dyDescent="0.35">
      <c r="A55" s="347">
        <v>13</v>
      </c>
      <c r="B55" s="358">
        <v>10152</v>
      </c>
      <c r="C55" s="358"/>
      <c r="D55" s="2460" t="s">
        <v>4050</v>
      </c>
      <c r="E55" s="394" t="s">
        <v>7505</v>
      </c>
      <c r="F55" s="41">
        <v>5</v>
      </c>
      <c r="G55" s="41">
        <v>5</v>
      </c>
      <c r="H55" s="2289">
        <v>6</v>
      </c>
      <c r="I55" s="744">
        <f>SUM(M55:R55)</f>
        <v>2.77</v>
      </c>
      <c r="J55" s="744">
        <f>SUM(M55:R55)</f>
        <v>2.77</v>
      </c>
      <c r="K55" s="749"/>
      <c r="L55" s="749"/>
      <c r="M55" s="1096"/>
      <c r="N55" s="1077"/>
      <c r="O55" s="856"/>
      <c r="P55" s="1078"/>
      <c r="Q55" s="1088">
        <v>2.77</v>
      </c>
      <c r="R55" s="1083"/>
      <c r="S55" s="163"/>
      <c r="T55" s="248"/>
      <c r="U55" s="110"/>
      <c r="V55" s="110"/>
      <c r="W55" s="226">
        <v>11</v>
      </c>
      <c r="X55" s="2451">
        <v>120.5</v>
      </c>
      <c r="Y55" s="226">
        <v>2</v>
      </c>
      <c r="Z55" s="2635">
        <v>25</v>
      </c>
      <c r="AA55" s="2"/>
      <c r="AB55" s="3">
        <v>1</v>
      </c>
      <c r="AD55" s="2307"/>
      <c r="AK55" s="2818" t="s">
        <v>11236</v>
      </c>
      <c r="AL55" s="2821">
        <f>AL57+AL63+AL69</f>
        <v>312.03500000000008</v>
      </c>
      <c r="AM55" s="2820">
        <f>AL55-J20</f>
        <v>0</v>
      </c>
    </row>
    <row r="56" spans="1:39" ht="60.5" x14ac:dyDescent="0.35">
      <c r="A56" s="693">
        <v>14</v>
      </c>
      <c r="B56" s="105">
        <v>10152</v>
      </c>
      <c r="C56" s="105" t="s">
        <v>1656</v>
      </c>
      <c r="D56" s="2460" t="s">
        <v>4051</v>
      </c>
      <c r="E56" s="269" t="s">
        <v>8215</v>
      </c>
      <c r="F56" s="92" t="s">
        <v>664</v>
      </c>
      <c r="G56" s="92">
        <v>5</v>
      </c>
      <c r="H56" s="41">
        <v>6</v>
      </c>
      <c r="I56" s="702">
        <f>J56+K56+L56</f>
        <v>0.74</v>
      </c>
      <c r="J56" s="702">
        <f>SUM(M56:R56)</f>
        <v>0.74</v>
      </c>
      <c r="K56" s="93"/>
      <c r="L56" s="93"/>
      <c r="M56" s="577"/>
      <c r="N56" s="577"/>
      <c r="O56" s="577"/>
      <c r="P56" s="577"/>
      <c r="Q56" s="577"/>
      <c r="R56" s="2096">
        <v>0.74</v>
      </c>
      <c r="S56" s="113"/>
      <c r="T56" s="577"/>
      <c r="U56" s="93"/>
      <c r="V56" s="93"/>
      <c r="W56" s="93"/>
      <c r="X56" s="2021"/>
      <c r="Y56" s="93"/>
      <c r="Z56" s="93"/>
      <c r="AB56" s="3">
        <v>1</v>
      </c>
      <c r="AD56" s="2307"/>
      <c r="AK56" s="2815" t="s">
        <v>11229</v>
      </c>
      <c r="AL56" s="2579"/>
      <c r="AM56" s="2817"/>
    </row>
    <row r="57" spans="1:39" ht="45.5" x14ac:dyDescent="0.35">
      <c r="A57" s="693">
        <v>15</v>
      </c>
      <c r="B57" s="105">
        <v>10152</v>
      </c>
      <c r="C57" s="105" t="s">
        <v>1656</v>
      </c>
      <c r="D57" s="2460" t="s">
        <v>4052</v>
      </c>
      <c r="E57" s="269" t="s">
        <v>8216</v>
      </c>
      <c r="F57" s="92" t="s">
        <v>664</v>
      </c>
      <c r="G57" s="92">
        <v>5</v>
      </c>
      <c r="H57" s="41">
        <v>6</v>
      </c>
      <c r="I57" s="702">
        <f>J57+K57+L57</f>
        <v>0.1</v>
      </c>
      <c r="J57" s="702">
        <f>SUM(M57:R57)</f>
        <v>0.1</v>
      </c>
      <c r="K57" s="93"/>
      <c r="L57" s="93"/>
      <c r="M57" s="577"/>
      <c r="N57" s="577"/>
      <c r="O57" s="577"/>
      <c r="P57" s="577"/>
      <c r="Q57" s="577"/>
      <c r="R57" s="2096">
        <v>0.1</v>
      </c>
      <c r="S57" s="113"/>
      <c r="T57" s="577"/>
      <c r="U57" s="93"/>
      <c r="V57" s="93"/>
      <c r="W57" s="93"/>
      <c r="X57" s="2021"/>
      <c r="Y57" s="93"/>
      <c r="Z57" s="93"/>
      <c r="AB57" s="3">
        <v>1</v>
      </c>
      <c r="AD57" s="2307"/>
      <c r="AK57" s="2818" t="s">
        <v>7184</v>
      </c>
      <c r="AL57" s="2821">
        <f>AL58+AL59+AL60+AL61+AL62</f>
        <v>33.909999999999997</v>
      </c>
      <c r="AM57" s="2820">
        <f>AL57-AF31</f>
        <v>0</v>
      </c>
    </row>
    <row r="58" spans="1:39" ht="30.5" x14ac:dyDescent="0.35">
      <c r="A58" s="693">
        <v>16</v>
      </c>
      <c r="B58" s="358">
        <v>10153</v>
      </c>
      <c r="C58" s="358"/>
      <c r="D58" s="358" t="s">
        <v>2716</v>
      </c>
      <c r="E58" s="550" t="s">
        <v>10923</v>
      </c>
      <c r="F58" s="41"/>
      <c r="G58" s="41" t="s">
        <v>191</v>
      </c>
      <c r="H58" s="2289" t="s">
        <v>191</v>
      </c>
      <c r="I58" s="702">
        <f>J58+K58+L58</f>
        <v>10.88</v>
      </c>
      <c r="J58" s="744">
        <f>SUM(M58:R58)</f>
        <v>10.840000000000002</v>
      </c>
      <c r="K58" s="744"/>
      <c r="L58" s="671">
        <f>SUM(L59:L64)</f>
        <v>0.04</v>
      </c>
      <c r="M58" s="975"/>
      <c r="N58" s="671">
        <f>SUM(N59:N64)</f>
        <v>2.4530000000000012</v>
      </c>
      <c r="O58" s="850"/>
      <c r="P58" s="744"/>
      <c r="Q58" s="859">
        <f>SUM(Q59:Q64)</f>
        <v>8.3870000000000005</v>
      </c>
      <c r="R58" s="869"/>
      <c r="S58" s="163"/>
      <c r="T58" s="249"/>
      <c r="U58" s="110"/>
      <c r="V58" s="110"/>
      <c r="W58" s="226">
        <v>22</v>
      </c>
      <c r="X58" s="2451">
        <v>271.32</v>
      </c>
      <c r="Y58" s="226">
        <v>7</v>
      </c>
      <c r="Z58" s="2622">
        <v>78.7</v>
      </c>
      <c r="AA58" s="2"/>
      <c r="AB58" s="3">
        <v>1</v>
      </c>
      <c r="AD58" s="2307"/>
      <c r="AK58" s="2815" t="s">
        <v>11230</v>
      </c>
      <c r="AL58" s="2579">
        <f>SUMIFS(M30:M951,F30:F951,4,G30:G951,5)</f>
        <v>0</v>
      </c>
      <c r="AM58" s="2817"/>
    </row>
    <row r="59" spans="1:39" ht="31" x14ac:dyDescent="0.35">
      <c r="A59" s="359"/>
      <c r="B59" s="358">
        <v>10153</v>
      </c>
      <c r="C59" s="358"/>
      <c r="D59" s="360"/>
      <c r="E59" s="393" t="s">
        <v>10412</v>
      </c>
      <c r="F59" s="40">
        <v>4</v>
      </c>
      <c r="G59" s="40">
        <v>4</v>
      </c>
      <c r="H59" s="2289" t="s">
        <v>191</v>
      </c>
      <c r="I59" s="745"/>
      <c r="J59" s="745"/>
      <c r="K59" s="745"/>
      <c r="L59" s="745">
        <v>0.04</v>
      </c>
      <c r="M59" s="976"/>
      <c r="N59" s="746"/>
      <c r="O59" s="1092"/>
      <c r="P59" s="747"/>
      <c r="Q59" s="1087"/>
      <c r="R59" s="1082"/>
      <c r="S59" s="2631"/>
      <c r="T59" s="2632"/>
      <c r="U59" s="166"/>
      <c r="V59" s="166"/>
      <c r="W59" s="110"/>
      <c r="X59" s="2634"/>
      <c r="Y59" s="110"/>
      <c r="Z59" s="2633"/>
      <c r="AA59" s="2"/>
      <c r="AK59" s="2815" t="s">
        <v>11231</v>
      </c>
      <c r="AL59" s="2579">
        <f>SUMIFS(N30:N951,F30:F951,4,G30:G951,5)</f>
        <v>13.802</v>
      </c>
      <c r="AM59" s="2817"/>
    </row>
    <row r="60" spans="1:39" x14ac:dyDescent="0.35">
      <c r="A60" s="359"/>
      <c r="B60" s="358">
        <v>10153</v>
      </c>
      <c r="C60" s="358"/>
      <c r="D60" s="360"/>
      <c r="E60" s="393" t="s">
        <v>10413</v>
      </c>
      <c r="F60" s="40">
        <v>4</v>
      </c>
      <c r="G60" s="40">
        <v>4</v>
      </c>
      <c r="H60" s="2289">
        <v>6</v>
      </c>
      <c r="I60" s="745"/>
      <c r="J60" s="745"/>
      <c r="K60" s="745"/>
      <c r="L60" s="745"/>
      <c r="M60" s="976"/>
      <c r="N60" s="746">
        <f>0.609-0.04</f>
        <v>0.56899999999999995</v>
      </c>
      <c r="O60" s="1092"/>
      <c r="P60" s="747"/>
      <c r="Q60" s="1087"/>
      <c r="R60" s="1082"/>
      <c r="S60" s="2631"/>
      <c r="T60" s="2632"/>
      <c r="U60" s="166"/>
      <c r="V60" s="166"/>
      <c r="W60" s="110"/>
      <c r="X60" s="2634"/>
      <c r="Y60" s="110"/>
      <c r="Z60" s="2633"/>
      <c r="AA60" s="2"/>
      <c r="AK60" s="2815" t="s">
        <v>11232</v>
      </c>
      <c r="AL60" s="2579">
        <f>SUMIFS(O30:O951,F30:F951,4,G30:G951,5)</f>
        <v>0</v>
      </c>
      <c r="AM60" s="2817"/>
    </row>
    <row r="61" spans="1:39" x14ac:dyDescent="0.35">
      <c r="A61" s="359"/>
      <c r="B61" s="358">
        <v>10153</v>
      </c>
      <c r="C61" s="358"/>
      <c r="D61" s="360"/>
      <c r="E61" s="900" t="s">
        <v>10414</v>
      </c>
      <c r="F61" s="40">
        <v>4</v>
      </c>
      <c r="G61" s="40">
        <v>4</v>
      </c>
      <c r="H61" s="2289">
        <v>6</v>
      </c>
      <c r="I61" s="745"/>
      <c r="J61" s="745"/>
      <c r="K61" s="745"/>
      <c r="L61" s="745"/>
      <c r="M61" s="976"/>
      <c r="N61" s="748"/>
      <c r="O61" s="1093"/>
      <c r="P61" s="745"/>
      <c r="Q61" s="1087">
        <f>7.313-0.609</f>
        <v>6.7039999999999997</v>
      </c>
      <c r="R61" s="1084"/>
      <c r="S61" s="2631"/>
      <c r="T61" s="2632"/>
      <c r="U61" s="166"/>
      <c r="V61" s="166"/>
      <c r="W61" s="110"/>
      <c r="X61" s="2634"/>
      <c r="Y61" s="110"/>
      <c r="Z61" s="2633"/>
      <c r="AA61" s="2"/>
      <c r="AK61" s="2815" t="s">
        <v>11233</v>
      </c>
      <c r="AL61" s="2579">
        <f>SUMIFS(P30:P951,F30:F951,4,G30:G951,5)+SUMIFS(Q30:Q951,F30:F951,4,G30:G951,5)</f>
        <v>20.107999999999997</v>
      </c>
      <c r="AM61" s="2817"/>
    </row>
    <row r="62" spans="1:39" x14ac:dyDescent="0.35">
      <c r="A62" s="359"/>
      <c r="B62" s="358">
        <v>10153</v>
      </c>
      <c r="C62" s="358"/>
      <c r="D62" s="360"/>
      <c r="E62" s="393" t="s">
        <v>10415</v>
      </c>
      <c r="F62" s="40">
        <v>4</v>
      </c>
      <c r="G62" s="40">
        <v>4</v>
      </c>
      <c r="H62" s="2289">
        <v>6</v>
      </c>
      <c r="I62" s="745"/>
      <c r="J62" s="745"/>
      <c r="K62" s="745"/>
      <c r="L62" s="745"/>
      <c r="M62" s="976"/>
      <c r="N62" s="748">
        <f>8.297-7.313</f>
        <v>0.98400000000000087</v>
      </c>
      <c r="O62" s="1093"/>
      <c r="P62" s="745"/>
      <c r="Q62" s="1087"/>
      <c r="R62" s="1084"/>
      <c r="S62" s="2631"/>
      <c r="T62" s="2632"/>
      <c r="U62" s="166"/>
      <c r="V62" s="166"/>
      <c r="W62" s="110"/>
      <c r="X62" s="2634"/>
      <c r="Y62" s="110"/>
      <c r="Z62" s="2633"/>
      <c r="AA62" s="2"/>
      <c r="AK62" s="2815" t="s">
        <v>910</v>
      </c>
      <c r="AL62" s="2579">
        <f>SUMIFS(R30:R951,F30:F951,4,G30:G951,5)</f>
        <v>0</v>
      </c>
      <c r="AM62" s="2817"/>
    </row>
    <row r="63" spans="1:39" x14ac:dyDescent="0.35">
      <c r="A63" s="359"/>
      <c r="B63" s="358">
        <v>10153</v>
      </c>
      <c r="C63" s="358"/>
      <c r="D63" s="360"/>
      <c r="E63" s="900" t="s">
        <v>10416</v>
      </c>
      <c r="F63" s="166">
        <v>5</v>
      </c>
      <c r="G63" s="40">
        <v>4</v>
      </c>
      <c r="H63" s="2289">
        <v>6</v>
      </c>
      <c r="I63" s="745"/>
      <c r="J63" s="745"/>
      <c r="K63" s="745"/>
      <c r="L63" s="745"/>
      <c r="M63" s="976"/>
      <c r="N63" s="748"/>
      <c r="O63" s="1093"/>
      <c r="P63" s="745"/>
      <c r="Q63" s="1087">
        <f>9.98-8.297</f>
        <v>1.6829999999999998</v>
      </c>
      <c r="R63" s="1084"/>
      <c r="S63" s="2631"/>
      <c r="T63" s="2632"/>
      <c r="U63" s="166"/>
      <c r="V63" s="166"/>
      <c r="W63" s="110"/>
      <c r="X63" s="2634"/>
      <c r="Y63" s="110"/>
      <c r="Z63" s="2633"/>
      <c r="AA63" s="2"/>
      <c r="AK63" s="2818" t="s">
        <v>7185</v>
      </c>
      <c r="AL63" s="2821">
        <f>AL64+AL65+AL66+AL67+AL68</f>
        <v>98.420000000000016</v>
      </c>
      <c r="AM63" s="2820">
        <f>AL63-AG31</f>
        <v>0</v>
      </c>
    </row>
    <row r="64" spans="1:39" x14ac:dyDescent="0.35">
      <c r="A64" s="359"/>
      <c r="B64" s="358">
        <v>10153</v>
      </c>
      <c r="C64" s="358"/>
      <c r="D64" s="360"/>
      <c r="E64" s="393" t="s">
        <v>810</v>
      </c>
      <c r="F64" s="166">
        <v>5</v>
      </c>
      <c r="G64" s="40">
        <v>4</v>
      </c>
      <c r="H64" s="2289">
        <v>6</v>
      </c>
      <c r="I64" s="745"/>
      <c r="J64" s="745"/>
      <c r="K64" s="745"/>
      <c r="L64" s="745"/>
      <c r="M64" s="976"/>
      <c r="N64" s="748">
        <f>10.88-9.98</f>
        <v>0.90000000000000036</v>
      </c>
      <c r="O64" s="1093"/>
      <c r="P64" s="745"/>
      <c r="Q64" s="1087"/>
      <c r="R64" s="1084"/>
      <c r="S64" s="2631"/>
      <c r="T64" s="2632"/>
      <c r="U64" s="166"/>
      <c r="V64" s="166"/>
      <c r="W64" s="110"/>
      <c r="X64" s="2634"/>
      <c r="Y64" s="110"/>
      <c r="Z64" s="2633"/>
      <c r="AA64" s="2"/>
      <c r="AK64" s="2815" t="s">
        <v>11230</v>
      </c>
      <c r="AL64" s="2579">
        <f>SUMIFS(M30:M951,F30:F951,5,G30:G951,5)</f>
        <v>0</v>
      </c>
      <c r="AM64" s="2817"/>
    </row>
    <row r="65" spans="1:39" ht="45.5" x14ac:dyDescent="0.35">
      <c r="A65" s="693">
        <v>17</v>
      </c>
      <c r="B65" s="105">
        <v>10153</v>
      </c>
      <c r="C65" s="105" t="s">
        <v>1656</v>
      </c>
      <c r="D65" s="2460" t="s">
        <v>4054</v>
      </c>
      <c r="E65" s="269" t="s">
        <v>10924</v>
      </c>
      <c r="F65" s="92" t="s">
        <v>664</v>
      </c>
      <c r="G65" s="92">
        <v>5</v>
      </c>
      <c r="H65" s="41">
        <v>6</v>
      </c>
      <c r="I65" s="702">
        <f>J65+K65+L65</f>
        <v>1.5</v>
      </c>
      <c r="J65" s="702">
        <f>SUM(M65:R65)</f>
        <v>1.5</v>
      </c>
      <c r="K65" s="93"/>
      <c r="L65" s="93"/>
      <c r="M65" s="577"/>
      <c r="N65" s="577"/>
      <c r="O65" s="577"/>
      <c r="P65" s="577"/>
      <c r="Q65" s="577"/>
      <c r="R65" s="2096">
        <v>1.5</v>
      </c>
      <c r="S65" s="113"/>
      <c r="T65" s="577"/>
      <c r="U65" s="93"/>
      <c r="V65" s="93"/>
      <c r="W65" s="93"/>
      <c r="X65" s="2021"/>
      <c r="Y65" s="93"/>
      <c r="Z65" s="93"/>
      <c r="AB65" s="3">
        <v>1</v>
      </c>
      <c r="AD65" s="2307"/>
      <c r="AK65" s="2815" t="s">
        <v>11231</v>
      </c>
      <c r="AL65" s="2579">
        <f>SUMIFS(N30:N951,F30:F951,5,G30:G951,5)</f>
        <v>25.376000000000005</v>
      </c>
      <c r="AM65" s="2817"/>
    </row>
    <row r="66" spans="1:39" ht="30.5" x14ac:dyDescent="0.35">
      <c r="A66" s="693">
        <v>18</v>
      </c>
      <c r="B66" s="358">
        <v>10154</v>
      </c>
      <c r="C66" s="358"/>
      <c r="D66" s="358" t="s">
        <v>2717</v>
      </c>
      <c r="E66" s="550" t="s">
        <v>10467</v>
      </c>
      <c r="F66" s="41"/>
      <c r="G66" s="2289" t="s">
        <v>191</v>
      </c>
      <c r="H66" s="2289" t="s">
        <v>191</v>
      </c>
      <c r="I66" s="702">
        <f>J66+K66+L66</f>
        <v>13.236000000000001</v>
      </c>
      <c r="J66" s="702">
        <f>SUM(M66:R66)</f>
        <v>13.213000000000001</v>
      </c>
      <c r="K66" s="744"/>
      <c r="L66" s="671">
        <f>SUM(L67:L72)</f>
        <v>2.3E-2</v>
      </c>
      <c r="M66" s="975"/>
      <c r="N66" s="671">
        <f>SUM(N67:N72)</f>
        <v>8.5840000000000032</v>
      </c>
      <c r="O66" s="850"/>
      <c r="P66" s="744"/>
      <c r="Q66" s="859">
        <f>SUM(Q67:Q72)</f>
        <v>4.6289999999999987</v>
      </c>
      <c r="R66" s="869"/>
      <c r="S66" s="538">
        <v>2</v>
      </c>
      <c r="T66" s="249">
        <f>19+24.1</f>
        <v>43.1</v>
      </c>
      <c r="U66" s="110"/>
      <c r="V66" s="110"/>
      <c r="W66" s="226">
        <v>22</v>
      </c>
      <c r="X66" s="2451">
        <v>230.19</v>
      </c>
      <c r="Y66" s="226">
        <v>7</v>
      </c>
      <c r="Z66" s="2622">
        <v>79</v>
      </c>
      <c r="AA66" s="2"/>
      <c r="AB66" s="3">
        <v>1</v>
      </c>
      <c r="AD66" s="2307"/>
      <c r="AK66" s="2815" t="s">
        <v>11232</v>
      </c>
      <c r="AL66" s="2579">
        <f>SUMIFS(O30:O951,F30:F951,5,G30:G951,5)</f>
        <v>1.06</v>
      </c>
      <c r="AM66" s="2817"/>
    </row>
    <row r="67" spans="1:39" ht="31" x14ac:dyDescent="0.35">
      <c r="A67" s="359"/>
      <c r="B67" s="358">
        <v>10154</v>
      </c>
      <c r="C67" s="358"/>
      <c r="D67" s="360"/>
      <c r="E67" s="393" t="s">
        <v>9460</v>
      </c>
      <c r="F67" s="40">
        <v>4</v>
      </c>
      <c r="G67" s="40">
        <v>4</v>
      </c>
      <c r="H67" s="2289" t="s">
        <v>191</v>
      </c>
      <c r="I67" s="745"/>
      <c r="J67" s="745"/>
      <c r="K67" s="745"/>
      <c r="L67" s="745">
        <v>2.3E-2</v>
      </c>
      <c r="M67" s="976"/>
      <c r="N67" s="746"/>
      <c r="O67" s="1092"/>
      <c r="P67" s="747"/>
      <c r="Q67" s="1087"/>
      <c r="R67" s="1082"/>
      <c r="S67" s="2631"/>
      <c r="T67" s="2632"/>
      <c r="U67" s="166"/>
      <c r="V67" s="166"/>
      <c r="W67" s="110"/>
      <c r="X67" s="2634"/>
      <c r="Y67" s="110"/>
      <c r="Z67" s="2633"/>
      <c r="AA67" s="2"/>
      <c r="AK67" s="2815" t="s">
        <v>11233</v>
      </c>
      <c r="AL67" s="2579">
        <f>SUMIFS(P30:P951,F30:F951,5,G30:G951,5)+SUMIFS(Q30:Q951,F30:F951,5,G30:G951,5)</f>
        <v>68.984000000000009</v>
      </c>
      <c r="AM67" s="2817"/>
    </row>
    <row r="68" spans="1:39" x14ac:dyDescent="0.35">
      <c r="A68" s="359"/>
      <c r="B68" s="358">
        <v>10154</v>
      </c>
      <c r="C68" s="358"/>
      <c r="D68" s="360"/>
      <c r="E68" s="393" t="s">
        <v>7290</v>
      </c>
      <c r="F68" s="40">
        <v>4</v>
      </c>
      <c r="G68" s="40">
        <v>4</v>
      </c>
      <c r="H68" s="2289">
        <v>6</v>
      </c>
      <c r="I68" s="745"/>
      <c r="J68" s="745"/>
      <c r="K68" s="745"/>
      <c r="L68" s="745"/>
      <c r="M68" s="976"/>
      <c r="N68" s="746">
        <f>6.706-0.023</f>
        <v>6.6830000000000007</v>
      </c>
      <c r="O68" s="1092"/>
      <c r="P68" s="747"/>
      <c r="Q68" s="1087"/>
      <c r="R68" s="1082"/>
      <c r="S68" s="2631"/>
      <c r="T68" s="2632"/>
      <c r="U68" s="166"/>
      <c r="V68" s="166"/>
      <c r="W68" s="110"/>
      <c r="X68" s="2634"/>
      <c r="Y68" s="110"/>
      <c r="Z68" s="2633"/>
      <c r="AA68" s="2"/>
      <c r="AK68" s="2815" t="s">
        <v>910</v>
      </c>
      <c r="AL68" s="2579">
        <f>SUMIFS(R30:R951,F30:F951,5,G30:G951,5)</f>
        <v>3.0000000000000004</v>
      </c>
      <c r="AM68" s="2817"/>
    </row>
    <row r="69" spans="1:39" x14ac:dyDescent="0.35">
      <c r="A69" s="359"/>
      <c r="B69" s="358">
        <v>10154</v>
      </c>
      <c r="C69" s="358"/>
      <c r="D69" s="360"/>
      <c r="E69" s="900" t="s">
        <v>7291</v>
      </c>
      <c r="F69" s="40">
        <v>4</v>
      </c>
      <c r="G69" s="40">
        <v>4</v>
      </c>
      <c r="H69" s="2289">
        <v>6</v>
      </c>
      <c r="I69" s="745"/>
      <c r="J69" s="745"/>
      <c r="K69" s="745"/>
      <c r="L69" s="745"/>
      <c r="M69" s="976"/>
      <c r="N69" s="748"/>
      <c r="O69" s="1093"/>
      <c r="P69" s="745"/>
      <c r="Q69" s="1087">
        <f>8.258-6.706</f>
        <v>1.5519999999999987</v>
      </c>
      <c r="R69" s="1084"/>
      <c r="S69" s="2631"/>
      <c r="T69" s="2632"/>
      <c r="U69" s="166"/>
      <c r="V69" s="166"/>
      <c r="W69" s="110"/>
      <c r="X69" s="2634"/>
      <c r="Y69" s="110"/>
      <c r="Z69" s="2633"/>
      <c r="AA69" s="2"/>
      <c r="AK69" s="2818" t="s">
        <v>11234</v>
      </c>
      <c r="AL69" s="2821">
        <f>AL70+AL71+AL72+AL73+AL74</f>
        <v>179.70500000000004</v>
      </c>
      <c r="AM69" s="2820">
        <f>AL69-AH31-AI31-AJ31</f>
        <v>0</v>
      </c>
    </row>
    <row r="70" spans="1:39" x14ac:dyDescent="0.35">
      <c r="A70" s="359"/>
      <c r="B70" s="358">
        <v>10154</v>
      </c>
      <c r="C70" s="358"/>
      <c r="D70" s="360"/>
      <c r="E70" s="393" t="s">
        <v>7292</v>
      </c>
      <c r="F70" s="40">
        <v>4</v>
      </c>
      <c r="G70" s="40">
        <v>4</v>
      </c>
      <c r="H70" s="2289">
        <v>6</v>
      </c>
      <c r="I70" s="745"/>
      <c r="J70" s="745"/>
      <c r="K70" s="745"/>
      <c r="L70" s="745"/>
      <c r="M70" s="976"/>
      <c r="N70" s="746">
        <f>9.294-8.258</f>
        <v>1.0360000000000014</v>
      </c>
      <c r="O70" s="1093"/>
      <c r="P70" s="745"/>
      <c r="Q70" s="1089"/>
      <c r="R70" s="1084"/>
      <c r="S70" s="2631"/>
      <c r="T70" s="2632"/>
      <c r="U70" s="166"/>
      <c r="V70" s="166"/>
      <c r="W70" s="110"/>
      <c r="X70" s="2634"/>
      <c r="Y70" s="110"/>
      <c r="Z70" s="2633"/>
      <c r="AA70" s="2"/>
      <c r="AK70" s="2815" t="s">
        <v>11230</v>
      </c>
      <c r="AL70" s="2579">
        <f>SUMIFS(M30:M951,F30:F951,"6а",G30:G951,5)+SUMIFS(M30:M951,F30:F951,"6б",G30:G951,5)+SUMIFS(M30:M951,F30:F951,"б/к",G30:G951,5)</f>
        <v>0</v>
      </c>
      <c r="AM70" s="2817"/>
    </row>
    <row r="71" spans="1:39" x14ac:dyDescent="0.35">
      <c r="A71" s="359"/>
      <c r="B71" s="358">
        <v>10154</v>
      </c>
      <c r="C71" s="358"/>
      <c r="D71" s="360"/>
      <c r="E71" s="900" t="s">
        <v>7293</v>
      </c>
      <c r="F71" s="40">
        <v>4</v>
      </c>
      <c r="G71" s="40">
        <v>4</v>
      </c>
      <c r="H71" s="2289">
        <v>6</v>
      </c>
      <c r="I71" s="745"/>
      <c r="J71" s="745"/>
      <c r="K71" s="745"/>
      <c r="L71" s="745"/>
      <c r="M71" s="976"/>
      <c r="N71" s="748"/>
      <c r="O71" s="1093"/>
      <c r="P71" s="745"/>
      <c r="Q71" s="1087">
        <f>12.371-9.294</f>
        <v>3.077</v>
      </c>
      <c r="R71" s="1084"/>
      <c r="S71" s="2631"/>
      <c r="T71" s="2632"/>
      <c r="U71" s="166"/>
      <c r="V71" s="166"/>
      <c r="W71" s="110"/>
      <c r="X71" s="2634"/>
      <c r="Y71" s="110"/>
      <c r="Z71" s="2633"/>
      <c r="AA71" s="2"/>
      <c r="AK71" s="2815" t="s">
        <v>11231</v>
      </c>
      <c r="AL71" s="2579">
        <f>SUMIFS(N30:N951,F30:F951,"6а",G30:G951,5)+SUMIFS(N30:N951,F30:F951,"6б",G30:G951,5)+SUMIFS(N30:N951,F30:F951,"б/к",G30:G951,5)</f>
        <v>9.5030000000000001</v>
      </c>
      <c r="AM71" s="2817"/>
    </row>
    <row r="72" spans="1:39" x14ac:dyDescent="0.35">
      <c r="A72" s="359"/>
      <c r="B72" s="358">
        <v>10154</v>
      </c>
      <c r="C72" s="358"/>
      <c r="D72" s="360"/>
      <c r="E72" s="393" t="s">
        <v>7294</v>
      </c>
      <c r="F72" s="40">
        <v>4</v>
      </c>
      <c r="G72" s="40">
        <v>4</v>
      </c>
      <c r="H72" s="2289">
        <v>6</v>
      </c>
      <c r="I72" s="745"/>
      <c r="J72" s="745"/>
      <c r="K72" s="745"/>
      <c r="L72" s="745"/>
      <c r="M72" s="976"/>
      <c r="N72" s="746">
        <f>13.236-12.371</f>
        <v>0.86500000000000021</v>
      </c>
      <c r="O72" s="1092"/>
      <c r="P72" s="747"/>
      <c r="Q72" s="1087"/>
      <c r="R72" s="1082"/>
      <c r="S72" s="2631"/>
      <c r="T72" s="2632"/>
      <c r="U72" s="166"/>
      <c r="V72" s="166"/>
      <c r="W72" s="110"/>
      <c r="X72" s="2634"/>
      <c r="Y72" s="110"/>
      <c r="Z72" s="2633"/>
      <c r="AA72" s="2"/>
      <c r="AK72" s="2815" t="s">
        <v>11232</v>
      </c>
      <c r="AL72" s="2579">
        <f>SUMIFS(O30:O951,F30:F951,"6а",G30:G951,5)+SUMIFS(O30:O951,F30:F951,"6б",G30:G951,5)+SUMIFS(O30:O951,F30:F951,"б/к",G30:G951,5)</f>
        <v>0</v>
      </c>
      <c r="AM72" s="2817"/>
    </row>
    <row r="73" spans="1:39" ht="45.5" x14ac:dyDescent="0.35">
      <c r="A73" s="347">
        <v>19</v>
      </c>
      <c r="B73" s="105">
        <v>10154</v>
      </c>
      <c r="C73" s="105" t="s">
        <v>1656</v>
      </c>
      <c r="D73" s="2460" t="s">
        <v>4056</v>
      </c>
      <c r="E73" s="269" t="s">
        <v>9675</v>
      </c>
      <c r="F73" s="92" t="s">
        <v>664</v>
      </c>
      <c r="G73" s="92">
        <v>5</v>
      </c>
      <c r="H73" s="41">
        <v>6</v>
      </c>
      <c r="I73" s="702">
        <f>J73+K73+L73</f>
        <v>0.4</v>
      </c>
      <c r="J73" s="702">
        <f>SUM(M73:R73)</f>
        <v>0.4</v>
      </c>
      <c r="K73" s="93"/>
      <c r="L73" s="93"/>
      <c r="M73" s="577"/>
      <c r="N73" s="577"/>
      <c r="O73" s="577"/>
      <c r="P73" s="577"/>
      <c r="Q73" s="577"/>
      <c r="R73" s="2096">
        <v>0.4</v>
      </c>
      <c r="S73" s="113"/>
      <c r="T73" s="577"/>
      <c r="U73" s="93"/>
      <c r="V73" s="93"/>
      <c r="W73" s="93"/>
      <c r="X73" s="2021"/>
      <c r="Y73" s="93"/>
      <c r="Z73" s="93"/>
      <c r="AB73" s="3">
        <v>1</v>
      </c>
      <c r="AD73" s="2307"/>
      <c r="AK73" s="2815" t="s">
        <v>11233</v>
      </c>
      <c r="AL73" s="2579">
        <f>SUMIFS(P30:P951,F30:F951,"6а",G30:G951,5)+SUMIFS(Q30:Q951,F30:F951,"6а",G30:G951,5)+SUMIFS(P30:P951,F30:F951,"6б",G30:G951,5)+SUMIFS(Q30:Q951,F30:F951,"6б",G30:G951,5)+SUMIFS(P30:P951,F30:F951,"б/к",G30:G951,5)+SUMIFS(Q30:Q951,F30:F951,"б/к",G30:G951,5)</f>
        <v>6.9390000000000001</v>
      </c>
      <c r="AM73" s="2817"/>
    </row>
    <row r="74" spans="1:39" ht="45.5" x14ac:dyDescent="0.35">
      <c r="A74" s="693">
        <v>20</v>
      </c>
      <c r="B74" s="105">
        <v>10154</v>
      </c>
      <c r="C74" s="105" t="s">
        <v>1656</v>
      </c>
      <c r="D74" s="2460" t="s">
        <v>4057</v>
      </c>
      <c r="E74" s="269" t="s">
        <v>8217</v>
      </c>
      <c r="F74" s="92" t="s">
        <v>664</v>
      </c>
      <c r="G74" s="92">
        <v>5</v>
      </c>
      <c r="H74" s="41">
        <v>6</v>
      </c>
      <c r="I74" s="702">
        <f>J74+K74+L74</f>
        <v>0.15</v>
      </c>
      <c r="J74" s="702">
        <f>SUM(M74:R74)</f>
        <v>0.15</v>
      </c>
      <c r="K74" s="93"/>
      <c r="L74" s="93"/>
      <c r="M74" s="577"/>
      <c r="N74" s="577"/>
      <c r="O74" s="577"/>
      <c r="P74" s="577"/>
      <c r="Q74" s="577"/>
      <c r="R74" s="2096">
        <v>0.15</v>
      </c>
      <c r="S74" s="113"/>
      <c r="T74" s="577"/>
      <c r="U74" s="93"/>
      <c r="V74" s="93"/>
      <c r="W74" s="93"/>
      <c r="X74" s="2021"/>
      <c r="Y74" s="93"/>
      <c r="Z74" s="93"/>
      <c r="AB74" s="3">
        <v>1</v>
      </c>
      <c r="AD74" s="2307"/>
      <c r="AK74" s="2815" t="s">
        <v>910</v>
      </c>
      <c r="AL74" s="2579">
        <f>SUMIFS(R30:R951,F30:F951,"6а",G30:G951,5)+SUMIFS(R30:R951,F30:F951,"6б",G30:G951,5)+SUMIFS(R30:R951,F30:F951,"б/к",G30:G951,5)</f>
        <v>163.26300000000003</v>
      </c>
      <c r="AM74" s="2817"/>
    </row>
    <row r="75" spans="1:39" ht="45.5" x14ac:dyDescent="0.35">
      <c r="A75" s="347">
        <v>21</v>
      </c>
      <c r="B75" s="358">
        <v>10155</v>
      </c>
      <c r="C75" s="358"/>
      <c r="D75" s="358" t="s">
        <v>2718</v>
      </c>
      <c r="E75" s="550" t="s">
        <v>10468</v>
      </c>
      <c r="F75" s="41"/>
      <c r="G75" s="41" t="s">
        <v>191</v>
      </c>
      <c r="H75" s="2289" t="s">
        <v>191</v>
      </c>
      <c r="I75" s="744">
        <f>SUM(K75:R75)</f>
        <v>34.531999999999996</v>
      </c>
      <c r="J75" s="744">
        <f>SUM(M75:R75)</f>
        <v>34.449000000000005</v>
      </c>
      <c r="K75" s="744"/>
      <c r="L75" s="671">
        <f>SUM(L76:L89)</f>
        <v>8.2999999999991053E-2</v>
      </c>
      <c r="M75" s="975"/>
      <c r="N75" s="671">
        <f>SUM(N76:N89)</f>
        <v>23.132000000000005</v>
      </c>
      <c r="O75" s="850"/>
      <c r="P75" s="744"/>
      <c r="Q75" s="859">
        <f t="shared" ref="Q75:R75" si="7">SUM(Q76:Q89)</f>
        <v>8.0670000000000002</v>
      </c>
      <c r="R75" s="869">
        <f t="shared" si="7"/>
        <v>3.25</v>
      </c>
      <c r="S75" s="538">
        <v>2</v>
      </c>
      <c r="T75" s="249">
        <f>30.7+7</f>
        <v>37.700000000000003</v>
      </c>
      <c r="U75" s="110"/>
      <c r="V75" s="110"/>
      <c r="W75" s="226">
        <v>68</v>
      </c>
      <c r="X75" s="2451">
        <v>922.3</v>
      </c>
      <c r="Y75" s="226">
        <v>12</v>
      </c>
      <c r="Z75" s="2622">
        <v>117</v>
      </c>
      <c r="AA75" s="2"/>
      <c r="AB75" s="3">
        <v>1</v>
      </c>
      <c r="AD75" s="2307"/>
      <c r="AK75" s="2815"/>
      <c r="AL75" s="2579"/>
      <c r="AM75" s="2817"/>
    </row>
    <row r="76" spans="1:39" ht="31" x14ac:dyDescent="0.35">
      <c r="A76" s="347"/>
      <c r="B76" s="358"/>
      <c r="C76" s="358"/>
      <c r="D76" s="358"/>
      <c r="E76" s="393" t="s">
        <v>10398</v>
      </c>
      <c r="F76" s="41">
        <v>4</v>
      </c>
      <c r="G76" s="41">
        <v>4</v>
      </c>
      <c r="H76" s="2289" t="s">
        <v>191</v>
      </c>
      <c r="I76" s="744"/>
      <c r="J76" s="744"/>
      <c r="K76" s="744"/>
      <c r="L76" s="747">
        <f>0.038</f>
        <v>3.7999999999999999E-2</v>
      </c>
      <c r="M76" s="975"/>
      <c r="N76" s="671"/>
      <c r="O76" s="850"/>
      <c r="P76" s="744"/>
      <c r="Q76" s="859"/>
      <c r="R76" s="869"/>
      <c r="S76" s="538"/>
      <c r="T76" s="249"/>
      <c r="U76" s="110"/>
      <c r="V76" s="110"/>
      <c r="W76" s="226"/>
      <c r="X76" s="2451"/>
      <c r="Y76" s="226"/>
      <c r="Z76" s="2622"/>
      <c r="AA76" s="2"/>
      <c r="AD76" s="2307"/>
      <c r="AK76" s="2822" t="s">
        <v>11237</v>
      </c>
      <c r="AL76" s="2823">
        <f>AL11+AL32+AL55</f>
        <v>627.25700000000018</v>
      </c>
      <c r="AM76" s="2824">
        <f>AL76-J10</f>
        <v>0</v>
      </c>
    </row>
    <row r="77" spans="1:39" x14ac:dyDescent="0.35">
      <c r="A77" s="359"/>
      <c r="B77" s="358">
        <v>10155</v>
      </c>
      <c r="C77" s="358"/>
      <c r="D77" s="360"/>
      <c r="E77" s="393" t="s">
        <v>10409</v>
      </c>
      <c r="F77" s="40">
        <v>4</v>
      </c>
      <c r="G77" s="40">
        <v>4</v>
      </c>
      <c r="H77" s="2289">
        <v>6</v>
      </c>
      <c r="I77" s="745"/>
      <c r="J77" s="745"/>
      <c r="K77" s="745"/>
      <c r="L77" s="745"/>
      <c r="M77" s="976"/>
      <c r="N77" s="746">
        <f>16.144-0.038</f>
        <v>16.105999999999998</v>
      </c>
      <c r="O77" s="1092"/>
      <c r="P77" s="747"/>
      <c r="Q77" s="1087"/>
      <c r="R77" s="1082"/>
      <c r="S77" s="2631"/>
      <c r="T77" s="2632"/>
      <c r="U77" s="166"/>
      <c r="V77" s="166"/>
      <c r="W77" s="110"/>
      <c r="X77" s="2634"/>
      <c r="Y77" s="110"/>
      <c r="Z77" s="2633"/>
      <c r="AA77" s="2"/>
      <c r="AK77" s="2825" t="s">
        <v>11238</v>
      </c>
      <c r="AL77" s="2826">
        <f>AL34+AL57+AL13</f>
        <v>298.86</v>
      </c>
      <c r="AM77" s="2827">
        <f>AL77-J12</f>
        <v>0</v>
      </c>
    </row>
    <row r="78" spans="1:39" x14ac:dyDescent="0.35">
      <c r="A78" s="359"/>
      <c r="B78" s="358"/>
      <c r="C78" s="358"/>
      <c r="D78" s="360"/>
      <c r="E78" s="393" t="s">
        <v>10406</v>
      </c>
      <c r="F78" s="40">
        <v>5</v>
      </c>
      <c r="G78" s="40">
        <v>4</v>
      </c>
      <c r="H78" s="2289">
        <v>6</v>
      </c>
      <c r="I78" s="745"/>
      <c r="J78" s="745"/>
      <c r="K78" s="745"/>
      <c r="L78" s="745"/>
      <c r="M78" s="976"/>
      <c r="N78" s="746">
        <f>16.242-16.144</f>
        <v>9.800000000000253E-2</v>
      </c>
      <c r="O78" s="1092"/>
      <c r="P78" s="747"/>
      <c r="Q78" s="1087"/>
      <c r="R78" s="1082"/>
      <c r="S78" s="2631"/>
      <c r="T78" s="2632"/>
      <c r="U78" s="166"/>
      <c r="V78" s="166"/>
      <c r="W78" s="110"/>
      <c r="X78" s="2634"/>
      <c r="Y78" s="110"/>
      <c r="Z78" s="2633"/>
      <c r="AA78" s="2"/>
      <c r="AK78" s="2828" t="s">
        <v>11239</v>
      </c>
      <c r="AL78" s="2826">
        <f>AL19+AL42+AL63</f>
        <v>140.04600000000002</v>
      </c>
      <c r="AM78" s="2827">
        <f>AL78-J13</f>
        <v>0</v>
      </c>
    </row>
    <row r="79" spans="1:39" x14ac:dyDescent="0.35">
      <c r="A79" s="359"/>
      <c r="B79" s="358"/>
      <c r="C79" s="358"/>
      <c r="D79" s="360"/>
      <c r="E79" s="393" t="s">
        <v>10407</v>
      </c>
      <c r="F79" s="40">
        <v>5</v>
      </c>
      <c r="G79" s="40">
        <v>4</v>
      </c>
      <c r="H79" s="2289">
        <v>10</v>
      </c>
      <c r="I79" s="745"/>
      <c r="J79" s="745"/>
      <c r="K79" s="745"/>
      <c r="L79" s="745"/>
      <c r="M79" s="976"/>
      <c r="N79" s="746">
        <f>17.133-16.242</f>
        <v>0.89099999999999824</v>
      </c>
      <c r="O79" s="1092"/>
      <c r="P79" s="747"/>
      <c r="Q79" s="1087"/>
      <c r="R79" s="1082"/>
      <c r="S79" s="2631"/>
      <c r="T79" s="2632"/>
      <c r="U79" s="166"/>
      <c r="V79" s="166"/>
      <c r="W79" s="110"/>
      <c r="X79" s="2634"/>
      <c r="Y79" s="110"/>
      <c r="Z79" s="2633"/>
      <c r="AA79" s="2"/>
      <c r="AK79" s="2828" t="s">
        <v>11240</v>
      </c>
      <c r="AL79" s="2826">
        <f>AL25+AL48+AL69</f>
        <v>188.35100000000003</v>
      </c>
      <c r="AM79" s="2827">
        <f>AL79-J14</f>
        <v>0</v>
      </c>
    </row>
    <row r="80" spans="1:39" x14ac:dyDescent="0.35">
      <c r="A80" s="359"/>
      <c r="B80" s="358">
        <v>10155</v>
      </c>
      <c r="C80" s="358"/>
      <c r="D80" s="360"/>
      <c r="E80" s="393" t="s">
        <v>10408</v>
      </c>
      <c r="F80" s="40">
        <v>4</v>
      </c>
      <c r="G80" s="40">
        <v>4</v>
      </c>
      <c r="H80" s="2289">
        <v>10</v>
      </c>
      <c r="I80" s="745"/>
      <c r="J80" s="745"/>
      <c r="K80" s="745"/>
      <c r="L80" s="745"/>
      <c r="M80" s="976"/>
      <c r="N80" s="748">
        <f>22.042-17.133</f>
        <v>4.9090000000000025</v>
      </c>
      <c r="O80" s="1093"/>
      <c r="P80" s="745"/>
      <c r="Q80" s="1087"/>
      <c r="R80" s="1084"/>
      <c r="S80" s="2631"/>
      <c r="T80" s="2632"/>
      <c r="U80" s="166"/>
      <c r="V80" s="166"/>
      <c r="W80" s="110"/>
      <c r="X80" s="2634"/>
      <c r="Y80" s="110"/>
      <c r="Z80" s="2633"/>
      <c r="AA80" s="2"/>
    </row>
    <row r="81" spans="1:30" ht="31" x14ac:dyDescent="0.35">
      <c r="A81" s="359"/>
      <c r="B81" s="358"/>
      <c r="C81" s="358"/>
      <c r="D81" s="360"/>
      <c r="E81" s="393" t="s">
        <v>10401</v>
      </c>
      <c r="F81" s="40">
        <v>4</v>
      </c>
      <c r="G81" s="40">
        <v>4</v>
      </c>
      <c r="H81" s="2289" t="s">
        <v>191</v>
      </c>
      <c r="I81" s="745"/>
      <c r="J81" s="745"/>
      <c r="K81" s="745"/>
      <c r="L81" s="745">
        <f>22.069-22.042</f>
        <v>2.699999999999747E-2</v>
      </c>
      <c r="M81" s="976"/>
      <c r="N81" s="748"/>
      <c r="O81" s="1093"/>
      <c r="P81" s="745"/>
      <c r="Q81" s="1087"/>
      <c r="R81" s="1084"/>
      <c r="S81" s="2631"/>
      <c r="T81" s="2632"/>
      <c r="U81" s="166"/>
      <c r="V81" s="166"/>
      <c r="W81" s="110"/>
      <c r="X81" s="2634"/>
      <c r="Y81" s="110"/>
      <c r="Z81" s="2633"/>
      <c r="AA81" s="2"/>
    </row>
    <row r="82" spans="1:30" x14ac:dyDescent="0.35">
      <c r="A82" s="359"/>
      <c r="B82" s="358">
        <v>10155</v>
      </c>
      <c r="C82" s="358"/>
      <c r="D82" s="360"/>
      <c r="E82" s="393" t="s">
        <v>10402</v>
      </c>
      <c r="F82" s="40">
        <v>4</v>
      </c>
      <c r="G82" s="40">
        <v>4</v>
      </c>
      <c r="H82" s="2289">
        <v>6</v>
      </c>
      <c r="I82" s="745"/>
      <c r="J82" s="745"/>
      <c r="K82" s="745"/>
      <c r="L82" s="745"/>
      <c r="M82" s="976"/>
      <c r="N82" s="746">
        <f>22.955-22.069</f>
        <v>0.88599999999999923</v>
      </c>
      <c r="O82" s="1093"/>
      <c r="P82" s="745"/>
      <c r="Q82" s="1089"/>
      <c r="R82" s="1084"/>
      <c r="S82" s="2631"/>
      <c r="T82" s="2632"/>
      <c r="U82" s="166"/>
      <c r="V82" s="166"/>
      <c r="W82" s="110"/>
      <c r="X82" s="2634"/>
      <c r="Y82" s="110"/>
      <c r="Z82" s="2633"/>
      <c r="AA82" s="2"/>
    </row>
    <row r="83" spans="1:30" x14ac:dyDescent="0.35">
      <c r="A83" s="359"/>
      <c r="B83" s="358">
        <v>10155</v>
      </c>
      <c r="C83" s="358"/>
      <c r="D83" s="360"/>
      <c r="E83" s="900" t="s">
        <v>10403</v>
      </c>
      <c r="F83" s="40">
        <v>5</v>
      </c>
      <c r="G83" s="40">
        <v>4</v>
      </c>
      <c r="H83" s="2289">
        <v>6</v>
      </c>
      <c r="I83" s="745"/>
      <c r="J83" s="745"/>
      <c r="K83" s="745"/>
      <c r="L83" s="745"/>
      <c r="M83" s="976"/>
      <c r="N83" s="748"/>
      <c r="O83" s="1093"/>
      <c r="P83" s="745"/>
      <c r="Q83" s="1087">
        <f>24.375-22.955</f>
        <v>1.4200000000000017</v>
      </c>
      <c r="R83" s="1084"/>
      <c r="S83" s="2631"/>
      <c r="T83" s="2632"/>
      <c r="U83" s="166"/>
      <c r="V83" s="166"/>
      <c r="W83" s="110"/>
      <c r="X83" s="2634"/>
      <c r="Y83" s="110"/>
      <c r="Z83" s="2633"/>
      <c r="AA83" s="2"/>
    </row>
    <row r="84" spans="1:30" x14ac:dyDescent="0.35">
      <c r="A84" s="359"/>
      <c r="B84" s="358">
        <v>10155</v>
      </c>
      <c r="C84" s="358"/>
      <c r="D84" s="360"/>
      <c r="E84" s="393" t="s">
        <v>10399</v>
      </c>
      <c r="F84" s="40">
        <v>5</v>
      </c>
      <c r="G84" s="40">
        <v>4</v>
      </c>
      <c r="H84" s="2289">
        <v>6</v>
      </c>
      <c r="I84" s="745"/>
      <c r="J84" s="745"/>
      <c r="K84" s="745"/>
      <c r="L84" s="745"/>
      <c r="M84" s="976"/>
      <c r="N84" s="746">
        <f>24.606-24.375</f>
        <v>0.23100000000000165</v>
      </c>
      <c r="O84" s="1093"/>
      <c r="P84" s="745"/>
      <c r="Q84" s="1089"/>
      <c r="R84" s="1084"/>
      <c r="S84" s="2631"/>
      <c r="T84" s="2632"/>
      <c r="U84" s="166"/>
      <c r="V84" s="166"/>
      <c r="W84" s="110"/>
      <c r="X84" s="2634"/>
      <c r="Y84" s="110"/>
      <c r="Z84" s="2633"/>
      <c r="AA84" s="2"/>
    </row>
    <row r="85" spans="1:30" x14ac:dyDescent="0.35">
      <c r="A85" s="359"/>
      <c r="B85" s="358">
        <v>10155</v>
      </c>
      <c r="C85" s="358"/>
      <c r="D85" s="360"/>
      <c r="E85" s="900" t="s">
        <v>10411</v>
      </c>
      <c r="F85" s="40">
        <v>5</v>
      </c>
      <c r="G85" s="40">
        <v>4</v>
      </c>
      <c r="H85" s="2289">
        <v>6</v>
      </c>
      <c r="I85" s="745"/>
      <c r="J85" s="745"/>
      <c r="K85" s="745"/>
      <c r="L85" s="745"/>
      <c r="M85" s="976"/>
      <c r="N85" s="748"/>
      <c r="O85" s="1093"/>
      <c r="P85" s="745"/>
      <c r="Q85" s="1087">
        <f>28.973-24.606</f>
        <v>4.3669999999999973</v>
      </c>
      <c r="R85" s="1084"/>
      <c r="S85" s="2631"/>
      <c r="T85" s="2632"/>
      <c r="U85" s="166"/>
      <c r="V85" s="166"/>
      <c r="W85" s="110"/>
      <c r="X85" s="2634"/>
      <c r="Y85" s="110"/>
      <c r="Z85" s="2633"/>
      <c r="AA85" s="2"/>
    </row>
    <row r="86" spans="1:30" x14ac:dyDescent="0.35">
      <c r="A86" s="359"/>
      <c r="B86" s="358">
        <v>10155</v>
      </c>
      <c r="C86" s="358"/>
      <c r="D86" s="360"/>
      <c r="E86" s="878" t="s">
        <v>10410</v>
      </c>
      <c r="F86" s="40">
        <v>5</v>
      </c>
      <c r="G86" s="40">
        <v>4</v>
      </c>
      <c r="H86" s="41">
        <v>6</v>
      </c>
      <c r="I86" s="745"/>
      <c r="J86" s="745"/>
      <c r="K86" s="745"/>
      <c r="L86" s="745"/>
      <c r="M86" s="976"/>
      <c r="N86" s="746"/>
      <c r="O86" s="1092"/>
      <c r="P86" s="747"/>
      <c r="Q86" s="1087"/>
      <c r="R86" s="1082">
        <f>32.223-28.973</f>
        <v>3.25</v>
      </c>
      <c r="S86" s="2631"/>
      <c r="T86" s="2632"/>
      <c r="U86" s="166"/>
      <c r="V86" s="166"/>
      <c r="W86" s="110"/>
      <c r="X86" s="2634"/>
      <c r="Y86" s="110"/>
      <c r="Z86" s="2633"/>
      <c r="AA86" s="2"/>
    </row>
    <row r="87" spans="1:30" x14ac:dyDescent="0.35">
      <c r="A87" s="359"/>
      <c r="B87" s="358"/>
      <c r="C87" s="358"/>
      <c r="D87" s="360"/>
      <c r="E87" s="900" t="s">
        <v>10404</v>
      </c>
      <c r="F87" s="40">
        <v>5</v>
      </c>
      <c r="G87" s="40">
        <v>4</v>
      </c>
      <c r="H87" s="2289">
        <v>6</v>
      </c>
      <c r="I87" s="745"/>
      <c r="J87" s="745"/>
      <c r="K87" s="745"/>
      <c r="L87" s="745"/>
      <c r="M87" s="976"/>
      <c r="N87" s="746"/>
      <c r="O87" s="1092"/>
      <c r="P87" s="747"/>
      <c r="Q87" s="1087">
        <f>34.503-32.223</f>
        <v>2.2800000000000011</v>
      </c>
      <c r="R87" s="1082"/>
      <c r="S87" s="2631"/>
      <c r="T87" s="2632"/>
      <c r="U87" s="166"/>
      <c r="V87" s="166"/>
      <c r="W87" s="110"/>
      <c r="X87" s="2634"/>
      <c r="Y87" s="110"/>
      <c r="Z87" s="2633"/>
      <c r="AA87" s="2"/>
    </row>
    <row r="88" spans="1:30" x14ac:dyDescent="0.35">
      <c r="A88" s="359"/>
      <c r="B88" s="358"/>
      <c r="C88" s="358"/>
      <c r="D88" s="360"/>
      <c r="E88" s="393" t="s">
        <v>10405</v>
      </c>
      <c r="F88" s="40">
        <v>5</v>
      </c>
      <c r="G88" s="40">
        <v>4</v>
      </c>
      <c r="H88" s="2289">
        <v>6</v>
      </c>
      <c r="I88" s="745"/>
      <c r="J88" s="745"/>
      <c r="K88" s="745"/>
      <c r="L88" s="745"/>
      <c r="M88" s="976"/>
      <c r="N88" s="746">
        <f>34.514-34.503</f>
        <v>1.1000000000002785E-2</v>
      </c>
      <c r="O88" s="1092"/>
      <c r="P88" s="747"/>
      <c r="Q88" s="1087"/>
      <c r="R88" s="1082"/>
      <c r="S88" s="2631"/>
      <c r="T88" s="2632"/>
      <c r="U88" s="166"/>
      <c r="V88" s="166"/>
      <c r="W88" s="110"/>
      <c r="X88" s="2634"/>
      <c r="Y88" s="110"/>
      <c r="Z88" s="2633"/>
      <c r="AA88" s="2"/>
    </row>
    <row r="89" spans="1:30" ht="31" x14ac:dyDescent="0.35">
      <c r="A89" s="359"/>
      <c r="B89" s="358">
        <v>10155</v>
      </c>
      <c r="C89" s="358"/>
      <c r="D89" s="360"/>
      <c r="E89" s="393" t="s">
        <v>10400</v>
      </c>
      <c r="F89" s="40">
        <v>5</v>
      </c>
      <c r="G89" s="40">
        <v>4</v>
      </c>
      <c r="H89" s="2289">
        <v>6</v>
      </c>
      <c r="I89" s="745"/>
      <c r="J89" s="745"/>
      <c r="K89" s="745"/>
      <c r="L89" s="745">
        <f>34.532-34.514</f>
        <v>1.7999999999993577E-2</v>
      </c>
      <c r="M89" s="976"/>
      <c r="N89" s="746"/>
      <c r="O89" s="1092"/>
      <c r="P89" s="747"/>
      <c r="Q89" s="1087"/>
      <c r="R89" s="1082"/>
      <c r="S89" s="2631"/>
      <c r="T89" s="2632"/>
      <c r="U89" s="166"/>
      <c r="V89" s="166"/>
      <c r="W89" s="110"/>
      <c r="X89" s="2634"/>
      <c r="Y89" s="110"/>
      <c r="Z89" s="2633"/>
      <c r="AA89" s="2"/>
    </row>
    <row r="90" spans="1:30" ht="60.5" x14ac:dyDescent="0.35">
      <c r="A90" s="347">
        <v>22</v>
      </c>
      <c r="B90" s="358">
        <v>10155</v>
      </c>
      <c r="C90" s="358"/>
      <c r="D90" s="2460" t="s">
        <v>4058</v>
      </c>
      <c r="E90" s="394" t="s">
        <v>9676</v>
      </c>
      <c r="F90" s="41"/>
      <c r="G90" s="41" t="s">
        <v>191</v>
      </c>
      <c r="H90" s="2289" t="s">
        <v>191</v>
      </c>
      <c r="I90" s="744">
        <f>SUM(M90:R90)</f>
        <v>2.85</v>
      </c>
      <c r="J90" s="744">
        <f>SUM(M90:R90)</f>
        <v>2.85</v>
      </c>
      <c r="K90" s="744"/>
      <c r="L90" s="744"/>
      <c r="M90" s="1096"/>
      <c r="N90" s="1077"/>
      <c r="O90" s="856"/>
      <c r="P90" s="1078"/>
      <c r="Q90" s="1088">
        <f>+Q91</f>
        <v>1.85</v>
      </c>
      <c r="R90" s="1083">
        <f>+R92</f>
        <v>1</v>
      </c>
      <c r="S90" s="163"/>
      <c r="T90" s="249"/>
      <c r="U90" s="110"/>
      <c r="V90" s="110"/>
      <c r="W90" s="226">
        <v>1</v>
      </c>
      <c r="X90" s="2451">
        <v>17.100000000000001</v>
      </c>
      <c r="Y90" s="110"/>
      <c r="Z90" s="2622"/>
      <c r="AA90" s="2"/>
      <c r="AB90" s="3">
        <v>1</v>
      </c>
      <c r="AD90" s="2307"/>
    </row>
    <row r="91" spans="1:30" x14ac:dyDescent="0.35">
      <c r="A91" s="359"/>
      <c r="B91" s="358">
        <v>10155</v>
      </c>
      <c r="C91" s="358"/>
      <c r="D91" s="360"/>
      <c r="E91" s="900" t="s">
        <v>876</v>
      </c>
      <c r="F91" s="40">
        <v>5</v>
      </c>
      <c r="G91" s="40">
        <v>5</v>
      </c>
      <c r="H91" s="2289">
        <v>6</v>
      </c>
      <c r="I91" s="745"/>
      <c r="J91" s="745"/>
      <c r="K91" s="745"/>
      <c r="L91" s="745"/>
      <c r="M91" s="1095"/>
      <c r="N91" s="692"/>
      <c r="O91" s="857"/>
      <c r="P91" s="1079"/>
      <c r="Q91" s="1090">
        <v>1.85</v>
      </c>
      <c r="R91" s="1085"/>
      <c r="S91" s="2631"/>
      <c r="T91" s="2632"/>
      <c r="U91" s="166"/>
      <c r="V91" s="166"/>
      <c r="W91" s="110"/>
      <c r="X91" s="2634"/>
      <c r="Y91" s="110"/>
      <c r="Z91" s="2633"/>
      <c r="AA91" s="2"/>
    </row>
    <row r="92" spans="1:30" x14ac:dyDescent="0.35">
      <c r="A92" s="359"/>
      <c r="B92" s="358">
        <v>10155</v>
      </c>
      <c r="C92" s="358"/>
      <c r="D92" s="360"/>
      <c r="E92" s="878" t="s">
        <v>1746</v>
      </c>
      <c r="F92" s="40">
        <v>5</v>
      </c>
      <c r="G92" s="40">
        <v>5</v>
      </c>
      <c r="H92" s="41">
        <v>6</v>
      </c>
      <c r="I92" s="745"/>
      <c r="J92" s="745"/>
      <c r="K92" s="745"/>
      <c r="L92" s="745"/>
      <c r="M92" s="1095"/>
      <c r="N92" s="692"/>
      <c r="O92" s="857"/>
      <c r="P92" s="1079"/>
      <c r="Q92" s="1090"/>
      <c r="R92" s="1085">
        <v>1</v>
      </c>
      <c r="S92" s="2631"/>
      <c r="T92" s="2632"/>
      <c r="U92" s="166"/>
      <c r="V92" s="166"/>
      <c r="W92" s="110"/>
      <c r="X92" s="2634"/>
      <c r="Y92" s="110"/>
      <c r="Z92" s="2633"/>
      <c r="AA92" s="2"/>
    </row>
    <row r="93" spans="1:30" ht="75.5" x14ac:dyDescent="0.35">
      <c r="A93" s="693">
        <v>23</v>
      </c>
      <c r="B93" s="105">
        <v>10155</v>
      </c>
      <c r="C93" s="105" t="s">
        <v>1656</v>
      </c>
      <c r="D93" s="2460" t="s">
        <v>4059</v>
      </c>
      <c r="E93" s="269" t="s">
        <v>9677</v>
      </c>
      <c r="F93" s="92" t="s">
        <v>664</v>
      </c>
      <c r="G93" s="92">
        <v>5</v>
      </c>
      <c r="H93" s="41">
        <v>6</v>
      </c>
      <c r="I93" s="702">
        <f>J93+K93+L93</f>
        <v>0.4</v>
      </c>
      <c r="J93" s="702">
        <f t="shared" ref="J93:J107" si="8">SUM(M93:R93)</f>
        <v>0.4</v>
      </c>
      <c r="K93" s="93"/>
      <c r="L93" s="93"/>
      <c r="M93" s="577"/>
      <c r="N93" s="577"/>
      <c r="O93" s="577"/>
      <c r="P93" s="577"/>
      <c r="Q93" s="577"/>
      <c r="R93" s="2096">
        <v>0.4</v>
      </c>
      <c r="S93" s="113"/>
      <c r="T93" s="577"/>
      <c r="U93" s="93"/>
      <c r="V93" s="93"/>
      <c r="W93" s="93"/>
      <c r="X93" s="2021"/>
      <c r="Y93" s="93"/>
      <c r="Z93" s="93"/>
      <c r="AB93" s="3">
        <v>1</v>
      </c>
      <c r="AD93" s="2307"/>
    </row>
    <row r="94" spans="1:30" ht="60.5" x14ac:dyDescent="0.35">
      <c r="A94" s="347">
        <v>24</v>
      </c>
      <c r="B94" s="358">
        <v>10155</v>
      </c>
      <c r="C94" s="358"/>
      <c r="D94" s="2460" t="s">
        <v>4060</v>
      </c>
      <c r="E94" s="394" t="s">
        <v>11348</v>
      </c>
      <c r="F94" s="41">
        <v>5</v>
      </c>
      <c r="G94" s="41">
        <v>5</v>
      </c>
      <c r="H94" s="2289">
        <v>6</v>
      </c>
      <c r="I94" s="744">
        <f>SUM(M94:R94)</f>
        <v>1.49</v>
      </c>
      <c r="J94" s="744">
        <f t="shared" si="8"/>
        <v>1.49</v>
      </c>
      <c r="K94" s="749"/>
      <c r="L94" s="749"/>
      <c r="M94" s="1096"/>
      <c r="N94" s="1077"/>
      <c r="O94" s="856"/>
      <c r="P94" s="1078"/>
      <c r="Q94" s="1088">
        <v>1.49</v>
      </c>
      <c r="R94" s="1083"/>
      <c r="S94" s="163"/>
      <c r="T94" s="248"/>
      <c r="U94" s="110"/>
      <c r="V94" s="110"/>
      <c r="W94" s="226">
        <v>3</v>
      </c>
      <c r="X94" s="2451">
        <v>43</v>
      </c>
      <c r="Y94" s="110"/>
      <c r="Z94" s="2633"/>
      <c r="AA94" s="2"/>
      <c r="AB94" s="3">
        <v>1</v>
      </c>
      <c r="AD94" s="2307"/>
    </row>
    <row r="95" spans="1:30" ht="60.5" x14ac:dyDescent="0.35">
      <c r="A95" s="347">
        <v>24</v>
      </c>
      <c r="B95" s="358">
        <v>10155</v>
      </c>
      <c r="C95" s="358"/>
      <c r="D95" s="2460" t="s">
        <v>11270</v>
      </c>
      <c r="E95" s="394" t="s">
        <v>11271</v>
      </c>
      <c r="F95" s="41"/>
      <c r="G95" s="41" t="s">
        <v>191</v>
      </c>
      <c r="H95" s="2289" t="s">
        <v>191</v>
      </c>
      <c r="I95" s="744">
        <f>SUM(M95:R95)</f>
        <v>0.54</v>
      </c>
      <c r="J95" s="744">
        <f t="shared" ref="J95" si="9">SUM(M95:R95)</f>
        <v>0.54</v>
      </c>
      <c r="K95" s="749"/>
      <c r="L95" s="749"/>
      <c r="M95" s="1096"/>
      <c r="N95" s="1077">
        <f>SUM(N96:N97)</f>
        <v>0.05</v>
      </c>
      <c r="O95" s="856"/>
      <c r="P95" s="1078"/>
      <c r="Q95" s="1088">
        <f>SUM(Q96:Q97)</f>
        <v>0.49000000000000005</v>
      </c>
      <c r="R95" s="1083"/>
      <c r="S95" s="163"/>
      <c r="T95" s="248"/>
      <c r="U95" s="110"/>
      <c r="V95" s="110"/>
      <c r="W95" s="226"/>
      <c r="X95" s="2451"/>
      <c r="Y95" s="110"/>
      <c r="Z95" s="2633"/>
      <c r="AA95" s="2"/>
      <c r="AB95" s="3">
        <v>1</v>
      </c>
      <c r="AD95" s="2307"/>
    </row>
    <row r="96" spans="1:30" x14ac:dyDescent="0.35">
      <c r="A96" s="1024"/>
      <c r="B96" s="358"/>
      <c r="C96" s="358"/>
      <c r="D96" s="2460"/>
      <c r="E96" s="393" t="s">
        <v>1330</v>
      </c>
      <c r="F96" s="41">
        <v>5</v>
      </c>
      <c r="G96" s="41">
        <v>5</v>
      </c>
      <c r="H96" s="2289">
        <v>6</v>
      </c>
      <c r="I96" s="744"/>
      <c r="J96" s="747"/>
      <c r="K96" s="745"/>
      <c r="L96" s="745"/>
      <c r="M96" s="1095"/>
      <c r="N96" s="692">
        <v>0.05</v>
      </c>
      <c r="O96" s="857"/>
      <c r="P96" s="2534"/>
      <c r="Q96" s="1090"/>
      <c r="R96" s="1085"/>
      <c r="S96" s="163"/>
      <c r="T96" s="248"/>
      <c r="U96" s="110"/>
      <c r="V96" s="110"/>
      <c r="W96" s="226"/>
      <c r="X96" s="2451"/>
      <c r="Y96" s="110"/>
      <c r="Z96" s="2636"/>
      <c r="AA96" s="2"/>
      <c r="AD96" s="2307"/>
    </row>
    <row r="97" spans="1:30" x14ac:dyDescent="0.35">
      <c r="A97" s="1024"/>
      <c r="B97" s="358"/>
      <c r="C97" s="358"/>
      <c r="D97" s="2460"/>
      <c r="E97" s="900" t="s">
        <v>11272</v>
      </c>
      <c r="F97" s="41">
        <v>5</v>
      </c>
      <c r="G97" s="41">
        <v>5</v>
      </c>
      <c r="H97" s="2289">
        <v>6</v>
      </c>
      <c r="I97" s="744"/>
      <c r="J97" s="747"/>
      <c r="K97" s="745"/>
      <c r="L97" s="745"/>
      <c r="M97" s="1095"/>
      <c r="N97" s="692"/>
      <c r="O97" s="857"/>
      <c r="P97" s="2534"/>
      <c r="Q97" s="1090">
        <f>0.54-0.05</f>
        <v>0.49000000000000005</v>
      </c>
      <c r="R97" s="1085"/>
      <c r="S97" s="163"/>
      <c r="T97" s="248"/>
      <c r="U97" s="110"/>
      <c r="V97" s="110"/>
      <c r="W97" s="226"/>
      <c r="X97" s="2451"/>
      <c r="Y97" s="110"/>
      <c r="Z97" s="2636"/>
      <c r="AA97" s="2"/>
      <c r="AD97" s="2307"/>
    </row>
    <row r="98" spans="1:30" ht="60.5" x14ac:dyDescent="0.35">
      <c r="A98" s="693">
        <v>25</v>
      </c>
      <c r="B98" s="105">
        <v>10155</v>
      </c>
      <c r="C98" s="105" t="s">
        <v>1656</v>
      </c>
      <c r="D98" s="2460" t="s">
        <v>4061</v>
      </c>
      <c r="E98" s="269" t="s">
        <v>9678</v>
      </c>
      <c r="F98" s="92" t="s">
        <v>664</v>
      </c>
      <c r="G98" s="92">
        <v>5</v>
      </c>
      <c r="H98" s="41">
        <v>6</v>
      </c>
      <c r="I98" s="702">
        <f>J98+K98+L98</f>
        <v>0.2</v>
      </c>
      <c r="J98" s="702">
        <f t="shared" si="8"/>
        <v>0.2</v>
      </c>
      <c r="K98" s="93"/>
      <c r="L98" s="93"/>
      <c r="M98" s="577"/>
      <c r="N98" s="577"/>
      <c r="O98" s="577"/>
      <c r="P98" s="577"/>
      <c r="Q98" s="577"/>
      <c r="R98" s="2096">
        <v>0.2</v>
      </c>
      <c r="S98" s="113"/>
      <c r="T98" s="577"/>
      <c r="U98" s="93"/>
      <c r="V98" s="93"/>
      <c r="W98" s="93"/>
      <c r="X98" s="2021"/>
      <c r="Y98" s="93"/>
      <c r="Z98" s="93"/>
      <c r="AB98" s="3">
        <v>1</v>
      </c>
      <c r="AD98" s="2307"/>
    </row>
    <row r="99" spans="1:30" ht="60.5" x14ac:dyDescent="0.35">
      <c r="A99" s="347">
        <v>26</v>
      </c>
      <c r="B99" s="358">
        <v>10155</v>
      </c>
      <c r="C99" s="358"/>
      <c r="D99" s="2460" t="s">
        <v>4062</v>
      </c>
      <c r="E99" s="269" t="s">
        <v>9679</v>
      </c>
      <c r="F99" s="41" t="s">
        <v>664</v>
      </c>
      <c r="G99" s="41">
        <v>4</v>
      </c>
      <c r="H99" s="41">
        <v>6</v>
      </c>
      <c r="I99" s="744">
        <f>SUM(M99:R99)</f>
        <v>0.5</v>
      </c>
      <c r="J99" s="744">
        <f t="shared" si="8"/>
        <v>0.5</v>
      </c>
      <c r="K99" s="744"/>
      <c r="L99" s="744"/>
      <c r="M99" s="1096"/>
      <c r="N99" s="1077"/>
      <c r="O99" s="856"/>
      <c r="P99" s="1078"/>
      <c r="Q99" s="1088"/>
      <c r="R99" s="1083">
        <v>0.5</v>
      </c>
      <c r="S99" s="163"/>
      <c r="T99" s="248"/>
      <c r="U99" s="110"/>
      <c r="V99" s="110"/>
      <c r="W99" s="110"/>
      <c r="X99" s="2634"/>
      <c r="Y99" s="110"/>
      <c r="Z99" s="2633"/>
      <c r="AA99" s="2"/>
      <c r="AB99" s="3">
        <v>1</v>
      </c>
      <c r="AD99" s="2307"/>
    </row>
    <row r="100" spans="1:30" ht="60.5" x14ac:dyDescent="0.35">
      <c r="A100" s="693">
        <v>27</v>
      </c>
      <c r="B100" s="358">
        <v>10155</v>
      </c>
      <c r="C100" s="358"/>
      <c r="D100" s="2460" t="s">
        <v>4063</v>
      </c>
      <c r="E100" s="269" t="s">
        <v>9680</v>
      </c>
      <c r="F100" s="41" t="s">
        <v>1490</v>
      </c>
      <c r="G100" s="41">
        <v>5</v>
      </c>
      <c r="H100" s="41">
        <v>6</v>
      </c>
      <c r="I100" s="744">
        <f>SUM(M100:R100)</f>
        <v>1.585</v>
      </c>
      <c r="J100" s="744">
        <f t="shared" si="8"/>
        <v>1.585</v>
      </c>
      <c r="K100" s="749"/>
      <c r="L100" s="749"/>
      <c r="M100" s="1096"/>
      <c r="N100" s="1077"/>
      <c r="O100" s="856"/>
      <c r="P100" s="1078"/>
      <c r="Q100" s="1088"/>
      <c r="R100" s="1083">
        <v>1.585</v>
      </c>
      <c r="S100" s="163"/>
      <c r="T100" s="248"/>
      <c r="U100" s="110"/>
      <c r="V100" s="110"/>
      <c r="W100" s="226">
        <v>1</v>
      </c>
      <c r="X100" s="2451">
        <v>10</v>
      </c>
      <c r="Y100" s="110"/>
      <c r="Z100" s="2633"/>
      <c r="AA100" s="2"/>
      <c r="AB100" s="3">
        <v>1</v>
      </c>
      <c r="AD100" s="2307"/>
    </row>
    <row r="101" spans="1:30" ht="60.5" x14ac:dyDescent="0.35">
      <c r="A101" s="347">
        <v>28</v>
      </c>
      <c r="B101" s="105">
        <v>10155</v>
      </c>
      <c r="C101" s="105" t="s">
        <v>1656</v>
      </c>
      <c r="D101" s="2460" t="s">
        <v>4064</v>
      </c>
      <c r="E101" s="269" t="s">
        <v>9681</v>
      </c>
      <c r="F101" s="92" t="s">
        <v>664</v>
      </c>
      <c r="G101" s="92">
        <v>5</v>
      </c>
      <c r="H101" s="41">
        <v>6</v>
      </c>
      <c r="I101" s="702">
        <f t="shared" ref="I101:I107" si="10">J101+K101+L101</f>
        <v>0.2</v>
      </c>
      <c r="J101" s="702">
        <f t="shared" si="8"/>
        <v>0.2</v>
      </c>
      <c r="K101" s="93"/>
      <c r="L101" s="93"/>
      <c r="M101" s="577"/>
      <c r="N101" s="577"/>
      <c r="O101" s="577"/>
      <c r="P101" s="577"/>
      <c r="Q101" s="577"/>
      <c r="R101" s="2096">
        <v>0.2</v>
      </c>
      <c r="S101" s="113"/>
      <c r="T101" s="577"/>
      <c r="U101" s="93"/>
      <c r="V101" s="93"/>
      <c r="W101" s="93"/>
      <c r="X101" s="2021"/>
      <c r="Y101" s="93"/>
      <c r="Z101" s="93"/>
      <c r="AB101" s="3">
        <v>1</v>
      </c>
      <c r="AD101" s="2307"/>
    </row>
    <row r="102" spans="1:30" ht="60.5" x14ac:dyDescent="0.35">
      <c r="A102" s="693">
        <v>29</v>
      </c>
      <c r="B102" s="105">
        <v>10155</v>
      </c>
      <c r="C102" s="105" t="s">
        <v>1656</v>
      </c>
      <c r="D102" s="2460" t="s">
        <v>4065</v>
      </c>
      <c r="E102" s="269" t="s">
        <v>9682</v>
      </c>
      <c r="F102" s="92" t="s">
        <v>664</v>
      </c>
      <c r="G102" s="92">
        <v>5</v>
      </c>
      <c r="H102" s="41">
        <v>6</v>
      </c>
      <c r="I102" s="702">
        <f t="shared" si="10"/>
        <v>1.5</v>
      </c>
      <c r="J102" s="702">
        <f t="shared" si="8"/>
        <v>1.5</v>
      </c>
      <c r="K102" s="93"/>
      <c r="L102" s="93"/>
      <c r="M102" s="577"/>
      <c r="N102" s="577"/>
      <c r="O102" s="577"/>
      <c r="P102" s="577"/>
      <c r="Q102" s="577"/>
      <c r="R102" s="2096">
        <v>1.5</v>
      </c>
      <c r="S102" s="113"/>
      <c r="T102" s="577"/>
      <c r="U102" s="93"/>
      <c r="V102" s="93"/>
      <c r="W102" s="93"/>
      <c r="X102" s="2021"/>
      <c r="Y102" s="93"/>
      <c r="Z102" s="93"/>
      <c r="AB102" s="3">
        <v>1</v>
      </c>
      <c r="AD102" s="2307"/>
    </row>
    <row r="103" spans="1:30" ht="60.5" x14ac:dyDescent="0.35">
      <c r="A103" s="347">
        <v>30</v>
      </c>
      <c r="B103" s="105">
        <v>10155</v>
      </c>
      <c r="C103" s="105" t="s">
        <v>1656</v>
      </c>
      <c r="D103" s="2460" t="s">
        <v>4066</v>
      </c>
      <c r="E103" s="269" t="s">
        <v>9683</v>
      </c>
      <c r="F103" s="92" t="s">
        <v>664</v>
      </c>
      <c r="G103" s="92">
        <v>5</v>
      </c>
      <c r="H103" s="41">
        <v>6</v>
      </c>
      <c r="I103" s="702">
        <f t="shared" si="10"/>
        <v>1.32</v>
      </c>
      <c r="J103" s="702">
        <f t="shared" si="8"/>
        <v>1.32</v>
      </c>
      <c r="K103" s="93"/>
      <c r="L103" s="93"/>
      <c r="M103" s="577"/>
      <c r="N103" s="577"/>
      <c r="O103" s="577"/>
      <c r="P103" s="577"/>
      <c r="Q103" s="577"/>
      <c r="R103" s="2096">
        <v>1.32</v>
      </c>
      <c r="S103" s="113"/>
      <c r="T103" s="577"/>
      <c r="U103" s="93"/>
      <c r="V103" s="93"/>
      <c r="W103" s="93"/>
      <c r="X103" s="2021"/>
      <c r="Y103" s="93"/>
      <c r="Z103" s="93"/>
      <c r="AB103" s="3">
        <v>1</v>
      </c>
      <c r="AD103" s="2307"/>
    </row>
    <row r="104" spans="1:30" ht="60.5" x14ac:dyDescent="0.35">
      <c r="A104" s="693">
        <v>31</v>
      </c>
      <c r="B104" s="105">
        <v>10155</v>
      </c>
      <c r="C104" s="105" t="s">
        <v>1656</v>
      </c>
      <c r="D104" s="2460" t="s">
        <v>4067</v>
      </c>
      <c r="E104" s="269" t="s">
        <v>9684</v>
      </c>
      <c r="F104" s="92" t="s">
        <v>664</v>
      </c>
      <c r="G104" s="92">
        <v>5</v>
      </c>
      <c r="H104" s="41">
        <v>6</v>
      </c>
      <c r="I104" s="702">
        <f t="shared" si="10"/>
        <v>2.0350000000000001</v>
      </c>
      <c r="J104" s="702">
        <f t="shared" si="8"/>
        <v>2.0350000000000001</v>
      </c>
      <c r="K104" s="93"/>
      <c r="L104" s="93"/>
      <c r="M104" s="577"/>
      <c r="N104" s="577"/>
      <c r="O104" s="577"/>
      <c r="P104" s="577"/>
      <c r="Q104" s="577"/>
      <c r="R104" s="2096">
        <v>2.0350000000000001</v>
      </c>
      <c r="S104" s="113"/>
      <c r="T104" s="577"/>
      <c r="U104" s="93"/>
      <c r="V104" s="93"/>
      <c r="W104" s="93"/>
      <c r="X104" s="2021"/>
      <c r="Y104" s="93"/>
      <c r="Z104" s="93"/>
      <c r="AB104" s="3">
        <v>1</v>
      </c>
      <c r="AD104" s="2307"/>
    </row>
    <row r="105" spans="1:30" ht="75.5" x14ac:dyDescent="0.35">
      <c r="A105" s="693">
        <v>32</v>
      </c>
      <c r="B105" s="105">
        <v>10155</v>
      </c>
      <c r="C105" s="105" t="s">
        <v>1656</v>
      </c>
      <c r="D105" s="2460" t="s">
        <v>4068</v>
      </c>
      <c r="E105" s="269" t="s">
        <v>9685</v>
      </c>
      <c r="F105" s="92" t="s">
        <v>664</v>
      </c>
      <c r="G105" s="92">
        <v>5</v>
      </c>
      <c r="H105" s="41">
        <v>6</v>
      </c>
      <c r="I105" s="702">
        <f t="shared" si="10"/>
        <v>0.43</v>
      </c>
      <c r="J105" s="702">
        <f t="shared" si="8"/>
        <v>0.43</v>
      </c>
      <c r="K105" s="93"/>
      <c r="L105" s="93"/>
      <c r="M105" s="577"/>
      <c r="N105" s="577"/>
      <c r="O105" s="577"/>
      <c r="P105" s="577"/>
      <c r="Q105" s="577"/>
      <c r="R105" s="2096">
        <v>0.43</v>
      </c>
      <c r="S105" s="113"/>
      <c r="T105" s="577"/>
      <c r="U105" s="93"/>
      <c r="V105" s="93"/>
      <c r="W105" s="93"/>
      <c r="X105" s="2021"/>
      <c r="Y105" s="93"/>
      <c r="Z105" s="93"/>
      <c r="AB105" s="3">
        <v>1</v>
      </c>
      <c r="AD105" s="2307"/>
    </row>
    <row r="106" spans="1:30" ht="60.5" x14ac:dyDescent="0.35">
      <c r="A106" s="347">
        <v>33</v>
      </c>
      <c r="B106" s="105">
        <v>10155</v>
      </c>
      <c r="C106" s="105" t="s">
        <v>1656</v>
      </c>
      <c r="D106" s="2460" t="s">
        <v>4069</v>
      </c>
      <c r="E106" s="269" t="s">
        <v>9686</v>
      </c>
      <c r="F106" s="92" t="s">
        <v>664</v>
      </c>
      <c r="G106" s="92">
        <v>5</v>
      </c>
      <c r="H106" s="41">
        <v>6</v>
      </c>
      <c r="I106" s="702">
        <f t="shared" si="10"/>
        <v>1.1499999999999999</v>
      </c>
      <c r="J106" s="702">
        <f t="shared" si="8"/>
        <v>1.1499999999999999</v>
      </c>
      <c r="K106" s="93"/>
      <c r="L106" s="93"/>
      <c r="M106" s="577"/>
      <c r="N106" s="577"/>
      <c r="O106" s="577"/>
      <c r="P106" s="577"/>
      <c r="Q106" s="577"/>
      <c r="R106" s="2096">
        <v>1.1499999999999999</v>
      </c>
      <c r="S106" s="113"/>
      <c r="T106" s="577"/>
      <c r="U106" s="93"/>
      <c r="V106" s="93"/>
      <c r="W106" s="93"/>
      <c r="X106" s="2021"/>
      <c r="Y106" s="93"/>
      <c r="Z106" s="93"/>
      <c r="AB106" s="3">
        <v>1</v>
      </c>
      <c r="AD106" s="2307"/>
    </row>
    <row r="107" spans="1:30" x14ac:dyDescent="0.35">
      <c r="A107" s="693">
        <v>34</v>
      </c>
      <c r="B107" s="105">
        <v>10156</v>
      </c>
      <c r="C107" s="105"/>
      <c r="D107" s="106" t="s">
        <v>2952</v>
      </c>
      <c r="E107" s="269" t="s">
        <v>1915</v>
      </c>
      <c r="F107" s="92" t="s">
        <v>1490</v>
      </c>
      <c r="G107" s="92">
        <v>5</v>
      </c>
      <c r="H107" s="2289">
        <v>6</v>
      </c>
      <c r="I107" s="702">
        <f t="shared" si="10"/>
        <v>2.085</v>
      </c>
      <c r="J107" s="702">
        <f t="shared" si="8"/>
        <v>2.085</v>
      </c>
      <c r="K107" s="93"/>
      <c r="L107" s="93"/>
      <c r="M107" s="577"/>
      <c r="N107" s="577"/>
      <c r="O107" s="577"/>
      <c r="P107" s="577"/>
      <c r="Q107" s="2097">
        <v>2.085</v>
      </c>
      <c r="R107" s="2096"/>
      <c r="S107" s="113">
        <v>1</v>
      </c>
      <c r="T107" s="253">
        <v>30.85</v>
      </c>
      <c r="U107" s="93"/>
      <c r="V107" s="93"/>
      <c r="W107" s="226">
        <v>2</v>
      </c>
      <c r="X107" s="2451">
        <v>27.19</v>
      </c>
      <c r="Y107" s="93"/>
      <c r="Z107" s="93"/>
      <c r="AB107" s="3">
        <v>1</v>
      </c>
      <c r="AD107" s="2307"/>
    </row>
    <row r="108" spans="1:30" ht="30" x14ac:dyDescent="0.35">
      <c r="A108" s="347">
        <v>35</v>
      </c>
      <c r="B108" s="358">
        <v>10157</v>
      </c>
      <c r="C108" s="358"/>
      <c r="D108" s="358" t="s">
        <v>1548</v>
      </c>
      <c r="E108" s="290" t="s">
        <v>3392</v>
      </c>
      <c r="F108" s="41"/>
      <c r="G108" s="41" t="s">
        <v>191</v>
      </c>
      <c r="H108" s="41" t="s">
        <v>191</v>
      </c>
      <c r="I108" s="744">
        <f>SUM(M108:R108)+K108</f>
        <v>55.06</v>
      </c>
      <c r="J108" s="744">
        <f>SUM(M108:R108)</f>
        <v>54.260000000000005</v>
      </c>
      <c r="K108" s="744">
        <v>0.8</v>
      </c>
      <c r="L108" s="744"/>
      <c r="M108" s="975"/>
      <c r="N108" s="2971">
        <f>SUM(N109:N116)</f>
        <v>30.468</v>
      </c>
      <c r="O108" s="850"/>
      <c r="P108" s="744"/>
      <c r="Q108" s="859">
        <f>SUM(Q109:Q116)</f>
        <v>23.792000000000002</v>
      </c>
      <c r="R108" s="869"/>
      <c r="S108" s="538">
        <v>3</v>
      </c>
      <c r="T108" s="249">
        <f>9.4+18.4+45.5</f>
        <v>73.3</v>
      </c>
      <c r="U108" s="110"/>
      <c r="V108" s="110"/>
      <c r="W108" s="226">
        <v>71</v>
      </c>
      <c r="X108" s="2451">
        <v>942.36</v>
      </c>
      <c r="Y108" s="226">
        <v>12</v>
      </c>
      <c r="Z108" s="2622">
        <v>127</v>
      </c>
      <c r="AA108" s="2"/>
      <c r="AB108" s="3">
        <v>1</v>
      </c>
      <c r="AD108" s="2307"/>
    </row>
    <row r="109" spans="1:30" ht="46.5" x14ac:dyDescent="0.35">
      <c r="A109" s="347"/>
      <c r="B109" s="358">
        <v>10157</v>
      </c>
      <c r="C109" s="358"/>
      <c r="D109" s="358"/>
      <c r="E109" s="393" t="s">
        <v>9969</v>
      </c>
      <c r="F109" s="41">
        <v>4</v>
      </c>
      <c r="G109" s="41">
        <v>4</v>
      </c>
      <c r="H109" s="41" t="s">
        <v>191</v>
      </c>
      <c r="I109" s="744"/>
      <c r="J109" s="744"/>
      <c r="K109" s="747">
        <v>0.8</v>
      </c>
      <c r="L109" s="744"/>
      <c r="M109" s="975"/>
      <c r="N109" s="671"/>
      <c r="O109" s="850"/>
      <c r="P109" s="744"/>
      <c r="Q109" s="859"/>
      <c r="R109" s="869"/>
      <c r="S109" s="538"/>
      <c r="T109" s="249"/>
      <c r="U109" s="110"/>
      <c r="V109" s="110"/>
      <c r="W109" s="226"/>
      <c r="X109" s="2451"/>
      <c r="Y109" s="226"/>
      <c r="Z109" s="2622"/>
      <c r="AA109" s="2"/>
    </row>
    <row r="110" spans="1:30" x14ac:dyDescent="0.35">
      <c r="A110" s="359"/>
      <c r="B110" s="358">
        <v>10157</v>
      </c>
      <c r="C110" s="358"/>
      <c r="D110" s="360"/>
      <c r="E110" s="393" t="s">
        <v>10925</v>
      </c>
      <c r="F110" s="40">
        <v>4</v>
      </c>
      <c r="G110" s="40">
        <v>4</v>
      </c>
      <c r="H110" s="2289">
        <v>6</v>
      </c>
      <c r="I110" s="745"/>
      <c r="J110" s="745"/>
      <c r="K110" s="745"/>
      <c r="L110" s="745"/>
      <c r="M110" s="976"/>
      <c r="N110" s="746">
        <f>22.619-0.8</f>
        <v>21.818999999999999</v>
      </c>
      <c r="O110" s="1092"/>
      <c r="P110" s="747"/>
      <c r="Q110" s="1087"/>
      <c r="R110" s="1082"/>
      <c r="S110" s="2631"/>
      <c r="T110" s="2632"/>
      <c r="U110" s="166"/>
      <c r="V110" s="166"/>
      <c r="W110" s="110"/>
      <c r="X110" s="2634"/>
      <c r="Y110" s="110"/>
      <c r="Z110" s="2633"/>
      <c r="AA110" s="2"/>
    </row>
    <row r="111" spans="1:30" x14ac:dyDescent="0.35">
      <c r="A111" s="359"/>
      <c r="B111" s="358">
        <v>10157</v>
      </c>
      <c r="C111" s="358"/>
      <c r="D111" s="360"/>
      <c r="E111" s="900" t="s">
        <v>11636</v>
      </c>
      <c r="F111" s="40">
        <v>4</v>
      </c>
      <c r="G111" s="40">
        <v>4</v>
      </c>
      <c r="H111" s="2289">
        <v>6</v>
      </c>
      <c r="I111" s="745"/>
      <c r="J111" s="745"/>
      <c r="K111" s="745"/>
      <c r="L111" s="745"/>
      <c r="M111" s="976"/>
      <c r="N111" s="748"/>
      <c r="O111" s="1093"/>
      <c r="P111" s="745"/>
      <c r="Q111" s="1087">
        <f>25.619-22.619</f>
        <v>3</v>
      </c>
      <c r="R111" s="1084"/>
      <c r="S111" s="2631"/>
      <c r="T111" s="2632"/>
      <c r="U111" s="166"/>
      <c r="V111" s="166"/>
      <c r="W111" s="110"/>
      <c r="X111" s="2634"/>
      <c r="Y111" s="110"/>
      <c r="Z111" s="2633"/>
      <c r="AA111" s="2"/>
    </row>
    <row r="112" spans="1:30" x14ac:dyDescent="0.35">
      <c r="A112" s="359"/>
      <c r="B112" s="358">
        <v>10157</v>
      </c>
      <c r="C112" s="358"/>
      <c r="D112" s="360"/>
      <c r="E112" s="393" t="s">
        <v>11637</v>
      </c>
      <c r="F112" s="40">
        <v>4</v>
      </c>
      <c r="G112" s="40">
        <v>4</v>
      </c>
      <c r="H112" s="2289">
        <v>6</v>
      </c>
      <c r="I112" s="745"/>
      <c r="J112" s="745"/>
      <c r="K112" s="745"/>
      <c r="L112" s="745"/>
      <c r="M112" s="976"/>
      <c r="N112" s="2970">
        <f>33.2-25.619</f>
        <v>7.5810000000000031</v>
      </c>
      <c r="O112" s="1092"/>
      <c r="P112" s="747"/>
      <c r="Q112" s="1087"/>
      <c r="R112" s="1082"/>
      <c r="S112" s="2631"/>
      <c r="T112" s="2632"/>
      <c r="U112" s="166"/>
      <c r="V112" s="166"/>
      <c r="W112" s="110"/>
      <c r="X112" s="2634"/>
      <c r="Y112" s="110"/>
      <c r="Z112" s="2633"/>
      <c r="AA112" s="2"/>
    </row>
    <row r="113" spans="1:30" x14ac:dyDescent="0.35">
      <c r="A113" s="359"/>
      <c r="B113" s="358">
        <v>10157</v>
      </c>
      <c r="C113" s="358"/>
      <c r="D113" s="360"/>
      <c r="E113" s="900" t="s">
        <v>11312</v>
      </c>
      <c r="F113" s="40">
        <v>4</v>
      </c>
      <c r="G113" s="40">
        <v>4</v>
      </c>
      <c r="H113" s="2289">
        <v>6</v>
      </c>
      <c r="I113" s="745"/>
      <c r="J113" s="745"/>
      <c r="K113" s="745"/>
      <c r="L113" s="745"/>
      <c r="M113" s="976"/>
      <c r="N113" s="748"/>
      <c r="O113" s="1093"/>
      <c r="P113" s="745"/>
      <c r="Q113" s="1087">
        <f>53.88-33.2</f>
        <v>20.68</v>
      </c>
      <c r="R113" s="1084"/>
      <c r="S113" s="2631"/>
      <c r="T113" s="2632"/>
      <c r="U113" s="166"/>
      <c r="V113" s="166"/>
      <c r="W113" s="110"/>
      <c r="X113" s="2634"/>
      <c r="Y113" s="110"/>
      <c r="Z113" s="2633"/>
      <c r="AA113" s="2"/>
    </row>
    <row r="114" spans="1:30" x14ac:dyDescent="0.35">
      <c r="A114" s="359"/>
      <c r="B114" s="358">
        <v>10157</v>
      </c>
      <c r="C114" s="358"/>
      <c r="D114" s="360"/>
      <c r="E114" s="393" t="s">
        <v>3025</v>
      </c>
      <c r="F114" s="40">
        <v>4</v>
      </c>
      <c r="G114" s="40">
        <v>4</v>
      </c>
      <c r="H114" s="2289">
        <v>6</v>
      </c>
      <c r="I114" s="745"/>
      <c r="J114" s="745"/>
      <c r="K114" s="745"/>
      <c r="L114" s="745"/>
      <c r="M114" s="976"/>
      <c r="N114" s="746">
        <f>54.024-53.88</f>
        <v>0.14399999999999835</v>
      </c>
      <c r="O114" s="1093"/>
      <c r="P114" s="745"/>
      <c r="Q114" s="1089"/>
      <c r="R114" s="1084"/>
      <c r="S114" s="2631"/>
      <c r="T114" s="2632"/>
      <c r="U114" s="166"/>
      <c r="V114" s="166"/>
      <c r="W114" s="110"/>
      <c r="X114" s="2634"/>
      <c r="Y114" s="110"/>
      <c r="Z114" s="2633"/>
      <c r="AA114" s="2"/>
    </row>
    <row r="115" spans="1:30" x14ac:dyDescent="0.35">
      <c r="A115" s="359"/>
      <c r="B115" s="358">
        <v>10157</v>
      </c>
      <c r="C115" s="358"/>
      <c r="D115" s="360"/>
      <c r="E115" s="900" t="s">
        <v>3026</v>
      </c>
      <c r="F115" s="40">
        <v>4</v>
      </c>
      <c r="G115" s="40">
        <v>4</v>
      </c>
      <c r="H115" s="2289">
        <v>6</v>
      </c>
      <c r="I115" s="745"/>
      <c r="J115" s="745"/>
      <c r="K115" s="745"/>
      <c r="L115" s="745"/>
      <c r="M115" s="976"/>
      <c r="N115" s="748"/>
      <c r="O115" s="1093"/>
      <c r="P115" s="745"/>
      <c r="Q115" s="1087">
        <f>54.136-54.024</f>
        <v>0.11200000000000188</v>
      </c>
      <c r="R115" s="1084"/>
      <c r="S115" s="2631"/>
      <c r="T115" s="2632"/>
      <c r="U115" s="166"/>
      <c r="V115" s="166"/>
      <c r="W115" s="110"/>
      <c r="X115" s="2634"/>
      <c r="Y115" s="110"/>
      <c r="Z115" s="2633"/>
      <c r="AA115" s="2"/>
    </row>
    <row r="116" spans="1:30" x14ac:dyDescent="0.35">
      <c r="A116" s="359"/>
      <c r="B116" s="358">
        <v>10157</v>
      </c>
      <c r="C116" s="358"/>
      <c r="D116" s="360"/>
      <c r="E116" s="393" t="s">
        <v>3027</v>
      </c>
      <c r="F116" s="40">
        <v>4</v>
      </c>
      <c r="G116" s="40">
        <v>4</v>
      </c>
      <c r="H116" s="2289">
        <v>6</v>
      </c>
      <c r="I116" s="745"/>
      <c r="J116" s="745"/>
      <c r="K116" s="745"/>
      <c r="L116" s="745"/>
      <c r="M116" s="976"/>
      <c r="N116" s="746">
        <f>55.06-54.136</f>
        <v>0.92399999999999949</v>
      </c>
      <c r="O116" s="1092"/>
      <c r="P116" s="747"/>
      <c r="Q116" s="1087"/>
      <c r="R116" s="1082"/>
      <c r="S116" s="2631"/>
      <c r="T116" s="2632"/>
      <c r="U116" s="166"/>
      <c r="V116" s="166"/>
      <c r="W116" s="110"/>
      <c r="X116" s="2634"/>
      <c r="Y116" s="110"/>
      <c r="Z116" s="2633"/>
      <c r="AA116" s="2"/>
    </row>
    <row r="117" spans="1:30" ht="30.5" x14ac:dyDescent="0.35">
      <c r="A117" s="347">
        <v>36</v>
      </c>
      <c r="B117" s="358">
        <v>10157</v>
      </c>
      <c r="C117" s="358"/>
      <c r="D117" s="2460" t="s">
        <v>4070</v>
      </c>
      <c r="E117" s="394" t="s">
        <v>7506</v>
      </c>
      <c r="F117" s="41">
        <v>4</v>
      </c>
      <c r="G117" s="41">
        <v>4</v>
      </c>
      <c r="H117" s="2289">
        <v>6</v>
      </c>
      <c r="I117" s="744">
        <f>SUM(M117:R117)</f>
        <v>3.24</v>
      </c>
      <c r="J117" s="744">
        <f t="shared" ref="J117:J129" si="11">SUM(M117:R117)</f>
        <v>3.24</v>
      </c>
      <c r="K117" s="744"/>
      <c r="L117" s="744"/>
      <c r="M117" s="1096"/>
      <c r="N117" s="1077">
        <v>3.24</v>
      </c>
      <c r="O117" s="856"/>
      <c r="P117" s="1078"/>
      <c r="Q117" s="1088"/>
      <c r="R117" s="1083"/>
      <c r="S117" s="163"/>
      <c r="T117" s="249"/>
      <c r="U117" s="110"/>
      <c r="V117" s="110"/>
      <c r="W117" s="226">
        <v>9</v>
      </c>
      <c r="X117" s="2451">
        <v>92.3</v>
      </c>
      <c r="Y117" s="110"/>
      <c r="Z117" s="2622"/>
      <c r="AA117" s="2"/>
      <c r="AB117" s="3">
        <v>1</v>
      </c>
      <c r="AD117" s="2307"/>
    </row>
    <row r="118" spans="1:30" ht="45.5" x14ac:dyDescent="0.35">
      <c r="A118" s="347">
        <v>37</v>
      </c>
      <c r="B118" s="105">
        <v>10157</v>
      </c>
      <c r="C118" s="105" t="s">
        <v>1656</v>
      </c>
      <c r="D118" s="2460" t="s">
        <v>4071</v>
      </c>
      <c r="E118" s="269" t="s">
        <v>8218</v>
      </c>
      <c r="F118" s="92" t="s">
        <v>664</v>
      </c>
      <c r="G118" s="92">
        <v>5</v>
      </c>
      <c r="H118" s="41">
        <v>6</v>
      </c>
      <c r="I118" s="702">
        <f>J118+K118+L118</f>
        <v>0.2</v>
      </c>
      <c r="J118" s="702">
        <f t="shared" si="11"/>
        <v>0.2</v>
      </c>
      <c r="K118" s="93"/>
      <c r="L118" s="93"/>
      <c r="M118" s="577"/>
      <c r="N118" s="577"/>
      <c r="O118" s="577"/>
      <c r="P118" s="577"/>
      <c r="Q118" s="577"/>
      <c r="R118" s="2096">
        <v>0.2</v>
      </c>
      <c r="S118" s="113"/>
      <c r="T118" s="577"/>
      <c r="U118" s="93"/>
      <c r="V118" s="93"/>
      <c r="W118" s="93"/>
      <c r="X118" s="2021"/>
      <c r="Y118" s="93"/>
      <c r="Z118" s="93"/>
      <c r="AB118" s="3">
        <v>1</v>
      </c>
      <c r="AD118" s="2307"/>
    </row>
    <row r="119" spans="1:30" ht="30.5" x14ac:dyDescent="0.35">
      <c r="A119" s="347">
        <v>38</v>
      </c>
      <c r="B119" s="358">
        <v>10157</v>
      </c>
      <c r="C119" s="358"/>
      <c r="D119" s="2460" t="s">
        <v>4072</v>
      </c>
      <c r="E119" s="269" t="s">
        <v>9339</v>
      </c>
      <c r="F119" s="41">
        <v>4</v>
      </c>
      <c r="G119" s="41">
        <v>4</v>
      </c>
      <c r="H119" s="2289">
        <v>6</v>
      </c>
      <c r="I119" s="744">
        <f>SUM(M119:R119)</f>
        <v>3.76</v>
      </c>
      <c r="J119" s="744">
        <f t="shared" si="11"/>
        <v>3.76</v>
      </c>
      <c r="K119" s="744"/>
      <c r="L119" s="744"/>
      <c r="M119" s="1096"/>
      <c r="N119" s="1077">
        <v>3.76</v>
      </c>
      <c r="O119" s="856"/>
      <c r="P119" s="1078"/>
      <c r="Q119" s="1088"/>
      <c r="R119" s="1083"/>
      <c r="S119" s="163"/>
      <c r="T119" s="249"/>
      <c r="U119" s="110"/>
      <c r="V119" s="110"/>
      <c r="W119" s="226">
        <v>5</v>
      </c>
      <c r="X119" s="2451">
        <v>71.3</v>
      </c>
      <c r="Y119" s="110"/>
      <c r="Z119" s="2622"/>
      <c r="AA119" s="2"/>
      <c r="AB119" s="3">
        <v>1</v>
      </c>
      <c r="AD119" s="2307"/>
    </row>
    <row r="120" spans="1:30" ht="30.5" x14ac:dyDescent="0.35">
      <c r="A120" s="347">
        <v>39</v>
      </c>
      <c r="B120" s="358">
        <v>10157</v>
      </c>
      <c r="C120" s="358"/>
      <c r="D120" s="2460" t="s">
        <v>4073</v>
      </c>
      <c r="E120" s="269" t="s">
        <v>7507</v>
      </c>
      <c r="F120" s="41">
        <v>4</v>
      </c>
      <c r="G120" s="41">
        <v>4</v>
      </c>
      <c r="H120" s="2289">
        <v>6</v>
      </c>
      <c r="I120" s="744">
        <f>SUM(M120:R120)</f>
        <v>6.66</v>
      </c>
      <c r="J120" s="744">
        <f t="shared" si="11"/>
        <v>6.66</v>
      </c>
      <c r="K120" s="744"/>
      <c r="L120" s="744"/>
      <c r="M120" s="1096"/>
      <c r="N120" s="1077">
        <v>6.66</v>
      </c>
      <c r="O120" s="856"/>
      <c r="P120" s="1078"/>
      <c r="Q120" s="1088"/>
      <c r="R120" s="1083"/>
      <c r="S120" s="163"/>
      <c r="T120" s="249"/>
      <c r="U120" s="110"/>
      <c r="V120" s="110"/>
      <c r="W120" s="226">
        <v>12</v>
      </c>
      <c r="X120" s="2451">
        <v>153.19999999999999</v>
      </c>
      <c r="Y120" s="226">
        <v>3</v>
      </c>
      <c r="Z120" s="2622">
        <v>25.1</v>
      </c>
      <c r="AA120" s="2"/>
      <c r="AB120" s="3">
        <v>1</v>
      </c>
      <c r="AD120" s="2307"/>
    </row>
    <row r="121" spans="1:30" ht="45.5" x14ac:dyDescent="0.35">
      <c r="A121" s="347">
        <v>40</v>
      </c>
      <c r="B121" s="105">
        <v>10152</v>
      </c>
      <c r="C121" s="105" t="s">
        <v>1656</v>
      </c>
      <c r="D121" s="2460" t="s">
        <v>4053</v>
      </c>
      <c r="E121" s="269" t="s">
        <v>8219</v>
      </c>
      <c r="F121" s="92" t="s">
        <v>664</v>
      </c>
      <c r="G121" s="92">
        <v>5</v>
      </c>
      <c r="H121" s="41">
        <v>6</v>
      </c>
      <c r="I121" s="702">
        <f>J121+K121+L121</f>
        <v>0.96</v>
      </c>
      <c r="J121" s="702">
        <f>SUM(M121:R121)</f>
        <v>0.96</v>
      </c>
      <c r="K121" s="93"/>
      <c r="L121" s="93"/>
      <c r="M121" s="577"/>
      <c r="N121" s="577"/>
      <c r="O121" s="577"/>
      <c r="P121" s="577"/>
      <c r="Q121" s="577"/>
      <c r="R121" s="2096">
        <v>0.96</v>
      </c>
      <c r="S121" s="113"/>
      <c r="T121" s="577"/>
      <c r="U121" s="93"/>
      <c r="V121" s="93"/>
      <c r="W121" s="93"/>
      <c r="X121" s="2021"/>
      <c r="Y121" s="93"/>
      <c r="Z121" s="93"/>
      <c r="AB121" s="3">
        <v>1</v>
      </c>
      <c r="AD121" s="2307"/>
    </row>
    <row r="122" spans="1:30" ht="60.5" x14ac:dyDescent="0.35">
      <c r="A122" s="347">
        <v>41</v>
      </c>
      <c r="B122" s="105">
        <v>10157</v>
      </c>
      <c r="C122" s="105" t="s">
        <v>1656</v>
      </c>
      <c r="D122" s="2460" t="s">
        <v>4074</v>
      </c>
      <c r="E122" s="269" t="s">
        <v>8220</v>
      </c>
      <c r="F122" s="92" t="s">
        <v>664</v>
      </c>
      <c r="G122" s="92">
        <v>5</v>
      </c>
      <c r="H122" s="41">
        <v>6</v>
      </c>
      <c r="I122" s="702">
        <f>J122+K122+L122</f>
        <v>0.6</v>
      </c>
      <c r="J122" s="702">
        <f t="shared" si="11"/>
        <v>0.6</v>
      </c>
      <c r="K122" s="93"/>
      <c r="L122" s="93"/>
      <c r="M122" s="577"/>
      <c r="N122" s="577"/>
      <c r="O122" s="577"/>
      <c r="P122" s="577"/>
      <c r="Q122" s="577"/>
      <c r="R122" s="2096">
        <v>0.6</v>
      </c>
      <c r="S122" s="113"/>
      <c r="T122" s="577"/>
      <c r="U122" s="93"/>
      <c r="V122" s="93"/>
      <c r="W122" s="93"/>
      <c r="X122" s="2021"/>
      <c r="Y122" s="93"/>
      <c r="Z122" s="93"/>
      <c r="AB122" s="3">
        <v>1</v>
      </c>
      <c r="AD122" s="2307"/>
    </row>
    <row r="123" spans="1:30" ht="60.5" x14ac:dyDescent="0.35">
      <c r="A123" s="347">
        <v>42</v>
      </c>
      <c r="B123" s="105">
        <v>10157</v>
      </c>
      <c r="C123" s="105" t="s">
        <v>1656</v>
      </c>
      <c r="D123" s="2460" t="s">
        <v>4075</v>
      </c>
      <c r="E123" s="269" t="s">
        <v>8221</v>
      </c>
      <c r="F123" s="92" t="s">
        <v>664</v>
      </c>
      <c r="G123" s="92">
        <v>5</v>
      </c>
      <c r="H123" s="41">
        <v>6</v>
      </c>
      <c r="I123" s="702">
        <f>J123+K123+L123</f>
        <v>0.3</v>
      </c>
      <c r="J123" s="702">
        <f>SUM(M123:R123)</f>
        <v>0.3</v>
      </c>
      <c r="K123" s="93"/>
      <c r="L123" s="93"/>
      <c r="M123" s="577"/>
      <c r="N123" s="577"/>
      <c r="O123" s="577"/>
      <c r="P123" s="577"/>
      <c r="Q123" s="577"/>
      <c r="R123" s="2096">
        <v>0.3</v>
      </c>
      <c r="S123" s="113"/>
      <c r="T123" s="577"/>
      <c r="U123" s="93"/>
      <c r="V123" s="93"/>
      <c r="W123" s="93"/>
      <c r="X123" s="2021"/>
      <c r="Y123" s="93"/>
      <c r="Z123" s="93"/>
      <c r="AB123" s="3">
        <v>1</v>
      </c>
      <c r="AD123" s="2307"/>
    </row>
    <row r="124" spans="1:30" ht="45.5" x14ac:dyDescent="0.35">
      <c r="A124" s="347">
        <v>43</v>
      </c>
      <c r="B124" s="405">
        <v>10157</v>
      </c>
      <c r="C124" s="405"/>
      <c r="D124" s="2460" t="s">
        <v>4076</v>
      </c>
      <c r="E124" s="269" t="s">
        <v>7508</v>
      </c>
      <c r="F124" s="40"/>
      <c r="G124" s="40" t="s">
        <v>191</v>
      </c>
      <c r="H124" s="41" t="s">
        <v>191</v>
      </c>
      <c r="I124" s="744">
        <f>J124+K124+L124</f>
        <v>4.45</v>
      </c>
      <c r="J124" s="744">
        <f>SUM(M124:R124)</f>
        <v>4.33</v>
      </c>
      <c r="K124" s="749"/>
      <c r="L124" s="749">
        <f>SUM(L125:L127)</f>
        <v>0.12000000000000011</v>
      </c>
      <c r="M124" s="1096"/>
      <c r="N124" s="1077"/>
      <c r="O124" s="856"/>
      <c r="P124" s="1078"/>
      <c r="Q124" s="1088"/>
      <c r="R124" s="1083">
        <f>SUM(R125:R127)</f>
        <v>4.33</v>
      </c>
      <c r="S124" s="163"/>
      <c r="T124" s="248"/>
      <c r="U124" s="110"/>
      <c r="V124" s="110"/>
      <c r="W124" s="110"/>
      <c r="X124" s="2634"/>
      <c r="Y124" s="110"/>
      <c r="Z124" s="2633"/>
      <c r="AA124" s="2"/>
      <c r="AB124" s="3">
        <v>1</v>
      </c>
      <c r="AD124" s="2307"/>
    </row>
    <row r="125" spans="1:30" x14ac:dyDescent="0.35">
      <c r="A125" s="347"/>
      <c r="B125" s="405"/>
      <c r="C125" s="405"/>
      <c r="D125" s="2460"/>
      <c r="E125" s="878" t="s">
        <v>1191</v>
      </c>
      <c r="F125" s="40" t="s">
        <v>1490</v>
      </c>
      <c r="G125" s="40">
        <v>5</v>
      </c>
      <c r="H125" s="41">
        <v>6</v>
      </c>
      <c r="I125" s="747"/>
      <c r="J125" s="747"/>
      <c r="K125" s="745"/>
      <c r="L125" s="745"/>
      <c r="M125" s="1095"/>
      <c r="N125" s="692"/>
      <c r="O125" s="857"/>
      <c r="P125" s="2534"/>
      <c r="Q125" s="1090"/>
      <c r="R125" s="1085">
        <v>2</v>
      </c>
      <c r="S125" s="163"/>
      <c r="T125" s="248"/>
      <c r="U125" s="110"/>
      <c r="V125" s="110"/>
      <c r="W125" s="110"/>
      <c r="X125" s="2634"/>
      <c r="Y125" s="110"/>
      <c r="Z125" s="2636"/>
      <c r="AA125" s="2"/>
    </row>
    <row r="126" spans="1:30" ht="31" x14ac:dyDescent="0.35">
      <c r="A126" s="347"/>
      <c r="B126" s="405"/>
      <c r="C126" s="405"/>
      <c r="D126" s="2460"/>
      <c r="E126" s="393" t="s">
        <v>9762</v>
      </c>
      <c r="F126" s="40" t="s">
        <v>1490</v>
      </c>
      <c r="G126" s="40">
        <v>5</v>
      </c>
      <c r="H126" s="41" t="s">
        <v>191</v>
      </c>
      <c r="I126" s="747"/>
      <c r="J126" s="747"/>
      <c r="K126" s="745"/>
      <c r="L126" s="745">
        <f>2.12-2</f>
        <v>0.12000000000000011</v>
      </c>
      <c r="M126" s="1095"/>
      <c r="N126" s="692"/>
      <c r="O126" s="857"/>
      <c r="P126" s="2534"/>
      <c r="Q126" s="1090"/>
      <c r="R126" s="1085"/>
      <c r="S126" s="163"/>
      <c r="T126" s="248"/>
      <c r="U126" s="110"/>
      <c r="V126" s="110"/>
      <c r="W126" s="110"/>
      <c r="X126" s="2634"/>
      <c r="Y126" s="110"/>
      <c r="Z126" s="2636"/>
      <c r="AA126" s="2"/>
    </row>
    <row r="127" spans="1:30" x14ac:dyDescent="0.35">
      <c r="A127" s="347"/>
      <c r="B127" s="405"/>
      <c r="C127" s="405"/>
      <c r="D127" s="2460"/>
      <c r="E127" s="878" t="s">
        <v>6877</v>
      </c>
      <c r="F127" s="40" t="s">
        <v>1490</v>
      </c>
      <c r="G127" s="40">
        <v>5</v>
      </c>
      <c r="H127" s="41">
        <v>6</v>
      </c>
      <c r="I127" s="747"/>
      <c r="J127" s="747"/>
      <c r="K127" s="745"/>
      <c r="L127" s="745"/>
      <c r="M127" s="1095"/>
      <c r="N127" s="692"/>
      <c r="O127" s="857"/>
      <c r="P127" s="2534"/>
      <c r="Q127" s="1090"/>
      <c r="R127" s="1085">
        <f>4.45-2.12</f>
        <v>2.33</v>
      </c>
      <c r="S127" s="163"/>
      <c r="T127" s="248"/>
      <c r="U127" s="110"/>
      <c r="V127" s="110"/>
      <c r="W127" s="110"/>
      <c r="X127" s="2634"/>
      <c r="Y127" s="110"/>
      <c r="Z127" s="2636"/>
      <c r="AA127" s="2"/>
    </row>
    <row r="128" spans="1:30" ht="75.5" x14ac:dyDescent="0.35">
      <c r="A128" s="347">
        <v>44</v>
      </c>
      <c r="B128" s="105">
        <v>10157</v>
      </c>
      <c r="C128" s="105" t="s">
        <v>1656</v>
      </c>
      <c r="D128" s="2460" t="s">
        <v>4077</v>
      </c>
      <c r="E128" s="269" t="s">
        <v>8222</v>
      </c>
      <c r="F128" s="92" t="s">
        <v>664</v>
      </c>
      <c r="G128" s="92">
        <v>5</v>
      </c>
      <c r="H128" s="41">
        <v>6</v>
      </c>
      <c r="I128" s="702">
        <f>J128+K128+L128</f>
        <v>0.48</v>
      </c>
      <c r="J128" s="702">
        <f>SUM(M128:R128)</f>
        <v>0.48</v>
      </c>
      <c r="K128" s="93"/>
      <c r="L128" s="93"/>
      <c r="M128" s="577"/>
      <c r="N128" s="577"/>
      <c r="O128" s="577"/>
      <c r="P128" s="577"/>
      <c r="Q128" s="577"/>
      <c r="R128" s="2096">
        <v>0.48</v>
      </c>
      <c r="S128" s="113"/>
      <c r="T128" s="577"/>
      <c r="U128" s="93"/>
      <c r="V128" s="93"/>
      <c r="W128" s="93"/>
      <c r="X128" s="2021"/>
      <c r="Y128" s="93"/>
      <c r="Z128" s="93"/>
      <c r="AB128" s="3">
        <v>1</v>
      </c>
      <c r="AD128" s="2307"/>
    </row>
    <row r="129" spans="1:30" ht="30.5" x14ac:dyDescent="0.35">
      <c r="A129" s="693">
        <v>45</v>
      </c>
      <c r="B129" s="358">
        <v>10157</v>
      </c>
      <c r="C129" s="358"/>
      <c r="D129" s="2460" t="s">
        <v>4078</v>
      </c>
      <c r="E129" s="394" t="s">
        <v>7509</v>
      </c>
      <c r="F129" s="41"/>
      <c r="G129" s="41" t="s">
        <v>191</v>
      </c>
      <c r="H129" s="2289" t="s">
        <v>191</v>
      </c>
      <c r="I129" s="744">
        <f>SUM(M129:R129)</f>
        <v>2.0099999999999998</v>
      </c>
      <c r="J129" s="744">
        <f t="shared" si="11"/>
        <v>2.0099999999999998</v>
      </c>
      <c r="K129" s="744"/>
      <c r="L129" s="744"/>
      <c r="M129" s="1096"/>
      <c r="N129" s="1077">
        <f>+N131</f>
        <v>0.74</v>
      </c>
      <c r="O129" s="856"/>
      <c r="P129" s="1078"/>
      <c r="Q129" s="1088">
        <f>+Q130</f>
        <v>1.27</v>
      </c>
      <c r="R129" s="1083"/>
      <c r="S129" s="163"/>
      <c r="T129" s="249"/>
      <c r="U129" s="110"/>
      <c r="V129" s="110"/>
      <c r="W129" s="226">
        <v>4</v>
      </c>
      <c r="X129" s="2451">
        <v>48.6</v>
      </c>
      <c r="Y129" s="226">
        <v>2</v>
      </c>
      <c r="Z129" s="2622">
        <v>21.9</v>
      </c>
      <c r="AA129" s="2"/>
      <c r="AB129" s="3">
        <v>1</v>
      </c>
      <c r="AD129" s="2307"/>
    </row>
    <row r="130" spans="1:30" x14ac:dyDescent="0.35">
      <c r="A130" s="359"/>
      <c r="B130" s="358">
        <v>10157</v>
      </c>
      <c r="C130" s="358"/>
      <c r="D130" s="360"/>
      <c r="E130" s="900" t="s">
        <v>2372</v>
      </c>
      <c r="F130" s="40">
        <v>4</v>
      </c>
      <c r="G130" s="40">
        <v>4</v>
      </c>
      <c r="H130" s="2289">
        <v>6</v>
      </c>
      <c r="I130" s="745"/>
      <c r="J130" s="745"/>
      <c r="K130" s="745"/>
      <c r="L130" s="745"/>
      <c r="M130" s="1095"/>
      <c r="N130" s="692"/>
      <c r="O130" s="857"/>
      <c r="P130" s="1079"/>
      <c r="Q130" s="1090">
        <v>1.27</v>
      </c>
      <c r="R130" s="1085"/>
      <c r="S130" s="2631"/>
      <c r="T130" s="2632"/>
      <c r="U130" s="166"/>
      <c r="V130" s="166"/>
      <c r="W130" s="110"/>
      <c r="X130" s="2634"/>
      <c r="Y130" s="110"/>
      <c r="Z130" s="2633"/>
      <c r="AA130" s="2"/>
    </row>
    <row r="131" spans="1:30" x14ac:dyDescent="0.35">
      <c r="A131" s="359"/>
      <c r="B131" s="358">
        <v>10157</v>
      </c>
      <c r="C131" s="358"/>
      <c r="D131" s="360"/>
      <c r="E131" s="393" t="s">
        <v>2373</v>
      </c>
      <c r="F131" s="40">
        <v>4</v>
      </c>
      <c r="G131" s="40">
        <v>4</v>
      </c>
      <c r="H131" s="2289">
        <v>6</v>
      </c>
      <c r="I131" s="745"/>
      <c r="J131" s="745"/>
      <c r="K131" s="745"/>
      <c r="L131" s="745"/>
      <c r="M131" s="1095"/>
      <c r="N131" s="692">
        <v>0.74</v>
      </c>
      <c r="O131" s="857"/>
      <c r="P131" s="1079"/>
      <c r="Q131" s="1090"/>
      <c r="R131" s="1085"/>
      <c r="S131" s="2631"/>
      <c r="T131" s="2632"/>
      <c r="U131" s="166"/>
      <c r="V131" s="166"/>
      <c r="W131" s="110"/>
      <c r="X131" s="2634"/>
      <c r="Y131" s="110"/>
      <c r="Z131" s="2633"/>
      <c r="AA131" s="2"/>
    </row>
    <row r="132" spans="1:30" ht="30.5" x14ac:dyDescent="0.35">
      <c r="A132" s="347">
        <v>46</v>
      </c>
      <c r="B132" s="358">
        <v>10157</v>
      </c>
      <c r="C132" s="358"/>
      <c r="D132" s="2460" t="s">
        <v>4079</v>
      </c>
      <c r="E132" s="394" t="s">
        <v>7510</v>
      </c>
      <c r="F132" s="41" t="s">
        <v>1490</v>
      </c>
      <c r="G132" s="41">
        <v>5</v>
      </c>
      <c r="H132" s="41">
        <v>6</v>
      </c>
      <c r="I132" s="744">
        <f t="shared" ref="I132:I146" si="12">SUM(M132:R132)</f>
        <v>1.43</v>
      </c>
      <c r="J132" s="744">
        <f t="shared" ref="J132:J146" si="13">SUM(M132:R132)</f>
        <v>1.43</v>
      </c>
      <c r="K132" s="749"/>
      <c r="L132" s="749"/>
      <c r="M132" s="1096"/>
      <c r="N132" s="1077"/>
      <c r="O132" s="856"/>
      <c r="P132" s="1078"/>
      <c r="Q132" s="1088"/>
      <c r="R132" s="1083">
        <v>1.43</v>
      </c>
      <c r="S132" s="163">
        <v>1</v>
      </c>
      <c r="T132" s="248">
        <v>24.15</v>
      </c>
      <c r="U132" s="110"/>
      <c r="V132" s="110"/>
      <c r="W132" s="110"/>
      <c r="X132" s="2634"/>
      <c r="Y132" s="110"/>
      <c r="Z132" s="2633"/>
      <c r="AA132" s="2"/>
      <c r="AB132" s="3">
        <v>1</v>
      </c>
      <c r="AD132" s="2307"/>
    </row>
    <row r="133" spans="1:30" ht="30.5" x14ac:dyDescent="0.35">
      <c r="A133" s="347">
        <v>47</v>
      </c>
      <c r="B133" s="358">
        <v>10157</v>
      </c>
      <c r="C133" s="358"/>
      <c r="D133" s="2460" t="s">
        <v>4080</v>
      </c>
      <c r="E133" s="394" t="s">
        <v>7511</v>
      </c>
      <c r="F133" s="41" t="s">
        <v>827</v>
      </c>
      <c r="G133" s="41">
        <v>5</v>
      </c>
      <c r="H133" s="41">
        <v>6</v>
      </c>
      <c r="I133" s="744">
        <f t="shared" si="12"/>
        <v>2.2999999999999998</v>
      </c>
      <c r="J133" s="744">
        <f t="shared" si="13"/>
        <v>2.2999999999999998</v>
      </c>
      <c r="K133" s="749"/>
      <c r="L133" s="749"/>
      <c r="M133" s="1096"/>
      <c r="N133" s="1077"/>
      <c r="O133" s="856"/>
      <c r="P133" s="1078"/>
      <c r="Q133" s="1088"/>
      <c r="R133" s="1083">
        <v>2.2999999999999998</v>
      </c>
      <c r="S133" s="163"/>
      <c r="T133" s="248"/>
      <c r="U133" s="110"/>
      <c r="V133" s="110"/>
      <c r="W133" s="226">
        <v>1</v>
      </c>
      <c r="X133" s="2451">
        <v>10.1</v>
      </c>
      <c r="Y133" s="110"/>
      <c r="Z133" s="2633"/>
      <c r="AA133" s="2"/>
      <c r="AB133" s="3">
        <v>1</v>
      </c>
      <c r="AD133" s="2307"/>
    </row>
    <row r="134" spans="1:30" ht="30.5" x14ac:dyDescent="0.35">
      <c r="A134" s="347">
        <v>48</v>
      </c>
      <c r="B134" s="358">
        <v>10157</v>
      </c>
      <c r="C134" s="358"/>
      <c r="D134" s="2460" t="s">
        <v>4081</v>
      </c>
      <c r="E134" s="394" t="s">
        <v>7512</v>
      </c>
      <c r="F134" s="41">
        <v>5</v>
      </c>
      <c r="G134" s="41">
        <v>5</v>
      </c>
      <c r="H134" s="2289">
        <v>6</v>
      </c>
      <c r="I134" s="744">
        <f t="shared" si="12"/>
        <v>1.71</v>
      </c>
      <c r="J134" s="744">
        <f t="shared" si="13"/>
        <v>1.71</v>
      </c>
      <c r="K134" s="749"/>
      <c r="L134" s="749"/>
      <c r="M134" s="1096"/>
      <c r="N134" s="1077"/>
      <c r="O134" s="856"/>
      <c r="P134" s="1078"/>
      <c r="Q134" s="1088">
        <v>1.71</v>
      </c>
      <c r="R134" s="1083"/>
      <c r="S134" s="163"/>
      <c r="T134" s="248"/>
      <c r="U134" s="110"/>
      <c r="V134" s="110"/>
      <c r="W134" s="226">
        <v>5</v>
      </c>
      <c r="X134" s="2451">
        <v>64.3</v>
      </c>
      <c r="Y134" s="110"/>
      <c r="Z134" s="2633"/>
      <c r="AA134" s="2"/>
      <c r="AB134" s="3">
        <v>1</v>
      </c>
      <c r="AD134" s="2307"/>
    </row>
    <row r="135" spans="1:30" ht="30.5" x14ac:dyDescent="0.35">
      <c r="A135" s="347">
        <v>49</v>
      </c>
      <c r="B135" s="358">
        <v>10157</v>
      </c>
      <c r="C135" s="358"/>
      <c r="D135" s="2460" t="s">
        <v>4082</v>
      </c>
      <c r="E135" s="394" t="s">
        <v>9175</v>
      </c>
      <c r="F135" s="41" t="s">
        <v>664</v>
      </c>
      <c r="G135" s="41">
        <v>5</v>
      </c>
      <c r="H135" s="41">
        <v>6</v>
      </c>
      <c r="I135" s="744">
        <f t="shared" si="12"/>
        <v>2.1</v>
      </c>
      <c r="J135" s="744">
        <f t="shared" si="13"/>
        <v>2.1</v>
      </c>
      <c r="K135" s="744"/>
      <c r="L135" s="744"/>
      <c r="M135" s="1096"/>
      <c r="N135" s="1077"/>
      <c r="O135" s="856"/>
      <c r="P135" s="1078"/>
      <c r="Q135" s="1088"/>
      <c r="R135" s="1083">
        <v>2.1</v>
      </c>
      <c r="S135" s="163"/>
      <c r="T135" s="248"/>
      <c r="U135" s="110"/>
      <c r="V135" s="110"/>
      <c r="W135" s="226">
        <v>1</v>
      </c>
      <c r="X135" s="2451">
        <v>15.1</v>
      </c>
      <c r="Y135" s="110"/>
      <c r="Z135" s="2633"/>
      <c r="AA135" s="2"/>
      <c r="AB135" s="3">
        <v>1</v>
      </c>
      <c r="AD135" s="2307"/>
    </row>
    <row r="136" spans="1:30" ht="45.5" x14ac:dyDescent="0.35">
      <c r="A136" s="347">
        <v>50</v>
      </c>
      <c r="B136" s="105">
        <v>10157</v>
      </c>
      <c r="C136" s="105" t="s">
        <v>1656</v>
      </c>
      <c r="D136" s="2460" t="s">
        <v>4083</v>
      </c>
      <c r="E136" s="269" t="s">
        <v>9687</v>
      </c>
      <c r="F136" s="92" t="s">
        <v>664</v>
      </c>
      <c r="G136" s="92">
        <v>5</v>
      </c>
      <c r="H136" s="41">
        <v>6</v>
      </c>
      <c r="I136" s="702">
        <f>J136+K136+L136</f>
        <v>0.59</v>
      </c>
      <c r="J136" s="702">
        <f>SUM(M136:R136)</f>
        <v>0.59</v>
      </c>
      <c r="K136" s="93"/>
      <c r="L136" s="93"/>
      <c r="M136" s="577"/>
      <c r="N136" s="577"/>
      <c r="O136" s="577"/>
      <c r="P136" s="577"/>
      <c r="Q136" s="577"/>
      <c r="R136" s="2096">
        <v>0.59</v>
      </c>
      <c r="S136" s="113"/>
      <c r="T136" s="577"/>
      <c r="U136" s="93"/>
      <c r="V136" s="93"/>
      <c r="W136" s="93"/>
      <c r="X136" s="2021"/>
      <c r="Y136" s="93"/>
      <c r="Z136" s="93"/>
      <c r="AB136" s="3">
        <v>1</v>
      </c>
      <c r="AD136" s="2307"/>
    </row>
    <row r="137" spans="1:30" ht="30.5" x14ac:dyDescent="0.35">
      <c r="A137" s="347">
        <v>51</v>
      </c>
      <c r="B137" s="358">
        <v>10157</v>
      </c>
      <c r="C137" s="358"/>
      <c r="D137" s="2460" t="s">
        <v>4084</v>
      </c>
      <c r="E137" s="269" t="s">
        <v>7513</v>
      </c>
      <c r="F137" s="41" t="s">
        <v>827</v>
      </c>
      <c r="G137" s="41">
        <v>5</v>
      </c>
      <c r="H137" s="41">
        <v>6</v>
      </c>
      <c r="I137" s="744">
        <f t="shared" si="12"/>
        <v>0.85699999999999998</v>
      </c>
      <c r="J137" s="744">
        <f t="shared" si="13"/>
        <v>0.85699999999999998</v>
      </c>
      <c r="K137" s="749"/>
      <c r="L137" s="749"/>
      <c r="M137" s="1096"/>
      <c r="N137" s="1077"/>
      <c r="O137" s="856"/>
      <c r="P137" s="1078"/>
      <c r="Q137" s="1088"/>
      <c r="R137" s="1083">
        <v>0.85699999999999998</v>
      </c>
      <c r="S137" s="163"/>
      <c r="T137" s="248"/>
      <c r="U137" s="110"/>
      <c r="V137" s="110"/>
      <c r="W137" s="110"/>
      <c r="X137" s="2634"/>
      <c r="Y137" s="110"/>
      <c r="Z137" s="2633"/>
      <c r="AA137" s="2"/>
      <c r="AB137" s="3">
        <v>1</v>
      </c>
      <c r="AD137" s="2307"/>
    </row>
    <row r="138" spans="1:30" ht="45.5" x14ac:dyDescent="0.35">
      <c r="A138" s="347">
        <v>52</v>
      </c>
      <c r="B138" s="405">
        <v>10157</v>
      </c>
      <c r="C138" s="405"/>
      <c r="D138" s="2460" t="s">
        <v>4085</v>
      </c>
      <c r="E138" s="269" t="s">
        <v>7514</v>
      </c>
      <c r="F138" s="40" t="s">
        <v>664</v>
      </c>
      <c r="G138" s="40">
        <v>5</v>
      </c>
      <c r="H138" s="41">
        <v>6</v>
      </c>
      <c r="I138" s="744">
        <f t="shared" si="12"/>
        <v>3</v>
      </c>
      <c r="J138" s="744">
        <f t="shared" si="13"/>
        <v>3</v>
      </c>
      <c r="K138" s="749"/>
      <c r="L138" s="749"/>
      <c r="M138" s="1096"/>
      <c r="N138" s="1077"/>
      <c r="O138" s="856"/>
      <c r="P138" s="1078"/>
      <c r="Q138" s="1088"/>
      <c r="R138" s="1083">
        <v>3</v>
      </c>
      <c r="S138" s="163"/>
      <c r="T138" s="248"/>
      <c r="U138" s="110"/>
      <c r="V138" s="110"/>
      <c r="W138" s="110"/>
      <c r="X138" s="2634"/>
      <c r="Y138" s="110"/>
      <c r="Z138" s="2633"/>
      <c r="AA138" s="2"/>
      <c r="AB138" s="3">
        <v>1</v>
      </c>
      <c r="AD138" s="2307"/>
    </row>
    <row r="139" spans="1:30" ht="60.5" x14ac:dyDescent="0.35">
      <c r="A139" s="347">
        <v>53</v>
      </c>
      <c r="B139" s="105">
        <v>10157</v>
      </c>
      <c r="C139" s="105" t="s">
        <v>1656</v>
      </c>
      <c r="D139" s="2460" t="s">
        <v>4086</v>
      </c>
      <c r="E139" s="269" t="s">
        <v>8223</v>
      </c>
      <c r="F139" s="92" t="s">
        <v>664</v>
      </c>
      <c r="G139" s="92">
        <v>5</v>
      </c>
      <c r="H139" s="41">
        <v>6</v>
      </c>
      <c r="I139" s="702">
        <f>J139+K139+L139</f>
        <v>0.35</v>
      </c>
      <c r="J139" s="702">
        <f>SUM(M139:R139)</f>
        <v>0.35</v>
      </c>
      <c r="K139" s="93"/>
      <c r="L139" s="93"/>
      <c r="M139" s="577"/>
      <c r="N139" s="577"/>
      <c r="O139" s="577"/>
      <c r="P139" s="577"/>
      <c r="Q139" s="577"/>
      <c r="R139" s="2096">
        <v>0.35</v>
      </c>
      <c r="S139" s="113"/>
      <c r="T139" s="577"/>
      <c r="U139" s="93"/>
      <c r="V139" s="93"/>
      <c r="W139" s="93"/>
      <c r="X139" s="2021"/>
      <c r="Y139" s="93"/>
      <c r="Z139" s="93"/>
      <c r="AB139" s="3">
        <v>1</v>
      </c>
      <c r="AD139" s="2307"/>
    </row>
    <row r="140" spans="1:30" ht="30.5" x14ac:dyDescent="0.35">
      <c r="A140" s="347">
        <v>54</v>
      </c>
      <c r="B140" s="405">
        <v>10157</v>
      </c>
      <c r="C140" s="105" t="s">
        <v>1656</v>
      </c>
      <c r="D140" s="2460" t="s">
        <v>4087</v>
      </c>
      <c r="E140" s="269" t="s">
        <v>8224</v>
      </c>
      <c r="F140" s="40" t="s">
        <v>664</v>
      </c>
      <c r="G140" s="40">
        <v>5</v>
      </c>
      <c r="H140" s="41">
        <v>6</v>
      </c>
      <c r="I140" s="744">
        <f t="shared" si="12"/>
        <v>0.8</v>
      </c>
      <c r="J140" s="744">
        <f t="shared" si="13"/>
        <v>0.8</v>
      </c>
      <c r="K140" s="744"/>
      <c r="L140" s="744"/>
      <c r="M140" s="1096"/>
      <c r="N140" s="1077"/>
      <c r="O140" s="856"/>
      <c r="P140" s="1078"/>
      <c r="Q140" s="1088"/>
      <c r="R140" s="1083">
        <v>0.8</v>
      </c>
      <c r="S140" s="163"/>
      <c r="T140" s="2621"/>
      <c r="U140" s="110"/>
      <c r="V140" s="110"/>
      <c r="W140" s="110"/>
      <c r="X140" s="2451"/>
      <c r="Y140" s="110"/>
      <c r="Z140" s="2622"/>
      <c r="AA140" s="2"/>
      <c r="AB140" s="3">
        <v>1</v>
      </c>
      <c r="AD140" s="2307"/>
    </row>
    <row r="141" spans="1:30" ht="45.5" x14ac:dyDescent="0.35">
      <c r="A141" s="347">
        <v>55</v>
      </c>
      <c r="B141" s="105">
        <v>10157</v>
      </c>
      <c r="C141" s="105" t="s">
        <v>1656</v>
      </c>
      <c r="D141" s="2460" t="s">
        <v>4088</v>
      </c>
      <c r="E141" s="269" t="s">
        <v>8225</v>
      </c>
      <c r="F141" s="92" t="s">
        <v>664</v>
      </c>
      <c r="G141" s="92">
        <v>5</v>
      </c>
      <c r="H141" s="41">
        <v>6</v>
      </c>
      <c r="I141" s="702">
        <f>J141+K141+L141</f>
        <v>0.25</v>
      </c>
      <c r="J141" s="702">
        <f>SUM(M141:R141)</f>
        <v>0.25</v>
      </c>
      <c r="K141" s="93"/>
      <c r="L141" s="93"/>
      <c r="M141" s="577"/>
      <c r="N141" s="577"/>
      <c r="O141" s="577"/>
      <c r="P141" s="577"/>
      <c r="Q141" s="577"/>
      <c r="R141" s="2096">
        <v>0.25</v>
      </c>
      <c r="S141" s="113"/>
      <c r="T141" s="577"/>
      <c r="U141" s="93"/>
      <c r="V141" s="93"/>
      <c r="W141" s="93"/>
      <c r="X141" s="2021"/>
      <c r="Y141" s="93"/>
      <c r="Z141" s="93"/>
      <c r="AB141" s="3">
        <v>1</v>
      </c>
      <c r="AD141" s="2307"/>
    </row>
    <row r="142" spans="1:30" ht="60.5" x14ac:dyDescent="0.35">
      <c r="A142" s="347">
        <v>56</v>
      </c>
      <c r="B142" s="105">
        <v>10157</v>
      </c>
      <c r="C142" s="105" t="s">
        <v>1656</v>
      </c>
      <c r="D142" s="2460" t="s">
        <v>4089</v>
      </c>
      <c r="E142" s="269" t="s">
        <v>8226</v>
      </c>
      <c r="F142" s="92" t="s">
        <v>664</v>
      </c>
      <c r="G142" s="92">
        <v>5</v>
      </c>
      <c r="H142" s="41">
        <v>6</v>
      </c>
      <c r="I142" s="702">
        <f>J142+K142+L142</f>
        <v>0.85</v>
      </c>
      <c r="J142" s="702">
        <f>SUM(M142:R142)</f>
        <v>0.85</v>
      </c>
      <c r="K142" s="93"/>
      <c r="L142" s="93"/>
      <c r="M142" s="577"/>
      <c r="N142" s="577"/>
      <c r="O142" s="577"/>
      <c r="P142" s="577"/>
      <c r="Q142" s="577"/>
      <c r="R142" s="2096">
        <v>0.85</v>
      </c>
      <c r="S142" s="113"/>
      <c r="T142" s="577"/>
      <c r="U142" s="93"/>
      <c r="V142" s="93"/>
      <c r="W142" s="93"/>
      <c r="X142" s="2021"/>
      <c r="Y142" s="93"/>
      <c r="Z142" s="93"/>
      <c r="AB142" s="3">
        <v>1</v>
      </c>
      <c r="AD142" s="2307"/>
    </row>
    <row r="143" spans="1:30" ht="30.5" x14ac:dyDescent="0.35">
      <c r="A143" s="347">
        <v>57</v>
      </c>
      <c r="B143" s="105">
        <v>10157</v>
      </c>
      <c r="C143" s="105" t="s">
        <v>1656</v>
      </c>
      <c r="D143" s="2460" t="s">
        <v>4090</v>
      </c>
      <c r="E143" s="269" t="s">
        <v>8227</v>
      </c>
      <c r="F143" s="92" t="s">
        <v>664</v>
      </c>
      <c r="G143" s="92">
        <v>5</v>
      </c>
      <c r="H143" s="41">
        <v>6</v>
      </c>
      <c r="I143" s="702">
        <f>J143+K143+L143</f>
        <v>0.2</v>
      </c>
      <c r="J143" s="702">
        <f>SUM(M143:R143)</f>
        <v>0.2</v>
      </c>
      <c r="K143" s="93"/>
      <c r="L143" s="93"/>
      <c r="M143" s="577"/>
      <c r="N143" s="577"/>
      <c r="O143" s="577"/>
      <c r="P143" s="577"/>
      <c r="Q143" s="577"/>
      <c r="R143" s="2096">
        <v>0.2</v>
      </c>
      <c r="S143" s="113"/>
      <c r="T143" s="577"/>
      <c r="U143" s="93"/>
      <c r="V143" s="93"/>
      <c r="W143" s="93"/>
      <c r="X143" s="2021"/>
      <c r="Y143" s="93"/>
      <c r="Z143" s="93"/>
      <c r="AB143" s="3">
        <v>1</v>
      </c>
      <c r="AD143" s="2307"/>
    </row>
    <row r="144" spans="1:30" ht="45.5" x14ac:dyDescent="0.35">
      <c r="A144" s="347">
        <v>58</v>
      </c>
      <c r="B144" s="105">
        <v>10157</v>
      </c>
      <c r="C144" s="105" t="s">
        <v>1656</v>
      </c>
      <c r="D144" s="2460" t="s">
        <v>4091</v>
      </c>
      <c r="E144" s="269" t="s">
        <v>9688</v>
      </c>
      <c r="F144" s="92" t="s">
        <v>664</v>
      </c>
      <c r="G144" s="92">
        <v>5</v>
      </c>
      <c r="H144" s="41">
        <v>6</v>
      </c>
      <c r="I144" s="702">
        <f>J144+K144+L144</f>
        <v>0.6</v>
      </c>
      <c r="J144" s="702">
        <f>SUM(M144:R144)</f>
        <v>0.6</v>
      </c>
      <c r="K144" s="93"/>
      <c r="L144" s="93"/>
      <c r="M144" s="577"/>
      <c r="N144" s="577"/>
      <c r="O144" s="577"/>
      <c r="P144" s="577"/>
      <c r="Q144" s="577"/>
      <c r="R144" s="2096">
        <v>0.6</v>
      </c>
      <c r="S144" s="113"/>
      <c r="T144" s="577"/>
      <c r="U144" s="93"/>
      <c r="V144" s="93"/>
      <c r="W144" s="93"/>
      <c r="X144" s="2021"/>
      <c r="Y144" s="93"/>
      <c r="Z144" s="93"/>
      <c r="AB144" s="3">
        <v>1</v>
      </c>
      <c r="AD144" s="2307"/>
    </row>
    <row r="145" spans="1:30" ht="30.5" x14ac:dyDescent="0.35">
      <c r="A145" s="347">
        <v>59</v>
      </c>
      <c r="B145" s="105">
        <v>10157</v>
      </c>
      <c r="C145" s="105" t="s">
        <v>1656</v>
      </c>
      <c r="D145" s="2460" t="s">
        <v>4092</v>
      </c>
      <c r="E145" s="269" t="s">
        <v>8228</v>
      </c>
      <c r="F145" s="92" t="s">
        <v>664</v>
      </c>
      <c r="G145" s="92">
        <v>5</v>
      </c>
      <c r="H145" s="41">
        <v>6</v>
      </c>
      <c r="I145" s="702">
        <f>J145+K145+L145</f>
        <v>1</v>
      </c>
      <c r="J145" s="702">
        <f>SUM(M145:R145)</f>
        <v>1</v>
      </c>
      <c r="K145" s="93"/>
      <c r="L145" s="93"/>
      <c r="M145" s="577"/>
      <c r="N145" s="577"/>
      <c r="O145" s="577"/>
      <c r="P145" s="577"/>
      <c r="Q145" s="577"/>
      <c r="R145" s="2096">
        <v>1</v>
      </c>
      <c r="S145" s="113"/>
      <c r="T145" s="577"/>
      <c r="U145" s="93"/>
      <c r="V145" s="93"/>
      <c r="W145" s="93"/>
      <c r="X145" s="2021"/>
      <c r="Y145" s="93"/>
      <c r="Z145" s="93"/>
      <c r="AB145" s="3">
        <v>1</v>
      </c>
      <c r="AD145" s="2307"/>
    </row>
    <row r="146" spans="1:30" ht="30" x14ac:dyDescent="0.35">
      <c r="A146" s="347">
        <v>60</v>
      </c>
      <c r="B146" s="358">
        <v>10158</v>
      </c>
      <c r="C146" s="358"/>
      <c r="D146" s="358" t="s">
        <v>2322</v>
      </c>
      <c r="E146" s="290" t="s">
        <v>6878</v>
      </c>
      <c r="F146" s="41"/>
      <c r="G146" s="41" t="s">
        <v>191</v>
      </c>
      <c r="H146" s="2289" t="s">
        <v>191</v>
      </c>
      <c r="I146" s="744">
        <f t="shared" si="12"/>
        <v>9.3999999999999986</v>
      </c>
      <c r="J146" s="744">
        <f t="shared" si="13"/>
        <v>9.3999999999999986</v>
      </c>
      <c r="K146" s="744"/>
      <c r="L146" s="744"/>
      <c r="M146" s="975"/>
      <c r="N146" s="671">
        <f>+N147+N148+N149</f>
        <v>0.04</v>
      </c>
      <c r="O146" s="850"/>
      <c r="P146" s="744"/>
      <c r="Q146" s="859">
        <f>+Q147+Q148+Q149</f>
        <v>8.4</v>
      </c>
      <c r="R146" s="869">
        <f>+R147+R148+R149</f>
        <v>0.96</v>
      </c>
      <c r="S146" s="538">
        <v>2</v>
      </c>
      <c r="T146" s="249">
        <f>6.5+12.3</f>
        <v>18.8</v>
      </c>
      <c r="U146" s="110"/>
      <c r="V146" s="110"/>
      <c r="W146" s="226">
        <v>5</v>
      </c>
      <c r="X146" s="2451">
        <v>66.099999999999994</v>
      </c>
      <c r="Y146" s="110"/>
      <c r="Z146" s="2622"/>
      <c r="AA146" s="2"/>
      <c r="AB146" s="3">
        <v>1</v>
      </c>
      <c r="AD146" s="2307"/>
    </row>
    <row r="147" spans="1:30" x14ac:dyDescent="0.35">
      <c r="A147" s="359"/>
      <c r="B147" s="358">
        <v>10158</v>
      </c>
      <c r="C147" s="358"/>
      <c r="D147" s="360"/>
      <c r="E147" s="393" t="s">
        <v>753</v>
      </c>
      <c r="F147" s="40">
        <v>5</v>
      </c>
      <c r="G147" s="40">
        <v>4</v>
      </c>
      <c r="H147" s="2289">
        <v>6</v>
      </c>
      <c r="I147" s="745"/>
      <c r="J147" s="745"/>
      <c r="K147" s="745"/>
      <c r="L147" s="745"/>
      <c r="M147" s="976"/>
      <c r="N147" s="746">
        <v>0.04</v>
      </c>
      <c r="O147" s="1092"/>
      <c r="P147" s="747"/>
      <c r="Q147" s="1087"/>
      <c r="R147" s="1082"/>
      <c r="S147" s="2631"/>
      <c r="T147" s="2632"/>
      <c r="U147" s="166"/>
      <c r="V147" s="166"/>
      <c r="W147" s="110"/>
      <c r="X147" s="2634"/>
      <c r="Y147" s="110"/>
      <c r="Z147" s="2633"/>
      <c r="AA147" s="2"/>
    </row>
    <row r="148" spans="1:30" x14ac:dyDescent="0.35">
      <c r="A148" s="359"/>
      <c r="B148" s="358">
        <v>10158</v>
      </c>
      <c r="C148" s="358"/>
      <c r="D148" s="360"/>
      <c r="E148" s="900" t="s">
        <v>368</v>
      </c>
      <c r="F148" s="40">
        <v>5</v>
      </c>
      <c r="G148" s="40">
        <v>4</v>
      </c>
      <c r="H148" s="2289">
        <v>6</v>
      </c>
      <c r="I148" s="745"/>
      <c r="J148" s="745"/>
      <c r="K148" s="745"/>
      <c r="L148" s="745"/>
      <c r="M148" s="976"/>
      <c r="N148" s="746"/>
      <c r="O148" s="1092"/>
      <c r="P148" s="747"/>
      <c r="Q148" s="1087">
        <v>8.4</v>
      </c>
      <c r="R148" s="1082"/>
      <c r="S148" s="2631"/>
      <c r="T148" s="2632"/>
      <c r="U148" s="166"/>
      <c r="V148" s="166"/>
      <c r="W148" s="110"/>
      <c r="X148" s="2634"/>
      <c r="Y148" s="110"/>
      <c r="Z148" s="2633"/>
      <c r="AA148" s="2"/>
    </row>
    <row r="149" spans="1:30" x14ac:dyDescent="0.35">
      <c r="A149" s="359"/>
      <c r="B149" s="358">
        <v>10158</v>
      </c>
      <c r="C149" s="358"/>
      <c r="D149" s="360"/>
      <c r="E149" s="878" t="s">
        <v>766</v>
      </c>
      <c r="F149" s="40" t="s">
        <v>827</v>
      </c>
      <c r="G149" s="40">
        <v>4</v>
      </c>
      <c r="H149" s="41">
        <v>6</v>
      </c>
      <c r="I149" s="745"/>
      <c r="J149" s="745"/>
      <c r="K149" s="745"/>
      <c r="L149" s="745"/>
      <c r="M149" s="976"/>
      <c r="N149" s="746"/>
      <c r="O149" s="1092"/>
      <c r="P149" s="747"/>
      <c r="Q149" s="1087"/>
      <c r="R149" s="1082">
        <v>0.96</v>
      </c>
      <c r="S149" s="2631"/>
      <c r="T149" s="2632"/>
      <c r="U149" s="166"/>
      <c r="V149" s="166"/>
      <c r="W149" s="110"/>
      <c r="X149" s="2634"/>
      <c r="Y149" s="110"/>
      <c r="Z149" s="2633"/>
      <c r="AA149" s="2"/>
      <c r="AC149" s="3" t="s">
        <v>2570</v>
      </c>
    </row>
    <row r="150" spans="1:30" ht="30.5" x14ac:dyDescent="0.35">
      <c r="A150" s="693">
        <v>61</v>
      </c>
      <c r="B150" s="105">
        <v>10158</v>
      </c>
      <c r="C150" s="105" t="s">
        <v>1656</v>
      </c>
      <c r="D150" s="2460" t="s">
        <v>4093</v>
      </c>
      <c r="E150" s="269" t="s">
        <v>8229</v>
      </c>
      <c r="F150" s="92" t="s">
        <v>664</v>
      </c>
      <c r="G150" s="92">
        <v>5</v>
      </c>
      <c r="H150" s="41">
        <v>6</v>
      </c>
      <c r="I150" s="702">
        <f>J150+K150+L150</f>
        <v>0.1</v>
      </c>
      <c r="J150" s="702">
        <f>SUM(M150:R150)</f>
        <v>0.1</v>
      </c>
      <c r="K150" s="93"/>
      <c r="L150" s="93"/>
      <c r="M150" s="577"/>
      <c r="N150" s="577"/>
      <c r="O150" s="577"/>
      <c r="P150" s="577"/>
      <c r="Q150" s="577"/>
      <c r="R150" s="2096">
        <v>0.1</v>
      </c>
      <c r="S150" s="113"/>
      <c r="T150" s="577"/>
      <c r="U150" s="93"/>
      <c r="V150" s="93"/>
      <c r="W150" s="93"/>
      <c r="X150" s="2021"/>
      <c r="Y150" s="93"/>
      <c r="Z150" s="93"/>
      <c r="AB150" s="3">
        <v>1</v>
      </c>
      <c r="AD150" s="2307"/>
    </row>
    <row r="151" spans="1:30" ht="30.5" x14ac:dyDescent="0.35">
      <c r="A151" s="347">
        <v>62</v>
      </c>
      <c r="B151" s="358">
        <v>10159</v>
      </c>
      <c r="C151" s="358"/>
      <c r="D151" s="358" t="s">
        <v>2870</v>
      </c>
      <c r="E151" s="550" t="s">
        <v>10469</v>
      </c>
      <c r="F151" s="41"/>
      <c r="G151" s="2289" t="s">
        <v>191</v>
      </c>
      <c r="H151" s="2289" t="s">
        <v>191</v>
      </c>
      <c r="I151" s="744">
        <f>SUM(M151:R151)</f>
        <v>12.757999999999999</v>
      </c>
      <c r="J151" s="744">
        <f>SUM(M151:R151)</f>
        <v>12.757999999999999</v>
      </c>
      <c r="K151" s="744"/>
      <c r="L151" s="744"/>
      <c r="M151" s="975"/>
      <c r="N151" s="671">
        <f>SUM(N152:N154)</f>
        <v>8.493999999999998</v>
      </c>
      <c r="O151" s="850"/>
      <c r="P151" s="744"/>
      <c r="Q151" s="859">
        <f>SUM(Q152:Q154)</f>
        <v>4.2640000000000011</v>
      </c>
      <c r="R151" s="869"/>
      <c r="S151" s="163"/>
      <c r="T151" s="249"/>
      <c r="U151" s="110"/>
      <c r="V151" s="110"/>
      <c r="W151" s="226">
        <v>18</v>
      </c>
      <c r="X151" s="2451">
        <v>213.4</v>
      </c>
      <c r="Y151" s="110">
        <v>1</v>
      </c>
      <c r="Z151" s="2622">
        <v>10</v>
      </c>
      <c r="AA151" s="2"/>
      <c r="AB151" s="3">
        <v>1</v>
      </c>
      <c r="AD151" s="2307"/>
    </row>
    <row r="152" spans="1:30" x14ac:dyDescent="0.35">
      <c r="A152" s="359"/>
      <c r="B152" s="358">
        <v>10159</v>
      </c>
      <c r="C152" s="358"/>
      <c r="D152" s="360"/>
      <c r="E152" s="291" t="s">
        <v>10417</v>
      </c>
      <c r="F152" s="40">
        <v>4</v>
      </c>
      <c r="G152" s="40">
        <v>4</v>
      </c>
      <c r="H152" s="2289">
        <v>6</v>
      </c>
      <c r="I152" s="745"/>
      <c r="J152" s="745"/>
      <c r="K152" s="745"/>
      <c r="L152" s="745"/>
      <c r="M152" s="976"/>
      <c r="N152" s="746">
        <v>4.68</v>
      </c>
      <c r="O152" s="1093"/>
      <c r="P152" s="745"/>
      <c r="Q152" s="1089"/>
      <c r="R152" s="1084"/>
      <c r="S152" s="2631"/>
      <c r="T152" s="2632"/>
      <c r="U152" s="166"/>
      <c r="V152" s="166"/>
      <c r="W152" s="110"/>
      <c r="X152" s="2634"/>
      <c r="Y152" s="110"/>
      <c r="Z152" s="2633"/>
      <c r="AA152" s="2"/>
    </row>
    <row r="153" spans="1:30" x14ac:dyDescent="0.35">
      <c r="A153" s="359"/>
      <c r="B153" s="358">
        <v>10159</v>
      </c>
      <c r="C153" s="358"/>
      <c r="D153" s="360"/>
      <c r="E153" s="837" t="s">
        <v>10418</v>
      </c>
      <c r="F153" s="40">
        <v>4</v>
      </c>
      <c r="G153" s="40">
        <v>4</v>
      </c>
      <c r="H153" s="2289">
        <v>6</v>
      </c>
      <c r="I153" s="745"/>
      <c r="J153" s="745"/>
      <c r="K153" s="745"/>
      <c r="L153" s="745"/>
      <c r="M153" s="976"/>
      <c r="N153" s="748"/>
      <c r="O153" s="1093"/>
      <c r="P153" s="745"/>
      <c r="Q153" s="1087">
        <f>8.944-4.68</f>
        <v>4.2640000000000011</v>
      </c>
      <c r="R153" s="1084"/>
      <c r="S153" s="2631"/>
      <c r="T153" s="2632"/>
      <c r="U153" s="166"/>
      <c r="V153" s="166"/>
      <c r="W153" s="110"/>
      <c r="X153" s="2634"/>
      <c r="Y153" s="110"/>
      <c r="Z153" s="2633"/>
      <c r="AA153" s="2"/>
    </row>
    <row r="154" spans="1:30" x14ac:dyDescent="0.35">
      <c r="A154" s="359"/>
      <c r="B154" s="358">
        <v>10159</v>
      </c>
      <c r="C154" s="358"/>
      <c r="D154" s="360"/>
      <c r="E154" s="291" t="s">
        <v>10419</v>
      </c>
      <c r="F154" s="40">
        <v>4</v>
      </c>
      <c r="G154" s="40">
        <v>4</v>
      </c>
      <c r="H154" s="2289">
        <v>6</v>
      </c>
      <c r="I154" s="745"/>
      <c r="J154" s="745"/>
      <c r="K154" s="745"/>
      <c r="L154" s="745"/>
      <c r="M154" s="976"/>
      <c r="N154" s="746">
        <f>12.758-8.944</f>
        <v>3.8139999999999983</v>
      </c>
      <c r="O154" s="1092"/>
      <c r="P154" s="747"/>
      <c r="Q154" s="1087"/>
      <c r="R154" s="1082"/>
      <c r="S154" s="2631"/>
      <c r="T154" s="2632"/>
      <c r="U154" s="166"/>
      <c r="V154" s="166"/>
      <c r="W154" s="110"/>
      <c r="X154" s="2634"/>
      <c r="Y154" s="110"/>
      <c r="Z154" s="2633"/>
      <c r="AA154" s="2" t="s">
        <v>1006</v>
      </c>
    </row>
    <row r="155" spans="1:30" ht="45.5" x14ac:dyDescent="0.35">
      <c r="A155" s="693">
        <v>63</v>
      </c>
      <c r="B155" s="105">
        <v>10159</v>
      </c>
      <c r="C155" s="105" t="s">
        <v>1656</v>
      </c>
      <c r="D155" s="2460" t="s">
        <v>4094</v>
      </c>
      <c r="E155" s="269" t="s">
        <v>8230</v>
      </c>
      <c r="F155" s="92" t="s">
        <v>664</v>
      </c>
      <c r="G155" s="92">
        <v>5</v>
      </c>
      <c r="H155" s="41">
        <v>6</v>
      </c>
      <c r="I155" s="702">
        <f>J155+K155+L155</f>
        <v>1</v>
      </c>
      <c r="J155" s="702">
        <f>SUM(M155:R155)</f>
        <v>1</v>
      </c>
      <c r="K155" s="93"/>
      <c r="L155" s="93"/>
      <c r="M155" s="577"/>
      <c r="N155" s="577"/>
      <c r="O155" s="577"/>
      <c r="P155" s="577"/>
      <c r="Q155" s="577"/>
      <c r="R155" s="2096">
        <v>1</v>
      </c>
      <c r="S155" s="113"/>
      <c r="T155" s="577"/>
      <c r="U155" s="93"/>
      <c r="V155" s="93"/>
      <c r="W155" s="93"/>
      <c r="X155" s="2021"/>
      <c r="Y155" s="93"/>
      <c r="Z155" s="93"/>
      <c r="AB155" s="3">
        <v>1</v>
      </c>
      <c r="AD155" s="2307"/>
    </row>
    <row r="156" spans="1:30" ht="45.5" x14ac:dyDescent="0.35">
      <c r="A156" s="693">
        <v>64</v>
      </c>
      <c r="B156" s="105">
        <v>10159</v>
      </c>
      <c r="C156" s="105" t="s">
        <v>1656</v>
      </c>
      <c r="D156" s="2460" t="s">
        <v>4095</v>
      </c>
      <c r="E156" s="269" t="s">
        <v>8231</v>
      </c>
      <c r="F156" s="92" t="s">
        <v>664</v>
      </c>
      <c r="G156" s="92">
        <v>5</v>
      </c>
      <c r="H156" s="41">
        <v>6</v>
      </c>
      <c r="I156" s="702">
        <f>J156+K156+L156</f>
        <v>1</v>
      </c>
      <c r="J156" s="702">
        <f>SUM(M156:R156)</f>
        <v>1</v>
      </c>
      <c r="K156" s="93"/>
      <c r="L156" s="93"/>
      <c r="M156" s="577"/>
      <c r="N156" s="577"/>
      <c r="O156" s="577"/>
      <c r="P156" s="577"/>
      <c r="Q156" s="577"/>
      <c r="R156" s="2096">
        <v>1</v>
      </c>
      <c r="S156" s="113"/>
      <c r="T156" s="577"/>
      <c r="U156" s="93"/>
      <c r="V156" s="93"/>
      <c r="W156" s="93"/>
      <c r="X156" s="2021"/>
      <c r="Y156" s="93"/>
      <c r="Z156" s="93"/>
      <c r="AB156" s="3">
        <v>1</v>
      </c>
      <c r="AD156" s="2307"/>
    </row>
    <row r="157" spans="1:30" ht="30.5" x14ac:dyDescent="0.35">
      <c r="A157" s="347">
        <v>65</v>
      </c>
      <c r="B157" s="358">
        <v>10160</v>
      </c>
      <c r="C157" s="358"/>
      <c r="D157" s="358" t="s">
        <v>646</v>
      </c>
      <c r="E157" s="550" t="s">
        <v>10470</v>
      </c>
      <c r="F157" s="41"/>
      <c r="G157" s="41" t="s">
        <v>191</v>
      </c>
      <c r="H157" s="2289" t="s">
        <v>191</v>
      </c>
      <c r="I157" s="744">
        <f>J157+K157+L157</f>
        <v>16.558</v>
      </c>
      <c r="J157" s="744">
        <f>SUM(M157:R157)</f>
        <v>16.527000000000001</v>
      </c>
      <c r="K157" s="744"/>
      <c r="L157" s="744">
        <f>SUM(L158:L165)</f>
        <v>3.0999999999998806E-2</v>
      </c>
      <c r="M157" s="975"/>
      <c r="N157" s="671">
        <f>SUM(N158:N165)</f>
        <v>7.9870000000000001</v>
      </c>
      <c r="O157" s="850"/>
      <c r="P157" s="744"/>
      <c r="Q157" s="859">
        <f>SUM(Q158:Q165)</f>
        <v>8.5399999999999991</v>
      </c>
      <c r="R157" s="869"/>
      <c r="S157" s="163"/>
      <c r="T157" s="249"/>
      <c r="U157" s="110"/>
      <c r="V157" s="110"/>
      <c r="W157" s="226">
        <v>39</v>
      </c>
      <c r="X157" s="2451">
        <v>545.25</v>
      </c>
      <c r="Y157" s="226">
        <v>6</v>
      </c>
      <c r="Z157" s="2622">
        <v>72</v>
      </c>
      <c r="AA157" s="2"/>
      <c r="AB157" s="3">
        <v>1</v>
      </c>
      <c r="AD157" s="2307"/>
    </row>
    <row r="158" spans="1:30" x14ac:dyDescent="0.35">
      <c r="A158" s="359"/>
      <c r="B158" s="358">
        <v>10160</v>
      </c>
      <c r="C158" s="358"/>
      <c r="D158" s="360"/>
      <c r="E158" s="900" t="s">
        <v>7231</v>
      </c>
      <c r="F158" s="40">
        <v>4</v>
      </c>
      <c r="G158" s="40">
        <v>4</v>
      </c>
      <c r="H158" s="2289">
        <v>6</v>
      </c>
      <c r="I158" s="745"/>
      <c r="J158" s="745"/>
      <c r="K158" s="745"/>
      <c r="L158" s="745"/>
      <c r="M158" s="976"/>
      <c r="N158" s="746"/>
      <c r="O158" s="1092"/>
      <c r="P158" s="747"/>
      <c r="Q158" s="1087">
        <v>2.5630000000000002</v>
      </c>
      <c r="R158" s="1082"/>
      <c r="S158" s="2631"/>
      <c r="T158" s="2632"/>
      <c r="U158" s="166"/>
      <c r="V158" s="166"/>
      <c r="W158" s="110"/>
      <c r="X158" s="2634"/>
      <c r="Y158" s="110"/>
      <c r="Z158" s="2633"/>
      <c r="AA158" s="2"/>
    </row>
    <row r="159" spans="1:30" x14ac:dyDescent="0.35">
      <c r="A159" s="359"/>
      <c r="B159" s="358">
        <v>10160</v>
      </c>
      <c r="C159" s="358"/>
      <c r="D159" s="360"/>
      <c r="E159" s="393" t="s">
        <v>7232</v>
      </c>
      <c r="F159" s="40">
        <v>4</v>
      </c>
      <c r="G159" s="40">
        <v>4</v>
      </c>
      <c r="H159" s="2289">
        <v>6</v>
      </c>
      <c r="I159" s="745"/>
      <c r="J159" s="745"/>
      <c r="K159" s="745"/>
      <c r="L159" s="745"/>
      <c r="M159" s="976"/>
      <c r="N159" s="746">
        <f>5.075-2.563</f>
        <v>2.512</v>
      </c>
      <c r="O159" s="1093"/>
      <c r="P159" s="745"/>
      <c r="Q159" s="1089"/>
      <c r="R159" s="1084"/>
      <c r="S159" s="2631"/>
      <c r="T159" s="2632"/>
      <c r="U159" s="166"/>
      <c r="V159" s="166"/>
      <c r="W159" s="110"/>
      <c r="X159" s="2634"/>
      <c r="Y159" s="110"/>
      <c r="Z159" s="2633"/>
      <c r="AA159" s="2"/>
    </row>
    <row r="160" spans="1:30" x14ac:dyDescent="0.35">
      <c r="A160" s="359"/>
      <c r="B160" s="358">
        <v>10160</v>
      </c>
      <c r="C160" s="358"/>
      <c r="D160" s="360"/>
      <c r="E160" s="900" t="s">
        <v>7233</v>
      </c>
      <c r="F160" s="40">
        <v>4</v>
      </c>
      <c r="G160" s="40">
        <v>4</v>
      </c>
      <c r="H160" s="2289">
        <v>6</v>
      </c>
      <c r="I160" s="745"/>
      <c r="J160" s="745"/>
      <c r="K160" s="745"/>
      <c r="L160" s="745"/>
      <c r="M160" s="976"/>
      <c r="N160" s="748"/>
      <c r="O160" s="1093"/>
      <c r="P160" s="745"/>
      <c r="Q160" s="1087">
        <f>7.234-5.075</f>
        <v>2.1589999999999998</v>
      </c>
      <c r="R160" s="1084"/>
      <c r="S160" s="2631"/>
      <c r="T160" s="2632"/>
      <c r="U160" s="166"/>
      <c r="V160" s="166"/>
      <c r="W160" s="110"/>
      <c r="X160" s="2634"/>
      <c r="Y160" s="110"/>
      <c r="Z160" s="2633"/>
      <c r="AA160" s="2"/>
    </row>
    <row r="161" spans="1:30" x14ac:dyDescent="0.35">
      <c r="A161" s="359"/>
      <c r="B161" s="358">
        <v>10160</v>
      </c>
      <c r="C161" s="358"/>
      <c r="D161" s="360"/>
      <c r="E161" s="393" t="s">
        <v>7234</v>
      </c>
      <c r="F161" s="40">
        <v>4</v>
      </c>
      <c r="G161" s="40">
        <v>4</v>
      </c>
      <c r="H161" s="2289">
        <v>6</v>
      </c>
      <c r="I161" s="745"/>
      <c r="J161" s="745"/>
      <c r="K161" s="745"/>
      <c r="L161" s="745"/>
      <c r="M161" s="976"/>
      <c r="N161" s="746">
        <f>7.408-7.234</f>
        <v>0.17400000000000038</v>
      </c>
      <c r="O161" s="1093"/>
      <c r="P161" s="745"/>
      <c r="Q161" s="1089"/>
      <c r="R161" s="1084"/>
      <c r="S161" s="2631"/>
      <c r="T161" s="2632"/>
      <c r="U161" s="166"/>
      <c r="V161" s="166"/>
      <c r="W161" s="110"/>
      <c r="X161" s="2634"/>
      <c r="Y161" s="110"/>
      <c r="Z161" s="2633"/>
      <c r="AA161" s="2"/>
    </row>
    <row r="162" spans="1:30" x14ac:dyDescent="0.35">
      <c r="A162" s="359"/>
      <c r="B162" s="358">
        <v>10160</v>
      </c>
      <c r="C162" s="358"/>
      <c r="D162" s="360"/>
      <c r="E162" s="900" t="s">
        <v>7235</v>
      </c>
      <c r="F162" s="40">
        <v>4</v>
      </c>
      <c r="G162" s="40">
        <v>4</v>
      </c>
      <c r="H162" s="2289">
        <v>6</v>
      </c>
      <c r="I162" s="745"/>
      <c r="J162" s="745"/>
      <c r="K162" s="745"/>
      <c r="L162" s="745"/>
      <c r="M162" s="976"/>
      <c r="N162" s="748"/>
      <c r="O162" s="1093"/>
      <c r="P162" s="745"/>
      <c r="Q162" s="1087">
        <f>11.226-7.408</f>
        <v>3.8180000000000005</v>
      </c>
      <c r="R162" s="1084"/>
      <c r="S162" s="2631"/>
      <c r="T162" s="2632"/>
      <c r="U162" s="166"/>
      <c r="V162" s="166"/>
      <c r="W162" s="110"/>
      <c r="X162" s="2634"/>
      <c r="Y162" s="110"/>
      <c r="Z162" s="2633"/>
      <c r="AA162" s="2"/>
    </row>
    <row r="163" spans="1:30" x14ac:dyDescent="0.35">
      <c r="A163" s="359"/>
      <c r="B163" s="358"/>
      <c r="C163" s="358"/>
      <c r="D163" s="360"/>
      <c r="E163" s="393" t="s">
        <v>7238</v>
      </c>
      <c r="F163" s="40">
        <v>4</v>
      </c>
      <c r="G163" s="40">
        <v>4</v>
      </c>
      <c r="H163" s="2289">
        <v>6</v>
      </c>
      <c r="I163" s="745"/>
      <c r="J163" s="745"/>
      <c r="K163" s="745"/>
      <c r="L163" s="745"/>
      <c r="M163" s="976"/>
      <c r="N163" s="748">
        <f>11.553-11.226</f>
        <v>0.32699999999999996</v>
      </c>
      <c r="O163" s="1093"/>
      <c r="P163" s="745"/>
      <c r="Q163" s="1087"/>
      <c r="R163" s="1084"/>
      <c r="S163" s="2631"/>
      <c r="T163" s="2632"/>
      <c r="U163" s="166"/>
      <c r="V163" s="166"/>
      <c r="W163" s="110"/>
      <c r="X163" s="2634"/>
      <c r="Y163" s="110"/>
      <c r="Z163" s="2633"/>
      <c r="AA163" s="2"/>
    </row>
    <row r="164" spans="1:30" ht="36.75" customHeight="1" x14ac:dyDescent="0.35">
      <c r="A164" s="359"/>
      <c r="B164" s="358"/>
      <c r="C164" s="358"/>
      <c r="D164" s="360"/>
      <c r="E164" s="393" t="s">
        <v>7237</v>
      </c>
      <c r="F164" s="40">
        <v>4</v>
      </c>
      <c r="G164" s="40">
        <v>4</v>
      </c>
      <c r="H164" s="2289" t="s">
        <v>191</v>
      </c>
      <c r="I164" s="745"/>
      <c r="J164" s="745"/>
      <c r="K164" s="745"/>
      <c r="L164" s="745">
        <f>11.584-11.553</f>
        <v>3.0999999999998806E-2</v>
      </c>
      <c r="M164" s="976"/>
      <c r="N164" s="748"/>
      <c r="O164" s="1093"/>
      <c r="P164" s="745"/>
      <c r="Q164" s="1087"/>
      <c r="R164" s="1084"/>
      <c r="S164" s="2631"/>
      <c r="T164" s="2632"/>
      <c r="U164" s="166"/>
      <c r="V164" s="166"/>
      <c r="W164" s="110"/>
      <c r="X164" s="2634"/>
      <c r="Y164" s="110"/>
      <c r="Z164" s="2633"/>
      <c r="AA164" s="2"/>
    </row>
    <row r="165" spans="1:30" x14ac:dyDescent="0.35">
      <c r="A165" s="359"/>
      <c r="B165" s="358">
        <v>10160</v>
      </c>
      <c r="C165" s="358"/>
      <c r="D165" s="360"/>
      <c r="E165" s="393" t="s">
        <v>7236</v>
      </c>
      <c r="F165" s="40">
        <v>4</v>
      </c>
      <c r="G165" s="40">
        <v>4</v>
      </c>
      <c r="H165" s="2289">
        <v>6</v>
      </c>
      <c r="I165" s="745"/>
      <c r="J165" s="745"/>
      <c r="K165" s="745"/>
      <c r="L165" s="745"/>
      <c r="M165" s="976"/>
      <c r="N165" s="746">
        <f>16.558-11.584</f>
        <v>4.9740000000000002</v>
      </c>
      <c r="O165" s="1092"/>
      <c r="P165" s="747"/>
      <c r="Q165" s="1087"/>
      <c r="R165" s="1082"/>
      <c r="S165" s="2631"/>
      <c r="T165" s="2632"/>
      <c r="U165" s="166"/>
      <c r="V165" s="166"/>
      <c r="W165" s="110"/>
      <c r="X165" s="2634"/>
      <c r="Y165" s="110"/>
      <c r="Z165" s="2633"/>
      <c r="AA165" s="2"/>
    </row>
    <row r="166" spans="1:30" ht="30.5" x14ac:dyDescent="0.35">
      <c r="A166" s="347">
        <v>66</v>
      </c>
      <c r="B166" s="358">
        <v>10160</v>
      </c>
      <c r="C166" s="358"/>
      <c r="D166" s="2460" t="s">
        <v>4096</v>
      </c>
      <c r="E166" s="394" t="s">
        <v>7515</v>
      </c>
      <c r="F166" s="41">
        <v>5</v>
      </c>
      <c r="G166" s="41">
        <v>5</v>
      </c>
      <c r="H166" s="2289">
        <v>6</v>
      </c>
      <c r="I166" s="744">
        <f>SUM(M166:R166)</f>
        <v>5.19</v>
      </c>
      <c r="J166" s="744">
        <f>SUM(M166:R166)</f>
        <v>5.19</v>
      </c>
      <c r="K166" s="744"/>
      <c r="L166" s="744"/>
      <c r="M166" s="1096"/>
      <c r="N166" s="1077"/>
      <c r="O166" s="856"/>
      <c r="P166" s="1078"/>
      <c r="Q166" s="1088">
        <v>5.19</v>
      </c>
      <c r="R166" s="1083"/>
      <c r="S166" s="163"/>
      <c r="T166" s="249"/>
      <c r="U166" s="110"/>
      <c r="V166" s="110"/>
      <c r="W166" s="226">
        <v>17</v>
      </c>
      <c r="X166" s="2451">
        <v>281.8</v>
      </c>
      <c r="Y166" s="226">
        <v>5</v>
      </c>
      <c r="Z166" s="2630">
        <v>110</v>
      </c>
      <c r="AA166" s="2"/>
      <c r="AB166" s="3">
        <v>1</v>
      </c>
      <c r="AD166" s="2307"/>
    </row>
    <row r="167" spans="1:30" ht="60.5" x14ac:dyDescent="0.35">
      <c r="A167" s="693">
        <v>67</v>
      </c>
      <c r="B167" s="105">
        <v>10160</v>
      </c>
      <c r="C167" s="105" t="s">
        <v>1656</v>
      </c>
      <c r="D167" s="2460" t="s">
        <v>4097</v>
      </c>
      <c r="E167" s="269" t="s">
        <v>8232</v>
      </c>
      <c r="F167" s="92" t="s">
        <v>1490</v>
      </c>
      <c r="G167" s="92">
        <v>5</v>
      </c>
      <c r="H167" s="41">
        <v>6</v>
      </c>
      <c r="I167" s="702">
        <f>J167+K167+L167</f>
        <v>1.78</v>
      </c>
      <c r="J167" s="702">
        <f t="shared" ref="J167:J175" si="14">SUM(M167:R167)</f>
        <v>1.78</v>
      </c>
      <c r="K167" s="93"/>
      <c r="L167" s="93"/>
      <c r="M167" s="577"/>
      <c r="N167" s="577"/>
      <c r="O167" s="577"/>
      <c r="P167" s="577"/>
      <c r="Q167" s="577"/>
      <c r="R167" s="2096">
        <v>1.78</v>
      </c>
      <c r="S167" s="113"/>
      <c r="T167" s="577"/>
      <c r="U167" s="93"/>
      <c r="V167" s="93"/>
      <c r="W167" s="93"/>
      <c r="X167" s="2021"/>
      <c r="Y167" s="93"/>
      <c r="Z167" s="93"/>
      <c r="AB167" s="3">
        <v>1</v>
      </c>
      <c r="AD167" s="2307"/>
    </row>
    <row r="168" spans="1:30" ht="60.5" x14ac:dyDescent="0.35">
      <c r="A168" s="347">
        <v>68</v>
      </c>
      <c r="B168" s="105">
        <v>10160</v>
      </c>
      <c r="C168" s="105" t="s">
        <v>1656</v>
      </c>
      <c r="D168" s="2460" t="s">
        <v>4098</v>
      </c>
      <c r="E168" s="269" t="s">
        <v>8233</v>
      </c>
      <c r="F168" s="92" t="s">
        <v>1490</v>
      </c>
      <c r="G168" s="92">
        <v>5</v>
      </c>
      <c r="H168" s="41">
        <v>6</v>
      </c>
      <c r="I168" s="702">
        <f>J168+K168+L168</f>
        <v>0.08</v>
      </c>
      <c r="J168" s="702">
        <f>SUM(M168:R168)</f>
        <v>0.08</v>
      </c>
      <c r="K168" s="93"/>
      <c r="L168" s="93"/>
      <c r="M168" s="577"/>
      <c r="N168" s="577"/>
      <c r="O168" s="577"/>
      <c r="P168" s="577"/>
      <c r="Q168" s="577"/>
      <c r="R168" s="2096">
        <v>0.08</v>
      </c>
      <c r="S168" s="113"/>
      <c r="T168" s="577"/>
      <c r="U168" s="93"/>
      <c r="V168" s="93"/>
      <c r="W168" s="93"/>
      <c r="X168" s="2021"/>
      <c r="Y168" s="93"/>
      <c r="Z168" s="93"/>
      <c r="AB168" s="3">
        <v>1</v>
      </c>
      <c r="AD168" s="2307"/>
    </row>
    <row r="169" spans="1:30" ht="30.5" x14ac:dyDescent="0.35">
      <c r="A169" s="693">
        <v>69</v>
      </c>
      <c r="B169" s="358">
        <v>10160</v>
      </c>
      <c r="C169" s="358"/>
      <c r="D169" s="2460" t="s">
        <v>4099</v>
      </c>
      <c r="E169" s="269" t="s">
        <v>7516</v>
      </c>
      <c r="F169" s="41" t="s">
        <v>664</v>
      </c>
      <c r="G169" s="41">
        <v>5</v>
      </c>
      <c r="H169" s="41">
        <v>6</v>
      </c>
      <c r="I169" s="744">
        <f>SUM(M169:R169)</f>
        <v>0.72799999999999998</v>
      </c>
      <c r="J169" s="744">
        <f t="shared" si="14"/>
        <v>0.72799999999999998</v>
      </c>
      <c r="K169" s="749"/>
      <c r="L169" s="749"/>
      <c r="M169" s="1096"/>
      <c r="N169" s="1077"/>
      <c r="O169" s="856"/>
      <c r="P169" s="1078"/>
      <c r="Q169" s="1088"/>
      <c r="R169" s="1083">
        <v>0.72799999999999998</v>
      </c>
      <c r="S169" s="163"/>
      <c r="T169" s="248"/>
      <c r="U169" s="110"/>
      <c r="V169" s="110"/>
      <c r="W169" s="110"/>
      <c r="X169" s="2634"/>
      <c r="Y169" s="110"/>
      <c r="Z169" s="2633"/>
      <c r="AA169" s="2"/>
      <c r="AB169" s="3">
        <v>1</v>
      </c>
      <c r="AD169" s="2307"/>
    </row>
    <row r="170" spans="1:30" ht="60.5" x14ac:dyDescent="0.35">
      <c r="A170" s="347">
        <v>70</v>
      </c>
      <c r="B170" s="105">
        <v>10160</v>
      </c>
      <c r="C170" s="105" t="s">
        <v>1656</v>
      </c>
      <c r="D170" s="2460" t="s">
        <v>4100</v>
      </c>
      <c r="E170" s="269" t="s">
        <v>8234</v>
      </c>
      <c r="F170" s="92" t="s">
        <v>664</v>
      </c>
      <c r="G170" s="92">
        <v>5</v>
      </c>
      <c r="H170" s="41">
        <v>6</v>
      </c>
      <c r="I170" s="702">
        <f>J170+K170+L170</f>
        <v>0.7</v>
      </c>
      <c r="J170" s="702">
        <f t="shared" si="14"/>
        <v>0.7</v>
      </c>
      <c r="K170" s="93"/>
      <c r="L170" s="93"/>
      <c r="M170" s="577"/>
      <c r="N170" s="577"/>
      <c r="O170" s="577"/>
      <c r="P170" s="577"/>
      <c r="Q170" s="577"/>
      <c r="R170" s="2096">
        <v>0.7</v>
      </c>
      <c r="S170" s="113"/>
      <c r="T170" s="577"/>
      <c r="U170" s="93"/>
      <c r="V170" s="93"/>
      <c r="W170" s="93"/>
      <c r="X170" s="2021"/>
      <c r="Y170" s="93"/>
      <c r="Z170" s="93"/>
      <c r="AB170" s="3">
        <v>1</v>
      </c>
      <c r="AD170" s="2307"/>
    </row>
    <row r="171" spans="1:30" ht="45.5" x14ac:dyDescent="0.35">
      <c r="A171" s="693">
        <v>71</v>
      </c>
      <c r="B171" s="105">
        <v>10160</v>
      </c>
      <c r="C171" s="105" t="s">
        <v>1656</v>
      </c>
      <c r="D171" s="2460" t="s">
        <v>4101</v>
      </c>
      <c r="E171" s="269" t="s">
        <v>8235</v>
      </c>
      <c r="F171" s="92" t="s">
        <v>664</v>
      </c>
      <c r="G171" s="92">
        <v>5</v>
      </c>
      <c r="H171" s="41">
        <v>6</v>
      </c>
      <c r="I171" s="702">
        <f>J171+K171+L171</f>
        <v>1.4</v>
      </c>
      <c r="J171" s="702">
        <f t="shared" si="14"/>
        <v>1.4</v>
      </c>
      <c r="K171" s="93"/>
      <c r="L171" s="93"/>
      <c r="M171" s="577"/>
      <c r="N171" s="577"/>
      <c r="O171" s="577"/>
      <c r="P171" s="577"/>
      <c r="Q171" s="577"/>
      <c r="R171" s="2096">
        <v>1.4</v>
      </c>
      <c r="S171" s="113"/>
      <c r="T171" s="577"/>
      <c r="U171" s="93"/>
      <c r="V171" s="93"/>
      <c r="W171" s="93"/>
      <c r="X171" s="2021"/>
      <c r="Y171" s="93"/>
      <c r="Z171" s="93"/>
      <c r="AB171" s="3">
        <v>1</v>
      </c>
      <c r="AD171" s="2307"/>
    </row>
    <row r="172" spans="1:30" ht="45.5" x14ac:dyDescent="0.35">
      <c r="A172" s="347">
        <v>72</v>
      </c>
      <c r="B172" s="105" t="s">
        <v>298</v>
      </c>
      <c r="C172" s="105" t="s">
        <v>1656</v>
      </c>
      <c r="D172" s="2460" t="s">
        <v>4181</v>
      </c>
      <c r="E172" s="269" t="s">
        <v>9228</v>
      </c>
      <c r="F172" s="92" t="s">
        <v>664</v>
      </c>
      <c r="G172" s="92">
        <v>5</v>
      </c>
      <c r="H172" s="41">
        <v>6</v>
      </c>
      <c r="I172" s="702">
        <f>J172+K172+L172</f>
        <v>0.55000000000000004</v>
      </c>
      <c r="J172" s="702">
        <f>SUM(M172:R172)</f>
        <v>0.55000000000000004</v>
      </c>
      <c r="K172" s="93"/>
      <c r="L172" s="93"/>
      <c r="M172" s="577"/>
      <c r="N172" s="577"/>
      <c r="O172" s="577"/>
      <c r="P172" s="577"/>
      <c r="Q172" s="577"/>
      <c r="R172" s="2096">
        <v>0.55000000000000004</v>
      </c>
      <c r="S172" s="113"/>
      <c r="T172" s="577"/>
      <c r="U172" s="93"/>
      <c r="V172" s="93"/>
      <c r="W172" s="93"/>
      <c r="X172" s="2021"/>
      <c r="Y172" s="93"/>
      <c r="Z172" s="93"/>
      <c r="AB172" s="3">
        <v>1</v>
      </c>
      <c r="AD172" s="2307"/>
    </row>
    <row r="173" spans="1:30" ht="30" x14ac:dyDescent="0.35">
      <c r="A173" s="693">
        <v>73</v>
      </c>
      <c r="B173" s="358">
        <v>10161</v>
      </c>
      <c r="C173" s="358"/>
      <c r="D173" s="358" t="s">
        <v>1322</v>
      </c>
      <c r="E173" s="290" t="s">
        <v>6879</v>
      </c>
      <c r="F173" s="2805">
        <v>4</v>
      </c>
      <c r="G173" s="2805">
        <v>5</v>
      </c>
      <c r="H173" s="2805">
        <v>6</v>
      </c>
      <c r="I173" s="744">
        <f>SUM(M173:R173)</f>
        <v>8.25</v>
      </c>
      <c r="J173" s="744">
        <f t="shared" si="14"/>
        <v>8.25</v>
      </c>
      <c r="K173" s="744"/>
      <c r="L173" s="744"/>
      <c r="M173" s="975"/>
      <c r="N173" s="671">
        <v>8.25</v>
      </c>
      <c r="O173" s="850"/>
      <c r="P173" s="744"/>
      <c r="Q173" s="859"/>
      <c r="R173" s="869"/>
      <c r="S173" s="163"/>
      <c r="T173" s="249"/>
      <c r="U173" s="110"/>
      <c r="V173" s="110"/>
      <c r="W173" s="226">
        <v>8</v>
      </c>
      <c r="X173" s="2451">
        <v>135.44</v>
      </c>
      <c r="Y173" s="226">
        <v>1</v>
      </c>
      <c r="Z173" s="2622">
        <v>10</v>
      </c>
      <c r="AA173" s="2"/>
      <c r="AB173" s="3">
        <v>1</v>
      </c>
      <c r="AD173" s="2307"/>
    </row>
    <row r="174" spans="1:30" ht="30" x14ac:dyDescent="0.35">
      <c r="A174" s="347">
        <v>74</v>
      </c>
      <c r="B174" s="358">
        <v>10163</v>
      </c>
      <c r="C174" s="358"/>
      <c r="D174" s="358" t="s">
        <v>1323</v>
      </c>
      <c r="E174" s="290" t="s">
        <v>2472</v>
      </c>
      <c r="F174" s="41">
        <v>4</v>
      </c>
      <c r="G174" s="41">
        <v>4</v>
      </c>
      <c r="H174" s="2289">
        <v>6</v>
      </c>
      <c r="I174" s="744">
        <f>SUM(M174:R174)</f>
        <v>3.04</v>
      </c>
      <c r="J174" s="744">
        <f t="shared" si="14"/>
        <v>3.04</v>
      </c>
      <c r="K174" s="744"/>
      <c r="L174" s="744"/>
      <c r="M174" s="975"/>
      <c r="N174" s="671">
        <v>3.04</v>
      </c>
      <c r="O174" s="850"/>
      <c r="P174" s="744"/>
      <c r="Q174" s="859"/>
      <c r="R174" s="869"/>
      <c r="S174" s="538">
        <v>2</v>
      </c>
      <c r="T174" s="249">
        <f>19+18.4</f>
        <v>37.4</v>
      </c>
      <c r="U174" s="110"/>
      <c r="V174" s="110"/>
      <c r="W174" s="226">
        <v>13</v>
      </c>
      <c r="X174" s="2451">
        <v>161.4</v>
      </c>
      <c r="Y174" s="226">
        <v>9</v>
      </c>
      <c r="Z174" s="2622">
        <v>99</v>
      </c>
      <c r="AA174" s="2"/>
      <c r="AB174" s="3">
        <v>1</v>
      </c>
      <c r="AD174" s="2307"/>
    </row>
    <row r="175" spans="1:30" ht="30.5" x14ac:dyDescent="0.35">
      <c r="A175" s="693">
        <v>75</v>
      </c>
      <c r="B175" s="105">
        <v>10163</v>
      </c>
      <c r="C175" s="105" t="s">
        <v>1656</v>
      </c>
      <c r="D175" s="2460" t="s">
        <v>4102</v>
      </c>
      <c r="E175" s="269" t="s">
        <v>8236</v>
      </c>
      <c r="F175" s="92" t="s">
        <v>664</v>
      </c>
      <c r="G175" s="92">
        <v>5</v>
      </c>
      <c r="H175" s="41">
        <v>6</v>
      </c>
      <c r="I175" s="702">
        <f>J175+K175+L175</f>
        <v>1</v>
      </c>
      <c r="J175" s="702">
        <f t="shared" si="14"/>
        <v>1</v>
      </c>
      <c r="K175" s="93"/>
      <c r="L175" s="93"/>
      <c r="M175" s="577"/>
      <c r="N175" s="577"/>
      <c r="O175" s="577"/>
      <c r="P175" s="577"/>
      <c r="Q175" s="577"/>
      <c r="R175" s="2096">
        <v>1</v>
      </c>
      <c r="S175" s="113"/>
      <c r="T175" s="577"/>
      <c r="U175" s="93"/>
      <c r="V175" s="93"/>
      <c r="W175" s="93"/>
      <c r="X175" s="2021"/>
      <c r="Y175" s="93"/>
      <c r="Z175" s="93"/>
      <c r="AB175" s="3">
        <v>1</v>
      </c>
      <c r="AD175" s="2307"/>
    </row>
    <row r="176" spans="1:30" ht="30.5" x14ac:dyDescent="0.35">
      <c r="A176" s="347">
        <v>76</v>
      </c>
      <c r="B176" s="358">
        <v>10164</v>
      </c>
      <c r="C176" s="358"/>
      <c r="D176" s="358" t="s">
        <v>2516</v>
      </c>
      <c r="E176" s="550" t="s">
        <v>10926</v>
      </c>
      <c r="F176" s="41"/>
      <c r="G176" s="41" t="s">
        <v>191</v>
      </c>
      <c r="H176" s="2289" t="s">
        <v>191</v>
      </c>
      <c r="I176" s="744">
        <f>SUM(K176:R176)</f>
        <v>12.853</v>
      </c>
      <c r="J176" s="744">
        <f>SUM(M176:R176)</f>
        <v>12.837999999999999</v>
      </c>
      <c r="K176" s="744"/>
      <c r="L176" s="744">
        <f>SUM(L177:L182)</f>
        <v>1.4999999999999999E-2</v>
      </c>
      <c r="M176" s="975"/>
      <c r="N176" s="671">
        <f>SUM(N177:N182)</f>
        <v>4.1390000000000002</v>
      </c>
      <c r="O176" s="850"/>
      <c r="P176" s="744"/>
      <c r="Q176" s="859">
        <f>SUM(Q177:Q182)</f>
        <v>4.8939999999999984</v>
      </c>
      <c r="R176" s="869">
        <f>SUM(R177:R182)</f>
        <v>3.8050000000000015</v>
      </c>
      <c r="S176" s="538">
        <v>1</v>
      </c>
      <c r="T176" s="249">
        <v>12</v>
      </c>
      <c r="U176" s="110"/>
      <c r="V176" s="110"/>
      <c r="W176" s="226">
        <v>21</v>
      </c>
      <c r="X176" s="2451">
        <v>289.25</v>
      </c>
      <c r="Y176" s="226">
        <v>4</v>
      </c>
      <c r="Z176" s="2622">
        <v>50</v>
      </c>
      <c r="AA176" s="2"/>
      <c r="AB176" s="3">
        <v>1</v>
      </c>
      <c r="AD176" s="2307"/>
    </row>
    <row r="177" spans="1:30" ht="31" x14ac:dyDescent="0.35">
      <c r="A177" s="347"/>
      <c r="B177" s="358"/>
      <c r="C177" s="358"/>
      <c r="D177" s="358"/>
      <c r="E177" s="1935" t="s">
        <v>10500</v>
      </c>
      <c r="F177" s="41">
        <v>4</v>
      </c>
      <c r="G177" s="41">
        <v>5</v>
      </c>
      <c r="H177" s="2289" t="s">
        <v>191</v>
      </c>
      <c r="I177" s="747"/>
      <c r="J177" s="747"/>
      <c r="K177" s="747"/>
      <c r="L177" s="2639">
        <v>1.4999999999999999E-2</v>
      </c>
      <c r="M177" s="2638"/>
      <c r="N177" s="2639"/>
      <c r="O177" s="2640"/>
      <c r="P177" s="747"/>
      <c r="Q177" s="2641"/>
      <c r="R177" s="2401"/>
      <c r="S177" s="538"/>
      <c r="T177" s="2599"/>
      <c r="U177" s="110"/>
      <c r="V177" s="110"/>
      <c r="W177" s="2442"/>
      <c r="X177" s="2443"/>
      <c r="Y177" s="2442"/>
      <c r="Z177" s="2444"/>
      <c r="AA177" s="2"/>
      <c r="AD177" s="2307"/>
    </row>
    <row r="178" spans="1:30" x14ac:dyDescent="0.35">
      <c r="A178" s="359"/>
      <c r="B178" s="358">
        <v>10164</v>
      </c>
      <c r="C178" s="358"/>
      <c r="D178" s="360"/>
      <c r="E178" s="393" t="s">
        <v>10474</v>
      </c>
      <c r="F178" s="40">
        <v>4</v>
      </c>
      <c r="G178" s="40">
        <v>5</v>
      </c>
      <c r="H178" s="40">
        <v>6</v>
      </c>
      <c r="I178" s="745"/>
      <c r="J178" s="745"/>
      <c r="K178" s="745"/>
      <c r="L178" s="745"/>
      <c r="M178" s="2642"/>
      <c r="N178" s="2639">
        <f>4.154-0.015</f>
        <v>4.1390000000000002</v>
      </c>
      <c r="O178" s="2640"/>
      <c r="P178" s="747"/>
      <c r="Q178" s="2641"/>
      <c r="R178" s="2401"/>
      <c r="S178" s="2631"/>
      <c r="T178" s="2632"/>
      <c r="U178" s="166"/>
      <c r="V178" s="166"/>
      <c r="W178" s="110"/>
      <c r="X178" s="2634"/>
      <c r="Y178" s="110"/>
      <c r="Z178" s="2633"/>
      <c r="AA178" s="2"/>
    </row>
    <row r="179" spans="1:30" x14ac:dyDescent="0.35">
      <c r="A179" s="359"/>
      <c r="B179" s="358">
        <v>10164</v>
      </c>
      <c r="C179" s="358"/>
      <c r="D179" s="360"/>
      <c r="E179" s="900" t="s">
        <v>10475</v>
      </c>
      <c r="F179" s="40">
        <v>4</v>
      </c>
      <c r="G179" s="40">
        <v>5</v>
      </c>
      <c r="H179" s="2289">
        <v>6</v>
      </c>
      <c r="I179" s="745"/>
      <c r="J179" s="745"/>
      <c r="K179" s="745"/>
      <c r="L179" s="745"/>
      <c r="M179" s="2642"/>
      <c r="N179" s="2639"/>
      <c r="O179" s="2640"/>
      <c r="P179" s="747"/>
      <c r="Q179" s="2641">
        <f>8.758-4.154</f>
        <v>4.6039999999999992</v>
      </c>
      <c r="R179" s="2401"/>
      <c r="S179" s="2631"/>
      <c r="T179" s="2632"/>
      <c r="U179" s="166"/>
      <c r="V179" s="166"/>
      <c r="W179" s="110"/>
      <c r="X179" s="2634"/>
      <c r="Y179" s="110"/>
      <c r="Z179" s="2633"/>
      <c r="AA179" s="2"/>
    </row>
    <row r="180" spans="1:30" x14ac:dyDescent="0.35">
      <c r="A180" s="359"/>
      <c r="B180" s="358">
        <v>10164</v>
      </c>
      <c r="C180" s="358"/>
      <c r="D180" s="360"/>
      <c r="E180" s="878" t="s">
        <v>10476</v>
      </c>
      <c r="F180" s="92" t="s">
        <v>664</v>
      </c>
      <c r="G180" s="40">
        <v>5</v>
      </c>
      <c r="H180" s="41">
        <v>6</v>
      </c>
      <c r="I180" s="745"/>
      <c r="J180" s="745"/>
      <c r="K180" s="745"/>
      <c r="L180" s="745"/>
      <c r="M180" s="2642"/>
      <c r="N180" s="2639"/>
      <c r="O180" s="2640"/>
      <c r="P180" s="747"/>
      <c r="Q180" s="2641"/>
      <c r="R180" s="2401">
        <f>12.022-8.758</f>
        <v>3.2640000000000011</v>
      </c>
      <c r="S180" s="2631"/>
      <c r="T180" s="2632"/>
      <c r="U180" s="166"/>
      <c r="V180" s="166"/>
      <c r="W180" s="110"/>
      <c r="X180" s="2634"/>
      <c r="Y180" s="110"/>
      <c r="Z180" s="2633"/>
      <c r="AA180" s="2"/>
    </row>
    <row r="181" spans="1:30" x14ac:dyDescent="0.35">
      <c r="A181" s="359"/>
      <c r="B181" s="358">
        <v>10164</v>
      </c>
      <c r="C181" s="358"/>
      <c r="D181" s="360"/>
      <c r="E181" s="900" t="s">
        <v>10477</v>
      </c>
      <c r="F181" s="40">
        <v>4</v>
      </c>
      <c r="G181" s="40">
        <v>5</v>
      </c>
      <c r="H181" s="2289">
        <v>6</v>
      </c>
      <c r="I181" s="745"/>
      <c r="J181" s="745"/>
      <c r="K181" s="745"/>
      <c r="L181" s="745"/>
      <c r="M181" s="2642"/>
      <c r="N181" s="2639"/>
      <c r="O181" s="2640"/>
      <c r="P181" s="747"/>
      <c r="Q181" s="2641">
        <f>12.312-12.022</f>
        <v>0.28999999999999915</v>
      </c>
      <c r="R181" s="2401"/>
      <c r="S181" s="2631"/>
      <c r="T181" s="2632"/>
      <c r="U181" s="166"/>
      <c r="V181" s="166"/>
      <c r="W181" s="110"/>
      <c r="X181" s="2634"/>
      <c r="Y181" s="110"/>
      <c r="Z181" s="2633"/>
      <c r="AA181" s="2"/>
    </row>
    <row r="182" spans="1:30" x14ac:dyDescent="0.35">
      <c r="A182" s="359"/>
      <c r="B182" s="358">
        <v>10164</v>
      </c>
      <c r="C182" s="358"/>
      <c r="D182" s="360"/>
      <c r="E182" s="878" t="s">
        <v>10478</v>
      </c>
      <c r="F182" s="92" t="s">
        <v>664</v>
      </c>
      <c r="G182" s="40">
        <v>5</v>
      </c>
      <c r="H182" s="41">
        <v>6</v>
      </c>
      <c r="I182" s="745"/>
      <c r="J182" s="745"/>
      <c r="K182" s="745"/>
      <c r="L182" s="745"/>
      <c r="M182" s="2642"/>
      <c r="N182" s="2639"/>
      <c r="O182" s="2640"/>
      <c r="P182" s="747"/>
      <c r="Q182" s="2641"/>
      <c r="R182" s="2401">
        <f>12.853-12.312</f>
        <v>0.54100000000000037</v>
      </c>
      <c r="S182" s="2631"/>
      <c r="T182" s="2632"/>
      <c r="U182" s="166"/>
      <c r="V182" s="166"/>
      <c r="W182" s="110"/>
      <c r="X182" s="2634"/>
      <c r="Y182" s="110"/>
      <c r="Z182" s="2633"/>
      <c r="AA182" s="2"/>
    </row>
    <row r="183" spans="1:30" ht="45.5" x14ac:dyDescent="0.35">
      <c r="A183" s="693">
        <v>77</v>
      </c>
      <c r="B183" s="105">
        <v>10164</v>
      </c>
      <c r="C183" s="105" t="s">
        <v>1656</v>
      </c>
      <c r="D183" s="2460" t="s">
        <v>4103</v>
      </c>
      <c r="E183" s="269" t="s">
        <v>8237</v>
      </c>
      <c r="F183" s="92" t="s">
        <v>664</v>
      </c>
      <c r="G183" s="92">
        <v>5</v>
      </c>
      <c r="H183" s="41">
        <v>6</v>
      </c>
      <c r="I183" s="702">
        <f>J183+K183+L183</f>
        <v>0.6</v>
      </c>
      <c r="J183" s="702">
        <f>SUM(M183:R183)</f>
        <v>0.6</v>
      </c>
      <c r="K183" s="93"/>
      <c r="L183" s="93"/>
      <c r="M183" s="577"/>
      <c r="N183" s="577"/>
      <c r="O183" s="577"/>
      <c r="P183" s="577"/>
      <c r="Q183" s="577"/>
      <c r="R183" s="2096">
        <v>0.6</v>
      </c>
      <c r="S183" s="113"/>
      <c r="T183" s="577"/>
      <c r="U183" s="93"/>
      <c r="V183" s="93"/>
      <c r="W183" s="93"/>
      <c r="X183" s="2021"/>
      <c r="Y183" s="93"/>
      <c r="Z183" s="93"/>
      <c r="AB183" s="3">
        <v>1</v>
      </c>
      <c r="AD183" s="2307"/>
    </row>
    <row r="184" spans="1:30" ht="45.5" x14ac:dyDescent="0.35">
      <c r="A184" s="693">
        <v>78</v>
      </c>
      <c r="B184" s="105">
        <v>10164</v>
      </c>
      <c r="C184" s="105" t="s">
        <v>1656</v>
      </c>
      <c r="D184" s="2460" t="s">
        <v>4104</v>
      </c>
      <c r="E184" s="269" t="s">
        <v>8238</v>
      </c>
      <c r="F184" s="92" t="s">
        <v>664</v>
      </c>
      <c r="G184" s="92">
        <v>5</v>
      </c>
      <c r="H184" s="41">
        <v>6</v>
      </c>
      <c r="I184" s="702">
        <f>J184+K184+L184</f>
        <v>0.42</v>
      </c>
      <c r="J184" s="702">
        <f>SUM(M184:R184)</f>
        <v>0.42</v>
      </c>
      <c r="K184" s="93"/>
      <c r="L184" s="93"/>
      <c r="M184" s="577"/>
      <c r="N184" s="577"/>
      <c r="O184" s="577"/>
      <c r="P184" s="577"/>
      <c r="Q184" s="577"/>
      <c r="R184" s="2096">
        <v>0.42</v>
      </c>
      <c r="S184" s="113"/>
      <c r="T184" s="577"/>
      <c r="U184" s="93"/>
      <c r="V184" s="93"/>
      <c r="W184" s="93"/>
      <c r="X184" s="2021"/>
      <c r="Y184" s="93"/>
      <c r="Z184" s="93"/>
      <c r="AB184" s="3">
        <v>1</v>
      </c>
      <c r="AD184" s="2307"/>
    </row>
    <row r="185" spans="1:30" ht="45.5" x14ac:dyDescent="0.35">
      <c r="A185" s="693">
        <v>79</v>
      </c>
      <c r="B185" s="105">
        <v>10164</v>
      </c>
      <c r="C185" s="105" t="s">
        <v>1656</v>
      </c>
      <c r="D185" s="2460" t="s">
        <v>4105</v>
      </c>
      <c r="E185" s="269" t="s">
        <v>8239</v>
      </c>
      <c r="F185" s="92" t="s">
        <v>664</v>
      </c>
      <c r="G185" s="92">
        <v>5</v>
      </c>
      <c r="H185" s="41">
        <v>6</v>
      </c>
      <c r="I185" s="702">
        <f>J185+K185+L185</f>
        <v>0.1</v>
      </c>
      <c r="J185" s="702">
        <f>SUM(M185:R185)</f>
        <v>0.1</v>
      </c>
      <c r="K185" s="93"/>
      <c r="L185" s="93"/>
      <c r="M185" s="577"/>
      <c r="N185" s="577"/>
      <c r="O185" s="577"/>
      <c r="P185" s="577"/>
      <c r="Q185" s="577"/>
      <c r="R185" s="2096">
        <v>0.1</v>
      </c>
      <c r="S185" s="113"/>
      <c r="T185" s="577"/>
      <c r="U185" s="93"/>
      <c r="V185" s="93"/>
      <c r="W185" s="93"/>
      <c r="X185" s="2021"/>
      <c r="Y185" s="93"/>
      <c r="Z185" s="93"/>
      <c r="AB185" s="3">
        <v>1</v>
      </c>
      <c r="AD185" s="2307"/>
    </row>
    <row r="186" spans="1:30" ht="30.5" x14ac:dyDescent="0.35">
      <c r="A186" s="693">
        <v>80</v>
      </c>
      <c r="B186" s="358">
        <v>10165</v>
      </c>
      <c r="C186" s="358"/>
      <c r="D186" s="358" t="s">
        <v>2517</v>
      </c>
      <c r="E186" s="290" t="s">
        <v>1255</v>
      </c>
      <c r="F186" s="41"/>
      <c r="G186" s="41" t="s">
        <v>191</v>
      </c>
      <c r="H186" s="2289" t="s">
        <v>191</v>
      </c>
      <c r="I186" s="744">
        <f>SUM(M186:R186)</f>
        <v>16.963000000000001</v>
      </c>
      <c r="J186" s="744">
        <f>SUM(M186:R186)</f>
        <v>16.963000000000001</v>
      </c>
      <c r="K186" s="744"/>
      <c r="L186" s="744"/>
      <c r="M186" s="975"/>
      <c r="N186" s="671">
        <f>SUM(N187:N189)</f>
        <v>10.526000000000002</v>
      </c>
      <c r="O186" s="850"/>
      <c r="P186" s="744"/>
      <c r="Q186" s="859">
        <f>SUM(Q187:Q189)</f>
        <v>6.4369999999999994</v>
      </c>
      <c r="R186" s="869"/>
      <c r="S186" s="538">
        <v>2</v>
      </c>
      <c r="T186" s="249">
        <f>6.2+72.7</f>
        <v>78.900000000000006</v>
      </c>
      <c r="U186" s="110"/>
      <c r="V186" s="110"/>
      <c r="W186" s="226">
        <v>46</v>
      </c>
      <c r="X186" s="2451">
        <v>592.65</v>
      </c>
      <c r="Y186" s="226">
        <v>23</v>
      </c>
      <c r="Z186" s="2622">
        <v>240.2</v>
      </c>
      <c r="AA186" s="2"/>
      <c r="AB186" s="3">
        <v>1</v>
      </c>
      <c r="AD186" s="2307"/>
    </row>
    <row r="187" spans="1:30" x14ac:dyDescent="0.35">
      <c r="A187" s="359"/>
      <c r="B187" s="358">
        <v>10165</v>
      </c>
      <c r="C187" s="358"/>
      <c r="D187" s="360"/>
      <c r="E187" s="393" t="s">
        <v>525</v>
      </c>
      <c r="F187" s="40">
        <v>4</v>
      </c>
      <c r="G187" s="40">
        <v>4</v>
      </c>
      <c r="H187" s="2289">
        <v>6</v>
      </c>
      <c r="I187" s="745"/>
      <c r="J187" s="745"/>
      <c r="K187" s="745"/>
      <c r="L187" s="745"/>
      <c r="M187" s="976"/>
      <c r="N187" s="746">
        <v>10.287000000000001</v>
      </c>
      <c r="O187" s="1093"/>
      <c r="P187" s="745"/>
      <c r="Q187" s="1089"/>
      <c r="R187" s="1084"/>
      <c r="S187" s="2631"/>
      <c r="T187" s="2632"/>
      <c r="U187" s="166"/>
      <c r="V187" s="166"/>
      <c r="W187" s="110"/>
      <c r="X187" s="2634"/>
      <c r="Y187" s="110"/>
      <c r="Z187" s="2633"/>
      <c r="AA187" s="2"/>
    </row>
    <row r="188" spans="1:30" x14ac:dyDescent="0.35">
      <c r="A188" s="359"/>
      <c r="B188" s="358">
        <v>10165</v>
      </c>
      <c r="C188" s="358"/>
      <c r="D188" s="360"/>
      <c r="E188" s="900" t="s">
        <v>1399</v>
      </c>
      <c r="F188" s="40">
        <v>4</v>
      </c>
      <c r="G188" s="40">
        <v>4</v>
      </c>
      <c r="H188" s="2289">
        <v>6</v>
      </c>
      <c r="I188" s="745"/>
      <c r="J188" s="745"/>
      <c r="K188" s="745"/>
      <c r="L188" s="745"/>
      <c r="M188" s="976"/>
      <c r="N188" s="746"/>
      <c r="O188" s="1092"/>
      <c r="P188" s="747"/>
      <c r="Q188" s="1087">
        <f>16.724-10.287</f>
        <v>6.4369999999999994</v>
      </c>
      <c r="R188" s="1082"/>
      <c r="S188" s="2631"/>
      <c r="T188" s="2632"/>
      <c r="U188" s="166"/>
      <c r="V188" s="166"/>
      <c r="W188" s="110"/>
      <c r="X188" s="2634"/>
      <c r="Y188" s="110"/>
      <c r="Z188" s="2633"/>
      <c r="AA188" s="2"/>
    </row>
    <row r="189" spans="1:30" x14ac:dyDescent="0.35">
      <c r="A189" s="359"/>
      <c r="B189" s="358">
        <v>10165</v>
      </c>
      <c r="C189" s="358"/>
      <c r="D189" s="360"/>
      <c r="E189" s="393" t="s">
        <v>902</v>
      </c>
      <c r="F189" s="40">
        <v>4</v>
      </c>
      <c r="G189" s="40">
        <v>4</v>
      </c>
      <c r="H189" s="2289">
        <v>6</v>
      </c>
      <c r="I189" s="745"/>
      <c r="J189" s="745"/>
      <c r="K189" s="745"/>
      <c r="L189" s="745"/>
      <c r="M189" s="976"/>
      <c r="N189" s="746">
        <f>16.963-16.724</f>
        <v>0.23900000000000077</v>
      </c>
      <c r="O189" s="1092"/>
      <c r="P189" s="747"/>
      <c r="Q189" s="1087"/>
      <c r="R189" s="1082"/>
      <c r="S189" s="2631"/>
      <c r="T189" s="2632"/>
      <c r="U189" s="166"/>
      <c r="V189" s="166"/>
      <c r="W189" s="110"/>
      <c r="X189" s="2634"/>
      <c r="Y189" s="110"/>
      <c r="Z189" s="2633"/>
      <c r="AA189" s="2"/>
    </row>
    <row r="190" spans="1:30" ht="45.5" x14ac:dyDescent="0.35">
      <c r="A190" s="347">
        <v>81</v>
      </c>
      <c r="B190" s="358">
        <v>10165</v>
      </c>
      <c r="C190" s="358"/>
      <c r="D190" s="2460" t="s">
        <v>4106</v>
      </c>
      <c r="E190" s="394" t="s">
        <v>7517</v>
      </c>
      <c r="F190" s="41"/>
      <c r="G190" s="41" t="s">
        <v>191</v>
      </c>
      <c r="H190" s="2289" t="s">
        <v>191</v>
      </c>
      <c r="I190" s="744">
        <f>SUM(M190:R190)</f>
        <v>1.35</v>
      </c>
      <c r="J190" s="744">
        <f>SUM(M190:R190)</f>
        <v>1.35</v>
      </c>
      <c r="K190" s="749"/>
      <c r="L190" s="749"/>
      <c r="M190" s="1096"/>
      <c r="N190" s="1077">
        <f>+N192</f>
        <v>0.89</v>
      </c>
      <c r="O190" s="856"/>
      <c r="P190" s="1078"/>
      <c r="Q190" s="1088">
        <f>+Q191</f>
        <v>0.46</v>
      </c>
      <c r="R190" s="1083"/>
      <c r="S190" s="163"/>
      <c r="T190" s="248"/>
      <c r="U190" s="110"/>
      <c r="V190" s="110"/>
      <c r="W190" s="226">
        <v>4</v>
      </c>
      <c r="X190" s="2451">
        <v>46.4</v>
      </c>
      <c r="Y190" s="110">
        <v>2</v>
      </c>
      <c r="Z190" s="2622">
        <v>21</v>
      </c>
      <c r="AA190" s="2"/>
      <c r="AB190" s="3">
        <v>1</v>
      </c>
      <c r="AD190" s="2307"/>
    </row>
    <row r="191" spans="1:30" x14ac:dyDescent="0.35">
      <c r="A191" s="359"/>
      <c r="B191" s="358">
        <v>10165</v>
      </c>
      <c r="C191" s="358"/>
      <c r="D191" s="360"/>
      <c r="E191" s="900" t="s">
        <v>2639</v>
      </c>
      <c r="F191" s="40">
        <v>5</v>
      </c>
      <c r="G191" s="40">
        <v>5</v>
      </c>
      <c r="H191" s="2289">
        <v>6</v>
      </c>
      <c r="I191" s="745"/>
      <c r="J191" s="745"/>
      <c r="K191" s="745"/>
      <c r="L191" s="745"/>
      <c r="M191" s="1095"/>
      <c r="N191" s="692"/>
      <c r="O191" s="857"/>
      <c r="P191" s="1079"/>
      <c r="Q191" s="1090">
        <v>0.46</v>
      </c>
      <c r="R191" s="1085"/>
      <c r="S191" s="2631"/>
      <c r="T191" s="2632"/>
      <c r="U191" s="166"/>
      <c r="V191" s="166"/>
      <c r="W191" s="110"/>
      <c r="X191" s="2634"/>
      <c r="Y191" s="110"/>
      <c r="Z191" s="2633"/>
      <c r="AA191" s="2"/>
    </row>
    <row r="192" spans="1:30" x14ac:dyDescent="0.35">
      <c r="A192" s="359"/>
      <c r="B192" s="358">
        <v>10165</v>
      </c>
      <c r="C192" s="358"/>
      <c r="D192" s="360"/>
      <c r="E192" s="393" t="s">
        <v>1607</v>
      </c>
      <c r="F192" s="40">
        <v>5</v>
      </c>
      <c r="G192" s="40">
        <v>5</v>
      </c>
      <c r="H192" s="2289">
        <v>6</v>
      </c>
      <c r="I192" s="745"/>
      <c r="J192" s="745"/>
      <c r="K192" s="745"/>
      <c r="L192" s="745"/>
      <c r="M192" s="1095"/>
      <c r="N192" s="692">
        <v>0.89</v>
      </c>
      <c r="O192" s="857"/>
      <c r="P192" s="1079"/>
      <c r="Q192" s="1090"/>
      <c r="R192" s="1085"/>
      <c r="S192" s="2631"/>
      <c r="T192" s="2632"/>
      <c r="U192" s="166"/>
      <c r="V192" s="166"/>
      <c r="W192" s="110"/>
      <c r="X192" s="2634"/>
      <c r="Y192" s="110"/>
      <c r="Z192" s="2633"/>
      <c r="AA192" s="2"/>
    </row>
    <row r="193" spans="1:30" ht="45.5" x14ac:dyDescent="0.35">
      <c r="A193" s="693">
        <v>82</v>
      </c>
      <c r="B193" s="105">
        <v>10165</v>
      </c>
      <c r="C193" s="105" t="s">
        <v>1656</v>
      </c>
      <c r="D193" s="2460" t="s">
        <v>4107</v>
      </c>
      <c r="E193" s="269" t="s">
        <v>8240</v>
      </c>
      <c r="F193" s="92" t="s">
        <v>664</v>
      </c>
      <c r="G193" s="92">
        <v>5</v>
      </c>
      <c r="H193" s="41">
        <v>6</v>
      </c>
      <c r="I193" s="702">
        <f>J193+K193+L193</f>
        <v>0.85</v>
      </c>
      <c r="J193" s="702">
        <f>SUM(M193:R193)</f>
        <v>0.85</v>
      </c>
      <c r="K193" s="93"/>
      <c r="L193" s="93"/>
      <c r="M193" s="577"/>
      <c r="N193" s="577"/>
      <c r="O193" s="577"/>
      <c r="P193" s="577"/>
      <c r="Q193" s="577"/>
      <c r="R193" s="2096">
        <v>0.85</v>
      </c>
      <c r="S193" s="113"/>
      <c r="T193" s="577"/>
      <c r="U193" s="93"/>
      <c r="V193" s="93"/>
      <c r="W193" s="93"/>
      <c r="X193" s="2021"/>
      <c r="Y193" s="93"/>
      <c r="Z193" s="93"/>
      <c r="AB193" s="3">
        <v>1</v>
      </c>
      <c r="AD193" s="2307"/>
    </row>
    <row r="194" spans="1:30" ht="45.5" x14ac:dyDescent="0.35">
      <c r="A194" s="693">
        <v>83</v>
      </c>
      <c r="B194" s="105">
        <v>10165</v>
      </c>
      <c r="C194" s="105" t="s">
        <v>1656</v>
      </c>
      <c r="D194" s="2460" t="s">
        <v>4108</v>
      </c>
      <c r="E194" s="269" t="s">
        <v>8241</v>
      </c>
      <c r="F194" s="92" t="s">
        <v>664</v>
      </c>
      <c r="G194" s="92">
        <v>5</v>
      </c>
      <c r="H194" s="41">
        <v>6</v>
      </c>
      <c r="I194" s="702">
        <f>J194+K194+L194</f>
        <v>0.05</v>
      </c>
      <c r="J194" s="702">
        <f>SUM(M194:R194)</f>
        <v>0.05</v>
      </c>
      <c r="K194" s="93"/>
      <c r="L194" s="93"/>
      <c r="M194" s="577"/>
      <c r="N194" s="577"/>
      <c r="O194" s="577"/>
      <c r="P194" s="577"/>
      <c r="Q194" s="577"/>
      <c r="R194" s="2096">
        <v>0.05</v>
      </c>
      <c r="S194" s="113"/>
      <c r="T194" s="577"/>
      <c r="U194" s="93"/>
      <c r="V194" s="93"/>
      <c r="W194" s="93"/>
      <c r="X194" s="2021"/>
      <c r="Y194" s="93"/>
      <c r="Z194" s="93"/>
      <c r="AB194" s="3">
        <v>1</v>
      </c>
      <c r="AD194" s="2307"/>
    </row>
    <row r="195" spans="1:30" ht="45.5" x14ac:dyDescent="0.35">
      <c r="A195" s="693">
        <v>84</v>
      </c>
      <c r="B195" s="105">
        <v>10165</v>
      </c>
      <c r="C195" s="105" t="s">
        <v>1656</v>
      </c>
      <c r="D195" s="2460" t="s">
        <v>4109</v>
      </c>
      <c r="E195" s="269" t="s">
        <v>8242</v>
      </c>
      <c r="F195" s="92" t="s">
        <v>664</v>
      </c>
      <c r="G195" s="92">
        <v>5</v>
      </c>
      <c r="H195" s="41">
        <v>6</v>
      </c>
      <c r="I195" s="702">
        <f>J195+K195+L195</f>
        <v>0.12</v>
      </c>
      <c r="J195" s="702">
        <f>SUM(M195:R195)</f>
        <v>0.12</v>
      </c>
      <c r="K195" s="93"/>
      <c r="L195" s="93"/>
      <c r="M195" s="577"/>
      <c r="N195" s="577"/>
      <c r="O195" s="577"/>
      <c r="P195" s="577"/>
      <c r="Q195" s="577"/>
      <c r="R195" s="2096">
        <v>0.12</v>
      </c>
      <c r="S195" s="113"/>
      <c r="T195" s="577"/>
      <c r="U195" s="93"/>
      <c r="V195" s="93"/>
      <c r="W195" s="93"/>
      <c r="X195" s="2021"/>
      <c r="Y195" s="93"/>
      <c r="Z195" s="93"/>
      <c r="AB195" s="3">
        <v>1</v>
      </c>
      <c r="AD195" s="2307"/>
    </row>
    <row r="196" spans="1:30" ht="45.5" x14ac:dyDescent="0.35">
      <c r="A196" s="693">
        <v>85</v>
      </c>
      <c r="B196" s="105">
        <v>10165</v>
      </c>
      <c r="C196" s="105" t="s">
        <v>1656</v>
      </c>
      <c r="D196" s="2460" t="s">
        <v>4110</v>
      </c>
      <c r="E196" s="269" t="s">
        <v>8243</v>
      </c>
      <c r="F196" s="92" t="s">
        <v>664</v>
      </c>
      <c r="G196" s="92">
        <v>5</v>
      </c>
      <c r="H196" s="41">
        <v>6</v>
      </c>
      <c r="I196" s="702">
        <f>J196+K196+L196</f>
        <v>7.0000000000000007E-2</v>
      </c>
      <c r="J196" s="702">
        <f>SUM(M196:R196)</f>
        <v>7.0000000000000007E-2</v>
      </c>
      <c r="K196" s="93"/>
      <c r="L196" s="93"/>
      <c r="M196" s="577"/>
      <c r="N196" s="577"/>
      <c r="O196" s="577"/>
      <c r="P196" s="577"/>
      <c r="Q196" s="577"/>
      <c r="R196" s="2096">
        <v>7.0000000000000007E-2</v>
      </c>
      <c r="S196" s="113"/>
      <c r="T196" s="577"/>
      <c r="U196" s="93"/>
      <c r="V196" s="93"/>
      <c r="W196" s="93"/>
      <c r="X196" s="2021"/>
      <c r="Y196" s="93"/>
      <c r="Z196" s="93"/>
      <c r="AB196" s="3">
        <v>1</v>
      </c>
      <c r="AD196" s="2307"/>
    </row>
    <row r="197" spans="1:30" ht="30.5" x14ac:dyDescent="0.35">
      <c r="A197" s="693">
        <v>86</v>
      </c>
      <c r="B197" s="358">
        <v>10166</v>
      </c>
      <c r="C197" s="358"/>
      <c r="D197" s="358" t="s">
        <v>2518</v>
      </c>
      <c r="E197" s="550" t="s">
        <v>10471</v>
      </c>
      <c r="F197" s="41"/>
      <c r="G197" s="2289" t="s">
        <v>191</v>
      </c>
      <c r="H197" s="2289" t="s">
        <v>191</v>
      </c>
      <c r="I197" s="702">
        <f>J197+K197+L197</f>
        <v>7.0750000000000002</v>
      </c>
      <c r="J197" s="744">
        <f>SUM(M197:R197)</f>
        <v>7.0570000000000004</v>
      </c>
      <c r="K197" s="744"/>
      <c r="L197" s="671">
        <f>SUM(L198:L202)</f>
        <v>1.7999999999999999E-2</v>
      </c>
      <c r="M197" s="975"/>
      <c r="N197" s="671">
        <f>SUM(N198:N202)</f>
        <v>3.3540000000000001</v>
      </c>
      <c r="O197" s="850"/>
      <c r="P197" s="744"/>
      <c r="Q197" s="859">
        <f>SUM(Q198:Q202)</f>
        <v>3.7030000000000003</v>
      </c>
      <c r="R197" s="869"/>
      <c r="S197" s="538">
        <v>1</v>
      </c>
      <c r="T197" s="249">
        <v>28</v>
      </c>
      <c r="U197" s="110"/>
      <c r="V197" s="110"/>
      <c r="W197" s="226">
        <v>16</v>
      </c>
      <c r="X197" s="2451">
        <v>217.71</v>
      </c>
      <c r="Y197" s="226">
        <v>6</v>
      </c>
      <c r="Z197" s="2622">
        <v>75</v>
      </c>
      <c r="AA197" s="2"/>
      <c r="AB197" s="3">
        <v>1</v>
      </c>
      <c r="AD197" s="2307"/>
    </row>
    <row r="198" spans="1:30" ht="31" x14ac:dyDescent="0.35">
      <c r="A198" s="1040"/>
      <c r="B198" s="358"/>
      <c r="C198" s="358"/>
      <c r="D198" s="358"/>
      <c r="E198" s="711" t="s">
        <v>10397</v>
      </c>
      <c r="F198" s="40">
        <v>4</v>
      </c>
      <c r="G198" s="40">
        <v>4</v>
      </c>
      <c r="H198" s="2289" t="s">
        <v>191</v>
      </c>
      <c r="I198" s="744"/>
      <c r="J198" s="744"/>
      <c r="K198" s="744"/>
      <c r="L198" s="747">
        <v>1.7999999999999999E-2</v>
      </c>
      <c r="M198" s="975"/>
      <c r="N198" s="671"/>
      <c r="O198" s="850"/>
      <c r="P198" s="744"/>
      <c r="Q198" s="859"/>
      <c r="R198" s="869"/>
      <c r="S198" s="538"/>
      <c r="T198" s="249"/>
      <c r="U198" s="110"/>
      <c r="V198" s="110"/>
      <c r="W198" s="226"/>
      <c r="X198" s="2451"/>
      <c r="Y198" s="226"/>
      <c r="Z198" s="2622"/>
      <c r="AA198" s="2"/>
      <c r="AD198" s="2307"/>
    </row>
    <row r="199" spans="1:30" x14ac:dyDescent="0.35">
      <c r="A199" s="359"/>
      <c r="B199" s="358">
        <v>10166</v>
      </c>
      <c r="C199" s="358"/>
      <c r="D199" s="360"/>
      <c r="E199" s="393" t="s">
        <v>10396</v>
      </c>
      <c r="F199" s="40">
        <v>4</v>
      </c>
      <c r="G199" s="40">
        <v>4</v>
      </c>
      <c r="H199" s="2289">
        <v>6</v>
      </c>
      <c r="I199" s="745"/>
      <c r="J199" s="745"/>
      <c r="K199" s="745"/>
      <c r="L199" s="745"/>
      <c r="M199" s="976"/>
      <c r="N199" s="746">
        <f>2.46-0.018</f>
        <v>2.4420000000000002</v>
      </c>
      <c r="O199" s="1092"/>
      <c r="P199" s="747"/>
      <c r="Q199" s="1087"/>
      <c r="R199" s="1082"/>
      <c r="S199" s="2631"/>
      <c r="T199" s="2632"/>
      <c r="U199" s="166"/>
      <c r="V199" s="166"/>
      <c r="W199" s="110"/>
      <c r="X199" s="2634"/>
      <c r="Y199" s="110"/>
      <c r="Z199" s="2633"/>
      <c r="AA199" s="2"/>
    </row>
    <row r="200" spans="1:30" x14ac:dyDescent="0.35">
      <c r="A200" s="359"/>
      <c r="B200" s="358">
        <v>10166</v>
      </c>
      <c r="C200" s="358"/>
      <c r="D200" s="360"/>
      <c r="E200" s="900" t="s">
        <v>10393</v>
      </c>
      <c r="F200" s="40">
        <v>4</v>
      </c>
      <c r="G200" s="40">
        <v>4</v>
      </c>
      <c r="H200" s="2289">
        <v>6</v>
      </c>
      <c r="I200" s="745"/>
      <c r="J200" s="745"/>
      <c r="K200" s="745"/>
      <c r="L200" s="745"/>
      <c r="M200" s="976"/>
      <c r="N200" s="748"/>
      <c r="O200" s="1093"/>
      <c r="P200" s="745"/>
      <c r="Q200" s="1087">
        <f>4.916-2.46</f>
        <v>2.4560000000000004</v>
      </c>
      <c r="R200" s="1084"/>
      <c r="S200" s="2631"/>
      <c r="T200" s="2632"/>
      <c r="U200" s="166"/>
      <c r="V200" s="166"/>
      <c r="W200" s="110"/>
      <c r="X200" s="2634"/>
      <c r="Y200" s="110"/>
      <c r="Z200" s="2633"/>
      <c r="AA200" s="2"/>
    </row>
    <row r="201" spans="1:30" x14ac:dyDescent="0.35">
      <c r="A201" s="359"/>
      <c r="B201" s="358">
        <v>10166</v>
      </c>
      <c r="C201" s="358"/>
      <c r="D201" s="360"/>
      <c r="E201" s="393" t="s">
        <v>10394</v>
      </c>
      <c r="F201" s="40">
        <v>4</v>
      </c>
      <c r="G201" s="40">
        <v>4</v>
      </c>
      <c r="H201" s="2289">
        <v>6</v>
      </c>
      <c r="I201" s="745"/>
      <c r="J201" s="745"/>
      <c r="K201" s="745"/>
      <c r="L201" s="745"/>
      <c r="M201" s="976"/>
      <c r="N201" s="746">
        <f>5.828-4.916</f>
        <v>0.91199999999999992</v>
      </c>
      <c r="O201" s="1093"/>
      <c r="P201" s="745"/>
      <c r="Q201" s="1089"/>
      <c r="R201" s="1084"/>
      <c r="S201" s="2631"/>
      <c r="T201" s="2632"/>
      <c r="U201" s="166"/>
      <c r="V201" s="166"/>
      <c r="W201" s="110"/>
      <c r="X201" s="2634"/>
      <c r="Y201" s="110"/>
      <c r="Z201" s="2633"/>
      <c r="AA201" s="2"/>
    </row>
    <row r="202" spans="1:30" x14ac:dyDescent="0.35">
      <c r="A202" s="359"/>
      <c r="B202" s="358">
        <v>10166</v>
      </c>
      <c r="C202" s="358"/>
      <c r="D202" s="360"/>
      <c r="E202" s="900" t="s">
        <v>10395</v>
      </c>
      <c r="F202" s="40">
        <v>4</v>
      </c>
      <c r="G202" s="40">
        <v>4</v>
      </c>
      <c r="H202" s="2289">
        <v>6</v>
      </c>
      <c r="I202" s="745"/>
      <c r="J202" s="745"/>
      <c r="K202" s="745"/>
      <c r="L202" s="745"/>
      <c r="M202" s="976"/>
      <c r="N202" s="746"/>
      <c r="O202" s="1092"/>
      <c r="P202" s="747"/>
      <c r="Q202" s="1087">
        <f>7.075-5.828</f>
        <v>1.2469999999999999</v>
      </c>
      <c r="R202" s="1082"/>
      <c r="S202" s="2631"/>
      <c r="T202" s="2632"/>
      <c r="U202" s="166"/>
      <c r="V202" s="166"/>
      <c r="W202" s="110"/>
      <c r="X202" s="2634"/>
      <c r="Y202" s="110"/>
      <c r="Z202" s="2633"/>
      <c r="AA202" s="2"/>
    </row>
    <row r="203" spans="1:30" ht="45.5" x14ac:dyDescent="0.35">
      <c r="A203" s="693">
        <v>87</v>
      </c>
      <c r="B203" s="105">
        <v>10166</v>
      </c>
      <c r="C203" s="105" t="s">
        <v>1656</v>
      </c>
      <c r="D203" s="2460" t="s">
        <v>4111</v>
      </c>
      <c r="E203" s="269" t="s">
        <v>9689</v>
      </c>
      <c r="F203" s="92" t="s">
        <v>664</v>
      </c>
      <c r="G203" s="92">
        <v>5</v>
      </c>
      <c r="H203" s="41">
        <v>6</v>
      </c>
      <c r="I203" s="702">
        <f>J203+K203+L203</f>
        <v>0.1</v>
      </c>
      <c r="J203" s="702">
        <f>SUM(M203:R203)</f>
        <v>0.1</v>
      </c>
      <c r="K203" s="93"/>
      <c r="L203" s="93"/>
      <c r="M203" s="577"/>
      <c r="N203" s="577"/>
      <c r="O203" s="577"/>
      <c r="P203" s="577"/>
      <c r="Q203" s="577"/>
      <c r="R203" s="2096">
        <v>0.1</v>
      </c>
      <c r="S203" s="113"/>
      <c r="T203" s="577"/>
      <c r="U203" s="93"/>
      <c r="V203" s="93"/>
      <c r="W203" s="93"/>
      <c r="X203" s="2021"/>
      <c r="Y203" s="93"/>
      <c r="Z203" s="93"/>
      <c r="AB203" s="3">
        <v>1</v>
      </c>
      <c r="AD203" s="2307"/>
    </row>
    <row r="204" spans="1:30" ht="30.5" x14ac:dyDescent="0.35">
      <c r="A204" s="347">
        <v>88</v>
      </c>
      <c r="B204" s="358">
        <v>10167</v>
      </c>
      <c r="C204" s="358"/>
      <c r="D204" s="358" t="s">
        <v>3270</v>
      </c>
      <c r="E204" s="550" t="s">
        <v>10472</v>
      </c>
      <c r="F204" s="41"/>
      <c r="G204" s="41" t="s">
        <v>191</v>
      </c>
      <c r="H204" s="2289" t="s">
        <v>191</v>
      </c>
      <c r="I204" s="702">
        <f>J204+K204+L204</f>
        <v>8.9559999999999995</v>
      </c>
      <c r="J204" s="702">
        <f>SUM(M204:R204)</f>
        <v>8.9260000000000002</v>
      </c>
      <c r="K204" s="744"/>
      <c r="L204" s="744">
        <f>SUM(L205:L209)</f>
        <v>2.9999999999999361E-2</v>
      </c>
      <c r="M204" s="975"/>
      <c r="N204" s="671">
        <f>SUM(N205:N209)</f>
        <v>5.6530000000000014</v>
      </c>
      <c r="O204" s="850"/>
      <c r="P204" s="744"/>
      <c r="Q204" s="859">
        <f>SUM(Q205:Q209)</f>
        <v>3.2729999999999988</v>
      </c>
      <c r="R204" s="869"/>
      <c r="S204" s="538">
        <v>1</v>
      </c>
      <c r="T204" s="249">
        <v>12</v>
      </c>
      <c r="U204" s="110"/>
      <c r="V204" s="110"/>
      <c r="W204" s="226">
        <v>25</v>
      </c>
      <c r="X204" s="2451">
        <v>331</v>
      </c>
      <c r="Y204" s="226">
        <v>8</v>
      </c>
      <c r="Z204" s="2622">
        <v>85.5</v>
      </c>
      <c r="AA204" s="2"/>
      <c r="AB204" s="3">
        <v>1</v>
      </c>
      <c r="AD204" s="2307"/>
    </row>
    <row r="205" spans="1:30" x14ac:dyDescent="0.35">
      <c r="A205" s="359"/>
      <c r="B205" s="358">
        <v>10167</v>
      </c>
      <c r="C205" s="358"/>
      <c r="D205" s="360"/>
      <c r="E205" s="393" t="s">
        <v>7239</v>
      </c>
      <c r="F205" s="40">
        <v>4</v>
      </c>
      <c r="G205" s="40">
        <v>4</v>
      </c>
      <c r="H205" s="40">
        <v>6</v>
      </c>
      <c r="I205" s="745"/>
      <c r="J205" s="745"/>
      <c r="K205" s="745"/>
      <c r="L205" s="745"/>
      <c r="M205" s="976"/>
      <c r="N205" s="746">
        <v>5.6139999999999999</v>
      </c>
      <c r="O205" s="1092"/>
      <c r="P205" s="747"/>
      <c r="Q205" s="1087"/>
      <c r="R205" s="1082"/>
      <c r="S205" s="2631"/>
      <c r="T205" s="2632"/>
      <c r="U205" s="166"/>
      <c r="V205" s="166"/>
      <c r="W205" s="110"/>
      <c r="X205" s="2634"/>
      <c r="Y205" s="110"/>
      <c r="Z205" s="2633"/>
      <c r="AA205" s="1778"/>
    </row>
    <row r="206" spans="1:30" x14ac:dyDescent="0.35">
      <c r="A206" s="359"/>
      <c r="B206" s="358"/>
      <c r="C206" s="358"/>
      <c r="D206" s="360"/>
      <c r="E206" s="900" t="s">
        <v>7242</v>
      </c>
      <c r="F206" s="40">
        <v>4</v>
      </c>
      <c r="G206" s="40">
        <v>4</v>
      </c>
      <c r="H206" s="40">
        <v>6</v>
      </c>
      <c r="I206" s="745"/>
      <c r="J206" s="745"/>
      <c r="K206" s="745"/>
      <c r="L206" s="745"/>
      <c r="M206" s="976"/>
      <c r="N206" s="746"/>
      <c r="O206" s="1092"/>
      <c r="P206" s="747"/>
      <c r="Q206" s="1087">
        <f>8.03-5.614</f>
        <v>2.4159999999999995</v>
      </c>
      <c r="R206" s="1082"/>
      <c r="S206" s="2631"/>
      <c r="T206" s="2632"/>
      <c r="U206" s="166"/>
      <c r="V206" s="166"/>
      <c r="W206" s="110"/>
      <c r="X206" s="2634"/>
      <c r="Y206" s="110"/>
      <c r="Z206" s="2633"/>
      <c r="AA206" s="1778"/>
    </row>
    <row r="207" spans="1:30" x14ac:dyDescent="0.35">
      <c r="A207" s="359"/>
      <c r="B207" s="358"/>
      <c r="C207" s="358"/>
      <c r="D207" s="360"/>
      <c r="E207" s="393" t="s">
        <v>7241</v>
      </c>
      <c r="F207" s="40">
        <v>4</v>
      </c>
      <c r="G207" s="40">
        <v>4</v>
      </c>
      <c r="H207" s="40">
        <v>6</v>
      </c>
      <c r="I207" s="745"/>
      <c r="J207" s="745"/>
      <c r="K207" s="745"/>
      <c r="L207" s="745"/>
      <c r="M207" s="976"/>
      <c r="N207" s="746">
        <f>8.069-8.03</f>
        <v>3.9000000000001478E-2</v>
      </c>
      <c r="O207" s="1092"/>
      <c r="P207" s="747"/>
      <c r="Q207" s="1087"/>
      <c r="R207" s="1082"/>
      <c r="S207" s="2631"/>
      <c r="T207" s="2632"/>
      <c r="U207" s="166"/>
      <c r="V207" s="166"/>
      <c r="W207" s="110"/>
      <c r="X207" s="2634"/>
      <c r="Y207" s="110"/>
      <c r="Z207" s="2633"/>
      <c r="AA207" s="1778"/>
    </row>
    <row r="208" spans="1:30" x14ac:dyDescent="0.35">
      <c r="A208" s="359"/>
      <c r="B208" s="358">
        <v>10167</v>
      </c>
      <c r="C208" s="358"/>
      <c r="D208" s="360"/>
      <c r="E208" s="900" t="s">
        <v>7243</v>
      </c>
      <c r="F208" s="40">
        <v>4</v>
      </c>
      <c r="G208" s="40">
        <v>4</v>
      </c>
      <c r="H208" s="2289">
        <v>6</v>
      </c>
      <c r="I208" s="745"/>
      <c r="J208" s="745"/>
      <c r="K208" s="745"/>
      <c r="L208" s="745"/>
      <c r="M208" s="976"/>
      <c r="N208" s="746"/>
      <c r="O208" s="1092"/>
      <c r="P208" s="747"/>
      <c r="Q208" s="1087">
        <f>8.926-8.069</f>
        <v>0.85699999999999932</v>
      </c>
      <c r="R208" s="1082"/>
      <c r="S208" s="2631"/>
      <c r="T208" s="2632"/>
      <c r="U208" s="166"/>
      <c r="V208" s="166"/>
      <c r="W208" s="110"/>
      <c r="X208" s="2634"/>
      <c r="Y208" s="110"/>
      <c r="Z208" s="2633"/>
      <c r="AA208" s="2"/>
    </row>
    <row r="209" spans="1:30" ht="31" x14ac:dyDescent="0.35">
      <c r="A209" s="2600"/>
      <c r="B209" s="358"/>
      <c r="C209" s="358"/>
      <c r="D209" s="360"/>
      <c r="E209" s="393" t="s">
        <v>7240</v>
      </c>
      <c r="F209" s="40">
        <v>4</v>
      </c>
      <c r="G209" s="40">
        <v>4</v>
      </c>
      <c r="H209" s="2289" t="s">
        <v>191</v>
      </c>
      <c r="I209" s="745"/>
      <c r="J209" s="745"/>
      <c r="K209" s="745"/>
      <c r="L209" s="745">
        <f>8.956-8.926</f>
        <v>2.9999999999999361E-2</v>
      </c>
      <c r="M209" s="976"/>
      <c r="N209" s="746"/>
      <c r="O209" s="1092"/>
      <c r="P209" s="747"/>
      <c r="Q209" s="1087"/>
      <c r="R209" s="1082"/>
      <c r="S209" s="2631"/>
      <c r="T209" s="2632"/>
      <c r="U209" s="166"/>
      <c r="V209" s="166"/>
      <c r="W209" s="110"/>
      <c r="X209" s="2634"/>
      <c r="Y209" s="110"/>
      <c r="Z209" s="2636"/>
      <c r="AA209" s="2"/>
    </row>
    <row r="210" spans="1:30" ht="45.5" x14ac:dyDescent="0.35">
      <c r="A210" s="693">
        <v>89</v>
      </c>
      <c r="B210" s="105">
        <v>10176</v>
      </c>
      <c r="C210" s="105" t="s">
        <v>1656</v>
      </c>
      <c r="D210" s="2460" t="s">
        <v>4112</v>
      </c>
      <c r="E210" s="269" t="s">
        <v>8244</v>
      </c>
      <c r="F210" s="92" t="s">
        <v>664</v>
      </c>
      <c r="G210" s="92">
        <v>5</v>
      </c>
      <c r="H210" s="41">
        <v>6</v>
      </c>
      <c r="I210" s="702">
        <f>J210+K210+L210</f>
        <v>0.23</v>
      </c>
      <c r="J210" s="702">
        <f>SUM(M210:R210)</f>
        <v>0.23</v>
      </c>
      <c r="K210" s="93"/>
      <c r="L210" s="93"/>
      <c r="M210" s="577"/>
      <c r="N210" s="577"/>
      <c r="O210" s="577"/>
      <c r="P210" s="577"/>
      <c r="Q210" s="577"/>
      <c r="R210" s="2096">
        <v>0.23</v>
      </c>
      <c r="S210" s="113"/>
      <c r="T210" s="577"/>
      <c r="U210" s="93"/>
      <c r="V210" s="93"/>
      <c r="W210" s="93"/>
      <c r="X210" s="2021"/>
      <c r="Y210" s="93"/>
      <c r="Z210" s="93"/>
      <c r="AB210" s="3">
        <v>1</v>
      </c>
      <c r="AD210" s="2307"/>
    </row>
    <row r="211" spans="1:30" ht="30" x14ac:dyDescent="0.35">
      <c r="A211" s="347">
        <v>90</v>
      </c>
      <c r="B211" s="358">
        <v>10168</v>
      </c>
      <c r="C211" s="358"/>
      <c r="D211" s="358" t="s">
        <v>1289</v>
      </c>
      <c r="E211" s="290" t="s">
        <v>1413</v>
      </c>
      <c r="F211" s="41">
        <v>5</v>
      </c>
      <c r="G211" s="41">
        <v>4</v>
      </c>
      <c r="H211" s="2289">
        <v>6</v>
      </c>
      <c r="I211" s="744">
        <f>SUM(M211:R211)</f>
        <v>4.4450000000000003</v>
      </c>
      <c r="J211" s="744">
        <f>SUM(M211:R211)</f>
        <v>4.4450000000000003</v>
      </c>
      <c r="K211" s="744"/>
      <c r="L211" s="744"/>
      <c r="M211" s="975"/>
      <c r="N211" s="671">
        <v>4.4450000000000003</v>
      </c>
      <c r="O211" s="850"/>
      <c r="P211" s="744"/>
      <c r="Q211" s="859"/>
      <c r="R211" s="869"/>
      <c r="S211" s="538">
        <v>1</v>
      </c>
      <c r="T211" s="249">
        <v>31.1</v>
      </c>
      <c r="U211" s="110"/>
      <c r="V211" s="110"/>
      <c r="W211" s="226">
        <v>7</v>
      </c>
      <c r="X211" s="2451">
        <v>68.88</v>
      </c>
      <c r="Y211" s="226">
        <v>2</v>
      </c>
      <c r="Z211" s="2622">
        <v>13.5</v>
      </c>
      <c r="AA211" s="1778"/>
      <c r="AB211" s="3">
        <v>1</v>
      </c>
      <c r="AC211" s="1778" t="s">
        <v>2483</v>
      </c>
      <c r="AD211" s="2307"/>
    </row>
    <row r="212" spans="1:30" ht="30.5" x14ac:dyDescent="0.35">
      <c r="A212" s="347">
        <v>91</v>
      </c>
      <c r="B212" s="365">
        <v>10168</v>
      </c>
      <c r="C212" s="105" t="s">
        <v>1656</v>
      </c>
      <c r="D212" s="2460" t="s">
        <v>4113</v>
      </c>
      <c r="E212" s="394" t="s">
        <v>8245</v>
      </c>
      <c r="F212" s="40" t="s">
        <v>664</v>
      </c>
      <c r="G212" s="93">
        <v>5</v>
      </c>
      <c r="H212" s="41">
        <v>6</v>
      </c>
      <c r="I212" s="744">
        <f>SUM(M212:R212)</f>
        <v>1.1000000000000001</v>
      </c>
      <c r="J212" s="744">
        <f>SUM(M212:R212)</f>
        <v>1.1000000000000001</v>
      </c>
      <c r="K212" s="750"/>
      <c r="L212" s="750"/>
      <c r="M212" s="1096"/>
      <c r="N212" s="1077"/>
      <c r="O212" s="856"/>
      <c r="P212" s="1078"/>
      <c r="Q212" s="1088"/>
      <c r="R212" s="1083">
        <v>1.1000000000000001</v>
      </c>
      <c r="S212" s="113"/>
      <c r="T212" s="283"/>
      <c r="U212" s="105"/>
      <c r="V212" s="105"/>
      <c r="W212" s="105"/>
      <c r="X212" s="2988"/>
      <c r="Y212" s="105"/>
      <c r="Z212" s="1080"/>
      <c r="AA212" s="2"/>
      <c r="AB212" s="3">
        <v>1</v>
      </c>
      <c r="AD212" s="2307"/>
    </row>
    <row r="213" spans="1:30" ht="30" x14ac:dyDescent="0.35">
      <c r="A213" s="347">
        <v>92</v>
      </c>
      <c r="B213" s="358">
        <v>10169</v>
      </c>
      <c r="C213" s="358"/>
      <c r="D213" s="358" t="s">
        <v>1794</v>
      </c>
      <c r="E213" s="290" t="s">
        <v>2081</v>
      </c>
      <c r="F213" s="41"/>
      <c r="G213" s="41" t="s">
        <v>191</v>
      </c>
      <c r="H213" s="2289" t="s">
        <v>191</v>
      </c>
      <c r="I213" s="744">
        <f>SUM(M213:R213)</f>
        <v>5.3</v>
      </c>
      <c r="J213" s="744">
        <f>SUM(M213:R213)</f>
        <v>5.3</v>
      </c>
      <c r="K213" s="744"/>
      <c r="L213" s="744"/>
      <c r="M213" s="975"/>
      <c r="N213" s="671">
        <v>0.8</v>
      </c>
      <c r="O213" s="850"/>
      <c r="P213" s="744"/>
      <c r="Q213" s="859">
        <v>4.5</v>
      </c>
      <c r="R213" s="869"/>
      <c r="S213" s="163"/>
      <c r="T213" s="249"/>
      <c r="U213" s="110"/>
      <c r="V213" s="110"/>
      <c r="W213" s="226">
        <v>10</v>
      </c>
      <c r="X213" s="2451">
        <v>147.94</v>
      </c>
      <c r="Y213" s="110"/>
      <c r="Z213" s="2622"/>
      <c r="AA213" s="2"/>
      <c r="AB213" s="3">
        <v>1</v>
      </c>
      <c r="AD213" s="2307"/>
    </row>
    <row r="214" spans="1:30" x14ac:dyDescent="0.35">
      <c r="A214" s="359"/>
      <c r="B214" s="358">
        <v>10169</v>
      </c>
      <c r="C214" s="358"/>
      <c r="D214" s="360"/>
      <c r="E214" s="291" t="s">
        <v>1966</v>
      </c>
      <c r="F214" s="40">
        <v>4</v>
      </c>
      <c r="G214" s="40">
        <v>5</v>
      </c>
      <c r="H214" s="2289">
        <v>6</v>
      </c>
      <c r="I214" s="745"/>
      <c r="J214" s="745"/>
      <c r="K214" s="745"/>
      <c r="L214" s="745"/>
      <c r="M214" s="976"/>
      <c r="N214" s="746">
        <v>0.8</v>
      </c>
      <c r="O214" s="1092"/>
      <c r="P214" s="747"/>
      <c r="Q214" s="1087"/>
      <c r="R214" s="1082"/>
      <c r="S214" s="2631"/>
      <c r="T214" s="2632"/>
      <c r="U214" s="166"/>
      <c r="V214" s="166"/>
      <c r="W214" s="110"/>
      <c r="X214" s="2634"/>
      <c r="Y214" s="110"/>
      <c r="Z214" s="2633"/>
      <c r="AA214" s="2"/>
    </row>
    <row r="215" spans="1:30" x14ac:dyDescent="0.35">
      <c r="A215" s="359"/>
      <c r="B215" s="358">
        <v>10169</v>
      </c>
      <c r="C215" s="358"/>
      <c r="D215" s="360"/>
      <c r="E215" s="837" t="s">
        <v>2082</v>
      </c>
      <c r="F215" s="40">
        <v>4</v>
      </c>
      <c r="G215" s="40">
        <v>5</v>
      </c>
      <c r="H215" s="2289">
        <v>6</v>
      </c>
      <c r="I215" s="745"/>
      <c r="J215" s="745"/>
      <c r="K215" s="745"/>
      <c r="L215" s="745"/>
      <c r="M215" s="976"/>
      <c r="N215" s="746"/>
      <c r="O215" s="1092"/>
      <c r="P215" s="747"/>
      <c r="Q215" s="1087">
        <v>4.5</v>
      </c>
      <c r="R215" s="1082"/>
      <c r="S215" s="2631"/>
      <c r="T215" s="2632"/>
      <c r="U215" s="166"/>
      <c r="V215" s="166"/>
      <c r="W215" s="110"/>
      <c r="X215" s="2634"/>
      <c r="Y215" s="110"/>
      <c r="Z215" s="2633"/>
      <c r="AA215" s="2"/>
    </row>
    <row r="216" spans="1:30" ht="30" x14ac:dyDescent="0.35">
      <c r="A216" s="347">
        <v>93</v>
      </c>
      <c r="B216" s="358">
        <v>10170</v>
      </c>
      <c r="C216" s="358"/>
      <c r="D216" s="358" t="s">
        <v>2790</v>
      </c>
      <c r="E216" s="290" t="s">
        <v>2083</v>
      </c>
      <c r="F216" s="41">
        <v>5</v>
      </c>
      <c r="G216" s="41">
        <v>5</v>
      </c>
      <c r="H216" s="2289">
        <v>6</v>
      </c>
      <c r="I216" s="744">
        <f>SUM(M216:R216)</f>
        <v>2.54</v>
      </c>
      <c r="J216" s="744">
        <f>SUM(M216:R216)</f>
        <v>2.54</v>
      </c>
      <c r="K216" s="744"/>
      <c r="L216" s="744"/>
      <c r="M216" s="975"/>
      <c r="N216" s="671"/>
      <c r="O216" s="850"/>
      <c r="P216" s="744"/>
      <c r="Q216" s="859">
        <v>2.54</v>
      </c>
      <c r="R216" s="869"/>
      <c r="S216" s="163"/>
      <c r="T216" s="249"/>
      <c r="U216" s="110"/>
      <c r="V216" s="110"/>
      <c r="W216" s="226">
        <v>6</v>
      </c>
      <c r="X216" s="2451">
        <v>77.400000000000006</v>
      </c>
      <c r="Y216" s="226">
        <v>3</v>
      </c>
      <c r="Z216" s="2622">
        <v>41</v>
      </c>
      <c r="AA216" s="2"/>
      <c r="AB216" s="3">
        <v>1</v>
      </c>
      <c r="AD216" s="2307"/>
    </row>
    <row r="217" spans="1:30" ht="30.5" x14ac:dyDescent="0.35">
      <c r="A217" s="693">
        <v>94</v>
      </c>
      <c r="B217" s="105">
        <v>10170</v>
      </c>
      <c r="C217" s="105" t="s">
        <v>1656</v>
      </c>
      <c r="D217" s="2460" t="s">
        <v>4114</v>
      </c>
      <c r="E217" s="269" t="s">
        <v>8246</v>
      </c>
      <c r="F217" s="92" t="s">
        <v>1490</v>
      </c>
      <c r="G217" s="92">
        <v>5</v>
      </c>
      <c r="H217" s="41">
        <v>6</v>
      </c>
      <c r="I217" s="702">
        <f>J217+K217+L217</f>
        <v>0.65</v>
      </c>
      <c r="J217" s="702">
        <f>SUM(M217:R217)</f>
        <v>0.65</v>
      </c>
      <c r="K217" s="93"/>
      <c r="L217" s="93"/>
      <c r="M217" s="577"/>
      <c r="N217" s="577"/>
      <c r="O217" s="577"/>
      <c r="P217" s="577"/>
      <c r="Q217" s="577"/>
      <c r="R217" s="2096">
        <v>0.65</v>
      </c>
      <c r="S217" s="113"/>
      <c r="T217" s="577"/>
      <c r="U217" s="93"/>
      <c r="V217" s="93"/>
      <c r="W217" s="93"/>
      <c r="X217" s="2021"/>
      <c r="Y217" s="93"/>
      <c r="Z217" s="93"/>
      <c r="AB217" s="3">
        <v>1</v>
      </c>
      <c r="AD217" s="2307"/>
    </row>
    <row r="218" spans="1:30" ht="30" x14ac:dyDescent="0.35">
      <c r="A218" s="347">
        <v>95</v>
      </c>
      <c r="B218" s="358">
        <v>10171</v>
      </c>
      <c r="C218" s="358"/>
      <c r="D218" s="358" t="s">
        <v>2791</v>
      </c>
      <c r="E218" s="511" t="s">
        <v>10473</v>
      </c>
      <c r="F218" s="41"/>
      <c r="G218" s="41" t="s">
        <v>191</v>
      </c>
      <c r="H218" s="2289" t="s">
        <v>191</v>
      </c>
      <c r="I218" s="702">
        <f>J218+K218+L218</f>
        <v>6.9939999999999998</v>
      </c>
      <c r="J218" s="744">
        <f>SUM(M218:R218)</f>
        <v>6.9809999999999999</v>
      </c>
      <c r="K218" s="744"/>
      <c r="L218" s="671">
        <f>SUM(L219:L228)</f>
        <v>1.2999999999999999E-2</v>
      </c>
      <c r="M218" s="975"/>
      <c r="N218" s="671">
        <f>SUM(N219:N228)</f>
        <v>1.9860000000000002</v>
      </c>
      <c r="O218" s="850"/>
      <c r="P218" s="744"/>
      <c r="Q218" s="859">
        <f>SUM(Q219:Q228)</f>
        <v>4.9950000000000001</v>
      </c>
      <c r="R218" s="869">
        <f>SUM(R219:R228)</f>
        <v>0</v>
      </c>
      <c r="S218" s="163"/>
      <c r="T218" s="249"/>
      <c r="U218" s="110"/>
      <c r="V218" s="110"/>
      <c r="W218" s="226">
        <v>13</v>
      </c>
      <c r="X218" s="2451">
        <v>126.39</v>
      </c>
      <c r="Y218" s="226">
        <v>4</v>
      </c>
      <c r="Z218" s="2622">
        <v>35</v>
      </c>
      <c r="AA218" s="2"/>
      <c r="AB218" s="3">
        <v>1</v>
      </c>
      <c r="AD218" s="2307"/>
    </row>
    <row r="219" spans="1:30" ht="31" x14ac:dyDescent="0.35">
      <c r="A219" s="347"/>
      <c r="B219" s="358"/>
      <c r="C219" s="358"/>
      <c r="D219" s="358"/>
      <c r="E219" s="1022" t="s">
        <v>10385</v>
      </c>
      <c r="F219" s="41">
        <v>4</v>
      </c>
      <c r="G219" s="41">
        <v>5</v>
      </c>
      <c r="H219" s="2289" t="s">
        <v>191</v>
      </c>
      <c r="I219" s="744"/>
      <c r="J219" s="744"/>
      <c r="K219" s="744"/>
      <c r="L219" s="747">
        <v>1.2999999999999999E-2</v>
      </c>
      <c r="M219" s="975"/>
      <c r="N219" s="671"/>
      <c r="O219" s="850"/>
      <c r="P219" s="744"/>
      <c r="Q219" s="859"/>
      <c r="R219" s="869"/>
      <c r="S219" s="163"/>
      <c r="T219" s="249"/>
      <c r="U219" s="110"/>
      <c r="V219" s="110"/>
      <c r="W219" s="226"/>
      <c r="X219" s="2451"/>
      <c r="Y219" s="226"/>
      <c r="Z219" s="2622"/>
      <c r="AA219" s="2"/>
      <c r="AD219" s="2307"/>
    </row>
    <row r="220" spans="1:30" x14ac:dyDescent="0.35">
      <c r="A220" s="359"/>
      <c r="B220" s="358">
        <v>10171</v>
      </c>
      <c r="C220" s="358"/>
      <c r="D220" s="360"/>
      <c r="E220" s="393" t="s">
        <v>10386</v>
      </c>
      <c r="F220" s="41">
        <v>5</v>
      </c>
      <c r="G220" s="40">
        <v>5</v>
      </c>
      <c r="H220" s="2289">
        <v>6</v>
      </c>
      <c r="I220" s="745"/>
      <c r="J220" s="745"/>
      <c r="K220" s="745"/>
      <c r="L220" s="745"/>
      <c r="M220" s="976"/>
      <c r="N220" s="746">
        <f>1.393-0.013</f>
        <v>1.3800000000000001</v>
      </c>
      <c r="O220" s="1092"/>
      <c r="P220" s="747"/>
      <c r="Q220" s="1087"/>
      <c r="R220" s="1082"/>
      <c r="S220" s="2631"/>
      <c r="T220" s="2632"/>
      <c r="U220" s="166"/>
      <c r="V220" s="166"/>
      <c r="W220" s="110"/>
      <c r="X220" s="2634"/>
      <c r="Y220" s="110"/>
      <c r="Z220" s="2633"/>
      <c r="AA220" s="2"/>
    </row>
    <row r="221" spans="1:30" x14ac:dyDescent="0.35">
      <c r="A221" s="359"/>
      <c r="B221" s="358"/>
      <c r="C221" s="358"/>
      <c r="D221" s="360"/>
      <c r="E221" s="393" t="s">
        <v>10387</v>
      </c>
      <c r="F221" s="41">
        <v>4</v>
      </c>
      <c r="G221" s="40">
        <v>5</v>
      </c>
      <c r="H221" s="2289">
        <v>6</v>
      </c>
      <c r="I221" s="745"/>
      <c r="J221" s="745"/>
      <c r="K221" s="745"/>
      <c r="L221" s="745"/>
      <c r="M221" s="976"/>
      <c r="N221" s="746">
        <f>1.686-1.393</f>
        <v>0.29299999999999993</v>
      </c>
      <c r="O221" s="1092"/>
      <c r="P221" s="747"/>
      <c r="Q221" s="1087"/>
      <c r="R221" s="1082"/>
      <c r="S221" s="2631"/>
      <c r="T221" s="2632"/>
      <c r="U221" s="166"/>
      <c r="V221" s="166"/>
      <c r="W221" s="110"/>
      <c r="X221" s="2634"/>
      <c r="Y221" s="110"/>
      <c r="Z221" s="2633"/>
      <c r="AA221" s="2"/>
    </row>
    <row r="222" spans="1:30" x14ac:dyDescent="0.35">
      <c r="A222" s="359"/>
      <c r="B222" s="358">
        <v>10171</v>
      </c>
      <c r="C222" s="358"/>
      <c r="D222" s="360"/>
      <c r="E222" s="900" t="s">
        <v>10383</v>
      </c>
      <c r="F222" s="41">
        <v>5</v>
      </c>
      <c r="G222" s="40">
        <v>5</v>
      </c>
      <c r="H222" s="2289">
        <v>6</v>
      </c>
      <c r="I222" s="745"/>
      <c r="J222" s="745"/>
      <c r="K222" s="745"/>
      <c r="L222" s="745"/>
      <c r="M222" s="976"/>
      <c r="N222" s="748"/>
      <c r="O222" s="1093"/>
      <c r="P222" s="745"/>
      <c r="Q222" s="1087">
        <f>2.194-1.686</f>
        <v>0.50800000000000001</v>
      </c>
      <c r="R222" s="1084"/>
      <c r="S222" s="2631"/>
      <c r="T222" s="2632"/>
      <c r="U222" s="166"/>
      <c r="V222" s="166"/>
      <c r="W222" s="110"/>
      <c r="X222" s="2634"/>
      <c r="Y222" s="110"/>
      <c r="Z222" s="2633"/>
      <c r="AA222" s="2"/>
    </row>
    <row r="223" spans="1:30" x14ac:dyDescent="0.35">
      <c r="A223" s="359"/>
      <c r="B223" s="358">
        <v>10171</v>
      </c>
      <c r="C223" s="358"/>
      <c r="D223" s="360"/>
      <c r="E223" s="393" t="s">
        <v>10384</v>
      </c>
      <c r="F223" s="41">
        <v>5</v>
      </c>
      <c r="G223" s="40">
        <v>5</v>
      </c>
      <c r="H223" s="2289">
        <v>6</v>
      </c>
      <c r="I223" s="745"/>
      <c r="J223" s="745"/>
      <c r="K223" s="745"/>
      <c r="L223" s="745"/>
      <c r="M223" s="976"/>
      <c r="N223" s="746">
        <f>2.507-2.194</f>
        <v>0.31300000000000017</v>
      </c>
      <c r="O223" s="1093"/>
      <c r="P223" s="745"/>
      <c r="Q223" s="1089"/>
      <c r="R223" s="1084"/>
      <c r="S223" s="2631"/>
      <c r="T223" s="2632"/>
      <c r="U223" s="166"/>
      <c r="V223" s="166"/>
      <c r="W223" s="110"/>
      <c r="X223" s="2634"/>
      <c r="Y223" s="110"/>
      <c r="Z223" s="2633"/>
      <c r="AA223" s="2"/>
    </row>
    <row r="224" spans="1:30" x14ac:dyDescent="0.35">
      <c r="A224" s="359"/>
      <c r="B224" s="358"/>
      <c r="C224" s="358"/>
      <c r="D224" s="360"/>
      <c r="E224" s="900" t="s">
        <v>10388</v>
      </c>
      <c r="F224" s="41">
        <v>5</v>
      </c>
      <c r="G224" s="40">
        <v>5</v>
      </c>
      <c r="H224" s="2289">
        <v>6</v>
      </c>
      <c r="I224" s="745"/>
      <c r="J224" s="745"/>
      <c r="K224" s="745"/>
      <c r="L224" s="745"/>
      <c r="M224" s="976"/>
      <c r="N224" s="746"/>
      <c r="O224" s="1093"/>
      <c r="P224" s="745"/>
      <c r="Q224" s="1089">
        <f>2.8-2.507</f>
        <v>0.29299999999999971</v>
      </c>
      <c r="R224" s="1084"/>
      <c r="S224" s="2631"/>
      <c r="T224" s="2632"/>
      <c r="U224" s="166"/>
      <c r="V224" s="166"/>
      <c r="W224" s="110"/>
      <c r="X224" s="2634"/>
      <c r="Y224" s="110"/>
      <c r="Z224" s="2633"/>
      <c r="AA224" s="2"/>
    </row>
    <row r="225" spans="1:30" x14ac:dyDescent="0.35">
      <c r="A225" s="359"/>
      <c r="B225" s="358"/>
      <c r="C225" s="358"/>
      <c r="D225" s="360"/>
      <c r="E225" s="900" t="s">
        <v>10389</v>
      </c>
      <c r="F225" s="41">
        <v>4</v>
      </c>
      <c r="G225" s="40">
        <v>5</v>
      </c>
      <c r="H225" s="2289">
        <v>6</v>
      </c>
      <c r="I225" s="745"/>
      <c r="J225" s="745"/>
      <c r="K225" s="745"/>
      <c r="L225" s="745"/>
      <c r="M225" s="976"/>
      <c r="N225" s="746"/>
      <c r="O225" s="1093"/>
      <c r="P225" s="745"/>
      <c r="Q225" s="1089">
        <f>4.704-2.8</f>
        <v>1.9039999999999999</v>
      </c>
      <c r="R225" s="1084"/>
      <c r="S225" s="2631"/>
      <c r="T225" s="2632"/>
      <c r="U225" s="166"/>
      <c r="V225" s="166"/>
      <c r="W225" s="110"/>
      <c r="X225" s="2634"/>
      <c r="Y225" s="110"/>
      <c r="Z225" s="2633"/>
      <c r="AA225" s="2"/>
    </row>
    <row r="226" spans="1:30" x14ac:dyDescent="0.35">
      <c r="A226" s="359"/>
      <c r="B226" s="358"/>
      <c r="C226" s="358"/>
      <c r="D226" s="360"/>
      <c r="E226" s="900" t="s">
        <v>10390</v>
      </c>
      <c r="F226" s="41">
        <v>5</v>
      </c>
      <c r="G226" s="40">
        <v>5</v>
      </c>
      <c r="H226" s="2289">
        <v>6</v>
      </c>
      <c r="I226" s="745"/>
      <c r="J226" s="745"/>
      <c r="K226" s="745"/>
      <c r="L226" s="745"/>
      <c r="M226" s="976"/>
      <c r="N226" s="746"/>
      <c r="O226" s="1093"/>
      <c r="P226" s="745"/>
      <c r="Q226" s="1089">
        <f>5.87-4.704</f>
        <v>1.1660000000000004</v>
      </c>
      <c r="R226" s="1084"/>
      <c r="S226" s="2631"/>
      <c r="T226" s="2632"/>
      <c r="U226" s="166"/>
      <c r="V226" s="166"/>
      <c r="W226" s="110"/>
      <c r="X226" s="2634"/>
      <c r="Y226" s="110"/>
      <c r="Z226" s="2633"/>
      <c r="AA226" s="2"/>
    </row>
    <row r="227" spans="1:30" x14ac:dyDescent="0.35">
      <c r="A227" s="359"/>
      <c r="B227" s="358"/>
      <c r="C227" s="358"/>
      <c r="D227" s="360"/>
      <c r="E227" s="900" t="s">
        <v>10391</v>
      </c>
      <c r="F227" s="41" t="s">
        <v>827</v>
      </c>
      <c r="G227" s="40">
        <v>5</v>
      </c>
      <c r="H227" s="2289">
        <v>6</v>
      </c>
      <c r="I227" s="745"/>
      <c r="J227" s="745"/>
      <c r="K227" s="745"/>
      <c r="L227" s="745"/>
      <c r="M227" s="976"/>
      <c r="N227" s="746"/>
      <c r="O227" s="1093"/>
      <c r="P227" s="745"/>
      <c r="Q227" s="1089">
        <f>6.326-5.87</f>
        <v>0.45599999999999952</v>
      </c>
      <c r="R227" s="1084"/>
      <c r="S227" s="2631"/>
      <c r="T227" s="2632"/>
      <c r="U227" s="166"/>
      <c r="V227" s="166"/>
      <c r="W227" s="110"/>
      <c r="X227" s="2634"/>
      <c r="Y227" s="110"/>
      <c r="Z227" s="2633"/>
      <c r="AA227" s="2"/>
    </row>
    <row r="228" spans="1:30" x14ac:dyDescent="0.35">
      <c r="A228" s="359"/>
      <c r="B228" s="358">
        <v>10171</v>
      </c>
      <c r="C228" s="358"/>
      <c r="D228" s="360"/>
      <c r="E228" s="900" t="s">
        <v>10392</v>
      </c>
      <c r="F228" s="41" t="s">
        <v>1490</v>
      </c>
      <c r="G228" s="40">
        <v>5</v>
      </c>
      <c r="H228" s="2289">
        <v>6</v>
      </c>
      <c r="I228" s="745"/>
      <c r="J228" s="745"/>
      <c r="K228" s="745"/>
      <c r="L228" s="745"/>
      <c r="M228" s="976"/>
      <c r="N228" s="746"/>
      <c r="O228" s="1092"/>
      <c r="P228" s="747"/>
      <c r="Q228" s="1087">
        <f>6.994-6.326</f>
        <v>0.66800000000000015</v>
      </c>
      <c r="R228" s="1082"/>
      <c r="S228" s="2631"/>
      <c r="T228" s="2632"/>
      <c r="U228" s="166"/>
      <c r="V228" s="166"/>
      <c r="W228" s="110"/>
      <c r="X228" s="2634"/>
      <c r="Y228" s="110"/>
      <c r="Z228" s="2633"/>
      <c r="AA228" s="2"/>
    </row>
    <row r="229" spans="1:30" ht="30.5" x14ac:dyDescent="0.35">
      <c r="A229" s="347">
        <v>96</v>
      </c>
      <c r="B229" s="105">
        <v>10171</v>
      </c>
      <c r="C229" s="105" t="s">
        <v>1656</v>
      </c>
      <c r="D229" s="2460" t="s">
        <v>4116</v>
      </c>
      <c r="E229" s="269" t="s">
        <v>9209</v>
      </c>
      <c r="F229" s="92" t="s">
        <v>664</v>
      </c>
      <c r="G229" s="92">
        <v>5</v>
      </c>
      <c r="H229" s="41">
        <v>6</v>
      </c>
      <c r="I229" s="702">
        <f>J229+K229+L229</f>
        <v>1.27</v>
      </c>
      <c r="J229" s="702">
        <f>SUM(M229:R229)</f>
        <v>1.27</v>
      </c>
      <c r="K229" s="93"/>
      <c r="L229" s="93"/>
      <c r="M229" s="577"/>
      <c r="N229" s="577"/>
      <c r="O229" s="577"/>
      <c r="P229" s="577"/>
      <c r="Q229" s="577"/>
      <c r="R229" s="2096">
        <v>1.27</v>
      </c>
      <c r="S229" s="113"/>
      <c r="T229" s="577"/>
      <c r="U229" s="93"/>
      <c r="V229" s="93"/>
      <c r="W229" s="93"/>
      <c r="X229" s="2021"/>
      <c r="Y229" s="93"/>
      <c r="Z229" s="93"/>
      <c r="AB229" s="3">
        <v>1</v>
      </c>
      <c r="AD229" s="2307"/>
    </row>
    <row r="230" spans="1:30" ht="45.5" x14ac:dyDescent="0.35">
      <c r="A230" s="693">
        <v>97</v>
      </c>
      <c r="B230" s="105">
        <v>10171</v>
      </c>
      <c r="C230" s="105" t="s">
        <v>1656</v>
      </c>
      <c r="D230" s="2460" t="s">
        <v>4117</v>
      </c>
      <c r="E230" s="269" t="s">
        <v>8247</v>
      </c>
      <c r="F230" s="92" t="s">
        <v>664</v>
      </c>
      <c r="G230" s="92">
        <v>5</v>
      </c>
      <c r="H230" s="41">
        <v>6</v>
      </c>
      <c r="I230" s="702">
        <f>J230+K230+L230</f>
        <v>0.53</v>
      </c>
      <c r="J230" s="702">
        <f>SUM(M230:R230)</f>
        <v>0.53</v>
      </c>
      <c r="K230" s="93"/>
      <c r="L230" s="93"/>
      <c r="M230" s="577"/>
      <c r="N230" s="577"/>
      <c r="O230" s="577"/>
      <c r="P230" s="577"/>
      <c r="Q230" s="577"/>
      <c r="R230" s="2096">
        <v>0.53</v>
      </c>
      <c r="S230" s="113"/>
      <c r="T230" s="577"/>
      <c r="U230" s="93"/>
      <c r="V230" s="93"/>
      <c r="W230" s="93"/>
      <c r="X230" s="2021"/>
      <c r="Y230" s="93"/>
      <c r="Z230" s="93"/>
      <c r="AB230" s="3">
        <v>1</v>
      </c>
      <c r="AD230" s="2307"/>
    </row>
    <row r="231" spans="1:30" ht="30" x14ac:dyDescent="0.35">
      <c r="A231" s="347">
        <v>98</v>
      </c>
      <c r="B231" s="358">
        <v>10172</v>
      </c>
      <c r="C231" s="358"/>
      <c r="D231" s="358" t="s">
        <v>1533</v>
      </c>
      <c r="E231" s="290" t="s">
        <v>3056</v>
      </c>
      <c r="F231" s="41">
        <v>5</v>
      </c>
      <c r="G231" s="41">
        <v>4</v>
      </c>
      <c r="H231" s="2289">
        <v>6</v>
      </c>
      <c r="I231" s="744">
        <f>SUM(M231:R231)</f>
        <v>5.69</v>
      </c>
      <c r="J231" s="744">
        <f>SUM(M231:R231)</f>
        <v>5.69</v>
      </c>
      <c r="K231" s="744"/>
      <c r="L231" s="744"/>
      <c r="M231" s="975"/>
      <c r="N231" s="671"/>
      <c r="O231" s="850"/>
      <c r="P231" s="744"/>
      <c r="Q231" s="859">
        <v>5.69</v>
      </c>
      <c r="R231" s="869"/>
      <c r="S231" s="163"/>
      <c r="T231" s="249"/>
      <c r="U231" s="110"/>
      <c r="V231" s="110"/>
      <c r="W231" s="226">
        <v>10</v>
      </c>
      <c r="X231" s="2451">
        <v>158.69999999999999</v>
      </c>
      <c r="Y231" s="226">
        <v>1</v>
      </c>
      <c r="Z231" s="2622">
        <v>15</v>
      </c>
      <c r="AA231" s="2"/>
      <c r="AB231" s="3">
        <v>1</v>
      </c>
      <c r="AD231" s="2307"/>
    </row>
    <row r="232" spans="1:30" ht="30.5" x14ac:dyDescent="0.35">
      <c r="A232" s="693">
        <v>99</v>
      </c>
      <c r="B232" s="358">
        <v>10172</v>
      </c>
      <c r="C232" s="358"/>
      <c r="D232" s="2460" t="s">
        <v>4118</v>
      </c>
      <c r="E232" s="394" t="s">
        <v>9176</v>
      </c>
      <c r="F232" s="41">
        <v>5</v>
      </c>
      <c r="G232" s="41">
        <v>5</v>
      </c>
      <c r="H232" s="2289">
        <v>6</v>
      </c>
      <c r="I232" s="744">
        <f>SUM(M232:R232)</f>
        <v>0.54</v>
      </c>
      <c r="J232" s="744">
        <f>SUM(M232:R232)</f>
        <v>0.54</v>
      </c>
      <c r="K232" s="749"/>
      <c r="L232" s="749"/>
      <c r="M232" s="1096"/>
      <c r="N232" s="1077"/>
      <c r="O232" s="856"/>
      <c r="P232" s="1078"/>
      <c r="Q232" s="1088">
        <v>0.54</v>
      </c>
      <c r="R232" s="1083"/>
      <c r="S232" s="163"/>
      <c r="T232" s="248"/>
      <c r="U232" s="110"/>
      <c r="V232" s="110"/>
      <c r="W232" s="226">
        <v>1</v>
      </c>
      <c r="X232" s="2451">
        <v>15.1</v>
      </c>
      <c r="Y232" s="110"/>
      <c r="Z232" s="2633"/>
      <c r="AA232" s="2"/>
      <c r="AB232" s="3">
        <v>1</v>
      </c>
      <c r="AD232" s="2307"/>
    </row>
    <row r="233" spans="1:30" ht="30.5" x14ac:dyDescent="0.35">
      <c r="A233" s="347">
        <v>100</v>
      </c>
      <c r="B233" s="358">
        <v>10172</v>
      </c>
      <c r="C233" s="358"/>
      <c r="D233" s="2460" t="s">
        <v>4119</v>
      </c>
      <c r="E233" s="394" t="s">
        <v>7518</v>
      </c>
      <c r="F233" s="41"/>
      <c r="G233" s="41" t="s">
        <v>191</v>
      </c>
      <c r="H233" s="2289" t="s">
        <v>191</v>
      </c>
      <c r="I233" s="744">
        <f>SUM(M233:R233)</f>
        <v>0.77</v>
      </c>
      <c r="J233" s="744">
        <f>SUM(M233:R233)</f>
        <v>0.77</v>
      </c>
      <c r="K233" s="749"/>
      <c r="L233" s="749"/>
      <c r="M233" s="1096"/>
      <c r="N233" s="1077">
        <f>SUM(N234:N235)</f>
        <v>0.50700000000000001</v>
      </c>
      <c r="O233" s="856"/>
      <c r="P233" s="1078"/>
      <c r="Q233" s="1088"/>
      <c r="R233" s="1083">
        <f>SUM(R234:R235)</f>
        <v>0.26300000000000001</v>
      </c>
      <c r="S233" s="163"/>
      <c r="T233" s="248"/>
      <c r="U233" s="110"/>
      <c r="V233" s="110"/>
      <c r="W233" s="110">
        <v>1</v>
      </c>
      <c r="X233" s="2634">
        <v>10</v>
      </c>
      <c r="Y233" s="110"/>
      <c r="Z233" s="2633"/>
      <c r="AA233" s="2"/>
      <c r="AB233" s="3">
        <v>1</v>
      </c>
      <c r="AD233" s="2307"/>
    </row>
    <row r="234" spans="1:30" x14ac:dyDescent="0.35">
      <c r="A234" s="1024"/>
      <c r="B234" s="358"/>
      <c r="C234" s="358"/>
      <c r="D234" s="405"/>
      <c r="E234" s="393" t="s">
        <v>436</v>
      </c>
      <c r="F234" s="41" t="s">
        <v>827</v>
      </c>
      <c r="G234" s="41">
        <v>5</v>
      </c>
      <c r="H234" s="2289">
        <v>6</v>
      </c>
      <c r="I234" s="747"/>
      <c r="J234" s="747"/>
      <c r="K234" s="745"/>
      <c r="L234" s="745"/>
      <c r="M234" s="1095"/>
      <c r="N234" s="692">
        <v>0.50700000000000001</v>
      </c>
      <c r="O234" s="857"/>
      <c r="P234" s="1078"/>
      <c r="Q234" s="1088"/>
      <c r="R234" s="1083"/>
      <c r="S234" s="163"/>
      <c r="T234" s="248"/>
      <c r="U234" s="110"/>
      <c r="V234" s="110"/>
      <c r="W234" s="110"/>
      <c r="X234" s="2634"/>
      <c r="Y234" s="110"/>
      <c r="Z234" s="2633"/>
      <c r="AA234" s="2"/>
    </row>
    <row r="235" spans="1:30" x14ac:dyDescent="0.35">
      <c r="A235" s="1024"/>
      <c r="B235" s="358"/>
      <c r="C235" s="358"/>
      <c r="D235" s="405"/>
      <c r="E235" s="878" t="s">
        <v>437</v>
      </c>
      <c r="F235" s="41" t="s">
        <v>827</v>
      </c>
      <c r="G235" s="41">
        <v>5</v>
      </c>
      <c r="H235" s="41">
        <v>6</v>
      </c>
      <c r="I235" s="744"/>
      <c r="J235" s="744"/>
      <c r="K235" s="749"/>
      <c r="L235" s="749"/>
      <c r="M235" s="1096"/>
      <c r="N235" s="1077"/>
      <c r="O235" s="856"/>
      <c r="P235" s="1078"/>
      <c r="Q235" s="1088"/>
      <c r="R235" s="2286">
        <f>0.77-0.507</f>
        <v>0.26300000000000001</v>
      </c>
      <c r="S235" s="163"/>
      <c r="T235" s="248"/>
      <c r="U235" s="110"/>
      <c r="V235" s="110"/>
      <c r="W235" s="110"/>
      <c r="X235" s="2634"/>
      <c r="Y235" s="110"/>
      <c r="Z235" s="2633"/>
      <c r="AA235" s="2"/>
    </row>
    <row r="236" spans="1:30" ht="30.5" x14ac:dyDescent="0.35">
      <c r="A236" s="693">
        <v>101</v>
      </c>
      <c r="B236" s="358">
        <v>10172</v>
      </c>
      <c r="C236" s="358"/>
      <c r="D236" s="2460" t="s">
        <v>4120</v>
      </c>
      <c r="E236" s="394" t="s">
        <v>7519</v>
      </c>
      <c r="F236" s="41"/>
      <c r="G236" s="41" t="s">
        <v>191</v>
      </c>
      <c r="H236" s="2289" t="s">
        <v>191</v>
      </c>
      <c r="I236" s="744">
        <f>SUM(M236:R236)</f>
        <v>0.94</v>
      </c>
      <c r="J236" s="744">
        <f>SUM(M236:R236)</f>
        <v>0.94</v>
      </c>
      <c r="K236" s="749"/>
      <c r="L236" s="749"/>
      <c r="M236" s="1096"/>
      <c r="N236" s="1077">
        <f>SUM(N237:N238)</f>
        <v>0.59699999999999998</v>
      </c>
      <c r="O236" s="856"/>
      <c r="P236" s="1078"/>
      <c r="Q236" s="1088"/>
      <c r="R236" s="1083">
        <f>SUM(R237:R238)</f>
        <v>0.34299999999999997</v>
      </c>
      <c r="S236" s="163"/>
      <c r="T236" s="248"/>
      <c r="U236" s="110"/>
      <c r="V236" s="110"/>
      <c r="W236" s="110"/>
      <c r="X236" s="2634"/>
      <c r="Y236" s="110"/>
      <c r="Z236" s="2633"/>
      <c r="AA236" s="2"/>
      <c r="AB236" s="3">
        <v>1</v>
      </c>
      <c r="AD236" s="2307"/>
    </row>
    <row r="237" spans="1:30" x14ac:dyDescent="0.35">
      <c r="A237" s="1024"/>
      <c r="B237" s="358"/>
      <c r="C237" s="358"/>
      <c r="D237" s="405"/>
      <c r="E237" s="393" t="s">
        <v>4</v>
      </c>
      <c r="F237" s="41" t="s">
        <v>827</v>
      </c>
      <c r="G237" s="41">
        <v>5</v>
      </c>
      <c r="H237" s="2289">
        <v>6</v>
      </c>
      <c r="I237" s="744"/>
      <c r="J237" s="744"/>
      <c r="K237" s="749"/>
      <c r="L237" s="749"/>
      <c r="M237" s="1096"/>
      <c r="N237" s="691">
        <v>0.59699999999999998</v>
      </c>
      <c r="O237" s="856"/>
      <c r="P237" s="1078"/>
      <c r="Q237" s="1088"/>
      <c r="R237" s="2286"/>
      <c r="S237" s="163"/>
      <c r="T237" s="248"/>
      <c r="U237" s="110"/>
      <c r="V237" s="110"/>
      <c r="W237" s="110"/>
      <c r="X237" s="2634"/>
      <c r="Y237" s="110"/>
      <c r="Z237" s="2633"/>
      <c r="AA237" s="2"/>
    </row>
    <row r="238" spans="1:30" x14ac:dyDescent="0.35">
      <c r="A238" s="1024"/>
      <c r="B238" s="358"/>
      <c r="C238" s="358"/>
      <c r="D238" s="405"/>
      <c r="E238" s="878" t="s">
        <v>5</v>
      </c>
      <c r="F238" s="41" t="s">
        <v>827</v>
      </c>
      <c r="G238" s="41">
        <v>5</v>
      </c>
      <c r="H238" s="41">
        <v>6</v>
      </c>
      <c r="I238" s="744"/>
      <c r="J238" s="744"/>
      <c r="K238" s="749"/>
      <c r="L238" s="749"/>
      <c r="M238" s="1096"/>
      <c r="N238" s="1077"/>
      <c r="O238" s="856"/>
      <c r="P238" s="1078"/>
      <c r="Q238" s="1088"/>
      <c r="R238" s="2286">
        <f>0.94-0.597</f>
        <v>0.34299999999999997</v>
      </c>
      <c r="S238" s="163"/>
      <c r="T238" s="248"/>
      <c r="U238" s="110"/>
      <c r="V238" s="110"/>
      <c r="W238" s="110"/>
      <c r="X238" s="2634"/>
      <c r="Y238" s="110"/>
      <c r="Z238" s="2633"/>
      <c r="AA238" s="2"/>
    </row>
    <row r="239" spans="1:30" ht="30.5" x14ac:dyDescent="0.35">
      <c r="A239" s="347">
        <v>102</v>
      </c>
      <c r="B239" s="105">
        <v>10172</v>
      </c>
      <c r="C239" s="105" t="s">
        <v>1656</v>
      </c>
      <c r="D239" s="2460" t="s">
        <v>4121</v>
      </c>
      <c r="E239" s="269" t="s">
        <v>8248</v>
      </c>
      <c r="F239" s="92" t="s">
        <v>664</v>
      </c>
      <c r="G239" s="92">
        <v>5</v>
      </c>
      <c r="H239" s="41">
        <v>6</v>
      </c>
      <c r="I239" s="702">
        <f>J239+K239+L239</f>
        <v>0.3</v>
      </c>
      <c r="J239" s="702">
        <f>SUM(M239:R239)</f>
        <v>0.3</v>
      </c>
      <c r="K239" s="93"/>
      <c r="L239" s="93"/>
      <c r="M239" s="577"/>
      <c r="N239" s="577"/>
      <c r="O239" s="577"/>
      <c r="P239" s="577"/>
      <c r="Q239" s="577"/>
      <c r="R239" s="2096">
        <v>0.3</v>
      </c>
      <c r="S239" s="113"/>
      <c r="T239" s="577"/>
      <c r="U239" s="93"/>
      <c r="V239" s="93"/>
      <c r="W239" s="93"/>
      <c r="X239" s="2021"/>
      <c r="Y239" s="93"/>
      <c r="Z239" s="93"/>
      <c r="AB239" s="3">
        <v>1</v>
      </c>
      <c r="AD239" s="2307"/>
    </row>
    <row r="240" spans="1:30" ht="45.5" x14ac:dyDescent="0.35">
      <c r="A240" s="693">
        <v>103</v>
      </c>
      <c r="B240" s="105">
        <v>10172</v>
      </c>
      <c r="C240" s="105" t="s">
        <v>1656</v>
      </c>
      <c r="D240" s="2460" t="s">
        <v>4122</v>
      </c>
      <c r="E240" s="269" t="s">
        <v>8249</v>
      </c>
      <c r="F240" s="92" t="s">
        <v>664</v>
      </c>
      <c r="G240" s="92">
        <v>5</v>
      </c>
      <c r="H240" s="41">
        <v>6</v>
      </c>
      <c r="I240" s="702">
        <f>J240+K240+L240</f>
        <v>3.6</v>
      </c>
      <c r="J240" s="702">
        <f>SUM(M240:R240)</f>
        <v>3.6</v>
      </c>
      <c r="K240" s="93"/>
      <c r="L240" s="93"/>
      <c r="M240" s="577"/>
      <c r="N240" s="577"/>
      <c r="O240" s="577"/>
      <c r="P240" s="577"/>
      <c r="Q240" s="577"/>
      <c r="R240" s="2096">
        <v>3.6</v>
      </c>
      <c r="S240" s="113"/>
      <c r="T240" s="577"/>
      <c r="U240" s="93"/>
      <c r="V240" s="93"/>
      <c r="W240" s="93"/>
      <c r="X240" s="2021"/>
      <c r="Y240" s="93"/>
      <c r="Z240" s="93"/>
      <c r="AB240" s="3">
        <v>1</v>
      </c>
      <c r="AD240" s="2307"/>
    </row>
    <row r="241" spans="1:30" ht="30" x14ac:dyDescent="0.35">
      <c r="A241" s="347">
        <v>104</v>
      </c>
      <c r="B241" s="358">
        <v>10173</v>
      </c>
      <c r="C241" s="358"/>
      <c r="D241" s="358" t="s">
        <v>829</v>
      </c>
      <c r="E241" s="550" t="s">
        <v>10929</v>
      </c>
      <c r="F241" s="41"/>
      <c r="G241" s="41" t="s">
        <v>191</v>
      </c>
      <c r="H241" s="2289" t="s">
        <v>191</v>
      </c>
      <c r="I241" s="744">
        <f>SUM(M241:R241)</f>
        <v>5.4300000000000006</v>
      </c>
      <c r="J241" s="744">
        <f>SUM(M241:R241)</f>
        <v>5.4300000000000006</v>
      </c>
      <c r="K241" s="744"/>
      <c r="L241" s="744"/>
      <c r="M241" s="975"/>
      <c r="N241" s="671">
        <f>+N242+N243+N244</f>
        <v>0.11</v>
      </c>
      <c r="O241" s="850"/>
      <c r="P241" s="744"/>
      <c r="Q241" s="859">
        <f>+Q242+Q243+Q244</f>
        <v>5.32</v>
      </c>
      <c r="R241" s="869"/>
      <c r="S241" s="163"/>
      <c r="T241" s="249"/>
      <c r="U241" s="110"/>
      <c r="V241" s="110"/>
      <c r="W241" s="226">
        <v>16</v>
      </c>
      <c r="X241" s="2451">
        <v>236.7</v>
      </c>
      <c r="Y241" s="226">
        <v>3</v>
      </c>
      <c r="Z241" s="2622">
        <v>55</v>
      </c>
      <c r="AA241" s="2"/>
      <c r="AB241" s="3">
        <v>1</v>
      </c>
      <c r="AD241" s="2307"/>
    </row>
    <row r="242" spans="1:30" x14ac:dyDescent="0.35">
      <c r="A242" s="359"/>
      <c r="B242" s="358">
        <v>10173</v>
      </c>
      <c r="C242" s="358"/>
      <c r="D242" s="360"/>
      <c r="E242" s="393" t="s">
        <v>2303</v>
      </c>
      <c r="F242" s="40">
        <v>4</v>
      </c>
      <c r="G242" s="40">
        <v>5</v>
      </c>
      <c r="H242" s="2289">
        <v>6</v>
      </c>
      <c r="I242" s="745"/>
      <c r="J242" s="745"/>
      <c r="K242" s="745"/>
      <c r="L242" s="745"/>
      <c r="M242" s="976"/>
      <c r="N242" s="746">
        <v>0.06</v>
      </c>
      <c r="O242" s="1092"/>
      <c r="P242" s="747"/>
      <c r="Q242" s="1087"/>
      <c r="R242" s="1082"/>
      <c r="S242" s="2631"/>
      <c r="T242" s="2632"/>
      <c r="U242" s="166"/>
      <c r="V242" s="166"/>
      <c r="W242" s="110"/>
      <c r="X242" s="2634"/>
      <c r="Y242" s="110"/>
      <c r="Z242" s="2633"/>
      <c r="AA242" s="2"/>
    </row>
    <row r="243" spans="1:30" x14ac:dyDescent="0.35">
      <c r="A243" s="359"/>
      <c r="B243" s="358">
        <v>10173</v>
      </c>
      <c r="C243" s="358"/>
      <c r="D243" s="360"/>
      <c r="E243" s="900" t="s">
        <v>1818</v>
      </c>
      <c r="F243" s="40">
        <v>4</v>
      </c>
      <c r="G243" s="40">
        <v>5</v>
      </c>
      <c r="H243" s="2289">
        <v>6</v>
      </c>
      <c r="I243" s="745"/>
      <c r="J243" s="745"/>
      <c r="K243" s="745"/>
      <c r="L243" s="745"/>
      <c r="M243" s="976"/>
      <c r="N243" s="746"/>
      <c r="O243" s="1092"/>
      <c r="P243" s="747"/>
      <c r="Q243" s="1087">
        <v>5.32</v>
      </c>
      <c r="R243" s="1082"/>
      <c r="S243" s="2631"/>
      <c r="T243" s="2632"/>
      <c r="U243" s="166"/>
      <c r="V243" s="166"/>
      <c r="W243" s="110"/>
      <c r="X243" s="2634"/>
      <c r="Y243" s="110"/>
      <c r="Z243" s="2633"/>
      <c r="AA243" s="2"/>
    </row>
    <row r="244" spans="1:30" x14ac:dyDescent="0.35">
      <c r="A244" s="359"/>
      <c r="B244" s="358">
        <v>10173</v>
      </c>
      <c r="C244" s="358"/>
      <c r="D244" s="360"/>
      <c r="E244" s="393" t="s">
        <v>1466</v>
      </c>
      <c r="F244" s="40">
        <v>4</v>
      </c>
      <c r="G244" s="40">
        <v>5</v>
      </c>
      <c r="H244" s="2289">
        <v>6</v>
      </c>
      <c r="I244" s="745"/>
      <c r="J244" s="745"/>
      <c r="K244" s="745"/>
      <c r="L244" s="745"/>
      <c r="M244" s="976"/>
      <c r="N244" s="746">
        <v>0.05</v>
      </c>
      <c r="O244" s="1093"/>
      <c r="P244" s="745"/>
      <c r="Q244" s="1089"/>
      <c r="R244" s="1084"/>
      <c r="S244" s="2631"/>
      <c r="T244" s="2632"/>
      <c r="U244" s="166"/>
      <c r="V244" s="166"/>
      <c r="W244" s="110"/>
      <c r="X244" s="2634"/>
      <c r="Y244" s="110"/>
      <c r="Z244" s="2633"/>
      <c r="AA244" s="2"/>
    </row>
    <row r="245" spans="1:30" ht="30.5" x14ac:dyDescent="0.35">
      <c r="A245" s="693">
        <v>105</v>
      </c>
      <c r="B245" s="105">
        <v>10173</v>
      </c>
      <c r="C245" s="105" t="s">
        <v>1656</v>
      </c>
      <c r="D245" s="2460" t="s">
        <v>4123</v>
      </c>
      <c r="E245" s="269" t="s">
        <v>10927</v>
      </c>
      <c r="F245" s="92" t="s">
        <v>664</v>
      </c>
      <c r="G245" s="92">
        <v>5</v>
      </c>
      <c r="H245" s="41">
        <v>6</v>
      </c>
      <c r="I245" s="702">
        <f>J245+K245+L245</f>
        <v>0.39</v>
      </c>
      <c r="J245" s="702">
        <f t="shared" ref="J245:J251" si="15">SUM(M245:R245)</f>
        <v>0.39</v>
      </c>
      <c r="K245" s="93"/>
      <c r="L245" s="93"/>
      <c r="M245" s="577"/>
      <c r="N245" s="577"/>
      <c r="O245" s="577"/>
      <c r="P245" s="577"/>
      <c r="Q245" s="577"/>
      <c r="R245" s="2096">
        <v>0.39</v>
      </c>
      <c r="S245" s="113"/>
      <c r="T245" s="577"/>
      <c r="U245" s="93"/>
      <c r="V245" s="93"/>
      <c r="W245" s="93"/>
      <c r="X245" s="2021"/>
      <c r="Y245" s="93"/>
      <c r="Z245" s="93"/>
      <c r="AB245" s="3">
        <v>1</v>
      </c>
      <c r="AD245" s="2307"/>
    </row>
    <row r="246" spans="1:30" ht="30.5" x14ac:dyDescent="0.35">
      <c r="A246" s="693">
        <v>106</v>
      </c>
      <c r="B246" s="105">
        <v>10173</v>
      </c>
      <c r="C246" s="105" t="s">
        <v>1656</v>
      </c>
      <c r="D246" s="2460" t="s">
        <v>4124</v>
      </c>
      <c r="E246" s="269" t="s">
        <v>10928</v>
      </c>
      <c r="F246" s="92" t="s">
        <v>664</v>
      </c>
      <c r="G246" s="92">
        <v>5</v>
      </c>
      <c r="H246" s="41">
        <v>6</v>
      </c>
      <c r="I246" s="702">
        <f>J246+K246+L246</f>
        <v>0.75</v>
      </c>
      <c r="J246" s="702">
        <f t="shared" si="15"/>
        <v>0.75</v>
      </c>
      <c r="K246" s="93"/>
      <c r="L246" s="93"/>
      <c r="M246" s="577"/>
      <c r="N246" s="577"/>
      <c r="O246" s="577"/>
      <c r="P246" s="577"/>
      <c r="Q246" s="577"/>
      <c r="R246" s="2096">
        <v>0.75</v>
      </c>
      <c r="S246" s="113"/>
      <c r="T246" s="577"/>
      <c r="U246" s="93"/>
      <c r="V246" s="93"/>
      <c r="W246" s="93"/>
      <c r="X246" s="2021"/>
      <c r="Y246" s="93"/>
      <c r="Z246" s="93"/>
      <c r="AB246" s="3">
        <v>1</v>
      </c>
      <c r="AD246" s="2307"/>
    </row>
    <row r="247" spans="1:30" ht="30.5" x14ac:dyDescent="0.35">
      <c r="A247" s="693">
        <v>107</v>
      </c>
      <c r="B247" s="358">
        <v>10174</v>
      </c>
      <c r="C247" s="358"/>
      <c r="D247" s="358" t="s">
        <v>2869</v>
      </c>
      <c r="E247" s="290" t="s">
        <v>6880</v>
      </c>
      <c r="F247" s="41">
        <v>5</v>
      </c>
      <c r="G247" s="41">
        <v>5</v>
      </c>
      <c r="H247" s="2289">
        <v>6</v>
      </c>
      <c r="I247" s="744">
        <f>SUM(M247:R247)</f>
        <v>8.1999999999999993</v>
      </c>
      <c r="J247" s="744">
        <f t="shared" si="15"/>
        <v>8.1999999999999993</v>
      </c>
      <c r="K247" s="749"/>
      <c r="L247" s="749"/>
      <c r="M247" s="978"/>
      <c r="N247" s="671"/>
      <c r="O247" s="850"/>
      <c r="P247" s="744"/>
      <c r="Q247" s="859">
        <v>8.1999999999999993</v>
      </c>
      <c r="R247" s="869"/>
      <c r="S247" s="163"/>
      <c r="T247" s="248"/>
      <c r="U247" s="110"/>
      <c r="V247" s="110"/>
      <c r="W247" s="226">
        <v>30</v>
      </c>
      <c r="X247" s="2451">
        <v>356.11</v>
      </c>
      <c r="Y247" s="226">
        <v>15</v>
      </c>
      <c r="Z247" s="2622">
        <v>165.5</v>
      </c>
      <c r="AA247" s="2"/>
      <c r="AB247" s="3">
        <v>1</v>
      </c>
      <c r="AD247" s="2307"/>
    </row>
    <row r="248" spans="1:30" ht="45.5" x14ac:dyDescent="0.35">
      <c r="A248" s="693">
        <v>108</v>
      </c>
      <c r="B248" s="358">
        <v>10174</v>
      </c>
      <c r="C248" s="358"/>
      <c r="D248" s="2460" t="s">
        <v>4125</v>
      </c>
      <c r="E248" s="394" t="s">
        <v>9690</v>
      </c>
      <c r="F248" s="41" t="s">
        <v>827</v>
      </c>
      <c r="G248" s="41">
        <v>5</v>
      </c>
      <c r="H248" s="41">
        <v>6</v>
      </c>
      <c r="I248" s="744">
        <f>SUM(M248:R248)</f>
        <v>1.8</v>
      </c>
      <c r="J248" s="744">
        <f t="shared" si="15"/>
        <v>1.8</v>
      </c>
      <c r="K248" s="749"/>
      <c r="L248" s="749"/>
      <c r="M248" s="1096"/>
      <c r="N248" s="1077"/>
      <c r="O248" s="856"/>
      <c r="P248" s="1078"/>
      <c r="Q248" s="1088"/>
      <c r="R248" s="1083">
        <v>1.8</v>
      </c>
      <c r="S248" s="163"/>
      <c r="T248" s="248"/>
      <c r="U248" s="110"/>
      <c r="V248" s="110"/>
      <c r="W248" s="226">
        <v>4</v>
      </c>
      <c r="X248" s="2451">
        <v>43.7</v>
      </c>
      <c r="Y248" s="110"/>
      <c r="Z248" s="2633"/>
      <c r="AA248" s="2"/>
      <c r="AB248" s="3">
        <v>1</v>
      </c>
      <c r="AD248" s="2307"/>
    </row>
    <row r="249" spans="1:30" ht="45.5" x14ac:dyDescent="0.35">
      <c r="A249" s="693">
        <v>109</v>
      </c>
      <c r="B249" s="105">
        <v>10174</v>
      </c>
      <c r="C249" s="105" t="s">
        <v>1656</v>
      </c>
      <c r="D249" s="2460" t="s">
        <v>4127</v>
      </c>
      <c r="E249" s="269" t="s">
        <v>9691</v>
      </c>
      <c r="F249" s="92" t="s">
        <v>664</v>
      </c>
      <c r="G249" s="92">
        <v>5</v>
      </c>
      <c r="H249" s="41">
        <v>6</v>
      </c>
      <c r="I249" s="702">
        <f>J249+K249+L249</f>
        <v>1.5</v>
      </c>
      <c r="J249" s="702">
        <f t="shared" si="15"/>
        <v>1.5</v>
      </c>
      <c r="K249" s="93"/>
      <c r="L249" s="93"/>
      <c r="M249" s="577"/>
      <c r="N249" s="577"/>
      <c r="O249" s="577"/>
      <c r="P249" s="577"/>
      <c r="Q249" s="577"/>
      <c r="R249" s="2096">
        <v>1.5</v>
      </c>
      <c r="S249" s="113"/>
      <c r="T249" s="577"/>
      <c r="U249" s="93"/>
      <c r="V249" s="93"/>
      <c r="W249" s="93"/>
      <c r="X249" s="2021"/>
      <c r="Y249" s="93"/>
      <c r="Z249" s="93"/>
      <c r="AB249" s="3">
        <v>1</v>
      </c>
      <c r="AD249" s="2307"/>
    </row>
    <row r="250" spans="1:30" ht="30" x14ac:dyDescent="0.35">
      <c r="A250" s="693">
        <v>110</v>
      </c>
      <c r="B250" s="358">
        <v>10175</v>
      </c>
      <c r="C250" s="358"/>
      <c r="D250" s="358" t="s">
        <v>830</v>
      </c>
      <c r="E250" s="290" t="s">
        <v>1273</v>
      </c>
      <c r="F250" s="41">
        <v>5</v>
      </c>
      <c r="G250" s="41">
        <v>5</v>
      </c>
      <c r="H250" s="2289">
        <v>6</v>
      </c>
      <c r="I250" s="744">
        <f>SUM(M250:R250)</f>
        <v>1.55</v>
      </c>
      <c r="J250" s="744">
        <f t="shared" si="15"/>
        <v>1.55</v>
      </c>
      <c r="K250" s="749"/>
      <c r="L250" s="749"/>
      <c r="M250" s="978"/>
      <c r="N250" s="671">
        <v>1.55</v>
      </c>
      <c r="O250" s="850"/>
      <c r="P250" s="744"/>
      <c r="Q250" s="859"/>
      <c r="R250" s="869"/>
      <c r="S250" s="163"/>
      <c r="T250" s="248"/>
      <c r="U250" s="110"/>
      <c r="V250" s="110"/>
      <c r="W250" s="226">
        <v>4</v>
      </c>
      <c r="X250" s="2451">
        <v>41.41</v>
      </c>
      <c r="Y250" s="226">
        <v>2</v>
      </c>
      <c r="Z250" s="2635">
        <v>20</v>
      </c>
      <c r="AA250" s="2"/>
      <c r="AB250" s="3">
        <v>1</v>
      </c>
      <c r="AD250" s="2307"/>
    </row>
    <row r="251" spans="1:30" ht="30" x14ac:dyDescent="0.35">
      <c r="A251" s="693">
        <v>111</v>
      </c>
      <c r="B251" s="358">
        <v>10176</v>
      </c>
      <c r="C251" s="358"/>
      <c r="D251" s="358" t="s">
        <v>831</v>
      </c>
      <c r="E251" s="290" t="s">
        <v>9521</v>
      </c>
      <c r="F251" s="41"/>
      <c r="G251" s="41" t="s">
        <v>191</v>
      </c>
      <c r="H251" s="2289" t="s">
        <v>191</v>
      </c>
      <c r="I251" s="744">
        <f>SUM(M251:R251)</f>
        <v>4.84</v>
      </c>
      <c r="J251" s="744">
        <f t="shared" si="15"/>
        <v>4.84</v>
      </c>
      <c r="K251" s="749"/>
      <c r="L251" s="749"/>
      <c r="M251" s="978"/>
      <c r="N251" s="671">
        <f>+N252+N253+N254+N255</f>
        <v>2.5700000000000003</v>
      </c>
      <c r="O251" s="850"/>
      <c r="P251" s="744"/>
      <c r="Q251" s="859">
        <f>+Q252+Q253+Q254+Q255</f>
        <v>2.27</v>
      </c>
      <c r="R251" s="869"/>
      <c r="S251" s="163"/>
      <c r="T251" s="248"/>
      <c r="U251" s="110"/>
      <c r="V251" s="110"/>
      <c r="W251" s="226">
        <v>16</v>
      </c>
      <c r="X251" s="2451">
        <v>201.4</v>
      </c>
      <c r="Y251" s="226">
        <v>4</v>
      </c>
      <c r="Z251" s="2635">
        <v>30</v>
      </c>
      <c r="AA251" s="2"/>
      <c r="AB251" s="3">
        <v>1</v>
      </c>
      <c r="AD251" s="2307"/>
    </row>
    <row r="252" spans="1:30" x14ac:dyDescent="0.35">
      <c r="A252" s="359"/>
      <c r="B252" s="358">
        <v>10176</v>
      </c>
      <c r="C252" s="358"/>
      <c r="D252" s="360"/>
      <c r="E252" s="291" t="s">
        <v>2821</v>
      </c>
      <c r="F252" s="40">
        <v>5</v>
      </c>
      <c r="G252" s="40">
        <v>5</v>
      </c>
      <c r="H252" s="2289">
        <v>6</v>
      </c>
      <c r="I252" s="745"/>
      <c r="J252" s="745"/>
      <c r="K252" s="745"/>
      <c r="L252" s="745"/>
      <c r="M252" s="976"/>
      <c r="N252" s="746">
        <v>0.43</v>
      </c>
      <c r="O252" s="1092"/>
      <c r="P252" s="747"/>
      <c r="Q252" s="1087"/>
      <c r="R252" s="1082"/>
      <c r="S252" s="2631"/>
      <c r="T252" s="2632"/>
      <c r="U252" s="166"/>
      <c r="V252" s="166"/>
      <c r="W252" s="110"/>
      <c r="X252" s="2634"/>
      <c r="Y252" s="110"/>
      <c r="Z252" s="2633"/>
      <c r="AA252" s="2"/>
    </row>
    <row r="253" spans="1:30" x14ac:dyDescent="0.35">
      <c r="A253" s="359"/>
      <c r="B253" s="358">
        <v>10176</v>
      </c>
      <c r="C253" s="358"/>
      <c r="D253" s="360"/>
      <c r="E253" s="837" t="s">
        <v>286</v>
      </c>
      <c r="F253" s="40">
        <v>5</v>
      </c>
      <c r="G253" s="40">
        <v>5</v>
      </c>
      <c r="H253" s="2289">
        <v>6</v>
      </c>
      <c r="I253" s="745"/>
      <c r="J253" s="745"/>
      <c r="K253" s="745"/>
      <c r="L253" s="745"/>
      <c r="M253" s="976"/>
      <c r="N253" s="748"/>
      <c r="O253" s="1093"/>
      <c r="P253" s="745"/>
      <c r="Q253" s="1087">
        <v>0.88</v>
      </c>
      <c r="R253" s="1084"/>
      <c r="S253" s="2631"/>
      <c r="T253" s="2632"/>
      <c r="U253" s="166"/>
      <c r="V253" s="166"/>
      <c r="W253" s="110"/>
      <c r="X253" s="2634"/>
      <c r="Y253" s="110"/>
      <c r="Z253" s="2633"/>
      <c r="AA253" s="2"/>
    </row>
    <row r="254" spans="1:30" x14ac:dyDescent="0.35">
      <c r="A254" s="359"/>
      <c r="B254" s="358">
        <v>10176</v>
      </c>
      <c r="C254" s="358"/>
      <c r="D254" s="360"/>
      <c r="E254" s="291" t="s">
        <v>287</v>
      </c>
      <c r="F254" s="40">
        <v>5</v>
      </c>
      <c r="G254" s="40">
        <v>5</v>
      </c>
      <c r="H254" s="2289">
        <v>6</v>
      </c>
      <c r="I254" s="745"/>
      <c r="J254" s="745"/>
      <c r="K254" s="745"/>
      <c r="L254" s="745"/>
      <c r="M254" s="976"/>
      <c r="N254" s="746">
        <v>2.14</v>
      </c>
      <c r="O254" s="1093"/>
      <c r="P254" s="745"/>
      <c r="Q254" s="1089"/>
      <c r="R254" s="1084"/>
      <c r="S254" s="2631"/>
      <c r="T254" s="2632"/>
      <c r="U254" s="166"/>
      <c r="V254" s="166"/>
      <c r="W254" s="110"/>
      <c r="X254" s="2634"/>
      <c r="Y254" s="110"/>
      <c r="Z254" s="2633"/>
      <c r="AA254" s="2"/>
    </row>
    <row r="255" spans="1:30" x14ac:dyDescent="0.35">
      <c r="A255" s="359"/>
      <c r="B255" s="358">
        <v>10176</v>
      </c>
      <c r="C255" s="358"/>
      <c r="D255" s="360"/>
      <c r="E255" s="837" t="s">
        <v>288</v>
      </c>
      <c r="F255" s="40">
        <v>5</v>
      </c>
      <c r="G255" s="40">
        <v>5</v>
      </c>
      <c r="H255" s="2289">
        <v>6</v>
      </c>
      <c r="I255" s="745"/>
      <c r="J255" s="745"/>
      <c r="K255" s="745"/>
      <c r="L255" s="745"/>
      <c r="M255" s="976"/>
      <c r="N255" s="746"/>
      <c r="O255" s="1092"/>
      <c r="P255" s="747"/>
      <c r="Q255" s="1087">
        <v>1.39</v>
      </c>
      <c r="R255" s="1082"/>
      <c r="S255" s="2631"/>
      <c r="T255" s="2632"/>
      <c r="U255" s="166"/>
      <c r="V255" s="166"/>
      <c r="W255" s="110"/>
      <c r="X255" s="2634"/>
      <c r="Y255" s="110"/>
      <c r="Z255" s="2633"/>
      <c r="AA255" s="2"/>
    </row>
    <row r="256" spans="1:30" ht="30.5" x14ac:dyDescent="0.35">
      <c r="A256" s="347">
        <v>112</v>
      </c>
      <c r="B256" s="405">
        <v>10154</v>
      </c>
      <c r="C256" s="405"/>
      <c r="D256" s="2460" t="s">
        <v>4128</v>
      </c>
      <c r="E256" s="394" t="s">
        <v>9522</v>
      </c>
      <c r="F256" s="40" t="s">
        <v>1490</v>
      </c>
      <c r="G256" s="40">
        <v>5</v>
      </c>
      <c r="H256" s="41">
        <v>6</v>
      </c>
      <c r="I256" s="744">
        <f>SUM(M256:R256)</f>
        <v>1.32</v>
      </c>
      <c r="J256" s="744">
        <f>SUM(M256:R256)</f>
        <v>1.32</v>
      </c>
      <c r="K256" s="749"/>
      <c r="L256" s="749"/>
      <c r="M256" s="1096"/>
      <c r="N256" s="1077"/>
      <c r="O256" s="856"/>
      <c r="P256" s="1078"/>
      <c r="Q256" s="1088"/>
      <c r="R256" s="1083">
        <v>1.32</v>
      </c>
      <c r="S256" s="163"/>
      <c r="T256" s="248"/>
      <c r="U256" s="110"/>
      <c r="V256" s="110"/>
      <c r="W256" s="110"/>
      <c r="X256" s="2634"/>
      <c r="Y256" s="110"/>
      <c r="Z256" s="2633"/>
      <c r="AA256" s="2"/>
      <c r="AB256" s="3">
        <v>1</v>
      </c>
      <c r="AD256" s="2307"/>
    </row>
    <row r="257" spans="1:30" ht="30" x14ac:dyDescent="0.35">
      <c r="A257" s="347">
        <v>113</v>
      </c>
      <c r="B257" s="358">
        <v>10177</v>
      </c>
      <c r="C257" s="358"/>
      <c r="D257" s="358" t="s">
        <v>3397</v>
      </c>
      <c r="E257" s="290" t="s">
        <v>6881</v>
      </c>
      <c r="F257" s="41"/>
      <c r="G257" s="41" t="s">
        <v>191</v>
      </c>
      <c r="H257" s="2289" t="s">
        <v>191</v>
      </c>
      <c r="I257" s="744">
        <f>SUM(M257:R257)</f>
        <v>5.4700000000000006</v>
      </c>
      <c r="J257" s="744">
        <f>SUM(M257:R257)</f>
        <v>5.4700000000000006</v>
      </c>
      <c r="K257" s="749"/>
      <c r="L257" s="749"/>
      <c r="M257" s="978"/>
      <c r="N257" s="671">
        <f>+N258+N259</f>
        <v>2.39</v>
      </c>
      <c r="O257" s="850"/>
      <c r="P257" s="744"/>
      <c r="Q257" s="859">
        <f>+Q258+Q259</f>
        <v>3.08</v>
      </c>
      <c r="R257" s="869"/>
      <c r="S257" s="163"/>
      <c r="T257" s="248"/>
      <c r="U257" s="110"/>
      <c r="V257" s="110"/>
      <c r="W257" s="226">
        <v>9</v>
      </c>
      <c r="X257" s="2451">
        <v>116.06</v>
      </c>
      <c r="Y257" s="226">
        <v>2</v>
      </c>
      <c r="Z257" s="2635">
        <v>20</v>
      </c>
      <c r="AA257" s="2"/>
      <c r="AB257" s="3">
        <v>1</v>
      </c>
      <c r="AD257" s="2307"/>
    </row>
    <row r="258" spans="1:30" x14ac:dyDescent="0.35">
      <c r="A258" s="359"/>
      <c r="B258" s="358">
        <v>10177</v>
      </c>
      <c r="C258" s="358"/>
      <c r="D258" s="360"/>
      <c r="E258" s="837" t="s">
        <v>2655</v>
      </c>
      <c r="F258" s="40">
        <v>5</v>
      </c>
      <c r="G258" s="40">
        <v>5</v>
      </c>
      <c r="H258" s="2289">
        <v>6</v>
      </c>
      <c r="I258" s="745"/>
      <c r="J258" s="745"/>
      <c r="K258" s="745"/>
      <c r="L258" s="745"/>
      <c r="M258" s="976"/>
      <c r="N258" s="746"/>
      <c r="O258" s="1092"/>
      <c r="P258" s="747"/>
      <c r="Q258" s="1087">
        <v>3.08</v>
      </c>
      <c r="R258" s="1082"/>
      <c r="S258" s="2631"/>
      <c r="T258" s="2632"/>
      <c r="U258" s="166"/>
      <c r="V258" s="166"/>
      <c r="W258" s="110"/>
      <c r="X258" s="2634"/>
      <c r="Y258" s="110"/>
      <c r="Z258" s="2633"/>
      <c r="AA258" s="2"/>
    </row>
    <row r="259" spans="1:30" x14ac:dyDescent="0.35">
      <c r="A259" s="359"/>
      <c r="B259" s="358">
        <v>10177</v>
      </c>
      <c r="C259" s="358"/>
      <c r="D259" s="360"/>
      <c r="E259" s="291" t="s">
        <v>719</v>
      </c>
      <c r="F259" s="40">
        <v>5</v>
      </c>
      <c r="G259" s="40">
        <v>5</v>
      </c>
      <c r="H259" s="2289">
        <v>6</v>
      </c>
      <c r="I259" s="745"/>
      <c r="J259" s="745"/>
      <c r="K259" s="745"/>
      <c r="L259" s="745"/>
      <c r="M259" s="976"/>
      <c r="N259" s="746">
        <v>2.39</v>
      </c>
      <c r="O259" s="1092"/>
      <c r="P259" s="747"/>
      <c r="Q259" s="1087"/>
      <c r="R259" s="1082"/>
      <c r="S259" s="2631"/>
      <c r="T259" s="2632"/>
      <c r="U259" s="166"/>
      <c r="V259" s="166"/>
      <c r="W259" s="110"/>
      <c r="X259" s="2634"/>
      <c r="Y259" s="110"/>
      <c r="Z259" s="2633"/>
      <c r="AA259" s="2"/>
    </row>
    <row r="260" spans="1:30" ht="45.5" x14ac:dyDescent="0.35">
      <c r="A260" s="693">
        <v>114</v>
      </c>
      <c r="B260" s="105" t="s">
        <v>40</v>
      </c>
      <c r="C260" s="105" t="s">
        <v>1656</v>
      </c>
      <c r="D260" s="2460" t="s">
        <v>4173</v>
      </c>
      <c r="E260" s="269" t="s">
        <v>8250</v>
      </c>
      <c r="F260" s="92" t="s">
        <v>664</v>
      </c>
      <c r="G260" s="92">
        <v>5</v>
      </c>
      <c r="H260" s="41">
        <v>6</v>
      </c>
      <c r="I260" s="702">
        <f>J260+K260+L260</f>
        <v>1.35</v>
      </c>
      <c r="J260" s="702">
        <f>SUM(M260:R260)</f>
        <v>1.35</v>
      </c>
      <c r="K260" s="93"/>
      <c r="L260" s="93"/>
      <c r="M260" s="577"/>
      <c r="N260" s="577"/>
      <c r="O260" s="577"/>
      <c r="P260" s="577"/>
      <c r="Q260" s="577"/>
      <c r="R260" s="2096">
        <v>1.35</v>
      </c>
      <c r="S260" s="113"/>
      <c r="T260" s="577"/>
      <c r="U260" s="93"/>
      <c r="V260" s="93"/>
      <c r="W260" s="93"/>
      <c r="X260" s="2021"/>
      <c r="Y260" s="93"/>
      <c r="Z260" s="93"/>
      <c r="AB260" s="3">
        <v>1</v>
      </c>
      <c r="AD260" s="2307"/>
    </row>
    <row r="261" spans="1:30" ht="30" x14ac:dyDescent="0.35">
      <c r="A261" s="347">
        <v>115</v>
      </c>
      <c r="B261" s="358">
        <v>10178</v>
      </c>
      <c r="C261" s="358"/>
      <c r="D261" s="358" t="s">
        <v>168</v>
      </c>
      <c r="E261" s="290" t="s">
        <v>6882</v>
      </c>
      <c r="F261" s="41"/>
      <c r="G261" s="41" t="s">
        <v>191</v>
      </c>
      <c r="H261" s="2289" t="s">
        <v>191</v>
      </c>
      <c r="I261" s="744">
        <f>SUM(M261:R261)</f>
        <v>4.375</v>
      </c>
      <c r="J261" s="744">
        <f>SUM(M261:R261)</f>
        <v>4.375</v>
      </c>
      <c r="K261" s="749"/>
      <c r="L261" s="749"/>
      <c r="M261" s="978"/>
      <c r="N261" s="671">
        <f>+N262+N263+N264+N265</f>
        <v>1.105</v>
      </c>
      <c r="O261" s="850"/>
      <c r="P261" s="744"/>
      <c r="Q261" s="859">
        <f>+Q262+Q263+Q264+Q265</f>
        <v>3.27</v>
      </c>
      <c r="R261" s="869"/>
      <c r="S261" s="163"/>
      <c r="T261" s="248"/>
      <c r="U261" s="110"/>
      <c r="V261" s="110"/>
      <c r="W261" s="226">
        <v>9</v>
      </c>
      <c r="X261" s="2451">
        <v>104.5</v>
      </c>
      <c r="Y261" s="110">
        <v>2</v>
      </c>
      <c r="Z261" s="2622">
        <v>20</v>
      </c>
      <c r="AA261" s="2"/>
      <c r="AB261" s="3">
        <v>1</v>
      </c>
      <c r="AD261" s="2307"/>
    </row>
    <row r="262" spans="1:30" x14ac:dyDescent="0.35">
      <c r="A262" s="359"/>
      <c r="B262" s="358">
        <v>10178</v>
      </c>
      <c r="C262" s="358"/>
      <c r="D262" s="360"/>
      <c r="E262" s="291" t="s">
        <v>807</v>
      </c>
      <c r="F262" s="40">
        <v>5</v>
      </c>
      <c r="G262" s="40">
        <v>5</v>
      </c>
      <c r="H262" s="2289">
        <v>6</v>
      </c>
      <c r="I262" s="745"/>
      <c r="J262" s="745"/>
      <c r="K262" s="745"/>
      <c r="L262" s="745"/>
      <c r="M262" s="976"/>
      <c r="N262" s="746">
        <v>0.68</v>
      </c>
      <c r="O262" s="1092"/>
      <c r="P262" s="747"/>
      <c r="Q262" s="1087"/>
      <c r="R262" s="1082"/>
      <c r="S262" s="2631"/>
      <c r="T262" s="2632"/>
      <c r="U262" s="166"/>
      <c r="V262" s="166"/>
      <c r="W262" s="110"/>
      <c r="X262" s="2634"/>
      <c r="Y262" s="110"/>
      <c r="Z262" s="2633"/>
      <c r="AA262" s="2"/>
    </row>
    <row r="263" spans="1:30" x14ac:dyDescent="0.35">
      <c r="A263" s="359"/>
      <c r="B263" s="358">
        <v>10178</v>
      </c>
      <c r="C263" s="358"/>
      <c r="D263" s="360"/>
      <c r="E263" s="837" t="s">
        <v>808</v>
      </c>
      <c r="F263" s="40">
        <v>5</v>
      </c>
      <c r="G263" s="40">
        <v>5</v>
      </c>
      <c r="H263" s="2289">
        <v>6</v>
      </c>
      <c r="I263" s="745"/>
      <c r="J263" s="745"/>
      <c r="K263" s="745"/>
      <c r="L263" s="745"/>
      <c r="M263" s="976"/>
      <c r="N263" s="746"/>
      <c r="O263" s="1092"/>
      <c r="P263" s="747"/>
      <c r="Q263" s="1087">
        <f>3.95-0.68</f>
        <v>3.27</v>
      </c>
      <c r="R263" s="1082"/>
      <c r="S263" s="2631"/>
      <c r="T263" s="2632"/>
      <c r="U263" s="166"/>
      <c r="V263" s="166"/>
      <c r="W263" s="110"/>
      <c r="X263" s="2634"/>
      <c r="Y263" s="110"/>
      <c r="Z263" s="2633"/>
      <c r="AA263" s="2"/>
    </row>
    <row r="264" spans="1:30" x14ac:dyDescent="0.35">
      <c r="A264" s="359"/>
      <c r="B264" s="358">
        <v>10178</v>
      </c>
      <c r="C264" s="358"/>
      <c r="D264" s="360"/>
      <c r="E264" s="291" t="s">
        <v>1048</v>
      </c>
      <c r="F264" s="40">
        <v>5</v>
      </c>
      <c r="G264" s="40">
        <v>5</v>
      </c>
      <c r="H264" s="2289">
        <v>6</v>
      </c>
      <c r="I264" s="745"/>
      <c r="J264" s="745"/>
      <c r="K264" s="745"/>
      <c r="L264" s="745"/>
      <c r="M264" s="976"/>
      <c r="N264" s="746">
        <v>0.42499999999999999</v>
      </c>
      <c r="O264" s="1093"/>
      <c r="P264" s="745"/>
      <c r="Q264" s="1089"/>
      <c r="R264" s="1084"/>
      <c r="S264" s="2631"/>
      <c r="T264" s="2632"/>
      <c r="U264" s="166"/>
      <c r="V264" s="166"/>
      <c r="W264" s="110"/>
      <c r="X264" s="2634"/>
      <c r="Y264" s="110"/>
      <c r="Z264" s="2633"/>
      <c r="AA264" s="2"/>
    </row>
    <row r="265" spans="1:30" ht="30.5" x14ac:dyDescent="0.35">
      <c r="A265" s="349">
        <v>116</v>
      </c>
      <c r="B265" s="358">
        <v>10178</v>
      </c>
      <c r="C265" s="358"/>
      <c r="D265" s="2460" t="s">
        <v>4129</v>
      </c>
      <c r="E265" s="290" t="s">
        <v>7520</v>
      </c>
      <c r="F265" s="40">
        <v>5</v>
      </c>
      <c r="G265" s="40">
        <v>5</v>
      </c>
      <c r="H265" s="41">
        <v>6</v>
      </c>
      <c r="I265" s="744">
        <f>SUM(M265:R265)</f>
        <v>1.36</v>
      </c>
      <c r="J265" s="744">
        <f>SUM(M265:R265)</f>
        <v>1.36</v>
      </c>
      <c r="K265" s="745"/>
      <c r="L265" s="745"/>
      <c r="M265" s="976"/>
      <c r="N265" s="746"/>
      <c r="O265" s="1092"/>
      <c r="P265" s="747"/>
      <c r="Q265" s="1087"/>
      <c r="R265" s="1846">
        <v>1.36</v>
      </c>
      <c r="S265" s="2631"/>
      <c r="T265" s="2632"/>
      <c r="U265" s="166"/>
      <c r="V265" s="166"/>
      <c r="W265" s="110"/>
      <c r="X265" s="2634"/>
      <c r="Y265" s="110"/>
      <c r="Z265" s="2633"/>
      <c r="AA265" s="2"/>
      <c r="AB265" s="3">
        <v>1</v>
      </c>
      <c r="AD265" s="2307"/>
    </row>
    <row r="266" spans="1:30" ht="45.5" x14ac:dyDescent="0.35">
      <c r="A266" s="693">
        <v>117</v>
      </c>
      <c r="B266" s="105">
        <v>10178</v>
      </c>
      <c r="C266" s="105" t="s">
        <v>1656</v>
      </c>
      <c r="D266" s="2460" t="s">
        <v>4130</v>
      </c>
      <c r="E266" s="269" t="s">
        <v>8251</v>
      </c>
      <c r="F266" s="92" t="s">
        <v>664</v>
      </c>
      <c r="G266" s="92">
        <v>5</v>
      </c>
      <c r="H266" s="41">
        <v>6</v>
      </c>
      <c r="I266" s="702">
        <f>J266+K266+L266</f>
        <v>0.12</v>
      </c>
      <c r="J266" s="702">
        <f>SUM(M266:R266)</f>
        <v>0.12</v>
      </c>
      <c r="K266" s="93"/>
      <c r="L266" s="93"/>
      <c r="M266" s="577"/>
      <c r="N266" s="577"/>
      <c r="O266" s="577"/>
      <c r="P266" s="577"/>
      <c r="Q266" s="577"/>
      <c r="R266" s="2096">
        <v>0.12</v>
      </c>
      <c r="S266" s="113"/>
      <c r="T266" s="577"/>
      <c r="U266" s="93"/>
      <c r="V266" s="93"/>
      <c r="W266" s="93"/>
      <c r="X266" s="2021"/>
      <c r="Y266" s="93"/>
      <c r="Z266" s="93"/>
      <c r="AB266" s="3">
        <v>1</v>
      </c>
      <c r="AD266" s="2307"/>
    </row>
    <row r="267" spans="1:30" ht="30.5" x14ac:dyDescent="0.35">
      <c r="A267" s="349">
        <v>118</v>
      </c>
      <c r="B267" s="105">
        <v>10178</v>
      </c>
      <c r="C267" s="105" t="s">
        <v>1656</v>
      </c>
      <c r="D267" s="2460" t="s">
        <v>4131</v>
      </c>
      <c r="E267" s="269" t="s">
        <v>8252</v>
      </c>
      <c r="F267" s="92" t="s">
        <v>1490</v>
      </c>
      <c r="G267" s="92">
        <v>5</v>
      </c>
      <c r="H267" s="41">
        <v>6</v>
      </c>
      <c r="I267" s="702">
        <f>J267+K267+L267</f>
        <v>1.8</v>
      </c>
      <c r="J267" s="702">
        <f>SUM(M267:R267)</f>
        <v>1.8</v>
      </c>
      <c r="K267" s="93"/>
      <c r="L267" s="93"/>
      <c r="M267" s="577"/>
      <c r="N267" s="577"/>
      <c r="O267" s="577"/>
      <c r="P267" s="577"/>
      <c r="Q267" s="577"/>
      <c r="R267" s="2096">
        <v>1.8</v>
      </c>
      <c r="S267" s="113"/>
      <c r="T267" s="577"/>
      <c r="U267" s="93"/>
      <c r="V267" s="93"/>
      <c r="W267" s="226">
        <v>2</v>
      </c>
      <c r="X267" s="2451">
        <v>15</v>
      </c>
      <c r="Y267" s="93"/>
      <c r="Z267" s="93"/>
      <c r="AB267" s="3">
        <v>1</v>
      </c>
      <c r="AC267" s="3" t="s">
        <v>2570</v>
      </c>
      <c r="AD267" s="2307"/>
    </row>
    <row r="268" spans="1:30" ht="30" x14ac:dyDescent="0.35">
      <c r="A268" s="693">
        <v>119</v>
      </c>
      <c r="B268" s="358">
        <v>10180</v>
      </c>
      <c r="C268" s="358"/>
      <c r="D268" s="358" t="s">
        <v>169</v>
      </c>
      <c r="E268" s="290" t="s">
        <v>569</v>
      </c>
      <c r="F268" s="41"/>
      <c r="G268" s="41" t="s">
        <v>191</v>
      </c>
      <c r="H268" s="2289" t="s">
        <v>191</v>
      </c>
      <c r="I268" s="744">
        <f>SUM(M268:R268)</f>
        <v>4.75</v>
      </c>
      <c r="J268" s="744">
        <f>SUM(M268:R268)</f>
        <v>4.75</v>
      </c>
      <c r="K268" s="749"/>
      <c r="L268" s="749"/>
      <c r="M268" s="978"/>
      <c r="N268" s="671">
        <f>+N269+N270+N271</f>
        <v>0.47</v>
      </c>
      <c r="O268" s="850"/>
      <c r="P268" s="744"/>
      <c r="Q268" s="859">
        <f>+Q269+Q270+Q271</f>
        <v>4.28</v>
      </c>
      <c r="R268" s="869"/>
      <c r="S268" s="163"/>
      <c r="T268" s="248"/>
      <c r="U268" s="110"/>
      <c r="V268" s="110"/>
      <c r="W268" s="226">
        <v>17</v>
      </c>
      <c r="X268" s="2451">
        <v>222.94</v>
      </c>
      <c r="Y268" s="226">
        <v>4</v>
      </c>
      <c r="Z268" s="2622">
        <v>42.64</v>
      </c>
      <c r="AA268" s="2"/>
      <c r="AB268" s="3">
        <v>1</v>
      </c>
      <c r="AD268" s="2307"/>
    </row>
    <row r="269" spans="1:30" x14ac:dyDescent="0.35">
      <c r="A269" s="359"/>
      <c r="B269" s="358">
        <v>10180</v>
      </c>
      <c r="C269" s="358"/>
      <c r="D269" s="360"/>
      <c r="E269" s="837" t="s">
        <v>3080</v>
      </c>
      <c r="F269" s="40">
        <v>5</v>
      </c>
      <c r="G269" s="40">
        <v>5</v>
      </c>
      <c r="H269" s="2289">
        <v>6</v>
      </c>
      <c r="I269" s="745"/>
      <c r="J269" s="745"/>
      <c r="K269" s="745"/>
      <c r="L269" s="745"/>
      <c r="M269" s="976"/>
      <c r="N269" s="746"/>
      <c r="O269" s="1092"/>
      <c r="P269" s="747"/>
      <c r="Q269" s="1087">
        <v>1.68</v>
      </c>
      <c r="R269" s="1082"/>
      <c r="S269" s="2631"/>
      <c r="T269" s="2632"/>
      <c r="U269" s="166"/>
      <c r="V269" s="166"/>
      <c r="W269" s="110"/>
      <c r="X269" s="2634"/>
      <c r="Y269" s="110"/>
      <c r="Z269" s="2633"/>
      <c r="AA269" s="2"/>
    </row>
    <row r="270" spans="1:30" x14ac:dyDescent="0.35">
      <c r="A270" s="359"/>
      <c r="B270" s="358">
        <v>10180</v>
      </c>
      <c r="C270" s="358"/>
      <c r="D270" s="360"/>
      <c r="E270" s="291" t="s">
        <v>1049</v>
      </c>
      <c r="F270" s="40">
        <v>5</v>
      </c>
      <c r="G270" s="40">
        <v>5</v>
      </c>
      <c r="H270" s="2289">
        <v>6</v>
      </c>
      <c r="I270" s="745"/>
      <c r="J270" s="745"/>
      <c r="K270" s="745"/>
      <c r="L270" s="745"/>
      <c r="M270" s="976"/>
      <c r="N270" s="746">
        <v>0.47</v>
      </c>
      <c r="O270" s="1093"/>
      <c r="P270" s="745"/>
      <c r="Q270" s="1089"/>
      <c r="R270" s="1084"/>
      <c r="S270" s="2631"/>
      <c r="T270" s="2632"/>
      <c r="U270" s="166"/>
      <c r="V270" s="166"/>
      <c r="W270" s="110"/>
      <c r="X270" s="2634"/>
      <c r="Y270" s="110"/>
      <c r="Z270" s="2633"/>
      <c r="AA270" s="2"/>
    </row>
    <row r="271" spans="1:30" x14ac:dyDescent="0.35">
      <c r="A271" s="359"/>
      <c r="B271" s="358">
        <v>10180</v>
      </c>
      <c r="C271" s="358"/>
      <c r="D271" s="360"/>
      <c r="E271" s="837" t="s">
        <v>1050</v>
      </c>
      <c r="F271" s="40">
        <v>5</v>
      </c>
      <c r="G271" s="40">
        <v>5</v>
      </c>
      <c r="H271" s="2289">
        <v>6</v>
      </c>
      <c r="I271" s="745"/>
      <c r="J271" s="745"/>
      <c r="K271" s="745"/>
      <c r="L271" s="745"/>
      <c r="M271" s="976"/>
      <c r="N271" s="748"/>
      <c r="O271" s="1093"/>
      <c r="P271" s="745"/>
      <c r="Q271" s="1087">
        <v>2.6</v>
      </c>
      <c r="R271" s="1084"/>
      <c r="S271" s="2631"/>
      <c r="T271" s="2632"/>
      <c r="U271" s="166"/>
      <c r="V271" s="166"/>
      <c r="W271" s="110"/>
      <c r="X271" s="2634"/>
      <c r="Y271" s="110"/>
      <c r="Z271" s="2633"/>
      <c r="AA271" s="2"/>
    </row>
    <row r="272" spans="1:30" ht="30" x14ac:dyDescent="0.35">
      <c r="A272" s="349">
        <v>120</v>
      </c>
      <c r="B272" s="358">
        <v>10180</v>
      </c>
      <c r="C272" s="358"/>
      <c r="D272" s="2460" t="s">
        <v>4132</v>
      </c>
      <c r="E272" s="1845" t="s">
        <v>7521</v>
      </c>
      <c r="F272" s="40">
        <v>5</v>
      </c>
      <c r="G272" s="40">
        <v>5</v>
      </c>
      <c r="H272" s="2289">
        <v>6</v>
      </c>
      <c r="I272" s="744">
        <f t="shared" ref="I272:I279" si="16">SUM(M272:R272)</f>
        <v>0.27</v>
      </c>
      <c r="J272" s="744">
        <f t="shared" ref="J272:J279" si="17">SUM(M272:R272)</f>
        <v>0.27</v>
      </c>
      <c r="K272" s="749"/>
      <c r="L272" s="749"/>
      <c r="M272" s="1847"/>
      <c r="N272" s="1848"/>
      <c r="O272" s="1849"/>
      <c r="P272" s="749"/>
      <c r="Q272" s="1850">
        <v>0.27</v>
      </c>
      <c r="R272" s="1084"/>
      <c r="S272" s="2631"/>
      <c r="T272" s="2632"/>
      <c r="U272" s="166"/>
      <c r="V272" s="166"/>
      <c r="W272" s="110"/>
      <c r="X272" s="2634"/>
      <c r="Y272" s="110"/>
      <c r="Z272" s="2633"/>
      <c r="AA272" s="2"/>
      <c r="AB272" s="3">
        <v>1</v>
      </c>
      <c r="AD272" s="2307"/>
    </row>
    <row r="273" spans="1:30" ht="30" x14ac:dyDescent="0.35">
      <c r="A273" s="349">
        <v>121</v>
      </c>
      <c r="B273" s="358">
        <v>10180</v>
      </c>
      <c r="C273" s="358"/>
      <c r="D273" s="2460" t="s">
        <v>4133</v>
      </c>
      <c r="E273" s="1845" t="s">
        <v>7522</v>
      </c>
      <c r="F273" s="40">
        <v>5</v>
      </c>
      <c r="G273" s="40">
        <v>5</v>
      </c>
      <c r="H273" s="2289">
        <v>6</v>
      </c>
      <c r="I273" s="744">
        <f t="shared" si="16"/>
        <v>0.56999999999999995</v>
      </c>
      <c r="J273" s="744">
        <f t="shared" si="17"/>
        <v>0.56999999999999995</v>
      </c>
      <c r="K273" s="749"/>
      <c r="L273" s="749"/>
      <c r="M273" s="1847"/>
      <c r="N273" s="1848"/>
      <c r="O273" s="1849"/>
      <c r="P273" s="749"/>
      <c r="Q273" s="1850">
        <v>0.56999999999999995</v>
      </c>
      <c r="R273" s="1084"/>
      <c r="S273" s="2631"/>
      <c r="T273" s="2632"/>
      <c r="U273" s="166"/>
      <c r="V273" s="166"/>
      <c r="W273" s="110">
        <v>3</v>
      </c>
      <c r="X273" s="2634">
        <v>31.42</v>
      </c>
      <c r="Y273" s="110">
        <v>2</v>
      </c>
      <c r="Z273" s="2633">
        <v>21.32</v>
      </c>
      <c r="AA273" s="2"/>
      <c r="AB273" s="3">
        <v>1</v>
      </c>
      <c r="AD273" s="2307"/>
    </row>
    <row r="274" spans="1:30" ht="30" x14ac:dyDescent="0.35">
      <c r="A274" s="349">
        <v>122</v>
      </c>
      <c r="B274" s="358">
        <v>10180</v>
      </c>
      <c r="C274" s="358"/>
      <c r="D274" s="2460" t="s">
        <v>4134</v>
      </c>
      <c r="E274" s="1845" t="s">
        <v>7523</v>
      </c>
      <c r="F274" s="40">
        <v>5</v>
      </c>
      <c r="G274" s="40">
        <v>5</v>
      </c>
      <c r="H274" s="2289">
        <v>6</v>
      </c>
      <c r="I274" s="744">
        <f t="shared" si="16"/>
        <v>0.55000000000000004</v>
      </c>
      <c r="J274" s="744">
        <f t="shared" si="17"/>
        <v>0.55000000000000004</v>
      </c>
      <c r="K274" s="749"/>
      <c r="L274" s="749"/>
      <c r="M274" s="1847"/>
      <c r="N274" s="1848"/>
      <c r="O274" s="1849"/>
      <c r="P274" s="749"/>
      <c r="Q274" s="1850">
        <v>0.55000000000000004</v>
      </c>
      <c r="R274" s="1084"/>
      <c r="S274" s="2631"/>
      <c r="T274" s="2632"/>
      <c r="U274" s="166"/>
      <c r="V274" s="166"/>
      <c r="W274" s="110">
        <v>4</v>
      </c>
      <c r="X274" s="2634">
        <v>42.64</v>
      </c>
      <c r="Y274" s="110">
        <v>4</v>
      </c>
      <c r="Z274" s="2633">
        <v>42.64</v>
      </c>
      <c r="AA274" s="2"/>
      <c r="AB274" s="3">
        <v>1</v>
      </c>
      <c r="AD274" s="2307"/>
    </row>
    <row r="275" spans="1:30" ht="45" x14ac:dyDescent="0.35">
      <c r="A275" s="349">
        <v>123</v>
      </c>
      <c r="B275" s="358">
        <v>10180</v>
      </c>
      <c r="C275" s="358"/>
      <c r="D275" s="2460" t="s">
        <v>4135</v>
      </c>
      <c r="E275" s="1845" t="s">
        <v>7524</v>
      </c>
      <c r="F275" s="40">
        <v>5</v>
      </c>
      <c r="G275" s="40">
        <v>5</v>
      </c>
      <c r="H275" s="2289">
        <v>6</v>
      </c>
      <c r="I275" s="744">
        <f t="shared" si="16"/>
        <v>0.28999999999999998</v>
      </c>
      <c r="J275" s="744">
        <f t="shared" si="17"/>
        <v>0.28999999999999998</v>
      </c>
      <c r="K275" s="749"/>
      <c r="L275" s="749"/>
      <c r="M275" s="1847"/>
      <c r="N275" s="1851">
        <v>0.28999999999999998</v>
      </c>
      <c r="O275" s="1852"/>
      <c r="P275" s="744"/>
      <c r="Q275" s="1850"/>
      <c r="R275" s="1082"/>
      <c r="S275" s="2631"/>
      <c r="T275" s="2632"/>
      <c r="U275" s="166"/>
      <c r="V275" s="166"/>
      <c r="W275" s="110">
        <v>1</v>
      </c>
      <c r="X275" s="2634">
        <v>15.14</v>
      </c>
      <c r="Y275" s="110"/>
      <c r="Z275" s="2633"/>
      <c r="AA275" s="2"/>
      <c r="AB275" s="3">
        <v>1</v>
      </c>
      <c r="AD275" s="2307"/>
    </row>
    <row r="276" spans="1:30" ht="30" x14ac:dyDescent="0.35">
      <c r="A276" s="349">
        <v>124</v>
      </c>
      <c r="B276" s="358">
        <v>10181</v>
      </c>
      <c r="C276" s="358"/>
      <c r="D276" s="358" t="s">
        <v>2479</v>
      </c>
      <c r="E276" s="290" t="s">
        <v>1051</v>
      </c>
      <c r="F276" s="41" t="s">
        <v>827</v>
      </c>
      <c r="G276" s="41">
        <v>5</v>
      </c>
      <c r="H276" s="41">
        <v>6</v>
      </c>
      <c r="I276" s="744">
        <f t="shared" si="16"/>
        <v>0.8</v>
      </c>
      <c r="J276" s="744">
        <f t="shared" si="17"/>
        <v>0.8</v>
      </c>
      <c r="K276" s="744"/>
      <c r="L276" s="744"/>
      <c r="M276" s="975"/>
      <c r="N276" s="671"/>
      <c r="O276" s="850"/>
      <c r="P276" s="744"/>
      <c r="Q276" s="859"/>
      <c r="R276" s="869">
        <v>0.8</v>
      </c>
      <c r="S276" s="163"/>
      <c r="T276" s="248"/>
      <c r="U276" s="110"/>
      <c r="V276" s="110"/>
      <c r="W276" s="226">
        <v>2</v>
      </c>
      <c r="X276" s="2451">
        <v>20</v>
      </c>
      <c r="Y276" s="110"/>
      <c r="Z276" s="2633"/>
      <c r="AA276" s="2"/>
      <c r="AB276" s="3">
        <v>1</v>
      </c>
      <c r="AD276" s="2307"/>
    </row>
    <row r="277" spans="1:30" ht="30.5" x14ac:dyDescent="0.35">
      <c r="A277" s="349">
        <v>125</v>
      </c>
      <c r="B277" s="358">
        <v>10182</v>
      </c>
      <c r="C277" s="358"/>
      <c r="D277" s="358" t="s">
        <v>679</v>
      </c>
      <c r="E277" s="290" t="s">
        <v>9692</v>
      </c>
      <c r="F277" s="41" t="s">
        <v>664</v>
      </c>
      <c r="G277" s="41">
        <v>5</v>
      </c>
      <c r="H277" s="41">
        <v>6</v>
      </c>
      <c r="I277" s="744">
        <f t="shared" si="16"/>
        <v>4</v>
      </c>
      <c r="J277" s="744">
        <f t="shared" si="17"/>
        <v>4</v>
      </c>
      <c r="K277" s="744"/>
      <c r="L277" s="744"/>
      <c r="M277" s="975"/>
      <c r="N277" s="671"/>
      <c r="O277" s="850"/>
      <c r="P277" s="744"/>
      <c r="Q277" s="859"/>
      <c r="R277" s="869">
        <v>4</v>
      </c>
      <c r="S277" s="163">
        <v>1</v>
      </c>
      <c r="T277" s="248">
        <v>6</v>
      </c>
      <c r="U277" s="110"/>
      <c r="V277" s="110"/>
      <c r="W277" s="110"/>
      <c r="X277" s="2634"/>
      <c r="Y277" s="110"/>
      <c r="Z277" s="2633"/>
      <c r="AA277" s="2"/>
      <c r="AB277" s="3">
        <v>1</v>
      </c>
      <c r="AD277" s="2307"/>
    </row>
    <row r="278" spans="1:30" ht="60.5" x14ac:dyDescent="0.35">
      <c r="A278" s="349">
        <v>126</v>
      </c>
      <c r="B278" s="105">
        <v>10182</v>
      </c>
      <c r="C278" s="105" t="s">
        <v>1656</v>
      </c>
      <c r="D278" s="2460" t="s">
        <v>4136</v>
      </c>
      <c r="E278" s="269" t="s">
        <v>9693</v>
      </c>
      <c r="F278" s="92" t="s">
        <v>664</v>
      </c>
      <c r="G278" s="92">
        <v>5</v>
      </c>
      <c r="H278" s="41">
        <v>6</v>
      </c>
      <c r="I278" s="702">
        <f>J278+K278+L278</f>
        <v>2</v>
      </c>
      <c r="J278" s="702">
        <f>SUM(M278:R278)</f>
        <v>2</v>
      </c>
      <c r="K278" s="93"/>
      <c r="L278" s="93"/>
      <c r="M278" s="577"/>
      <c r="N278" s="577"/>
      <c r="O278" s="577"/>
      <c r="P278" s="577"/>
      <c r="Q278" s="577"/>
      <c r="R278" s="2096">
        <v>2</v>
      </c>
      <c r="S278" s="113"/>
      <c r="T278" s="577"/>
      <c r="U278" s="93"/>
      <c r="V278" s="93"/>
      <c r="W278" s="93"/>
      <c r="X278" s="2021"/>
      <c r="Y278" s="93"/>
      <c r="Z278" s="93"/>
      <c r="AB278" s="3">
        <v>1</v>
      </c>
      <c r="AD278" s="2307"/>
    </row>
    <row r="279" spans="1:30" ht="30" x14ac:dyDescent="0.35">
      <c r="A279" s="349">
        <v>127</v>
      </c>
      <c r="B279" s="358">
        <v>10183</v>
      </c>
      <c r="C279" s="358"/>
      <c r="D279" s="358" t="s">
        <v>680</v>
      </c>
      <c r="E279" s="290" t="s">
        <v>1427</v>
      </c>
      <c r="F279" s="41"/>
      <c r="G279" s="41" t="s">
        <v>191</v>
      </c>
      <c r="H279" s="2289" t="s">
        <v>191</v>
      </c>
      <c r="I279" s="744">
        <f t="shared" si="16"/>
        <v>2.8</v>
      </c>
      <c r="J279" s="744">
        <f t="shared" si="17"/>
        <v>2.8</v>
      </c>
      <c r="K279" s="749"/>
      <c r="L279" s="749"/>
      <c r="M279" s="978"/>
      <c r="N279" s="671">
        <f>+N280</f>
        <v>0.2</v>
      </c>
      <c r="O279" s="850"/>
      <c r="P279" s="744"/>
      <c r="Q279" s="859">
        <f>+Q281</f>
        <v>1.84</v>
      </c>
      <c r="R279" s="869">
        <f>+R282</f>
        <v>0.76</v>
      </c>
      <c r="S279" s="538">
        <v>1</v>
      </c>
      <c r="T279" s="249">
        <v>18.100000000000001</v>
      </c>
      <c r="U279" s="110"/>
      <c r="V279" s="110"/>
      <c r="W279" s="110"/>
      <c r="X279" s="2634"/>
      <c r="Y279" s="110"/>
      <c r="Z279" s="2633"/>
      <c r="AA279" s="2"/>
      <c r="AB279" s="3">
        <v>1</v>
      </c>
      <c r="AD279" s="2307"/>
    </row>
    <row r="280" spans="1:30" x14ac:dyDescent="0.35">
      <c r="A280" s="359"/>
      <c r="B280" s="358">
        <v>10183</v>
      </c>
      <c r="C280" s="358"/>
      <c r="D280" s="360"/>
      <c r="E280" s="291" t="s">
        <v>1795</v>
      </c>
      <c r="F280" s="40">
        <v>5</v>
      </c>
      <c r="G280" s="40">
        <v>5</v>
      </c>
      <c r="H280" s="2289">
        <v>6</v>
      </c>
      <c r="I280" s="745"/>
      <c r="J280" s="745"/>
      <c r="K280" s="745"/>
      <c r="L280" s="745"/>
      <c r="M280" s="976"/>
      <c r="N280" s="746">
        <v>0.2</v>
      </c>
      <c r="O280" s="1092"/>
      <c r="P280" s="747"/>
      <c r="Q280" s="1087"/>
      <c r="R280" s="1082"/>
      <c r="S280" s="2631"/>
      <c r="T280" s="2632"/>
      <c r="U280" s="166"/>
      <c r="V280" s="166"/>
      <c r="W280" s="110"/>
      <c r="X280" s="2634"/>
      <c r="Y280" s="110"/>
      <c r="Z280" s="2633"/>
      <c r="AA280" s="2"/>
    </row>
    <row r="281" spans="1:30" x14ac:dyDescent="0.35">
      <c r="A281" s="359"/>
      <c r="B281" s="358">
        <v>10183</v>
      </c>
      <c r="C281" s="358"/>
      <c r="D281" s="360"/>
      <c r="E281" s="837" t="s">
        <v>1315</v>
      </c>
      <c r="F281" s="40">
        <v>5</v>
      </c>
      <c r="G281" s="40">
        <v>5</v>
      </c>
      <c r="H281" s="2289">
        <v>6</v>
      </c>
      <c r="I281" s="745"/>
      <c r="J281" s="745"/>
      <c r="K281" s="745"/>
      <c r="L281" s="745"/>
      <c r="M281" s="976"/>
      <c r="N281" s="746"/>
      <c r="O281" s="1092"/>
      <c r="P281" s="747"/>
      <c r="Q281" s="1087">
        <v>1.84</v>
      </c>
      <c r="R281" s="1082"/>
      <c r="S281" s="2631"/>
      <c r="T281" s="2632"/>
      <c r="U281" s="166"/>
      <c r="V281" s="166"/>
      <c r="W281" s="110"/>
      <c r="X281" s="2634"/>
      <c r="Y281" s="110"/>
      <c r="Z281" s="2633"/>
      <c r="AA281" s="2"/>
    </row>
    <row r="282" spans="1:30" x14ac:dyDescent="0.35">
      <c r="A282" s="359"/>
      <c r="B282" s="358">
        <v>10183</v>
      </c>
      <c r="C282" s="358"/>
      <c r="D282" s="360"/>
      <c r="E282" s="838" t="s">
        <v>2361</v>
      </c>
      <c r="F282" s="40" t="s">
        <v>664</v>
      </c>
      <c r="G282" s="40">
        <v>5</v>
      </c>
      <c r="H282" s="41">
        <v>6</v>
      </c>
      <c r="I282" s="745"/>
      <c r="J282" s="745"/>
      <c r="K282" s="745"/>
      <c r="L282" s="745"/>
      <c r="M282" s="976"/>
      <c r="N282" s="746"/>
      <c r="O282" s="1092"/>
      <c r="P282" s="747"/>
      <c r="Q282" s="1087"/>
      <c r="R282" s="1082">
        <v>0.76</v>
      </c>
      <c r="S282" s="2631"/>
      <c r="T282" s="2632"/>
      <c r="U282" s="166"/>
      <c r="V282" s="166"/>
      <c r="W282" s="110"/>
      <c r="X282" s="2634"/>
      <c r="Y282" s="110"/>
      <c r="Z282" s="2633"/>
      <c r="AA282" s="2"/>
    </row>
    <row r="283" spans="1:30" ht="30.5" x14ac:dyDescent="0.35">
      <c r="A283" s="347">
        <v>128</v>
      </c>
      <c r="B283" s="358">
        <v>10184</v>
      </c>
      <c r="C283" s="358"/>
      <c r="D283" s="358" t="s">
        <v>2208</v>
      </c>
      <c r="E283" s="290" t="s">
        <v>2091</v>
      </c>
      <c r="F283" s="41"/>
      <c r="G283" s="41" t="s">
        <v>191</v>
      </c>
      <c r="H283" s="2289" t="s">
        <v>191</v>
      </c>
      <c r="I283" s="744">
        <f>SUM(M283:R283)</f>
        <v>8.620000000000001</v>
      </c>
      <c r="J283" s="744">
        <f>SUM(M283:R283)</f>
        <v>8.620000000000001</v>
      </c>
      <c r="K283" s="749"/>
      <c r="L283" s="749"/>
      <c r="M283" s="978"/>
      <c r="N283" s="671">
        <f>+N284+N285+N286+N287+N288</f>
        <v>5.1800000000000006</v>
      </c>
      <c r="O283" s="850"/>
      <c r="P283" s="744"/>
      <c r="Q283" s="859">
        <f>+Q284+Q285+Q286+Q287+Q288</f>
        <v>0.65</v>
      </c>
      <c r="R283" s="869">
        <f>+R284+R285+R286+R287+R288</f>
        <v>2.79</v>
      </c>
      <c r="S283" s="163"/>
      <c r="T283" s="248"/>
      <c r="U283" s="110"/>
      <c r="V283" s="110"/>
      <c r="W283" s="226">
        <v>8</v>
      </c>
      <c r="X283" s="2451">
        <v>90.8</v>
      </c>
      <c r="Y283" s="110"/>
      <c r="Z283" s="2633"/>
      <c r="AA283" s="2"/>
      <c r="AB283" s="3">
        <v>1</v>
      </c>
      <c r="AD283" s="2307"/>
    </row>
    <row r="284" spans="1:30" x14ac:dyDescent="0.35">
      <c r="A284" s="359"/>
      <c r="B284" s="358">
        <v>10184</v>
      </c>
      <c r="C284" s="358"/>
      <c r="D284" s="360"/>
      <c r="E284" s="291" t="s">
        <v>167</v>
      </c>
      <c r="F284" s="40" t="s">
        <v>827</v>
      </c>
      <c r="G284" s="40">
        <v>5</v>
      </c>
      <c r="H284" s="2289">
        <v>6</v>
      </c>
      <c r="I284" s="745"/>
      <c r="J284" s="745"/>
      <c r="K284" s="745"/>
      <c r="L284" s="745"/>
      <c r="M284" s="976"/>
      <c r="N284" s="746">
        <v>4.1900000000000004</v>
      </c>
      <c r="O284" s="1092"/>
      <c r="P284" s="747"/>
      <c r="Q284" s="1087"/>
      <c r="R284" s="1082"/>
      <c r="S284" s="2631"/>
      <c r="T284" s="2632"/>
      <c r="U284" s="166"/>
      <c r="V284" s="166"/>
      <c r="W284" s="110"/>
      <c r="X284" s="2634"/>
      <c r="Y284" s="110"/>
      <c r="Z284" s="2633"/>
      <c r="AA284" s="2"/>
    </row>
    <row r="285" spans="1:30" x14ac:dyDescent="0.35">
      <c r="A285" s="359"/>
      <c r="B285" s="358">
        <v>10184</v>
      </c>
      <c r="C285" s="358"/>
      <c r="D285" s="360"/>
      <c r="E285" s="838" t="s">
        <v>337</v>
      </c>
      <c r="F285" s="40" t="s">
        <v>827</v>
      </c>
      <c r="G285" s="40">
        <v>5</v>
      </c>
      <c r="H285" s="41">
        <v>6</v>
      </c>
      <c r="I285" s="745"/>
      <c r="J285" s="745"/>
      <c r="K285" s="745"/>
      <c r="L285" s="745"/>
      <c r="M285" s="976"/>
      <c r="N285" s="748"/>
      <c r="O285" s="1093"/>
      <c r="P285" s="745"/>
      <c r="Q285" s="1089"/>
      <c r="R285" s="1082">
        <v>2.79</v>
      </c>
      <c r="S285" s="2631"/>
      <c r="T285" s="2632"/>
      <c r="U285" s="166"/>
      <c r="V285" s="166"/>
      <c r="W285" s="110"/>
      <c r="X285" s="2634"/>
      <c r="Y285" s="110"/>
      <c r="Z285" s="2633"/>
      <c r="AA285" s="2"/>
    </row>
    <row r="286" spans="1:30" x14ac:dyDescent="0.35">
      <c r="A286" s="359"/>
      <c r="B286" s="358">
        <v>10184</v>
      </c>
      <c r="C286" s="358"/>
      <c r="D286" s="360"/>
      <c r="E286" s="291" t="s">
        <v>338</v>
      </c>
      <c r="F286" s="40" t="s">
        <v>827</v>
      </c>
      <c r="G286" s="40">
        <v>5</v>
      </c>
      <c r="H286" s="2289">
        <v>6</v>
      </c>
      <c r="I286" s="745"/>
      <c r="J286" s="745"/>
      <c r="K286" s="745"/>
      <c r="L286" s="745"/>
      <c r="M286" s="976"/>
      <c r="N286" s="746">
        <v>0.55000000000000004</v>
      </c>
      <c r="O286" s="1093"/>
      <c r="P286" s="745"/>
      <c r="Q286" s="1089"/>
      <c r="R286" s="1084"/>
      <c r="S286" s="2631"/>
      <c r="T286" s="2632"/>
      <c r="U286" s="166"/>
      <c r="V286" s="166"/>
      <c r="W286" s="110"/>
      <c r="X286" s="2634"/>
      <c r="Y286" s="110"/>
      <c r="Z286" s="2633"/>
      <c r="AA286" s="2"/>
    </row>
    <row r="287" spans="1:30" x14ac:dyDescent="0.35">
      <c r="A287" s="359"/>
      <c r="B287" s="358">
        <v>10184</v>
      </c>
      <c r="C287" s="358"/>
      <c r="D287" s="360"/>
      <c r="E287" s="837" t="s">
        <v>339</v>
      </c>
      <c r="F287" s="40" t="s">
        <v>827</v>
      </c>
      <c r="G287" s="40">
        <v>5</v>
      </c>
      <c r="H287" s="2289">
        <v>6</v>
      </c>
      <c r="I287" s="745"/>
      <c r="J287" s="745"/>
      <c r="K287" s="745"/>
      <c r="L287" s="745"/>
      <c r="M287" s="976"/>
      <c r="N287" s="748"/>
      <c r="O287" s="1093"/>
      <c r="P287" s="745"/>
      <c r="Q287" s="1087">
        <v>0.65</v>
      </c>
      <c r="R287" s="1084"/>
      <c r="S287" s="2631"/>
      <c r="T287" s="2632"/>
      <c r="U287" s="166"/>
      <c r="V287" s="166"/>
      <c r="W287" s="110"/>
      <c r="X287" s="2634"/>
      <c r="Y287" s="110"/>
      <c r="Z287" s="2633"/>
      <c r="AA287" s="2"/>
    </row>
    <row r="288" spans="1:30" x14ac:dyDescent="0.35">
      <c r="A288" s="359"/>
      <c r="B288" s="358">
        <v>10184</v>
      </c>
      <c r="C288" s="358"/>
      <c r="D288" s="360"/>
      <c r="E288" s="534" t="s">
        <v>67</v>
      </c>
      <c r="F288" s="40" t="s">
        <v>827</v>
      </c>
      <c r="G288" s="40">
        <v>5</v>
      </c>
      <c r="H288" s="2289">
        <v>6</v>
      </c>
      <c r="I288" s="745"/>
      <c r="J288" s="745"/>
      <c r="K288" s="745"/>
      <c r="L288" s="745"/>
      <c r="M288" s="976"/>
      <c r="N288" s="746">
        <v>0.44</v>
      </c>
      <c r="O288" s="1092"/>
      <c r="P288" s="747"/>
      <c r="Q288" s="1087"/>
      <c r="R288" s="1082"/>
      <c r="S288" s="2631"/>
      <c r="T288" s="2632"/>
      <c r="U288" s="166"/>
      <c r="V288" s="166"/>
      <c r="W288" s="110"/>
      <c r="X288" s="2634"/>
      <c r="Y288" s="110"/>
      <c r="Z288" s="2633"/>
      <c r="AA288" s="2"/>
    </row>
    <row r="289" spans="1:30" ht="45.5" x14ac:dyDescent="0.35">
      <c r="A289" s="693">
        <v>129</v>
      </c>
      <c r="B289" s="105">
        <v>10184</v>
      </c>
      <c r="C289" s="105" t="s">
        <v>1656</v>
      </c>
      <c r="D289" s="2460" t="s">
        <v>4137</v>
      </c>
      <c r="E289" s="269" t="s">
        <v>8253</v>
      </c>
      <c r="F289" s="92" t="s">
        <v>664</v>
      </c>
      <c r="G289" s="92">
        <v>5</v>
      </c>
      <c r="H289" s="41">
        <v>6</v>
      </c>
      <c r="I289" s="702">
        <f>J289+K289+L289</f>
        <v>1.5</v>
      </c>
      <c r="J289" s="702">
        <f t="shared" ref="J289:J299" si="18">SUM(M289:R289)</f>
        <v>1.5</v>
      </c>
      <c r="K289" s="93"/>
      <c r="L289" s="93"/>
      <c r="M289" s="577"/>
      <c r="N289" s="577"/>
      <c r="O289" s="577"/>
      <c r="P289" s="577"/>
      <c r="Q289" s="577"/>
      <c r="R289" s="2096">
        <v>1.5</v>
      </c>
      <c r="S289" s="113"/>
      <c r="T289" s="577"/>
      <c r="U289" s="93"/>
      <c r="V289" s="93"/>
      <c r="W289" s="93"/>
      <c r="X289" s="2021"/>
      <c r="Y289" s="93"/>
      <c r="Z289" s="93"/>
      <c r="AB289" s="3">
        <v>1</v>
      </c>
      <c r="AD289" s="2307"/>
    </row>
    <row r="290" spans="1:30" ht="30" x14ac:dyDescent="0.35">
      <c r="A290" s="347">
        <v>130</v>
      </c>
      <c r="B290" s="358">
        <v>10185</v>
      </c>
      <c r="C290" s="358"/>
      <c r="D290" s="358" t="s">
        <v>225</v>
      </c>
      <c r="E290" s="290" t="s">
        <v>6883</v>
      </c>
      <c r="F290" s="41" t="s">
        <v>1490</v>
      </c>
      <c r="G290" s="41">
        <v>5</v>
      </c>
      <c r="H290" s="41">
        <v>6</v>
      </c>
      <c r="I290" s="744">
        <f>SUM(M290:R290)</f>
        <v>0.8</v>
      </c>
      <c r="J290" s="744">
        <f t="shared" si="18"/>
        <v>0.8</v>
      </c>
      <c r="K290" s="749"/>
      <c r="L290" s="749"/>
      <c r="M290" s="978"/>
      <c r="N290" s="671"/>
      <c r="O290" s="850"/>
      <c r="P290" s="744"/>
      <c r="Q290" s="859"/>
      <c r="R290" s="869">
        <v>0.8</v>
      </c>
      <c r="S290" s="163"/>
      <c r="T290" s="248"/>
      <c r="U290" s="110"/>
      <c r="V290" s="110"/>
      <c r="W290" s="110"/>
      <c r="X290" s="2634"/>
      <c r="Y290" s="110"/>
      <c r="Z290" s="2633"/>
      <c r="AA290" s="2"/>
      <c r="AB290" s="3">
        <v>1</v>
      </c>
      <c r="AD290" s="2307"/>
    </row>
    <row r="291" spans="1:30" ht="30" x14ac:dyDescent="0.35">
      <c r="A291" s="693">
        <v>131</v>
      </c>
      <c r="B291" s="358">
        <v>10186</v>
      </c>
      <c r="C291" s="358"/>
      <c r="D291" s="358" t="s">
        <v>226</v>
      </c>
      <c r="E291" s="290" t="s">
        <v>9694</v>
      </c>
      <c r="F291" s="41" t="s">
        <v>827</v>
      </c>
      <c r="G291" s="41">
        <v>5</v>
      </c>
      <c r="H291" s="41">
        <v>6</v>
      </c>
      <c r="I291" s="744">
        <f>SUM(M291:R291)</f>
        <v>10.4</v>
      </c>
      <c r="J291" s="744">
        <f t="shared" si="18"/>
        <v>10.4</v>
      </c>
      <c r="K291" s="749"/>
      <c r="L291" s="749"/>
      <c r="M291" s="978"/>
      <c r="N291" s="671"/>
      <c r="O291" s="850"/>
      <c r="P291" s="744"/>
      <c r="Q291" s="859"/>
      <c r="R291" s="869">
        <v>10.4</v>
      </c>
      <c r="S291" s="538">
        <v>1</v>
      </c>
      <c r="T291" s="249">
        <v>36.299999999999997</v>
      </c>
      <c r="U291" s="110"/>
      <c r="V291" s="110"/>
      <c r="W291" s="226">
        <v>8</v>
      </c>
      <c r="X291" s="2451">
        <v>102.7</v>
      </c>
      <c r="Y291" s="110"/>
      <c r="Z291" s="2633"/>
      <c r="AA291" s="2"/>
      <c r="AB291" s="3">
        <v>1</v>
      </c>
      <c r="AD291" s="2307"/>
    </row>
    <row r="292" spans="1:30" ht="45.5" x14ac:dyDescent="0.35">
      <c r="A292" s="347">
        <v>132</v>
      </c>
      <c r="B292" s="105">
        <v>10201</v>
      </c>
      <c r="C292" s="105" t="s">
        <v>1656</v>
      </c>
      <c r="D292" s="2460" t="s">
        <v>4153</v>
      </c>
      <c r="E292" s="269" t="s">
        <v>9695</v>
      </c>
      <c r="F292" s="92" t="s">
        <v>664</v>
      </c>
      <c r="G292" s="92">
        <v>5</v>
      </c>
      <c r="H292" s="41">
        <v>6</v>
      </c>
      <c r="I292" s="702">
        <f>J292+K292+L292</f>
        <v>0.3</v>
      </c>
      <c r="J292" s="702">
        <f>SUM(M292:R292)</f>
        <v>0.3</v>
      </c>
      <c r="K292" s="93"/>
      <c r="L292" s="93"/>
      <c r="M292" s="577"/>
      <c r="N292" s="577"/>
      <c r="O292" s="577"/>
      <c r="P292" s="577"/>
      <c r="Q292" s="577"/>
      <c r="R292" s="2096">
        <v>0.3</v>
      </c>
      <c r="S292" s="113"/>
      <c r="T292" s="577"/>
      <c r="U292" s="93"/>
      <c r="V292" s="93"/>
      <c r="W292" s="93"/>
      <c r="X292" s="2021"/>
      <c r="Y292" s="93"/>
      <c r="Z292" s="93"/>
      <c r="AB292" s="3">
        <v>1</v>
      </c>
      <c r="AD292" s="2307"/>
    </row>
    <row r="293" spans="1:30" ht="45.5" x14ac:dyDescent="0.35">
      <c r="A293" s="693">
        <v>133</v>
      </c>
      <c r="B293" s="105">
        <v>10186</v>
      </c>
      <c r="C293" s="105" t="s">
        <v>1656</v>
      </c>
      <c r="D293" s="2460" t="s">
        <v>4138</v>
      </c>
      <c r="E293" s="269" t="s">
        <v>9696</v>
      </c>
      <c r="F293" s="92" t="s">
        <v>664</v>
      </c>
      <c r="G293" s="92">
        <v>5</v>
      </c>
      <c r="H293" s="41">
        <v>6</v>
      </c>
      <c r="I293" s="702">
        <f>J293+K293+L293</f>
        <v>0.5</v>
      </c>
      <c r="J293" s="702">
        <f t="shared" si="18"/>
        <v>0.5</v>
      </c>
      <c r="K293" s="93"/>
      <c r="L293" s="93"/>
      <c r="M293" s="577"/>
      <c r="N293" s="577"/>
      <c r="O293" s="577"/>
      <c r="P293" s="577"/>
      <c r="Q293" s="577"/>
      <c r="R293" s="2096">
        <v>0.5</v>
      </c>
      <c r="S293" s="113"/>
      <c r="T293" s="577"/>
      <c r="U293" s="93"/>
      <c r="V293" s="93"/>
      <c r="W293" s="93"/>
      <c r="X293" s="2021"/>
      <c r="Y293" s="93"/>
      <c r="Z293" s="93"/>
      <c r="AB293" s="3">
        <v>1</v>
      </c>
      <c r="AD293" s="2307"/>
    </row>
    <row r="294" spans="1:30" ht="45.5" x14ac:dyDescent="0.35">
      <c r="A294" s="347">
        <v>134</v>
      </c>
      <c r="B294" s="105">
        <v>10186</v>
      </c>
      <c r="C294" s="105" t="s">
        <v>1656</v>
      </c>
      <c r="D294" s="2460" t="s">
        <v>4139</v>
      </c>
      <c r="E294" s="269" t="s">
        <v>9697</v>
      </c>
      <c r="F294" s="92" t="s">
        <v>664</v>
      </c>
      <c r="G294" s="92">
        <v>5</v>
      </c>
      <c r="H294" s="41">
        <v>6</v>
      </c>
      <c r="I294" s="702">
        <f>J294+K294+L294</f>
        <v>0.4</v>
      </c>
      <c r="J294" s="702">
        <f t="shared" si="18"/>
        <v>0.4</v>
      </c>
      <c r="K294" s="93"/>
      <c r="L294" s="93"/>
      <c r="M294" s="577"/>
      <c r="N294" s="577"/>
      <c r="O294" s="577"/>
      <c r="P294" s="577"/>
      <c r="Q294" s="577"/>
      <c r="R294" s="2096">
        <v>0.4</v>
      </c>
      <c r="S294" s="113"/>
      <c r="T294" s="577"/>
      <c r="U294" s="93"/>
      <c r="V294" s="93"/>
      <c r="W294" s="93"/>
      <c r="X294" s="2021"/>
      <c r="Y294" s="93"/>
      <c r="Z294" s="93"/>
      <c r="AB294" s="3">
        <v>1</v>
      </c>
      <c r="AD294" s="2307"/>
    </row>
    <row r="295" spans="1:30" ht="30" x14ac:dyDescent="0.35">
      <c r="A295" s="693">
        <v>135</v>
      </c>
      <c r="B295" s="358">
        <v>10187</v>
      </c>
      <c r="C295" s="358"/>
      <c r="D295" s="358" t="s">
        <v>2621</v>
      </c>
      <c r="E295" s="290" t="s">
        <v>2205</v>
      </c>
      <c r="F295" s="41"/>
      <c r="G295" s="41" t="s">
        <v>191</v>
      </c>
      <c r="H295" s="41" t="s">
        <v>191</v>
      </c>
      <c r="I295" s="744">
        <f>SUM(M295:R295)</f>
        <v>3</v>
      </c>
      <c r="J295" s="744">
        <f t="shared" si="18"/>
        <v>3</v>
      </c>
      <c r="K295" s="749"/>
      <c r="L295" s="749"/>
      <c r="M295" s="978"/>
      <c r="N295" s="671"/>
      <c r="O295" s="850"/>
      <c r="P295" s="744"/>
      <c r="Q295" s="859"/>
      <c r="R295" s="869">
        <f>SUM(R296:R297)</f>
        <v>3</v>
      </c>
      <c r="S295" s="163"/>
      <c r="T295" s="248"/>
      <c r="U295" s="110"/>
      <c r="V295" s="110"/>
      <c r="W295" s="110">
        <v>2</v>
      </c>
      <c r="X295" s="2634">
        <v>20</v>
      </c>
      <c r="Y295" s="110"/>
      <c r="Z295" s="2633"/>
      <c r="AA295" s="2"/>
      <c r="AB295" s="3">
        <v>1</v>
      </c>
      <c r="AD295" s="2307"/>
    </row>
    <row r="296" spans="1:30" x14ac:dyDescent="0.35">
      <c r="A296" s="1024"/>
      <c r="B296" s="358">
        <v>10187</v>
      </c>
      <c r="C296" s="358"/>
      <c r="D296" s="358"/>
      <c r="E296" s="838" t="s">
        <v>3284</v>
      </c>
      <c r="F296" s="41" t="s">
        <v>1490</v>
      </c>
      <c r="G296" s="41">
        <v>5</v>
      </c>
      <c r="H296" s="41">
        <v>6</v>
      </c>
      <c r="I296" s="747"/>
      <c r="J296" s="747"/>
      <c r="K296" s="745"/>
      <c r="L296" s="745"/>
      <c r="M296" s="978"/>
      <c r="N296" s="671"/>
      <c r="O296" s="850"/>
      <c r="P296" s="744"/>
      <c r="Q296" s="859"/>
      <c r="R296" s="2401">
        <v>2.5</v>
      </c>
      <c r="S296" s="163"/>
      <c r="T296" s="248"/>
      <c r="U296" s="110"/>
      <c r="V296" s="110"/>
      <c r="W296" s="110"/>
      <c r="X296" s="2634"/>
      <c r="Y296" s="110"/>
      <c r="Z296" s="2633"/>
      <c r="AA296" s="2"/>
      <c r="AC296" s="3" t="s">
        <v>2570</v>
      </c>
    </row>
    <row r="297" spans="1:30" x14ac:dyDescent="0.35">
      <c r="A297" s="1024"/>
      <c r="B297" s="358">
        <v>10187</v>
      </c>
      <c r="C297" s="358"/>
      <c r="D297" s="358"/>
      <c r="E297" s="838" t="s">
        <v>2731</v>
      </c>
      <c r="F297" s="92" t="s">
        <v>664</v>
      </c>
      <c r="G297" s="41">
        <v>5</v>
      </c>
      <c r="H297" s="41">
        <v>6</v>
      </c>
      <c r="I297" s="744"/>
      <c r="J297" s="744"/>
      <c r="K297" s="749"/>
      <c r="L297" s="749"/>
      <c r="M297" s="978"/>
      <c r="N297" s="671"/>
      <c r="O297" s="850"/>
      <c r="P297" s="744"/>
      <c r="Q297" s="859"/>
      <c r="R297" s="2401">
        <v>0.5</v>
      </c>
      <c r="S297" s="163"/>
      <c r="T297" s="248"/>
      <c r="U297" s="110"/>
      <c r="V297" s="110"/>
      <c r="W297" s="110"/>
      <c r="X297" s="2634"/>
      <c r="Y297" s="110"/>
      <c r="Z297" s="2633"/>
      <c r="AA297" s="2" t="s">
        <v>2737</v>
      </c>
    </row>
    <row r="298" spans="1:30" ht="45.5" x14ac:dyDescent="0.35">
      <c r="A298" s="347">
        <v>136</v>
      </c>
      <c r="B298" s="358">
        <v>10187</v>
      </c>
      <c r="C298" s="105" t="s">
        <v>1656</v>
      </c>
      <c r="D298" s="2460" t="s">
        <v>4140</v>
      </c>
      <c r="E298" s="269" t="s">
        <v>8254</v>
      </c>
      <c r="F298" s="92" t="s">
        <v>664</v>
      </c>
      <c r="G298" s="92">
        <v>5</v>
      </c>
      <c r="H298" s="41">
        <v>6</v>
      </c>
      <c r="I298" s="702">
        <f>J298+K298+L298</f>
        <v>0.18</v>
      </c>
      <c r="J298" s="702">
        <f>SUM(M298:R298)</f>
        <v>0.18</v>
      </c>
      <c r="K298" s="93"/>
      <c r="L298" s="93"/>
      <c r="M298" s="577"/>
      <c r="N298" s="577"/>
      <c r="O298" s="577"/>
      <c r="P298" s="577"/>
      <c r="Q298" s="577"/>
      <c r="R298" s="2096">
        <v>0.18</v>
      </c>
      <c r="S298" s="113"/>
      <c r="T298" s="577"/>
      <c r="U298" s="93"/>
      <c r="V298" s="93"/>
      <c r="W298" s="93"/>
      <c r="X298" s="2021"/>
      <c r="Y298" s="93"/>
      <c r="Z298" s="93"/>
      <c r="AB298" s="3">
        <v>1</v>
      </c>
      <c r="AD298" s="2307"/>
    </row>
    <row r="299" spans="1:30" ht="30" x14ac:dyDescent="0.35">
      <c r="A299" s="693">
        <v>137</v>
      </c>
      <c r="B299" s="358">
        <v>10188</v>
      </c>
      <c r="C299" s="358"/>
      <c r="D299" s="358" t="s">
        <v>3010</v>
      </c>
      <c r="E299" s="290" t="s">
        <v>185</v>
      </c>
      <c r="F299" s="41"/>
      <c r="G299" s="41" t="s">
        <v>191</v>
      </c>
      <c r="H299" s="2289" t="s">
        <v>191</v>
      </c>
      <c r="I299" s="744">
        <f>SUM(M299:R299)</f>
        <v>5.0999999999999996</v>
      </c>
      <c r="J299" s="744">
        <f t="shared" si="18"/>
        <v>5.0999999999999996</v>
      </c>
      <c r="K299" s="749"/>
      <c r="L299" s="749"/>
      <c r="M299" s="978"/>
      <c r="N299" s="671"/>
      <c r="O299" s="850">
        <f>SUM(O300:O303)</f>
        <v>1.06</v>
      </c>
      <c r="P299" s="744"/>
      <c r="Q299" s="859">
        <f>SUM(Q300:Q303)</f>
        <v>1.84</v>
      </c>
      <c r="R299" s="869">
        <f>SUM(R300:R303)</f>
        <v>2.1999999999999997</v>
      </c>
      <c r="S299" s="163"/>
      <c r="T299" s="248"/>
      <c r="U299" s="110"/>
      <c r="V299" s="110"/>
      <c r="W299" s="226">
        <v>7</v>
      </c>
      <c r="X299" s="2451">
        <v>75.099999999999994</v>
      </c>
      <c r="Y299" s="226">
        <v>3</v>
      </c>
      <c r="Z299" s="2635">
        <v>30</v>
      </c>
      <c r="AA299" s="2"/>
      <c r="AB299" s="3">
        <v>1</v>
      </c>
      <c r="AD299" s="2307"/>
    </row>
    <row r="300" spans="1:30" x14ac:dyDescent="0.35">
      <c r="A300" s="359"/>
      <c r="B300" s="358">
        <v>10188</v>
      </c>
      <c r="C300" s="358"/>
      <c r="D300" s="360"/>
      <c r="E300" s="921" t="s">
        <v>186</v>
      </c>
      <c r="F300" s="40">
        <v>5</v>
      </c>
      <c r="G300" s="40">
        <v>5</v>
      </c>
      <c r="H300" s="40">
        <v>6</v>
      </c>
      <c r="I300" s="745"/>
      <c r="J300" s="745"/>
      <c r="K300" s="745"/>
      <c r="L300" s="745"/>
      <c r="M300" s="976"/>
      <c r="N300" s="746"/>
      <c r="O300" s="1092">
        <v>1.06</v>
      </c>
      <c r="P300" s="747"/>
      <c r="Q300" s="1087"/>
      <c r="R300" s="1082"/>
      <c r="S300" s="2631"/>
      <c r="T300" s="2632"/>
      <c r="U300" s="166"/>
      <c r="V300" s="166"/>
      <c r="W300" s="110"/>
      <c r="X300" s="2634"/>
      <c r="Y300" s="110"/>
      <c r="Z300" s="2633"/>
      <c r="AA300" s="2"/>
    </row>
    <row r="301" spans="1:30" x14ac:dyDescent="0.35">
      <c r="A301" s="359"/>
      <c r="B301" s="358">
        <v>10188</v>
      </c>
      <c r="C301" s="358"/>
      <c r="D301" s="360"/>
      <c r="E301" s="900" t="s">
        <v>187</v>
      </c>
      <c r="F301" s="40">
        <v>5</v>
      </c>
      <c r="G301" s="40">
        <v>5</v>
      </c>
      <c r="H301" s="2289">
        <v>6</v>
      </c>
      <c r="I301" s="745"/>
      <c r="J301" s="745"/>
      <c r="K301" s="745"/>
      <c r="L301" s="745"/>
      <c r="M301" s="976"/>
      <c r="N301" s="746"/>
      <c r="O301" s="1092"/>
      <c r="P301" s="747"/>
      <c r="Q301" s="1087">
        <v>1.84</v>
      </c>
      <c r="R301" s="1082"/>
      <c r="S301" s="2631"/>
      <c r="T301" s="2632"/>
      <c r="U301" s="166"/>
      <c r="V301" s="166"/>
      <c r="W301" s="110"/>
      <c r="X301" s="2634"/>
      <c r="Y301" s="110"/>
      <c r="Z301" s="2633"/>
      <c r="AA301" s="2"/>
    </row>
    <row r="302" spans="1:30" x14ac:dyDescent="0.35">
      <c r="A302" s="359"/>
      <c r="B302" s="358">
        <v>10188</v>
      </c>
      <c r="C302" s="358"/>
      <c r="D302" s="360"/>
      <c r="E302" s="878" t="s">
        <v>2732</v>
      </c>
      <c r="F302" s="40" t="s">
        <v>1490</v>
      </c>
      <c r="G302" s="40">
        <v>5</v>
      </c>
      <c r="H302" s="41">
        <v>6</v>
      </c>
      <c r="I302" s="745"/>
      <c r="J302" s="745"/>
      <c r="K302" s="745"/>
      <c r="L302" s="745"/>
      <c r="M302" s="976"/>
      <c r="N302" s="746"/>
      <c r="O302" s="1092"/>
      <c r="P302" s="747"/>
      <c r="Q302" s="1087"/>
      <c r="R302" s="1082">
        <f>3.6-2.9</f>
        <v>0.70000000000000018</v>
      </c>
      <c r="S302" s="2631"/>
      <c r="T302" s="2632"/>
      <c r="U302" s="166"/>
      <c r="V302" s="166"/>
      <c r="W302" s="110"/>
      <c r="X302" s="2634"/>
      <c r="Y302" s="110"/>
      <c r="Z302" s="2633"/>
      <c r="AA302" s="2"/>
      <c r="AC302" s="3" t="s">
        <v>2570</v>
      </c>
    </row>
    <row r="303" spans="1:30" x14ac:dyDescent="0.35">
      <c r="A303" s="359"/>
      <c r="B303" s="358">
        <v>10188</v>
      </c>
      <c r="C303" s="358"/>
      <c r="D303" s="360"/>
      <c r="E303" s="878" t="s">
        <v>2733</v>
      </c>
      <c r="F303" s="40" t="s">
        <v>1490</v>
      </c>
      <c r="G303" s="40">
        <v>5</v>
      </c>
      <c r="H303" s="41">
        <v>6</v>
      </c>
      <c r="I303" s="745"/>
      <c r="J303" s="745"/>
      <c r="K303" s="745"/>
      <c r="L303" s="745"/>
      <c r="M303" s="976"/>
      <c r="N303" s="746"/>
      <c r="O303" s="1092"/>
      <c r="P303" s="747"/>
      <c r="Q303" s="1087"/>
      <c r="R303" s="1082">
        <f>5.1-3.6</f>
        <v>1.4999999999999996</v>
      </c>
      <c r="S303" s="2631"/>
      <c r="T303" s="2632"/>
      <c r="U303" s="166"/>
      <c r="V303" s="166"/>
      <c r="W303" s="110"/>
      <c r="X303" s="2634"/>
      <c r="Y303" s="110"/>
      <c r="Z303" s="2633"/>
      <c r="AA303" s="2"/>
    </row>
    <row r="304" spans="1:30" ht="45.5" x14ac:dyDescent="0.35">
      <c r="A304" s="693">
        <v>138</v>
      </c>
      <c r="B304" s="105">
        <v>10188</v>
      </c>
      <c r="C304" s="105" t="s">
        <v>1656</v>
      </c>
      <c r="D304" s="2460" t="s">
        <v>4141</v>
      </c>
      <c r="E304" s="269" t="s">
        <v>8255</v>
      </c>
      <c r="F304" s="92" t="s">
        <v>664</v>
      </c>
      <c r="G304" s="92">
        <v>5</v>
      </c>
      <c r="H304" s="41">
        <v>6</v>
      </c>
      <c r="I304" s="702">
        <f>J304+K304+L304</f>
        <v>0.04</v>
      </c>
      <c r="J304" s="702">
        <f>SUM(M304:R304)</f>
        <v>0.04</v>
      </c>
      <c r="K304" s="93"/>
      <c r="L304" s="93"/>
      <c r="M304" s="577"/>
      <c r="N304" s="577"/>
      <c r="O304" s="577"/>
      <c r="P304" s="577"/>
      <c r="Q304" s="577"/>
      <c r="R304" s="2096">
        <v>0.04</v>
      </c>
      <c r="S304" s="113"/>
      <c r="T304" s="577"/>
      <c r="U304" s="93"/>
      <c r="V304" s="93"/>
      <c r="W304" s="93"/>
      <c r="X304" s="2021"/>
      <c r="Y304" s="93"/>
      <c r="Z304" s="93"/>
      <c r="AB304" s="3">
        <v>1</v>
      </c>
      <c r="AD304" s="2307"/>
    </row>
    <row r="305" spans="1:30" ht="45.5" x14ac:dyDescent="0.35">
      <c r="A305" s="693">
        <v>139</v>
      </c>
      <c r="B305" s="105">
        <v>10188</v>
      </c>
      <c r="C305" s="105" t="s">
        <v>1656</v>
      </c>
      <c r="D305" s="2460" t="s">
        <v>4142</v>
      </c>
      <c r="E305" s="269" t="s">
        <v>11195</v>
      </c>
      <c r="F305" s="92" t="s">
        <v>664</v>
      </c>
      <c r="G305" s="92">
        <v>5</v>
      </c>
      <c r="H305" s="41">
        <v>6</v>
      </c>
      <c r="I305" s="1924">
        <f>J305+K305+L305</f>
        <v>0.6</v>
      </c>
      <c r="J305" s="1924">
        <f>SUM(M305:R305)</f>
        <v>0.6</v>
      </c>
      <c r="K305" s="93"/>
      <c r="L305" s="93"/>
      <c r="M305" s="577"/>
      <c r="N305" s="577"/>
      <c r="O305" s="577"/>
      <c r="P305" s="577"/>
      <c r="Q305" s="577"/>
      <c r="R305" s="2096">
        <v>0.6</v>
      </c>
      <c r="S305" s="113"/>
      <c r="T305" s="577"/>
      <c r="U305" s="93"/>
      <c r="V305" s="93"/>
      <c r="W305" s="93"/>
      <c r="X305" s="2021"/>
      <c r="Y305" s="93"/>
      <c r="Z305" s="93"/>
      <c r="AB305" s="3">
        <v>1</v>
      </c>
      <c r="AD305" s="2307"/>
    </row>
    <row r="306" spans="1:30" ht="45.5" x14ac:dyDescent="0.35">
      <c r="A306" s="693">
        <v>140</v>
      </c>
      <c r="B306" s="105">
        <v>10188</v>
      </c>
      <c r="C306" s="105" t="s">
        <v>1656</v>
      </c>
      <c r="D306" s="2460" t="s">
        <v>4143</v>
      </c>
      <c r="E306" s="269" t="s">
        <v>8256</v>
      </c>
      <c r="F306" s="92" t="s">
        <v>664</v>
      </c>
      <c r="G306" s="92">
        <v>5</v>
      </c>
      <c r="H306" s="41">
        <v>6</v>
      </c>
      <c r="I306" s="702">
        <f>J306+K306+L306</f>
        <v>0.77</v>
      </c>
      <c r="J306" s="702">
        <f>SUM(M306:R306)</f>
        <v>0.77</v>
      </c>
      <c r="K306" s="93"/>
      <c r="L306" s="93"/>
      <c r="M306" s="577"/>
      <c r="N306" s="577"/>
      <c r="O306" s="577"/>
      <c r="P306" s="577"/>
      <c r="Q306" s="577"/>
      <c r="R306" s="2096">
        <v>0.77</v>
      </c>
      <c r="S306" s="113"/>
      <c r="T306" s="577"/>
      <c r="U306" s="93"/>
      <c r="V306" s="93"/>
      <c r="W306" s="93"/>
      <c r="X306" s="2021"/>
      <c r="Y306" s="93"/>
      <c r="Z306" s="93"/>
      <c r="AB306" s="3">
        <v>1</v>
      </c>
      <c r="AD306" s="2307"/>
    </row>
    <row r="307" spans="1:30" ht="30.5" x14ac:dyDescent="0.35">
      <c r="A307" s="693">
        <v>141</v>
      </c>
      <c r="B307" s="105">
        <v>10188</v>
      </c>
      <c r="C307" s="105"/>
      <c r="D307" s="2460" t="s">
        <v>4144</v>
      </c>
      <c r="E307" s="269" t="s">
        <v>7525</v>
      </c>
      <c r="F307" s="92" t="s">
        <v>664</v>
      </c>
      <c r="G307" s="92">
        <v>5</v>
      </c>
      <c r="H307" s="41">
        <v>6</v>
      </c>
      <c r="I307" s="702">
        <f>J307+K307+L307</f>
        <v>0.66</v>
      </c>
      <c r="J307" s="702">
        <f>SUM(M307:R307)</f>
        <v>0.66</v>
      </c>
      <c r="K307" s="93"/>
      <c r="L307" s="93"/>
      <c r="M307" s="577"/>
      <c r="N307" s="577"/>
      <c r="O307" s="577"/>
      <c r="P307" s="577"/>
      <c r="Q307" s="577"/>
      <c r="R307" s="2096">
        <v>0.66</v>
      </c>
      <c r="S307" s="113">
        <v>1</v>
      </c>
      <c r="T307" s="577">
        <v>19</v>
      </c>
      <c r="U307" s="93"/>
      <c r="V307" s="93"/>
      <c r="W307" s="93"/>
      <c r="X307" s="2021"/>
      <c r="Y307" s="93"/>
      <c r="Z307" s="93"/>
      <c r="AB307" s="3">
        <v>1</v>
      </c>
      <c r="AD307" s="2307"/>
    </row>
    <row r="308" spans="1:30" ht="30.5" x14ac:dyDescent="0.35">
      <c r="A308" s="693">
        <v>142</v>
      </c>
      <c r="B308" s="358">
        <v>10189</v>
      </c>
      <c r="C308" s="358"/>
      <c r="D308" s="358" t="s">
        <v>3011</v>
      </c>
      <c r="E308" s="290" t="s">
        <v>6884</v>
      </c>
      <c r="F308" s="41"/>
      <c r="G308" s="41" t="s">
        <v>191</v>
      </c>
      <c r="H308" s="2289" t="s">
        <v>191</v>
      </c>
      <c r="I308" s="744">
        <f>SUM(M308:R308)</f>
        <v>6.65</v>
      </c>
      <c r="J308" s="744">
        <f>SUM(M308:R308)</f>
        <v>6.65</v>
      </c>
      <c r="K308" s="749"/>
      <c r="L308" s="749"/>
      <c r="M308" s="1096"/>
      <c r="N308" s="1077">
        <f>+N309</f>
        <v>2.98</v>
      </c>
      <c r="O308" s="856"/>
      <c r="P308" s="1078"/>
      <c r="Q308" s="1088"/>
      <c r="R308" s="1083">
        <f>+R310</f>
        <v>3.67</v>
      </c>
      <c r="S308" s="163"/>
      <c r="T308" s="248"/>
      <c r="U308" s="110"/>
      <c r="V308" s="110"/>
      <c r="W308" s="226">
        <v>6</v>
      </c>
      <c r="X308" s="2451">
        <v>56</v>
      </c>
      <c r="Y308" s="110"/>
      <c r="Z308" s="2633"/>
      <c r="AA308" s="2"/>
      <c r="AB308" s="3">
        <v>1</v>
      </c>
      <c r="AD308" s="2307"/>
    </row>
    <row r="309" spans="1:30" x14ac:dyDescent="0.35">
      <c r="A309" s="359"/>
      <c r="B309" s="358">
        <v>10189</v>
      </c>
      <c r="C309" s="358"/>
      <c r="D309" s="360"/>
      <c r="E309" s="393" t="s">
        <v>759</v>
      </c>
      <c r="F309" s="40">
        <v>5</v>
      </c>
      <c r="G309" s="40">
        <v>4</v>
      </c>
      <c r="H309" s="2289">
        <v>6</v>
      </c>
      <c r="I309" s="745"/>
      <c r="J309" s="745"/>
      <c r="K309" s="745"/>
      <c r="L309" s="745"/>
      <c r="M309" s="1095"/>
      <c r="N309" s="692">
        <v>2.98</v>
      </c>
      <c r="O309" s="857"/>
      <c r="P309" s="1079"/>
      <c r="Q309" s="1090"/>
      <c r="R309" s="1085"/>
      <c r="S309" s="2631"/>
      <c r="T309" s="2632"/>
      <c r="U309" s="166"/>
      <c r="V309" s="166"/>
      <c r="W309" s="110"/>
      <c r="X309" s="2634"/>
      <c r="Y309" s="110"/>
      <c r="Z309" s="2633"/>
      <c r="AA309" s="2"/>
    </row>
    <row r="310" spans="1:30" x14ac:dyDescent="0.35">
      <c r="A310" s="359"/>
      <c r="B310" s="358">
        <v>10189</v>
      </c>
      <c r="C310" s="358"/>
      <c r="D310" s="360"/>
      <c r="E310" s="878" t="s">
        <v>760</v>
      </c>
      <c r="F310" s="40" t="s">
        <v>1490</v>
      </c>
      <c r="G310" s="40">
        <v>4</v>
      </c>
      <c r="H310" s="41">
        <v>6</v>
      </c>
      <c r="I310" s="745"/>
      <c r="J310" s="745"/>
      <c r="K310" s="745"/>
      <c r="L310" s="745"/>
      <c r="M310" s="1095"/>
      <c r="N310" s="692"/>
      <c r="O310" s="857"/>
      <c r="P310" s="1079"/>
      <c r="Q310" s="1090"/>
      <c r="R310" s="1085">
        <v>3.67</v>
      </c>
      <c r="S310" s="2631"/>
      <c r="T310" s="2632"/>
      <c r="U310" s="166"/>
      <c r="V310" s="166"/>
      <c r="W310" s="110"/>
      <c r="X310" s="2634"/>
      <c r="Y310" s="110"/>
      <c r="Z310" s="2633"/>
      <c r="AA310" s="2"/>
    </row>
    <row r="311" spans="1:30" ht="45.5" x14ac:dyDescent="0.35">
      <c r="A311" s="693">
        <v>143</v>
      </c>
      <c r="B311" s="358">
        <v>10189</v>
      </c>
      <c r="C311" s="358"/>
      <c r="D311" s="2460" t="s">
        <v>4145</v>
      </c>
      <c r="E311" s="341" t="s">
        <v>7526</v>
      </c>
      <c r="F311" s="40">
        <v>5</v>
      </c>
      <c r="G311" s="40">
        <v>4</v>
      </c>
      <c r="H311" s="2289">
        <v>6</v>
      </c>
      <c r="I311" s="744">
        <f>SUM(M311:R311)</f>
        <v>0.18</v>
      </c>
      <c r="J311" s="744">
        <f>SUM(M311:R311)</f>
        <v>0.18</v>
      </c>
      <c r="K311" s="745"/>
      <c r="L311" s="745"/>
      <c r="M311" s="1095"/>
      <c r="N311" s="688">
        <v>0.18</v>
      </c>
      <c r="O311" s="857"/>
      <c r="P311" s="1079"/>
      <c r="Q311" s="1090"/>
      <c r="R311" s="1085"/>
      <c r="S311" s="2631"/>
      <c r="T311" s="2632"/>
      <c r="U311" s="166"/>
      <c r="V311" s="166"/>
      <c r="W311" s="110"/>
      <c r="X311" s="2634"/>
      <c r="Y311" s="110"/>
      <c r="Z311" s="2633"/>
      <c r="AA311" s="2"/>
      <c r="AB311" s="3">
        <v>1</v>
      </c>
      <c r="AD311" s="2307"/>
    </row>
    <row r="312" spans="1:30" ht="45.5" x14ac:dyDescent="0.35">
      <c r="A312" s="347">
        <v>144</v>
      </c>
      <c r="B312" s="105" t="s">
        <v>571</v>
      </c>
      <c r="C312" s="105" t="s">
        <v>1656</v>
      </c>
      <c r="D312" s="2460" t="s">
        <v>4191</v>
      </c>
      <c r="E312" s="269" t="s">
        <v>8257</v>
      </c>
      <c r="F312" s="92" t="s">
        <v>664</v>
      </c>
      <c r="G312" s="92">
        <v>5</v>
      </c>
      <c r="H312" s="41">
        <v>6</v>
      </c>
      <c r="I312" s="702">
        <f>J312+K312+L312</f>
        <v>0.18</v>
      </c>
      <c r="J312" s="702">
        <f>SUM(M312:R312)</f>
        <v>0.18</v>
      </c>
      <c r="K312" s="93"/>
      <c r="L312" s="93"/>
      <c r="M312" s="577"/>
      <c r="N312" s="577"/>
      <c r="O312" s="577"/>
      <c r="P312" s="577"/>
      <c r="Q312" s="577"/>
      <c r="R312" s="2096">
        <v>0.18</v>
      </c>
      <c r="S312" s="113"/>
      <c r="T312" s="577"/>
      <c r="U312" s="93"/>
      <c r="V312" s="93"/>
      <c r="W312" s="93"/>
      <c r="X312" s="2021"/>
      <c r="Y312" s="93"/>
      <c r="Z312" s="93"/>
      <c r="AB312" s="3">
        <v>1</v>
      </c>
      <c r="AD312" s="2307"/>
    </row>
    <row r="313" spans="1:30" ht="30.5" x14ac:dyDescent="0.35">
      <c r="A313" s="347">
        <v>145</v>
      </c>
      <c r="B313" s="358">
        <v>10190</v>
      </c>
      <c r="C313" s="358"/>
      <c r="D313" s="358" t="s">
        <v>3012</v>
      </c>
      <c r="E313" s="290" t="s">
        <v>6885</v>
      </c>
      <c r="F313" s="41"/>
      <c r="G313" s="41" t="s">
        <v>191</v>
      </c>
      <c r="H313" s="2289" t="s">
        <v>191</v>
      </c>
      <c r="I313" s="744">
        <f>SUM(M313:R313)</f>
        <v>6.6999999999999993</v>
      </c>
      <c r="J313" s="744">
        <f>SUM(M313:R313)</f>
        <v>6.6999999999999993</v>
      </c>
      <c r="K313" s="749"/>
      <c r="L313" s="749"/>
      <c r="M313" s="1096"/>
      <c r="N313" s="1077"/>
      <c r="O313" s="856"/>
      <c r="P313" s="1078"/>
      <c r="Q313" s="1088">
        <v>2.1</v>
      </c>
      <c r="R313" s="1083">
        <v>4.5999999999999996</v>
      </c>
      <c r="S313" s="163"/>
      <c r="T313" s="248"/>
      <c r="U313" s="110"/>
      <c r="V313" s="110"/>
      <c r="W313" s="110"/>
      <c r="X313" s="2634"/>
      <c r="Y313" s="110"/>
      <c r="Z313" s="2633"/>
      <c r="AA313" s="2"/>
      <c r="AB313" s="3">
        <v>1</v>
      </c>
      <c r="AD313" s="2307"/>
    </row>
    <row r="314" spans="1:30" x14ac:dyDescent="0.35">
      <c r="A314" s="359"/>
      <c r="B314" s="358">
        <v>10190</v>
      </c>
      <c r="C314" s="358"/>
      <c r="D314" s="360"/>
      <c r="E314" s="837" t="s">
        <v>2409</v>
      </c>
      <c r="F314" s="40">
        <v>5</v>
      </c>
      <c r="G314" s="40">
        <v>5</v>
      </c>
      <c r="H314" s="2289">
        <v>6</v>
      </c>
      <c r="I314" s="745"/>
      <c r="J314" s="745"/>
      <c r="K314" s="745"/>
      <c r="L314" s="745"/>
      <c r="M314" s="1095"/>
      <c r="N314" s="692"/>
      <c r="O314" s="857"/>
      <c r="P314" s="1079"/>
      <c r="Q314" s="1090">
        <v>2.1</v>
      </c>
      <c r="R314" s="1085"/>
      <c r="S314" s="2631"/>
      <c r="T314" s="2632"/>
      <c r="U314" s="166"/>
      <c r="V314" s="166"/>
      <c r="W314" s="110"/>
      <c r="X314" s="2634"/>
      <c r="Y314" s="110"/>
      <c r="Z314" s="2633"/>
      <c r="AA314" s="2"/>
    </row>
    <row r="315" spans="1:30" x14ac:dyDescent="0.35">
      <c r="A315" s="359"/>
      <c r="B315" s="358">
        <v>10190</v>
      </c>
      <c r="C315" s="358"/>
      <c r="D315" s="360"/>
      <c r="E315" s="838" t="s">
        <v>2401</v>
      </c>
      <c r="F315" s="40" t="s">
        <v>1490</v>
      </c>
      <c r="G315" s="40">
        <v>5</v>
      </c>
      <c r="H315" s="41">
        <v>6</v>
      </c>
      <c r="I315" s="745"/>
      <c r="J315" s="745"/>
      <c r="K315" s="745"/>
      <c r="L315" s="745"/>
      <c r="M315" s="1095"/>
      <c r="N315" s="692"/>
      <c r="O315" s="857"/>
      <c r="P315" s="1079"/>
      <c r="Q315" s="1090"/>
      <c r="R315" s="1085">
        <v>4.5999999999999996</v>
      </c>
      <c r="S315" s="2631"/>
      <c r="T315" s="2632"/>
      <c r="U315" s="166"/>
      <c r="V315" s="166"/>
      <c r="W315" s="110"/>
      <c r="X315" s="2634"/>
      <c r="Y315" s="110"/>
      <c r="Z315" s="2633"/>
      <c r="AA315" s="2"/>
    </row>
    <row r="316" spans="1:30" ht="45.5" x14ac:dyDescent="0.35">
      <c r="A316" s="693">
        <v>146</v>
      </c>
      <c r="B316" s="105">
        <v>10190</v>
      </c>
      <c r="C316" s="105" t="s">
        <v>1656</v>
      </c>
      <c r="D316" s="2460" t="s">
        <v>4147</v>
      </c>
      <c r="E316" s="269" t="s">
        <v>8258</v>
      </c>
      <c r="F316" s="92" t="s">
        <v>664</v>
      </c>
      <c r="G316" s="92">
        <v>5</v>
      </c>
      <c r="H316" s="41">
        <v>6</v>
      </c>
      <c r="I316" s="702">
        <f>J316+K316+L316</f>
        <v>0.05</v>
      </c>
      <c r="J316" s="702">
        <f>SUM(M316:R316)</f>
        <v>0.05</v>
      </c>
      <c r="K316" s="93"/>
      <c r="L316" s="93"/>
      <c r="M316" s="577"/>
      <c r="N316" s="577"/>
      <c r="O316" s="577"/>
      <c r="P316" s="577"/>
      <c r="Q316" s="577"/>
      <c r="R316" s="2096">
        <v>0.05</v>
      </c>
      <c r="S316" s="113"/>
      <c r="T316" s="577"/>
      <c r="U316" s="93"/>
      <c r="V316" s="93"/>
      <c r="W316" s="93"/>
      <c r="X316" s="2021"/>
      <c r="Y316" s="93"/>
      <c r="Z316" s="93"/>
      <c r="AB316" s="3">
        <v>1</v>
      </c>
      <c r="AD316" s="2307"/>
    </row>
    <row r="317" spans="1:30" ht="30" x14ac:dyDescent="0.35">
      <c r="A317" s="347">
        <v>147</v>
      </c>
      <c r="B317" s="358">
        <v>10191</v>
      </c>
      <c r="C317" s="358"/>
      <c r="D317" s="358" t="s">
        <v>3013</v>
      </c>
      <c r="E317" s="290" t="s">
        <v>2402</v>
      </c>
      <c r="F317" s="41"/>
      <c r="G317" s="41" t="s">
        <v>191</v>
      </c>
      <c r="H317" s="2289" t="s">
        <v>191</v>
      </c>
      <c r="I317" s="744">
        <f>SUM(M317:R317)</f>
        <v>3.2600000000000002</v>
      </c>
      <c r="J317" s="744">
        <f>SUM(M317:R317)</f>
        <v>3.2600000000000002</v>
      </c>
      <c r="K317" s="749"/>
      <c r="L317" s="749"/>
      <c r="M317" s="1096"/>
      <c r="N317" s="1077">
        <f>+N318</f>
        <v>0.83</v>
      </c>
      <c r="O317" s="856"/>
      <c r="P317" s="1078"/>
      <c r="Q317" s="1088"/>
      <c r="R317" s="1083">
        <f>+R319</f>
        <v>2.4300000000000002</v>
      </c>
      <c r="S317" s="163"/>
      <c r="T317" s="248"/>
      <c r="U317" s="110"/>
      <c r="V317" s="110"/>
      <c r="W317" s="226">
        <v>2</v>
      </c>
      <c r="X317" s="2451">
        <v>18.5</v>
      </c>
      <c r="Y317" s="110"/>
      <c r="Z317" s="2633"/>
      <c r="AA317" s="2"/>
      <c r="AB317" s="3">
        <v>1</v>
      </c>
      <c r="AD317" s="2307"/>
    </row>
    <row r="318" spans="1:30" x14ac:dyDescent="0.35">
      <c r="A318" s="347"/>
      <c r="B318" s="358">
        <v>10191</v>
      </c>
      <c r="C318" s="358"/>
      <c r="D318" s="358"/>
      <c r="E318" s="393" t="s">
        <v>1138</v>
      </c>
      <c r="F318" s="41" t="s">
        <v>1490</v>
      </c>
      <c r="G318" s="41">
        <v>5</v>
      </c>
      <c r="H318" s="2289">
        <v>6</v>
      </c>
      <c r="I318" s="744"/>
      <c r="J318" s="744"/>
      <c r="K318" s="749"/>
      <c r="L318" s="749"/>
      <c r="M318" s="1095"/>
      <c r="N318" s="692">
        <v>0.83</v>
      </c>
      <c r="O318" s="857"/>
      <c r="P318" s="1079"/>
      <c r="Q318" s="1090"/>
      <c r="R318" s="1085"/>
      <c r="S318" s="163"/>
      <c r="T318" s="248"/>
      <c r="U318" s="110"/>
      <c r="V318" s="110"/>
      <c r="W318" s="110"/>
      <c r="X318" s="2634"/>
      <c r="Y318" s="110"/>
      <c r="Z318" s="2633"/>
      <c r="AA318" s="2"/>
    </row>
    <row r="319" spans="1:30" x14ac:dyDescent="0.35">
      <c r="A319" s="359"/>
      <c r="B319" s="358">
        <v>10191</v>
      </c>
      <c r="C319" s="358"/>
      <c r="D319" s="360"/>
      <c r="E319" s="878" t="s">
        <v>2403</v>
      </c>
      <c r="F319" s="40" t="s">
        <v>664</v>
      </c>
      <c r="G319" s="40">
        <v>5</v>
      </c>
      <c r="H319" s="41">
        <v>6</v>
      </c>
      <c r="I319" s="745"/>
      <c r="J319" s="745"/>
      <c r="K319" s="745"/>
      <c r="L319" s="745"/>
      <c r="M319" s="1095"/>
      <c r="N319" s="692"/>
      <c r="O319" s="857"/>
      <c r="P319" s="1079"/>
      <c r="Q319" s="1090"/>
      <c r="R319" s="1085">
        <v>2.4300000000000002</v>
      </c>
      <c r="S319" s="2631"/>
      <c r="T319" s="2632"/>
      <c r="U319" s="166"/>
      <c r="V319" s="166"/>
      <c r="W319" s="110"/>
      <c r="X319" s="2634"/>
      <c r="Y319" s="110"/>
      <c r="Z319" s="2633"/>
      <c r="AA319" s="2"/>
    </row>
    <row r="320" spans="1:30" ht="30.5" x14ac:dyDescent="0.35">
      <c r="A320" s="347">
        <v>148</v>
      </c>
      <c r="B320" s="358">
        <v>10191</v>
      </c>
      <c r="C320" s="358"/>
      <c r="D320" s="2460" t="s">
        <v>4148</v>
      </c>
      <c r="E320" s="290" t="s">
        <v>11565</v>
      </c>
      <c r="F320" s="41" t="s">
        <v>1490</v>
      </c>
      <c r="G320" s="40">
        <v>5</v>
      </c>
      <c r="H320" s="41">
        <v>6</v>
      </c>
      <c r="I320" s="2934">
        <f>SUM(M320:R320)</f>
        <v>0.38</v>
      </c>
      <c r="J320" s="2934">
        <f>SUM(M320:R320)</f>
        <v>0.38</v>
      </c>
      <c r="K320" s="745"/>
      <c r="L320" s="745"/>
      <c r="M320" s="1095"/>
      <c r="N320" s="692"/>
      <c r="O320" s="857"/>
      <c r="P320" s="1079"/>
      <c r="Q320" s="1090"/>
      <c r="R320" s="2388">
        <v>0.38</v>
      </c>
      <c r="S320" s="2631"/>
      <c r="T320" s="2632"/>
      <c r="U320" s="166"/>
      <c r="V320" s="166"/>
      <c r="W320" s="110"/>
      <c r="X320" s="2634"/>
      <c r="Y320" s="110"/>
      <c r="Z320" s="2633"/>
      <c r="AA320" s="2"/>
      <c r="AB320" s="3">
        <v>1</v>
      </c>
      <c r="AD320" s="2307"/>
    </row>
    <row r="321" spans="1:30" ht="30.5" x14ac:dyDescent="0.35">
      <c r="A321" s="347">
        <v>149</v>
      </c>
      <c r="B321" s="358">
        <v>10192</v>
      </c>
      <c r="C321" s="358"/>
      <c r="D321" s="358" t="s">
        <v>3014</v>
      </c>
      <c r="E321" s="290" t="s">
        <v>9698</v>
      </c>
      <c r="F321" s="41"/>
      <c r="G321" s="41" t="s">
        <v>191</v>
      </c>
      <c r="H321" s="2289" t="s">
        <v>191</v>
      </c>
      <c r="I321" s="744">
        <f>SUM(M321:R321)</f>
        <v>7.5500000000000007</v>
      </c>
      <c r="J321" s="744">
        <f>SUM(M321:R321)</f>
        <v>7.5500000000000007</v>
      </c>
      <c r="K321" s="749"/>
      <c r="L321" s="749"/>
      <c r="M321" s="1096"/>
      <c r="N321" s="1077">
        <f>SUM(N322:N323)</f>
        <v>1.73</v>
      </c>
      <c r="O321" s="856"/>
      <c r="P321" s="1078"/>
      <c r="Q321" s="1088"/>
      <c r="R321" s="1083">
        <f>SUM(R322:R323)</f>
        <v>5.82</v>
      </c>
      <c r="S321" s="163"/>
      <c r="T321" s="248"/>
      <c r="U321" s="110"/>
      <c r="V321" s="110"/>
      <c r="W321" s="226">
        <v>9</v>
      </c>
      <c r="X321" s="2451">
        <v>129</v>
      </c>
      <c r="Y321" s="226">
        <v>2</v>
      </c>
      <c r="Z321" s="2635">
        <v>26.2</v>
      </c>
      <c r="AA321" s="2"/>
      <c r="AB321" s="3">
        <v>1</v>
      </c>
      <c r="AD321" s="2307"/>
    </row>
    <row r="322" spans="1:30" x14ac:dyDescent="0.35">
      <c r="A322" s="359"/>
      <c r="B322" s="358">
        <v>10192</v>
      </c>
      <c r="C322" s="358"/>
      <c r="D322" s="360"/>
      <c r="E322" s="393" t="s">
        <v>3215</v>
      </c>
      <c r="F322" s="40">
        <v>5</v>
      </c>
      <c r="G322" s="40">
        <v>5</v>
      </c>
      <c r="H322" s="2289">
        <v>6</v>
      </c>
      <c r="I322" s="745"/>
      <c r="J322" s="745"/>
      <c r="K322" s="745"/>
      <c r="L322" s="745"/>
      <c r="M322" s="1095"/>
      <c r="N322" s="692">
        <v>1.73</v>
      </c>
      <c r="O322" s="857"/>
      <c r="P322" s="1079"/>
      <c r="Q322" s="1090"/>
      <c r="R322" s="1085"/>
      <c r="S322" s="2631"/>
      <c r="T322" s="2632"/>
      <c r="U322" s="166"/>
      <c r="V322" s="166"/>
      <c r="W322" s="110"/>
      <c r="X322" s="2634"/>
      <c r="Y322" s="110"/>
      <c r="Z322" s="2633"/>
      <c r="AA322" s="2"/>
    </row>
    <row r="323" spans="1:30" x14ac:dyDescent="0.35">
      <c r="A323" s="359"/>
      <c r="B323" s="358">
        <v>10192</v>
      </c>
      <c r="C323" s="358"/>
      <c r="D323" s="360"/>
      <c r="E323" s="878" t="s">
        <v>3216</v>
      </c>
      <c r="F323" s="40" t="s">
        <v>664</v>
      </c>
      <c r="G323" s="40">
        <v>5</v>
      </c>
      <c r="H323" s="41">
        <v>6</v>
      </c>
      <c r="I323" s="745"/>
      <c r="J323" s="745"/>
      <c r="K323" s="745"/>
      <c r="L323" s="745"/>
      <c r="M323" s="1095"/>
      <c r="N323" s="692"/>
      <c r="O323" s="857"/>
      <c r="P323" s="1079"/>
      <c r="Q323" s="1090"/>
      <c r="R323" s="1085">
        <f>7.55-1.73</f>
        <v>5.82</v>
      </c>
      <c r="S323" s="2631"/>
      <c r="T323" s="2632"/>
      <c r="U323" s="166"/>
      <c r="V323" s="166"/>
      <c r="W323" s="110"/>
      <c r="X323" s="2634"/>
      <c r="Y323" s="110"/>
      <c r="Z323" s="2633"/>
      <c r="AA323" s="2"/>
    </row>
    <row r="324" spans="1:30" ht="60.5" x14ac:dyDescent="0.35">
      <c r="A324" s="693">
        <v>150</v>
      </c>
      <c r="B324" s="105">
        <v>10192</v>
      </c>
      <c r="C324" s="105" t="s">
        <v>1656</v>
      </c>
      <c r="D324" s="2460" t="s">
        <v>4149</v>
      </c>
      <c r="E324" s="269" t="s">
        <v>9699</v>
      </c>
      <c r="F324" s="92" t="s">
        <v>664</v>
      </c>
      <c r="G324" s="92">
        <v>5</v>
      </c>
      <c r="H324" s="41">
        <v>6</v>
      </c>
      <c r="I324" s="702">
        <f>J324+K324+L324</f>
        <v>2.6</v>
      </c>
      <c r="J324" s="702">
        <f>SUM(M324:R324)</f>
        <v>2.6</v>
      </c>
      <c r="K324" s="93"/>
      <c r="L324" s="93"/>
      <c r="M324" s="577"/>
      <c r="N324" s="577"/>
      <c r="O324" s="577"/>
      <c r="P324" s="577"/>
      <c r="Q324" s="577"/>
      <c r="R324" s="2096">
        <v>2.6</v>
      </c>
      <c r="S324" s="113"/>
      <c r="T324" s="577"/>
      <c r="U324" s="93"/>
      <c r="V324" s="93"/>
      <c r="W324" s="93"/>
      <c r="X324" s="2021"/>
      <c r="Y324" s="93"/>
      <c r="Z324" s="93"/>
      <c r="AB324" s="3">
        <v>1</v>
      </c>
      <c r="AD324" s="2307"/>
    </row>
    <row r="325" spans="1:30" ht="30" x14ac:dyDescent="0.35">
      <c r="A325" s="347">
        <v>151</v>
      </c>
      <c r="B325" s="358">
        <v>10194</v>
      </c>
      <c r="C325" s="358"/>
      <c r="D325" s="358" t="s">
        <v>3015</v>
      </c>
      <c r="E325" s="290" t="s">
        <v>6886</v>
      </c>
      <c r="F325" s="41" t="s">
        <v>827</v>
      </c>
      <c r="G325" s="41">
        <v>5</v>
      </c>
      <c r="H325" s="41">
        <v>6</v>
      </c>
      <c r="I325" s="744">
        <f>SUM(M325:R325)</f>
        <v>1</v>
      </c>
      <c r="J325" s="744">
        <f>SUM(M325:R325)</f>
        <v>1</v>
      </c>
      <c r="K325" s="744"/>
      <c r="L325" s="744"/>
      <c r="M325" s="1096"/>
      <c r="N325" s="1077"/>
      <c r="O325" s="856"/>
      <c r="P325" s="1078"/>
      <c r="Q325" s="1088"/>
      <c r="R325" s="1083">
        <v>1</v>
      </c>
      <c r="S325" s="163"/>
      <c r="T325" s="248"/>
      <c r="U325" s="110"/>
      <c r="V325" s="110"/>
      <c r="W325" s="110"/>
      <c r="X325" s="2634"/>
      <c r="Y325" s="110"/>
      <c r="Z325" s="2633"/>
      <c r="AA325" s="2"/>
      <c r="AB325" s="3">
        <v>1</v>
      </c>
      <c r="AC325" s="3" t="s">
        <v>2570</v>
      </c>
      <c r="AD325" s="2307"/>
    </row>
    <row r="326" spans="1:30" ht="30.5" x14ac:dyDescent="0.35">
      <c r="A326" s="693">
        <v>152</v>
      </c>
      <c r="B326" s="358">
        <v>10195</v>
      </c>
      <c r="C326" s="358"/>
      <c r="D326" s="358" t="s">
        <v>3016</v>
      </c>
      <c r="E326" s="290" t="s">
        <v>6887</v>
      </c>
      <c r="F326" s="41" t="s">
        <v>1490</v>
      </c>
      <c r="G326" s="41">
        <v>5</v>
      </c>
      <c r="H326" s="41">
        <v>6</v>
      </c>
      <c r="I326" s="744">
        <f>SUM(M326:R326)</f>
        <v>0.8</v>
      </c>
      <c r="J326" s="744">
        <f>SUM(M326:R326)</f>
        <v>0.8</v>
      </c>
      <c r="K326" s="749"/>
      <c r="L326" s="749"/>
      <c r="M326" s="1096"/>
      <c r="N326" s="1077"/>
      <c r="O326" s="856"/>
      <c r="P326" s="1078"/>
      <c r="Q326" s="1088"/>
      <c r="R326" s="1083">
        <v>0.8</v>
      </c>
      <c r="S326" s="163"/>
      <c r="T326" s="248"/>
      <c r="U326" s="110"/>
      <c r="V326" s="110"/>
      <c r="W326" s="110"/>
      <c r="X326" s="2634"/>
      <c r="Y326" s="110"/>
      <c r="Z326" s="2633"/>
      <c r="AA326" s="2"/>
      <c r="AB326" s="3">
        <v>1</v>
      </c>
      <c r="AD326" s="2307"/>
    </row>
    <row r="327" spans="1:30" ht="30" x14ac:dyDescent="0.35">
      <c r="A327" s="347">
        <v>153</v>
      </c>
      <c r="B327" s="358">
        <v>10196</v>
      </c>
      <c r="C327" s="358"/>
      <c r="D327" s="358" t="s">
        <v>3017</v>
      </c>
      <c r="E327" s="290" t="s">
        <v>517</v>
      </c>
      <c r="F327" s="41"/>
      <c r="G327" s="41" t="s">
        <v>191</v>
      </c>
      <c r="H327" s="2289" t="s">
        <v>191</v>
      </c>
      <c r="I327" s="744">
        <f>SUM(M327:R327)</f>
        <v>1.7000000000000002</v>
      </c>
      <c r="J327" s="744">
        <f>SUM(M327:R327)</f>
        <v>1.7000000000000002</v>
      </c>
      <c r="K327" s="749"/>
      <c r="L327" s="749"/>
      <c r="M327" s="1096"/>
      <c r="N327" s="1077"/>
      <c r="O327" s="856"/>
      <c r="P327" s="1078"/>
      <c r="Q327" s="1088">
        <f>+Q328+Q329</f>
        <v>1.08</v>
      </c>
      <c r="R327" s="1083">
        <f>+R328+R329</f>
        <v>0.62</v>
      </c>
      <c r="S327" s="163"/>
      <c r="T327" s="248"/>
      <c r="U327" s="110"/>
      <c r="V327" s="110"/>
      <c r="W327" s="226">
        <v>1</v>
      </c>
      <c r="X327" s="2451">
        <v>12.5</v>
      </c>
      <c r="Y327" s="226">
        <v>1</v>
      </c>
      <c r="Z327" s="2635">
        <v>12.5</v>
      </c>
      <c r="AA327" s="2"/>
      <c r="AB327" s="3">
        <v>1</v>
      </c>
      <c r="AD327" s="2307"/>
    </row>
    <row r="328" spans="1:30" x14ac:dyDescent="0.35">
      <c r="A328" s="359"/>
      <c r="B328" s="358">
        <v>10196</v>
      </c>
      <c r="C328" s="358"/>
      <c r="D328" s="360"/>
      <c r="E328" s="900" t="s">
        <v>1079</v>
      </c>
      <c r="F328" s="40">
        <v>5</v>
      </c>
      <c r="G328" s="40">
        <v>5</v>
      </c>
      <c r="H328" s="2289">
        <v>6</v>
      </c>
      <c r="I328" s="745"/>
      <c r="J328" s="745"/>
      <c r="K328" s="745"/>
      <c r="L328" s="745"/>
      <c r="M328" s="1095"/>
      <c r="N328" s="692"/>
      <c r="O328" s="857"/>
      <c r="P328" s="1079"/>
      <c r="Q328" s="1090">
        <v>1.08</v>
      </c>
      <c r="R328" s="1085"/>
      <c r="S328" s="2631"/>
      <c r="T328" s="2632"/>
      <c r="U328" s="166"/>
      <c r="V328" s="166"/>
      <c r="W328" s="110"/>
      <c r="X328" s="2634"/>
      <c r="Y328" s="110"/>
      <c r="Z328" s="2633"/>
      <c r="AA328" s="2"/>
    </row>
    <row r="329" spans="1:30" x14ac:dyDescent="0.35">
      <c r="A329" s="359"/>
      <c r="B329" s="358">
        <v>10196</v>
      </c>
      <c r="C329" s="358"/>
      <c r="D329" s="360"/>
      <c r="E329" s="878" t="s">
        <v>1080</v>
      </c>
      <c r="F329" s="40" t="s">
        <v>827</v>
      </c>
      <c r="G329" s="40">
        <v>5</v>
      </c>
      <c r="H329" s="41">
        <v>6</v>
      </c>
      <c r="I329" s="745"/>
      <c r="J329" s="745"/>
      <c r="K329" s="745"/>
      <c r="L329" s="745"/>
      <c r="M329" s="1095"/>
      <c r="N329" s="692"/>
      <c r="O329" s="856"/>
      <c r="P329" s="1079"/>
      <c r="Q329" s="1090"/>
      <c r="R329" s="1085">
        <v>0.62</v>
      </c>
      <c r="S329" s="2631"/>
      <c r="T329" s="2632"/>
      <c r="U329" s="166"/>
      <c r="V329" s="166"/>
      <c r="W329" s="110"/>
      <c r="X329" s="2634"/>
      <c r="Y329" s="110"/>
      <c r="Z329" s="2633"/>
      <c r="AA329" s="2"/>
    </row>
    <row r="330" spans="1:30" ht="30.5" x14ac:dyDescent="0.35">
      <c r="A330" s="693">
        <v>154</v>
      </c>
      <c r="B330" s="105">
        <v>10196</v>
      </c>
      <c r="C330" s="105" t="s">
        <v>1656</v>
      </c>
      <c r="D330" s="2460" t="s">
        <v>4150</v>
      </c>
      <c r="E330" s="269" t="s">
        <v>8259</v>
      </c>
      <c r="F330" s="92" t="s">
        <v>664</v>
      </c>
      <c r="G330" s="92">
        <v>5</v>
      </c>
      <c r="H330" s="41">
        <v>6</v>
      </c>
      <c r="I330" s="702">
        <f>J330+K330+L330</f>
        <v>0.32</v>
      </c>
      <c r="J330" s="702">
        <f>SUM(M330:R330)</f>
        <v>0.32</v>
      </c>
      <c r="K330" s="93"/>
      <c r="L330" s="93"/>
      <c r="M330" s="577"/>
      <c r="N330" s="577"/>
      <c r="O330" s="577"/>
      <c r="P330" s="577"/>
      <c r="Q330" s="577"/>
      <c r="R330" s="2096">
        <v>0.32</v>
      </c>
      <c r="S330" s="113"/>
      <c r="T330" s="577"/>
      <c r="U330" s="93"/>
      <c r="V330" s="93"/>
      <c r="W330" s="93"/>
      <c r="X330" s="2021"/>
      <c r="Y330" s="93"/>
      <c r="Z330" s="93"/>
      <c r="AB330" s="3">
        <v>1</v>
      </c>
      <c r="AD330" s="2307"/>
    </row>
    <row r="331" spans="1:30" ht="30" x14ac:dyDescent="0.35">
      <c r="A331" s="347">
        <v>155</v>
      </c>
      <c r="B331" s="358">
        <v>10197</v>
      </c>
      <c r="C331" s="358"/>
      <c r="D331" s="358" t="s">
        <v>3018</v>
      </c>
      <c r="E331" s="290" t="s">
        <v>2837</v>
      </c>
      <c r="F331" s="41">
        <v>5</v>
      </c>
      <c r="G331" s="41">
        <v>5</v>
      </c>
      <c r="H331" s="2289">
        <v>6</v>
      </c>
      <c r="I331" s="744">
        <f>SUM(M331:R331)</f>
        <v>4.2300000000000004</v>
      </c>
      <c r="J331" s="744">
        <f>SUM(M331:R331)</f>
        <v>4.2300000000000004</v>
      </c>
      <c r="K331" s="744"/>
      <c r="L331" s="744"/>
      <c r="M331" s="1096"/>
      <c r="N331" s="1077"/>
      <c r="O331" s="856"/>
      <c r="P331" s="1078"/>
      <c r="Q331" s="1088">
        <v>4.2300000000000004</v>
      </c>
      <c r="R331" s="1083"/>
      <c r="S331" s="163"/>
      <c r="T331" s="248"/>
      <c r="U331" s="110"/>
      <c r="V331" s="110"/>
      <c r="W331" s="226">
        <v>6</v>
      </c>
      <c r="X331" s="2451">
        <v>90.2</v>
      </c>
      <c r="Y331" s="110"/>
      <c r="Z331" s="2633"/>
      <c r="AA331" s="2"/>
      <c r="AB331" s="3">
        <v>1</v>
      </c>
      <c r="AD331" s="2307"/>
    </row>
    <row r="332" spans="1:30" ht="30" x14ac:dyDescent="0.35">
      <c r="A332" s="347">
        <v>156</v>
      </c>
      <c r="B332" s="358">
        <v>10198</v>
      </c>
      <c r="C332" s="358"/>
      <c r="D332" s="358" t="s">
        <v>420</v>
      </c>
      <c r="E332" s="290" t="s">
        <v>6888</v>
      </c>
      <c r="F332" s="41"/>
      <c r="G332" s="41" t="s">
        <v>191</v>
      </c>
      <c r="H332" s="2289" t="s">
        <v>191</v>
      </c>
      <c r="I332" s="744">
        <f>SUM(M332:R332)</f>
        <v>2.9</v>
      </c>
      <c r="J332" s="744">
        <f>SUM(M332:R332)</f>
        <v>2.9</v>
      </c>
      <c r="K332" s="749"/>
      <c r="L332" s="749"/>
      <c r="M332" s="1096"/>
      <c r="N332" s="1077">
        <f>+N333</f>
        <v>0.21</v>
      </c>
      <c r="O332" s="856"/>
      <c r="P332" s="1078"/>
      <c r="Q332" s="1088"/>
      <c r="R332" s="1083">
        <f>+R334</f>
        <v>2.69</v>
      </c>
      <c r="S332" s="163"/>
      <c r="T332" s="248"/>
      <c r="U332" s="110"/>
      <c r="V332" s="110"/>
      <c r="W332" s="110"/>
      <c r="X332" s="2634"/>
      <c r="Y332" s="110"/>
      <c r="Z332" s="2633"/>
      <c r="AA332" s="2"/>
      <c r="AB332" s="3">
        <v>1</v>
      </c>
      <c r="AD332" s="2307"/>
    </row>
    <row r="333" spans="1:30" x14ac:dyDescent="0.35">
      <c r="A333" s="347"/>
      <c r="B333" s="358">
        <v>10198</v>
      </c>
      <c r="C333" s="358"/>
      <c r="D333" s="358"/>
      <c r="E333" s="393" t="s">
        <v>2629</v>
      </c>
      <c r="F333" s="41" t="s">
        <v>1490</v>
      </c>
      <c r="G333" s="41">
        <v>5</v>
      </c>
      <c r="H333" s="2289">
        <v>6</v>
      </c>
      <c r="I333" s="744"/>
      <c r="J333" s="744"/>
      <c r="K333" s="749"/>
      <c r="L333" s="749"/>
      <c r="M333" s="1095"/>
      <c r="N333" s="692">
        <v>0.21</v>
      </c>
      <c r="O333" s="857"/>
      <c r="P333" s="1079"/>
      <c r="Q333" s="1090"/>
      <c r="R333" s="1085"/>
      <c r="S333" s="163"/>
      <c r="T333" s="248"/>
      <c r="U333" s="110"/>
      <c r="V333" s="110"/>
      <c r="W333" s="110"/>
      <c r="X333" s="2634"/>
      <c r="Y333" s="110"/>
      <c r="Z333" s="2633"/>
      <c r="AA333" s="2"/>
    </row>
    <row r="334" spans="1:30" x14ac:dyDescent="0.35">
      <c r="A334" s="347"/>
      <c r="B334" s="358">
        <v>10198</v>
      </c>
      <c r="C334" s="358"/>
      <c r="D334" s="358"/>
      <c r="E334" s="878" t="s">
        <v>2478</v>
      </c>
      <c r="F334" s="41" t="s">
        <v>1490</v>
      </c>
      <c r="G334" s="41">
        <v>5</v>
      </c>
      <c r="H334" s="41">
        <v>6</v>
      </c>
      <c r="I334" s="744"/>
      <c r="J334" s="744"/>
      <c r="K334" s="749"/>
      <c r="L334" s="749"/>
      <c r="M334" s="1095"/>
      <c r="N334" s="692"/>
      <c r="O334" s="857"/>
      <c r="P334" s="1079"/>
      <c r="Q334" s="1090"/>
      <c r="R334" s="1085">
        <v>2.69</v>
      </c>
      <c r="S334" s="163"/>
      <c r="T334" s="248"/>
      <c r="U334" s="110"/>
      <c r="V334" s="110"/>
      <c r="W334" s="110"/>
      <c r="X334" s="2634"/>
      <c r="Y334" s="110"/>
      <c r="Z334" s="2633"/>
      <c r="AA334" s="2"/>
    </row>
    <row r="335" spans="1:30" ht="30" x14ac:dyDescent="0.35">
      <c r="A335" s="347">
        <v>157</v>
      </c>
      <c r="B335" s="358">
        <v>10200</v>
      </c>
      <c r="C335" s="358"/>
      <c r="D335" s="358" t="s">
        <v>900</v>
      </c>
      <c r="E335" s="290" t="s">
        <v>1776</v>
      </c>
      <c r="F335" s="41"/>
      <c r="G335" s="41" t="s">
        <v>191</v>
      </c>
      <c r="H335" s="2289" t="s">
        <v>191</v>
      </c>
      <c r="I335" s="744">
        <f>SUM(M335:R335)</f>
        <v>4.5199999999999996</v>
      </c>
      <c r="J335" s="744">
        <f>SUM(M335:R335)</f>
        <v>4.5199999999999996</v>
      </c>
      <c r="K335" s="749"/>
      <c r="L335" s="749"/>
      <c r="M335" s="1096"/>
      <c r="N335" s="1077">
        <f>+N336+N337+N338</f>
        <v>0.62</v>
      </c>
      <c r="O335" s="856"/>
      <c r="P335" s="1078"/>
      <c r="Q335" s="1088">
        <f>+Q336+Q337+Q338</f>
        <v>0.38</v>
      </c>
      <c r="R335" s="1083">
        <f>+R336+R337+R338</f>
        <v>3.52</v>
      </c>
      <c r="S335" s="163"/>
      <c r="T335" s="248"/>
      <c r="U335" s="110"/>
      <c r="V335" s="110"/>
      <c r="W335" s="226">
        <v>1</v>
      </c>
      <c r="X335" s="2451">
        <v>10.1</v>
      </c>
      <c r="Y335" s="110"/>
      <c r="Z335" s="2633"/>
      <c r="AA335" s="2"/>
      <c r="AB335" s="3">
        <v>1</v>
      </c>
      <c r="AD335" s="2307"/>
    </row>
    <row r="336" spans="1:30" x14ac:dyDescent="0.35">
      <c r="A336" s="347"/>
      <c r="B336" s="358">
        <v>10200</v>
      </c>
      <c r="C336" s="358"/>
      <c r="D336" s="358"/>
      <c r="E336" s="393" t="s">
        <v>1069</v>
      </c>
      <c r="F336" s="41" t="s">
        <v>827</v>
      </c>
      <c r="G336" s="41">
        <v>5</v>
      </c>
      <c r="H336" s="2289">
        <v>6</v>
      </c>
      <c r="I336" s="744"/>
      <c r="J336" s="744"/>
      <c r="K336" s="749"/>
      <c r="L336" s="749"/>
      <c r="M336" s="1095"/>
      <c r="N336" s="692">
        <v>0.62</v>
      </c>
      <c r="O336" s="857"/>
      <c r="P336" s="1079"/>
      <c r="Q336" s="1090"/>
      <c r="R336" s="1085"/>
      <c r="S336" s="163"/>
      <c r="T336" s="248"/>
      <c r="U336" s="110"/>
      <c r="V336" s="110"/>
      <c r="W336" s="110"/>
      <c r="X336" s="2634"/>
      <c r="Y336" s="110"/>
      <c r="Z336" s="2633"/>
      <c r="AA336" s="2"/>
    </row>
    <row r="337" spans="1:30" x14ac:dyDescent="0.35">
      <c r="A337" s="347"/>
      <c r="B337" s="358">
        <v>10200</v>
      </c>
      <c r="C337" s="358"/>
      <c r="D337" s="358"/>
      <c r="E337" s="900" t="s">
        <v>1075</v>
      </c>
      <c r="F337" s="41" t="s">
        <v>827</v>
      </c>
      <c r="G337" s="41">
        <v>5</v>
      </c>
      <c r="H337" s="2289">
        <v>6</v>
      </c>
      <c r="I337" s="744"/>
      <c r="J337" s="744"/>
      <c r="K337" s="749"/>
      <c r="L337" s="749"/>
      <c r="M337" s="1095"/>
      <c r="N337" s="692"/>
      <c r="O337" s="857"/>
      <c r="P337" s="1079"/>
      <c r="Q337" s="1090">
        <v>0.38</v>
      </c>
      <c r="R337" s="1085"/>
      <c r="S337" s="163"/>
      <c r="T337" s="248"/>
      <c r="U337" s="110"/>
      <c r="V337" s="110"/>
      <c r="W337" s="110"/>
      <c r="X337" s="2634"/>
      <c r="Y337" s="110"/>
      <c r="Z337" s="2633"/>
      <c r="AA337" s="2"/>
    </row>
    <row r="338" spans="1:30" x14ac:dyDescent="0.35">
      <c r="A338" s="347"/>
      <c r="B338" s="358">
        <v>10200</v>
      </c>
      <c r="C338" s="358"/>
      <c r="D338" s="358"/>
      <c r="E338" s="878" t="s">
        <v>1076</v>
      </c>
      <c r="F338" s="41" t="s">
        <v>827</v>
      </c>
      <c r="G338" s="41">
        <v>5</v>
      </c>
      <c r="H338" s="41">
        <v>6</v>
      </c>
      <c r="I338" s="744"/>
      <c r="J338" s="744"/>
      <c r="K338" s="749"/>
      <c r="L338" s="749"/>
      <c r="M338" s="1095"/>
      <c r="N338" s="692"/>
      <c r="O338" s="857"/>
      <c r="P338" s="1079"/>
      <c r="Q338" s="1090"/>
      <c r="R338" s="1085">
        <v>3.52</v>
      </c>
      <c r="S338" s="163"/>
      <c r="T338" s="248"/>
      <c r="U338" s="110"/>
      <c r="V338" s="110"/>
      <c r="W338" s="110"/>
      <c r="X338" s="2634"/>
      <c r="Y338" s="110"/>
      <c r="Z338" s="2633"/>
      <c r="AA338" s="2"/>
    </row>
    <row r="339" spans="1:30" ht="30.5" x14ac:dyDescent="0.35">
      <c r="A339" s="693">
        <v>158</v>
      </c>
      <c r="B339" s="105">
        <v>10200</v>
      </c>
      <c r="C339" s="105" t="s">
        <v>1656</v>
      </c>
      <c r="D339" s="2460" t="s">
        <v>4151</v>
      </c>
      <c r="E339" s="269" t="s">
        <v>8260</v>
      </c>
      <c r="F339" s="92" t="s">
        <v>664</v>
      </c>
      <c r="G339" s="92">
        <v>5</v>
      </c>
      <c r="H339" s="41">
        <v>6</v>
      </c>
      <c r="I339" s="702">
        <f>J339+K339+L339</f>
        <v>0.5</v>
      </c>
      <c r="J339" s="702">
        <f>SUM(M339:R339)</f>
        <v>0.5</v>
      </c>
      <c r="K339" s="93"/>
      <c r="L339" s="93"/>
      <c r="M339" s="577"/>
      <c r="N339" s="577"/>
      <c r="O339" s="577"/>
      <c r="P339" s="577"/>
      <c r="Q339" s="577"/>
      <c r="R339" s="2096">
        <v>0.5</v>
      </c>
      <c r="S339" s="113"/>
      <c r="T339" s="577"/>
      <c r="U339" s="93"/>
      <c r="V339" s="93"/>
      <c r="W339" s="93"/>
      <c r="X339" s="2021"/>
      <c r="Y339" s="93"/>
      <c r="Z339" s="93"/>
      <c r="AB339" s="3">
        <v>1</v>
      </c>
      <c r="AD339" s="2307"/>
    </row>
    <row r="340" spans="1:30" ht="30" x14ac:dyDescent="0.35">
      <c r="A340" s="347">
        <v>159</v>
      </c>
      <c r="B340" s="358">
        <v>10201</v>
      </c>
      <c r="C340" s="358"/>
      <c r="D340" s="358" t="s">
        <v>3099</v>
      </c>
      <c r="E340" s="290" t="s">
        <v>1077</v>
      </c>
      <c r="F340" s="41"/>
      <c r="G340" s="41" t="s">
        <v>191</v>
      </c>
      <c r="H340" s="2289" t="s">
        <v>191</v>
      </c>
      <c r="I340" s="744">
        <f>SUM(M340:R340)</f>
        <v>4.32</v>
      </c>
      <c r="J340" s="744">
        <f>SUM(M340:R340)</f>
        <v>4.32</v>
      </c>
      <c r="K340" s="749"/>
      <c r="L340" s="749"/>
      <c r="M340" s="1096"/>
      <c r="N340" s="1077"/>
      <c r="O340" s="856"/>
      <c r="P340" s="1078"/>
      <c r="Q340" s="1088">
        <f>+Q341</f>
        <v>3</v>
      </c>
      <c r="R340" s="1083">
        <f>+R342</f>
        <v>1.32</v>
      </c>
      <c r="S340" s="163"/>
      <c r="T340" s="248"/>
      <c r="U340" s="110"/>
      <c r="V340" s="110"/>
      <c r="W340" s="226">
        <v>5</v>
      </c>
      <c r="X340" s="2451">
        <v>58.3</v>
      </c>
      <c r="Y340" s="110">
        <v>1</v>
      </c>
      <c r="Z340" s="2633">
        <v>10</v>
      </c>
      <c r="AA340" s="2"/>
      <c r="AB340" s="3">
        <v>1</v>
      </c>
      <c r="AD340" s="2307"/>
    </row>
    <row r="341" spans="1:30" x14ac:dyDescent="0.35">
      <c r="A341" s="347"/>
      <c r="B341" s="358">
        <v>10201</v>
      </c>
      <c r="C341" s="358"/>
      <c r="D341" s="405"/>
      <c r="E341" s="900" t="s">
        <v>948</v>
      </c>
      <c r="F341" s="41">
        <v>5</v>
      </c>
      <c r="G341" s="41">
        <v>5</v>
      </c>
      <c r="H341" s="2289">
        <v>6</v>
      </c>
      <c r="I341" s="744"/>
      <c r="J341" s="744"/>
      <c r="K341" s="749"/>
      <c r="L341" s="749"/>
      <c r="M341" s="1095"/>
      <c r="N341" s="692"/>
      <c r="O341" s="857"/>
      <c r="P341" s="1079"/>
      <c r="Q341" s="1090">
        <v>3</v>
      </c>
      <c r="R341" s="1085"/>
      <c r="S341" s="163"/>
      <c r="T341" s="248"/>
      <c r="U341" s="110"/>
      <c r="V341" s="110"/>
      <c r="W341" s="110"/>
      <c r="X341" s="2634"/>
      <c r="Y341" s="110"/>
      <c r="Z341" s="2633"/>
      <c r="AA341" s="2"/>
    </row>
    <row r="342" spans="1:30" x14ac:dyDescent="0.35">
      <c r="A342" s="347"/>
      <c r="B342" s="358">
        <v>10201</v>
      </c>
      <c r="C342" s="358"/>
      <c r="D342" s="405"/>
      <c r="E342" s="878" t="s">
        <v>1078</v>
      </c>
      <c r="F342" s="41" t="s">
        <v>1490</v>
      </c>
      <c r="G342" s="41">
        <v>5</v>
      </c>
      <c r="H342" s="41">
        <v>6</v>
      </c>
      <c r="I342" s="744"/>
      <c r="J342" s="744"/>
      <c r="K342" s="749"/>
      <c r="L342" s="749"/>
      <c r="M342" s="1095"/>
      <c r="N342" s="692"/>
      <c r="O342" s="857"/>
      <c r="P342" s="1079"/>
      <c r="Q342" s="1090"/>
      <c r="R342" s="1085">
        <v>1.32</v>
      </c>
      <c r="S342" s="163"/>
      <c r="T342" s="248"/>
      <c r="U342" s="110"/>
      <c r="V342" s="110"/>
      <c r="W342" s="110"/>
      <c r="X342" s="2634"/>
      <c r="Y342" s="110"/>
      <c r="Z342" s="2633"/>
      <c r="AA342" s="2"/>
    </row>
    <row r="343" spans="1:30" ht="30.5" x14ac:dyDescent="0.35">
      <c r="A343" s="693">
        <v>160</v>
      </c>
      <c r="B343" s="105">
        <v>10201</v>
      </c>
      <c r="C343" s="105" t="s">
        <v>1656</v>
      </c>
      <c r="D343" s="2460" t="s">
        <v>4152</v>
      </c>
      <c r="E343" s="269" t="s">
        <v>8261</v>
      </c>
      <c r="F343" s="92" t="s">
        <v>664</v>
      </c>
      <c r="G343" s="92">
        <v>5</v>
      </c>
      <c r="H343" s="41">
        <v>6</v>
      </c>
      <c r="I343" s="702">
        <f>J343+K343+L343</f>
        <v>0.4</v>
      </c>
      <c r="J343" s="702">
        <f>SUM(M343:R343)</f>
        <v>0.4</v>
      </c>
      <c r="K343" s="93"/>
      <c r="L343" s="93"/>
      <c r="M343" s="577"/>
      <c r="N343" s="577"/>
      <c r="O343" s="577"/>
      <c r="P343" s="577"/>
      <c r="Q343" s="577"/>
      <c r="R343" s="2096">
        <v>0.4</v>
      </c>
      <c r="S343" s="113"/>
      <c r="T343" s="577"/>
      <c r="U343" s="93"/>
      <c r="V343" s="93"/>
      <c r="W343" s="93"/>
      <c r="X343" s="2021"/>
      <c r="Y343" s="93"/>
      <c r="Z343" s="93"/>
      <c r="AB343" s="3">
        <v>1</v>
      </c>
      <c r="AD343" s="2307"/>
    </row>
    <row r="344" spans="1:30" ht="30.5" x14ac:dyDescent="0.35">
      <c r="A344" s="347">
        <v>161</v>
      </c>
      <c r="B344" s="358">
        <v>10202</v>
      </c>
      <c r="C344" s="358"/>
      <c r="D344" s="358" t="s">
        <v>3100</v>
      </c>
      <c r="E344" s="290" t="s">
        <v>6889</v>
      </c>
      <c r="F344" s="41" t="s">
        <v>827</v>
      </c>
      <c r="G344" s="41">
        <v>5</v>
      </c>
      <c r="H344" s="41">
        <v>6</v>
      </c>
      <c r="I344" s="744">
        <f>SUM(M344:R344)</f>
        <v>5.46</v>
      </c>
      <c r="J344" s="744">
        <f>SUM(M344:R344)</f>
        <v>5.46</v>
      </c>
      <c r="K344" s="749"/>
      <c r="L344" s="749"/>
      <c r="M344" s="1096"/>
      <c r="N344" s="1077"/>
      <c r="O344" s="856"/>
      <c r="P344" s="1078"/>
      <c r="Q344" s="1088"/>
      <c r="R344" s="1083">
        <v>5.46</v>
      </c>
      <c r="S344" s="163"/>
      <c r="T344" s="248"/>
      <c r="U344" s="110"/>
      <c r="V344" s="110"/>
      <c r="W344" s="110">
        <v>3</v>
      </c>
      <c r="X344" s="2634">
        <v>32.869999999999997</v>
      </c>
      <c r="Y344" s="110"/>
      <c r="Z344" s="2633"/>
      <c r="AA344" s="2"/>
      <c r="AB344" s="3">
        <v>1</v>
      </c>
      <c r="AD344" s="2307"/>
    </row>
    <row r="345" spans="1:30" ht="45.5" x14ac:dyDescent="0.35">
      <c r="A345" s="693">
        <v>162</v>
      </c>
      <c r="B345" s="105">
        <v>10202</v>
      </c>
      <c r="C345" s="105" t="s">
        <v>1656</v>
      </c>
      <c r="D345" s="2460" t="s">
        <v>4154</v>
      </c>
      <c r="E345" s="269" t="s">
        <v>8262</v>
      </c>
      <c r="F345" s="92" t="s">
        <v>664</v>
      </c>
      <c r="G345" s="92">
        <v>5</v>
      </c>
      <c r="H345" s="41">
        <v>6</v>
      </c>
      <c r="I345" s="702">
        <f>J345+K345+L345</f>
        <v>0.9</v>
      </c>
      <c r="J345" s="702">
        <f>SUM(M345:R345)</f>
        <v>0.9</v>
      </c>
      <c r="K345" s="93"/>
      <c r="L345" s="93"/>
      <c r="M345" s="577"/>
      <c r="N345" s="577"/>
      <c r="O345" s="577"/>
      <c r="P345" s="577"/>
      <c r="Q345" s="577"/>
      <c r="R345" s="2096">
        <v>0.9</v>
      </c>
      <c r="S345" s="113"/>
      <c r="T345" s="577"/>
      <c r="U345" s="93"/>
      <c r="V345" s="93"/>
      <c r="W345" s="93"/>
      <c r="X345" s="2021"/>
      <c r="Y345" s="93"/>
      <c r="Z345" s="93"/>
      <c r="AB345" s="3">
        <v>1</v>
      </c>
      <c r="AD345" s="2307"/>
    </row>
    <row r="346" spans="1:30" ht="30.5" x14ac:dyDescent="0.35">
      <c r="A346" s="347">
        <v>163</v>
      </c>
      <c r="B346" s="358">
        <v>10976</v>
      </c>
      <c r="C346" s="358"/>
      <c r="D346" s="358" t="s">
        <v>896</v>
      </c>
      <c r="E346" s="290" t="s">
        <v>3589</v>
      </c>
      <c r="F346" s="41"/>
      <c r="G346" s="41" t="s">
        <v>191</v>
      </c>
      <c r="H346" s="2289" t="s">
        <v>191</v>
      </c>
      <c r="I346" s="744">
        <f>SUM(M346:R346)</f>
        <v>16.659999999999997</v>
      </c>
      <c r="J346" s="744">
        <f>SUM(M346:R346)</f>
        <v>16.659999999999997</v>
      </c>
      <c r="K346" s="744"/>
      <c r="L346" s="744"/>
      <c r="M346" s="975">
        <f>SUM(M347:M351)</f>
        <v>10.042999999999992</v>
      </c>
      <c r="N346" s="671">
        <f>SUM(N347:N351)</f>
        <v>6.6170000000000044</v>
      </c>
      <c r="O346" s="850"/>
      <c r="P346" s="744"/>
      <c r="Q346" s="859"/>
      <c r="R346" s="869"/>
      <c r="S346" s="163"/>
      <c r="T346" s="249"/>
      <c r="U346" s="110"/>
      <c r="V346" s="110"/>
      <c r="W346" s="226">
        <v>29</v>
      </c>
      <c r="X346" s="2451">
        <v>358.38</v>
      </c>
      <c r="Y346" s="226">
        <v>10</v>
      </c>
      <c r="Z346" s="2622">
        <v>91</v>
      </c>
      <c r="AA346" s="2"/>
      <c r="AB346" s="3">
        <v>1</v>
      </c>
      <c r="AD346" s="2307"/>
    </row>
    <row r="347" spans="1:30" x14ac:dyDescent="0.35">
      <c r="A347" s="359"/>
      <c r="B347" s="358">
        <v>10976</v>
      </c>
      <c r="C347" s="358"/>
      <c r="D347" s="360"/>
      <c r="E347" s="979" t="s">
        <v>3584</v>
      </c>
      <c r="F347" s="40">
        <v>4</v>
      </c>
      <c r="G347" s="40">
        <v>3</v>
      </c>
      <c r="H347" s="40">
        <v>10</v>
      </c>
      <c r="I347" s="745"/>
      <c r="J347" s="745"/>
      <c r="K347" s="745"/>
      <c r="L347" s="745"/>
      <c r="M347" s="977">
        <f>29.646-25.817</f>
        <v>3.8290000000000006</v>
      </c>
      <c r="N347" s="746"/>
      <c r="O347" s="1092"/>
      <c r="P347" s="747"/>
      <c r="Q347" s="1087"/>
      <c r="R347" s="1082"/>
      <c r="S347" s="2631"/>
      <c r="T347" s="2632"/>
      <c r="U347" s="166"/>
      <c r="V347" s="166"/>
      <c r="W347" s="110"/>
      <c r="X347" s="2634"/>
      <c r="Y347" s="110"/>
      <c r="Z347" s="2633"/>
      <c r="AA347" s="2"/>
    </row>
    <row r="348" spans="1:30" x14ac:dyDescent="0.35">
      <c r="A348" s="359"/>
      <c r="B348" s="358">
        <v>10976</v>
      </c>
      <c r="C348" s="358"/>
      <c r="D348" s="360"/>
      <c r="E348" s="291" t="s">
        <v>3585</v>
      </c>
      <c r="F348" s="40">
        <v>4</v>
      </c>
      <c r="G348" s="40">
        <v>3</v>
      </c>
      <c r="H348" s="2289">
        <v>6</v>
      </c>
      <c r="I348" s="745"/>
      <c r="J348" s="745"/>
      <c r="K348" s="745"/>
      <c r="L348" s="745"/>
      <c r="M348" s="976"/>
      <c r="N348" s="746">
        <f>32.726-29.646</f>
        <v>3.0799999999999983</v>
      </c>
      <c r="O348" s="1093"/>
      <c r="P348" s="745"/>
      <c r="Q348" s="1089"/>
      <c r="R348" s="1084"/>
      <c r="S348" s="2631"/>
      <c r="T348" s="2632"/>
      <c r="U348" s="166"/>
      <c r="V348" s="166"/>
      <c r="W348" s="110"/>
      <c r="X348" s="2634"/>
      <c r="Y348" s="110"/>
      <c r="Z348" s="2633"/>
      <c r="AA348" s="2"/>
    </row>
    <row r="349" spans="1:30" x14ac:dyDescent="0.35">
      <c r="A349" s="359"/>
      <c r="B349" s="358">
        <v>10976</v>
      </c>
      <c r="C349" s="358"/>
      <c r="D349" s="360"/>
      <c r="E349" s="979" t="s">
        <v>3586</v>
      </c>
      <c r="F349" s="40">
        <v>4</v>
      </c>
      <c r="G349" s="40">
        <v>3</v>
      </c>
      <c r="H349" s="40">
        <v>10</v>
      </c>
      <c r="I349" s="745"/>
      <c r="J349" s="745"/>
      <c r="K349" s="745"/>
      <c r="L349" s="745"/>
      <c r="M349" s="977">
        <f>37.989-32.726</f>
        <v>5.2629999999999981</v>
      </c>
      <c r="N349" s="748"/>
      <c r="O349" s="1093"/>
      <c r="P349" s="745"/>
      <c r="Q349" s="1089"/>
      <c r="R349" s="1084"/>
      <c r="S349" s="2631"/>
      <c r="T349" s="2632"/>
      <c r="U349" s="166"/>
      <c r="V349" s="166"/>
      <c r="W349" s="110"/>
      <c r="X349" s="2634"/>
      <c r="Y349" s="110"/>
      <c r="Z349" s="2633"/>
      <c r="AA349" s="2"/>
    </row>
    <row r="350" spans="1:30" x14ac:dyDescent="0.35">
      <c r="A350" s="359"/>
      <c r="B350" s="358">
        <v>10976</v>
      </c>
      <c r="C350" s="358"/>
      <c r="D350" s="360"/>
      <c r="E350" s="291" t="s">
        <v>3587</v>
      </c>
      <c r="F350" s="40">
        <v>4</v>
      </c>
      <c r="G350" s="40">
        <v>3</v>
      </c>
      <c r="H350" s="2289">
        <v>6</v>
      </c>
      <c r="I350" s="745"/>
      <c r="J350" s="745"/>
      <c r="K350" s="745"/>
      <c r="L350" s="745"/>
      <c r="M350" s="976"/>
      <c r="N350" s="746">
        <f>41.526-37.989</f>
        <v>3.5370000000000061</v>
      </c>
      <c r="O350" s="1092"/>
      <c r="P350" s="747"/>
      <c r="Q350" s="1087"/>
      <c r="R350" s="1082"/>
      <c r="S350" s="2631"/>
      <c r="T350" s="2632"/>
      <c r="U350" s="166"/>
      <c r="V350" s="166"/>
      <c r="W350" s="110"/>
      <c r="X350" s="2634"/>
      <c r="Y350" s="110"/>
      <c r="Z350" s="2633"/>
      <c r="AA350" s="2"/>
    </row>
    <row r="351" spans="1:30" x14ac:dyDescent="0.35">
      <c r="A351" s="359"/>
      <c r="B351" s="358">
        <v>10976</v>
      </c>
      <c r="C351" s="358"/>
      <c r="D351" s="360"/>
      <c r="E351" s="979" t="s">
        <v>3588</v>
      </c>
      <c r="F351" s="40">
        <v>4</v>
      </c>
      <c r="G351" s="40">
        <v>3</v>
      </c>
      <c r="H351" s="2289">
        <v>10</v>
      </c>
      <c r="I351" s="745"/>
      <c r="J351" s="745"/>
      <c r="K351" s="745"/>
      <c r="L351" s="745"/>
      <c r="M351" s="976">
        <f>42.477-41.526</f>
        <v>0.95099999999999341</v>
      </c>
      <c r="N351" s="746"/>
      <c r="O351" s="1092"/>
      <c r="P351" s="747"/>
      <c r="Q351" s="1087"/>
      <c r="R351" s="1082"/>
      <c r="S351" s="2631"/>
      <c r="T351" s="2632"/>
      <c r="U351" s="166"/>
      <c r="V351" s="166"/>
      <c r="W351" s="110"/>
      <c r="X351" s="2634"/>
      <c r="Y351" s="110"/>
      <c r="Z351" s="2633"/>
      <c r="AA351" s="2"/>
    </row>
    <row r="352" spans="1:30" ht="45.5" x14ac:dyDescent="0.35">
      <c r="A352" s="347">
        <v>164</v>
      </c>
      <c r="B352" s="358">
        <v>10976</v>
      </c>
      <c r="C352" s="358"/>
      <c r="D352" s="2460" t="s">
        <v>4155</v>
      </c>
      <c r="E352" s="394" t="s">
        <v>7527</v>
      </c>
      <c r="F352" s="41"/>
      <c r="G352" s="41" t="s">
        <v>191</v>
      </c>
      <c r="H352" s="2289" t="s">
        <v>191</v>
      </c>
      <c r="I352" s="744">
        <f>SUM(M352:R352)</f>
        <v>3.44</v>
      </c>
      <c r="J352" s="744">
        <f>SUM(M352:R352)</f>
        <v>3.44</v>
      </c>
      <c r="K352" s="744"/>
      <c r="L352" s="744"/>
      <c r="M352" s="1096"/>
      <c r="N352" s="1077">
        <f>SUM(N353:N357)</f>
        <v>1.595</v>
      </c>
      <c r="O352" s="856"/>
      <c r="P352" s="1078"/>
      <c r="Q352" s="1088">
        <f>SUM(Q353:Q357)</f>
        <v>1.845</v>
      </c>
      <c r="R352" s="1083"/>
      <c r="S352" s="538">
        <v>1</v>
      </c>
      <c r="T352" s="249">
        <v>18.3</v>
      </c>
      <c r="U352" s="110"/>
      <c r="V352" s="110"/>
      <c r="W352" s="226">
        <v>3</v>
      </c>
      <c r="X352" s="2451">
        <v>26.8</v>
      </c>
      <c r="Y352" s="110"/>
      <c r="Z352" s="2622"/>
      <c r="AA352" s="2"/>
      <c r="AB352" s="3">
        <v>1</v>
      </c>
      <c r="AD352" s="2307"/>
    </row>
    <row r="353" spans="1:30" x14ac:dyDescent="0.35">
      <c r="A353" s="1024"/>
      <c r="B353" s="358"/>
      <c r="C353" s="358"/>
      <c r="D353" s="2460"/>
      <c r="E353" s="534" t="s">
        <v>10425</v>
      </c>
      <c r="F353" s="41">
        <v>5</v>
      </c>
      <c r="G353" s="41">
        <v>5</v>
      </c>
      <c r="H353" s="2289">
        <v>6</v>
      </c>
      <c r="I353" s="747"/>
      <c r="J353" s="747"/>
      <c r="K353" s="747"/>
      <c r="L353" s="747"/>
      <c r="M353" s="1095"/>
      <c r="N353" s="692">
        <v>0.21199999999999999</v>
      </c>
      <c r="O353" s="857"/>
      <c r="P353" s="2534"/>
      <c r="Q353" s="1090"/>
      <c r="R353" s="1083"/>
      <c r="S353" s="538"/>
      <c r="T353" s="249"/>
      <c r="U353" s="110"/>
      <c r="V353" s="110"/>
      <c r="W353" s="226"/>
      <c r="X353" s="2451"/>
      <c r="Y353" s="110"/>
      <c r="Z353" s="2637"/>
      <c r="AA353" s="2"/>
      <c r="AD353" s="2307"/>
    </row>
    <row r="354" spans="1:30" x14ac:dyDescent="0.35">
      <c r="A354" s="1024"/>
      <c r="B354" s="358"/>
      <c r="C354" s="358"/>
      <c r="D354" s="2460"/>
      <c r="E354" s="900" t="s">
        <v>10426</v>
      </c>
      <c r="F354" s="41">
        <v>5</v>
      </c>
      <c r="G354" s="41">
        <v>5</v>
      </c>
      <c r="H354" s="2289">
        <v>6</v>
      </c>
      <c r="I354" s="747"/>
      <c r="J354" s="747"/>
      <c r="K354" s="747"/>
      <c r="L354" s="747"/>
      <c r="M354" s="1095"/>
      <c r="N354" s="692"/>
      <c r="O354" s="857"/>
      <c r="P354" s="2534"/>
      <c r="Q354" s="1090">
        <f>1.951-0.212</f>
        <v>1.7390000000000001</v>
      </c>
      <c r="R354" s="1083"/>
      <c r="S354" s="538"/>
      <c r="T354" s="249"/>
      <c r="U354" s="110"/>
      <c r="V354" s="110"/>
      <c r="W354" s="226"/>
      <c r="X354" s="2451"/>
      <c r="Y354" s="110"/>
      <c r="Z354" s="2637"/>
      <c r="AA354" s="2"/>
      <c r="AD354" s="2307"/>
    </row>
    <row r="355" spans="1:30" x14ac:dyDescent="0.35">
      <c r="A355" s="1024"/>
      <c r="B355" s="358"/>
      <c r="C355" s="358"/>
      <c r="D355" s="2460"/>
      <c r="E355" s="534" t="s">
        <v>10427</v>
      </c>
      <c r="F355" s="41">
        <v>5</v>
      </c>
      <c r="G355" s="41">
        <v>5</v>
      </c>
      <c r="H355" s="2289">
        <v>6</v>
      </c>
      <c r="I355" s="747"/>
      <c r="J355" s="747"/>
      <c r="K355" s="747"/>
      <c r="L355" s="747"/>
      <c r="M355" s="1095"/>
      <c r="N355" s="692">
        <f>1.975-1.951</f>
        <v>2.4000000000000021E-2</v>
      </c>
      <c r="O355" s="857"/>
      <c r="P355" s="2534"/>
      <c r="Q355" s="1090"/>
      <c r="R355" s="1083"/>
      <c r="S355" s="538"/>
      <c r="T355" s="249"/>
      <c r="U355" s="110"/>
      <c r="V355" s="110"/>
      <c r="W355" s="226"/>
      <c r="X355" s="2451"/>
      <c r="Y355" s="110"/>
      <c r="Z355" s="2637"/>
      <c r="AA355" s="2"/>
      <c r="AD355" s="2307"/>
    </row>
    <row r="356" spans="1:30" x14ac:dyDescent="0.35">
      <c r="A356" s="1024"/>
      <c r="B356" s="358"/>
      <c r="C356" s="358"/>
      <c r="D356" s="2460"/>
      <c r="E356" s="900" t="s">
        <v>10428</v>
      </c>
      <c r="F356" s="41">
        <v>5</v>
      </c>
      <c r="G356" s="41">
        <v>5</v>
      </c>
      <c r="H356" s="2289">
        <v>6</v>
      </c>
      <c r="I356" s="747"/>
      <c r="J356" s="747"/>
      <c r="K356" s="747"/>
      <c r="L356" s="747"/>
      <c r="M356" s="1095"/>
      <c r="N356" s="692"/>
      <c r="O356" s="857"/>
      <c r="P356" s="2534"/>
      <c r="Q356" s="1090">
        <f>2.081-1.975</f>
        <v>0.10599999999999987</v>
      </c>
      <c r="R356" s="1083"/>
      <c r="S356" s="538"/>
      <c r="T356" s="249"/>
      <c r="U356" s="110"/>
      <c r="V356" s="110"/>
      <c r="W356" s="226"/>
      <c r="X356" s="2451"/>
      <c r="Y356" s="110"/>
      <c r="Z356" s="2637"/>
      <c r="AA356" s="2"/>
      <c r="AD356" s="2307"/>
    </row>
    <row r="357" spans="1:30" x14ac:dyDescent="0.35">
      <c r="A357" s="1024"/>
      <c r="B357" s="358"/>
      <c r="C357" s="358"/>
      <c r="D357" s="2460"/>
      <c r="E357" s="534" t="s">
        <v>10429</v>
      </c>
      <c r="F357" s="41">
        <v>5</v>
      </c>
      <c r="G357" s="41">
        <v>5</v>
      </c>
      <c r="H357" s="2289">
        <v>6</v>
      </c>
      <c r="I357" s="747"/>
      <c r="J357" s="747"/>
      <c r="K357" s="747"/>
      <c r="L357" s="747"/>
      <c r="M357" s="1095"/>
      <c r="N357" s="692">
        <f>3.44-2.081</f>
        <v>1.359</v>
      </c>
      <c r="O357" s="857"/>
      <c r="P357" s="2534"/>
      <c r="Q357" s="1090"/>
      <c r="R357" s="1083"/>
      <c r="S357" s="538"/>
      <c r="T357" s="249"/>
      <c r="U357" s="110"/>
      <c r="V357" s="110"/>
      <c r="W357" s="226"/>
      <c r="X357" s="2451"/>
      <c r="Y357" s="110"/>
      <c r="Z357" s="2637"/>
      <c r="AA357" s="2"/>
      <c r="AD357" s="2307"/>
    </row>
    <row r="358" spans="1:30" ht="60.5" x14ac:dyDescent="0.35">
      <c r="A358" s="693">
        <v>165</v>
      </c>
      <c r="B358" s="105">
        <v>10976</v>
      </c>
      <c r="C358" s="105" t="s">
        <v>1656</v>
      </c>
      <c r="D358" s="2460" t="s">
        <v>4156</v>
      </c>
      <c r="E358" s="269" t="s">
        <v>9229</v>
      </c>
      <c r="F358" s="92" t="s">
        <v>664</v>
      </c>
      <c r="G358" s="92">
        <v>5</v>
      </c>
      <c r="H358" s="41">
        <v>6</v>
      </c>
      <c r="I358" s="702">
        <f>J358+K358+L358</f>
        <v>1</v>
      </c>
      <c r="J358" s="702">
        <f t="shared" ref="J358:J364" si="19">SUM(M358:R358)</f>
        <v>1</v>
      </c>
      <c r="K358" s="93"/>
      <c r="L358" s="93"/>
      <c r="M358" s="577"/>
      <c r="N358" s="577"/>
      <c r="O358" s="577"/>
      <c r="P358" s="577"/>
      <c r="Q358" s="577"/>
      <c r="R358" s="2096">
        <v>1</v>
      </c>
      <c r="S358" s="113"/>
      <c r="T358" s="577"/>
      <c r="U358" s="93"/>
      <c r="V358" s="93"/>
      <c r="W358" s="93"/>
      <c r="X358" s="2021"/>
      <c r="Y358" s="93"/>
      <c r="Z358" s="93"/>
      <c r="AB358" s="3">
        <v>1</v>
      </c>
      <c r="AD358" s="2307"/>
    </row>
    <row r="359" spans="1:30" ht="60.5" x14ac:dyDescent="0.35">
      <c r="A359" s="347">
        <v>166</v>
      </c>
      <c r="B359" s="105">
        <v>10976</v>
      </c>
      <c r="C359" s="105" t="s">
        <v>1656</v>
      </c>
      <c r="D359" s="2460" t="s">
        <v>4157</v>
      </c>
      <c r="E359" s="269" t="s">
        <v>8263</v>
      </c>
      <c r="F359" s="92" t="s">
        <v>664</v>
      </c>
      <c r="G359" s="92">
        <v>5</v>
      </c>
      <c r="H359" s="41">
        <v>6</v>
      </c>
      <c r="I359" s="702">
        <f>J359+K359+L359</f>
        <v>0.27</v>
      </c>
      <c r="J359" s="702">
        <f t="shared" si="19"/>
        <v>0.27</v>
      </c>
      <c r="K359" s="93"/>
      <c r="L359" s="93"/>
      <c r="M359" s="577"/>
      <c r="N359" s="577"/>
      <c r="O359" s="577"/>
      <c r="P359" s="577"/>
      <c r="Q359" s="577"/>
      <c r="R359" s="2096">
        <v>0.27</v>
      </c>
      <c r="S359" s="113"/>
      <c r="T359" s="577"/>
      <c r="U359" s="93"/>
      <c r="V359" s="93"/>
      <c r="W359" s="93"/>
      <c r="X359" s="2021"/>
      <c r="Y359" s="93"/>
      <c r="Z359" s="93"/>
      <c r="AB359" s="3">
        <v>1</v>
      </c>
      <c r="AD359" s="2307"/>
    </row>
    <row r="360" spans="1:30" ht="45.5" x14ac:dyDescent="0.35">
      <c r="A360" s="693">
        <v>167</v>
      </c>
      <c r="B360" s="358">
        <v>10976</v>
      </c>
      <c r="C360" s="358"/>
      <c r="D360" s="2460" t="s">
        <v>4158</v>
      </c>
      <c r="E360" s="394" t="s">
        <v>7528</v>
      </c>
      <c r="F360" s="41">
        <v>5</v>
      </c>
      <c r="G360" s="41">
        <v>5</v>
      </c>
      <c r="H360" s="2289">
        <v>6</v>
      </c>
      <c r="I360" s="744">
        <f>SUM(M360:R360)</f>
        <v>5.2220000000000004</v>
      </c>
      <c r="J360" s="744">
        <f t="shared" si="19"/>
        <v>5.2220000000000004</v>
      </c>
      <c r="K360" s="744"/>
      <c r="L360" s="744"/>
      <c r="M360" s="1096"/>
      <c r="N360" s="1077"/>
      <c r="O360" s="856"/>
      <c r="P360" s="1078"/>
      <c r="Q360" s="1088">
        <v>5.2220000000000004</v>
      </c>
      <c r="R360" s="1083"/>
      <c r="S360" s="163"/>
      <c r="T360" s="249"/>
      <c r="U360" s="110"/>
      <c r="V360" s="110"/>
      <c r="W360" s="226">
        <v>7</v>
      </c>
      <c r="X360" s="2451">
        <v>84.12</v>
      </c>
      <c r="Y360" s="110"/>
      <c r="Z360" s="2622"/>
      <c r="AA360" s="2"/>
      <c r="AB360" s="3">
        <v>1</v>
      </c>
      <c r="AD360" s="2307"/>
    </row>
    <row r="361" spans="1:30" ht="45.5" x14ac:dyDescent="0.35">
      <c r="A361" s="347">
        <v>168</v>
      </c>
      <c r="B361" s="358">
        <v>10976</v>
      </c>
      <c r="C361" s="358"/>
      <c r="D361" s="2460" t="s">
        <v>4159</v>
      </c>
      <c r="E361" s="394" t="s">
        <v>9340</v>
      </c>
      <c r="F361" s="40">
        <v>5</v>
      </c>
      <c r="G361" s="40">
        <v>5</v>
      </c>
      <c r="H361" s="2289">
        <v>6</v>
      </c>
      <c r="I361" s="744">
        <f>SUM(M361:R361)</f>
        <v>3.9860000000000002</v>
      </c>
      <c r="J361" s="744">
        <f t="shared" si="19"/>
        <v>3.9860000000000002</v>
      </c>
      <c r="K361" s="744"/>
      <c r="L361" s="744"/>
      <c r="M361" s="1096"/>
      <c r="N361" s="1077">
        <v>3.9860000000000002</v>
      </c>
      <c r="O361" s="856"/>
      <c r="P361" s="1078"/>
      <c r="Q361" s="1088"/>
      <c r="R361" s="1083"/>
      <c r="S361" s="163"/>
      <c r="T361" s="249"/>
      <c r="U361" s="110"/>
      <c r="V361" s="110"/>
      <c r="W361" s="226">
        <v>7</v>
      </c>
      <c r="X361" s="2451">
        <v>103.75</v>
      </c>
      <c r="Y361" s="110"/>
      <c r="Z361" s="2622"/>
      <c r="AA361" s="2"/>
      <c r="AB361" s="3">
        <v>1</v>
      </c>
      <c r="AD361" s="2307"/>
    </row>
    <row r="362" spans="1:30" ht="45.5" x14ac:dyDescent="0.35">
      <c r="A362" s="693">
        <v>169</v>
      </c>
      <c r="B362" s="105">
        <v>10976</v>
      </c>
      <c r="C362" s="105" t="s">
        <v>1656</v>
      </c>
      <c r="D362" s="2460" t="s">
        <v>4160</v>
      </c>
      <c r="E362" s="269" t="s">
        <v>8264</v>
      </c>
      <c r="F362" s="92" t="s">
        <v>664</v>
      </c>
      <c r="G362" s="92">
        <v>5</v>
      </c>
      <c r="H362" s="41">
        <v>6</v>
      </c>
      <c r="I362" s="702">
        <f>J362+K362+L362</f>
        <v>0.15</v>
      </c>
      <c r="J362" s="702">
        <f t="shared" si="19"/>
        <v>0.15</v>
      </c>
      <c r="K362" s="93"/>
      <c r="L362" s="93"/>
      <c r="M362" s="577"/>
      <c r="N362" s="577"/>
      <c r="O362" s="577"/>
      <c r="P362" s="577"/>
      <c r="Q362" s="577"/>
      <c r="R362" s="2096">
        <v>0.15</v>
      </c>
      <c r="S362" s="113"/>
      <c r="T362" s="577"/>
      <c r="U362" s="93"/>
      <c r="V362" s="93"/>
      <c r="W362" s="93"/>
      <c r="X362" s="2021"/>
      <c r="Y362" s="93"/>
      <c r="Z362" s="93"/>
      <c r="AB362" s="3">
        <v>1</v>
      </c>
      <c r="AD362" s="2307"/>
    </row>
    <row r="363" spans="1:30" ht="45.5" x14ac:dyDescent="0.35">
      <c r="A363" s="693">
        <v>170</v>
      </c>
      <c r="B363" s="105">
        <v>10976</v>
      </c>
      <c r="C363" s="105" t="s">
        <v>1656</v>
      </c>
      <c r="D363" s="2460" t="s">
        <v>4161</v>
      </c>
      <c r="E363" s="269" t="s">
        <v>8265</v>
      </c>
      <c r="F363" s="92" t="s">
        <v>664</v>
      </c>
      <c r="G363" s="92">
        <v>5</v>
      </c>
      <c r="H363" s="41">
        <v>6</v>
      </c>
      <c r="I363" s="702">
        <f>J363+K363+L363</f>
        <v>0.5</v>
      </c>
      <c r="J363" s="702">
        <f t="shared" si="19"/>
        <v>0.5</v>
      </c>
      <c r="K363" s="93"/>
      <c r="L363" s="93"/>
      <c r="M363" s="577"/>
      <c r="N363" s="577"/>
      <c r="O363" s="577"/>
      <c r="P363" s="577"/>
      <c r="Q363" s="577"/>
      <c r="R363" s="2096">
        <v>0.5</v>
      </c>
      <c r="S363" s="113"/>
      <c r="T363" s="577"/>
      <c r="U363" s="93"/>
      <c r="V363" s="93"/>
      <c r="W363" s="93"/>
      <c r="X363" s="2021"/>
      <c r="Y363" s="93"/>
      <c r="Z363" s="93"/>
      <c r="AB363" s="3">
        <v>1</v>
      </c>
      <c r="AD363" s="2307"/>
    </row>
    <row r="364" spans="1:30" ht="60.5" x14ac:dyDescent="0.35">
      <c r="A364" s="693">
        <v>171</v>
      </c>
      <c r="B364" s="105">
        <v>10976</v>
      </c>
      <c r="C364" s="105" t="s">
        <v>1656</v>
      </c>
      <c r="D364" s="2460" t="s">
        <v>4162</v>
      </c>
      <c r="E364" s="269" t="s">
        <v>8266</v>
      </c>
      <c r="F364" s="92" t="s">
        <v>664</v>
      </c>
      <c r="G364" s="92">
        <v>5</v>
      </c>
      <c r="H364" s="41">
        <v>6</v>
      </c>
      <c r="I364" s="702">
        <f>J364+K364+L364</f>
        <v>1</v>
      </c>
      <c r="J364" s="702">
        <f t="shared" si="19"/>
        <v>1</v>
      </c>
      <c r="K364" s="93"/>
      <c r="L364" s="93"/>
      <c r="M364" s="577"/>
      <c r="N364" s="577"/>
      <c r="O364" s="577"/>
      <c r="P364" s="577"/>
      <c r="Q364" s="577"/>
      <c r="R364" s="2096">
        <v>1</v>
      </c>
      <c r="S364" s="113"/>
      <c r="T364" s="577"/>
      <c r="U364" s="93"/>
      <c r="V364" s="93"/>
      <c r="W364" s="93"/>
      <c r="X364" s="2021"/>
      <c r="Y364" s="93"/>
      <c r="Z364" s="93"/>
      <c r="AB364" s="3">
        <v>1</v>
      </c>
      <c r="AD364" s="2307"/>
    </row>
    <row r="365" spans="1:30" ht="30.5" x14ac:dyDescent="0.35">
      <c r="A365" s="1040"/>
      <c r="B365" s="105"/>
      <c r="C365" s="105"/>
      <c r="D365" s="2460"/>
      <c r="E365" s="1597" t="s">
        <v>9702</v>
      </c>
      <c r="F365" s="92"/>
      <c r="G365" s="92"/>
      <c r="H365" s="41"/>
      <c r="I365" s="702"/>
      <c r="J365" s="702"/>
      <c r="K365" s="93"/>
      <c r="L365" s="93"/>
      <c r="M365" s="577"/>
      <c r="N365" s="577"/>
      <c r="O365" s="577"/>
      <c r="P365" s="577"/>
      <c r="Q365" s="577"/>
      <c r="R365" s="2096"/>
      <c r="S365" s="113"/>
      <c r="T365" s="577"/>
      <c r="U365" s="93"/>
      <c r="V365" s="93"/>
      <c r="W365" s="93"/>
      <c r="X365" s="2021"/>
      <c r="Y365" s="93"/>
      <c r="Z365" s="2340"/>
    </row>
    <row r="366" spans="1:30" ht="45.5" x14ac:dyDescent="0.35">
      <c r="A366" s="693">
        <v>172</v>
      </c>
      <c r="B366" s="105" t="s">
        <v>39</v>
      </c>
      <c r="C366" s="105" t="s">
        <v>1656</v>
      </c>
      <c r="D366" s="2460" t="s">
        <v>4164</v>
      </c>
      <c r="E366" s="269" t="s">
        <v>9700</v>
      </c>
      <c r="F366" s="92" t="s">
        <v>664</v>
      </c>
      <c r="G366" s="92">
        <v>5</v>
      </c>
      <c r="H366" s="41">
        <v>6</v>
      </c>
      <c r="I366" s="702">
        <f>J366+K366+L366</f>
        <v>0.4</v>
      </c>
      <c r="J366" s="702">
        <f>SUM(M366:R366)</f>
        <v>0.4</v>
      </c>
      <c r="K366" s="93"/>
      <c r="L366" s="93"/>
      <c r="M366" s="577"/>
      <c r="N366" s="577"/>
      <c r="O366" s="577"/>
      <c r="P366" s="577"/>
      <c r="Q366" s="577"/>
      <c r="R366" s="2096">
        <v>0.4</v>
      </c>
      <c r="S366" s="113"/>
      <c r="T366" s="577"/>
      <c r="U366" s="93"/>
      <c r="V366" s="93"/>
      <c r="W366" s="93"/>
      <c r="X366" s="2021"/>
      <c r="Y366" s="93"/>
      <c r="Z366" s="93"/>
      <c r="AB366" s="3">
        <v>1</v>
      </c>
      <c r="AD366" s="2307"/>
    </row>
    <row r="367" spans="1:30" ht="45.5" x14ac:dyDescent="0.35">
      <c r="A367" s="693">
        <v>173</v>
      </c>
      <c r="B367" s="105" t="s">
        <v>39</v>
      </c>
      <c r="C367" s="105" t="s">
        <v>1656</v>
      </c>
      <c r="D367" s="2460" t="s">
        <v>4165</v>
      </c>
      <c r="E367" s="269" t="s">
        <v>9701</v>
      </c>
      <c r="F367" s="92" t="s">
        <v>664</v>
      </c>
      <c r="G367" s="92">
        <v>5</v>
      </c>
      <c r="H367" s="41">
        <v>6</v>
      </c>
      <c r="I367" s="702">
        <f>J367+K367+L367</f>
        <v>0.4</v>
      </c>
      <c r="J367" s="702">
        <f>SUM(M367:R367)</f>
        <v>0.4</v>
      </c>
      <c r="K367" s="93"/>
      <c r="L367" s="93"/>
      <c r="M367" s="577"/>
      <c r="N367" s="577"/>
      <c r="O367" s="577"/>
      <c r="P367" s="577"/>
      <c r="Q367" s="577"/>
      <c r="R367" s="2096">
        <v>0.4</v>
      </c>
      <c r="S367" s="113"/>
      <c r="T367" s="577"/>
      <c r="U367" s="93"/>
      <c r="V367" s="93"/>
      <c r="W367" s="93"/>
      <c r="X367" s="2021"/>
      <c r="Y367" s="93"/>
      <c r="Z367" s="93"/>
      <c r="AB367" s="3">
        <v>1</v>
      </c>
      <c r="AD367" s="2307"/>
    </row>
    <row r="368" spans="1:30" ht="45.5" x14ac:dyDescent="0.35">
      <c r="A368" s="359"/>
      <c r="B368" s="358" t="s">
        <v>39</v>
      </c>
      <c r="C368" s="358"/>
      <c r="D368" s="360"/>
      <c r="E368" s="1597" t="s">
        <v>9461</v>
      </c>
      <c r="F368" s="40"/>
      <c r="G368" s="40"/>
      <c r="H368" s="40"/>
      <c r="I368" s="745"/>
      <c r="J368" s="745"/>
      <c r="K368" s="745"/>
      <c r="L368" s="745"/>
      <c r="M368" s="1095"/>
      <c r="N368" s="692"/>
      <c r="O368" s="857"/>
      <c r="P368" s="1079"/>
      <c r="Q368" s="1090"/>
      <c r="R368" s="1085"/>
      <c r="S368" s="2631"/>
      <c r="T368" s="2632"/>
      <c r="U368" s="166"/>
      <c r="V368" s="166"/>
      <c r="W368" s="110"/>
      <c r="X368" s="2634"/>
      <c r="Y368" s="110"/>
      <c r="Z368" s="2633"/>
      <c r="AA368" s="2"/>
    </row>
    <row r="369" spans="1:30" ht="60.5" x14ac:dyDescent="0.35">
      <c r="A369" s="347">
        <v>174</v>
      </c>
      <c r="B369" s="358" t="s">
        <v>39</v>
      </c>
      <c r="C369" s="358"/>
      <c r="D369" s="2460" t="s">
        <v>4163</v>
      </c>
      <c r="E369" s="394" t="s">
        <v>9462</v>
      </c>
      <c r="F369" s="41"/>
      <c r="G369" s="41" t="s">
        <v>191</v>
      </c>
      <c r="H369" s="2289" t="s">
        <v>191</v>
      </c>
      <c r="I369" s="744">
        <f>SUM(M369:R369)</f>
        <v>13.100000000000001</v>
      </c>
      <c r="J369" s="744">
        <f>SUM(M369:R369)</f>
        <v>13.100000000000001</v>
      </c>
      <c r="K369" s="744"/>
      <c r="L369" s="744"/>
      <c r="M369" s="1096"/>
      <c r="N369" s="1077">
        <f>SUM(N370:N371)</f>
        <v>10.46</v>
      </c>
      <c r="O369" s="856"/>
      <c r="P369" s="1078"/>
      <c r="Q369" s="1088">
        <f>SUM(Q370:Q371)</f>
        <v>2.64</v>
      </c>
      <c r="R369" s="1083"/>
      <c r="S369" s="538">
        <v>1</v>
      </c>
      <c r="T369" s="249">
        <v>19</v>
      </c>
      <c r="U369" s="110"/>
      <c r="V369" s="110"/>
      <c r="W369" s="226">
        <v>26</v>
      </c>
      <c r="X369" s="2451">
        <f>367.95+5</f>
        <v>372.95</v>
      </c>
      <c r="Y369" s="226">
        <v>5</v>
      </c>
      <c r="Z369" s="2622">
        <v>50</v>
      </c>
      <c r="AA369" s="2"/>
      <c r="AB369" s="3">
        <v>1</v>
      </c>
      <c r="AD369" s="2307"/>
    </row>
    <row r="370" spans="1:30" x14ac:dyDescent="0.35">
      <c r="A370" s="359"/>
      <c r="B370" s="358" t="s">
        <v>39</v>
      </c>
      <c r="C370" s="358"/>
      <c r="D370" s="360"/>
      <c r="E370" s="393" t="s">
        <v>757</v>
      </c>
      <c r="F370" s="41">
        <v>4</v>
      </c>
      <c r="G370" s="41">
        <v>4</v>
      </c>
      <c r="H370" s="2289">
        <v>6</v>
      </c>
      <c r="I370" s="745"/>
      <c r="J370" s="745"/>
      <c r="K370" s="745"/>
      <c r="L370" s="745"/>
      <c r="M370" s="1096"/>
      <c r="N370" s="692">
        <v>10.46</v>
      </c>
      <c r="O370" s="857"/>
      <c r="P370" s="1079"/>
      <c r="Q370" s="1090"/>
      <c r="R370" s="1085"/>
      <c r="S370" s="2631"/>
      <c r="T370" s="2632"/>
      <c r="U370" s="166"/>
      <c r="V370" s="166"/>
      <c r="W370" s="110"/>
      <c r="X370" s="2634"/>
      <c r="Y370" s="110"/>
      <c r="Z370" s="2633"/>
      <c r="AA370" s="2"/>
    </row>
    <row r="371" spans="1:30" x14ac:dyDescent="0.35">
      <c r="A371" s="359"/>
      <c r="B371" s="358" t="s">
        <v>39</v>
      </c>
      <c r="C371" s="358"/>
      <c r="D371" s="360"/>
      <c r="E371" s="900" t="s">
        <v>3406</v>
      </c>
      <c r="F371" s="41">
        <v>4</v>
      </c>
      <c r="G371" s="41">
        <v>4</v>
      </c>
      <c r="H371" s="2289">
        <v>6</v>
      </c>
      <c r="I371" s="745"/>
      <c r="J371" s="745"/>
      <c r="K371" s="745"/>
      <c r="L371" s="745"/>
      <c r="M371" s="1095"/>
      <c r="N371" s="692"/>
      <c r="O371" s="857"/>
      <c r="P371" s="1079"/>
      <c r="Q371" s="1090">
        <v>2.64</v>
      </c>
      <c r="R371" s="1085"/>
      <c r="S371" s="2631"/>
      <c r="T371" s="2632"/>
      <c r="U371" s="166"/>
      <c r="V371" s="166"/>
      <c r="W371" s="110"/>
      <c r="X371" s="2634"/>
      <c r="Y371" s="110"/>
      <c r="Z371" s="2633"/>
      <c r="AA371" s="2"/>
    </row>
    <row r="372" spans="1:30" ht="75.5" x14ac:dyDescent="0.35">
      <c r="A372" s="693">
        <v>175</v>
      </c>
      <c r="B372" s="105" t="s">
        <v>39</v>
      </c>
      <c r="C372" s="105" t="s">
        <v>1656</v>
      </c>
      <c r="D372" s="2460" t="s">
        <v>4166</v>
      </c>
      <c r="E372" s="269" t="s">
        <v>9463</v>
      </c>
      <c r="F372" s="92" t="s">
        <v>664</v>
      </c>
      <c r="G372" s="92">
        <v>5</v>
      </c>
      <c r="H372" s="41">
        <v>6</v>
      </c>
      <c r="I372" s="702">
        <f>J372+K372+L372</f>
        <v>0.25</v>
      </c>
      <c r="J372" s="702">
        <f>SUM(M372:R372)</f>
        <v>0.25</v>
      </c>
      <c r="K372" s="93"/>
      <c r="L372" s="93"/>
      <c r="M372" s="577"/>
      <c r="N372" s="577"/>
      <c r="O372" s="577"/>
      <c r="P372" s="577"/>
      <c r="Q372" s="577"/>
      <c r="R372" s="2096">
        <v>0.25</v>
      </c>
      <c r="S372" s="113"/>
      <c r="T372" s="577"/>
      <c r="U372" s="93"/>
      <c r="V372" s="93"/>
      <c r="W372" s="93"/>
      <c r="X372" s="2021"/>
      <c r="Y372" s="93"/>
      <c r="Z372" s="93"/>
      <c r="AB372" s="3">
        <v>1</v>
      </c>
      <c r="AD372" s="2307"/>
    </row>
    <row r="373" spans="1:30" ht="75.5" x14ac:dyDescent="0.35">
      <c r="A373" s="693">
        <v>176</v>
      </c>
      <c r="B373" s="358" t="s">
        <v>39</v>
      </c>
      <c r="C373" s="358"/>
      <c r="D373" s="2460" t="s">
        <v>4167</v>
      </c>
      <c r="E373" s="394" t="s">
        <v>9703</v>
      </c>
      <c r="F373" s="41"/>
      <c r="G373" s="41" t="s">
        <v>191</v>
      </c>
      <c r="H373" s="2289" t="s">
        <v>191</v>
      </c>
      <c r="I373" s="744">
        <f>SUM(M373:R373)</f>
        <v>4.9000000000000004</v>
      </c>
      <c r="J373" s="744">
        <f>SUM(M373:R373)</f>
        <v>4.9000000000000004</v>
      </c>
      <c r="K373" s="744"/>
      <c r="L373" s="744"/>
      <c r="M373" s="1096"/>
      <c r="N373" s="1077"/>
      <c r="O373" s="856"/>
      <c r="P373" s="1078"/>
      <c r="Q373" s="1088">
        <f>SUM(Q374:Q376)</f>
        <v>3.8</v>
      </c>
      <c r="R373" s="1083">
        <f>SUM(R374:R376)</f>
        <v>1.1000000000000005</v>
      </c>
      <c r="S373" s="538">
        <v>1</v>
      </c>
      <c r="T373" s="249">
        <v>9.6</v>
      </c>
      <c r="U373" s="110"/>
      <c r="V373" s="110"/>
      <c r="W373" s="226">
        <v>1</v>
      </c>
      <c r="X373" s="2451">
        <v>10.199999999999999</v>
      </c>
      <c r="Y373" s="110"/>
      <c r="Z373" s="2633"/>
      <c r="AA373" s="2"/>
      <c r="AB373" s="3">
        <v>1</v>
      </c>
      <c r="AD373" s="2307"/>
    </row>
    <row r="374" spans="1:30" x14ac:dyDescent="0.35">
      <c r="A374" s="359"/>
      <c r="B374" s="358" t="s">
        <v>39</v>
      </c>
      <c r="C374" s="358"/>
      <c r="D374" s="360"/>
      <c r="E374" s="900" t="s">
        <v>430</v>
      </c>
      <c r="F374" s="2942">
        <v>5</v>
      </c>
      <c r="G374" s="41">
        <v>5</v>
      </c>
      <c r="H374" s="2289">
        <v>6</v>
      </c>
      <c r="I374" s="744"/>
      <c r="J374" s="745"/>
      <c r="K374" s="745"/>
      <c r="L374" s="745"/>
      <c r="M374" s="1095"/>
      <c r="N374" s="692"/>
      <c r="O374" s="857"/>
      <c r="P374" s="1079"/>
      <c r="Q374" s="1090">
        <v>1.9</v>
      </c>
      <c r="R374" s="1085"/>
      <c r="S374" s="2631"/>
      <c r="T374" s="2632"/>
      <c r="U374" s="166"/>
      <c r="V374" s="166"/>
      <c r="W374" s="110"/>
      <c r="X374" s="2634"/>
      <c r="Y374" s="110"/>
      <c r="Z374" s="2633"/>
      <c r="AA374" s="2"/>
    </row>
    <row r="375" spans="1:30" x14ac:dyDescent="0.35">
      <c r="A375" s="359"/>
      <c r="B375" s="358" t="s">
        <v>39</v>
      </c>
      <c r="C375" s="358"/>
      <c r="D375" s="360"/>
      <c r="E375" s="900" t="s">
        <v>11592</v>
      </c>
      <c r="F375" s="2942" t="s">
        <v>1490</v>
      </c>
      <c r="G375" s="41">
        <v>5</v>
      </c>
      <c r="H375" s="2289">
        <v>6</v>
      </c>
      <c r="I375" s="744"/>
      <c r="J375" s="745"/>
      <c r="K375" s="745"/>
      <c r="L375" s="745"/>
      <c r="M375" s="1095"/>
      <c r="N375" s="692"/>
      <c r="O375" s="857"/>
      <c r="P375" s="1079"/>
      <c r="Q375" s="1090">
        <f>3.8-1.9</f>
        <v>1.9</v>
      </c>
      <c r="R375" s="1085"/>
      <c r="S375" s="2631"/>
      <c r="T375" s="2632"/>
      <c r="U375" s="166"/>
      <c r="V375" s="166"/>
      <c r="W375" s="110"/>
      <c r="X375" s="2634"/>
      <c r="Y375" s="110"/>
      <c r="Z375" s="2633"/>
      <c r="AA375" s="2"/>
    </row>
    <row r="376" spans="1:30" x14ac:dyDescent="0.35">
      <c r="A376" s="359"/>
      <c r="B376" s="358" t="s">
        <v>39</v>
      </c>
      <c r="C376" s="358"/>
      <c r="D376" s="360"/>
      <c r="E376" s="878" t="s">
        <v>11563</v>
      </c>
      <c r="F376" s="2942" t="s">
        <v>1490</v>
      </c>
      <c r="G376" s="41">
        <v>5</v>
      </c>
      <c r="H376" s="41">
        <v>6</v>
      </c>
      <c r="I376" s="745"/>
      <c r="J376" s="745"/>
      <c r="K376" s="745"/>
      <c r="L376" s="745"/>
      <c r="M376" s="1095"/>
      <c r="N376" s="692"/>
      <c r="O376" s="857"/>
      <c r="P376" s="1079"/>
      <c r="Q376" s="1090"/>
      <c r="R376" s="2743">
        <f>4.9-3.8</f>
        <v>1.1000000000000005</v>
      </c>
      <c r="S376" s="2631"/>
      <c r="T376" s="2632"/>
      <c r="U376" s="166"/>
      <c r="V376" s="166"/>
      <c r="W376" s="110"/>
      <c r="X376" s="2634"/>
      <c r="Y376" s="110"/>
      <c r="Z376" s="2633"/>
      <c r="AA376" s="2"/>
    </row>
    <row r="377" spans="1:30" ht="90.5" x14ac:dyDescent="0.35">
      <c r="A377" s="693">
        <v>177</v>
      </c>
      <c r="B377" s="105" t="s">
        <v>39</v>
      </c>
      <c r="C377" s="105" t="s">
        <v>1656</v>
      </c>
      <c r="D377" s="2460" t="s">
        <v>4168</v>
      </c>
      <c r="E377" s="269" t="s">
        <v>9704</v>
      </c>
      <c r="F377" s="92" t="s">
        <v>664</v>
      </c>
      <c r="G377" s="92">
        <v>5</v>
      </c>
      <c r="H377" s="41">
        <v>6</v>
      </c>
      <c r="I377" s="702">
        <f>J377+K377+L377</f>
        <v>0.6</v>
      </c>
      <c r="J377" s="702">
        <f>SUM(M377:R377)</f>
        <v>0.6</v>
      </c>
      <c r="K377" s="93"/>
      <c r="L377" s="93"/>
      <c r="M377" s="577"/>
      <c r="N377" s="577"/>
      <c r="O377" s="577"/>
      <c r="P377" s="577"/>
      <c r="Q377" s="577"/>
      <c r="R377" s="2096">
        <v>0.6</v>
      </c>
      <c r="S377" s="113"/>
      <c r="T377" s="577"/>
      <c r="U377" s="93"/>
      <c r="V377" s="93"/>
      <c r="W377" s="93"/>
      <c r="X377" s="2021"/>
      <c r="Y377" s="93"/>
      <c r="Z377" s="93"/>
      <c r="AB377" s="3">
        <v>1</v>
      </c>
      <c r="AD377" s="2307"/>
    </row>
    <row r="378" spans="1:30" ht="60.5" x14ac:dyDescent="0.35">
      <c r="A378" s="693">
        <v>178</v>
      </c>
      <c r="B378" s="105" t="s">
        <v>39</v>
      </c>
      <c r="C378" s="105" t="s">
        <v>1656</v>
      </c>
      <c r="D378" s="2460" t="s">
        <v>4169</v>
      </c>
      <c r="E378" s="269" t="s">
        <v>9464</v>
      </c>
      <c r="F378" s="92" t="s">
        <v>664</v>
      </c>
      <c r="G378" s="92">
        <v>5</v>
      </c>
      <c r="H378" s="41">
        <v>6</v>
      </c>
      <c r="I378" s="702">
        <f>J378+K378+L378</f>
        <v>0.68</v>
      </c>
      <c r="J378" s="702">
        <f>SUM(M378:R378)</f>
        <v>0.68</v>
      </c>
      <c r="K378" s="93"/>
      <c r="L378" s="93"/>
      <c r="M378" s="577"/>
      <c r="N378" s="577">
        <v>0.68</v>
      </c>
      <c r="O378" s="577"/>
      <c r="P378" s="577"/>
      <c r="Q378" s="577"/>
      <c r="R378" s="2096"/>
      <c r="S378" s="113"/>
      <c r="T378" s="577"/>
      <c r="U378" s="93"/>
      <c r="V378" s="93"/>
      <c r="W378" s="93"/>
      <c r="X378" s="2021"/>
      <c r="Y378" s="93"/>
      <c r="Z378" s="93"/>
      <c r="AB378" s="3">
        <v>1</v>
      </c>
      <c r="AD378" s="2307"/>
    </row>
    <row r="379" spans="1:30" ht="60.5" x14ac:dyDescent="0.35">
      <c r="A379" s="693">
        <v>179</v>
      </c>
      <c r="B379" s="105">
        <v>10153</v>
      </c>
      <c r="C379" s="105" t="s">
        <v>1656</v>
      </c>
      <c r="D379" s="2460" t="s">
        <v>4055</v>
      </c>
      <c r="E379" s="269" t="s">
        <v>9465</v>
      </c>
      <c r="F379" s="92" t="s">
        <v>664</v>
      </c>
      <c r="G379" s="92">
        <v>5</v>
      </c>
      <c r="H379" s="41">
        <v>6</v>
      </c>
      <c r="I379" s="702">
        <f>J379+K379+L379</f>
        <v>0.4</v>
      </c>
      <c r="J379" s="702">
        <f>SUM(M379:R379)</f>
        <v>0.4</v>
      </c>
      <c r="K379" s="93"/>
      <c r="L379" s="93"/>
      <c r="M379" s="577"/>
      <c r="N379" s="577"/>
      <c r="O379" s="577"/>
      <c r="P379" s="577"/>
      <c r="Q379" s="577"/>
      <c r="R379" s="2096">
        <v>0.4</v>
      </c>
      <c r="S379" s="113"/>
      <c r="T379" s="577"/>
      <c r="U379" s="93"/>
      <c r="V379" s="93"/>
      <c r="W379" s="93"/>
      <c r="X379" s="2021"/>
      <c r="Y379" s="93"/>
      <c r="Z379" s="93"/>
      <c r="AB379" s="3">
        <v>1</v>
      </c>
      <c r="AD379" s="2307"/>
    </row>
    <row r="380" spans="1:30" ht="45.5" x14ac:dyDescent="0.35">
      <c r="A380" s="359"/>
      <c r="B380" s="358" t="s">
        <v>40</v>
      </c>
      <c r="C380" s="358"/>
      <c r="D380" s="360"/>
      <c r="E380" s="1597" t="s">
        <v>37</v>
      </c>
      <c r="F380" s="40"/>
      <c r="G380" s="40"/>
      <c r="H380" s="40"/>
      <c r="I380" s="745"/>
      <c r="J380" s="745"/>
      <c r="K380" s="745"/>
      <c r="L380" s="745"/>
      <c r="M380" s="1095"/>
      <c r="N380" s="692"/>
      <c r="O380" s="857"/>
      <c r="P380" s="1079"/>
      <c r="Q380" s="1090"/>
      <c r="R380" s="1085"/>
      <c r="S380" s="2631"/>
      <c r="T380" s="2632"/>
      <c r="U380" s="166"/>
      <c r="V380" s="166"/>
      <c r="W380" s="110"/>
      <c r="X380" s="2634"/>
      <c r="Y380" s="110"/>
      <c r="Z380" s="2633"/>
      <c r="AA380" s="2"/>
    </row>
    <row r="381" spans="1:30" ht="45.5" x14ac:dyDescent="0.35">
      <c r="A381" s="347">
        <v>180</v>
      </c>
      <c r="B381" s="358" t="s">
        <v>40</v>
      </c>
      <c r="C381" s="358"/>
      <c r="D381" s="2460" t="s">
        <v>4170</v>
      </c>
      <c r="E381" s="394" t="s">
        <v>10930</v>
      </c>
      <c r="F381" s="41" t="s">
        <v>827</v>
      </c>
      <c r="G381" s="41">
        <v>5</v>
      </c>
      <c r="H381" s="41">
        <v>6</v>
      </c>
      <c r="I381" s="744">
        <f>SUM(M381:R381)</f>
        <v>0.88</v>
      </c>
      <c r="J381" s="744">
        <f>SUM(M381:R381)</f>
        <v>0.88</v>
      </c>
      <c r="K381" s="749"/>
      <c r="L381" s="749"/>
      <c r="M381" s="1096"/>
      <c r="N381" s="1077"/>
      <c r="O381" s="856"/>
      <c r="P381" s="1078"/>
      <c r="Q381" s="1088"/>
      <c r="R381" s="1083">
        <v>0.88</v>
      </c>
      <c r="S381" s="2680"/>
      <c r="T381" s="2681"/>
      <c r="U381" s="110"/>
      <c r="V381" s="110"/>
      <c r="W381" s="110"/>
      <c r="X381" s="2634"/>
      <c r="Y381" s="110"/>
      <c r="Z381" s="2633"/>
      <c r="AA381" s="2"/>
      <c r="AB381" s="3">
        <v>1</v>
      </c>
      <c r="AD381" s="2307"/>
    </row>
    <row r="382" spans="1:30" ht="60.5" x14ac:dyDescent="0.35">
      <c r="A382" s="693">
        <v>181</v>
      </c>
      <c r="B382" s="105" t="s">
        <v>40</v>
      </c>
      <c r="C382" s="105" t="s">
        <v>1656</v>
      </c>
      <c r="D382" s="2460" t="s">
        <v>4171</v>
      </c>
      <c r="E382" s="269" t="s">
        <v>8267</v>
      </c>
      <c r="F382" s="92" t="s">
        <v>664</v>
      </c>
      <c r="G382" s="92">
        <v>5</v>
      </c>
      <c r="H382" s="41">
        <v>6</v>
      </c>
      <c r="I382" s="702">
        <f>J382+K382+L382</f>
        <v>0.5</v>
      </c>
      <c r="J382" s="702">
        <f>SUM(M382:R382)</f>
        <v>0.5</v>
      </c>
      <c r="K382" s="93"/>
      <c r="L382" s="93"/>
      <c r="M382" s="577"/>
      <c r="N382" s="577"/>
      <c r="O382" s="577"/>
      <c r="P382" s="577"/>
      <c r="Q382" s="577"/>
      <c r="R382" s="2096">
        <v>0.5</v>
      </c>
      <c r="S382" s="113"/>
      <c r="T382" s="577"/>
      <c r="U382" s="93"/>
      <c r="V382" s="93"/>
      <c r="W382" s="93"/>
      <c r="X382" s="2021"/>
      <c r="Y382" s="93"/>
      <c r="Z382" s="93"/>
      <c r="AB382" s="3">
        <v>1</v>
      </c>
      <c r="AD382" s="2307"/>
    </row>
    <row r="383" spans="1:30" ht="60.5" x14ac:dyDescent="0.35">
      <c r="A383" s="347">
        <v>182</v>
      </c>
      <c r="B383" s="105" t="s">
        <v>40</v>
      </c>
      <c r="C383" s="105" t="s">
        <v>1656</v>
      </c>
      <c r="D383" s="2460" t="s">
        <v>4172</v>
      </c>
      <c r="E383" s="269" t="s">
        <v>8268</v>
      </c>
      <c r="F383" s="92" t="s">
        <v>664</v>
      </c>
      <c r="G383" s="92">
        <v>5</v>
      </c>
      <c r="H383" s="41">
        <v>6</v>
      </c>
      <c r="I383" s="702">
        <f>J383+K383+L383</f>
        <v>0.49</v>
      </c>
      <c r="J383" s="702">
        <f>SUM(M383:R383)</f>
        <v>0.49</v>
      </c>
      <c r="K383" s="93"/>
      <c r="L383" s="93"/>
      <c r="M383" s="577"/>
      <c r="N383" s="577"/>
      <c r="O383" s="577"/>
      <c r="P383" s="577"/>
      <c r="Q383" s="577"/>
      <c r="R383" s="2096">
        <v>0.49</v>
      </c>
      <c r="S383" s="113"/>
      <c r="T383" s="577"/>
      <c r="U383" s="93"/>
      <c r="V383" s="93"/>
      <c r="W383" s="93"/>
      <c r="X383" s="2021"/>
      <c r="Y383" s="93"/>
      <c r="Z383" s="93"/>
      <c r="AB383" s="3">
        <v>1</v>
      </c>
      <c r="AD383" s="2307"/>
    </row>
    <row r="384" spans="1:30" ht="45.5" x14ac:dyDescent="0.35">
      <c r="A384" s="693">
        <v>183</v>
      </c>
      <c r="B384" s="105" t="s">
        <v>40</v>
      </c>
      <c r="C384" s="105" t="s">
        <v>1656</v>
      </c>
      <c r="D384" s="2460" t="s">
        <v>4174</v>
      </c>
      <c r="E384" s="269" t="s">
        <v>8269</v>
      </c>
      <c r="F384" s="92" t="s">
        <v>664</v>
      </c>
      <c r="G384" s="92">
        <v>5</v>
      </c>
      <c r="H384" s="41">
        <v>6</v>
      </c>
      <c r="I384" s="702">
        <f>J384+K384+L384</f>
        <v>0.37</v>
      </c>
      <c r="J384" s="702">
        <f>SUM(M384:R384)</f>
        <v>0.37</v>
      </c>
      <c r="K384" s="93"/>
      <c r="L384" s="93"/>
      <c r="M384" s="577"/>
      <c r="N384" s="577"/>
      <c r="O384" s="577"/>
      <c r="P384" s="577"/>
      <c r="Q384" s="577"/>
      <c r="R384" s="2096">
        <v>0.37</v>
      </c>
      <c r="S384" s="113"/>
      <c r="T384" s="577"/>
      <c r="U384" s="93"/>
      <c r="V384" s="93"/>
      <c r="W384" s="93"/>
      <c r="X384" s="2021"/>
      <c r="Y384" s="93"/>
      <c r="Z384" s="93"/>
      <c r="AB384" s="3">
        <v>1</v>
      </c>
      <c r="AD384" s="2307"/>
    </row>
    <row r="385" spans="1:30" ht="30.5" x14ac:dyDescent="0.35">
      <c r="A385" s="347"/>
      <c r="B385" s="358" t="s">
        <v>298</v>
      </c>
      <c r="C385" s="358"/>
      <c r="D385" s="405"/>
      <c r="E385" s="1582" t="s">
        <v>2287</v>
      </c>
      <c r="F385" s="41"/>
      <c r="G385" s="41"/>
      <c r="H385" s="41"/>
      <c r="I385" s="744"/>
      <c r="J385" s="744"/>
      <c r="K385" s="749"/>
      <c r="L385" s="749"/>
      <c r="M385" s="1096"/>
      <c r="N385" s="1077"/>
      <c r="O385" s="856"/>
      <c r="P385" s="1078"/>
      <c r="Q385" s="1088"/>
      <c r="R385" s="1083"/>
      <c r="S385" s="163"/>
      <c r="T385" s="248"/>
      <c r="U385" s="110"/>
      <c r="V385" s="110"/>
      <c r="W385" s="110"/>
      <c r="X385" s="2634"/>
      <c r="Y385" s="110"/>
      <c r="Z385" s="2633"/>
      <c r="AA385" s="2"/>
    </row>
    <row r="386" spans="1:30" ht="30.5" x14ac:dyDescent="0.35">
      <c r="A386" s="347">
        <v>184</v>
      </c>
      <c r="B386" s="358" t="s">
        <v>298</v>
      </c>
      <c r="C386" s="358"/>
      <c r="D386" s="2460" t="s">
        <v>4175</v>
      </c>
      <c r="E386" s="394" t="s">
        <v>7529</v>
      </c>
      <c r="F386" s="41"/>
      <c r="G386" s="41" t="s">
        <v>191</v>
      </c>
      <c r="H386" s="2289" t="s">
        <v>191</v>
      </c>
      <c r="I386" s="744">
        <f>SUM(M386:R386)</f>
        <v>0.95</v>
      </c>
      <c r="J386" s="744">
        <f>SUM(M386:R386)</f>
        <v>0.95</v>
      </c>
      <c r="K386" s="744"/>
      <c r="L386" s="744"/>
      <c r="M386" s="1096"/>
      <c r="N386" s="1077">
        <f>+N388</f>
        <v>0.25</v>
      </c>
      <c r="O386" s="856"/>
      <c r="P386" s="1078"/>
      <c r="Q386" s="1088">
        <f>+Q387</f>
        <v>0.7</v>
      </c>
      <c r="R386" s="1083"/>
      <c r="S386" s="163"/>
      <c r="T386" s="249"/>
      <c r="U386" s="110"/>
      <c r="V386" s="110"/>
      <c r="W386" s="226">
        <v>5</v>
      </c>
      <c r="X386" s="2451">
        <v>55.45</v>
      </c>
      <c r="Y386" s="110"/>
      <c r="Z386" s="2622"/>
      <c r="AA386" s="2"/>
      <c r="AB386" s="3">
        <v>1</v>
      </c>
      <c r="AD386" s="2307"/>
    </row>
    <row r="387" spans="1:30" x14ac:dyDescent="0.35">
      <c r="A387" s="359"/>
      <c r="B387" s="358" t="s">
        <v>298</v>
      </c>
      <c r="C387" s="358"/>
      <c r="D387" s="360"/>
      <c r="E387" s="900" t="s">
        <v>2585</v>
      </c>
      <c r="F387" s="40">
        <v>5</v>
      </c>
      <c r="G387" s="40">
        <v>5</v>
      </c>
      <c r="H387" s="2289">
        <v>6</v>
      </c>
      <c r="I387" s="745"/>
      <c r="J387" s="745"/>
      <c r="K387" s="745"/>
      <c r="L387" s="745"/>
      <c r="M387" s="1095"/>
      <c r="N387" s="692"/>
      <c r="O387" s="857"/>
      <c r="P387" s="1079"/>
      <c r="Q387" s="1090">
        <v>0.7</v>
      </c>
      <c r="R387" s="1085"/>
      <c r="S387" s="2631"/>
      <c r="T387" s="2632"/>
      <c r="U387" s="166"/>
      <c r="V387" s="166"/>
      <c r="W387" s="110"/>
      <c r="X387" s="2634"/>
      <c r="Y387" s="110"/>
      <c r="Z387" s="2633"/>
      <c r="AA387" s="2"/>
    </row>
    <row r="388" spans="1:30" x14ac:dyDescent="0.35">
      <c r="A388" s="359"/>
      <c r="B388" s="358" t="s">
        <v>298</v>
      </c>
      <c r="C388" s="358"/>
      <c r="D388" s="360"/>
      <c r="E388" s="393" t="s">
        <v>1836</v>
      </c>
      <c r="F388" s="40">
        <v>5</v>
      </c>
      <c r="G388" s="40">
        <v>5</v>
      </c>
      <c r="H388" s="2289">
        <v>6</v>
      </c>
      <c r="I388" s="745"/>
      <c r="J388" s="745"/>
      <c r="K388" s="745"/>
      <c r="L388" s="745"/>
      <c r="M388" s="1095"/>
      <c r="N388" s="692">
        <v>0.25</v>
      </c>
      <c r="O388" s="857"/>
      <c r="P388" s="1079"/>
      <c r="Q388" s="1090"/>
      <c r="R388" s="1085"/>
      <c r="S388" s="2631"/>
      <c r="T388" s="2632"/>
      <c r="U388" s="166"/>
      <c r="V388" s="166"/>
      <c r="W388" s="110"/>
      <c r="X388" s="2634"/>
      <c r="Y388" s="110"/>
      <c r="Z388" s="2633"/>
      <c r="AA388" s="2"/>
    </row>
    <row r="389" spans="1:30" ht="45.5" x14ac:dyDescent="0.35">
      <c r="A389" s="347">
        <v>185</v>
      </c>
      <c r="B389" s="405">
        <v>10171</v>
      </c>
      <c r="C389" s="405"/>
      <c r="D389" s="2460" t="s">
        <v>4115</v>
      </c>
      <c r="E389" s="394" t="s">
        <v>10931</v>
      </c>
      <c r="F389" s="40" t="s">
        <v>664</v>
      </c>
      <c r="G389" s="40">
        <v>5</v>
      </c>
      <c r="H389" s="41">
        <v>6</v>
      </c>
      <c r="I389" s="744">
        <f>SUM(M389:R389)</f>
        <v>1.39</v>
      </c>
      <c r="J389" s="744">
        <f>SUM(M389:R389)</f>
        <v>1.39</v>
      </c>
      <c r="K389" s="749"/>
      <c r="L389" s="749"/>
      <c r="M389" s="1096"/>
      <c r="N389" s="1077"/>
      <c r="O389" s="856"/>
      <c r="P389" s="1078"/>
      <c r="Q389" s="1088"/>
      <c r="R389" s="1083">
        <v>1.39</v>
      </c>
      <c r="S389" s="163"/>
      <c r="T389" s="248"/>
      <c r="U389" s="110"/>
      <c r="V389" s="110"/>
      <c r="W389" s="110"/>
      <c r="X389" s="2634"/>
      <c r="Y389" s="110"/>
      <c r="Z389" s="2633"/>
      <c r="AA389" s="2" t="s">
        <v>11082</v>
      </c>
      <c r="AB389" s="3">
        <v>1</v>
      </c>
      <c r="AD389" s="2307"/>
    </row>
    <row r="390" spans="1:30" ht="30.5" x14ac:dyDescent="0.35">
      <c r="A390" s="347">
        <v>186</v>
      </c>
      <c r="B390" s="358" t="s">
        <v>298</v>
      </c>
      <c r="C390" s="358"/>
      <c r="D390" s="2460" t="s">
        <v>4176</v>
      </c>
      <c r="E390" s="394" t="s">
        <v>7530</v>
      </c>
      <c r="F390" s="41" t="s">
        <v>1490</v>
      </c>
      <c r="G390" s="41">
        <v>5</v>
      </c>
      <c r="H390" s="41">
        <v>6</v>
      </c>
      <c r="I390" s="744">
        <f>SUM(M390:R390)</f>
        <v>1.58</v>
      </c>
      <c r="J390" s="744">
        <f t="shared" ref="J390:J395" si="20">SUM(M390:R390)</f>
        <v>1.58</v>
      </c>
      <c r="K390" s="749"/>
      <c r="L390" s="749"/>
      <c r="M390" s="1096"/>
      <c r="N390" s="1077"/>
      <c r="O390" s="856"/>
      <c r="P390" s="1078"/>
      <c r="Q390" s="1088"/>
      <c r="R390" s="1083">
        <v>1.58</v>
      </c>
      <c r="S390" s="163"/>
      <c r="T390" s="248"/>
      <c r="U390" s="110"/>
      <c r="V390" s="110"/>
      <c r="W390" s="226">
        <v>2</v>
      </c>
      <c r="X390" s="2451">
        <v>29.2</v>
      </c>
      <c r="Y390" s="110"/>
      <c r="Z390" s="2633"/>
      <c r="AA390" s="2"/>
      <c r="AB390" s="3">
        <v>1</v>
      </c>
      <c r="AD390" s="2307"/>
    </row>
    <row r="391" spans="1:30" ht="30.5" x14ac:dyDescent="0.35">
      <c r="A391" s="347">
        <v>187</v>
      </c>
      <c r="B391" s="358" t="s">
        <v>298</v>
      </c>
      <c r="C391" s="358"/>
      <c r="D391" s="2460" t="s">
        <v>4177</v>
      </c>
      <c r="E391" s="394" t="s">
        <v>7531</v>
      </c>
      <c r="F391" s="41" t="s">
        <v>827</v>
      </c>
      <c r="G391" s="41">
        <v>5</v>
      </c>
      <c r="H391" s="41">
        <v>6</v>
      </c>
      <c r="I391" s="744">
        <f>SUM(M391:R391)</f>
        <v>1.25</v>
      </c>
      <c r="J391" s="744">
        <f t="shared" si="20"/>
        <v>1.25</v>
      </c>
      <c r="K391" s="749"/>
      <c r="L391" s="749"/>
      <c r="M391" s="1096"/>
      <c r="N391" s="1077"/>
      <c r="O391" s="856"/>
      <c r="P391" s="1078"/>
      <c r="Q391" s="1088"/>
      <c r="R391" s="1083">
        <v>1.25</v>
      </c>
      <c r="S391" s="163"/>
      <c r="T391" s="248"/>
      <c r="U391" s="110"/>
      <c r="V391" s="110"/>
      <c r="W391" s="226">
        <v>4</v>
      </c>
      <c r="X391" s="2451">
        <v>42.6</v>
      </c>
      <c r="Y391" s="110"/>
      <c r="Z391" s="2633"/>
      <c r="AA391" s="2"/>
      <c r="AB391" s="3">
        <v>1</v>
      </c>
      <c r="AD391" s="2307"/>
    </row>
    <row r="392" spans="1:30" ht="45.5" x14ac:dyDescent="0.35">
      <c r="A392" s="347">
        <v>188</v>
      </c>
      <c r="B392" s="105" t="s">
        <v>298</v>
      </c>
      <c r="C392" s="105" t="s">
        <v>1656</v>
      </c>
      <c r="D392" s="2460" t="s">
        <v>4178</v>
      </c>
      <c r="E392" s="269" t="s">
        <v>8270</v>
      </c>
      <c r="F392" s="92" t="s">
        <v>664</v>
      </c>
      <c r="G392" s="92">
        <v>5</v>
      </c>
      <c r="H392" s="41">
        <v>6</v>
      </c>
      <c r="I392" s="702">
        <f>J392+K392+L392</f>
        <v>0.4</v>
      </c>
      <c r="J392" s="702">
        <f t="shared" si="20"/>
        <v>0.4</v>
      </c>
      <c r="K392" s="93"/>
      <c r="L392" s="93"/>
      <c r="M392" s="577"/>
      <c r="N392" s="577"/>
      <c r="O392" s="577"/>
      <c r="P392" s="577"/>
      <c r="Q392" s="577"/>
      <c r="R392" s="2096">
        <v>0.4</v>
      </c>
      <c r="S392" s="113"/>
      <c r="T392" s="577"/>
      <c r="U392" s="93"/>
      <c r="V392" s="93"/>
      <c r="W392" s="93"/>
      <c r="X392" s="2021"/>
      <c r="Y392" s="93"/>
      <c r="Z392" s="93"/>
      <c r="AB392" s="3">
        <v>1</v>
      </c>
      <c r="AD392" s="2307"/>
    </row>
    <row r="393" spans="1:30" ht="30.5" x14ac:dyDescent="0.35">
      <c r="A393" s="347">
        <v>189</v>
      </c>
      <c r="B393" s="105" t="s">
        <v>298</v>
      </c>
      <c r="C393" s="105" t="s">
        <v>1656</v>
      </c>
      <c r="D393" s="2460" t="s">
        <v>4179</v>
      </c>
      <c r="E393" s="269" t="s">
        <v>8271</v>
      </c>
      <c r="F393" s="92" t="s">
        <v>664</v>
      </c>
      <c r="G393" s="92">
        <v>5</v>
      </c>
      <c r="H393" s="41">
        <v>6</v>
      </c>
      <c r="I393" s="702">
        <f>J393+K393+L393</f>
        <v>0.12</v>
      </c>
      <c r="J393" s="702">
        <f t="shared" si="20"/>
        <v>0.12</v>
      </c>
      <c r="K393" s="93"/>
      <c r="L393" s="93"/>
      <c r="M393" s="577"/>
      <c r="N393" s="577"/>
      <c r="O393" s="577"/>
      <c r="P393" s="577"/>
      <c r="Q393" s="577"/>
      <c r="R393" s="2096">
        <v>0.12</v>
      </c>
      <c r="S393" s="113"/>
      <c r="T393" s="577"/>
      <c r="U393" s="93"/>
      <c r="V393" s="93"/>
      <c r="W393" s="93"/>
      <c r="X393" s="2021"/>
      <c r="Y393" s="93"/>
      <c r="Z393" s="93"/>
      <c r="AB393" s="3">
        <v>1</v>
      </c>
      <c r="AD393" s="2307"/>
    </row>
    <row r="394" spans="1:30" ht="30.5" x14ac:dyDescent="0.35">
      <c r="A394" s="347">
        <v>190</v>
      </c>
      <c r="B394" s="105" t="s">
        <v>298</v>
      </c>
      <c r="C394" s="105" t="s">
        <v>1656</v>
      </c>
      <c r="D394" s="2460" t="s">
        <v>4180</v>
      </c>
      <c r="E394" s="269" t="s">
        <v>9705</v>
      </c>
      <c r="F394" s="92" t="s">
        <v>664</v>
      </c>
      <c r="G394" s="92">
        <v>5</v>
      </c>
      <c r="H394" s="41">
        <v>6</v>
      </c>
      <c r="I394" s="702">
        <f>J394+K394+L394</f>
        <v>1.5</v>
      </c>
      <c r="J394" s="702">
        <f t="shared" si="20"/>
        <v>1.5</v>
      </c>
      <c r="K394" s="93"/>
      <c r="L394" s="93"/>
      <c r="M394" s="577"/>
      <c r="N394" s="577"/>
      <c r="O394" s="577"/>
      <c r="P394" s="577"/>
      <c r="Q394" s="577"/>
      <c r="R394" s="2096">
        <v>1.5</v>
      </c>
      <c r="S394" s="113"/>
      <c r="T394" s="577"/>
      <c r="U394" s="93"/>
      <c r="V394" s="93"/>
      <c r="W394" s="93"/>
      <c r="X394" s="2021"/>
      <c r="Y394" s="93"/>
      <c r="Z394" s="93"/>
      <c r="AB394" s="3">
        <v>1</v>
      </c>
      <c r="AD394" s="2307"/>
    </row>
    <row r="395" spans="1:30" ht="30.5" x14ac:dyDescent="0.35">
      <c r="A395" s="347">
        <v>191</v>
      </c>
      <c r="B395" s="105" t="s">
        <v>571</v>
      </c>
      <c r="C395" s="105" t="s">
        <v>1656</v>
      </c>
      <c r="D395" s="2460" t="s">
        <v>4189</v>
      </c>
      <c r="E395" s="269" t="s">
        <v>8272</v>
      </c>
      <c r="F395" s="92" t="s">
        <v>664</v>
      </c>
      <c r="G395" s="92">
        <v>5</v>
      </c>
      <c r="H395" s="41">
        <v>6</v>
      </c>
      <c r="I395" s="702">
        <f>J395+K395+L395</f>
        <v>0.27</v>
      </c>
      <c r="J395" s="702">
        <f t="shared" si="20"/>
        <v>0.27</v>
      </c>
      <c r="K395" s="93"/>
      <c r="L395" s="93"/>
      <c r="M395" s="577"/>
      <c r="N395" s="577"/>
      <c r="O395" s="577"/>
      <c r="P395" s="577"/>
      <c r="Q395" s="577"/>
      <c r="R395" s="2096">
        <v>0.27</v>
      </c>
      <c r="S395" s="113"/>
      <c r="T395" s="577"/>
      <c r="U395" s="93"/>
      <c r="V395" s="93"/>
      <c r="W395" s="93"/>
      <c r="X395" s="2021"/>
      <c r="Y395" s="93"/>
      <c r="Z395" s="93"/>
      <c r="AB395" s="3">
        <v>1</v>
      </c>
      <c r="AD395" s="2307"/>
    </row>
    <row r="396" spans="1:30" ht="30.5" x14ac:dyDescent="0.35">
      <c r="A396" s="347"/>
      <c r="B396" s="358" t="s">
        <v>571</v>
      </c>
      <c r="C396" s="358"/>
      <c r="D396" s="405"/>
      <c r="E396" s="1596" t="s">
        <v>327</v>
      </c>
      <c r="F396" s="41"/>
      <c r="G396" s="41"/>
      <c r="H396" s="41"/>
      <c r="I396" s="744"/>
      <c r="J396" s="744"/>
      <c r="K396" s="749"/>
      <c r="L396" s="749"/>
      <c r="M396" s="1096"/>
      <c r="N396" s="1077"/>
      <c r="O396" s="856"/>
      <c r="P396" s="1078"/>
      <c r="Q396" s="1088"/>
      <c r="R396" s="1083"/>
      <c r="S396" s="163"/>
      <c r="T396" s="248"/>
      <c r="U396" s="110"/>
      <c r="V396" s="110"/>
      <c r="W396" s="110"/>
      <c r="X396" s="2634"/>
      <c r="Y396" s="110"/>
      <c r="Z396" s="2633"/>
      <c r="AA396" s="2"/>
    </row>
    <row r="397" spans="1:30" ht="30.5" x14ac:dyDescent="0.35">
      <c r="A397" s="347">
        <v>192</v>
      </c>
      <c r="B397" s="358" t="s">
        <v>571</v>
      </c>
      <c r="C397" s="358"/>
      <c r="D397" s="2460" t="s">
        <v>4182</v>
      </c>
      <c r="E397" s="394" t="s">
        <v>9177</v>
      </c>
      <c r="F397" s="41"/>
      <c r="G397" s="41" t="s">
        <v>191</v>
      </c>
      <c r="H397" s="2289" t="s">
        <v>191</v>
      </c>
      <c r="I397" s="744">
        <f>SUM(M397:R397)</f>
        <v>1.3</v>
      </c>
      <c r="J397" s="744">
        <f>SUM(M397:R397)</f>
        <v>1.3</v>
      </c>
      <c r="K397" s="749"/>
      <c r="L397" s="749"/>
      <c r="M397" s="1095"/>
      <c r="N397" s="1077">
        <f>+N398</f>
        <v>7.0000000000000007E-2</v>
      </c>
      <c r="O397" s="856"/>
      <c r="P397" s="1078"/>
      <c r="Q397" s="1088">
        <f>+Q399</f>
        <v>1.23</v>
      </c>
      <c r="R397" s="1083"/>
      <c r="S397" s="163"/>
      <c r="T397" s="248"/>
      <c r="U397" s="110"/>
      <c r="V397" s="110"/>
      <c r="W397" s="226">
        <v>2</v>
      </c>
      <c r="X397" s="2451">
        <v>37.700000000000003</v>
      </c>
      <c r="Y397" s="110"/>
      <c r="Z397" s="2633"/>
      <c r="AA397" s="2"/>
      <c r="AB397" s="3">
        <v>1</v>
      </c>
      <c r="AD397" s="2307"/>
    </row>
    <row r="398" spans="1:30" x14ac:dyDescent="0.35">
      <c r="A398" s="359"/>
      <c r="B398" s="358" t="s">
        <v>571</v>
      </c>
      <c r="C398" s="358"/>
      <c r="D398" s="360"/>
      <c r="E398" s="393" t="s">
        <v>2214</v>
      </c>
      <c r="F398" s="40">
        <v>5</v>
      </c>
      <c r="G398" s="40">
        <v>5</v>
      </c>
      <c r="H398" s="2289">
        <v>6</v>
      </c>
      <c r="I398" s="744"/>
      <c r="J398" s="744"/>
      <c r="K398" s="745"/>
      <c r="L398" s="745"/>
      <c r="M398" s="1095"/>
      <c r="N398" s="692">
        <v>7.0000000000000007E-2</v>
      </c>
      <c r="O398" s="857"/>
      <c r="P398" s="1079"/>
      <c r="Q398" s="1090"/>
      <c r="R398" s="1085"/>
      <c r="S398" s="2631"/>
      <c r="T398" s="2632"/>
      <c r="U398" s="166"/>
      <c r="V398" s="166"/>
      <c r="W398" s="110"/>
      <c r="X398" s="2634"/>
      <c r="Y398" s="110"/>
      <c r="Z398" s="2633"/>
      <c r="AA398" s="2"/>
    </row>
    <row r="399" spans="1:30" x14ac:dyDescent="0.35">
      <c r="A399" s="359"/>
      <c r="B399" s="358" t="s">
        <v>571</v>
      </c>
      <c r="C399" s="358"/>
      <c r="D399" s="360"/>
      <c r="E399" s="900" t="s">
        <v>1370</v>
      </c>
      <c r="F399" s="40">
        <v>5</v>
      </c>
      <c r="G399" s="40">
        <v>5</v>
      </c>
      <c r="H399" s="2289">
        <v>6</v>
      </c>
      <c r="I399" s="745"/>
      <c r="J399" s="745"/>
      <c r="K399" s="745"/>
      <c r="L399" s="745"/>
      <c r="M399" s="1095"/>
      <c r="N399" s="692"/>
      <c r="O399" s="857"/>
      <c r="P399" s="1079"/>
      <c r="Q399" s="1090">
        <v>1.23</v>
      </c>
      <c r="R399" s="1085"/>
      <c r="S399" s="2631"/>
      <c r="T399" s="2632"/>
      <c r="U399" s="166"/>
      <c r="V399" s="166"/>
      <c r="W399" s="110"/>
      <c r="X399" s="2634"/>
      <c r="Y399" s="110"/>
      <c r="Z399" s="2633"/>
      <c r="AA399" s="2"/>
    </row>
    <row r="400" spans="1:30" ht="30.5" x14ac:dyDescent="0.35">
      <c r="A400" s="347">
        <v>193</v>
      </c>
      <c r="B400" s="358" t="s">
        <v>571</v>
      </c>
      <c r="C400" s="358"/>
      <c r="D400" s="2460" t="s">
        <v>4183</v>
      </c>
      <c r="E400" s="394" t="s">
        <v>9341</v>
      </c>
      <c r="F400" s="41">
        <v>5</v>
      </c>
      <c r="G400" s="41">
        <v>5</v>
      </c>
      <c r="H400" s="2289">
        <v>6</v>
      </c>
      <c r="I400" s="744">
        <f>SUM(M400:R400)</f>
        <v>0.77700000000000002</v>
      </c>
      <c r="J400" s="744">
        <f>SUM(M400:R400)</f>
        <v>0.77700000000000002</v>
      </c>
      <c r="K400" s="744"/>
      <c r="L400" s="744"/>
      <c r="M400" s="1095"/>
      <c r="N400" s="1077">
        <v>0.77700000000000002</v>
      </c>
      <c r="O400" s="856"/>
      <c r="P400" s="1078"/>
      <c r="Q400" s="1088"/>
      <c r="R400" s="1083"/>
      <c r="S400" s="163"/>
      <c r="T400" s="248"/>
      <c r="U400" s="110"/>
      <c r="V400" s="110"/>
      <c r="W400" s="226"/>
      <c r="X400" s="2451"/>
      <c r="Y400" s="110"/>
      <c r="Z400" s="2633"/>
      <c r="AA400" s="2"/>
      <c r="AB400" s="3">
        <v>1</v>
      </c>
      <c r="AD400" s="2307"/>
    </row>
    <row r="401" spans="1:30" ht="30.5" x14ac:dyDescent="0.35">
      <c r="A401" s="349">
        <v>194</v>
      </c>
      <c r="B401" s="358" t="s">
        <v>571</v>
      </c>
      <c r="C401" s="358"/>
      <c r="D401" s="2460" t="s">
        <v>4184</v>
      </c>
      <c r="E401" s="394" t="s">
        <v>9342</v>
      </c>
      <c r="F401" s="40"/>
      <c r="G401" s="40" t="s">
        <v>191</v>
      </c>
      <c r="H401" s="2289" t="s">
        <v>191</v>
      </c>
      <c r="I401" s="744">
        <f>SUM(M401:R401)</f>
        <v>1.03</v>
      </c>
      <c r="J401" s="744">
        <f>SUM(M401:R401)</f>
        <v>1.03</v>
      </c>
      <c r="K401" s="745"/>
      <c r="L401" s="745"/>
      <c r="M401" s="1095"/>
      <c r="N401" s="688">
        <f>+N402+N404</f>
        <v>0.38999999999999996</v>
      </c>
      <c r="O401" s="857"/>
      <c r="P401" s="1079"/>
      <c r="Q401" s="1090"/>
      <c r="R401" s="1085">
        <f>+R403</f>
        <v>0.64</v>
      </c>
      <c r="S401" s="2631"/>
      <c r="T401" s="2632"/>
      <c r="U401" s="166"/>
      <c r="V401" s="166"/>
      <c r="W401" s="110">
        <v>1</v>
      </c>
      <c r="X401" s="2634">
        <v>10</v>
      </c>
      <c r="Y401" s="110"/>
      <c r="Z401" s="2633"/>
      <c r="AA401" s="2"/>
      <c r="AB401" s="3">
        <v>1</v>
      </c>
      <c r="AD401" s="2307"/>
    </row>
    <row r="402" spans="1:30" x14ac:dyDescent="0.35">
      <c r="A402" s="359"/>
      <c r="B402" s="358" t="s">
        <v>571</v>
      </c>
      <c r="C402" s="358"/>
      <c r="D402" s="360"/>
      <c r="E402" s="393" t="s">
        <v>1898</v>
      </c>
      <c r="F402" s="40">
        <v>5</v>
      </c>
      <c r="G402" s="40">
        <v>5</v>
      </c>
      <c r="H402" s="2289">
        <v>6</v>
      </c>
      <c r="I402" s="744"/>
      <c r="J402" s="744"/>
      <c r="K402" s="745"/>
      <c r="L402" s="745"/>
      <c r="M402" s="1095"/>
      <c r="N402" s="692">
        <v>0.35</v>
      </c>
      <c r="O402" s="857"/>
      <c r="P402" s="1079"/>
      <c r="Q402" s="1090"/>
      <c r="R402" s="1085"/>
      <c r="S402" s="2631"/>
      <c r="T402" s="2632"/>
      <c r="U402" s="166"/>
      <c r="V402" s="166"/>
      <c r="W402" s="110"/>
      <c r="X402" s="2634"/>
      <c r="Y402" s="110"/>
      <c r="Z402" s="2633"/>
      <c r="AA402" s="2"/>
    </row>
    <row r="403" spans="1:30" x14ac:dyDescent="0.35">
      <c r="A403" s="359"/>
      <c r="B403" s="358" t="s">
        <v>571</v>
      </c>
      <c r="C403" s="358"/>
      <c r="D403" s="360"/>
      <c r="E403" s="878" t="s">
        <v>513</v>
      </c>
      <c r="F403" s="40">
        <v>5</v>
      </c>
      <c r="G403" s="40">
        <v>5</v>
      </c>
      <c r="H403" s="41">
        <v>6</v>
      </c>
      <c r="I403" s="745"/>
      <c r="J403" s="745"/>
      <c r="K403" s="745"/>
      <c r="L403" s="745"/>
      <c r="M403" s="1095"/>
      <c r="N403" s="692"/>
      <c r="O403" s="857"/>
      <c r="P403" s="1079"/>
      <c r="Q403" s="1090"/>
      <c r="R403" s="1085">
        <v>0.64</v>
      </c>
      <c r="S403" s="2631"/>
      <c r="T403" s="2632"/>
      <c r="U403" s="166"/>
      <c r="V403" s="166"/>
      <c r="W403" s="110"/>
      <c r="X403" s="2634"/>
      <c r="Y403" s="110"/>
      <c r="Z403" s="2633"/>
      <c r="AA403" s="2"/>
    </row>
    <row r="404" spans="1:30" x14ac:dyDescent="0.35">
      <c r="A404" s="359"/>
      <c r="B404" s="358" t="s">
        <v>571</v>
      </c>
      <c r="C404" s="358"/>
      <c r="D404" s="360"/>
      <c r="E404" s="393" t="s">
        <v>514</v>
      </c>
      <c r="F404" s="40">
        <v>5</v>
      </c>
      <c r="G404" s="40">
        <v>5</v>
      </c>
      <c r="H404" s="2289">
        <v>6</v>
      </c>
      <c r="I404" s="745"/>
      <c r="J404" s="745"/>
      <c r="K404" s="745"/>
      <c r="L404" s="745"/>
      <c r="M404" s="1095"/>
      <c r="N404" s="692">
        <v>0.04</v>
      </c>
      <c r="O404" s="857"/>
      <c r="P404" s="1079"/>
      <c r="Q404" s="1090"/>
      <c r="R404" s="1085"/>
      <c r="S404" s="2631"/>
      <c r="T404" s="2632"/>
      <c r="U404" s="166"/>
      <c r="V404" s="166"/>
      <c r="W404" s="110"/>
      <c r="X404" s="2634"/>
      <c r="Y404" s="110"/>
      <c r="Z404" s="2633"/>
      <c r="AA404" s="2"/>
    </row>
    <row r="405" spans="1:30" ht="45.5" x14ac:dyDescent="0.35">
      <c r="A405" s="693">
        <v>195</v>
      </c>
      <c r="B405" s="105" t="s">
        <v>571</v>
      </c>
      <c r="C405" s="105" t="s">
        <v>1656</v>
      </c>
      <c r="D405" s="2460" t="s">
        <v>4185</v>
      </c>
      <c r="E405" s="269" t="s">
        <v>9343</v>
      </c>
      <c r="F405" s="92" t="s">
        <v>664</v>
      </c>
      <c r="G405" s="92">
        <v>5</v>
      </c>
      <c r="H405" s="41">
        <v>6</v>
      </c>
      <c r="I405" s="702">
        <f>J405+K405+L405</f>
        <v>1.33</v>
      </c>
      <c r="J405" s="702">
        <f>SUM(M405:R405)</f>
        <v>1.33</v>
      </c>
      <c r="K405" s="93"/>
      <c r="L405" s="93"/>
      <c r="M405" s="577"/>
      <c r="N405" s="577"/>
      <c r="O405" s="577"/>
      <c r="P405" s="577"/>
      <c r="Q405" s="577"/>
      <c r="R405" s="2096">
        <v>1.33</v>
      </c>
      <c r="S405" s="113"/>
      <c r="T405" s="577"/>
      <c r="U405" s="93"/>
      <c r="V405" s="93"/>
      <c r="W405" s="93"/>
      <c r="X405" s="2021"/>
      <c r="Y405" s="93"/>
      <c r="Z405" s="93"/>
      <c r="AB405" s="3">
        <v>1</v>
      </c>
      <c r="AD405" s="2307"/>
    </row>
    <row r="406" spans="1:30" ht="30.5" x14ac:dyDescent="0.35">
      <c r="A406" s="347">
        <v>196</v>
      </c>
      <c r="B406" s="358" t="s">
        <v>571</v>
      </c>
      <c r="C406" s="358"/>
      <c r="D406" s="2460" t="s">
        <v>4186</v>
      </c>
      <c r="E406" s="269" t="s">
        <v>7532</v>
      </c>
      <c r="F406" s="41" t="s">
        <v>1490</v>
      </c>
      <c r="G406" s="41">
        <v>5</v>
      </c>
      <c r="H406" s="41">
        <v>6</v>
      </c>
      <c r="I406" s="744">
        <f>SUM(M406:R406)</f>
        <v>1.52</v>
      </c>
      <c r="J406" s="744">
        <f>SUM(M406:R406)</f>
        <v>1.52</v>
      </c>
      <c r="K406" s="744"/>
      <c r="L406" s="744"/>
      <c r="M406" s="1096"/>
      <c r="N406" s="1077"/>
      <c r="O406" s="856"/>
      <c r="P406" s="1078"/>
      <c r="Q406" s="1088"/>
      <c r="R406" s="1083">
        <v>1.52</v>
      </c>
      <c r="S406" s="163"/>
      <c r="T406" s="248"/>
      <c r="U406" s="110"/>
      <c r="V406" s="110"/>
      <c r="W406" s="110">
        <v>1</v>
      </c>
      <c r="X406" s="2634">
        <v>10</v>
      </c>
      <c r="Y406" s="110"/>
      <c r="Z406" s="2633"/>
      <c r="AA406" s="2"/>
      <c r="AB406" s="3">
        <v>1</v>
      </c>
      <c r="AD406" s="2307"/>
    </row>
    <row r="407" spans="1:30" ht="45.5" x14ac:dyDescent="0.35">
      <c r="A407" s="693">
        <v>197</v>
      </c>
      <c r="B407" s="105" t="s">
        <v>571</v>
      </c>
      <c r="C407" s="105" t="s">
        <v>1656</v>
      </c>
      <c r="D407" s="2460" t="s">
        <v>4187</v>
      </c>
      <c r="E407" s="269" t="s">
        <v>8273</v>
      </c>
      <c r="F407" s="92" t="s">
        <v>664</v>
      </c>
      <c r="G407" s="92">
        <v>5</v>
      </c>
      <c r="H407" s="41">
        <v>6</v>
      </c>
      <c r="I407" s="702">
        <f>J407+K407+L407</f>
        <v>0.34</v>
      </c>
      <c r="J407" s="702">
        <f>SUM(M407:R407)</f>
        <v>0.34</v>
      </c>
      <c r="K407" s="93"/>
      <c r="L407" s="93"/>
      <c r="M407" s="577"/>
      <c r="N407" s="577"/>
      <c r="O407" s="577"/>
      <c r="P407" s="577"/>
      <c r="Q407" s="577"/>
      <c r="R407" s="2096">
        <v>0.34</v>
      </c>
      <c r="S407" s="113"/>
      <c r="T407" s="577"/>
      <c r="U407" s="93"/>
      <c r="V407" s="93"/>
      <c r="W407" s="93"/>
      <c r="X407" s="2021"/>
      <c r="Y407" s="93"/>
      <c r="Z407" s="93"/>
      <c r="AB407" s="3">
        <v>1</v>
      </c>
      <c r="AD407" s="2307"/>
    </row>
    <row r="408" spans="1:30" ht="60.5" x14ac:dyDescent="0.35">
      <c r="A408" s="347">
        <v>198</v>
      </c>
      <c r="B408" s="405" t="s">
        <v>571</v>
      </c>
      <c r="C408" s="405"/>
      <c r="D408" s="2460" t="s">
        <v>4188</v>
      </c>
      <c r="E408" s="394" t="s">
        <v>9230</v>
      </c>
      <c r="F408" s="40" t="s">
        <v>1490</v>
      </c>
      <c r="G408" s="40">
        <v>5</v>
      </c>
      <c r="H408" s="41">
        <v>6</v>
      </c>
      <c r="I408" s="744">
        <f>SUM(M408:R408)</f>
        <v>0.8</v>
      </c>
      <c r="J408" s="744">
        <f>SUM(M408:R408)</f>
        <v>0.8</v>
      </c>
      <c r="K408" s="749"/>
      <c r="L408" s="749"/>
      <c r="M408" s="1096"/>
      <c r="N408" s="1077"/>
      <c r="O408" s="856"/>
      <c r="P408" s="1078"/>
      <c r="Q408" s="1088"/>
      <c r="R408" s="1083">
        <v>0.8</v>
      </c>
      <c r="S408" s="163"/>
      <c r="T408" s="248"/>
      <c r="U408" s="110"/>
      <c r="V408" s="110"/>
      <c r="W408" s="110"/>
      <c r="X408" s="2634"/>
      <c r="Y408" s="110"/>
      <c r="Z408" s="2633"/>
      <c r="AA408" s="2"/>
      <c r="AB408" s="3">
        <v>1</v>
      </c>
      <c r="AD408" s="2307"/>
    </row>
    <row r="409" spans="1:30" ht="30.5" x14ac:dyDescent="0.35">
      <c r="A409" s="693">
        <v>199</v>
      </c>
      <c r="B409" s="105" t="s">
        <v>571</v>
      </c>
      <c r="C409" s="105" t="s">
        <v>1656</v>
      </c>
      <c r="D409" s="2460" t="s">
        <v>4190</v>
      </c>
      <c r="E409" s="269" t="s">
        <v>9231</v>
      </c>
      <c r="F409" s="92" t="s">
        <v>664</v>
      </c>
      <c r="G409" s="92">
        <v>5</v>
      </c>
      <c r="H409" s="41">
        <v>6</v>
      </c>
      <c r="I409" s="702">
        <f>J409+K409+L409</f>
        <v>0.5</v>
      </c>
      <c r="J409" s="702">
        <f>SUM(M409:R409)</f>
        <v>0.5</v>
      </c>
      <c r="K409" s="93"/>
      <c r="L409" s="93"/>
      <c r="M409" s="577"/>
      <c r="N409" s="577"/>
      <c r="O409" s="577"/>
      <c r="P409" s="577"/>
      <c r="Q409" s="577"/>
      <c r="R409" s="2096">
        <v>0.5</v>
      </c>
      <c r="S409" s="113"/>
      <c r="T409" s="577"/>
      <c r="U409" s="93"/>
      <c r="V409" s="93"/>
      <c r="W409" s="93"/>
      <c r="X409" s="2021"/>
      <c r="Y409" s="93"/>
      <c r="Z409" s="93"/>
      <c r="AB409" s="3">
        <v>1</v>
      </c>
      <c r="AD409" s="2307"/>
    </row>
    <row r="410" spans="1:30" ht="30.5" x14ac:dyDescent="0.35">
      <c r="A410" s="347"/>
      <c r="B410" s="405" t="s">
        <v>41</v>
      </c>
      <c r="C410" s="405"/>
      <c r="D410" s="405"/>
      <c r="E410" s="1596" t="s">
        <v>528</v>
      </c>
      <c r="F410" s="40"/>
      <c r="G410" s="40"/>
      <c r="H410" s="40"/>
      <c r="I410" s="744"/>
      <c r="J410" s="744"/>
      <c r="K410" s="749"/>
      <c r="L410" s="749"/>
      <c r="M410" s="1096"/>
      <c r="N410" s="1077"/>
      <c r="O410" s="856"/>
      <c r="P410" s="1078"/>
      <c r="Q410" s="1088"/>
      <c r="R410" s="1083"/>
      <c r="S410" s="163"/>
      <c r="T410" s="248"/>
      <c r="U410" s="110"/>
      <c r="V410" s="110"/>
      <c r="W410" s="110"/>
      <c r="X410" s="2634"/>
      <c r="Y410" s="110"/>
      <c r="Z410" s="2633"/>
      <c r="AA410" s="2"/>
    </row>
    <row r="411" spans="1:30" ht="30.5" x14ac:dyDescent="0.35">
      <c r="A411" s="347">
        <v>200</v>
      </c>
      <c r="B411" s="358" t="s">
        <v>41</v>
      </c>
      <c r="C411" s="358"/>
      <c r="D411" s="2460" t="s">
        <v>4192</v>
      </c>
      <c r="E411" s="394" t="s">
        <v>9344</v>
      </c>
      <c r="F411" s="41">
        <v>5</v>
      </c>
      <c r="G411" s="41">
        <v>4</v>
      </c>
      <c r="H411" s="2289">
        <v>6</v>
      </c>
      <c r="I411" s="744">
        <f>SUM(M411:R411)</f>
        <v>3.59</v>
      </c>
      <c r="J411" s="744">
        <f>SUM(M411:R411)</f>
        <v>3.59</v>
      </c>
      <c r="K411" s="749"/>
      <c r="L411" s="749"/>
      <c r="M411" s="1096"/>
      <c r="N411" s="1077">
        <v>3.59</v>
      </c>
      <c r="O411" s="856"/>
      <c r="P411" s="1078"/>
      <c r="Q411" s="1088"/>
      <c r="R411" s="1083"/>
      <c r="S411" s="538">
        <v>1</v>
      </c>
      <c r="T411" s="249">
        <v>6.5</v>
      </c>
      <c r="U411" s="110"/>
      <c r="V411" s="110"/>
      <c r="W411" s="226">
        <v>8</v>
      </c>
      <c r="X411" s="2451">
        <v>92.5</v>
      </c>
      <c r="Y411" s="226">
        <v>4</v>
      </c>
      <c r="Z411" s="2635">
        <v>47</v>
      </c>
      <c r="AA411" s="2"/>
      <c r="AB411" s="3">
        <v>1</v>
      </c>
      <c r="AD411" s="2307"/>
    </row>
    <row r="412" spans="1:30" ht="45.5" x14ac:dyDescent="0.35">
      <c r="A412" s="347">
        <v>201</v>
      </c>
      <c r="B412" s="358" t="s">
        <v>41</v>
      </c>
      <c r="C412" s="358"/>
      <c r="D412" s="2460" t="s">
        <v>4193</v>
      </c>
      <c r="E412" s="394" t="s">
        <v>9706</v>
      </c>
      <c r="F412" s="41"/>
      <c r="G412" s="41" t="s">
        <v>191</v>
      </c>
      <c r="H412" s="2289" t="s">
        <v>191</v>
      </c>
      <c r="I412" s="744">
        <f>SUM(M412:R412)</f>
        <v>8</v>
      </c>
      <c r="J412" s="744">
        <f>SUM(M412:R412)</f>
        <v>8</v>
      </c>
      <c r="K412" s="744"/>
      <c r="L412" s="744"/>
      <c r="M412" s="1096"/>
      <c r="N412" s="1077">
        <f>+N413</f>
        <v>6.21</v>
      </c>
      <c r="O412" s="856"/>
      <c r="P412" s="1078"/>
      <c r="Q412" s="1088"/>
      <c r="R412" s="1083">
        <f>+R414</f>
        <v>1.79</v>
      </c>
      <c r="S412" s="163"/>
      <c r="T412" s="249"/>
      <c r="U412" s="110"/>
      <c r="V412" s="110"/>
      <c r="W412" s="226">
        <v>15</v>
      </c>
      <c r="X412" s="2451">
        <v>207.25</v>
      </c>
      <c r="Y412" s="226">
        <v>2</v>
      </c>
      <c r="Z412" s="2622">
        <v>20</v>
      </c>
      <c r="AA412" s="2"/>
      <c r="AB412" s="3">
        <v>1</v>
      </c>
      <c r="AD412" s="2307"/>
    </row>
    <row r="413" spans="1:30" x14ac:dyDescent="0.35">
      <c r="A413" s="359"/>
      <c r="B413" s="358" t="s">
        <v>41</v>
      </c>
      <c r="C413" s="358"/>
      <c r="D413" s="360"/>
      <c r="E413" s="393" t="s">
        <v>1194</v>
      </c>
      <c r="F413" s="40">
        <v>4</v>
      </c>
      <c r="G413" s="40">
        <v>4</v>
      </c>
      <c r="H413" s="2289">
        <v>6</v>
      </c>
      <c r="I413" s="745"/>
      <c r="J413" s="745"/>
      <c r="K413" s="745"/>
      <c r="L413" s="745"/>
      <c r="M413" s="1095"/>
      <c r="N413" s="692">
        <v>6.21</v>
      </c>
      <c r="O413" s="857"/>
      <c r="P413" s="1079"/>
      <c r="Q413" s="1090"/>
      <c r="R413" s="1085"/>
      <c r="S413" s="2631"/>
      <c r="T413" s="2632"/>
      <c r="U413" s="166"/>
      <c r="V413" s="166"/>
      <c r="W413" s="110"/>
      <c r="X413" s="2634"/>
      <c r="Y413" s="110"/>
      <c r="Z413" s="2633"/>
      <c r="AA413" s="2"/>
    </row>
    <row r="414" spans="1:30" x14ac:dyDescent="0.35">
      <c r="A414" s="359"/>
      <c r="B414" s="358" t="s">
        <v>41</v>
      </c>
      <c r="C414" s="358"/>
      <c r="D414" s="360"/>
      <c r="E414" s="878" t="s">
        <v>1195</v>
      </c>
      <c r="F414" s="92" t="s">
        <v>664</v>
      </c>
      <c r="G414" s="40">
        <v>4</v>
      </c>
      <c r="H414" s="41">
        <v>6</v>
      </c>
      <c r="I414" s="745"/>
      <c r="J414" s="745"/>
      <c r="K414" s="745"/>
      <c r="L414" s="745"/>
      <c r="M414" s="1095"/>
      <c r="N414" s="692"/>
      <c r="O414" s="857"/>
      <c r="P414" s="1079"/>
      <c r="Q414" s="1090"/>
      <c r="R414" s="1085">
        <v>1.79</v>
      </c>
      <c r="S414" s="2631"/>
      <c r="T414" s="2632"/>
      <c r="U414" s="166"/>
      <c r="V414" s="166"/>
      <c r="W414" s="110"/>
      <c r="X414" s="2634"/>
      <c r="Y414" s="110"/>
      <c r="Z414" s="2633"/>
      <c r="AA414" s="2"/>
    </row>
    <row r="415" spans="1:30" ht="60.5" x14ac:dyDescent="0.35">
      <c r="A415" s="693">
        <v>202</v>
      </c>
      <c r="B415" s="105" t="s">
        <v>41</v>
      </c>
      <c r="C415" s="105" t="s">
        <v>1656</v>
      </c>
      <c r="D415" s="2460" t="s">
        <v>4194</v>
      </c>
      <c r="E415" s="269" t="s">
        <v>9707</v>
      </c>
      <c r="F415" s="92" t="s">
        <v>664</v>
      </c>
      <c r="G415" s="92">
        <v>5</v>
      </c>
      <c r="H415" s="41">
        <v>6</v>
      </c>
      <c r="I415" s="702">
        <f>J415+K415+L415</f>
        <v>0.3</v>
      </c>
      <c r="J415" s="702">
        <f>SUM(M415:R415)</f>
        <v>0.3</v>
      </c>
      <c r="K415" s="93"/>
      <c r="L415" s="93"/>
      <c r="M415" s="577"/>
      <c r="N415" s="577"/>
      <c r="O415" s="577"/>
      <c r="P415" s="577"/>
      <c r="Q415" s="577"/>
      <c r="R415" s="2096">
        <v>0.3</v>
      </c>
      <c r="S415" s="113"/>
      <c r="T415" s="577"/>
      <c r="U415" s="93"/>
      <c r="V415" s="93"/>
      <c r="W415" s="93"/>
      <c r="X415" s="2021"/>
      <c r="Y415" s="93"/>
      <c r="Z415" s="93"/>
      <c r="AB415" s="3">
        <v>1</v>
      </c>
      <c r="AD415" s="2307"/>
    </row>
    <row r="416" spans="1:30" ht="30.5" x14ac:dyDescent="0.35">
      <c r="A416" s="347">
        <v>203</v>
      </c>
      <c r="B416" s="358" t="s">
        <v>41</v>
      </c>
      <c r="C416" s="358"/>
      <c r="D416" s="2460" t="s">
        <v>4195</v>
      </c>
      <c r="E416" s="394" t="s">
        <v>7533</v>
      </c>
      <c r="F416" s="41"/>
      <c r="G416" s="41" t="s">
        <v>191</v>
      </c>
      <c r="H416" s="2289" t="s">
        <v>191</v>
      </c>
      <c r="I416" s="744">
        <f>SUM(M416:R416)</f>
        <v>3.7</v>
      </c>
      <c r="J416" s="744">
        <f>SUM(M416:R416)</f>
        <v>3.7</v>
      </c>
      <c r="K416" s="744"/>
      <c r="L416" s="744"/>
      <c r="M416" s="1096"/>
      <c r="N416" s="1077">
        <f>+N417+N419</f>
        <v>0.21</v>
      </c>
      <c r="O416" s="856"/>
      <c r="P416" s="1078"/>
      <c r="Q416" s="1088">
        <f>+Q418</f>
        <v>3.49</v>
      </c>
      <c r="R416" s="1083"/>
      <c r="S416" s="163"/>
      <c r="T416" s="249"/>
      <c r="U416" s="110"/>
      <c r="V416" s="110"/>
      <c r="W416" s="226">
        <v>5</v>
      </c>
      <c r="X416" s="2451">
        <v>77.5</v>
      </c>
      <c r="Y416" s="110"/>
      <c r="Z416" s="2622"/>
      <c r="AA416" s="2"/>
      <c r="AB416" s="3">
        <v>1</v>
      </c>
      <c r="AD416" s="2307"/>
    </row>
    <row r="417" spans="1:30" x14ac:dyDescent="0.35">
      <c r="A417" s="359"/>
      <c r="B417" s="358" t="s">
        <v>41</v>
      </c>
      <c r="C417" s="358"/>
      <c r="D417" s="360"/>
      <c r="E417" s="393" t="s">
        <v>1592</v>
      </c>
      <c r="F417" s="41">
        <v>4</v>
      </c>
      <c r="G417" s="41">
        <v>5</v>
      </c>
      <c r="H417" s="2289">
        <v>6</v>
      </c>
      <c r="I417" s="745"/>
      <c r="J417" s="745"/>
      <c r="K417" s="745"/>
      <c r="L417" s="745"/>
      <c r="M417" s="1095"/>
      <c r="N417" s="692">
        <v>0.03</v>
      </c>
      <c r="O417" s="857"/>
      <c r="P417" s="1079"/>
      <c r="Q417" s="1090"/>
      <c r="R417" s="1085"/>
      <c r="S417" s="2631"/>
      <c r="T417" s="2632"/>
      <c r="U417" s="166"/>
      <c r="V417" s="166"/>
      <c r="W417" s="110"/>
      <c r="X417" s="2634"/>
      <c r="Y417" s="110"/>
      <c r="Z417" s="2633"/>
      <c r="AA417" s="2"/>
    </row>
    <row r="418" spans="1:30" x14ac:dyDescent="0.35">
      <c r="A418" s="359"/>
      <c r="B418" s="358" t="s">
        <v>41</v>
      </c>
      <c r="C418" s="358"/>
      <c r="D418" s="360"/>
      <c r="E418" s="900" t="s">
        <v>1593</v>
      </c>
      <c r="F418" s="41">
        <v>4</v>
      </c>
      <c r="G418" s="41">
        <v>5</v>
      </c>
      <c r="H418" s="2289">
        <v>6</v>
      </c>
      <c r="I418" s="745"/>
      <c r="J418" s="745"/>
      <c r="K418" s="745"/>
      <c r="L418" s="745"/>
      <c r="M418" s="1095"/>
      <c r="N418" s="692"/>
      <c r="O418" s="857"/>
      <c r="P418" s="1079"/>
      <c r="Q418" s="1090">
        <v>3.49</v>
      </c>
      <c r="R418" s="1085"/>
      <c r="S418" s="2631"/>
      <c r="T418" s="2632"/>
      <c r="U418" s="166"/>
      <c r="V418" s="166"/>
      <c r="W418" s="110"/>
      <c r="X418" s="2634"/>
      <c r="Y418" s="110"/>
      <c r="Z418" s="2633"/>
      <c r="AA418" s="2"/>
    </row>
    <row r="419" spans="1:30" x14ac:dyDescent="0.35">
      <c r="A419" s="359"/>
      <c r="B419" s="358" t="s">
        <v>41</v>
      </c>
      <c r="C419" s="358"/>
      <c r="D419" s="360"/>
      <c r="E419" s="393" t="s">
        <v>73</v>
      </c>
      <c r="F419" s="41">
        <v>4</v>
      </c>
      <c r="G419" s="41">
        <v>5</v>
      </c>
      <c r="H419" s="2289">
        <v>6</v>
      </c>
      <c r="I419" s="745"/>
      <c r="J419" s="745"/>
      <c r="K419" s="745"/>
      <c r="L419" s="745"/>
      <c r="M419" s="1095"/>
      <c r="N419" s="692">
        <v>0.18</v>
      </c>
      <c r="O419" s="857"/>
      <c r="P419" s="1079"/>
      <c r="Q419" s="1090"/>
      <c r="R419" s="1085"/>
      <c r="S419" s="2631"/>
      <c r="T419" s="2632"/>
      <c r="U419" s="166"/>
      <c r="V419" s="166"/>
      <c r="W419" s="110"/>
      <c r="X419" s="2634"/>
      <c r="Y419" s="110"/>
      <c r="Z419" s="2633"/>
      <c r="AA419" s="2"/>
    </row>
    <row r="420" spans="1:30" ht="30.5" x14ac:dyDescent="0.35">
      <c r="A420" s="347">
        <v>204</v>
      </c>
      <c r="B420" s="358" t="s">
        <v>41</v>
      </c>
      <c r="C420" s="358"/>
      <c r="D420" s="2460" t="s">
        <v>4196</v>
      </c>
      <c r="E420" s="394" t="s">
        <v>9178</v>
      </c>
      <c r="F420" s="41"/>
      <c r="G420" s="41" t="s">
        <v>191</v>
      </c>
      <c r="H420" s="2289" t="s">
        <v>191</v>
      </c>
      <c r="I420" s="744">
        <f>SUM(M420:R420)</f>
        <v>1.5299999999999998</v>
      </c>
      <c r="J420" s="744">
        <f>SUM(M420:R420)</f>
        <v>1.5299999999999998</v>
      </c>
      <c r="K420" s="744"/>
      <c r="L420" s="744"/>
      <c r="M420" s="1096"/>
      <c r="N420" s="1077">
        <f>+N421</f>
        <v>1.17</v>
      </c>
      <c r="O420" s="856"/>
      <c r="P420" s="1078"/>
      <c r="Q420" s="1088"/>
      <c r="R420" s="1083">
        <f>+R422</f>
        <v>0.36</v>
      </c>
      <c r="S420" s="163"/>
      <c r="T420" s="249"/>
      <c r="U420" s="110"/>
      <c r="V420" s="110"/>
      <c r="W420" s="226">
        <v>1</v>
      </c>
      <c r="X420" s="2451">
        <v>10.1</v>
      </c>
      <c r="Y420" s="110"/>
      <c r="Z420" s="2622"/>
      <c r="AA420" s="2"/>
      <c r="AB420" s="3">
        <v>1</v>
      </c>
      <c r="AD420" s="2307"/>
    </row>
    <row r="421" spans="1:30" x14ac:dyDescent="0.35">
      <c r="A421" s="359"/>
      <c r="B421" s="358" t="s">
        <v>41</v>
      </c>
      <c r="C421" s="358"/>
      <c r="D421" s="360"/>
      <c r="E421" s="393" t="s">
        <v>2434</v>
      </c>
      <c r="F421" s="40">
        <v>5</v>
      </c>
      <c r="G421" s="40">
        <v>4</v>
      </c>
      <c r="H421" s="2289">
        <v>6</v>
      </c>
      <c r="I421" s="745"/>
      <c r="J421" s="745"/>
      <c r="K421" s="745"/>
      <c r="L421" s="745"/>
      <c r="M421" s="1095"/>
      <c r="N421" s="692">
        <v>1.17</v>
      </c>
      <c r="O421" s="857"/>
      <c r="P421" s="1079"/>
      <c r="Q421" s="1090"/>
      <c r="R421" s="1085"/>
      <c r="S421" s="2631"/>
      <c r="T421" s="2632"/>
      <c r="U421" s="166"/>
      <c r="V421" s="166"/>
      <c r="W421" s="110"/>
      <c r="X421" s="2634"/>
      <c r="Y421" s="110"/>
      <c r="Z421" s="2633"/>
      <c r="AA421" s="2"/>
    </row>
    <row r="422" spans="1:30" x14ac:dyDescent="0.35">
      <c r="A422" s="359"/>
      <c r="B422" s="358" t="s">
        <v>41</v>
      </c>
      <c r="C422" s="358"/>
      <c r="D422" s="360"/>
      <c r="E422" s="878" t="s">
        <v>519</v>
      </c>
      <c r="F422" s="40" t="s">
        <v>664</v>
      </c>
      <c r="G422" s="40">
        <v>4</v>
      </c>
      <c r="H422" s="41">
        <v>6</v>
      </c>
      <c r="I422" s="745"/>
      <c r="J422" s="745"/>
      <c r="K422" s="745"/>
      <c r="L422" s="745"/>
      <c r="M422" s="1095"/>
      <c r="N422" s="692"/>
      <c r="O422" s="857"/>
      <c r="P422" s="1079"/>
      <c r="Q422" s="1090"/>
      <c r="R422" s="1085">
        <v>0.36</v>
      </c>
      <c r="S422" s="2631"/>
      <c r="T422" s="2632"/>
      <c r="U422" s="166"/>
      <c r="V422" s="166"/>
      <c r="W422" s="110"/>
      <c r="X422" s="2634"/>
      <c r="Y422" s="110"/>
      <c r="Z422" s="2633"/>
      <c r="AA422" s="2"/>
    </row>
    <row r="423" spans="1:30" ht="45.5" x14ac:dyDescent="0.35">
      <c r="A423" s="693">
        <v>205</v>
      </c>
      <c r="B423" s="105" t="s">
        <v>41</v>
      </c>
      <c r="C423" s="105" t="s">
        <v>1656</v>
      </c>
      <c r="D423" s="2460" t="s">
        <v>4197</v>
      </c>
      <c r="E423" s="269" t="s">
        <v>9210</v>
      </c>
      <c r="F423" s="92" t="s">
        <v>664</v>
      </c>
      <c r="G423" s="92">
        <v>5</v>
      </c>
      <c r="H423" s="41">
        <v>6</v>
      </c>
      <c r="I423" s="702">
        <f>J423+K423+L423</f>
        <v>0.65</v>
      </c>
      <c r="J423" s="702">
        <f>SUM(M423:R423)</f>
        <v>0.65</v>
      </c>
      <c r="K423" s="93"/>
      <c r="L423" s="93"/>
      <c r="M423" s="577"/>
      <c r="N423" s="577"/>
      <c r="O423" s="577"/>
      <c r="P423" s="577"/>
      <c r="Q423" s="577"/>
      <c r="R423" s="2096">
        <v>0.65</v>
      </c>
      <c r="S423" s="113"/>
      <c r="T423" s="577"/>
      <c r="U423" s="93"/>
      <c r="V423" s="93"/>
      <c r="W423" s="93"/>
      <c r="X423" s="2021"/>
      <c r="Y423" s="93"/>
      <c r="Z423" s="93"/>
      <c r="AB423" s="3">
        <v>1</v>
      </c>
      <c r="AD423" s="2307"/>
    </row>
    <row r="424" spans="1:30" ht="30.5" x14ac:dyDescent="0.35">
      <c r="A424" s="347">
        <v>206</v>
      </c>
      <c r="B424" s="358" t="s">
        <v>41</v>
      </c>
      <c r="C424" s="358"/>
      <c r="D424" s="2460" t="s">
        <v>4198</v>
      </c>
      <c r="E424" s="394" t="s">
        <v>9179</v>
      </c>
      <c r="F424" s="41"/>
      <c r="G424" s="41" t="s">
        <v>191</v>
      </c>
      <c r="H424" s="2289" t="s">
        <v>191</v>
      </c>
      <c r="I424" s="744">
        <f>SUM(M424:R424)</f>
        <v>5.3</v>
      </c>
      <c r="J424" s="744">
        <f>SUM(M424:R424)</f>
        <v>5.3</v>
      </c>
      <c r="K424" s="744"/>
      <c r="L424" s="744"/>
      <c r="M424" s="1096"/>
      <c r="N424" s="1077">
        <f>+N425</f>
        <v>2.8</v>
      </c>
      <c r="O424" s="856"/>
      <c r="P424" s="1078"/>
      <c r="Q424" s="1088">
        <f>+Q426</f>
        <v>2.5</v>
      </c>
      <c r="R424" s="1083"/>
      <c r="S424" s="163"/>
      <c r="T424" s="249"/>
      <c r="U424" s="110"/>
      <c r="V424" s="110"/>
      <c r="W424" s="226">
        <v>16</v>
      </c>
      <c r="X424" s="2451">
        <v>178.5</v>
      </c>
      <c r="Y424" s="226">
        <v>1</v>
      </c>
      <c r="Z424" s="2622">
        <v>10</v>
      </c>
      <c r="AA424" s="2"/>
      <c r="AB424" s="3">
        <v>1</v>
      </c>
      <c r="AD424" s="2307"/>
    </row>
    <row r="425" spans="1:30" x14ac:dyDescent="0.35">
      <c r="A425" s="359"/>
      <c r="B425" s="358" t="s">
        <v>41</v>
      </c>
      <c r="C425" s="358"/>
      <c r="D425" s="360"/>
      <c r="E425" s="393" t="s">
        <v>815</v>
      </c>
      <c r="F425" s="41">
        <v>5</v>
      </c>
      <c r="G425" s="41">
        <v>5</v>
      </c>
      <c r="H425" s="2289">
        <v>6</v>
      </c>
      <c r="I425" s="745"/>
      <c r="J425" s="745"/>
      <c r="K425" s="745"/>
      <c r="L425" s="745"/>
      <c r="M425" s="1095"/>
      <c r="N425" s="692">
        <v>2.8</v>
      </c>
      <c r="O425" s="857"/>
      <c r="P425" s="1079"/>
      <c r="Q425" s="1090"/>
      <c r="R425" s="1085"/>
      <c r="S425" s="2631"/>
      <c r="T425" s="2632"/>
      <c r="U425" s="166"/>
      <c r="V425" s="166"/>
      <c r="W425" s="110"/>
      <c r="X425" s="2634"/>
      <c r="Y425" s="110"/>
      <c r="Z425" s="2633"/>
      <c r="AA425" s="2"/>
    </row>
    <row r="426" spans="1:30" x14ac:dyDescent="0.35">
      <c r="A426" s="359"/>
      <c r="B426" s="358" t="s">
        <v>41</v>
      </c>
      <c r="C426" s="358"/>
      <c r="D426" s="360"/>
      <c r="E426" s="900" t="s">
        <v>2330</v>
      </c>
      <c r="F426" s="41">
        <v>5</v>
      </c>
      <c r="G426" s="41">
        <v>5</v>
      </c>
      <c r="H426" s="2289">
        <v>6</v>
      </c>
      <c r="I426" s="745"/>
      <c r="J426" s="745"/>
      <c r="K426" s="745"/>
      <c r="L426" s="745"/>
      <c r="M426" s="1095"/>
      <c r="N426" s="692"/>
      <c r="O426" s="857"/>
      <c r="P426" s="1079"/>
      <c r="Q426" s="1090">
        <v>2.5</v>
      </c>
      <c r="R426" s="1085"/>
      <c r="S426" s="2631"/>
      <c r="T426" s="2632"/>
      <c r="U426" s="166"/>
      <c r="V426" s="166"/>
      <c r="W426" s="110"/>
      <c r="X426" s="2634"/>
      <c r="Y426" s="110"/>
      <c r="Z426" s="2633"/>
      <c r="AA426" s="2"/>
    </row>
    <row r="427" spans="1:30" ht="45.5" x14ac:dyDescent="0.35">
      <c r="A427" s="693">
        <v>207</v>
      </c>
      <c r="B427" s="105" t="s">
        <v>41</v>
      </c>
      <c r="C427" s="105" t="s">
        <v>1656</v>
      </c>
      <c r="D427" s="2460" t="s">
        <v>4199</v>
      </c>
      <c r="E427" s="269" t="s">
        <v>9211</v>
      </c>
      <c r="F427" s="92" t="s">
        <v>664</v>
      </c>
      <c r="G427" s="92">
        <v>5</v>
      </c>
      <c r="H427" s="41">
        <v>6</v>
      </c>
      <c r="I427" s="702">
        <f>J427+K427+L427</f>
        <v>7.0000000000000007E-2</v>
      </c>
      <c r="J427" s="702">
        <f>SUM(M427:R427)</f>
        <v>7.0000000000000007E-2</v>
      </c>
      <c r="K427" s="93"/>
      <c r="L427" s="93"/>
      <c r="M427" s="577"/>
      <c r="N427" s="577"/>
      <c r="O427" s="577"/>
      <c r="P427" s="577"/>
      <c r="Q427" s="577"/>
      <c r="R427" s="2096">
        <v>7.0000000000000007E-2</v>
      </c>
      <c r="S427" s="113"/>
      <c r="T427" s="577"/>
      <c r="U427" s="93"/>
      <c r="V427" s="93"/>
      <c r="W427" s="93"/>
      <c r="X427" s="2021"/>
      <c r="Y427" s="93"/>
      <c r="Z427" s="93"/>
      <c r="AB427" s="3">
        <v>1</v>
      </c>
      <c r="AD427" s="2307"/>
    </row>
    <row r="428" spans="1:30" ht="30.5" x14ac:dyDescent="0.35">
      <c r="A428" s="347">
        <v>208</v>
      </c>
      <c r="B428" s="358" t="s">
        <v>41</v>
      </c>
      <c r="C428" s="358"/>
      <c r="D428" s="2460" t="s">
        <v>4200</v>
      </c>
      <c r="E428" s="394" t="s">
        <v>9345</v>
      </c>
      <c r="F428" s="2942">
        <v>4</v>
      </c>
      <c r="G428" s="41">
        <v>4</v>
      </c>
      <c r="H428" s="2289">
        <v>6</v>
      </c>
      <c r="I428" s="744">
        <f>SUM(M428:R428)</f>
        <v>3.157</v>
      </c>
      <c r="J428" s="744">
        <f>SUM(M428:R428)</f>
        <v>3.157</v>
      </c>
      <c r="K428" s="744"/>
      <c r="L428" s="744"/>
      <c r="M428" s="1096"/>
      <c r="N428" s="1077">
        <v>3.157</v>
      </c>
      <c r="O428" s="856"/>
      <c r="P428" s="1078"/>
      <c r="Q428" s="1088"/>
      <c r="R428" s="1083"/>
      <c r="S428" s="163"/>
      <c r="T428" s="249"/>
      <c r="U428" s="110"/>
      <c r="V428" s="110"/>
      <c r="W428" s="226">
        <v>11</v>
      </c>
      <c r="X428" s="2451">
        <v>139.1</v>
      </c>
      <c r="Y428" s="226">
        <v>4</v>
      </c>
      <c r="Z428" s="2622">
        <v>34.700000000000003</v>
      </c>
      <c r="AA428" s="2"/>
      <c r="AB428" s="3">
        <v>1</v>
      </c>
      <c r="AD428" s="2307"/>
    </row>
    <row r="429" spans="1:30" ht="45.5" x14ac:dyDescent="0.35">
      <c r="A429" s="693">
        <v>209</v>
      </c>
      <c r="B429" s="105" t="s">
        <v>41</v>
      </c>
      <c r="C429" s="105" t="s">
        <v>1656</v>
      </c>
      <c r="D429" s="2460" t="s">
        <v>4201</v>
      </c>
      <c r="E429" s="269" t="s">
        <v>9346</v>
      </c>
      <c r="F429" s="92" t="s">
        <v>664</v>
      </c>
      <c r="G429" s="92">
        <v>5</v>
      </c>
      <c r="H429" s="41">
        <v>6</v>
      </c>
      <c r="I429" s="702">
        <f>J429+K429+L429</f>
        <v>0.2</v>
      </c>
      <c r="J429" s="702">
        <f t="shared" ref="J429:J435" si="21">SUM(M429:R429)</f>
        <v>0.2</v>
      </c>
      <c r="K429" s="93"/>
      <c r="L429" s="93"/>
      <c r="M429" s="577"/>
      <c r="N429" s="577"/>
      <c r="O429" s="577"/>
      <c r="P429" s="577"/>
      <c r="Q429" s="577"/>
      <c r="R429" s="2096">
        <v>0.2</v>
      </c>
      <c r="S429" s="113"/>
      <c r="T429" s="577"/>
      <c r="U429" s="93"/>
      <c r="V429" s="93"/>
      <c r="W429" s="93"/>
      <c r="X429" s="2021"/>
      <c r="Y429" s="93"/>
      <c r="Z429" s="93"/>
      <c r="AB429" s="3">
        <v>1</v>
      </c>
      <c r="AD429" s="2307"/>
    </row>
    <row r="430" spans="1:30" ht="30.5" x14ac:dyDescent="0.35">
      <c r="A430" s="347">
        <v>210</v>
      </c>
      <c r="B430" s="358" t="s">
        <v>41</v>
      </c>
      <c r="C430" s="358"/>
      <c r="D430" s="2460" t="s">
        <v>4202</v>
      </c>
      <c r="E430" s="394" t="s">
        <v>7534</v>
      </c>
      <c r="F430" s="41" t="s">
        <v>1490</v>
      </c>
      <c r="G430" s="41">
        <v>5</v>
      </c>
      <c r="H430" s="41">
        <v>6</v>
      </c>
      <c r="I430" s="744">
        <f>SUM(M430:R430)</f>
        <v>3.06</v>
      </c>
      <c r="J430" s="744">
        <f t="shared" si="21"/>
        <v>3.06</v>
      </c>
      <c r="K430" s="744"/>
      <c r="L430" s="744"/>
      <c r="M430" s="1096"/>
      <c r="N430" s="1077"/>
      <c r="O430" s="856"/>
      <c r="P430" s="1078"/>
      <c r="Q430" s="1088"/>
      <c r="R430" s="1083">
        <v>3.06</v>
      </c>
      <c r="S430" s="163"/>
      <c r="T430" s="248"/>
      <c r="U430" s="110"/>
      <c r="V430" s="110"/>
      <c r="W430" s="110"/>
      <c r="X430" s="2634"/>
      <c r="Y430" s="110"/>
      <c r="Z430" s="2633"/>
      <c r="AA430" s="2"/>
      <c r="AB430" s="3">
        <v>1</v>
      </c>
      <c r="AD430" s="2307"/>
    </row>
    <row r="431" spans="1:30" ht="30.5" x14ac:dyDescent="0.35">
      <c r="A431" s="693">
        <v>211</v>
      </c>
      <c r="B431" s="358" t="s">
        <v>41</v>
      </c>
      <c r="C431" s="358"/>
      <c r="D431" s="2460" t="s">
        <v>4203</v>
      </c>
      <c r="E431" s="394" t="s">
        <v>7535</v>
      </c>
      <c r="F431" s="41">
        <v>5</v>
      </c>
      <c r="G431" s="41">
        <v>5</v>
      </c>
      <c r="H431" s="2289">
        <v>6</v>
      </c>
      <c r="I431" s="744">
        <f>SUM(M431:R431)</f>
        <v>1.1000000000000001</v>
      </c>
      <c r="J431" s="744">
        <f t="shared" si="21"/>
        <v>1.1000000000000001</v>
      </c>
      <c r="K431" s="744"/>
      <c r="L431" s="744"/>
      <c r="M431" s="1096"/>
      <c r="N431" s="1077">
        <v>1.1000000000000001</v>
      </c>
      <c r="O431" s="856"/>
      <c r="P431" s="1078"/>
      <c r="Q431" s="1088"/>
      <c r="R431" s="1083"/>
      <c r="S431" s="163"/>
      <c r="T431" s="248"/>
      <c r="U431" s="110"/>
      <c r="V431" s="110"/>
      <c r="W431" s="226">
        <v>5</v>
      </c>
      <c r="X431" s="2451">
        <v>52.8</v>
      </c>
      <c r="Y431" s="110"/>
      <c r="Z431" s="2633"/>
      <c r="AA431" s="2"/>
      <c r="AB431" s="3">
        <v>1</v>
      </c>
      <c r="AD431" s="2307"/>
    </row>
    <row r="432" spans="1:30" ht="30.5" x14ac:dyDescent="0.35">
      <c r="A432" s="347">
        <v>212</v>
      </c>
      <c r="B432" s="358" t="s">
        <v>41</v>
      </c>
      <c r="C432" s="358"/>
      <c r="D432" s="2460" t="s">
        <v>4204</v>
      </c>
      <c r="E432" s="394" t="s">
        <v>9180</v>
      </c>
      <c r="F432" s="41" t="s">
        <v>664</v>
      </c>
      <c r="G432" s="41">
        <v>5</v>
      </c>
      <c r="H432" s="41">
        <v>6</v>
      </c>
      <c r="I432" s="744">
        <f>SUM(M432:R432)</f>
        <v>1.2</v>
      </c>
      <c r="J432" s="744">
        <f t="shared" si="21"/>
        <v>1.2</v>
      </c>
      <c r="K432" s="749"/>
      <c r="L432" s="749"/>
      <c r="M432" s="1096"/>
      <c r="N432" s="1077"/>
      <c r="O432" s="856"/>
      <c r="P432" s="1078"/>
      <c r="Q432" s="1088"/>
      <c r="R432" s="1083">
        <v>1.2</v>
      </c>
      <c r="S432" s="163"/>
      <c r="T432" s="248"/>
      <c r="U432" s="110"/>
      <c r="V432" s="110"/>
      <c r="W432" s="110"/>
      <c r="X432" s="2634"/>
      <c r="Y432" s="110"/>
      <c r="Z432" s="2633"/>
      <c r="AA432" s="2"/>
      <c r="AB432" s="3">
        <v>1</v>
      </c>
      <c r="AD432" s="2307"/>
    </row>
    <row r="433" spans="1:30" ht="30.5" x14ac:dyDescent="0.35">
      <c r="A433" s="693">
        <v>213</v>
      </c>
      <c r="B433" s="358" t="s">
        <v>41</v>
      </c>
      <c r="C433" s="358"/>
      <c r="D433" s="2460" t="s">
        <v>4205</v>
      </c>
      <c r="E433" s="394" t="s">
        <v>9181</v>
      </c>
      <c r="F433" s="41" t="s">
        <v>1490</v>
      </c>
      <c r="G433" s="41">
        <v>5</v>
      </c>
      <c r="H433" s="41">
        <v>6</v>
      </c>
      <c r="I433" s="744">
        <f>SUM(M433:R433)</f>
        <v>0.5</v>
      </c>
      <c r="J433" s="744">
        <f t="shared" si="21"/>
        <v>0.5</v>
      </c>
      <c r="K433" s="749"/>
      <c r="L433" s="749"/>
      <c r="M433" s="1096"/>
      <c r="N433" s="1077"/>
      <c r="O433" s="856"/>
      <c r="P433" s="1078"/>
      <c r="Q433" s="1088"/>
      <c r="R433" s="1083">
        <v>0.5</v>
      </c>
      <c r="S433" s="163"/>
      <c r="T433" s="248"/>
      <c r="U433" s="110"/>
      <c r="V433" s="110"/>
      <c r="W433" s="110"/>
      <c r="X433" s="2634"/>
      <c r="Y433" s="110"/>
      <c r="Z433" s="2633"/>
      <c r="AA433" s="2"/>
      <c r="AB433" s="3">
        <v>1</v>
      </c>
      <c r="AD433" s="2307"/>
    </row>
    <row r="434" spans="1:30" ht="30.5" x14ac:dyDescent="0.35">
      <c r="A434" s="347">
        <v>214</v>
      </c>
      <c r="B434" s="105" t="s">
        <v>41</v>
      </c>
      <c r="C434" s="105" t="s">
        <v>1656</v>
      </c>
      <c r="D434" s="2460" t="s">
        <v>4206</v>
      </c>
      <c r="E434" s="269" t="s">
        <v>9232</v>
      </c>
      <c r="F434" s="92" t="s">
        <v>664</v>
      </c>
      <c r="G434" s="92">
        <v>5</v>
      </c>
      <c r="H434" s="41">
        <v>6</v>
      </c>
      <c r="I434" s="702">
        <f>J434+K434+L434</f>
        <v>0.59</v>
      </c>
      <c r="J434" s="702">
        <f t="shared" si="21"/>
        <v>0.59</v>
      </c>
      <c r="K434" s="93"/>
      <c r="L434" s="93"/>
      <c r="M434" s="577"/>
      <c r="N434" s="577"/>
      <c r="O434" s="577"/>
      <c r="P434" s="577"/>
      <c r="Q434" s="577"/>
      <c r="R434" s="2096">
        <v>0.59</v>
      </c>
      <c r="S434" s="113"/>
      <c r="T434" s="577"/>
      <c r="U434" s="93"/>
      <c r="V434" s="93"/>
      <c r="W434" s="93"/>
      <c r="X434" s="2021"/>
      <c r="Y434" s="93"/>
      <c r="Z434" s="93"/>
      <c r="AB434" s="3">
        <v>1</v>
      </c>
      <c r="AD434" s="2307"/>
    </row>
    <row r="435" spans="1:30" ht="45.5" x14ac:dyDescent="0.35">
      <c r="A435" s="693">
        <v>215</v>
      </c>
      <c r="B435" s="105" t="s">
        <v>41</v>
      </c>
      <c r="C435" s="105" t="s">
        <v>1655</v>
      </c>
      <c r="D435" s="2460" t="s">
        <v>4207</v>
      </c>
      <c r="E435" s="269" t="s">
        <v>7319</v>
      </c>
      <c r="F435" s="92"/>
      <c r="G435" s="92" t="s">
        <v>191</v>
      </c>
      <c r="H435" s="2289" t="s">
        <v>191</v>
      </c>
      <c r="I435" s="702">
        <f>J435+K435+L435</f>
        <v>2.2999999999999998</v>
      </c>
      <c r="J435" s="702">
        <f t="shared" si="21"/>
        <v>2.2999999999999998</v>
      </c>
      <c r="K435" s="93"/>
      <c r="L435" s="93"/>
      <c r="M435" s="577"/>
      <c r="N435" s="577">
        <f>SUM(N436:N437)</f>
        <v>0.49299999999999999</v>
      </c>
      <c r="O435" s="577"/>
      <c r="P435" s="577"/>
      <c r="Q435" s="577"/>
      <c r="R435" s="2096">
        <f>SUM(R436:R437)</f>
        <v>1.8069999999999999</v>
      </c>
      <c r="S435" s="113"/>
      <c r="T435" s="577"/>
      <c r="U435" s="93"/>
      <c r="V435" s="93"/>
      <c r="W435" s="105">
        <v>4</v>
      </c>
      <c r="X435" s="2027">
        <v>35.14</v>
      </c>
      <c r="Y435" s="105">
        <v>1</v>
      </c>
      <c r="Z435" s="105">
        <v>5</v>
      </c>
      <c r="AB435" s="3">
        <v>1</v>
      </c>
      <c r="AD435" s="2307"/>
    </row>
    <row r="436" spans="1:30" x14ac:dyDescent="0.35">
      <c r="A436" s="693"/>
      <c r="B436" s="105"/>
      <c r="C436" s="105"/>
      <c r="D436" s="693"/>
      <c r="E436" s="270" t="s">
        <v>3590</v>
      </c>
      <c r="F436" s="92" t="s">
        <v>827</v>
      </c>
      <c r="G436" s="92">
        <v>5</v>
      </c>
      <c r="H436" s="41">
        <v>6</v>
      </c>
      <c r="I436" s="1918"/>
      <c r="J436" s="1918"/>
      <c r="K436" s="93"/>
      <c r="L436" s="93"/>
      <c r="M436" s="576"/>
      <c r="N436" s="576">
        <v>0.49299999999999999</v>
      </c>
      <c r="O436" s="576"/>
      <c r="P436" s="576"/>
      <c r="Q436" s="576"/>
      <c r="R436" s="2020"/>
      <c r="S436" s="113"/>
      <c r="T436" s="577"/>
      <c r="U436" s="93"/>
      <c r="V436" s="93"/>
      <c r="W436" s="93"/>
      <c r="X436" s="2021"/>
      <c r="Y436" s="93"/>
      <c r="Z436" s="93"/>
    </row>
    <row r="437" spans="1:30" x14ac:dyDescent="0.35">
      <c r="A437" s="693"/>
      <c r="B437" s="105"/>
      <c r="C437" s="105"/>
      <c r="D437" s="693"/>
      <c r="E437" s="2054" t="s">
        <v>3591</v>
      </c>
      <c r="F437" s="92" t="s">
        <v>827</v>
      </c>
      <c r="G437" s="92">
        <v>5</v>
      </c>
      <c r="H437" s="41">
        <v>6</v>
      </c>
      <c r="I437" s="1918"/>
      <c r="J437" s="1918"/>
      <c r="K437" s="93"/>
      <c r="L437" s="93"/>
      <c r="M437" s="576"/>
      <c r="N437" s="576"/>
      <c r="O437" s="576"/>
      <c r="P437" s="576"/>
      <c r="Q437" s="576"/>
      <c r="R437" s="2020">
        <f>2.3-0.493</f>
        <v>1.8069999999999999</v>
      </c>
      <c r="S437" s="113"/>
      <c r="T437" s="577"/>
      <c r="U437" s="93"/>
      <c r="V437" s="93"/>
      <c r="W437" s="93"/>
      <c r="X437" s="2021"/>
      <c r="Y437" s="93"/>
      <c r="Z437" s="93"/>
    </row>
    <row r="438" spans="1:30" ht="30.5" x14ac:dyDescent="0.35">
      <c r="A438" s="693">
        <v>216</v>
      </c>
      <c r="B438" s="105" t="s">
        <v>41</v>
      </c>
      <c r="C438" s="105" t="s">
        <v>1656</v>
      </c>
      <c r="D438" s="2460" t="s">
        <v>4208</v>
      </c>
      <c r="E438" s="269" t="s">
        <v>9233</v>
      </c>
      <c r="F438" s="92" t="s">
        <v>664</v>
      </c>
      <c r="G438" s="92">
        <v>5</v>
      </c>
      <c r="H438" s="41">
        <v>6</v>
      </c>
      <c r="I438" s="702">
        <f>J438+K438+L438</f>
        <v>0.1</v>
      </c>
      <c r="J438" s="702">
        <f>SUM(M438:R438)</f>
        <v>0.1</v>
      </c>
      <c r="K438" s="93"/>
      <c r="L438" s="93"/>
      <c r="M438" s="577"/>
      <c r="N438" s="577"/>
      <c r="O438" s="577"/>
      <c r="P438" s="577"/>
      <c r="Q438" s="577"/>
      <c r="R438" s="2096">
        <v>0.1</v>
      </c>
      <c r="S438" s="113"/>
      <c r="T438" s="577"/>
      <c r="U438" s="93"/>
      <c r="V438" s="93"/>
      <c r="W438" s="93"/>
      <c r="X438" s="2021"/>
      <c r="Y438" s="93"/>
      <c r="Z438" s="93"/>
      <c r="AB438" s="3">
        <v>1</v>
      </c>
      <c r="AD438" s="2307"/>
    </row>
    <row r="439" spans="1:30" ht="30.5" x14ac:dyDescent="0.35">
      <c r="A439" s="693">
        <v>217</v>
      </c>
      <c r="B439" s="105" t="s">
        <v>41</v>
      </c>
      <c r="C439" s="105" t="s">
        <v>1656</v>
      </c>
      <c r="D439" s="2460" t="s">
        <v>4209</v>
      </c>
      <c r="E439" s="269" t="s">
        <v>8274</v>
      </c>
      <c r="F439" s="92" t="s">
        <v>664</v>
      </c>
      <c r="G439" s="92">
        <v>5</v>
      </c>
      <c r="H439" s="41">
        <v>6</v>
      </c>
      <c r="I439" s="702">
        <f>J439+K439+L439</f>
        <v>0.15</v>
      </c>
      <c r="J439" s="702">
        <f>SUM(M439:R439)</f>
        <v>0.15</v>
      </c>
      <c r="K439" s="93"/>
      <c r="L439" s="93"/>
      <c r="M439" s="577"/>
      <c r="N439" s="577"/>
      <c r="O439" s="577"/>
      <c r="P439" s="577"/>
      <c r="Q439" s="577"/>
      <c r="R439" s="2096">
        <v>0.15</v>
      </c>
      <c r="S439" s="113"/>
      <c r="T439" s="577"/>
      <c r="U439" s="93"/>
      <c r="V439" s="93"/>
      <c r="W439" s="93"/>
      <c r="X439" s="2021"/>
      <c r="Y439" s="93"/>
      <c r="Z439" s="93"/>
      <c r="AB439" s="3">
        <v>1</v>
      </c>
      <c r="AD439" s="2307"/>
    </row>
    <row r="440" spans="1:30" ht="30.5" x14ac:dyDescent="0.35">
      <c r="A440" s="693">
        <v>218</v>
      </c>
      <c r="B440" s="105" t="s">
        <v>41</v>
      </c>
      <c r="C440" s="105" t="s">
        <v>1656</v>
      </c>
      <c r="D440" s="2460" t="s">
        <v>4210</v>
      </c>
      <c r="E440" s="269" t="s">
        <v>8275</v>
      </c>
      <c r="F440" s="92" t="s">
        <v>664</v>
      </c>
      <c r="G440" s="92">
        <v>5</v>
      </c>
      <c r="H440" s="41">
        <v>6</v>
      </c>
      <c r="I440" s="702">
        <f>J440+K440+L440</f>
        <v>0.2</v>
      </c>
      <c r="J440" s="702">
        <f>SUM(M440:R440)</f>
        <v>0.2</v>
      </c>
      <c r="K440" s="93"/>
      <c r="L440" s="93"/>
      <c r="M440" s="577"/>
      <c r="N440" s="577"/>
      <c r="O440" s="577"/>
      <c r="P440" s="577"/>
      <c r="Q440" s="577"/>
      <c r="R440" s="2096">
        <v>0.2</v>
      </c>
      <c r="S440" s="113"/>
      <c r="T440" s="577"/>
      <c r="U440" s="93"/>
      <c r="V440" s="93"/>
      <c r="W440" s="93"/>
      <c r="X440" s="2021"/>
      <c r="Y440" s="93"/>
      <c r="Z440" s="93"/>
      <c r="AB440" s="3">
        <v>1</v>
      </c>
      <c r="AD440" s="2307"/>
    </row>
    <row r="441" spans="1:30" ht="45.5" x14ac:dyDescent="0.35">
      <c r="A441" s="693">
        <v>219</v>
      </c>
      <c r="B441" s="105">
        <v>10174</v>
      </c>
      <c r="C441" s="105" t="s">
        <v>1656</v>
      </c>
      <c r="D441" s="2460" t="s">
        <v>4126</v>
      </c>
      <c r="E441" s="269" t="s">
        <v>8276</v>
      </c>
      <c r="F441" s="92" t="s">
        <v>664</v>
      </c>
      <c r="G441" s="92">
        <v>5</v>
      </c>
      <c r="H441" s="41">
        <v>6</v>
      </c>
      <c r="I441" s="702">
        <f>J441+K441+L441</f>
        <v>0.5</v>
      </c>
      <c r="J441" s="702">
        <f>SUM(M441:R441)</f>
        <v>0.5</v>
      </c>
      <c r="K441" s="93"/>
      <c r="L441" s="93"/>
      <c r="M441" s="577"/>
      <c r="N441" s="577"/>
      <c r="O441" s="577"/>
      <c r="P441" s="577"/>
      <c r="Q441" s="577"/>
      <c r="R441" s="2096">
        <v>0.5</v>
      </c>
      <c r="S441" s="113"/>
      <c r="T441" s="577"/>
      <c r="U441" s="93"/>
      <c r="V441" s="93"/>
      <c r="W441" s="93"/>
      <c r="X441" s="2021"/>
      <c r="Y441" s="93"/>
      <c r="Z441" s="93"/>
      <c r="AB441" s="3">
        <v>1</v>
      </c>
      <c r="AD441" s="2307"/>
    </row>
    <row r="442" spans="1:30" ht="60.5" x14ac:dyDescent="0.35">
      <c r="A442" s="693">
        <v>220</v>
      </c>
      <c r="B442" s="105" t="s">
        <v>41</v>
      </c>
      <c r="C442" s="105" t="s">
        <v>1656</v>
      </c>
      <c r="D442" s="2460" t="s">
        <v>4146</v>
      </c>
      <c r="E442" s="269" t="s">
        <v>10373</v>
      </c>
      <c r="F442" s="92" t="s">
        <v>827</v>
      </c>
      <c r="G442" s="92">
        <v>5</v>
      </c>
      <c r="H442" s="2289">
        <v>10</v>
      </c>
      <c r="I442" s="702">
        <f>J442+K442+L442</f>
        <v>0.38600000000000001</v>
      </c>
      <c r="J442" s="702">
        <f>SUM(M442:R442)</f>
        <v>0.38600000000000001</v>
      </c>
      <c r="K442" s="93"/>
      <c r="L442" s="93"/>
      <c r="M442" s="577"/>
      <c r="N442" s="577">
        <v>0.38600000000000001</v>
      </c>
      <c r="O442" s="577"/>
      <c r="P442" s="577"/>
      <c r="Q442" s="577"/>
      <c r="R442" s="2096">
        <v>0</v>
      </c>
      <c r="S442" s="113"/>
      <c r="T442" s="577"/>
      <c r="U442" s="93"/>
      <c r="V442" s="93"/>
      <c r="W442" s="93"/>
      <c r="X442" s="2021"/>
      <c r="Y442" s="93"/>
      <c r="Z442" s="93"/>
      <c r="AB442" s="3">
        <v>1</v>
      </c>
      <c r="AD442" s="2307"/>
    </row>
    <row r="443" spans="1:30" x14ac:dyDescent="0.35">
      <c r="A443" s="406"/>
      <c r="B443" s="406"/>
      <c r="C443" s="406"/>
      <c r="D443" s="406"/>
      <c r="N443" s="84"/>
      <c r="O443" s="84"/>
      <c r="P443" s="84"/>
      <c r="Q443" s="84"/>
      <c r="R443" s="84"/>
      <c r="X443" s="2987"/>
    </row>
    <row r="444" spans="1:30" x14ac:dyDescent="0.35">
      <c r="A444" s="406"/>
      <c r="B444" s="406"/>
      <c r="C444" s="406"/>
      <c r="D444" s="406"/>
      <c r="N444" s="84"/>
      <c r="O444" s="84"/>
      <c r="P444" s="84"/>
      <c r="Q444" s="84"/>
      <c r="R444" s="84"/>
      <c r="X444" s="2987"/>
    </row>
    <row r="445" spans="1:30" x14ac:dyDescent="0.35">
      <c r="A445" s="406"/>
      <c r="B445" s="406"/>
      <c r="C445" s="406"/>
      <c r="D445" s="406"/>
      <c r="N445" s="84"/>
      <c r="O445" s="84"/>
      <c r="P445" s="84"/>
      <c r="Q445" s="84"/>
      <c r="R445" s="84"/>
      <c r="X445" s="2987"/>
    </row>
    <row r="446" spans="1:30" x14ac:dyDescent="0.35">
      <c r="A446" s="406"/>
      <c r="B446" s="406"/>
      <c r="C446" s="406"/>
      <c r="D446" s="406"/>
      <c r="N446" s="84"/>
      <c r="O446" s="84"/>
      <c r="P446" s="84"/>
      <c r="Q446" s="84"/>
      <c r="R446" s="84"/>
    </row>
    <row r="447" spans="1:30" x14ac:dyDescent="0.35">
      <c r="A447" s="406"/>
      <c r="B447" s="406"/>
      <c r="C447" s="406"/>
      <c r="D447" s="406"/>
      <c r="N447" s="84"/>
      <c r="O447" s="84"/>
      <c r="P447" s="84"/>
      <c r="Q447" s="84"/>
      <c r="R447" s="84"/>
    </row>
    <row r="448" spans="1:30" x14ac:dyDescent="0.35">
      <c r="N448" s="84"/>
      <c r="O448" s="84"/>
      <c r="P448" s="84"/>
      <c r="Q448" s="84"/>
      <c r="R448" s="84"/>
    </row>
    <row r="449" spans="14:18" x14ac:dyDescent="0.35">
      <c r="N449" s="84"/>
      <c r="O449" s="84"/>
      <c r="P449" s="84"/>
      <c r="Q449" s="84"/>
      <c r="R449" s="84"/>
    </row>
    <row r="450" spans="14:18" x14ac:dyDescent="0.35">
      <c r="N450" s="84"/>
      <c r="O450" s="84"/>
      <c r="P450" s="84"/>
      <c r="Q450" s="84"/>
      <c r="R450" s="84"/>
    </row>
    <row r="451" spans="14:18" x14ac:dyDescent="0.35">
      <c r="N451" s="84"/>
      <c r="O451" s="84"/>
      <c r="P451" s="84"/>
      <c r="Q451" s="84"/>
      <c r="R451" s="84"/>
    </row>
    <row r="452" spans="14:18" x14ac:dyDescent="0.35">
      <c r="N452" s="84"/>
      <c r="O452" s="84"/>
      <c r="P452" s="84"/>
      <c r="Q452" s="84"/>
      <c r="R452" s="84"/>
    </row>
    <row r="453" spans="14:18" x14ac:dyDescent="0.35">
      <c r="N453" s="84"/>
      <c r="O453" s="84"/>
      <c r="P453" s="84"/>
      <c r="Q453" s="84"/>
      <c r="R453" s="84"/>
    </row>
    <row r="454" spans="14:18" x14ac:dyDescent="0.35">
      <c r="N454" s="84"/>
      <c r="O454" s="84"/>
      <c r="P454" s="84"/>
      <c r="Q454" s="84"/>
      <c r="R454" s="84"/>
    </row>
    <row r="455" spans="14:18" x14ac:dyDescent="0.35">
      <c r="N455" s="84"/>
      <c r="O455" s="84"/>
      <c r="P455" s="84"/>
      <c r="Q455" s="84"/>
      <c r="R455" s="84"/>
    </row>
    <row r="456" spans="14:18" x14ac:dyDescent="0.35">
      <c r="N456" s="84"/>
      <c r="O456" s="84"/>
      <c r="P456" s="84"/>
      <c r="Q456" s="84"/>
      <c r="R456" s="84"/>
    </row>
    <row r="457" spans="14:18" x14ac:dyDescent="0.35">
      <c r="N457" s="84"/>
      <c r="O457" s="84"/>
      <c r="P457" s="84"/>
      <c r="Q457" s="84"/>
      <c r="R457" s="84"/>
    </row>
    <row r="458" spans="14:18" x14ac:dyDescent="0.35">
      <c r="N458" s="84"/>
      <c r="O458" s="84"/>
      <c r="P458" s="84"/>
      <c r="Q458" s="84"/>
      <c r="R458" s="84"/>
    </row>
    <row r="459" spans="14:18" x14ac:dyDescent="0.35">
      <c r="N459" s="84"/>
      <c r="O459" s="84"/>
      <c r="P459" s="84"/>
      <c r="Q459" s="84"/>
      <c r="R459" s="84"/>
    </row>
    <row r="460" spans="14:18" x14ac:dyDescent="0.35">
      <c r="N460" s="84"/>
      <c r="O460" s="84"/>
      <c r="P460" s="84"/>
      <c r="Q460" s="84"/>
      <c r="R460" s="84"/>
    </row>
    <row r="461" spans="14:18" x14ac:dyDescent="0.35">
      <c r="N461" s="84"/>
      <c r="O461" s="84"/>
      <c r="P461" s="84"/>
      <c r="Q461" s="84"/>
      <c r="R461" s="84"/>
    </row>
    <row r="462" spans="14:18" x14ac:dyDescent="0.35">
      <c r="N462" s="84"/>
      <c r="O462" s="84"/>
      <c r="P462" s="84"/>
      <c r="Q462" s="84"/>
      <c r="R462" s="84"/>
    </row>
    <row r="463" spans="14:18" x14ac:dyDescent="0.35">
      <c r="N463" s="84"/>
      <c r="O463" s="84"/>
      <c r="P463" s="84"/>
      <c r="Q463" s="84"/>
      <c r="R463" s="84"/>
    </row>
    <row r="464" spans="14:18" x14ac:dyDescent="0.35">
      <c r="N464" s="84"/>
      <c r="O464" s="84"/>
      <c r="P464" s="84"/>
      <c r="Q464" s="84"/>
      <c r="R464" s="84"/>
    </row>
    <row r="465" spans="14:18" x14ac:dyDescent="0.35">
      <c r="N465" s="84"/>
      <c r="O465" s="84"/>
      <c r="P465" s="84"/>
      <c r="Q465" s="84"/>
      <c r="R465" s="84"/>
    </row>
    <row r="466" spans="14:18" x14ac:dyDescent="0.35">
      <c r="N466" s="84"/>
      <c r="O466" s="84"/>
      <c r="P466" s="84"/>
      <c r="Q466" s="84"/>
      <c r="R466" s="84"/>
    </row>
    <row r="467" spans="14:18" x14ac:dyDescent="0.35">
      <c r="N467" s="84"/>
      <c r="O467" s="84"/>
      <c r="P467" s="84"/>
      <c r="Q467" s="84"/>
      <c r="R467" s="84"/>
    </row>
    <row r="468" spans="14:18" x14ac:dyDescent="0.35">
      <c r="N468" s="84"/>
      <c r="O468" s="84"/>
      <c r="P468" s="84"/>
      <c r="Q468" s="84"/>
      <c r="R468" s="84"/>
    </row>
    <row r="469" spans="14:18" x14ac:dyDescent="0.35">
      <c r="N469" s="84"/>
      <c r="O469" s="84"/>
      <c r="P469" s="84"/>
      <c r="Q469" s="84"/>
      <c r="R469" s="84"/>
    </row>
    <row r="470" spans="14:18" x14ac:dyDescent="0.35">
      <c r="N470" s="84"/>
      <c r="O470" s="84"/>
      <c r="P470" s="84"/>
      <c r="Q470" s="84"/>
      <c r="R470" s="84"/>
    </row>
    <row r="471" spans="14:18" x14ac:dyDescent="0.35">
      <c r="N471" s="84"/>
      <c r="O471" s="84"/>
      <c r="P471" s="84"/>
      <c r="Q471" s="84"/>
      <c r="R471" s="84"/>
    </row>
    <row r="472" spans="14:18" x14ac:dyDescent="0.35">
      <c r="N472" s="84"/>
      <c r="O472" s="84"/>
      <c r="P472" s="84"/>
      <c r="Q472" s="84"/>
      <c r="R472" s="84"/>
    </row>
    <row r="473" spans="14:18" x14ac:dyDescent="0.35">
      <c r="N473" s="84"/>
      <c r="O473" s="84"/>
      <c r="P473" s="84"/>
      <c r="Q473" s="84"/>
      <c r="R473" s="84"/>
    </row>
    <row r="474" spans="14:18" x14ac:dyDescent="0.35">
      <c r="N474" s="84"/>
      <c r="O474" s="84"/>
      <c r="P474" s="84"/>
      <c r="Q474" s="84"/>
      <c r="R474" s="84"/>
    </row>
    <row r="475" spans="14:18" x14ac:dyDescent="0.35">
      <c r="N475" s="84"/>
      <c r="O475" s="84"/>
      <c r="P475" s="84"/>
      <c r="Q475" s="84"/>
      <c r="R475" s="84"/>
    </row>
    <row r="476" spans="14:18" x14ac:dyDescent="0.35">
      <c r="N476" s="84"/>
      <c r="O476" s="84"/>
      <c r="P476" s="84"/>
      <c r="Q476" s="84"/>
      <c r="R476" s="84"/>
    </row>
    <row r="477" spans="14:18" x14ac:dyDescent="0.35">
      <c r="N477" s="84"/>
      <c r="O477" s="84"/>
      <c r="P477" s="84"/>
      <c r="Q477" s="84"/>
      <c r="R477" s="84"/>
    </row>
    <row r="478" spans="14:18" x14ac:dyDescent="0.35">
      <c r="N478" s="84"/>
      <c r="O478" s="84"/>
      <c r="P478" s="84"/>
      <c r="Q478" s="84"/>
      <c r="R478" s="84"/>
    </row>
    <row r="479" spans="14:18" x14ac:dyDescent="0.35">
      <c r="N479" s="84"/>
      <c r="O479" s="84"/>
      <c r="P479" s="84"/>
      <c r="Q479" s="84"/>
      <c r="R479" s="84"/>
    </row>
    <row r="480" spans="14:18" x14ac:dyDescent="0.35">
      <c r="N480" s="84"/>
      <c r="O480" s="84"/>
      <c r="P480" s="84"/>
      <c r="Q480" s="84"/>
      <c r="R480" s="84"/>
    </row>
    <row r="481" spans="14:18" x14ac:dyDescent="0.35">
      <c r="N481" s="84"/>
      <c r="O481" s="84"/>
      <c r="P481" s="84"/>
      <c r="Q481" s="84"/>
      <c r="R481" s="84"/>
    </row>
    <row r="482" spans="14:18" x14ac:dyDescent="0.35">
      <c r="N482" s="84"/>
      <c r="O482" s="84"/>
      <c r="P482" s="84"/>
      <c r="Q482" s="84"/>
      <c r="R482" s="84"/>
    </row>
    <row r="483" spans="14:18" x14ac:dyDescent="0.35">
      <c r="N483" s="84"/>
      <c r="O483" s="84"/>
      <c r="P483" s="84"/>
      <c r="Q483" s="84"/>
      <c r="R483" s="84"/>
    </row>
    <row r="484" spans="14:18" x14ac:dyDescent="0.35">
      <c r="N484" s="84"/>
      <c r="O484" s="84"/>
      <c r="P484" s="84"/>
      <c r="Q484" s="84"/>
      <c r="R484" s="84"/>
    </row>
    <row r="485" spans="14:18" x14ac:dyDescent="0.35">
      <c r="N485" s="84"/>
      <c r="O485" s="84"/>
      <c r="P485" s="84"/>
      <c r="Q485" s="84"/>
      <c r="R485" s="84"/>
    </row>
    <row r="486" spans="14:18" x14ac:dyDescent="0.35">
      <c r="N486" s="84"/>
      <c r="O486" s="84"/>
      <c r="P486" s="84"/>
      <c r="Q486" s="84"/>
      <c r="R486" s="84"/>
    </row>
    <row r="487" spans="14:18" x14ac:dyDescent="0.35">
      <c r="N487" s="84"/>
      <c r="O487" s="84"/>
      <c r="P487" s="84"/>
      <c r="Q487" s="84"/>
      <c r="R487" s="84"/>
    </row>
    <row r="488" spans="14:18" x14ac:dyDescent="0.35">
      <c r="N488" s="84"/>
      <c r="O488" s="84"/>
      <c r="P488" s="84"/>
      <c r="Q488" s="84"/>
      <c r="R488" s="84"/>
    </row>
    <row r="489" spans="14:18" x14ac:dyDescent="0.35">
      <c r="N489" s="84"/>
      <c r="O489" s="84"/>
      <c r="P489" s="84"/>
      <c r="Q489" s="84"/>
      <c r="R489" s="84"/>
    </row>
    <row r="490" spans="14:18" x14ac:dyDescent="0.35">
      <c r="N490" s="84"/>
      <c r="O490" s="84"/>
      <c r="P490" s="84"/>
      <c r="Q490" s="84"/>
      <c r="R490" s="84"/>
    </row>
    <row r="491" spans="14:18" x14ac:dyDescent="0.35">
      <c r="N491" s="84"/>
      <c r="O491" s="84"/>
      <c r="P491" s="84"/>
      <c r="Q491" s="84"/>
      <c r="R491" s="84"/>
    </row>
    <row r="492" spans="14:18" x14ac:dyDescent="0.35">
      <c r="N492" s="84"/>
      <c r="O492" s="84"/>
      <c r="P492" s="84"/>
      <c r="Q492" s="84"/>
      <c r="R492" s="84"/>
    </row>
    <row r="493" spans="14:18" x14ac:dyDescent="0.35">
      <c r="N493" s="84"/>
      <c r="O493" s="84"/>
      <c r="P493" s="84"/>
      <c r="Q493" s="84"/>
      <c r="R493" s="84"/>
    </row>
    <row r="494" spans="14:18" x14ac:dyDescent="0.35">
      <c r="N494" s="84"/>
      <c r="O494" s="84"/>
      <c r="P494" s="84"/>
      <c r="Q494" s="84"/>
      <c r="R494" s="84"/>
    </row>
    <row r="495" spans="14:18" x14ac:dyDescent="0.35">
      <c r="N495" s="84"/>
      <c r="O495" s="84"/>
      <c r="P495" s="84"/>
      <c r="Q495" s="84"/>
      <c r="R495" s="84"/>
    </row>
    <row r="496" spans="14:18" x14ac:dyDescent="0.35">
      <c r="N496" s="84"/>
      <c r="O496" s="84"/>
      <c r="P496" s="84"/>
      <c r="Q496" s="84"/>
      <c r="R496" s="84"/>
    </row>
    <row r="497" spans="14:18" x14ac:dyDescent="0.35">
      <c r="N497" s="84"/>
      <c r="O497" s="84"/>
      <c r="P497" s="84"/>
      <c r="Q497" s="84"/>
      <c r="R497" s="84"/>
    </row>
    <row r="498" spans="14:18" x14ac:dyDescent="0.35">
      <c r="N498" s="84"/>
      <c r="O498" s="84"/>
      <c r="P498" s="84"/>
      <c r="Q498" s="84"/>
      <c r="R498" s="84"/>
    </row>
    <row r="499" spans="14:18" x14ac:dyDescent="0.35">
      <c r="N499" s="84"/>
      <c r="O499" s="84"/>
      <c r="P499" s="84"/>
      <c r="Q499" s="84"/>
      <c r="R499" s="84"/>
    </row>
    <row r="500" spans="14:18" x14ac:dyDescent="0.35">
      <c r="N500" s="84"/>
      <c r="O500" s="84"/>
      <c r="P500" s="84"/>
      <c r="Q500" s="84"/>
      <c r="R500" s="84"/>
    </row>
    <row r="501" spans="14:18" x14ac:dyDescent="0.35">
      <c r="N501" s="84"/>
      <c r="O501" s="84"/>
      <c r="P501" s="84"/>
      <c r="Q501" s="84"/>
      <c r="R501" s="84"/>
    </row>
    <row r="502" spans="14:18" x14ac:dyDescent="0.35">
      <c r="N502" s="84"/>
      <c r="O502" s="84"/>
      <c r="P502" s="84"/>
      <c r="Q502" s="84"/>
      <c r="R502" s="84"/>
    </row>
    <row r="503" spans="14:18" x14ac:dyDescent="0.35">
      <c r="N503" s="84"/>
      <c r="O503" s="84"/>
      <c r="P503" s="84"/>
      <c r="Q503" s="84"/>
      <c r="R503" s="84"/>
    </row>
    <row r="504" spans="14:18" x14ac:dyDescent="0.35">
      <c r="N504" s="84"/>
      <c r="O504" s="84"/>
      <c r="P504" s="84"/>
      <c r="Q504" s="84"/>
      <c r="R504" s="84"/>
    </row>
    <row r="505" spans="14:18" x14ac:dyDescent="0.35">
      <c r="N505" s="84"/>
      <c r="O505" s="84"/>
      <c r="P505" s="84"/>
      <c r="Q505" s="84"/>
      <c r="R505" s="84"/>
    </row>
    <row r="506" spans="14:18" x14ac:dyDescent="0.35">
      <c r="N506" s="84"/>
      <c r="O506" s="84"/>
      <c r="P506" s="84"/>
      <c r="Q506" s="84"/>
      <c r="R506" s="84"/>
    </row>
    <row r="507" spans="14:18" x14ac:dyDescent="0.35">
      <c r="N507" s="84"/>
      <c r="O507" s="84"/>
      <c r="P507" s="84"/>
      <c r="Q507" s="84"/>
      <c r="R507" s="84"/>
    </row>
    <row r="508" spans="14:18" x14ac:dyDescent="0.35">
      <c r="N508" s="84"/>
      <c r="O508" s="84"/>
      <c r="P508" s="84"/>
      <c r="Q508" s="84"/>
      <c r="R508" s="84"/>
    </row>
    <row r="509" spans="14:18" x14ac:dyDescent="0.35">
      <c r="N509" s="84"/>
      <c r="O509" s="84"/>
      <c r="P509" s="84"/>
      <c r="Q509" s="84"/>
      <c r="R509" s="84"/>
    </row>
    <row r="510" spans="14:18" x14ac:dyDescent="0.35">
      <c r="N510" s="84"/>
      <c r="O510" s="84"/>
      <c r="P510" s="84"/>
      <c r="Q510" s="84"/>
      <c r="R510" s="84"/>
    </row>
    <row r="511" spans="14:18" x14ac:dyDescent="0.35">
      <c r="N511" s="84"/>
      <c r="O511" s="84"/>
      <c r="P511" s="84"/>
      <c r="Q511" s="84"/>
      <c r="R511" s="84"/>
    </row>
    <row r="512" spans="14:18" x14ac:dyDescent="0.35">
      <c r="N512" s="84"/>
      <c r="O512" s="84"/>
      <c r="P512" s="84"/>
      <c r="Q512" s="84"/>
      <c r="R512" s="84"/>
    </row>
    <row r="513" spans="14:18" x14ac:dyDescent="0.35">
      <c r="N513" s="84"/>
      <c r="O513" s="84"/>
      <c r="P513" s="84"/>
      <c r="Q513" s="84"/>
      <c r="R513" s="84"/>
    </row>
    <row r="514" spans="14:18" x14ac:dyDescent="0.35">
      <c r="N514" s="84"/>
      <c r="O514" s="84"/>
      <c r="P514" s="84"/>
      <c r="Q514" s="84"/>
      <c r="R514" s="84"/>
    </row>
    <row r="515" spans="14:18" x14ac:dyDescent="0.35">
      <c r="N515" s="84"/>
      <c r="O515" s="84"/>
      <c r="P515" s="84"/>
      <c r="Q515" s="84"/>
      <c r="R515" s="84"/>
    </row>
    <row r="516" spans="14:18" x14ac:dyDescent="0.35">
      <c r="N516" s="84"/>
      <c r="O516" s="84"/>
      <c r="P516" s="84"/>
      <c r="Q516" s="84"/>
      <c r="R516" s="84"/>
    </row>
    <row r="517" spans="14:18" x14ac:dyDescent="0.35">
      <c r="N517" s="84"/>
      <c r="O517" s="84"/>
      <c r="P517" s="84"/>
      <c r="Q517" s="84"/>
      <c r="R517" s="84"/>
    </row>
    <row r="518" spans="14:18" x14ac:dyDescent="0.35">
      <c r="N518" s="84"/>
      <c r="O518" s="84"/>
      <c r="P518" s="84"/>
      <c r="Q518" s="84"/>
      <c r="R518" s="84"/>
    </row>
    <row r="519" spans="14:18" x14ac:dyDescent="0.35">
      <c r="N519" s="84"/>
      <c r="O519" s="84"/>
      <c r="P519" s="84"/>
      <c r="Q519" s="84"/>
      <c r="R519" s="84"/>
    </row>
    <row r="520" spans="14:18" x14ac:dyDescent="0.35">
      <c r="N520" s="84"/>
      <c r="O520" s="84"/>
      <c r="P520" s="84"/>
      <c r="Q520" s="84"/>
      <c r="R520" s="84"/>
    </row>
    <row r="521" spans="14:18" x14ac:dyDescent="0.35">
      <c r="N521" s="84"/>
      <c r="O521" s="84"/>
      <c r="P521" s="84"/>
      <c r="Q521" s="84"/>
      <c r="R521" s="84"/>
    </row>
    <row r="522" spans="14:18" x14ac:dyDescent="0.35">
      <c r="N522" s="84"/>
      <c r="O522" s="84"/>
      <c r="P522" s="84"/>
      <c r="Q522" s="84"/>
      <c r="R522" s="84"/>
    </row>
    <row r="523" spans="14:18" x14ac:dyDescent="0.35">
      <c r="N523" s="84"/>
      <c r="O523" s="84"/>
      <c r="P523" s="84"/>
      <c r="Q523" s="84"/>
      <c r="R523" s="84"/>
    </row>
    <row r="524" spans="14:18" x14ac:dyDescent="0.35">
      <c r="N524" s="84"/>
      <c r="O524" s="84"/>
      <c r="P524" s="84"/>
      <c r="Q524" s="84"/>
      <c r="R524" s="84"/>
    </row>
    <row r="525" spans="14:18" x14ac:dyDescent="0.35">
      <c r="N525" s="84"/>
      <c r="O525" s="84"/>
      <c r="P525" s="84"/>
      <c r="Q525" s="84"/>
      <c r="R525" s="84"/>
    </row>
    <row r="526" spans="14:18" x14ac:dyDescent="0.35">
      <c r="N526" s="84"/>
      <c r="O526" s="84"/>
      <c r="P526" s="84"/>
      <c r="Q526" s="84"/>
      <c r="R526" s="84"/>
    </row>
    <row r="527" spans="14:18" x14ac:dyDescent="0.35">
      <c r="N527" s="84"/>
      <c r="O527" s="84"/>
      <c r="P527" s="84"/>
      <c r="Q527" s="84"/>
      <c r="R527" s="84"/>
    </row>
    <row r="528" spans="14:18" x14ac:dyDescent="0.35">
      <c r="N528" s="84"/>
      <c r="O528" s="84"/>
      <c r="P528" s="84"/>
      <c r="Q528" s="84"/>
      <c r="R528" s="84"/>
    </row>
    <row r="529" spans="14:18" x14ac:dyDescent="0.35">
      <c r="N529" s="84"/>
      <c r="O529" s="84"/>
      <c r="P529" s="84"/>
      <c r="Q529" s="84"/>
      <c r="R529" s="84"/>
    </row>
    <row r="530" spans="14:18" x14ac:dyDescent="0.35">
      <c r="N530" s="84"/>
      <c r="O530" s="84"/>
      <c r="P530" s="84"/>
      <c r="Q530" s="84"/>
      <c r="R530" s="84"/>
    </row>
    <row r="531" spans="14:18" x14ac:dyDescent="0.35">
      <c r="N531" s="84"/>
      <c r="O531" s="84"/>
      <c r="P531" s="84"/>
      <c r="Q531" s="84"/>
      <c r="R531" s="84"/>
    </row>
  </sheetData>
  <autoFilter ref="A29:AB442"/>
  <mergeCells count="35">
    <mergeCell ref="A2:Z2"/>
    <mergeCell ref="A3:Z3"/>
    <mergeCell ref="A5:A8"/>
    <mergeCell ref="D5:D8"/>
    <mergeCell ref="E5:E8"/>
    <mergeCell ref="B5:B8"/>
    <mergeCell ref="V7:V8"/>
    <mergeCell ref="Y6:Z6"/>
    <mergeCell ref="H5:H8"/>
    <mergeCell ref="T7:T8"/>
    <mergeCell ref="W7:W8"/>
    <mergeCell ref="X7:X8"/>
    <mergeCell ref="I6:I8"/>
    <mergeCell ref="N6:N8"/>
    <mergeCell ref="J6:J8"/>
    <mergeCell ref="K6:K8"/>
    <mergeCell ref="Z7:Z8"/>
    <mergeCell ref="Y7:Y8"/>
    <mergeCell ref="W5:Z5"/>
    <mergeCell ref="S5:V5"/>
    <mergeCell ref="U6:V6"/>
    <mergeCell ref="S7:S8"/>
    <mergeCell ref="W6:X6"/>
    <mergeCell ref="U7:U8"/>
    <mergeCell ref="P6:P8"/>
    <mergeCell ref="Q6:Q8"/>
    <mergeCell ref="S6:T6"/>
    <mergeCell ref="F5:F8"/>
    <mergeCell ref="G5:G8"/>
    <mergeCell ref="I5:L5"/>
    <mergeCell ref="M5:R5"/>
    <mergeCell ref="L6:L8"/>
    <mergeCell ref="M6:M8"/>
    <mergeCell ref="O6:O8"/>
    <mergeCell ref="R6:R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Roman,обычный"&amp;10Быховское ДРСУ-196&amp;R&amp;"Times New Roman,обычный"&amp;10&amp;P</oddFooter>
  </headerFooter>
  <rowBreaks count="7" manualBreakCount="7">
    <brk id="74" max="24" man="1"/>
    <brk id="107" max="24" man="1"/>
    <brk id="172" max="24" man="1"/>
    <brk id="212" max="24" man="1"/>
    <brk id="249" max="24" man="1"/>
    <brk id="288" max="24" man="1"/>
    <brk id="434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M427"/>
  <sheetViews>
    <sheetView zoomScale="90" zoomScaleNormal="90"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RowHeight="12.5" x14ac:dyDescent="0.25"/>
  <cols>
    <col min="1" max="1" width="4.4140625" customWidth="1"/>
    <col min="2" max="3" width="7.33203125" hidden="1" customWidth="1"/>
    <col min="4" max="4" width="7.33203125" customWidth="1"/>
    <col min="5" max="5" width="43.4140625" customWidth="1"/>
    <col min="6" max="6" width="6.75" customWidth="1"/>
    <col min="7" max="8" width="7.25" customWidth="1"/>
    <col min="9" max="9" width="7.08203125" customWidth="1"/>
    <col min="10" max="10" width="7.25" customWidth="1"/>
    <col min="11" max="12" width="6.6640625" customWidth="1"/>
    <col min="13" max="13" width="6.58203125" customWidth="1"/>
    <col min="14" max="14" width="7.25" customWidth="1"/>
    <col min="15" max="15" width="6.75" customWidth="1"/>
    <col min="16" max="16" width="6.6640625" customWidth="1"/>
    <col min="17" max="17" width="7.4140625" customWidth="1"/>
    <col min="18" max="18" width="6.75" customWidth="1"/>
    <col min="19" max="19" width="4.4140625" customWidth="1"/>
    <col min="20" max="20" width="6.33203125" customWidth="1"/>
    <col min="21" max="21" width="4.58203125" customWidth="1"/>
    <col min="22" max="22" width="5.58203125" customWidth="1"/>
    <col min="23" max="23" width="4.4140625" customWidth="1"/>
    <col min="24" max="24" width="7.6640625" customWidth="1"/>
    <col min="25" max="25" width="4.33203125" style="43" customWidth="1"/>
    <col min="26" max="26" width="7.6640625" style="43" customWidth="1"/>
    <col min="37" max="37" width="23" customWidth="1"/>
    <col min="38" max="38" width="10.33203125" bestFit="1" customWidth="1"/>
  </cols>
  <sheetData>
    <row r="1" spans="1:39" ht="15.5" x14ac:dyDescent="0.35">
      <c r="A1" s="1"/>
      <c r="B1" s="1"/>
      <c r="C1" s="1"/>
      <c r="D1" s="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4"/>
      <c r="Z1" s="4"/>
    </row>
    <row r="2" spans="1:39" ht="20" x14ac:dyDescent="0.25">
      <c r="A2" s="3117" t="s">
        <v>10619</v>
      </c>
      <c r="B2" s="3117"/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</row>
    <row r="3" spans="1:39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150"/>
      <c r="B4" s="150"/>
      <c r="C4" s="150"/>
      <c r="D4" s="1606"/>
      <c r="E4" s="1681"/>
      <c r="F4" s="150"/>
      <c r="G4" s="150"/>
      <c r="H4" s="150"/>
      <c r="I4" s="150"/>
      <c r="J4" s="1863"/>
      <c r="K4" s="150"/>
      <c r="L4" s="150"/>
      <c r="M4" s="150"/>
      <c r="N4" s="150"/>
      <c r="O4" s="2302"/>
      <c r="P4" s="2302"/>
      <c r="Q4" s="1864"/>
      <c r="R4" s="150"/>
      <c r="S4" s="150"/>
      <c r="T4" s="150"/>
      <c r="U4" s="150"/>
      <c r="V4" s="150"/>
      <c r="W4" s="150"/>
      <c r="X4" s="150"/>
      <c r="Y4" s="1606"/>
      <c r="Z4" s="1606"/>
    </row>
    <row r="5" spans="1:39" ht="15.75" customHeight="1" x14ac:dyDescent="0.3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  <c r="AA5" s="2252"/>
    </row>
    <row r="6" spans="1:39" ht="33" customHeight="1" x14ac:dyDescent="0.2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  <c r="AA6" s="2252"/>
    </row>
    <row r="7" spans="1:39" ht="15.75" customHeight="1" x14ac:dyDescent="0.2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  <c r="AA7" s="2252"/>
    </row>
    <row r="8" spans="1:39" ht="15.5" thickBot="1" x14ac:dyDescent="0.3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  <c r="AA8" s="2252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  <c r="AA9" s="2253"/>
    </row>
    <row r="10" spans="1:39" ht="15.5" thickBot="1" x14ac:dyDescent="0.35">
      <c r="A10" s="450"/>
      <c r="B10" s="995"/>
      <c r="C10" s="995"/>
      <c r="D10" s="462"/>
      <c r="E10" s="839" t="s">
        <v>2392</v>
      </c>
      <c r="F10" s="451"/>
      <c r="G10" s="451"/>
      <c r="H10" s="451"/>
      <c r="I10" s="845">
        <f t="shared" ref="I10:I20" si="0">J10+K10+L10</f>
        <v>414.43900000000002</v>
      </c>
      <c r="J10" s="845">
        <f>M10+N10+O10+P10+Q10+R10</f>
        <v>403.42400000000004</v>
      </c>
      <c r="K10" s="845">
        <f t="shared" ref="K10:R10" si="1">K11+K12+K13+K14</f>
        <v>1.7050000000000001</v>
      </c>
      <c r="L10" s="845">
        <f t="shared" si="1"/>
        <v>9.31</v>
      </c>
      <c r="M10" s="974">
        <f t="shared" si="1"/>
        <v>0.08</v>
      </c>
      <c r="N10" s="845">
        <f t="shared" si="1"/>
        <v>210.02600000000001</v>
      </c>
      <c r="O10" s="849">
        <f t="shared" si="1"/>
        <v>2.9</v>
      </c>
      <c r="P10" s="845">
        <f t="shared" si="1"/>
        <v>0</v>
      </c>
      <c r="Q10" s="858">
        <f t="shared" si="1"/>
        <v>158.73400000000001</v>
      </c>
      <c r="R10" s="868">
        <f t="shared" si="1"/>
        <v>31.684000000000005</v>
      </c>
      <c r="S10" s="846">
        <f t="shared" ref="S10:Z10" si="2">SUM(S30:S944)</f>
        <v>17</v>
      </c>
      <c r="T10" s="847">
        <f t="shared" si="2"/>
        <v>527.23</v>
      </c>
      <c r="U10" s="846">
        <f t="shared" si="2"/>
        <v>0</v>
      </c>
      <c r="V10" s="847">
        <f t="shared" si="2"/>
        <v>0</v>
      </c>
      <c r="W10" s="846">
        <f t="shared" si="2"/>
        <v>429</v>
      </c>
      <c r="X10" s="847">
        <f t="shared" si="2"/>
        <v>5507.3499950408932</v>
      </c>
      <c r="Y10" s="846">
        <f t="shared" si="2"/>
        <v>107</v>
      </c>
      <c r="Z10" s="1669">
        <f t="shared" si="2"/>
        <v>1184.3199999999997</v>
      </c>
      <c r="AA10" s="2254"/>
      <c r="AB10" s="1268">
        <f>SUM(AB30:AB947)</f>
        <v>120</v>
      </c>
      <c r="AK10" s="2150" t="s">
        <v>11226</v>
      </c>
      <c r="AL10" s="43"/>
      <c r="AM10" s="2812" t="s">
        <v>11227</v>
      </c>
    </row>
    <row r="11" spans="1:39" ht="15" x14ac:dyDescent="0.3">
      <c r="A11" s="445"/>
      <c r="B11" s="1028"/>
      <c r="C11" s="1028"/>
      <c r="D11" s="528"/>
      <c r="E11" s="1264" t="s">
        <v>909</v>
      </c>
      <c r="F11" s="1245">
        <v>3</v>
      </c>
      <c r="G11" s="1245"/>
      <c r="H11" s="1658"/>
      <c r="I11" s="1339">
        <f t="shared" si="0"/>
        <v>0</v>
      </c>
      <c r="J11" s="1340">
        <f t="shared" ref="J11:J20" si="3">R11+Q11+P11+O11+N11+M11</f>
        <v>0</v>
      </c>
      <c r="K11" s="1340">
        <f>SUMIF(F30:F847,3,K30:K847)</f>
        <v>0</v>
      </c>
      <c r="L11" s="1340">
        <f>SUMIF(F30:F847,3,L30:L847)</f>
        <v>0</v>
      </c>
      <c r="M11" s="1333">
        <f>SUMIF(F30:F847,3,M30:M847)</f>
        <v>0</v>
      </c>
      <c r="N11" s="1340">
        <f>SUMIF(F30:F847,3,N30:N847)</f>
        <v>0</v>
      </c>
      <c r="O11" s="1341">
        <f>SUMIF(F30:F847,3,O30:O847)</f>
        <v>0</v>
      </c>
      <c r="P11" s="1340">
        <f>SUMIF(F30:F847,3,P30:P847)</f>
        <v>0</v>
      </c>
      <c r="Q11" s="1337">
        <f>SUMIF(F30:F847,3,Q30:Q847)</f>
        <v>0</v>
      </c>
      <c r="R11" s="1338">
        <f>SUMIF(F30:F847,3,R30:R847)</f>
        <v>0</v>
      </c>
      <c r="S11" s="1742"/>
      <c r="T11" s="1742"/>
      <c r="U11" s="1743"/>
      <c r="V11" s="1743"/>
      <c r="W11" s="529"/>
      <c r="X11" s="530"/>
      <c r="Y11" s="559"/>
      <c r="Z11" s="1682"/>
      <c r="AA11" s="2255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ht="15.5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342">
        <f t="shared" si="0"/>
        <v>323.12400000000002</v>
      </c>
      <c r="J12" s="1281">
        <f t="shared" si="3"/>
        <v>312.79900000000004</v>
      </c>
      <c r="K12" s="1281">
        <f>SUMIF(F30:F847,4,K30:K847)</f>
        <v>1.7050000000000001</v>
      </c>
      <c r="L12" s="1281">
        <f>SUMIF(F30:F847,4,L30:L847)</f>
        <v>8.620000000000001</v>
      </c>
      <c r="M12" s="1345">
        <f>SUMIF(F30:F847,4,M30:M847)</f>
        <v>0</v>
      </c>
      <c r="N12" s="1281">
        <f>SUMIF(F30:F847,4,N30:N847)</f>
        <v>176.22400000000002</v>
      </c>
      <c r="O12" s="1282">
        <f>SUMIF(F30:F847,4,O30:O847)</f>
        <v>2.9</v>
      </c>
      <c r="P12" s="1281">
        <f>SUMIF(F30:F847,4,P30:P847)</f>
        <v>0</v>
      </c>
      <c r="Q12" s="1283">
        <f>SUMIF(F30:F847,4,Q30:Q847)</f>
        <v>133.67500000000001</v>
      </c>
      <c r="R12" s="1284">
        <f>SUMIF(F30:F847,4,R30:R847)</f>
        <v>0</v>
      </c>
      <c r="S12" s="1744"/>
      <c r="T12" s="1744"/>
      <c r="U12" s="1745"/>
      <c r="V12" s="1745"/>
      <c r="W12" s="286"/>
      <c r="X12" s="280"/>
      <c r="Y12" s="96"/>
      <c r="Z12" s="1683"/>
      <c r="AA12" s="2255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ht="15" x14ac:dyDescent="0.3">
      <c r="A13" s="285"/>
      <c r="B13" s="993"/>
      <c r="C13" s="993"/>
      <c r="D13" s="274"/>
      <c r="E13" s="640"/>
      <c r="F13" s="1249">
        <v>5</v>
      </c>
      <c r="G13" s="1249"/>
      <c r="H13" s="1249"/>
      <c r="I13" s="1342">
        <f t="shared" si="0"/>
        <v>63.143000000000001</v>
      </c>
      <c r="J13" s="1281">
        <f t="shared" si="3"/>
        <v>63.143000000000001</v>
      </c>
      <c r="K13" s="1281">
        <f>SUMIF(F30:F847,5,K30:K847)</f>
        <v>0</v>
      </c>
      <c r="L13" s="1281">
        <f>SUMIF(F30:F847,5,L30:L847)</f>
        <v>0</v>
      </c>
      <c r="M13" s="1345">
        <f>SUMIF(F30:F847,5,M30:M847)</f>
        <v>0.08</v>
      </c>
      <c r="N13" s="1281">
        <f>SUMIF(F30:F847,5,N30:N847)</f>
        <v>27.19</v>
      </c>
      <c r="O13" s="1282">
        <f>SUMIF(F30:F847,5,O30:O847)</f>
        <v>0</v>
      </c>
      <c r="P13" s="1281">
        <f>SUMIF(F30:F847,5,P30:P847)</f>
        <v>0</v>
      </c>
      <c r="Q13" s="1283">
        <f>SUMIF(F30:F847,5,Q30:Q847)</f>
        <v>22.988999999999997</v>
      </c>
      <c r="R13" s="1284">
        <f>SUMIF(F30:F847,5,R30:R847)</f>
        <v>12.884</v>
      </c>
      <c r="S13" s="1744"/>
      <c r="T13" s="1744"/>
      <c r="U13" s="1745"/>
      <c r="V13" s="1745"/>
      <c r="W13" s="286"/>
      <c r="X13" s="280"/>
      <c r="Y13" s="96"/>
      <c r="Z13" s="1683"/>
      <c r="AA13" s="2255"/>
      <c r="AD13" s="2777" t="s">
        <v>11126</v>
      </c>
      <c r="AE13" s="2776"/>
      <c r="AF13" s="2778">
        <v>79</v>
      </c>
      <c r="AG13" s="2783">
        <f>M12+N12+O12</f>
        <v>179.12400000000002</v>
      </c>
      <c r="AH13" s="2783">
        <f>M13+N13+O13</f>
        <v>27.27</v>
      </c>
      <c r="AI13" s="2784">
        <f>M14+N14+O14</f>
        <v>6.6119999999999992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ht="15.5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>J14+K14+L14</f>
        <v>28.172000000000004</v>
      </c>
      <c r="J14" s="1250">
        <f>R14+Q14+P14+O14+N14+M14</f>
        <v>27.482000000000003</v>
      </c>
      <c r="K14" s="1250">
        <f>K15+K16+K17</f>
        <v>0</v>
      </c>
      <c r="L14" s="1250">
        <f>L15+L16+L17</f>
        <v>0.69</v>
      </c>
      <c r="M14" s="1333">
        <f t="shared" ref="M14:R14" si="4">M15+M16+M17</f>
        <v>0</v>
      </c>
      <c r="N14" s="1250">
        <f t="shared" si="4"/>
        <v>6.6119999999999992</v>
      </c>
      <c r="O14" s="1251">
        <f t="shared" si="4"/>
        <v>0</v>
      </c>
      <c r="P14" s="1317">
        <f t="shared" si="4"/>
        <v>0</v>
      </c>
      <c r="Q14" s="1252">
        <f t="shared" si="4"/>
        <v>2.0699999999999998</v>
      </c>
      <c r="R14" s="1256">
        <f t="shared" si="4"/>
        <v>18.800000000000004</v>
      </c>
      <c r="S14" s="1744"/>
      <c r="T14" s="1744"/>
      <c r="U14" s="1745"/>
      <c r="V14" s="1745"/>
      <c r="W14" s="286"/>
      <c r="X14" s="280"/>
      <c r="Y14" s="96"/>
      <c r="Z14" s="1683"/>
      <c r="AA14" s="2255"/>
      <c r="AD14" s="2777" t="s">
        <v>11127</v>
      </c>
      <c r="AE14" s="2776"/>
      <c r="AF14" s="2778">
        <v>80</v>
      </c>
      <c r="AG14" s="2785">
        <f>P12+Q12</f>
        <v>133.67500000000001</v>
      </c>
      <c r="AH14" s="2785">
        <f>P13+Q13</f>
        <v>22.988999999999997</v>
      </c>
      <c r="AI14" s="2786">
        <f>P14+Q14</f>
        <v>2.0699999999999998</v>
      </c>
      <c r="AK14" s="2815" t="s">
        <v>11230</v>
      </c>
      <c r="AL14" s="2579">
        <f>SUMIFS(M30:M950,F30:F950,4,G30:G950,3)</f>
        <v>0</v>
      </c>
      <c r="AM14" s="2817"/>
    </row>
    <row r="15" spans="1:39" ht="15.5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>J15+K15+L15</f>
        <v>2.827</v>
      </c>
      <c r="J15" s="1318">
        <f>R15+Q15+P15+O15+N15+M15</f>
        <v>2.827</v>
      </c>
      <c r="K15" s="1318">
        <f>SUMIF(F30:F936,"=6а",K30:K936)</f>
        <v>0</v>
      </c>
      <c r="L15" s="1318">
        <f>SUMIF(F30:F936,"=6а",L30:L936)</f>
        <v>0</v>
      </c>
      <c r="M15" s="2317">
        <f>SUMIF(F30:F936,"=6а",M30:M936)</f>
        <v>0</v>
      </c>
      <c r="N15" s="1318">
        <f>SUMIF(F30:F936,"=6а",N30:N936)</f>
        <v>1.6170000000000002</v>
      </c>
      <c r="O15" s="1319">
        <f>SUMIF(F30:F936,"=6а",O30:O936)</f>
        <v>0</v>
      </c>
      <c r="P15" s="1320">
        <f>SUMIF(F30:F936,"=6а",P30:P936)</f>
        <v>0</v>
      </c>
      <c r="Q15" s="1321">
        <f>SUMIF(F30:F936,"=6а",Q30:Q936)</f>
        <v>1.21</v>
      </c>
      <c r="R15" s="1322">
        <f>SUMIF(F30:F936,"=6а",R30:R936)</f>
        <v>0</v>
      </c>
      <c r="S15" s="1745"/>
      <c r="T15" s="1746"/>
      <c r="U15" s="1745"/>
      <c r="V15" s="1745"/>
      <c r="W15" s="286"/>
      <c r="X15" s="280"/>
      <c r="Y15" s="96"/>
      <c r="Z15" s="1683"/>
      <c r="AA15" s="2255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12.884</v>
      </c>
      <c r="AI15" s="2788">
        <f>R14</f>
        <v>18.800000000000004</v>
      </c>
      <c r="AK15" s="2815" t="s">
        <v>11231</v>
      </c>
      <c r="AL15" s="2579">
        <f>SUMIFS(N30:N950,F30:F950,4,G30:G950,3)</f>
        <v>0</v>
      </c>
      <c r="AM15" s="2817"/>
    </row>
    <row r="16" spans="1:39" ht="15.5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>J16+K16+L16</f>
        <v>6.9699999999999989</v>
      </c>
      <c r="J16" s="1318">
        <f>R16+Q16+P16+O16+N16+M16</f>
        <v>6.2799999999999994</v>
      </c>
      <c r="K16" s="1318">
        <f>SUMIF(F30:F937,"=6б",K30:K937)</f>
        <v>0</v>
      </c>
      <c r="L16" s="1318">
        <f>SUMIF(F30:F937,"=6б",L30:L937)</f>
        <v>0.69</v>
      </c>
      <c r="M16" s="2317">
        <f>SUMIF(F30:F937,"=6б",M30:M937)</f>
        <v>0</v>
      </c>
      <c r="N16" s="1318">
        <f>SUMIF(F30:F937,"=6б",N30:N937)</f>
        <v>4.4499999999999993</v>
      </c>
      <c r="O16" s="1319">
        <f>SUMIF(F30:F937,"=6б",O30:O937)</f>
        <v>0</v>
      </c>
      <c r="P16" s="1320">
        <f>SUMIF(F30:F937,"=6б",P30:P937)</f>
        <v>0</v>
      </c>
      <c r="Q16" s="1321">
        <f>SUMIF(F30:F937,"=6б",Q30:Q937)</f>
        <v>0.15999999999999992</v>
      </c>
      <c r="R16" s="1322">
        <f>SUMIF(F30:F937,"=6б",R30:R937)</f>
        <v>1.67</v>
      </c>
      <c r="S16" s="1745"/>
      <c r="T16" s="1746"/>
      <c r="U16" s="1745"/>
      <c r="V16" s="1745"/>
      <c r="W16" s="286"/>
      <c r="X16" s="280"/>
      <c r="Y16" s="96"/>
      <c r="Z16" s="1683"/>
      <c r="AA16" s="2255"/>
      <c r="AK16" s="2815" t="s">
        <v>11232</v>
      </c>
      <c r="AL16" s="2579">
        <f>SUMIFS(O30:O950,F30:F950,4,G30:G950,3)</f>
        <v>0</v>
      </c>
      <c r="AM16" s="2817"/>
    </row>
    <row r="17" spans="1:39" ht="15.5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72">
        <f>J17+K17+L17</f>
        <v>18.375000000000004</v>
      </c>
      <c r="J17" s="2272">
        <f>R17+Q17+P17+O17+N17+M17</f>
        <v>18.375000000000004</v>
      </c>
      <c r="K17" s="2272">
        <f>SUMIF(F30:F938,"=б/к",K30:K938)</f>
        <v>0</v>
      </c>
      <c r="L17" s="2272">
        <f>SUMIF(F30:F938,"=б/к",L30:L938)</f>
        <v>0</v>
      </c>
      <c r="M17" s="2318">
        <f>SUMIF(F30:F938,"=б/к",M30:M938)</f>
        <v>0</v>
      </c>
      <c r="N17" s="2272">
        <f>SUMIF(F30:F938,"=б/к",N30:N938)</f>
        <v>0.54500000000000004</v>
      </c>
      <c r="O17" s="2272">
        <f>SUMIF(F30:F938,"=б/к",O30:O938)</f>
        <v>0</v>
      </c>
      <c r="P17" s="2272">
        <f>SUMIF(F30:F938,"=б/к",P30:P938)</f>
        <v>0</v>
      </c>
      <c r="Q17" s="2273">
        <f>SUMIF(F30:F938,"=б/к",Q30:Q938)</f>
        <v>0.7</v>
      </c>
      <c r="R17" s="2274">
        <f>SUMIF(F30:F938,"=б/к",R30:R938)</f>
        <v>17.130000000000003</v>
      </c>
      <c r="S17" s="1745"/>
      <c r="T17" s="1746"/>
      <c r="U17" s="1745"/>
      <c r="V17" s="1745"/>
      <c r="W17" s="286"/>
      <c r="X17" s="280"/>
      <c r="Y17" s="96"/>
      <c r="Z17" s="1683"/>
      <c r="AA17" s="2255"/>
      <c r="AK17" s="2815" t="s">
        <v>11233</v>
      </c>
      <c r="AL17" s="2579">
        <f>SUMIFS(P30:P950,F30:F950,4,G30:G950,3)+SUMIFS(Q30:Q950,F30:F950,4,G30:G950,3)</f>
        <v>0</v>
      </c>
      <c r="AM17" s="2817"/>
    </row>
    <row r="18" spans="1:39" ht="15.5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343">
        <f t="shared" si="0"/>
        <v>0</v>
      </c>
      <c r="J18" s="1286">
        <f t="shared" si="3"/>
        <v>0</v>
      </c>
      <c r="K18" s="1286">
        <f>SUMIF(G30:G847,3,K30:K847)</f>
        <v>0</v>
      </c>
      <c r="L18" s="1286">
        <f>SUMIF(G30:G847,3,L30:L847)</f>
        <v>0</v>
      </c>
      <c r="M18" s="1346">
        <f>SUMIF(G30:G847,3,M30:M847)</f>
        <v>0</v>
      </c>
      <c r="N18" s="1286">
        <f>SUMIF(G30:G847,3,N30:N847)</f>
        <v>0</v>
      </c>
      <c r="O18" s="1287">
        <f>SUMIF(G30:G847,3,O30:O847)</f>
        <v>0</v>
      </c>
      <c r="P18" s="1286">
        <f>SUMIF(G30:G847,3,P30:P847)</f>
        <v>0</v>
      </c>
      <c r="Q18" s="1288">
        <f>SUMIF(G30:G847,3,Q30:Q847)</f>
        <v>0</v>
      </c>
      <c r="R18" s="1289">
        <f>SUMIF(G30:G847,3,R30:R847)</f>
        <v>0</v>
      </c>
      <c r="S18" s="1745"/>
      <c r="T18" s="1746"/>
      <c r="U18" s="1745"/>
      <c r="V18" s="1745"/>
      <c r="W18" s="286"/>
      <c r="X18" s="280"/>
      <c r="Y18" s="96"/>
      <c r="Z18" s="1683"/>
      <c r="AA18" s="2256"/>
      <c r="AK18" s="2815" t="s">
        <v>910</v>
      </c>
      <c r="AL18" s="2579">
        <f>SUMIFS(R30:R950,F30:F950,4,G30:G950,3)</f>
        <v>0</v>
      </c>
      <c r="AM18" s="2817"/>
    </row>
    <row r="19" spans="1:39" ht="15" x14ac:dyDescent="0.3">
      <c r="A19" s="285"/>
      <c r="B19" s="993"/>
      <c r="C19" s="993"/>
      <c r="D19" s="274"/>
      <c r="E19" s="98"/>
      <c r="F19" s="1240"/>
      <c r="G19" s="1241">
        <v>4</v>
      </c>
      <c r="H19" s="1241"/>
      <c r="I19" s="1343">
        <f t="shared" si="0"/>
        <v>301.63100000000003</v>
      </c>
      <c r="J19" s="1286">
        <f t="shared" si="3"/>
        <v>291.30600000000004</v>
      </c>
      <c r="K19" s="1286">
        <f>SUMIF(G30:G847,4,K30:K847)</f>
        <v>1.7050000000000001</v>
      </c>
      <c r="L19" s="1286">
        <f>SUMIF(G30:G847,4,L30:L847)</f>
        <v>8.620000000000001</v>
      </c>
      <c r="M19" s="1346">
        <f>SUMIF(G30:G847,4,M30:M847)</f>
        <v>0</v>
      </c>
      <c r="N19" s="1286">
        <f>SUMIF(G30:G847,4,N30:N847)</f>
        <v>174.02300000000002</v>
      </c>
      <c r="O19" s="1287">
        <f>SUMIF(G30:G847,4,O30:O847)</f>
        <v>2.9</v>
      </c>
      <c r="P19" s="1286">
        <f>SUMIF(G30:G847,4,P30:P847)</f>
        <v>0</v>
      </c>
      <c r="Q19" s="1288">
        <f>SUMIF(G30:G847,4,Q30:Q847)</f>
        <v>113.624</v>
      </c>
      <c r="R19" s="1289">
        <f>SUMIF(G30:G847,4,R30:R847)</f>
        <v>0.75900000000000023</v>
      </c>
      <c r="S19" s="1745"/>
      <c r="T19" s="1746"/>
      <c r="U19" s="1745"/>
      <c r="V19" s="1745"/>
      <c r="W19" s="286"/>
      <c r="X19" s="280"/>
      <c r="Y19" s="96"/>
      <c r="Z19" s="1683"/>
      <c r="AA19" s="2256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ht="15.5" x14ac:dyDescent="0.35">
      <c r="A20" s="285"/>
      <c r="B20" s="993"/>
      <c r="C20" s="993"/>
      <c r="D20" s="274"/>
      <c r="E20" s="319"/>
      <c r="F20" s="1258"/>
      <c r="G20" s="1259">
        <v>5</v>
      </c>
      <c r="H20" s="1259"/>
      <c r="I20" s="1343">
        <f t="shared" si="0"/>
        <v>112.80799999999998</v>
      </c>
      <c r="J20" s="1286">
        <f t="shared" si="3"/>
        <v>112.11799999999998</v>
      </c>
      <c r="K20" s="1286">
        <f>SUMIF(G30:G847,5,K30:K847)</f>
        <v>0</v>
      </c>
      <c r="L20" s="1286">
        <f>SUMIF(G30:G847,5,L30:L847)</f>
        <v>0.69</v>
      </c>
      <c r="M20" s="1346">
        <f>SUMIF(G30:G847,5,M30:M847)</f>
        <v>0.08</v>
      </c>
      <c r="N20" s="1286">
        <f>SUMIF(G30:G847,5,N30:N847)</f>
        <v>36.002999999999993</v>
      </c>
      <c r="O20" s="1287">
        <f>SUMIF(G30:G847,5,O30:O847)</f>
        <v>0</v>
      </c>
      <c r="P20" s="1286">
        <f>SUMIF(G30:G847,5,P30:P847)</f>
        <v>0</v>
      </c>
      <c r="Q20" s="1288">
        <f>SUMIF(G30:G847,5,Q30:Q847)</f>
        <v>45.11</v>
      </c>
      <c r="R20" s="1289">
        <f>SUMIF(G30:G847,5,R30:R847)</f>
        <v>30.925000000000001</v>
      </c>
      <c r="S20" s="1745"/>
      <c r="T20" s="1746"/>
      <c r="U20" s="1745"/>
      <c r="V20" s="1745"/>
      <c r="W20" s="286"/>
      <c r="X20" s="280"/>
      <c r="Y20" s="96"/>
      <c r="Z20" s="1683"/>
      <c r="AA20" s="2256"/>
      <c r="AK20" s="2815" t="s">
        <v>11230</v>
      </c>
      <c r="AL20" s="2579">
        <f>SUMIFS(M30:M950,F30:F950,5,G30:G950,3)</f>
        <v>0</v>
      </c>
      <c r="AM20" s="2817"/>
    </row>
    <row r="21" spans="1:39" ht="15.5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319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2256"/>
      <c r="AB21" s="3"/>
      <c r="AC21" s="3"/>
      <c r="AK21" s="2815" t="s">
        <v>11231</v>
      </c>
      <c r="AL21" s="2579">
        <f>SUMIFS(N30:N950,F30:F950,5,G30:G950,3)</f>
        <v>0</v>
      </c>
      <c r="AM21" s="2817"/>
    </row>
    <row r="22" spans="1:39" ht="15.5" x14ac:dyDescent="0.35">
      <c r="A22" s="285"/>
      <c r="B22" s="993"/>
      <c r="C22" s="993"/>
      <c r="D22" s="538">
        <f>SUMIF(C30:C868,"=сад",AB30:AB868)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SUMIF(C30:C868,"=сад",K30:K868)</f>
        <v>0</v>
      </c>
      <c r="L22" s="2247">
        <f>SUMIF(C30:C868,"=сад",L30:L868)</f>
        <v>0</v>
      </c>
      <c r="M22" s="2320">
        <f>SUMIF(C30:C868,"=сад",M30:M868)</f>
        <v>0</v>
      </c>
      <c r="N22" s="2247">
        <f>SUMIF(C30:C868,"=сад",N30:N868)</f>
        <v>0</v>
      </c>
      <c r="O22" s="2248">
        <f>SUMIF(C30:C868,"=сад",O30:O868)</f>
        <v>0</v>
      </c>
      <c r="P22" s="2247">
        <f>SUMIF(C30:C868,"=сад",P30:P868)</f>
        <v>0</v>
      </c>
      <c r="Q22" s="2249">
        <f>SUMIF(C30:C868,"=сад",Q30:Q868)</f>
        <v>0</v>
      </c>
      <c r="R22" s="2250">
        <f>SUMIF(C30:C868,"=сад",R30:R868)</f>
        <v>0</v>
      </c>
      <c r="S22" s="275"/>
      <c r="T22" s="275"/>
      <c r="U22" s="275"/>
      <c r="V22" s="275"/>
      <c r="W22" s="275"/>
      <c r="X22" s="275"/>
      <c r="Y22" s="275"/>
      <c r="Z22" s="412"/>
      <c r="AA22" s="2256"/>
      <c r="AB22" s="3"/>
      <c r="AC22" s="3"/>
      <c r="AK22" s="2815" t="s">
        <v>11232</v>
      </c>
      <c r="AL22" s="2579">
        <f>SUMIFS(O30:O950,F30:F950,5,G30:G950,3)</f>
        <v>0</v>
      </c>
      <c r="AM22" s="2817"/>
    </row>
    <row r="23" spans="1:39" ht="15.5" x14ac:dyDescent="0.35">
      <c r="A23" s="285"/>
      <c r="B23" s="993"/>
      <c r="C23" s="993"/>
      <c r="D23" s="538">
        <f>SUMIF(C30:C869,"=индив",AB30:AB869)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SUMIF(C30:C869,"=индив",K30:K869)</f>
        <v>0</v>
      </c>
      <c r="L23" s="2247">
        <f>SUMIF(C30:C869,"=индив",L30:L869)</f>
        <v>0</v>
      </c>
      <c r="M23" s="2320">
        <f>SUMIF(C30:C869,"=индив",M30:M869)</f>
        <v>0</v>
      </c>
      <c r="N23" s="2247">
        <f>SUMIF(C30:C869,"=индив",N30:N869)</f>
        <v>0</v>
      </c>
      <c r="O23" s="2248">
        <f>SUMIF(C30:C869,"=индив",O30:O869)</f>
        <v>0</v>
      </c>
      <c r="P23" s="2247">
        <f>SUMIF(C30:C869,"=индив",P30:P869)</f>
        <v>0</v>
      </c>
      <c r="Q23" s="2249">
        <f>SUMIF(C30:C869,"=индив",Q30:Q869)</f>
        <v>0</v>
      </c>
      <c r="R23" s="2250">
        <f>SUMIF(C30:C869,"=индив",R30:R869)</f>
        <v>0</v>
      </c>
      <c r="S23" s="275"/>
      <c r="T23" s="275"/>
      <c r="U23" s="275"/>
      <c r="V23" s="275"/>
      <c r="W23" s="275"/>
      <c r="X23" s="275"/>
      <c r="Y23" s="275"/>
      <c r="Z23" s="412"/>
      <c r="AA23" s="2256"/>
      <c r="AB23" s="3"/>
      <c r="AC23" s="3"/>
      <c r="AK23" s="2815" t="s">
        <v>11233</v>
      </c>
      <c r="AL23" s="2579">
        <f>SUMIFS(P30:P950,F30:F950,5,G30:G950,3)+SUMIFS(Q30:Q950,F30:F950,5,G30:G950,3)</f>
        <v>0</v>
      </c>
      <c r="AM23" s="2817"/>
    </row>
    <row r="24" spans="1:39" ht="15.5" x14ac:dyDescent="0.35">
      <c r="A24" s="285"/>
      <c r="B24" s="993"/>
      <c r="C24" s="993"/>
      <c r="D24" s="538">
        <f>SUMIF(C30:C870,"=кладб",AB30:AB870)</f>
        <v>39</v>
      </c>
      <c r="E24" s="2241" t="s">
        <v>2761</v>
      </c>
      <c r="F24" s="98"/>
      <c r="G24" s="226"/>
      <c r="H24" s="226"/>
      <c r="I24" s="2247">
        <f>J24+K24+L24</f>
        <v>18.485000000000003</v>
      </c>
      <c r="J24" s="2247">
        <f>R24+Q24+P24+O24+N24+M24</f>
        <v>17.795000000000002</v>
      </c>
      <c r="K24" s="2247">
        <f>SUMIF(C30:C870,"=кладб",K30:K870)</f>
        <v>0</v>
      </c>
      <c r="L24" s="2247">
        <f>SUMIF(C30:C870,"=кладб",L30:L870)</f>
        <v>0.69</v>
      </c>
      <c r="M24" s="2320">
        <f>SUMIF(C30:C870,"=кладб",M30:M870)</f>
        <v>0</v>
      </c>
      <c r="N24" s="2247">
        <f>SUMIF(C30:C870,"=кладб",N30:N870)</f>
        <v>3.5449999999999999</v>
      </c>
      <c r="O24" s="2248">
        <f>SUMIF(C30:C870,"=кладб",O30:O870)</f>
        <v>0</v>
      </c>
      <c r="P24" s="2247">
        <f>SUMIF(C30:C870,"=кладб",P30:P870)</f>
        <v>0</v>
      </c>
      <c r="Q24" s="2249">
        <f>SUMIF(C30:C870,"=кладб",Q30:Q870)</f>
        <v>0.7</v>
      </c>
      <c r="R24" s="2250">
        <f>SUMIF(C30:C870,"=кладб",R30:R870)</f>
        <v>13.550000000000002</v>
      </c>
      <c r="S24" s="275"/>
      <c r="T24" s="275"/>
      <c r="U24" s="275"/>
      <c r="V24" s="275"/>
      <c r="W24" s="275"/>
      <c r="X24" s="275"/>
      <c r="Y24" s="275"/>
      <c r="Z24" s="412"/>
      <c r="AA24" s="2256"/>
      <c r="AB24" s="3"/>
      <c r="AC24" s="3"/>
      <c r="AK24" s="2815" t="s">
        <v>910</v>
      </c>
      <c r="AL24" s="2579">
        <f>SUMIFS(R30:R950,F30:F950,5,G30:G950,3)</f>
        <v>0</v>
      </c>
      <c r="AM24" s="2817"/>
    </row>
    <row r="25" spans="1:39" ht="15.5" x14ac:dyDescent="0.35">
      <c r="A25" s="387"/>
      <c r="B25" s="994"/>
      <c r="C25" s="994"/>
      <c r="D25" s="538">
        <f>SUMIF(C30:C871,"=прир",AB30:AB871)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SUMIF(C30:C871,"=прир",K30:K871)</f>
        <v>0</v>
      </c>
      <c r="L25" s="2259">
        <f>SUMIF(C30:C871,"=прир",L30:L871)</f>
        <v>0</v>
      </c>
      <c r="M25" s="2321">
        <f>SUMIF(C30:C871,"=прир",M30:M871)</f>
        <v>0</v>
      </c>
      <c r="N25" s="2259">
        <f>SUMIF(C30:C871,"=прир",N30:N871)</f>
        <v>0</v>
      </c>
      <c r="O25" s="2260">
        <f>SUMIF(C30:C871,"=прир",O30:O871)</f>
        <v>0</v>
      </c>
      <c r="P25" s="2259">
        <f>SUMIF(C30:C871,"=прир",P30:P871)</f>
        <v>0</v>
      </c>
      <c r="Q25" s="2261">
        <f>SUMIF(C30:C871,"=прир",Q30:Q871)</f>
        <v>0</v>
      </c>
      <c r="R25" s="2262">
        <f>SUMIF(C30:C871,"=прир",R30:R871)</f>
        <v>0</v>
      </c>
      <c r="S25" s="404"/>
      <c r="T25" s="404"/>
      <c r="U25" s="404"/>
      <c r="V25" s="404"/>
      <c r="W25" s="404"/>
      <c r="X25" s="404"/>
      <c r="Y25" s="404"/>
      <c r="Z25" s="1610"/>
      <c r="AA25" s="2256"/>
      <c r="AB25" s="3"/>
      <c r="AC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ht="15.5" x14ac:dyDescent="0.35">
      <c r="A26" s="387"/>
      <c r="B26" s="994"/>
      <c r="C26" s="994"/>
      <c r="D26" s="538">
        <f>SUMIF(C30:C872,"=ист",AB30:AB872)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SUMIF(C30:C872,"=ист",K30:K872)</f>
        <v>0</v>
      </c>
      <c r="L26" s="2259">
        <f>SUMIF(C30:C872,"=ист",L30:L872)</f>
        <v>0</v>
      </c>
      <c r="M26" s="2321">
        <f>SUMIF(C30:C872,"=ист",M30:M872)</f>
        <v>0</v>
      </c>
      <c r="N26" s="2259">
        <f>SUMIF(C30:C872,"=ист",N30:N872)</f>
        <v>0</v>
      </c>
      <c r="O26" s="2260">
        <f>SUMIF(C30:C872,"=ист",O30:O872)</f>
        <v>0</v>
      </c>
      <c r="P26" s="2259">
        <f>SUMIF(C30:C872,"=ист",P30:P872)</f>
        <v>0</v>
      </c>
      <c r="Q26" s="2261">
        <f>SUMIF(C30:C872,"=ист",Q30:Q872)</f>
        <v>0</v>
      </c>
      <c r="R26" s="2262">
        <f>SUMIF(C30:C872,"=ист",R30:R872)</f>
        <v>0</v>
      </c>
      <c r="S26" s="404"/>
      <c r="T26" s="404"/>
      <c r="U26" s="404"/>
      <c r="V26" s="404"/>
      <c r="W26" s="404"/>
      <c r="X26" s="404"/>
      <c r="Y26" s="404"/>
      <c r="Z26" s="1610"/>
      <c r="AA26" s="2256"/>
      <c r="AB26" s="3"/>
      <c r="AC26" s="3"/>
      <c r="AK26" s="2815" t="s">
        <v>11230</v>
      </c>
      <c r="AL26" s="2579">
        <f>SUMIFS(M30:M950,F30:F950,"6а",G30:G950,3)+SUMIFS(M30:M950,F30:F950,"6б",G30:G950,3)+SUMIFS(M30:M950,F30:F950,"б/к",G30:G950,3)</f>
        <v>0</v>
      </c>
      <c r="AM26" s="2817"/>
    </row>
    <row r="27" spans="1:39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2256"/>
      <c r="AB27" s="3"/>
      <c r="AC27" s="3"/>
      <c r="AK27" s="2815" t="s">
        <v>11231</v>
      </c>
      <c r="AL27" s="2579">
        <f>SUMIFS(N30:N950,F30:F950,"6а",G30:G950,3)+SUMIFS(N30:N950,F30:F950,"6б",G30:G950,3)+SUMIFS(N30:N950,F30:F950,"б/к",G30:G950,3)</f>
        <v>0</v>
      </c>
      <c r="AM27" s="2817"/>
    </row>
    <row r="28" spans="1:39" ht="16" thickBot="1" x14ac:dyDescent="0.4">
      <c r="A28" s="450"/>
      <c r="B28" s="995"/>
      <c r="C28" s="995"/>
      <c r="D28" s="462"/>
      <c r="E28" s="451"/>
      <c r="F28" s="451"/>
      <c r="G28" s="451"/>
      <c r="H28" s="451"/>
      <c r="I28" s="2325">
        <f t="shared" ref="I28:R28" si="5">SUBTOTAL(9,I30:I503)</f>
        <v>414.4140000000001</v>
      </c>
      <c r="J28" s="2325">
        <f t="shared" si="5"/>
        <v>403.39900000000006</v>
      </c>
      <c r="K28" s="2325">
        <f t="shared" si="5"/>
        <v>3.41</v>
      </c>
      <c r="L28" s="2325">
        <f t="shared" si="5"/>
        <v>18.62</v>
      </c>
      <c r="M28" s="2325">
        <f t="shared" si="5"/>
        <v>0.08</v>
      </c>
      <c r="N28" s="2325">
        <f t="shared" si="5"/>
        <v>379.20399999999989</v>
      </c>
      <c r="O28" s="2325">
        <f t="shared" si="5"/>
        <v>5.8</v>
      </c>
      <c r="P28" s="2325">
        <f t="shared" si="5"/>
        <v>0</v>
      </c>
      <c r="Q28" s="2325">
        <f t="shared" si="5"/>
        <v>280.30200000000013</v>
      </c>
      <c r="R28" s="2325">
        <f t="shared" si="5"/>
        <v>37.558000000000007</v>
      </c>
      <c r="S28" s="846"/>
      <c r="T28" s="848"/>
      <c r="U28" s="846"/>
      <c r="V28" s="846"/>
      <c r="W28" s="480"/>
      <c r="X28" s="479"/>
      <c r="Y28" s="481"/>
      <c r="Z28" s="1684"/>
      <c r="AA28" s="451"/>
      <c r="AB28" s="2322">
        <f>SUBTOTAL(9,AB30:AB503)</f>
        <v>120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SUMIFS(O30:O950,F30:F950,"6а",G30:G950,3)+SUMIFS(O30:O950,F30:F950,"6б",G30:G950,3)+SUMIFS(O30:O950,F30:F950,"б/к",G30:G950,3)</f>
        <v>0</v>
      </c>
      <c r="AM28" s="2817"/>
    </row>
    <row r="29" spans="1:39" ht="16" thickBot="1" x14ac:dyDescent="0.4">
      <c r="A29" s="561"/>
      <c r="B29" s="1029"/>
      <c r="C29" s="1029"/>
      <c r="D29" s="562"/>
      <c r="E29" s="476" t="s">
        <v>2871</v>
      </c>
      <c r="F29" s="563"/>
      <c r="G29" s="563"/>
      <c r="H29" s="563"/>
      <c r="I29" s="564"/>
      <c r="J29" s="564"/>
      <c r="K29" s="564"/>
      <c r="L29" s="564"/>
      <c r="M29" s="564"/>
      <c r="N29" s="564"/>
      <c r="O29" s="852"/>
      <c r="P29" s="564"/>
      <c r="Q29" s="862"/>
      <c r="R29" s="872"/>
      <c r="S29" s="1747"/>
      <c r="T29" s="1151"/>
      <c r="U29" s="1151"/>
      <c r="V29" s="1151"/>
      <c r="W29" s="563"/>
      <c r="X29" s="563"/>
      <c r="Y29" s="562"/>
      <c r="Z29" s="1685"/>
      <c r="AB29" s="1839"/>
      <c r="AD29" s="2578" t="s">
        <v>7180</v>
      </c>
      <c r="AE29" s="2579">
        <f>SUMIFS(M30:M900,F30:F900,3,G30:G900,3)+SUMIFS(N30:N900,F30:F900,3,G30:G900,3)+SUMIFS(O30:O900,F30:F900,3,G30:G900,3)+SUMIFS(P30:P900,F30:F900,3,G30:G900,3)+SUMIFS(Q30:Q900,F30:F900,3,G30:G900,3)+SUMIFS(R30:R900,F30:F900,3,G30:G900,3)</f>
        <v>0</v>
      </c>
      <c r="AF29" s="2579">
        <f>SUMIFS(M30:M900,F30:F900,4,G30:G900,3)+SUMIFS(N30:N900,F30:F900,4,G30:G900,3)+SUMIFS(O30:O900,F30:F900,4,G30:G900,3)+SUMIFS(P30:P900,F30:F900,4,G30:G900,3)+SUMIFS(Q30:Q900,F30:F900,4,G30:G900,3)+SUMIFS(R30:R900,F30:F900,4,G30:G900,3)</f>
        <v>0</v>
      </c>
      <c r="AG29" s="2579">
        <f>SUMIFS(M30:M900,F30:F900,5,G30:G900,3)+SUMIFS(N30:N900,F30:F900,5,G30:G900,3)+SUMIFS(O30:O900,F30:F900,5,G30:G900,3)+SUMIFS(P30:P900,F30:F900,5,G30:G900,3)+SUMIFS(Q30:Q900,F30:F900,5,G30:G900,3)+SUMIFS(R30:R900,F30:F900,5,G30:G900,3)</f>
        <v>0</v>
      </c>
      <c r="AH29" s="2579">
        <f>SUMIFS(M30:M900,F30:F900,"6а",G30:G900,3)+SUMIFS(N30:N900,F30:F900,"6а",G30:G900,3)+SUMIFS(O30:O900,F30:F900,"6а",G30:G900,3)+SUMIFS(P30:P900,F30:F900,"6а",G30:G900,3)+SUMIFS(Q30:Q900,F30:F900,"6а",G30:G900,3)+SUMIFS(R30:R900,F30:F900,"6а",G30:G900,3)</f>
        <v>0</v>
      </c>
      <c r="AI29" s="2579">
        <f>SUMIFS(M30:M900,F30:F900,"6б",G30:G900,3)+SUMIFS(N30:N900,F30:F900,"6б",G30:G900,3)+SUMIFS(O30:O900,F30:F900,"6б",G30:G900,3)+SUMIFS(P30:P900,F30:F900,"6б",G30:G900,3)+SUMIFS(Q30:Q900,F30:F900,"6б",G30:G900,3)+SUMIFS(R30:R900,F30:F900,"6б",G30:G900,3)</f>
        <v>0</v>
      </c>
      <c r="AJ29" s="2580">
        <f>SUMIFS(M30:M900,F30:F900,"б/к",G30:G900,3)+SUMIFS(N30:N900,F30:F900,"б/к",G30:G900,3)+SUMIFS(O30:O900,F30:F900,"б/к",G30:G900,3)+SUMIFS(P30:P900,F30:F900,"б/к",G30:G900,3)+SUMIFS(Q30:Q900,F30:F900,"б/к",G30:G900,3)+SUMIFS(R30:R900,F30:F900,"б/к",G30:G900,3)</f>
        <v>0</v>
      </c>
      <c r="AK29" s="2815" t="s">
        <v>11233</v>
      </c>
      <c r="AL29" s="2579">
        <f>SUMIFS(P30:P950,F30:F950,"6а",G30:G950,3)+SUMIFS(Q30:Q950,F30:F950,"6а",G30:G950,3)+SUMIFS(P30:P950,F30:F950,"6б",G30:G950,3)+SUMIFS(Q30:Q950,F30:F950,"6б",G30:G950,3)+SUMIFS(P30:P950,F30:F950,"б/к",G30:G950,3)+SUMIFS(Q30:Q950,F30:F950,"б/к",G30:G950,3)</f>
        <v>0</v>
      </c>
      <c r="AM29" s="2817"/>
    </row>
    <row r="30" spans="1:39" ht="75.5" x14ac:dyDescent="0.35">
      <c r="A30" s="347">
        <v>1</v>
      </c>
      <c r="B30" s="358">
        <v>10081</v>
      </c>
      <c r="C30" s="358"/>
      <c r="D30" s="358" t="s">
        <v>1944</v>
      </c>
      <c r="E30" s="288" t="s">
        <v>9708</v>
      </c>
      <c r="F30" s="13">
        <v>5</v>
      </c>
      <c r="G30" s="13">
        <v>5</v>
      </c>
      <c r="H30" s="13">
        <v>6</v>
      </c>
      <c r="I30" s="501">
        <f>L30+K30+J30</f>
        <v>2.3149999999999999</v>
      </c>
      <c r="J30" s="501">
        <f>SUM(M30:R30)</f>
        <v>2.3149999999999999</v>
      </c>
      <c r="K30" s="503"/>
      <c r="L30" s="503"/>
      <c r="M30" s="503"/>
      <c r="N30" s="503"/>
      <c r="O30" s="854"/>
      <c r="P30" s="503"/>
      <c r="Q30" s="2316">
        <v>2.3149999999999999</v>
      </c>
      <c r="R30" s="874"/>
      <c r="S30" s="1748"/>
      <c r="T30" s="705"/>
      <c r="U30" s="705"/>
      <c r="V30" s="705"/>
      <c r="W30" s="15">
        <v>3</v>
      </c>
      <c r="X30" s="15">
        <v>38.6</v>
      </c>
      <c r="Y30" s="17"/>
      <c r="Z30" s="1686"/>
      <c r="AB30">
        <v>1</v>
      </c>
      <c r="AD30" s="2578" t="s">
        <v>7181</v>
      </c>
      <c r="AE30" s="2579">
        <f>SUMIFS(M30:M900,F30:F900,3,G30:G900,4)+SUMIFS(N30:N900,F30:F900,3,G30:G900,4)+SUMIFS(O30:O900,F30:F900,3,G30:G900,4)+SUMIFS(P30:P900,F30:F900,3,G30:G900,4)+SUMIFS(Q30:Q900,F30:F900,3,G30:G900,4)+SUMIFS(R30:R900,F30:F900,3,G30:G900,4)</f>
        <v>0</v>
      </c>
      <c r="AF30" s="2579">
        <f>SUMIFS(M30:M900,F30:F900,4,G30:G900,4)+SUMIFS(N30:N900,F30:F900,4,G30:G900,4)+SUMIFS(O30:O900,F30:F900,4,G30:G900,4)+SUMIFS(P30:P900,F30:F900,4,G30:G900,4)+SUMIFS(Q30:Q900,F30:F900,4,G30:G900,4)+SUMIFS(R30:R900,F30:F900,4,G30:G900,4)</f>
        <v>282.03200000000004</v>
      </c>
      <c r="AG30" s="2579">
        <f>SUMIFS(M30:M900,F30:F900,5,G30:G900,4)+SUMIFS(N30:N900,F30:F900,5,G30:G900,4)+SUMIFS(O30:O900,F30:F900,5,G30:G900,4)+SUMIFS(P30:P900,F30:F900,5,G30:G900,4)+SUMIFS(Q30:Q900,F30:F900,5,G30:G900,4)+SUMIFS(R30:R900,F30:F900,5,G30:G900,4)</f>
        <v>9.2740000000000009</v>
      </c>
      <c r="AH30" s="2579">
        <f>SUMIFS(M30:M900,F30:F900,"6а",G30:G900,4)+SUMIFS(N30:N900,F30:F900,"6а",G30:G900,4)+SUMIFS(O30:O900,F30:F900,"6а",G30:G900,4)+SUMIFS(P30:P900,F30:F900,"6а",G30:G900,4)+SUMIFS(Q30:Q900,F30:F900,"6а",G30:G900,4)+SUMIFS(R30:R900,F30:F900,"6а",G30:G900,4)</f>
        <v>0</v>
      </c>
      <c r="AI30" s="2579">
        <f>SUMIFS(M30:M900,F30:F900,"6б",G30:G900,4)+SUMIFS(N30:N900,F30:F900,"6б",G30:G900,4)+SUMIFS(O30:O900,F30:F900,"6б",G30:G900,4)+SUMIFS(P30:P900,F30:F900,"6б",G30:G900,4)+SUMIFS(Q30:Q900,F30:F900,"6б",G30:G900,4)+SUMIFS(R30:R900,F30:F900,"6б",G30:G900,4)</f>
        <v>0</v>
      </c>
      <c r="AJ30" s="2580">
        <f>SUMIFS(M30:M900,F30:F900,"б/к",G30:G900,4)+SUMIFS(N30:N900,F30:F900,"б/к",G30:G900,4)+SUMIFS(O30:O900,F30:F900,"б/к",G30:G900,4)+SUMIFS(P30:P900,F30:F900,"б/к",G30:G900,4)+SUMIFS(Q30:Q900,F30:F900,"б/к",G30:G900,4)+SUMIFS(R30:R900,F30:F900,"б/к",G30:G900,4)</f>
        <v>0</v>
      </c>
      <c r="AK30" s="2815" t="s">
        <v>910</v>
      </c>
      <c r="AL30" s="2579">
        <f>SUMIFS(R30:R950,F30:F950,"6а",G30:G950,3)+SUMIFS(R30:R950,F30:F950,"6б",G30:G950,3)+SUMIFS(R30:R950,F30:F950,"б/к",G30:G950,3)</f>
        <v>0</v>
      </c>
      <c r="AM30" s="2817"/>
    </row>
    <row r="31" spans="1:39" ht="30" x14ac:dyDescent="0.35">
      <c r="A31" s="1855">
        <v>2</v>
      </c>
      <c r="B31" s="358">
        <v>10226</v>
      </c>
      <c r="C31" s="358"/>
      <c r="D31" s="358" t="s">
        <v>1591</v>
      </c>
      <c r="E31" s="2327" t="s">
        <v>9407</v>
      </c>
      <c r="F31" s="13"/>
      <c r="G31" s="13" t="s">
        <v>191</v>
      </c>
      <c r="H31" s="13" t="s">
        <v>191</v>
      </c>
      <c r="I31" s="501">
        <f>L31+K31+J31</f>
        <v>25.347999999999999</v>
      </c>
      <c r="J31" s="501">
        <f>SUM(M31:R31)</f>
        <v>25.347999999999999</v>
      </c>
      <c r="K31" s="501"/>
      <c r="L31" s="501"/>
      <c r="M31" s="501"/>
      <c r="N31" s="501">
        <f>SUM(N33:N34)</f>
        <v>22.448</v>
      </c>
      <c r="O31" s="2609"/>
      <c r="P31" s="501"/>
      <c r="Q31" s="860">
        <f>SUM(Q33:Q34)</f>
        <v>2.8999999999999986</v>
      </c>
      <c r="R31" s="870"/>
      <c r="S31" s="724">
        <v>3</v>
      </c>
      <c r="T31" s="335">
        <v>176.3</v>
      </c>
      <c r="U31" s="705"/>
      <c r="V31" s="705"/>
      <c r="W31" s="15">
        <v>19</v>
      </c>
      <c r="X31" s="2530">
        <v>254.66</v>
      </c>
      <c r="Y31" s="17">
        <v>5</v>
      </c>
      <c r="Z31" s="1686">
        <v>50</v>
      </c>
      <c r="AB31">
        <v>1</v>
      </c>
      <c r="AD31" s="2581" t="s">
        <v>7182</v>
      </c>
      <c r="AE31" s="2582">
        <f>SUMIFS(M30:M900,F30:F900,3,G30:G900,5)+SUMIFS(N30:N900,F30:F900,3,G30:G900,5)+SUMIFS(O30:O900,F30:F900,3,G30:G900,5)+SUMIFS(P30:P900,F30:F900,3,G30:G900,5)+SUMIFS(Q30:Q900,F30:F900,3,G30:G900,5)+SUMIFS(R30:R900,F30:F900,3,G30:G900,5)</f>
        <v>0</v>
      </c>
      <c r="AF31" s="2582">
        <f>SUMIFS(M30:M900,F30:F900,4,G30:G900,5)+SUMIFS(N30:N900,F30:F900,4,G30:G900,5)+SUMIFS(O30:O900,F30:F900,4,G30:G900,5)+SUMIFS(P30:P900,F30:F900,4,G30:G900,5)+SUMIFS(Q30:Q900,F30:F900,4,G30:G900,5)+SUMIFS(R30:R900,F30:F900,4,G30:G900,5)</f>
        <v>30.767000000000003</v>
      </c>
      <c r="AG31" s="2582">
        <f>SUMIFS(M30:M900,F30:F900,5,G30:G900,5)+SUMIFS(N30:N900,F30:F900,5,G30:G900,5)+SUMIFS(O30:O900,F30:F900,5,G30:G900,5)+SUMIFS(P30:P900,F30:F900,5,G30:G900,5)+SUMIFS(Q30:Q900,F30:F900,5,G30:G900,5)+SUMIFS(R30:R900,F30:F900,5,G30:G900,5)</f>
        <v>53.869</v>
      </c>
      <c r="AH31" s="2582">
        <f>SUMIFS(M30:M900,F30:F900,"6а",G30:G900,5)+SUMIFS(N30:N900,F30:F900,"6а",G30:G900,5)+SUMIFS(O30:O900,F30:F900,"6а",G30:G900,5)+SUMIFS(P30:P900,F30:F900,"6а",G30:G900,5)+SUMIFS(Q30:Q900,F30:F900,"6а",G30:G900,5)+SUMIFS(R30:R900,F30:F900,"6а",G30:G900,5)</f>
        <v>2.827</v>
      </c>
      <c r="AI31" s="2582">
        <f>SUMIFS(M30:M900,F30:F900,"6б",G30:G900,5)+SUMIFS(N30:N900,F30:F900,"6б",G30:G900,5)+SUMIFS(O30:O900,F30:F900,"6б",G30:G900,5)+SUMIFS(P30:P900,F30:F900,"6б",G30:G900,5)+SUMIFS(Q30:Q900,F30:F900,"6б",G30:G900,5)+SUMIFS(R30:R900,F30:F900,"6б",G30:G900,5)</f>
        <v>6.2799999999999994</v>
      </c>
      <c r="AJ31" s="2583">
        <f>SUMIFS(M30:M900,F30:F900,"б/к",G30:G900,5)+SUMIFS(N30:N900,F30:F900,"б/к",G30:G900,5)+SUMIFS(O30:O900,F30:F900,"б/к",G30:G900,5)+SUMIFS(P30:P900,F30:F900,"б/к",G30:G900,5)+SUMIFS(Q30:Q900,F30:F900,"б/к",G30:G900,5)+SUMIFS(R30:R900,F30:F900,"б/к",G30:G900,5)</f>
        <v>18.375000000000004</v>
      </c>
      <c r="AK31" s="2815"/>
      <c r="AL31" s="2579"/>
      <c r="AM31" s="2817"/>
    </row>
    <row r="32" spans="1:39" ht="46.5" x14ac:dyDescent="0.35">
      <c r="A32" s="347"/>
      <c r="B32" s="358">
        <v>10226</v>
      </c>
      <c r="C32" s="358"/>
      <c r="D32" s="358"/>
      <c r="E32" s="289" t="s">
        <v>9881</v>
      </c>
      <c r="F32" s="13"/>
      <c r="G32" s="13" t="s">
        <v>191</v>
      </c>
      <c r="H32" s="13" t="s">
        <v>191</v>
      </c>
      <c r="I32" s="501"/>
      <c r="J32" s="501"/>
      <c r="K32" s="501"/>
      <c r="L32" s="501"/>
      <c r="M32" s="501"/>
      <c r="N32" s="501"/>
      <c r="O32" s="851"/>
      <c r="P32" s="501"/>
      <c r="Q32" s="1862"/>
      <c r="R32" s="870"/>
      <c r="S32" s="724"/>
      <c r="T32" s="335"/>
      <c r="U32" s="705"/>
      <c r="V32" s="705"/>
      <c r="W32" s="15"/>
      <c r="X32" s="15"/>
      <c r="Y32" s="17"/>
      <c r="Z32" s="1686"/>
      <c r="AE32" s="1572"/>
      <c r="AI32" s="2584" t="s">
        <v>7183</v>
      </c>
      <c r="AJ32" s="2585">
        <f>SUMIF(AB30:AB900,"=1",J30:J900)</f>
        <v>403.39900000000006</v>
      </c>
      <c r="AK32" s="2818" t="s">
        <v>11235</v>
      </c>
      <c r="AL32" s="2821">
        <f>AL34+AL40+AL46</f>
        <v>291.30600000000004</v>
      </c>
      <c r="AM32" s="2820">
        <f>AL32-J19</f>
        <v>0</v>
      </c>
    </row>
    <row r="33" spans="1:39" ht="15.5" x14ac:dyDescent="0.35">
      <c r="A33" s="347"/>
      <c r="B33" s="358">
        <v>10226</v>
      </c>
      <c r="C33" s="358"/>
      <c r="D33" s="358"/>
      <c r="E33" s="289" t="s">
        <v>10943</v>
      </c>
      <c r="F33" s="13">
        <v>4</v>
      </c>
      <c r="G33" s="13">
        <v>4</v>
      </c>
      <c r="H33" s="13">
        <v>6</v>
      </c>
      <c r="I33" s="502"/>
      <c r="J33" s="502"/>
      <c r="K33" s="502"/>
      <c r="L33" s="502"/>
      <c r="M33" s="502"/>
      <c r="N33" s="298">
        <f>22.448-0</f>
        <v>22.448</v>
      </c>
      <c r="O33" s="853"/>
      <c r="P33" s="502"/>
      <c r="Q33" s="1862"/>
      <c r="R33" s="873"/>
      <c r="S33" s="724"/>
      <c r="T33" s="335"/>
      <c r="U33" s="705"/>
      <c r="V33" s="705"/>
      <c r="W33" s="15"/>
      <c r="X33" s="15"/>
      <c r="Y33" s="17"/>
      <c r="Z33" s="1686"/>
      <c r="AE33" s="1572"/>
      <c r="AJ33" s="2585">
        <f>SUM(AE29:AJ31)-AJ32</f>
        <v>2.4999999999920419E-2</v>
      </c>
      <c r="AK33" s="2815" t="s">
        <v>11229</v>
      </c>
      <c r="AL33" s="2579"/>
      <c r="AM33" s="2817"/>
    </row>
    <row r="34" spans="1:39" ht="15.5" x14ac:dyDescent="0.35">
      <c r="A34" s="347"/>
      <c r="B34" s="358">
        <v>10226</v>
      </c>
      <c r="C34" s="358"/>
      <c r="D34" s="358"/>
      <c r="E34" s="837" t="s">
        <v>2308</v>
      </c>
      <c r="F34" s="13">
        <v>4</v>
      </c>
      <c r="G34" s="13">
        <v>4</v>
      </c>
      <c r="H34" s="13">
        <v>6</v>
      </c>
      <c r="I34" s="502"/>
      <c r="J34" s="502"/>
      <c r="K34" s="502"/>
      <c r="L34" s="502"/>
      <c r="M34" s="502"/>
      <c r="N34" s="502"/>
      <c r="O34" s="853"/>
      <c r="P34" s="502"/>
      <c r="Q34" s="2370">
        <f>25.348-22.448</f>
        <v>2.8999999999999986</v>
      </c>
      <c r="R34" s="873"/>
      <c r="S34" s="724"/>
      <c r="T34" s="335"/>
      <c r="U34" s="705"/>
      <c r="V34" s="705"/>
      <c r="W34" s="15"/>
      <c r="X34" s="15"/>
      <c r="Y34" s="17"/>
      <c r="Z34" s="1686"/>
      <c r="AK34" s="2818" t="s">
        <v>7184</v>
      </c>
      <c r="AL34" s="2821">
        <f>AL35+AL36+AL37+AL38+AL39</f>
        <v>282.03200000000004</v>
      </c>
      <c r="AM34" s="2820">
        <f>AL34-AF30</f>
        <v>0</v>
      </c>
    </row>
    <row r="35" spans="1:39" ht="45.5" x14ac:dyDescent="0.35">
      <c r="A35" s="349">
        <v>3</v>
      </c>
      <c r="B35" s="405">
        <v>10226</v>
      </c>
      <c r="C35" s="405"/>
      <c r="D35" s="2464" t="s">
        <v>4211</v>
      </c>
      <c r="E35" s="511" t="s">
        <v>9408</v>
      </c>
      <c r="F35" s="13">
        <v>5</v>
      </c>
      <c r="G35" s="13">
        <v>5</v>
      </c>
      <c r="H35" s="13">
        <v>6</v>
      </c>
      <c r="I35" s="501">
        <f>L35+K35+J35</f>
        <v>0.9</v>
      </c>
      <c r="J35" s="501">
        <f>SUM(M35:R35)</f>
        <v>0.9</v>
      </c>
      <c r="K35" s="503"/>
      <c r="L35" s="503"/>
      <c r="M35" s="503"/>
      <c r="N35" s="503"/>
      <c r="O35" s="854"/>
      <c r="P35" s="503"/>
      <c r="Q35" s="1862"/>
      <c r="R35" s="874">
        <v>0.9</v>
      </c>
      <c r="S35" s="1748"/>
      <c r="T35" s="705"/>
      <c r="U35" s="705"/>
      <c r="V35" s="705"/>
      <c r="W35" s="15">
        <v>1</v>
      </c>
      <c r="X35" s="233">
        <v>10.130000000000001</v>
      </c>
      <c r="Y35" s="17"/>
      <c r="Z35" s="1686"/>
      <c r="AB35">
        <v>1</v>
      </c>
      <c r="AE35" s="2461"/>
      <c r="AF35" s="2462"/>
      <c r="AK35" s="2815" t="s">
        <v>11230</v>
      </c>
      <c r="AL35" s="2579">
        <f>SUMIFS(M30:M950,F30:F950,4,G30:G950,4)</f>
        <v>0</v>
      </c>
      <c r="AM35" s="2817"/>
    </row>
    <row r="36" spans="1:39" ht="45.5" x14ac:dyDescent="0.35">
      <c r="A36" s="347">
        <v>4</v>
      </c>
      <c r="B36" s="358">
        <v>10226</v>
      </c>
      <c r="C36" s="358"/>
      <c r="D36" s="2464" t="s">
        <v>4329</v>
      </c>
      <c r="E36" s="288" t="s">
        <v>9409</v>
      </c>
      <c r="F36" s="13"/>
      <c r="G36" s="13" t="s">
        <v>191</v>
      </c>
      <c r="H36" s="13" t="s">
        <v>191</v>
      </c>
      <c r="I36" s="501">
        <f>L36+K36+J36</f>
        <v>3.0429999999999997</v>
      </c>
      <c r="J36" s="501">
        <f>SUM(M36:R36)</f>
        <v>3.0429999999999997</v>
      </c>
      <c r="K36" s="503"/>
      <c r="L36" s="503"/>
      <c r="M36" s="503"/>
      <c r="N36" s="503">
        <f>SUM(N37:N38)</f>
        <v>0.05</v>
      </c>
      <c r="O36" s="854"/>
      <c r="P36" s="503"/>
      <c r="Q36" s="864">
        <f>SUM(Q37:Q38)</f>
        <v>2.9929999999999999</v>
      </c>
      <c r="R36" s="874"/>
      <c r="S36" s="1748"/>
      <c r="T36" s="705"/>
      <c r="U36" s="705"/>
      <c r="V36" s="705"/>
      <c r="W36" s="15">
        <v>7</v>
      </c>
      <c r="X36" s="15">
        <v>105.19999694824219</v>
      </c>
      <c r="Y36" s="17">
        <v>2</v>
      </c>
      <c r="Z36" s="1686">
        <v>30</v>
      </c>
      <c r="AB36">
        <v>1</v>
      </c>
      <c r="AE36" s="2461"/>
      <c r="AF36" s="68"/>
      <c r="AK36" s="2815" t="s">
        <v>11231</v>
      </c>
      <c r="AL36" s="2579">
        <f>SUMIFS(N30:N950,F30:F950,4,G30:G950,4)</f>
        <v>167.74</v>
      </c>
      <c r="AM36" s="2817"/>
    </row>
    <row r="37" spans="1:39" ht="15.5" x14ac:dyDescent="0.35">
      <c r="A37" s="347"/>
      <c r="B37" s="358">
        <v>10226</v>
      </c>
      <c r="C37" s="358"/>
      <c r="D37" s="358"/>
      <c r="E37" s="289" t="s">
        <v>1330</v>
      </c>
      <c r="F37" s="13">
        <v>4</v>
      </c>
      <c r="G37" s="13">
        <v>5</v>
      </c>
      <c r="H37" s="13">
        <v>6</v>
      </c>
      <c r="I37" s="502"/>
      <c r="J37" s="502"/>
      <c r="K37" s="504"/>
      <c r="L37" s="504"/>
      <c r="M37" s="504"/>
      <c r="N37" s="492">
        <f>0.05-0</f>
        <v>0.05</v>
      </c>
      <c r="O37" s="855"/>
      <c r="P37" s="504"/>
      <c r="Q37" s="863"/>
      <c r="R37" s="875"/>
      <c r="S37" s="1748"/>
      <c r="T37" s="705"/>
      <c r="U37" s="705"/>
      <c r="V37" s="705"/>
      <c r="W37" s="15"/>
      <c r="X37" s="15"/>
      <c r="Y37" s="17"/>
      <c r="Z37" s="1686"/>
      <c r="AE37" s="2461"/>
      <c r="AF37" s="68"/>
      <c r="AK37" s="2815" t="s">
        <v>11232</v>
      </c>
      <c r="AL37" s="2579">
        <f>SUMIFS(O30:O950,F30:F950,4,G30:G950,4)</f>
        <v>2.9</v>
      </c>
      <c r="AM37" s="2817"/>
    </row>
    <row r="38" spans="1:39" ht="15.5" x14ac:dyDescent="0.35">
      <c r="A38" s="347"/>
      <c r="B38" s="358">
        <v>10226</v>
      </c>
      <c r="C38" s="358"/>
      <c r="D38" s="358"/>
      <c r="E38" s="837" t="s">
        <v>1331</v>
      </c>
      <c r="F38" s="13">
        <v>4</v>
      </c>
      <c r="G38" s="13">
        <v>5</v>
      </c>
      <c r="H38" s="13">
        <v>6</v>
      </c>
      <c r="I38" s="502"/>
      <c r="J38" s="502"/>
      <c r="K38" s="504"/>
      <c r="L38" s="504"/>
      <c r="M38" s="504"/>
      <c r="N38" s="504"/>
      <c r="O38" s="855"/>
      <c r="P38" s="504"/>
      <c r="Q38" s="863">
        <v>2.9929999999999999</v>
      </c>
      <c r="R38" s="875"/>
      <c r="S38" s="1748"/>
      <c r="T38" s="705"/>
      <c r="U38" s="705"/>
      <c r="V38" s="705"/>
      <c r="W38" s="15"/>
      <c r="X38" s="15"/>
      <c r="Y38" s="17"/>
      <c r="Z38" s="1686"/>
      <c r="AE38" s="2461"/>
      <c r="AF38" s="68"/>
      <c r="AK38" s="2815" t="s">
        <v>11233</v>
      </c>
      <c r="AL38" s="2579">
        <f>SUMIFS(P30:P950,F30:F950,4,G30:G950,4)+SUMIFS(Q30:Q950,F30:F950,4,G30:G950,4)</f>
        <v>111.392</v>
      </c>
      <c r="AM38" s="2817"/>
    </row>
    <row r="39" spans="1:39" ht="45.5" x14ac:dyDescent="0.35">
      <c r="A39" s="370">
        <v>5</v>
      </c>
      <c r="B39" s="365">
        <v>10226</v>
      </c>
      <c r="C39" s="365" t="s">
        <v>1656</v>
      </c>
      <c r="D39" s="2464" t="s">
        <v>4330</v>
      </c>
      <c r="E39" s="269" t="s">
        <v>9410</v>
      </c>
      <c r="F39" s="92" t="s">
        <v>664</v>
      </c>
      <c r="G39" s="92">
        <v>5</v>
      </c>
      <c r="H39" s="13">
        <v>6</v>
      </c>
      <c r="I39" s="501">
        <f>L39+K39+J39</f>
        <v>0.2</v>
      </c>
      <c r="J39" s="501">
        <f>SUM(M39:R39)</f>
        <v>0.2</v>
      </c>
      <c r="K39" s="557"/>
      <c r="L39" s="557"/>
      <c r="M39" s="557"/>
      <c r="N39" s="557"/>
      <c r="O39" s="856"/>
      <c r="P39" s="557"/>
      <c r="Q39" s="866"/>
      <c r="R39" s="876">
        <v>0.2</v>
      </c>
      <c r="S39" s="1571"/>
      <c r="T39" s="1571"/>
      <c r="U39" s="1571"/>
      <c r="V39" s="1571"/>
      <c r="W39" s="106"/>
      <c r="X39" s="106"/>
      <c r="Y39" s="46"/>
      <c r="Z39" s="47"/>
      <c r="AB39">
        <v>1</v>
      </c>
      <c r="AE39" s="2461"/>
      <c r="AF39" s="68"/>
      <c r="AK39" s="2815" t="s">
        <v>910</v>
      </c>
      <c r="AL39" s="2579">
        <f>SUMIFS(R30:R950,F30:F950,4,G30:G950,4)</f>
        <v>0</v>
      </c>
      <c r="AM39" s="2817"/>
    </row>
    <row r="40" spans="1:39" ht="45.5" x14ac:dyDescent="0.35">
      <c r="A40" s="347">
        <v>6</v>
      </c>
      <c r="B40" s="405">
        <v>10226</v>
      </c>
      <c r="C40" s="1005" t="s">
        <v>1656</v>
      </c>
      <c r="D40" s="2464" t="s">
        <v>4331</v>
      </c>
      <c r="E40" s="511" t="s">
        <v>9411</v>
      </c>
      <c r="F40" s="1138" t="s">
        <v>664</v>
      </c>
      <c r="G40" s="13">
        <v>5</v>
      </c>
      <c r="H40" s="13">
        <v>6</v>
      </c>
      <c r="I40" s="297">
        <f>J40+K40+L40</f>
        <v>0.2</v>
      </c>
      <c r="J40" s="501">
        <f>SUM(M40:R40)</f>
        <v>0.2</v>
      </c>
      <c r="K40" s="502"/>
      <c r="L40" s="502"/>
      <c r="M40" s="502"/>
      <c r="N40" s="502"/>
      <c r="O40" s="853"/>
      <c r="P40" s="502"/>
      <c r="Q40" s="2363"/>
      <c r="R40" s="873">
        <v>0.2</v>
      </c>
      <c r="S40" s="1748"/>
      <c r="T40" s="705"/>
      <c r="U40" s="705"/>
      <c r="V40" s="705"/>
      <c r="W40" s="17"/>
      <c r="X40" s="17"/>
      <c r="Y40" s="17"/>
      <c r="Z40" s="1686"/>
      <c r="AB40">
        <v>1</v>
      </c>
      <c r="AE40" s="2461"/>
      <c r="AF40" s="68"/>
      <c r="AK40" s="2818" t="s">
        <v>7185</v>
      </c>
      <c r="AL40" s="2821">
        <f>AL41+AL42+AL43+AL44+AL45</f>
        <v>9.2740000000000009</v>
      </c>
      <c r="AM40" s="2820">
        <f>AL40-AG30</f>
        <v>0</v>
      </c>
    </row>
    <row r="41" spans="1:39" ht="75.5" x14ac:dyDescent="0.35">
      <c r="A41" s="347">
        <v>7</v>
      </c>
      <c r="B41" s="358">
        <v>10227</v>
      </c>
      <c r="C41" s="358"/>
      <c r="D41" s="358" t="s">
        <v>1316</v>
      </c>
      <c r="E41" s="511" t="s">
        <v>11349</v>
      </c>
      <c r="F41" s="1138"/>
      <c r="G41" s="1138" t="s">
        <v>191</v>
      </c>
      <c r="H41" s="1138" t="s">
        <v>191</v>
      </c>
      <c r="I41" s="500">
        <f>L41+K41+J41</f>
        <v>20.582000000000001</v>
      </c>
      <c r="J41" s="500">
        <f>SUM(M41:R41)</f>
        <v>20.524999999999999</v>
      </c>
      <c r="K41" s="500"/>
      <c r="L41" s="500">
        <f>SUM(L42:L45)</f>
        <v>5.7000000000001827E-2</v>
      </c>
      <c r="M41" s="2705"/>
      <c r="N41" s="500">
        <f>SUM(N42:N45)</f>
        <v>20.524999999999999</v>
      </c>
      <c r="O41" s="851"/>
      <c r="P41" s="501"/>
      <c r="Q41" s="860"/>
      <c r="R41" s="870"/>
      <c r="S41" s="724">
        <v>1</v>
      </c>
      <c r="T41" s="335">
        <v>12.6</v>
      </c>
      <c r="U41" s="705"/>
      <c r="V41" s="705"/>
      <c r="W41" s="55">
        <v>22</v>
      </c>
      <c r="X41" s="55">
        <v>273.10000000000002</v>
      </c>
      <c r="Y41" s="154">
        <v>5</v>
      </c>
      <c r="Z41" s="2355">
        <v>57.6</v>
      </c>
      <c r="AB41">
        <v>1</v>
      </c>
      <c r="AE41" s="2461"/>
      <c r="AF41" s="68"/>
      <c r="AK41" s="2815" t="s">
        <v>11230</v>
      </c>
      <c r="AL41" s="2579">
        <f>SUMIFS(M30:M950,F30:F950,5,G30:G950,4)</f>
        <v>0</v>
      </c>
      <c r="AM41" s="2817"/>
    </row>
    <row r="42" spans="1:39" s="2808" customFormat="1" ht="15.5" x14ac:dyDescent="0.35">
      <c r="A42" s="347"/>
      <c r="B42" s="358"/>
      <c r="C42" s="358"/>
      <c r="D42" s="358"/>
      <c r="E42" s="459" t="s">
        <v>11220</v>
      </c>
      <c r="F42" s="1138">
        <v>4</v>
      </c>
      <c r="G42" s="1138">
        <v>4</v>
      </c>
      <c r="H42" s="1138">
        <v>6</v>
      </c>
      <c r="I42" s="831"/>
      <c r="J42" s="831"/>
      <c r="K42" s="831"/>
      <c r="L42" s="831"/>
      <c r="M42" s="2608"/>
      <c r="N42" s="831">
        <v>0.82299999999999995</v>
      </c>
      <c r="O42" s="2490"/>
      <c r="P42" s="502"/>
      <c r="Q42" s="1859"/>
      <c r="R42" s="1868"/>
      <c r="S42" s="2659"/>
      <c r="T42" s="1138"/>
      <c r="U42" s="1944"/>
      <c r="V42" s="1944"/>
      <c r="W42" s="2536"/>
      <c r="X42" s="2536"/>
      <c r="Y42" s="2809"/>
      <c r="Z42" s="2810"/>
      <c r="AE42" s="2461"/>
      <c r="AF42" s="68"/>
      <c r="AK42" s="2815" t="s">
        <v>11231</v>
      </c>
      <c r="AL42" s="2579">
        <f>SUMIFS(N30:N950,F30:F950,5,G30:G950,4)</f>
        <v>6.2830000000000004</v>
      </c>
      <c r="AM42" s="2817"/>
    </row>
    <row r="43" spans="1:39" s="2808" customFormat="1" ht="31" x14ac:dyDescent="0.35">
      <c r="A43" s="347"/>
      <c r="B43" s="358"/>
      <c r="C43" s="358"/>
      <c r="D43" s="358"/>
      <c r="E43" s="270" t="s">
        <v>11218</v>
      </c>
      <c r="F43" s="1138">
        <v>4</v>
      </c>
      <c r="G43" s="1138">
        <v>4</v>
      </c>
      <c r="H43" s="1138" t="s">
        <v>191</v>
      </c>
      <c r="I43" s="831"/>
      <c r="J43" s="831"/>
      <c r="K43" s="831"/>
      <c r="L43" s="831">
        <f>0.864-0.823</f>
        <v>4.1000000000000036E-2</v>
      </c>
      <c r="M43" s="2608"/>
      <c r="N43" s="831"/>
      <c r="O43" s="2490"/>
      <c r="P43" s="502"/>
      <c r="Q43" s="1859"/>
      <c r="R43" s="1868"/>
      <c r="S43" s="2659"/>
      <c r="T43" s="1138"/>
      <c r="U43" s="1944"/>
      <c r="V43" s="1944"/>
      <c r="W43" s="2536"/>
      <c r="X43" s="2536"/>
      <c r="Y43" s="2809"/>
      <c r="Z43" s="2810"/>
      <c r="AE43" s="2461"/>
      <c r="AF43" s="68"/>
      <c r="AK43" s="2815" t="s">
        <v>11232</v>
      </c>
      <c r="AL43" s="2579">
        <f>SUMIFS(O30:O950,F30:F950,5,G30:G950,4)</f>
        <v>0</v>
      </c>
      <c r="AM43" s="2817"/>
    </row>
    <row r="44" spans="1:39" s="2808" customFormat="1" ht="15.5" x14ac:dyDescent="0.35">
      <c r="A44" s="347"/>
      <c r="B44" s="358"/>
      <c r="C44" s="358"/>
      <c r="D44" s="358"/>
      <c r="E44" s="459" t="s">
        <v>11221</v>
      </c>
      <c r="F44" s="1138">
        <v>4</v>
      </c>
      <c r="G44" s="1138">
        <v>4</v>
      </c>
      <c r="H44" s="1138">
        <v>6</v>
      </c>
      <c r="I44" s="831"/>
      <c r="J44" s="831"/>
      <c r="K44" s="831"/>
      <c r="L44" s="831"/>
      <c r="M44" s="2608"/>
      <c r="N44" s="831">
        <f>20.566-0.864</f>
        <v>19.701999999999998</v>
      </c>
      <c r="O44" s="2490"/>
      <c r="P44" s="502"/>
      <c r="Q44" s="1859"/>
      <c r="R44" s="1868"/>
      <c r="S44" s="2659"/>
      <c r="T44" s="1138"/>
      <c r="U44" s="1944"/>
      <c r="V44" s="1944"/>
      <c r="W44" s="2536"/>
      <c r="X44" s="2536"/>
      <c r="Y44" s="2809"/>
      <c r="Z44" s="2810"/>
      <c r="AE44" s="2461"/>
      <c r="AF44" s="68"/>
      <c r="AK44" s="2815" t="s">
        <v>11233</v>
      </c>
      <c r="AL44" s="2579">
        <f>SUMIFS(P30:P950,F30:F950,5,G30:G950,4)+SUMIFS(Q30:Q950,F30:F950,5,G30:G950,4)</f>
        <v>2.2320000000000002</v>
      </c>
      <c r="AM44" s="2817"/>
    </row>
    <row r="45" spans="1:39" s="2808" customFormat="1" ht="31" x14ac:dyDescent="0.35">
      <c r="A45" s="347"/>
      <c r="B45" s="358"/>
      <c r="C45" s="358"/>
      <c r="D45" s="358"/>
      <c r="E45" s="270" t="s">
        <v>11219</v>
      </c>
      <c r="F45" s="1138">
        <v>4</v>
      </c>
      <c r="G45" s="1138">
        <v>4</v>
      </c>
      <c r="H45" s="1138" t="s">
        <v>191</v>
      </c>
      <c r="I45" s="831"/>
      <c r="J45" s="831"/>
      <c r="K45" s="831"/>
      <c r="L45" s="831">
        <f>20.582-20.566</f>
        <v>1.6000000000001791E-2</v>
      </c>
      <c r="M45" s="2608"/>
      <c r="N45" s="831"/>
      <c r="O45" s="2490"/>
      <c r="P45" s="502"/>
      <c r="Q45" s="1859"/>
      <c r="R45" s="1868"/>
      <c r="S45" s="2659"/>
      <c r="T45" s="1138"/>
      <c r="U45" s="1944"/>
      <c r="V45" s="1944"/>
      <c r="W45" s="2536"/>
      <c r="X45" s="2536"/>
      <c r="Y45" s="2809"/>
      <c r="Z45" s="2810"/>
      <c r="AE45" s="2461"/>
      <c r="AF45" s="68"/>
      <c r="AK45" s="2815" t="s">
        <v>910</v>
      </c>
      <c r="AL45" s="2579">
        <f>SUMIFS(R30:R950,F30:F950,5,G30:G950,4)</f>
        <v>0.75900000000000023</v>
      </c>
      <c r="AM45" s="2817"/>
    </row>
    <row r="46" spans="1:39" ht="90.5" x14ac:dyDescent="0.35">
      <c r="A46" s="349">
        <v>8</v>
      </c>
      <c r="B46" s="405">
        <v>10227</v>
      </c>
      <c r="C46" s="405"/>
      <c r="D46" s="2464" t="s">
        <v>4332</v>
      </c>
      <c r="E46" s="288" t="s">
        <v>10690</v>
      </c>
      <c r="F46" s="13"/>
      <c r="G46" s="13" t="s">
        <v>191</v>
      </c>
      <c r="H46" s="13" t="s">
        <v>191</v>
      </c>
      <c r="I46" s="501">
        <f>L46+K46+J46</f>
        <v>3.08</v>
      </c>
      <c r="J46" s="501">
        <f>SUM(M46:R46)</f>
        <v>3.08</v>
      </c>
      <c r="K46" s="501"/>
      <c r="L46" s="501"/>
      <c r="M46" s="501"/>
      <c r="N46" s="501">
        <f>SUM(N47:N48)</f>
        <v>0.88300000000000001</v>
      </c>
      <c r="O46" s="851"/>
      <c r="P46" s="501"/>
      <c r="Q46" s="860">
        <f>SUM(Q47:Q48)</f>
        <v>2.1970000000000001</v>
      </c>
      <c r="R46" s="870"/>
      <c r="S46" s="1748"/>
      <c r="T46" s="705"/>
      <c r="U46" s="705"/>
      <c r="V46" s="705"/>
      <c r="W46" s="15">
        <v>4</v>
      </c>
      <c r="X46" s="18">
        <v>43</v>
      </c>
      <c r="Y46" s="17"/>
      <c r="Z46" s="1686"/>
      <c r="AB46">
        <v>1</v>
      </c>
      <c r="AE46" s="2461"/>
      <c r="AF46" s="68"/>
      <c r="AK46" s="2818" t="s">
        <v>11234</v>
      </c>
      <c r="AL46" s="2821">
        <f>AL47+AL48+AL49+AL50+AL51</f>
        <v>0</v>
      </c>
      <c r="AM46" s="2820">
        <f>AL46-AH30-AI30-AJ30</f>
        <v>0</v>
      </c>
    </row>
    <row r="47" spans="1:39" ht="15.5" x14ac:dyDescent="0.35">
      <c r="A47" s="349"/>
      <c r="B47" s="405">
        <v>10227</v>
      </c>
      <c r="C47" s="405"/>
      <c r="D47" s="358"/>
      <c r="E47" s="289" t="s">
        <v>2168</v>
      </c>
      <c r="F47" s="13">
        <v>5</v>
      </c>
      <c r="G47" s="13">
        <v>5</v>
      </c>
      <c r="H47" s="13">
        <v>6</v>
      </c>
      <c r="I47" s="502"/>
      <c r="J47" s="502"/>
      <c r="K47" s="502"/>
      <c r="L47" s="502"/>
      <c r="M47" s="502"/>
      <c r="N47" s="298">
        <f>0.883-0</f>
        <v>0.88300000000000001</v>
      </c>
      <c r="O47" s="853"/>
      <c r="P47" s="502"/>
      <c r="Q47" s="863"/>
      <c r="R47" s="873"/>
      <c r="S47" s="1748"/>
      <c r="T47" s="705"/>
      <c r="U47" s="705"/>
      <c r="V47" s="705"/>
      <c r="W47" s="15"/>
      <c r="X47" s="15"/>
      <c r="Y47" s="17"/>
      <c r="Z47" s="1686"/>
      <c r="AE47" s="2461"/>
      <c r="AF47" s="68"/>
      <c r="AK47" s="2815" t="s">
        <v>11230</v>
      </c>
      <c r="AL47" s="2579">
        <f>SUMIFS(M30:M950,F30:F950,"6а",G30:G950,4)+SUMIFS(M30:M950,F30:F950,"6б",G30:G950,4)+SUMIFS(M30:M950,F30:F950,"б/к",G30:G950,4)</f>
        <v>0</v>
      </c>
      <c r="AM47" s="2817"/>
    </row>
    <row r="48" spans="1:39" ht="15.5" x14ac:dyDescent="0.35">
      <c r="A48" s="349"/>
      <c r="B48" s="405">
        <v>10227</v>
      </c>
      <c r="C48" s="405"/>
      <c r="D48" s="358"/>
      <c r="E48" s="837" t="s">
        <v>2169</v>
      </c>
      <c r="F48" s="13">
        <v>5</v>
      </c>
      <c r="G48" s="13">
        <v>5</v>
      </c>
      <c r="H48" s="13">
        <v>6</v>
      </c>
      <c r="I48" s="502"/>
      <c r="J48" s="502"/>
      <c r="K48" s="502"/>
      <c r="L48" s="502"/>
      <c r="M48" s="502"/>
      <c r="N48" s="502"/>
      <c r="O48" s="853"/>
      <c r="P48" s="502"/>
      <c r="Q48" s="933">
        <f>3.08-0.883</f>
        <v>2.1970000000000001</v>
      </c>
      <c r="R48" s="873"/>
      <c r="S48" s="1748"/>
      <c r="T48" s="705"/>
      <c r="U48" s="705"/>
      <c r="V48" s="705"/>
      <c r="W48" s="15"/>
      <c r="X48" s="15"/>
      <c r="Y48" s="17"/>
      <c r="Z48" s="1686"/>
      <c r="AE48" s="2461"/>
      <c r="AF48" s="68"/>
      <c r="AK48" s="2815" t="s">
        <v>11231</v>
      </c>
      <c r="AL48" s="2579">
        <f>SUMIFS(N30:N950,F30:F950,"6а",G30:G950,4)+SUMIFS(N30:N950,F30:F950,"6б",G30:G950,4)+SUMIFS(N30:N950,F30:F950,"б/к",G30:G950,4)</f>
        <v>0</v>
      </c>
      <c r="AM48" s="2817"/>
    </row>
    <row r="49" spans="1:39" ht="105.5" x14ac:dyDescent="0.35">
      <c r="A49" s="1855">
        <v>9</v>
      </c>
      <c r="B49" s="358">
        <v>10227</v>
      </c>
      <c r="C49" s="1005" t="s">
        <v>1656</v>
      </c>
      <c r="D49" s="2464" t="s">
        <v>4333</v>
      </c>
      <c r="E49" s="511" t="s">
        <v>10691</v>
      </c>
      <c r="F49" s="1138" t="s">
        <v>664</v>
      </c>
      <c r="G49" s="13">
        <v>5</v>
      </c>
      <c r="H49" s="13">
        <v>6</v>
      </c>
      <c r="I49" s="297">
        <f>J49+K49+L49</f>
        <v>0.3</v>
      </c>
      <c r="J49" s="501">
        <f>SUM(M49:R49)</f>
        <v>0.3</v>
      </c>
      <c r="K49" s="502"/>
      <c r="L49" s="502"/>
      <c r="M49" s="502"/>
      <c r="N49" s="298"/>
      <c r="O49" s="853"/>
      <c r="P49" s="502"/>
      <c r="Q49" s="1862"/>
      <c r="R49" s="873">
        <v>0.3</v>
      </c>
      <c r="S49" s="724"/>
      <c r="T49" s="335"/>
      <c r="U49" s="705"/>
      <c r="V49" s="705"/>
      <c r="W49" s="15"/>
      <c r="X49" s="15"/>
      <c r="Y49" s="17"/>
      <c r="Z49" s="1686"/>
      <c r="AB49">
        <v>1</v>
      </c>
      <c r="AE49" s="2461"/>
      <c r="AF49" s="68"/>
      <c r="AK49" s="2815" t="s">
        <v>11232</v>
      </c>
      <c r="AL49" s="2579">
        <f>SUMIFS(O30:O950,F30:F950,"6а",G30:G950,4)+SUMIFS(O30:O950,F30:F950,"6б",G30:G950,4)+SUMIFS(O30:O950,F30:F950,"б/к",G30:G950,4)</f>
        <v>0</v>
      </c>
      <c r="AM49" s="2817"/>
    </row>
    <row r="50" spans="1:39" ht="90.5" x14ac:dyDescent="0.35">
      <c r="A50" s="347">
        <v>10</v>
      </c>
      <c r="B50" s="358">
        <v>10227</v>
      </c>
      <c r="C50" s="1005" t="s">
        <v>1656</v>
      </c>
      <c r="D50" s="2464" t="s">
        <v>4334</v>
      </c>
      <c r="E50" s="511" t="s">
        <v>10692</v>
      </c>
      <c r="F50" s="1138"/>
      <c r="G50" s="13" t="s">
        <v>191</v>
      </c>
      <c r="H50" s="13" t="s">
        <v>191</v>
      </c>
      <c r="I50" s="297">
        <f>J50+K50+L50</f>
        <v>0.115</v>
      </c>
      <c r="J50" s="501">
        <f>SUM(M50:R50)</f>
        <v>0.115</v>
      </c>
      <c r="K50" s="502"/>
      <c r="L50" s="502"/>
      <c r="M50" s="502"/>
      <c r="N50" s="501">
        <v>1.4999999999999999E-2</v>
      </c>
      <c r="O50" s="2417"/>
      <c r="P50" s="501"/>
      <c r="Q50" s="2418"/>
      <c r="R50" s="1865">
        <v>0.1</v>
      </c>
      <c r="S50" s="724"/>
      <c r="T50" s="335"/>
      <c r="U50" s="705"/>
      <c r="V50" s="705"/>
      <c r="W50" s="15"/>
      <c r="X50" s="15"/>
      <c r="Y50" s="17"/>
      <c r="Z50" s="1686"/>
      <c r="AB50">
        <v>1</v>
      </c>
      <c r="AE50" s="2461"/>
      <c r="AF50" s="68"/>
      <c r="AK50" s="2815" t="s">
        <v>11233</v>
      </c>
      <c r="AL50" s="2579">
        <f>SUMIFS(P30:P950,F30:F950,"6а",G30:G950,4)+SUMIFS(Q30:Q950,F30:F950,"6а",G30:G950,4)+SUMIFS(P30:P950,F30:F950,"6б",G30:G950,4)+SUMIFS(Q30:Q950,F30:F950,"6б",G30:G950,4)+SUMIFS(O30:O950,F30:F950,"б/к",G30:G950,4)+SUMIFS(P30:P950,F30:F950,"б/к",G30:G950,4)+SUMIFS(Q30:Q950,F30:F950,"б/к",G30:G950,4)</f>
        <v>0</v>
      </c>
      <c r="AM50" s="2817"/>
    </row>
    <row r="51" spans="1:39" ht="15.5" x14ac:dyDescent="0.35">
      <c r="A51" s="347"/>
      <c r="B51" s="358">
        <v>10227</v>
      </c>
      <c r="C51" s="1005"/>
      <c r="D51" s="434"/>
      <c r="E51" s="270" t="s">
        <v>3415</v>
      </c>
      <c r="F51" s="1138" t="s">
        <v>664</v>
      </c>
      <c r="G51" s="13">
        <v>5</v>
      </c>
      <c r="H51" s="13">
        <v>6</v>
      </c>
      <c r="I51" s="297"/>
      <c r="J51" s="501"/>
      <c r="K51" s="502"/>
      <c r="L51" s="502"/>
      <c r="M51" s="502"/>
      <c r="N51" s="502">
        <v>1.4999999999999999E-2</v>
      </c>
      <c r="O51" s="621"/>
      <c r="P51" s="502"/>
      <c r="Q51" s="1862"/>
      <c r="R51" s="873"/>
      <c r="S51" s="724"/>
      <c r="T51" s="335"/>
      <c r="U51" s="705"/>
      <c r="V51" s="705"/>
      <c r="W51" s="15"/>
      <c r="X51" s="15"/>
      <c r="Y51" s="17"/>
      <c r="Z51" s="1686"/>
      <c r="AE51" s="2461"/>
      <c r="AF51" s="68"/>
      <c r="AK51" s="2815" t="s">
        <v>910</v>
      </c>
      <c r="AL51" s="2579">
        <f>SUMIFS(R30:R950,F30:F950,"6а",G30:G950,4)+SUMIFS(R30:R950,F30:F950,"6б",G30:G950,4)+SUMIFS(R30:R950,F30:F950,"б/к",G30:G950,4)</f>
        <v>0</v>
      </c>
      <c r="AM51" s="2817"/>
    </row>
    <row r="52" spans="1:39" ht="15.5" x14ac:dyDescent="0.35">
      <c r="A52" s="347"/>
      <c r="B52" s="358">
        <v>10227</v>
      </c>
      <c r="C52" s="1005"/>
      <c r="D52" s="434"/>
      <c r="E52" s="878" t="s">
        <v>129</v>
      </c>
      <c r="F52" s="1138" t="s">
        <v>664</v>
      </c>
      <c r="G52" s="13">
        <v>5</v>
      </c>
      <c r="H52" s="13">
        <v>6</v>
      </c>
      <c r="I52" s="297"/>
      <c r="J52" s="501"/>
      <c r="K52" s="502"/>
      <c r="L52" s="502"/>
      <c r="M52" s="502"/>
      <c r="N52" s="502"/>
      <c r="O52" s="621"/>
      <c r="P52" s="502"/>
      <c r="Q52" s="1862"/>
      <c r="R52" s="873">
        <v>0.1</v>
      </c>
      <c r="S52" s="724"/>
      <c r="T52" s="335"/>
      <c r="U52" s="705"/>
      <c r="V52" s="705"/>
      <c r="W52" s="15"/>
      <c r="X52" s="15"/>
      <c r="Y52" s="17"/>
      <c r="Z52" s="1686"/>
      <c r="AE52" s="2461"/>
      <c r="AF52" s="68"/>
      <c r="AK52" s="2815"/>
      <c r="AL52" s="2579"/>
      <c r="AM52" s="2817"/>
    </row>
    <row r="53" spans="1:39" ht="90.5" x14ac:dyDescent="0.35">
      <c r="A53" s="349">
        <v>11</v>
      </c>
      <c r="B53" s="405">
        <v>10227</v>
      </c>
      <c r="C53" s="405"/>
      <c r="D53" s="2464" t="s">
        <v>4335</v>
      </c>
      <c r="E53" s="288" t="s">
        <v>10693</v>
      </c>
      <c r="F53" s="13"/>
      <c r="G53" s="13" t="s">
        <v>191</v>
      </c>
      <c r="H53" s="13" t="s">
        <v>191</v>
      </c>
      <c r="I53" s="501">
        <f>L53+K53+J53</f>
        <v>1.76</v>
      </c>
      <c r="J53" s="501">
        <f>SUM(M53:R53)</f>
        <v>1.76</v>
      </c>
      <c r="K53" s="501"/>
      <c r="L53" s="501"/>
      <c r="M53" s="501"/>
      <c r="N53" s="501">
        <f>SUM(N54:N55)</f>
        <v>0.42</v>
      </c>
      <c r="O53" s="851"/>
      <c r="P53" s="501"/>
      <c r="Q53" s="860">
        <f>SUM(Q54:Q55)</f>
        <v>1.34</v>
      </c>
      <c r="R53" s="870"/>
      <c r="S53" s="1748"/>
      <c r="T53" s="705"/>
      <c r="U53" s="705"/>
      <c r="V53" s="705"/>
      <c r="W53" s="17">
        <v>1</v>
      </c>
      <c r="X53" s="17">
        <v>10</v>
      </c>
      <c r="Y53" s="17"/>
      <c r="Z53" s="1686"/>
      <c r="AB53">
        <v>1</v>
      </c>
      <c r="AE53" s="2461"/>
      <c r="AF53" s="68"/>
      <c r="AK53" s="2818" t="s">
        <v>11236</v>
      </c>
      <c r="AL53" s="2821">
        <f>AL55+AL61+AL67</f>
        <v>112.11799999999999</v>
      </c>
      <c r="AM53" s="2820">
        <f>AL53-J20</f>
        <v>0</v>
      </c>
    </row>
    <row r="54" spans="1:39" ht="15.5" x14ac:dyDescent="0.35">
      <c r="A54" s="349"/>
      <c r="B54" s="405">
        <v>10227</v>
      </c>
      <c r="C54" s="405"/>
      <c r="D54" s="358"/>
      <c r="E54" s="289" t="s">
        <v>2896</v>
      </c>
      <c r="F54" s="13">
        <v>5</v>
      </c>
      <c r="G54" s="13">
        <v>5</v>
      </c>
      <c r="H54" s="13">
        <v>6</v>
      </c>
      <c r="I54" s="502"/>
      <c r="J54" s="502"/>
      <c r="K54" s="502"/>
      <c r="L54" s="502"/>
      <c r="M54" s="502"/>
      <c r="N54" s="298">
        <f>0.42-0</f>
        <v>0.42</v>
      </c>
      <c r="O54" s="853"/>
      <c r="P54" s="502"/>
      <c r="Q54" s="863"/>
      <c r="R54" s="873"/>
      <c r="S54" s="1748"/>
      <c r="T54" s="705"/>
      <c r="U54" s="705"/>
      <c r="V54" s="705"/>
      <c r="W54" s="17"/>
      <c r="X54" s="17"/>
      <c r="Y54" s="17"/>
      <c r="Z54" s="1686"/>
      <c r="AE54" s="2461"/>
      <c r="AF54" s="68"/>
      <c r="AK54" s="2815" t="s">
        <v>11229</v>
      </c>
      <c r="AL54" s="2579"/>
      <c r="AM54" s="2817"/>
    </row>
    <row r="55" spans="1:39" ht="15.5" x14ac:dyDescent="0.35">
      <c r="A55" s="349"/>
      <c r="B55" s="405">
        <v>10227</v>
      </c>
      <c r="C55" s="405"/>
      <c r="D55" s="358"/>
      <c r="E55" s="837" t="s">
        <v>2895</v>
      </c>
      <c r="F55" s="13">
        <v>5</v>
      </c>
      <c r="G55" s="13">
        <v>5</v>
      </c>
      <c r="H55" s="13">
        <v>6</v>
      </c>
      <c r="I55" s="502"/>
      <c r="J55" s="502"/>
      <c r="K55" s="502"/>
      <c r="L55" s="502"/>
      <c r="M55" s="502"/>
      <c r="N55" s="502"/>
      <c r="O55" s="853"/>
      <c r="P55" s="502"/>
      <c r="Q55" s="933">
        <f>1.76-0.42</f>
        <v>1.34</v>
      </c>
      <c r="R55" s="873"/>
      <c r="S55" s="1748"/>
      <c r="T55" s="705"/>
      <c r="U55" s="705"/>
      <c r="V55" s="705"/>
      <c r="W55" s="17"/>
      <c r="X55" s="17"/>
      <c r="Y55" s="17"/>
      <c r="Z55" s="1686"/>
      <c r="AE55" s="2461"/>
      <c r="AF55" s="68"/>
      <c r="AK55" s="2818" t="s">
        <v>7184</v>
      </c>
      <c r="AL55" s="2821">
        <f>AL56+AL57+AL58+AL59+AL60</f>
        <v>30.767000000000003</v>
      </c>
      <c r="AM55" s="2820">
        <f>AL55-AF31</f>
        <v>0</v>
      </c>
    </row>
    <row r="56" spans="1:39" ht="90.5" x14ac:dyDescent="0.35">
      <c r="A56" s="370">
        <v>12</v>
      </c>
      <c r="B56" s="365">
        <v>10227</v>
      </c>
      <c r="C56" s="365" t="s">
        <v>1656</v>
      </c>
      <c r="D56" s="2464" t="s">
        <v>4336</v>
      </c>
      <c r="E56" s="269" t="s">
        <v>10694</v>
      </c>
      <c r="F56" s="92"/>
      <c r="G56" s="13" t="s">
        <v>191</v>
      </c>
      <c r="H56" s="13" t="s">
        <v>191</v>
      </c>
      <c r="I56" s="501">
        <f>L56+K56+J56</f>
        <v>0.9</v>
      </c>
      <c r="J56" s="501">
        <f>SUM(M56:R56)</f>
        <v>0.9</v>
      </c>
      <c r="K56" s="557"/>
      <c r="L56" s="557"/>
      <c r="M56" s="557"/>
      <c r="N56" s="557">
        <f>SUM(N57:N58)</f>
        <v>0.65</v>
      </c>
      <c r="O56" s="856"/>
      <c r="P56" s="557"/>
      <c r="Q56" s="866"/>
      <c r="R56" s="876">
        <f>SUM(R57:R58)</f>
        <v>0.25</v>
      </c>
      <c r="S56" s="1571"/>
      <c r="T56" s="1571"/>
      <c r="U56" s="1571"/>
      <c r="V56" s="1571"/>
      <c r="W56" s="106"/>
      <c r="X56" s="106"/>
      <c r="Y56" s="46"/>
      <c r="Z56" s="47"/>
      <c r="AB56">
        <v>1</v>
      </c>
      <c r="AE56" s="2461"/>
      <c r="AF56" s="68"/>
      <c r="AK56" s="2815" t="s">
        <v>11230</v>
      </c>
      <c r="AL56" s="2579">
        <f>SUMIFS(M30:M950,F30:F950,4,G30:G950,5)</f>
        <v>0</v>
      </c>
      <c r="AM56" s="2817"/>
    </row>
    <row r="57" spans="1:39" ht="15.5" x14ac:dyDescent="0.35">
      <c r="A57" s="370"/>
      <c r="B57" s="365">
        <v>10227</v>
      </c>
      <c r="C57" s="365"/>
      <c r="D57" s="358"/>
      <c r="E57" s="270" t="s">
        <v>1743</v>
      </c>
      <c r="F57" s="92" t="s">
        <v>1490</v>
      </c>
      <c r="G57" s="13">
        <v>5</v>
      </c>
      <c r="H57" s="13">
        <v>6</v>
      </c>
      <c r="I57" s="558"/>
      <c r="J57" s="558"/>
      <c r="K57" s="558"/>
      <c r="L57" s="558"/>
      <c r="M57" s="558"/>
      <c r="N57" s="1857">
        <f>0.65-0</f>
        <v>0.65</v>
      </c>
      <c r="O57" s="857"/>
      <c r="P57" s="558"/>
      <c r="Q57" s="867"/>
      <c r="R57" s="877"/>
      <c r="S57" s="1571"/>
      <c r="T57" s="1571"/>
      <c r="U57" s="1571"/>
      <c r="V57" s="1571"/>
      <c r="W57" s="106"/>
      <c r="X57" s="106"/>
      <c r="Y57" s="46"/>
      <c r="Z57" s="47"/>
      <c r="AE57" s="2461"/>
      <c r="AF57" s="68"/>
      <c r="AK57" s="2815" t="s">
        <v>11231</v>
      </c>
      <c r="AL57" s="2579">
        <f>SUMIFS(N30:N950,F30:F950,4,G30:G950,5)</f>
        <v>8.484</v>
      </c>
      <c r="AM57" s="2817"/>
    </row>
    <row r="58" spans="1:39" ht="15.5" x14ac:dyDescent="0.35">
      <c r="A58" s="370"/>
      <c r="B58" s="365">
        <v>10227</v>
      </c>
      <c r="C58" s="365"/>
      <c r="D58" s="358"/>
      <c r="E58" s="878" t="s">
        <v>3</v>
      </c>
      <c r="F58" s="92" t="s">
        <v>1490</v>
      </c>
      <c r="G58" s="13">
        <v>5</v>
      </c>
      <c r="H58" s="13">
        <v>6</v>
      </c>
      <c r="I58" s="558"/>
      <c r="J58" s="558"/>
      <c r="K58" s="558"/>
      <c r="L58" s="558"/>
      <c r="M58" s="558"/>
      <c r="N58" s="558"/>
      <c r="O58" s="857"/>
      <c r="P58" s="558"/>
      <c r="Q58" s="867"/>
      <c r="R58" s="1858">
        <f>0.9-0.65</f>
        <v>0.25</v>
      </c>
      <c r="S58" s="1571"/>
      <c r="T58" s="1571"/>
      <c r="U58" s="1571"/>
      <c r="V58" s="1571"/>
      <c r="W58" s="106"/>
      <c r="X58" s="106"/>
      <c r="Y58" s="46"/>
      <c r="Z58" s="47"/>
      <c r="AE58" s="2461"/>
      <c r="AF58" s="68"/>
      <c r="AK58" s="2815" t="s">
        <v>11232</v>
      </c>
      <c r="AL58" s="2579">
        <f>SUMIFS(O30:O950,F30:F950,4,G30:G950,5)</f>
        <v>0</v>
      </c>
      <c r="AM58" s="2817"/>
    </row>
    <row r="59" spans="1:39" ht="113.25" customHeight="1" x14ac:dyDescent="0.4">
      <c r="A59" s="370">
        <v>13</v>
      </c>
      <c r="B59" s="365">
        <v>10227</v>
      </c>
      <c r="C59" s="365" t="s">
        <v>1656</v>
      </c>
      <c r="D59" s="2464" t="s">
        <v>4337</v>
      </c>
      <c r="E59" s="269" t="s">
        <v>11350</v>
      </c>
      <c r="F59" s="1138"/>
      <c r="G59" s="1138" t="s">
        <v>191</v>
      </c>
      <c r="H59" s="1138" t="s">
        <v>191</v>
      </c>
      <c r="I59" s="500">
        <f>L59+K59+J59</f>
        <v>1.42</v>
      </c>
      <c r="J59" s="500">
        <f>SUM(M59:R59)</f>
        <v>0.73</v>
      </c>
      <c r="K59" s="557"/>
      <c r="L59" s="557">
        <f>SUM(L60:L61)</f>
        <v>0.69</v>
      </c>
      <c r="M59" s="557"/>
      <c r="N59" s="557"/>
      <c r="O59" s="856"/>
      <c r="P59" s="557"/>
      <c r="Q59" s="866"/>
      <c r="R59" s="876">
        <f>SUM(R60:R61)</f>
        <v>0.73</v>
      </c>
      <c r="S59" s="1571"/>
      <c r="T59" s="1571"/>
      <c r="U59" s="1571"/>
      <c r="V59" s="1571"/>
      <c r="W59" s="106"/>
      <c r="X59" s="106"/>
      <c r="Y59" s="46"/>
      <c r="Z59" s="47"/>
      <c r="AA59" s="535" t="s">
        <v>10893</v>
      </c>
      <c r="AB59">
        <v>1</v>
      </c>
      <c r="AC59" t="s">
        <v>2570</v>
      </c>
      <c r="AE59" s="2461"/>
      <c r="AF59" s="68"/>
      <c r="AK59" s="2815" t="s">
        <v>11233</v>
      </c>
      <c r="AL59" s="2579">
        <f>SUMIFS(P30:P950,F30:F950,4,G30:G950,5)+SUMIFS(Q30:Q950,F30:F950,4,G30:G950,5)</f>
        <v>22.283000000000001</v>
      </c>
      <c r="AM59" s="2817"/>
    </row>
    <row r="60" spans="1:39" s="2829" customFormat="1" ht="31.5" customHeight="1" x14ac:dyDescent="0.4">
      <c r="A60" s="370"/>
      <c r="B60" s="365"/>
      <c r="C60" s="365"/>
      <c r="D60" s="2464"/>
      <c r="E60" s="459" t="s">
        <v>11253</v>
      </c>
      <c r="F60" s="92" t="s">
        <v>1490</v>
      </c>
      <c r="G60" s="92">
        <v>5</v>
      </c>
      <c r="H60" s="1138" t="s">
        <v>191</v>
      </c>
      <c r="I60" s="831"/>
      <c r="J60" s="831"/>
      <c r="K60" s="558"/>
      <c r="L60" s="558">
        <v>0.69</v>
      </c>
      <c r="M60" s="558"/>
      <c r="N60" s="558"/>
      <c r="O60" s="2832"/>
      <c r="P60" s="558"/>
      <c r="Q60" s="2833"/>
      <c r="R60" s="2834"/>
      <c r="S60" s="1571"/>
      <c r="T60" s="1571"/>
      <c r="U60" s="1571"/>
      <c r="V60" s="1571"/>
      <c r="W60" s="106"/>
      <c r="X60" s="106"/>
      <c r="Y60" s="46"/>
      <c r="Z60" s="47"/>
      <c r="AA60" s="535"/>
      <c r="AE60" s="2461"/>
      <c r="AF60" s="68"/>
      <c r="AK60" s="2815" t="s">
        <v>910</v>
      </c>
      <c r="AL60" s="2579">
        <f>SUMIFS(R30:R950,F30:F950,4,G30:G950,5)</f>
        <v>0</v>
      </c>
      <c r="AM60" s="2817"/>
    </row>
    <row r="61" spans="1:39" s="2829" customFormat="1" ht="18.75" customHeight="1" x14ac:dyDescent="0.4">
      <c r="A61" s="370"/>
      <c r="B61" s="365"/>
      <c r="C61" s="365"/>
      <c r="D61" s="2464"/>
      <c r="E61" s="838" t="s">
        <v>11254</v>
      </c>
      <c r="F61" s="92" t="s">
        <v>1490</v>
      </c>
      <c r="G61" s="92">
        <v>5</v>
      </c>
      <c r="H61" s="13">
        <v>6</v>
      </c>
      <c r="I61" s="502"/>
      <c r="J61" s="502"/>
      <c r="K61" s="558"/>
      <c r="L61" s="558"/>
      <c r="M61" s="558"/>
      <c r="N61" s="558"/>
      <c r="O61" s="2832"/>
      <c r="P61" s="558"/>
      <c r="Q61" s="2833"/>
      <c r="R61" s="2834">
        <f>1.42-0.69</f>
        <v>0.73</v>
      </c>
      <c r="S61" s="1571"/>
      <c r="T61" s="1571"/>
      <c r="U61" s="1571"/>
      <c r="V61" s="1571"/>
      <c r="W61" s="106"/>
      <c r="X61" s="106"/>
      <c r="Y61" s="46"/>
      <c r="Z61" s="47"/>
      <c r="AA61" s="535"/>
      <c r="AE61" s="2461"/>
      <c r="AF61" s="68"/>
      <c r="AK61" s="2818" t="s">
        <v>7185</v>
      </c>
      <c r="AL61" s="2821">
        <f>AL62+AL63+AL64+AL65+AL66</f>
        <v>53.869</v>
      </c>
      <c r="AM61" s="2820">
        <f>AL61-AG31</f>
        <v>0</v>
      </c>
    </row>
    <row r="62" spans="1:39" ht="30" x14ac:dyDescent="0.35">
      <c r="A62" s="347">
        <v>14</v>
      </c>
      <c r="B62" s="358">
        <v>10228</v>
      </c>
      <c r="C62" s="358"/>
      <c r="D62" s="358" t="s">
        <v>3106</v>
      </c>
      <c r="E62" s="511" t="s">
        <v>11351</v>
      </c>
      <c r="F62" s="1138"/>
      <c r="G62" s="1138" t="s">
        <v>191</v>
      </c>
      <c r="H62" s="1138" t="s">
        <v>191</v>
      </c>
      <c r="I62" s="500">
        <f>L62+K62+J62</f>
        <v>33.57</v>
      </c>
      <c r="J62" s="500">
        <f>SUM(M62:R62)</f>
        <v>33.515000000000001</v>
      </c>
      <c r="K62" s="500"/>
      <c r="L62" s="500">
        <f>SUM(L63:L67)</f>
        <v>5.4999999999999938E-2</v>
      </c>
      <c r="M62" s="2705"/>
      <c r="N62" s="500">
        <f>SUM(N63:N67)</f>
        <v>31.085000000000001</v>
      </c>
      <c r="O62" s="2609"/>
      <c r="P62" s="501"/>
      <c r="Q62" s="860">
        <f>SUM(Q63:Q67)</f>
        <v>2.4299999999999997</v>
      </c>
      <c r="R62" s="870"/>
      <c r="S62" s="724">
        <v>1</v>
      </c>
      <c r="T62" s="335">
        <v>45.13</v>
      </c>
      <c r="U62" s="705"/>
      <c r="V62" s="705"/>
      <c r="W62" s="55">
        <v>40</v>
      </c>
      <c r="X62" s="55">
        <v>492.45</v>
      </c>
      <c r="Y62" s="154">
        <v>19</v>
      </c>
      <c r="Z62" s="2355">
        <v>229.95</v>
      </c>
      <c r="AB62">
        <v>1</v>
      </c>
      <c r="AE62" s="2461"/>
      <c r="AF62" s="68"/>
      <c r="AK62" s="2815" t="s">
        <v>11230</v>
      </c>
      <c r="AL62" s="2579">
        <f>SUMIFS(M30:M950,F30:F950,5,G30:G950,5)</f>
        <v>0.08</v>
      </c>
      <c r="AM62" s="2817"/>
    </row>
    <row r="63" spans="1:39" ht="46.5" x14ac:dyDescent="0.35">
      <c r="A63" s="347"/>
      <c r="B63" s="358">
        <v>10228</v>
      </c>
      <c r="C63" s="358"/>
      <c r="D63" s="358"/>
      <c r="E63" s="459" t="s">
        <v>11352</v>
      </c>
      <c r="F63" s="1138">
        <v>4</v>
      </c>
      <c r="G63" s="1138">
        <v>4</v>
      </c>
      <c r="H63" s="1138">
        <v>6</v>
      </c>
      <c r="I63" s="831"/>
      <c r="J63" s="831"/>
      <c r="K63" s="831"/>
      <c r="L63" s="831"/>
      <c r="M63" s="2608"/>
      <c r="N63" s="831">
        <v>0.80700000000000005</v>
      </c>
      <c r="O63" s="2490"/>
      <c r="P63" s="502"/>
      <c r="Q63" s="1859"/>
      <c r="R63" s="1868"/>
      <c r="S63" s="2659"/>
      <c r="T63" s="1138"/>
      <c r="U63" s="705"/>
      <c r="V63" s="705"/>
      <c r="W63" s="15"/>
      <c r="X63" s="15"/>
      <c r="Y63" s="17"/>
      <c r="Z63" s="1686"/>
      <c r="AE63" s="2461"/>
      <c r="AF63" s="68"/>
      <c r="AK63" s="2815" t="s">
        <v>11231</v>
      </c>
      <c r="AL63" s="2579">
        <f>SUMIFS(N30:N950,F30:F950,5,G30:G950,5)</f>
        <v>20.907</v>
      </c>
      <c r="AM63" s="2817"/>
    </row>
    <row r="64" spans="1:39" s="2829" customFormat="1" ht="31" x14ac:dyDescent="0.35">
      <c r="A64" s="347"/>
      <c r="B64" s="358"/>
      <c r="C64" s="358"/>
      <c r="D64" s="358"/>
      <c r="E64" s="270" t="s">
        <v>11250</v>
      </c>
      <c r="F64" s="1138">
        <v>4</v>
      </c>
      <c r="G64" s="1138">
        <v>4</v>
      </c>
      <c r="H64" s="1138" t="s">
        <v>191</v>
      </c>
      <c r="I64" s="831"/>
      <c r="J64" s="831"/>
      <c r="K64" s="831"/>
      <c r="L64" s="831">
        <f>0.862-0.807</f>
        <v>5.4999999999999938E-2</v>
      </c>
      <c r="M64" s="2608"/>
      <c r="N64" s="831"/>
      <c r="O64" s="2490"/>
      <c r="P64" s="502"/>
      <c r="Q64" s="1859"/>
      <c r="R64" s="1868"/>
      <c r="S64" s="2659"/>
      <c r="T64" s="1138"/>
      <c r="U64" s="705"/>
      <c r="V64" s="705"/>
      <c r="W64" s="15"/>
      <c r="X64" s="15"/>
      <c r="Y64" s="17"/>
      <c r="Z64" s="1686"/>
      <c r="AE64" s="2461"/>
      <c r="AF64" s="68"/>
      <c r="AK64" s="2815" t="s">
        <v>11232</v>
      </c>
      <c r="AL64" s="2579">
        <f>SUMIFS(O30:O950,F30:F950,5,G30:G950,5)</f>
        <v>0</v>
      </c>
      <c r="AM64" s="2817"/>
    </row>
    <row r="65" spans="1:39" s="2829" customFormat="1" ht="46.5" x14ac:dyDescent="0.35">
      <c r="A65" s="347"/>
      <c r="B65" s="358"/>
      <c r="C65" s="358"/>
      <c r="D65" s="358"/>
      <c r="E65" s="459" t="s">
        <v>11353</v>
      </c>
      <c r="F65" s="1138">
        <v>4</v>
      </c>
      <c r="G65" s="1138">
        <v>4</v>
      </c>
      <c r="H65" s="1138">
        <v>6</v>
      </c>
      <c r="I65" s="831"/>
      <c r="J65" s="831"/>
      <c r="K65" s="831"/>
      <c r="L65" s="831"/>
      <c r="M65" s="2608"/>
      <c r="N65" s="831">
        <f>0.88-0.862</f>
        <v>1.8000000000000016E-2</v>
      </c>
      <c r="O65" s="2490"/>
      <c r="P65" s="502"/>
      <c r="Q65" s="1859"/>
      <c r="R65" s="1868"/>
      <c r="S65" s="2659"/>
      <c r="T65" s="1138"/>
      <c r="U65" s="705"/>
      <c r="V65" s="705"/>
      <c r="W65" s="15"/>
      <c r="X65" s="15"/>
      <c r="Y65" s="17"/>
      <c r="Z65" s="1686"/>
      <c r="AE65" s="2461"/>
      <c r="AF65" s="68"/>
      <c r="AK65" s="2815" t="s">
        <v>11233</v>
      </c>
      <c r="AL65" s="2579">
        <f>SUMIFS(P30:P950,F30:F950,5,G30:G950,5)+SUMIFS(Q30:Q950,F30:F950,5,G30:G950,5)</f>
        <v>20.756999999999998</v>
      </c>
      <c r="AM65" s="2817"/>
    </row>
    <row r="66" spans="1:39" ht="15.5" x14ac:dyDescent="0.35">
      <c r="A66" s="347"/>
      <c r="B66" s="358">
        <v>10228</v>
      </c>
      <c r="C66" s="358"/>
      <c r="D66" s="358"/>
      <c r="E66" s="459" t="s">
        <v>11252</v>
      </c>
      <c r="F66" s="1138">
        <v>4</v>
      </c>
      <c r="G66" s="1138">
        <v>4</v>
      </c>
      <c r="H66" s="1138">
        <v>6</v>
      </c>
      <c r="I66" s="831"/>
      <c r="J66" s="831"/>
      <c r="K66" s="831"/>
      <c r="L66" s="831"/>
      <c r="M66" s="2608"/>
      <c r="N66" s="831">
        <f>31.14-0.88</f>
        <v>30.26</v>
      </c>
      <c r="O66" s="2490"/>
      <c r="P66" s="502"/>
      <c r="Q66" s="1859"/>
      <c r="R66" s="1868"/>
      <c r="S66" s="2659"/>
      <c r="T66" s="1138"/>
      <c r="U66" s="705"/>
      <c r="V66" s="705"/>
      <c r="W66" s="15"/>
      <c r="X66" s="15"/>
      <c r="Y66" s="17"/>
      <c r="Z66" s="1686"/>
      <c r="AE66" s="2461"/>
      <c r="AF66" s="68"/>
      <c r="AK66" s="2815" t="s">
        <v>910</v>
      </c>
      <c r="AL66" s="2579">
        <f>SUMIFS(R30:R950,F30:F950,5,G30:G950,5)</f>
        <v>12.125</v>
      </c>
      <c r="AM66" s="2817"/>
    </row>
    <row r="67" spans="1:39" ht="15.5" x14ac:dyDescent="0.35">
      <c r="A67" s="347"/>
      <c r="B67" s="358">
        <v>10228</v>
      </c>
      <c r="C67" s="358"/>
      <c r="D67" s="358"/>
      <c r="E67" s="837" t="s">
        <v>11251</v>
      </c>
      <c r="F67" s="13">
        <v>4</v>
      </c>
      <c r="G67" s="13">
        <v>4</v>
      </c>
      <c r="H67" s="13">
        <v>6</v>
      </c>
      <c r="I67" s="502"/>
      <c r="J67" s="502"/>
      <c r="K67" s="502"/>
      <c r="L67" s="502"/>
      <c r="M67" s="502"/>
      <c r="N67" s="502"/>
      <c r="O67" s="2490"/>
      <c r="P67" s="502"/>
      <c r="Q67" s="1859">
        <f>33.57-31.14</f>
        <v>2.4299999999999997</v>
      </c>
      <c r="R67" s="1868"/>
      <c r="S67" s="2659"/>
      <c r="T67" s="1138"/>
      <c r="U67" s="705"/>
      <c r="V67" s="705"/>
      <c r="W67" s="15"/>
      <c r="X67" s="15"/>
      <c r="Y67" s="17"/>
      <c r="Z67" s="1686"/>
      <c r="AE67" s="2461"/>
      <c r="AF67" s="68"/>
      <c r="AK67" s="2818" t="s">
        <v>11234</v>
      </c>
      <c r="AL67" s="2821">
        <f>AL68+AL69+AL70+AL71+AL72</f>
        <v>27.482000000000003</v>
      </c>
      <c r="AM67" s="2820">
        <f>AL67-AH31-AI31-AJ31</f>
        <v>0</v>
      </c>
    </row>
    <row r="68" spans="1:39" ht="30.5" x14ac:dyDescent="0.35">
      <c r="A68" s="349">
        <v>15</v>
      </c>
      <c r="B68" s="405">
        <v>10228</v>
      </c>
      <c r="C68" s="405"/>
      <c r="D68" s="2464" t="s">
        <v>4338</v>
      </c>
      <c r="E68" s="288" t="s">
        <v>9182</v>
      </c>
      <c r="F68" s="13">
        <v>5</v>
      </c>
      <c r="G68" s="13">
        <v>5</v>
      </c>
      <c r="H68" s="13">
        <v>6</v>
      </c>
      <c r="I68" s="501">
        <f>L68+K68+J68</f>
        <v>0.44</v>
      </c>
      <c r="J68" s="501">
        <f>SUM(M68:R68)</f>
        <v>0.44</v>
      </c>
      <c r="K68" s="503"/>
      <c r="L68" s="503"/>
      <c r="M68" s="503"/>
      <c r="N68" s="503"/>
      <c r="O68" s="854"/>
      <c r="P68" s="503"/>
      <c r="Q68" s="860"/>
      <c r="R68" s="874">
        <v>0.44</v>
      </c>
      <c r="S68" s="1748"/>
      <c r="T68" s="705"/>
      <c r="U68" s="705"/>
      <c r="V68" s="705"/>
      <c r="W68" s="15"/>
      <c r="X68" s="15"/>
      <c r="Y68" s="17"/>
      <c r="Z68" s="1686"/>
      <c r="AB68">
        <v>1</v>
      </c>
      <c r="AE68" s="2461"/>
      <c r="AF68" s="68"/>
      <c r="AK68" s="2815" t="s">
        <v>11230</v>
      </c>
      <c r="AL68" s="2579">
        <f>SUMIFS(M30:M950,F30:F950,"6а",G30:G950,5)+SUMIFS(M30:M950,F30:F950,"6б",G30:G950,5)+SUMIFS(M30:M950,F30:F950,"б/к",G30:G950,5)</f>
        <v>0</v>
      </c>
      <c r="AM68" s="2817"/>
    </row>
    <row r="69" spans="1:39" ht="30.5" x14ac:dyDescent="0.35">
      <c r="A69" s="349">
        <v>16</v>
      </c>
      <c r="B69" s="405">
        <v>10228</v>
      </c>
      <c r="C69" s="405"/>
      <c r="D69" s="2464" t="s">
        <v>4339</v>
      </c>
      <c r="E69" s="288" t="s">
        <v>7536</v>
      </c>
      <c r="F69" s="13"/>
      <c r="G69" s="13" t="s">
        <v>191</v>
      </c>
      <c r="H69" s="13" t="s">
        <v>191</v>
      </c>
      <c r="I69" s="501">
        <f>L69+K69+J69</f>
        <v>2.52</v>
      </c>
      <c r="J69" s="501">
        <f>SUM(M69:R69)</f>
        <v>2.52</v>
      </c>
      <c r="K69" s="501"/>
      <c r="L69" s="501"/>
      <c r="M69" s="501"/>
      <c r="N69" s="1799"/>
      <c r="O69" s="851"/>
      <c r="P69" s="501"/>
      <c r="Q69" s="860">
        <f>SUM(Q70:Q71)</f>
        <v>2.44</v>
      </c>
      <c r="R69" s="1854">
        <f>SUM(R70:R71)</f>
        <v>0.08</v>
      </c>
      <c r="S69" s="1748"/>
      <c r="T69" s="705"/>
      <c r="U69" s="705"/>
      <c r="V69" s="705"/>
      <c r="W69" s="17">
        <v>1</v>
      </c>
      <c r="X69" s="17">
        <v>18</v>
      </c>
      <c r="Y69" s="17"/>
      <c r="Z69" s="1686"/>
      <c r="AB69">
        <v>1</v>
      </c>
      <c r="AE69" s="2461"/>
      <c r="AF69" s="68"/>
      <c r="AK69" s="2815" t="s">
        <v>11231</v>
      </c>
      <c r="AL69" s="2579">
        <f>SUMIFS(N30:N950,F30:F950,"6а",G30:G950,5)+SUMIFS(N30:N950,F30:F950,"6б",G30:G950,5)+SUMIFS(N30:N950,F30:F950,"б/к",G30:G950,5)</f>
        <v>6.6119999999999992</v>
      </c>
      <c r="AM69" s="2817"/>
    </row>
    <row r="70" spans="1:39" ht="15.5" x14ac:dyDescent="0.35">
      <c r="A70" s="349"/>
      <c r="B70" s="405">
        <v>10228</v>
      </c>
      <c r="C70" s="405"/>
      <c r="D70" s="358"/>
      <c r="E70" s="837" t="s">
        <v>2178</v>
      </c>
      <c r="F70" s="13">
        <v>5</v>
      </c>
      <c r="G70" s="13">
        <v>5</v>
      </c>
      <c r="H70" s="13">
        <v>6</v>
      </c>
      <c r="I70" s="502"/>
      <c r="J70" s="502"/>
      <c r="K70" s="502"/>
      <c r="L70" s="502"/>
      <c r="M70" s="502"/>
      <c r="N70" s="502"/>
      <c r="O70" s="853"/>
      <c r="P70" s="502"/>
      <c r="Q70" s="863">
        <v>2.44</v>
      </c>
      <c r="R70" s="873"/>
      <c r="S70" s="1748"/>
      <c r="T70" s="705"/>
      <c r="U70" s="705"/>
      <c r="V70" s="705"/>
      <c r="W70" s="17"/>
      <c r="X70" s="17"/>
      <c r="Y70" s="17"/>
      <c r="Z70" s="1686"/>
      <c r="AE70" s="2461"/>
      <c r="AF70" s="68"/>
      <c r="AK70" s="2815" t="s">
        <v>11232</v>
      </c>
      <c r="AL70" s="2579">
        <f>SUMIFS(O30:O950,F30:F950,"6а",G30:G950,5)+SUMIFS(O30:O950,F30:F950,"6б",G30:G950,5)+SUMIFS(O30:O950,F30:F950,"б/к",G30:G950,5)</f>
        <v>0</v>
      </c>
      <c r="AM70" s="2817"/>
    </row>
    <row r="71" spans="1:39" ht="15.5" x14ac:dyDescent="0.35">
      <c r="A71" s="349"/>
      <c r="B71" s="405">
        <v>10228</v>
      </c>
      <c r="C71" s="405"/>
      <c r="D71" s="358"/>
      <c r="E71" s="838" t="s">
        <v>2179</v>
      </c>
      <c r="F71" s="13">
        <v>5</v>
      </c>
      <c r="G71" s="13">
        <v>5</v>
      </c>
      <c r="H71" s="13">
        <v>6</v>
      </c>
      <c r="I71" s="502"/>
      <c r="J71" s="502"/>
      <c r="K71" s="502"/>
      <c r="L71" s="502"/>
      <c r="M71" s="502"/>
      <c r="N71" s="502"/>
      <c r="O71" s="853"/>
      <c r="P71" s="502"/>
      <c r="Q71" s="863"/>
      <c r="R71" s="873">
        <v>0.08</v>
      </c>
      <c r="S71" s="1748"/>
      <c r="T71" s="705"/>
      <c r="U71" s="705"/>
      <c r="V71" s="705"/>
      <c r="W71" s="17"/>
      <c r="X71" s="17"/>
      <c r="Y71" s="17"/>
      <c r="Z71" s="1686"/>
      <c r="AE71" s="2461"/>
      <c r="AF71" s="68"/>
      <c r="AK71" s="2815" t="s">
        <v>11233</v>
      </c>
      <c r="AL71" s="2579">
        <f>SUMIFS(P30:P950,F30:F950,"6а",G30:G950,5)+SUMIFS(Q30:Q950,F30:F950,"6а",G30:G950,5)+SUMIFS(P30:P950,F30:F950,"6б",G30:G950,5)+SUMIFS(Q30:Q950,F30:F950,"6б",G30:G950,5)+SUMIFS(P30:P950,F30:F950,"б/к",G30:G950,5)+SUMIFS(Q30:Q950,F30:F950,"б/к",G30:G950,5)</f>
        <v>2.0699999999999998</v>
      </c>
      <c r="AM71" s="2817"/>
    </row>
    <row r="72" spans="1:39" ht="30.5" x14ac:dyDescent="0.35">
      <c r="A72" s="349">
        <v>17</v>
      </c>
      <c r="B72" s="405">
        <v>10228</v>
      </c>
      <c r="C72" s="405"/>
      <c r="D72" s="2464" t="s">
        <v>4340</v>
      </c>
      <c r="E72" s="288" t="s">
        <v>7537</v>
      </c>
      <c r="F72" s="13">
        <v>5</v>
      </c>
      <c r="G72" s="13">
        <v>5</v>
      </c>
      <c r="H72" s="13">
        <v>6</v>
      </c>
      <c r="I72" s="501">
        <f>L72+K72+J72</f>
        <v>0.8</v>
      </c>
      <c r="J72" s="501">
        <f>SUM(M72:R72)</f>
        <v>0.8</v>
      </c>
      <c r="K72" s="501"/>
      <c r="L72" s="501"/>
      <c r="M72" s="501"/>
      <c r="N72" s="501">
        <v>0.8</v>
      </c>
      <c r="O72" s="851"/>
      <c r="P72" s="501"/>
      <c r="Q72" s="860"/>
      <c r="R72" s="870"/>
      <c r="S72" s="1748"/>
      <c r="T72" s="705"/>
      <c r="U72" s="705"/>
      <c r="V72" s="705"/>
      <c r="W72" s="17"/>
      <c r="X72" s="17"/>
      <c r="Y72" s="17"/>
      <c r="Z72" s="1686"/>
      <c r="AB72">
        <v>1</v>
      </c>
      <c r="AE72" s="2461"/>
      <c r="AF72" s="68"/>
      <c r="AK72" s="2815" t="s">
        <v>910</v>
      </c>
      <c r="AL72" s="2579">
        <f>SUMIFS(R30:R950,F30:F950,"6а",G30:G950,5)+SUMIFS(R30:R950,F30:F950,"6б",G30:G950,5)+SUMIFS(R30:R950,F30:F950,"б/к",G30:G950,5)</f>
        <v>18.800000000000004</v>
      </c>
      <c r="AM72" s="2817"/>
    </row>
    <row r="73" spans="1:39" ht="30.5" x14ac:dyDescent="0.35">
      <c r="A73" s="347">
        <v>18</v>
      </c>
      <c r="B73" s="358">
        <v>10228</v>
      </c>
      <c r="C73" s="1005" t="s">
        <v>1656</v>
      </c>
      <c r="D73" s="2464" t="s">
        <v>4341</v>
      </c>
      <c r="E73" s="511" t="s">
        <v>9234</v>
      </c>
      <c r="F73" s="1138" t="s">
        <v>664</v>
      </c>
      <c r="G73" s="13">
        <v>5</v>
      </c>
      <c r="H73" s="13">
        <v>6</v>
      </c>
      <c r="I73" s="297">
        <f>J73+K73+L73</f>
        <v>0.12</v>
      </c>
      <c r="J73" s="501">
        <f>SUM(M73:R73)</f>
        <v>0.12</v>
      </c>
      <c r="K73" s="501"/>
      <c r="L73" s="501"/>
      <c r="M73" s="501"/>
      <c r="N73" s="501">
        <v>0.12</v>
      </c>
      <c r="O73" s="851"/>
      <c r="P73" s="501"/>
      <c r="Q73" s="860"/>
      <c r="R73" s="870"/>
      <c r="S73" s="724"/>
      <c r="T73" s="335"/>
      <c r="U73" s="705"/>
      <c r="V73" s="705"/>
      <c r="W73" s="15"/>
      <c r="X73" s="15"/>
      <c r="Y73" s="17"/>
      <c r="Z73" s="1686"/>
      <c r="AB73">
        <v>1</v>
      </c>
      <c r="AE73" s="2461"/>
      <c r="AF73" s="68"/>
      <c r="AK73" s="2815"/>
      <c r="AL73" s="2579"/>
      <c r="AM73" s="2817"/>
    </row>
    <row r="74" spans="1:39" ht="30.5" x14ac:dyDescent="0.35">
      <c r="A74" s="370">
        <v>19</v>
      </c>
      <c r="B74" s="365">
        <v>10228</v>
      </c>
      <c r="C74" s="365" t="s">
        <v>1656</v>
      </c>
      <c r="D74" s="2464" t="s">
        <v>4342</v>
      </c>
      <c r="E74" s="269" t="s">
        <v>9235</v>
      </c>
      <c r="F74" s="92" t="s">
        <v>1490</v>
      </c>
      <c r="G74" s="92">
        <v>5</v>
      </c>
      <c r="H74" s="13">
        <v>6</v>
      </c>
      <c r="I74" s="501">
        <f>L74+K74+J74</f>
        <v>0.1</v>
      </c>
      <c r="J74" s="501">
        <f>SUM(M74:R74)</f>
        <v>0.1</v>
      </c>
      <c r="K74" s="557"/>
      <c r="L74" s="557"/>
      <c r="M74" s="557"/>
      <c r="N74" s="557">
        <v>0.1</v>
      </c>
      <c r="O74" s="856"/>
      <c r="P74" s="557"/>
      <c r="Q74" s="866"/>
      <c r="R74" s="876"/>
      <c r="S74" s="1571"/>
      <c r="T74" s="1571"/>
      <c r="U74" s="1571"/>
      <c r="V74" s="1571"/>
      <c r="W74" s="106"/>
      <c r="X74" s="106"/>
      <c r="Y74" s="46"/>
      <c r="Z74" s="47"/>
      <c r="AB74">
        <v>1</v>
      </c>
      <c r="AE74" s="2461"/>
      <c r="AF74" s="68"/>
      <c r="AK74" s="2822" t="s">
        <v>11237</v>
      </c>
      <c r="AL74" s="2823">
        <f>AL11+AL32+AL53</f>
        <v>403.42400000000004</v>
      </c>
      <c r="AM74" s="2824">
        <f>AL74-J10</f>
        <v>0</v>
      </c>
    </row>
    <row r="75" spans="1:39" ht="30.5" x14ac:dyDescent="0.35">
      <c r="A75" s="347">
        <v>20</v>
      </c>
      <c r="B75" s="358">
        <v>10229</v>
      </c>
      <c r="C75" s="358"/>
      <c r="D75" s="358" t="s">
        <v>3107</v>
      </c>
      <c r="E75" s="288" t="s">
        <v>1344</v>
      </c>
      <c r="F75" s="13"/>
      <c r="G75" s="13" t="s">
        <v>191</v>
      </c>
      <c r="H75" s="13" t="s">
        <v>191</v>
      </c>
      <c r="I75" s="501">
        <f>L75+K75+J75</f>
        <v>34.130000000000003</v>
      </c>
      <c r="J75" s="501">
        <f>SUM(M75:R75)</f>
        <v>27.901000000000003</v>
      </c>
      <c r="K75" s="501"/>
      <c r="L75" s="501">
        <f>SUM(L76:L88)</f>
        <v>6.2289999999999992</v>
      </c>
      <c r="M75" s="501"/>
      <c r="N75" s="501">
        <f>SUM(N76:N87)</f>
        <v>15.062000000000001</v>
      </c>
      <c r="O75" s="851"/>
      <c r="P75" s="501"/>
      <c r="Q75" s="860">
        <f>SUM(Q76:Q87)</f>
        <v>12.839000000000002</v>
      </c>
      <c r="R75" s="870"/>
      <c r="S75" s="724">
        <v>1</v>
      </c>
      <c r="T75" s="335">
        <v>91</v>
      </c>
      <c r="U75" s="705"/>
      <c r="V75" s="705"/>
      <c r="W75" s="15">
        <v>47</v>
      </c>
      <c r="X75" s="15">
        <v>623.9</v>
      </c>
      <c r="Y75" s="17">
        <v>19</v>
      </c>
      <c r="Z75" s="1686">
        <v>205.6</v>
      </c>
      <c r="AB75">
        <v>1</v>
      </c>
      <c r="AE75" s="2461"/>
      <c r="AF75" s="68"/>
      <c r="AK75" s="2825" t="s">
        <v>11238</v>
      </c>
      <c r="AL75" s="2826">
        <f>AL34+AL55+AL13</f>
        <v>312.79900000000004</v>
      </c>
      <c r="AM75" s="2827">
        <f>AL75-J12</f>
        <v>0</v>
      </c>
    </row>
    <row r="76" spans="1:39" ht="15.5" x14ac:dyDescent="0.35">
      <c r="A76" s="347"/>
      <c r="B76" s="358">
        <v>10229</v>
      </c>
      <c r="C76" s="358"/>
      <c r="D76" s="358"/>
      <c r="E76" s="289" t="s">
        <v>450</v>
      </c>
      <c r="F76" s="13">
        <v>4</v>
      </c>
      <c r="G76" s="13">
        <v>4</v>
      </c>
      <c r="H76" s="13">
        <v>6</v>
      </c>
      <c r="I76" s="502"/>
      <c r="J76" s="502"/>
      <c r="K76" s="502"/>
      <c r="L76" s="502"/>
      <c r="M76" s="502"/>
      <c r="N76" s="502">
        <v>0.88400000000000001</v>
      </c>
      <c r="O76" s="853"/>
      <c r="P76" s="502"/>
      <c r="Q76" s="863"/>
      <c r="R76" s="873"/>
      <c r="S76" s="724"/>
      <c r="T76" s="335"/>
      <c r="U76" s="705"/>
      <c r="V76" s="705"/>
      <c r="W76" s="15"/>
      <c r="X76" s="15"/>
      <c r="Y76" s="17"/>
      <c r="Z76" s="1686"/>
      <c r="AE76" s="2461"/>
      <c r="AF76" s="68"/>
      <c r="AK76" s="2828" t="s">
        <v>11239</v>
      </c>
      <c r="AL76" s="2826">
        <f>AL19+AL40+AL61</f>
        <v>63.143000000000001</v>
      </c>
      <c r="AM76" s="2827">
        <f>AL76-J13</f>
        <v>0</v>
      </c>
    </row>
    <row r="77" spans="1:39" ht="46.5" x14ac:dyDescent="0.35">
      <c r="A77" s="347"/>
      <c r="B77" s="358">
        <v>10229</v>
      </c>
      <c r="C77" s="358"/>
      <c r="D77" s="358"/>
      <c r="E77" s="459" t="s">
        <v>10942</v>
      </c>
      <c r="F77" s="13">
        <v>4</v>
      </c>
      <c r="G77" s="13">
        <v>4</v>
      </c>
      <c r="H77" s="13" t="s">
        <v>191</v>
      </c>
      <c r="I77" s="502"/>
      <c r="J77" s="502"/>
      <c r="K77" s="502"/>
      <c r="L77" s="502">
        <f>2.9-0.884</f>
        <v>2.016</v>
      </c>
      <c r="M77" s="502"/>
      <c r="N77" s="502"/>
      <c r="O77" s="853"/>
      <c r="P77" s="502"/>
      <c r="Q77" s="863"/>
      <c r="R77" s="873"/>
      <c r="S77" s="724"/>
      <c r="T77" s="335"/>
      <c r="U77" s="705"/>
      <c r="V77" s="705"/>
      <c r="W77" s="15"/>
      <c r="X77" s="15"/>
      <c r="Y77" s="17"/>
      <c r="Z77" s="1686"/>
      <c r="AE77" s="2461"/>
      <c r="AF77" s="68"/>
      <c r="AK77" s="2828" t="s">
        <v>11240</v>
      </c>
      <c r="AL77" s="2826">
        <f>AL25+AL46+AL67</f>
        <v>27.482000000000003</v>
      </c>
      <c r="AM77" s="2827">
        <f>AL77-J14</f>
        <v>0</v>
      </c>
    </row>
    <row r="78" spans="1:39" ht="15.5" x14ac:dyDescent="0.35">
      <c r="A78" s="347"/>
      <c r="B78" s="358">
        <v>10229</v>
      </c>
      <c r="C78" s="358"/>
      <c r="D78" s="358"/>
      <c r="E78" s="837" t="s">
        <v>1938</v>
      </c>
      <c r="F78" s="13">
        <v>4</v>
      </c>
      <c r="G78" s="13">
        <v>4</v>
      </c>
      <c r="H78" s="13">
        <v>6</v>
      </c>
      <c r="I78" s="502"/>
      <c r="J78" s="502"/>
      <c r="K78" s="502"/>
      <c r="L78" s="502"/>
      <c r="M78" s="502"/>
      <c r="N78" s="502"/>
      <c r="O78" s="853"/>
      <c r="P78" s="502"/>
      <c r="Q78" s="863">
        <f>6.124-2.9</f>
        <v>3.2239999999999998</v>
      </c>
      <c r="R78" s="873"/>
      <c r="S78" s="724"/>
      <c r="T78" s="335"/>
      <c r="U78" s="705"/>
      <c r="V78" s="705"/>
      <c r="W78" s="15"/>
      <c r="X78" s="15"/>
      <c r="Y78" s="17"/>
      <c r="Z78" s="1686"/>
      <c r="AE78" s="2461"/>
      <c r="AF78" s="68"/>
      <c r="AK78" s="2828"/>
      <c r="AL78" s="2826"/>
      <c r="AM78" s="2827"/>
    </row>
    <row r="79" spans="1:39" ht="15.5" x14ac:dyDescent="0.35">
      <c r="A79" s="347"/>
      <c r="B79" s="358">
        <v>10229</v>
      </c>
      <c r="C79" s="358"/>
      <c r="D79" s="358"/>
      <c r="E79" s="289" t="s">
        <v>1730</v>
      </c>
      <c r="F79" s="13">
        <v>4</v>
      </c>
      <c r="G79" s="13">
        <v>4</v>
      </c>
      <c r="H79" s="13">
        <v>6</v>
      </c>
      <c r="I79" s="502"/>
      <c r="J79" s="502"/>
      <c r="K79" s="502"/>
      <c r="L79" s="502"/>
      <c r="M79" s="502"/>
      <c r="N79" s="502">
        <f>7.54-6.124</f>
        <v>1.4160000000000004</v>
      </c>
      <c r="O79" s="853"/>
      <c r="P79" s="502"/>
      <c r="Q79" s="863"/>
      <c r="R79" s="873"/>
      <c r="S79" s="724"/>
      <c r="T79" s="335"/>
      <c r="U79" s="705"/>
      <c r="V79" s="705"/>
      <c r="W79" s="15"/>
      <c r="X79" s="15"/>
      <c r="Y79" s="17"/>
      <c r="Z79" s="1686"/>
      <c r="AE79" s="2461"/>
      <c r="AF79" s="68"/>
      <c r="AK79" s="2828"/>
      <c r="AL79" s="2826"/>
      <c r="AM79" s="2827"/>
    </row>
    <row r="80" spans="1:39" ht="15.5" x14ac:dyDescent="0.35">
      <c r="A80" s="347"/>
      <c r="B80" s="358">
        <v>10229</v>
      </c>
      <c r="C80" s="358"/>
      <c r="D80" s="358"/>
      <c r="E80" s="837" t="s">
        <v>1116</v>
      </c>
      <c r="F80" s="13">
        <v>4</v>
      </c>
      <c r="G80" s="13">
        <v>4</v>
      </c>
      <c r="H80" s="13">
        <v>6</v>
      </c>
      <c r="I80" s="502"/>
      <c r="J80" s="502"/>
      <c r="K80" s="502"/>
      <c r="L80" s="502"/>
      <c r="M80" s="502"/>
      <c r="N80" s="502"/>
      <c r="O80" s="853"/>
      <c r="P80" s="502"/>
      <c r="Q80" s="863">
        <f>8.777-7.54</f>
        <v>1.2369999999999992</v>
      </c>
      <c r="R80" s="873"/>
      <c r="S80" s="724"/>
      <c r="T80" s="335"/>
      <c r="U80" s="705"/>
      <c r="V80" s="705"/>
      <c r="W80" s="15"/>
      <c r="X80" s="15"/>
      <c r="Y80" s="17"/>
      <c r="Z80" s="1686"/>
      <c r="AE80" s="2461"/>
      <c r="AF80" s="68"/>
    </row>
    <row r="81" spans="1:32" ht="31" x14ac:dyDescent="0.35">
      <c r="A81" s="347"/>
      <c r="B81" s="358">
        <v>10229</v>
      </c>
      <c r="C81" s="358"/>
      <c r="D81" s="358"/>
      <c r="E81" s="289" t="s">
        <v>2157</v>
      </c>
      <c r="F81" s="13">
        <v>4</v>
      </c>
      <c r="G81" s="13">
        <v>4</v>
      </c>
      <c r="H81" s="13" t="s">
        <v>191</v>
      </c>
      <c r="I81" s="502"/>
      <c r="J81" s="502"/>
      <c r="K81" s="502"/>
      <c r="L81" s="502">
        <f>12.107-8.777</f>
        <v>3.33</v>
      </c>
      <c r="M81" s="502"/>
      <c r="N81" s="502"/>
      <c r="O81" s="853"/>
      <c r="P81" s="502"/>
      <c r="Q81" s="863"/>
      <c r="R81" s="873"/>
      <c r="S81" s="724"/>
      <c r="T81" s="335"/>
      <c r="U81" s="705"/>
      <c r="V81" s="705"/>
      <c r="W81" s="15"/>
      <c r="X81" s="15"/>
      <c r="Y81" s="17"/>
      <c r="Z81" s="1686"/>
      <c r="AE81" s="2461"/>
      <c r="AF81" s="68"/>
    </row>
    <row r="82" spans="1:32" ht="15.5" x14ac:dyDescent="0.35">
      <c r="A82" s="347"/>
      <c r="B82" s="358">
        <v>10229</v>
      </c>
      <c r="C82" s="358"/>
      <c r="D82" s="358"/>
      <c r="E82" s="289" t="s">
        <v>10798</v>
      </c>
      <c r="F82" s="13">
        <v>4</v>
      </c>
      <c r="G82" s="13">
        <v>4</v>
      </c>
      <c r="H82" s="13">
        <v>6</v>
      </c>
      <c r="I82" s="502"/>
      <c r="J82" s="502"/>
      <c r="K82" s="502"/>
      <c r="L82" s="502"/>
      <c r="M82" s="502"/>
      <c r="N82" s="502">
        <f>21.734-12.107</f>
        <v>9.6270000000000024</v>
      </c>
      <c r="O82" s="853"/>
      <c r="P82" s="502"/>
      <c r="Q82" s="863"/>
      <c r="R82" s="873"/>
      <c r="S82" s="724"/>
      <c r="T82" s="335"/>
      <c r="U82" s="705"/>
      <c r="V82" s="705"/>
      <c r="W82" s="15"/>
      <c r="X82" s="15"/>
      <c r="Y82" s="17"/>
      <c r="Z82" s="1686"/>
      <c r="AE82" s="2461"/>
      <c r="AF82" s="68"/>
    </row>
    <row r="83" spans="1:32" ht="77.5" x14ac:dyDescent="0.35">
      <c r="A83" s="347"/>
      <c r="B83" s="358">
        <v>10229</v>
      </c>
      <c r="C83" s="358"/>
      <c r="D83" s="358"/>
      <c r="E83" s="289" t="s">
        <v>9763</v>
      </c>
      <c r="F83" s="13">
        <v>4</v>
      </c>
      <c r="G83" s="13">
        <v>4</v>
      </c>
      <c r="H83" s="13" t="s">
        <v>191</v>
      </c>
      <c r="I83" s="502"/>
      <c r="J83" s="502"/>
      <c r="K83" s="502"/>
      <c r="L83" s="502">
        <f>22.617-21.734</f>
        <v>0.88299999999999912</v>
      </c>
      <c r="M83" s="502"/>
      <c r="N83" s="502"/>
      <c r="O83" s="853"/>
      <c r="P83" s="502"/>
      <c r="Q83" s="863"/>
      <c r="R83" s="873"/>
      <c r="S83" s="724"/>
      <c r="T83" s="335"/>
      <c r="U83" s="705"/>
      <c r="V83" s="705"/>
      <c r="W83" s="15"/>
      <c r="X83" s="15"/>
      <c r="Y83" s="17"/>
      <c r="Z83" s="1686"/>
      <c r="AE83" s="2461"/>
      <c r="AF83" s="68"/>
    </row>
    <row r="84" spans="1:32" s="2716" customFormat="1" ht="15.5" x14ac:dyDescent="0.35">
      <c r="A84" s="347"/>
      <c r="B84" s="358"/>
      <c r="C84" s="358"/>
      <c r="D84" s="358"/>
      <c r="E84" s="289" t="s">
        <v>10799</v>
      </c>
      <c r="F84" s="13">
        <v>4</v>
      </c>
      <c r="G84" s="13">
        <v>4</v>
      </c>
      <c r="H84" s="13">
        <v>6</v>
      </c>
      <c r="I84" s="502"/>
      <c r="J84" s="502"/>
      <c r="K84" s="502"/>
      <c r="L84" s="502"/>
      <c r="M84" s="502"/>
      <c r="N84" s="502">
        <f>24-22.617</f>
        <v>1.3829999999999991</v>
      </c>
      <c r="O84" s="853"/>
      <c r="P84" s="502"/>
      <c r="Q84" s="863"/>
      <c r="R84" s="873"/>
      <c r="S84" s="724"/>
      <c r="T84" s="335"/>
      <c r="U84" s="705"/>
      <c r="V84" s="705"/>
      <c r="W84" s="15"/>
      <c r="X84" s="15"/>
      <c r="Y84" s="17"/>
      <c r="Z84" s="1686"/>
      <c r="AE84" s="2461"/>
      <c r="AF84" s="68"/>
    </row>
    <row r="85" spans="1:32" ht="15.5" x14ac:dyDescent="0.35">
      <c r="A85" s="347"/>
      <c r="B85" s="358">
        <v>10229</v>
      </c>
      <c r="C85" s="358"/>
      <c r="D85" s="358"/>
      <c r="E85" s="837" t="s">
        <v>10800</v>
      </c>
      <c r="F85" s="13">
        <v>4</v>
      </c>
      <c r="G85" s="13">
        <v>4</v>
      </c>
      <c r="H85" s="13">
        <v>6</v>
      </c>
      <c r="I85" s="502"/>
      <c r="J85" s="502"/>
      <c r="K85" s="502"/>
      <c r="L85" s="502"/>
      <c r="M85" s="502"/>
      <c r="N85" s="502"/>
      <c r="O85" s="853"/>
      <c r="P85" s="502"/>
      <c r="Q85" s="863">
        <f>27.148-24</f>
        <v>3.1479999999999997</v>
      </c>
      <c r="R85" s="873"/>
      <c r="S85" s="724"/>
      <c r="T85" s="335"/>
      <c r="U85" s="705"/>
      <c r="V85" s="705"/>
      <c r="W85" s="15"/>
      <c r="X85" s="15"/>
      <c r="Y85" s="17"/>
      <c r="Z85" s="1686"/>
      <c r="AE85" s="2461"/>
      <c r="AF85" s="68"/>
    </row>
    <row r="86" spans="1:32" ht="15.5" x14ac:dyDescent="0.35">
      <c r="A86" s="347"/>
      <c r="B86" s="358">
        <v>10229</v>
      </c>
      <c r="C86" s="358"/>
      <c r="D86" s="358"/>
      <c r="E86" s="289" t="s">
        <v>355</v>
      </c>
      <c r="F86" s="13">
        <v>4</v>
      </c>
      <c r="G86" s="13">
        <v>4</v>
      </c>
      <c r="H86" s="13">
        <v>6</v>
      </c>
      <c r="I86" s="502"/>
      <c r="J86" s="502"/>
      <c r="K86" s="502"/>
      <c r="L86" s="502"/>
      <c r="M86" s="502"/>
      <c r="N86" s="502">
        <f>28.9-27.148</f>
        <v>1.7519999999999989</v>
      </c>
      <c r="O86" s="853"/>
      <c r="P86" s="502"/>
      <c r="Q86" s="863"/>
      <c r="R86" s="873"/>
      <c r="S86" s="724"/>
      <c r="T86" s="335"/>
      <c r="U86" s="705"/>
      <c r="V86" s="705"/>
      <c r="W86" s="15"/>
      <c r="X86" s="15"/>
      <c r="Y86" s="17"/>
      <c r="Z86" s="1686"/>
      <c r="AE86" s="2461"/>
      <c r="AF86" s="68"/>
    </row>
    <row r="87" spans="1:32" ht="15.5" x14ac:dyDescent="0.35">
      <c r="A87" s="347"/>
      <c r="B87" s="358">
        <v>10229</v>
      </c>
      <c r="C87" s="358"/>
      <c r="D87" s="358"/>
      <c r="E87" s="837" t="s">
        <v>1939</v>
      </c>
      <c r="F87" s="13">
        <v>4</v>
      </c>
      <c r="G87" s="13">
        <v>4</v>
      </c>
      <c r="H87" s="13">
        <v>6</v>
      </c>
      <c r="I87" s="502"/>
      <c r="J87" s="502"/>
      <c r="K87" s="502"/>
      <c r="L87" s="502"/>
      <c r="M87" s="502"/>
      <c r="N87" s="502"/>
      <c r="O87" s="853"/>
      <c r="P87" s="502"/>
      <c r="Q87" s="863">
        <f>34.13-28.9</f>
        <v>5.230000000000004</v>
      </c>
      <c r="R87" s="873"/>
      <c r="S87" s="724"/>
      <c r="T87" s="335"/>
      <c r="U87" s="705"/>
      <c r="V87" s="705"/>
      <c r="W87" s="15"/>
      <c r="X87" s="15"/>
      <c r="Y87" s="17"/>
      <c r="Z87" s="1686"/>
      <c r="AE87" s="2461"/>
      <c r="AF87" s="68"/>
    </row>
    <row r="88" spans="1:32" ht="30.5" x14ac:dyDescent="0.35">
      <c r="A88" s="347">
        <v>21</v>
      </c>
      <c r="B88" s="358">
        <v>10229</v>
      </c>
      <c r="C88" s="358"/>
      <c r="D88" s="2464" t="s">
        <v>4343</v>
      </c>
      <c r="E88" s="511" t="s">
        <v>7538</v>
      </c>
      <c r="F88" s="13">
        <v>4</v>
      </c>
      <c r="G88" s="13">
        <v>4</v>
      </c>
      <c r="H88" s="13">
        <v>6</v>
      </c>
      <c r="I88" s="501">
        <f>L88+K88+J88</f>
        <v>0.5</v>
      </c>
      <c r="J88" s="501">
        <f>SUM(M88:R88)</f>
        <v>0.5</v>
      </c>
      <c r="K88" s="502"/>
      <c r="L88" s="502"/>
      <c r="M88" s="502"/>
      <c r="N88" s="501">
        <v>0.5</v>
      </c>
      <c r="O88" s="853"/>
      <c r="P88" s="502"/>
      <c r="Q88" s="863"/>
      <c r="R88" s="873"/>
      <c r="S88" s="724"/>
      <c r="T88" s="335"/>
      <c r="U88" s="705"/>
      <c r="V88" s="705"/>
      <c r="W88" s="15">
        <v>1</v>
      </c>
      <c r="X88" s="15">
        <v>12.1</v>
      </c>
      <c r="Y88" s="17"/>
      <c r="Z88" s="1686"/>
      <c r="AB88">
        <v>1</v>
      </c>
      <c r="AE88" s="2461"/>
      <c r="AF88" s="68"/>
    </row>
    <row r="89" spans="1:32" ht="30.5" x14ac:dyDescent="0.35">
      <c r="A89" s="349">
        <v>22</v>
      </c>
      <c r="B89" s="405">
        <v>10229</v>
      </c>
      <c r="C89" s="405"/>
      <c r="D89" s="2464" t="s">
        <v>4344</v>
      </c>
      <c r="E89" s="288" t="s">
        <v>7539</v>
      </c>
      <c r="F89" s="13">
        <v>5</v>
      </c>
      <c r="G89" s="13">
        <v>5</v>
      </c>
      <c r="H89" s="13">
        <v>6</v>
      </c>
      <c r="I89" s="501">
        <f>L89+K89+J89</f>
        <v>1.05</v>
      </c>
      <c r="J89" s="501">
        <f>SUM(M89:R89)</f>
        <v>1.05</v>
      </c>
      <c r="K89" s="503"/>
      <c r="L89" s="503"/>
      <c r="M89" s="503"/>
      <c r="N89" s="503">
        <v>1.05</v>
      </c>
      <c r="O89" s="854"/>
      <c r="P89" s="503"/>
      <c r="Q89" s="860"/>
      <c r="R89" s="874"/>
      <c r="S89" s="1748"/>
      <c r="T89" s="705"/>
      <c r="U89" s="705"/>
      <c r="V89" s="705"/>
      <c r="W89" s="15">
        <v>1</v>
      </c>
      <c r="X89" s="15">
        <v>15.1</v>
      </c>
      <c r="Y89" s="17"/>
      <c r="Z89" s="1686"/>
      <c r="AB89">
        <v>1</v>
      </c>
      <c r="AE89" s="2461"/>
      <c r="AF89" s="68"/>
    </row>
    <row r="90" spans="1:32" ht="45.5" x14ac:dyDescent="0.35">
      <c r="A90" s="349">
        <v>23</v>
      </c>
      <c r="B90" s="405">
        <v>10229</v>
      </c>
      <c r="C90" s="405"/>
      <c r="D90" s="2464" t="s">
        <v>4345</v>
      </c>
      <c r="E90" s="288" t="s">
        <v>9709</v>
      </c>
      <c r="F90" s="13"/>
      <c r="G90" s="13" t="s">
        <v>191</v>
      </c>
      <c r="H90" s="13" t="s">
        <v>191</v>
      </c>
      <c r="I90" s="501">
        <f>L90+K90+J90</f>
        <v>1.5899999999999999</v>
      </c>
      <c r="J90" s="501">
        <f>SUM(M90:R90)</f>
        <v>1.5899999999999999</v>
      </c>
      <c r="K90" s="503"/>
      <c r="L90" s="503"/>
      <c r="M90" s="503"/>
      <c r="N90" s="503">
        <f>SUM(N91:N92)</f>
        <v>0.73299999999999998</v>
      </c>
      <c r="O90" s="854"/>
      <c r="P90" s="503"/>
      <c r="Q90" s="860"/>
      <c r="R90" s="874">
        <f>SUM(R91:R92)</f>
        <v>0.85699999999999998</v>
      </c>
      <c r="S90" s="1748"/>
      <c r="T90" s="705"/>
      <c r="U90" s="705"/>
      <c r="V90" s="705"/>
      <c r="W90" s="15"/>
      <c r="X90" s="15"/>
      <c r="Y90" s="17"/>
      <c r="Z90" s="1686"/>
      <c r="AB90">
        <v>1</v>
      </c>
      <c r="AE90" s="2461"/>
      <c r="AF90" s="68"/>
    </row>
    <row r="91" spans="1:32" ht="15.5" x14ac:dyDescent="0.35">
      <c r="A91" s="349"/>
      <c r="B91" s="405">
        <v>10229</v>
      </c>
      <c r="C91" s="405"/>
      <c r="D91" s="405"/>
      <c r="E91" s="289" t="s">
        <v>1172</v>
      </c>
      <c r="F91" s="13">
        <v>5</v>
      </c>
      <c r="G91" s="13">
        <v>5</v>
      </c>
      <c r="H91" s="13">
        <v>6</v>
      </c>
      <c r="I91" s="502"/>
      <c r="J91" s="502"/>
      <c r="K91" s="504"/>
      <c r="L91" s="504"/>
      <c r="M91" s="504"/>
      <c r="N91" s="504">
        <v>0.73299999999999998</v>
      </c>
      <c r="O91" s="855"/>
      <c r="P91" s="504"/>
      <c r="Q91" s="863"/>
      <c r="R91" s="875"/>
      <c r="S91" s="1748"/>
      <c r="T91" s="705"/>
      <c r="U91" s="705"/>
      <c r="V91" s="705"/>
      <c r="W91" s="15"/>
      <c r="X91" s="15"/>
      <c r="Y91" s="17"/>
      <c r="Z91" s="1686"/>
      <c r="AE91" s="2461"/>
      <c r="AF91" s="68"/>
    </row>
    <row r="92" spans="1:32" ht="15.5" x14ac:dyDescent="0.35">
      <c r="A92" s="349"/>
      <c r="B92" s="405">
        <v>10229</v>
      </c>
      <c r="C92" s="405"/>
      <c r="D92" s="405"/>
      <c r="E92" s="838" t="s">
        <v>706</v>
      </c>
      <c r="F92" s="13">
        <v>5</v>
      </c>
      <c r="G92" s="13">
        <v>5</v>
      </c>
      <c r="H92" s="13">
        <v>6</v>
      </c>
      <c r="I92" s="502"/>
      <c r="J92" s="502"/>
      <c r="K92" s="504"/>
      <c r="L92" s="504"/>
      <c r="M92" s="504"/>
      <c r="N92" s="504"/>
      <c r="O92" s="855"/>
      <c r="P92" s="504"/>
      <c r="Q92" s="863"/>
      <c r="R92" s="875">
        <v>0.85699999999999998</v>
      </c>
      <c r="S92" s="1748"/>
      <c r="T92" s="705"/>
      <c r="U92" s="705"/>
      <c r="V92" s="705"/>
      <c r="W92" s="15"/>
      <c r="X92" s="15"/>
      <c r="Y92" s="17"/>
      <c r="Z92" s="1686"/>
      <c r="AE92" s="2461"/>
      <c r="AF92" s="68"/>
    </row>
    <row r="93" spans="1:32" ht="45.5" x14ac:dyDescent="0.35">
      <c r="A93" s="370">
        <v>24</v>
      </c>
      <c r="B93" s="365">
        <v>10229</v>
      </c>
      <c r="C93" s="365" t="s">
        <v>1656</v>
      </c>
      <c r="D93" s="2464" t="s">
        <v>4346</v>
      </c>
      <c r="E93" s="269" t="s">
        <v>8277</v>
      </c>
      <c r="F93" s="92" t="s">
        <v>664</v>
      </c>
      <c r="G93" s="92">
        <v>5</v>
      </c>
      <c r="H93" s="13">
        <v>6</v>
      </c>
      <c r="I93" s="501">
        <f>L93+K93+J93</f>
        <v>0.7</v>
      </c>
      <c r="J93" s="501">
        <f>SUM(M93:R93)</f>
        <v>0.7</v>
      </c>
      <c r="K93" s="557"/>
      <c r="L93" s="557"/>
      <c r="M93" s="557"/>
      <c r="N93" s="557"/>
      <c r="O93" s="856"/>
      <c r="P93" s="557"/>
      <c r="Q93" s="866"/>
      <c r="R93" s="1083">
        <v>0.7</v>
      </c>
      <c r="S93" s="1571"/>
      <c r="T93" s="1571"/>
      <c r="U93" s="1571"/>
      <c r="V93" s="1571"/>
      <c r="W93" s="106"/>
      <c r="X93" s="106"/>
      <c r="Y93" s="46"/>
      <c r="Z93" s="47"/>
      <c r="AB93">
        <v>1</v>
      </c>
      <c r="AE93" s="2461"/>
      <c r="AF93" s="68"/>
    </row>
    <row r="94" spans="1:32" ht="45.5" x14ac:dyDescent="0.35">
      <c r="A94" s="1855">
        <v>25</v>
      </c>
      <c r="B94" s="358">
        <v>10229</v>
      </c>
      <c r="C94" s="1005" t="s">
        <v>1656</v>
      </c>
      <c r="D94" s="2464" t="s">
        <v>4347</v>
      </c>
      <c r="E94" s="511" t="s">
        <v>11582</v>
      </c>
      <c r="F94" s="1138" t="s">
        <v>664</v>
      </c>
      <c r="G94" s="13">
        <v>5</v>
      </c>
      <c r="H94" s="13">
        <v>6</v>
      </c>
      <c r="I94" s="2865">
        <f>J94+K94+L94</f>
        <v>0.7</v>
      </c>
      <c r="J94" s="2705">
        <f>SUM(M94:R94)</f>
        <v>0.7</v>
      </c>
      <c r="K94" s="502"/>
      <c r="L94" s="502"/>
      <c r="M94" s="502"/>
      <c r="N94" s="298"/>
      <c r="O94" s="853"/>
      <c r="P94" s="502"/>
      <c r="Q94" s="1862">
        <v>0.7</v>
      </c>
      <c r="R94" s="873"/>
      <c r="S94" s="724"/>
      <c r="T94" s="335"/>
      <c r="U94" s="705"/>
      <c r="V94" s="705"/>
      <c r="W94" s="15"/>
      <c r="X94" s="15"/>
      <c r="Y94" s="17"/>
      <c r="Z94" s="1686"/>
      <c r="AB94">
        <v>1</v>
      </c>
      <c r="AE94" s="2461"/>
      <c r="AF94" s="68"/>
    </row>
    <row r="95" spans="1:32" ht="30.5" x14ac:dyDescent="0.35">
      <c r="A95" s="347">
        <v>26</v>
      </c>
      <c r="B95" s="358">
        <v>10230</v>
      </c>
      <c r="C95" s="358"/>
      <c r="D95" s="358" t="s">
        <v>2026</v>
      </c>
      <c r="E95" s="511" t="s">
        <v>10941</v>
      </c>
      <c r="F95" s="13"/>
      <c r="G95" s="13" t="s">
        <v>191</v>
      </c>
      <c r="H95" s="13" t="s">
        <v>191</v>
      </c>
      <c r="I95" s="501">
        <f>L95+K95+J95</f>
        <v>21.561999999999998</v>
      </c>
      <c r="J95" s="501">
        <f>SUM(M95:R95)</f>
        <v>21.545999999999999</v>
      </c>
      <c r="K95" s="501"/>
      <c r="L95" s="501">
        <f>SUM(L96:L109)</f>
        <v>1.6E-2</v>
      </c>
      <c r="M95" s="501"/>
      <c r="N95" s="501">
        <f>SUM(N96:N109)</f>
        <v>5.3079999999999998</v>
      </c>
      <c r="O95" s="2609"/>
      <c r="P95" s="501"/>
      <c r="Q95" s="860">
        <f>SUM(Q96:Q109)</f>
        <v>16.238</v>
      </c>
      <c r="R95" s="870"/>
      <c r="S95" s="724">
        <v>3</v>
      </c>
      <c r="T95" s="335">
        <f>12+18.75+30.8</f>
        <v>61.55</v>
      </c>
      <c r="U95" s="705"/>
      <c r="V95" s="705"/>
      <c r="W95" s="335">
        <v>18</v>
      </c>
      <c r="X95" s="335">
        <v>220.7</v>
      </c>
      <c r="Y95" s="705">
        <v>2</v>
      </c>
      <c r="Z95" s="2738">
        <v>21.1</v>
      </c>
      <c r="AB95">
        <v>1</v>
      </c>
      <c r="AE95" s="2461"/>
      <c r="AF95" s="68"/>
    </row>
    <row r="96" spans="1:32" s="2715" customFormat="1" ht="31" x14ac:dyDescent="0.35">
      <c r="A96" s="347"/>
      <c r="B96" s="358"/>
      <c r="C96" s="358"/>
      <c r="D96" s="358"/>
      <c r="E96" s="270" t="s">
        <v>10770</v>
      </c>
      <c r="F96" s="13">
        <v>4</v>
      </c>
      <c r="G96" s="13">
        <v>4</v>
      </c>
      <c r="H96" s="13" t="s">
        <v>191</v>
      </c>
      <c r="I96" s="502"/>
      <c r="J96" s="502"/>
      <c r="K96" s="502"/>
      <c r="L96" s="502">
        <v>1.6E-2</v>
      </c>
      <c r="M96" s="502"/>
      <c r="N96" s="502"/>
      <c r="O96" s="2490"/>
      <c r="P96" s="502"/>
      <c r="Q96" s="1859"/>
      <c r="R96" s="1868"/>
      <c r="S96" s="724"/>
      <c r="T96" s="2531"/>
      <c r="U96" s="705"/>
      <c r="V96" s="705"/>
      <c r="W96" s="2530"/>
      <c r="X96" s="2530"/>
      <c r="Y96" s="2441"/>
      <c r="Z96" s="2686"/>
      <c r="AE96" s="2461"/>
      <c r="AF96" s="68"/>
    </row>
    <row r="97" spans="1:32" ht="15.5" x14ac:dyDescent="0.35">
      <c r="A97" s="347"/>
      <c r="B97" s="358">
        <v>10230</v>
      </c>
      <c r="C97" s="358"/>
      <c r="D97" s="358"/>
      <c r="E97" s="289" t="s">
        <v>10771</v>
      </c>
      <c r="F97" s="13">
        <v>4</v>
      </c>
      <c r="G97" s="13">
        <v>4</v>
      </c>
      <c r="H97" s="13">
        <v>6</v>
      </c>
      <c r="I97" s="502"/>
      <c r="J97" s="502"/>
      <c r="K97" s="502"/>
      <c r="L97" s="502"/>
      <c r="M97" s="502"/>
      <c r="N97" s="502">
        <f>0.776-0.016</f>
        <v>0.76</v>
      </c>
      <c r="O97" s="853"/>
      <c r="P97" s="502"/>
      <c r="Q97" s="863"/>
      <c r="R97" s="873"/>
      <c r="S97" s="724"/>
      <c r="T97" s="335"/>
      <c r="U97" s="705"/>
      <c r="V97" s="705"/>
      <c r="W97" s="15"/>
      <c r="X97" s="15"/>
      <c r="Y97" s="17"/>
      <c r="Z97" s="1686"/>
      <c r="AE97" s="2461"/>
      <c r="AF97" s="68"/>
    </row>
    <row r="98" spans="1:32" ht="15.5" x14ac:dyDescent="0.35">
      <c r="A98" s="347"/>
      <c r="B98" s="358">
        <v>10230</v>
      </c>
      <c r="C98" s="358"/>
      <c r="D98" s="358"/>
      <c r="E98" s="837" t="s">
        <v>10772</v>
      </c>
      <c r="F98" s="13">
        <v>4</v>
      </c>
      <c r="G98" s="13">
        <v>4</v>
      </c>
      <c r="H98" s="13">
        <v>6</v>
      </c>
      <c r="I98" s="502"/>
      <c r="J98" s="502"/>
      <c r="K98" s="502"/>
      <c r="L98" s="502"/>
      <c r="M98" s="502"/>
      <c r="N98" s="502"/>
      <c r="O98" s="853"/>
      <c r="P98" s="502"/>
      <c r="Q98" s="863">
        <f>4.597-0.776</f>
        <v>3.8210000000000006</v>
      </c>
      <c r="R98" s="873"/>
      <c r="S98" s="724"/>
      <c r="T98" s="335"/>
      <c r="U98" s="705"/>
      <c r="V98" s="705"/>
      <c r="W98" s="15"/>
      <c r="X98" s="15"/>
      <c r="Y98" s="17"/>
      <c r="Z98" s="1686"/>
      <c r="AE98" s="2461"/>
      <c r="AF98" s="68"/>
    </row>
    <row r="99" spans="1:32" ht="15.5" x14ac:dyDescent="0.35">
      <c r="A99" s="347"/>
      <c r="B99" s="358">
        <v>10230</v>
      </c>
      <c r="C99" s="358"/>
      <c r="D99" s="358"/>
      <c r="E99" s="534" t="s">
        <v>10773</v>
      </c>
      <c r="F99" s="1138">
        <v>4</v>
      </c>
      <c r="G99" s="1138">
        <v>4</v>
      </c>
      <c r="H99" s="1138">
        <v>6</v>
      </c>
      <c r="I99" s="831"/>
      <c r="J99" s="831"/>
      <c r="K99" s="831"/>
      <c r="L99" s="831"/>
      <c r="M99" s="831"/>
      <c r="N99" s="831">
        <f>6.024-4.597</f>
        <v>1.4269999999999996</v>
      </c>
      <c r="O99" s="853"/>
      <c r="P99" s="502"/>
      <c r="Q99" s="863"/>
      <c r="R99" s="873"/>
      <c r="S99" s="724"/>
      <c r="T99" s="335"/>
      <c r="U99" s="705"/>
      <c r="V99" s="705"/>
      <c r="W99" s="15"/>
      <c r="X99" s="15"/>
      <c r="Y99" s="17"/>
      <c r="Z99" s="1686"/>
      <c r="AE99" s="2461"/>
      <c r="AF99" s="68"/>
    </row>
    <row r="100" spans="1:32" ht="15.5" x14ac:dyDescent="0.35">
      <c r="A100" s="347"/>
      <c r="B100" s="358">
        <v>10230</v>
      </c>
      <c r="C100" s="358"/>
      <c r="D100" s="358"/>
      <c r="E100" s="837" t="s">
        <v>10774</v>
      </c>
      <c r="F100" s="1138">
        <v>4</v>
      </c>
      <c r="G100" s="1138">
        <v>4</v>
      </c>
      <c r="H100" s="1138">
        <v>6</v>
      </c>
      <c r="I100" s="831"/>
      <c r="J100" s="831"/>
      <c r="K100" s="831"/>
      <c r="L100" s="831"/>
      <c r="M100" s="831"/>
      <c r="N100" s="831"/>
      <c r="O100" s="853"/>
      <c r="P100" s="502"/>
      <c r="Q100" s="863">
        <f>6.773-6.024</f>
        <v>0.74899999999999967</v>
      </c>
      <c r="R100" s="873"/>
      <c r="S100" s="724"/>
      <c r="T100" s="335"/>
      <c r="U100" s="705"/>
      <c r="V100" s="705"/>
      <c r="W100" s="15"/>
      <c r="X100" s="15"/>
      <c r="Y100" s="17"/>
      <c r="Z100" s="1686"/>
      <c r="AE100" s="2461"/>
      <c r="AF100" s="68"/>
    </row>
    <row r="101" spans="1:32" s="2715" customFormat="1" ht="15.5" x14ac:dyDescent="0.35">
      <c r="A101" s="347"/>
      <c r="B101" s="358"/>
      <c r="C101" s="358"/>
      <c r="D101" s="358"/>
      <c r="E101" s="289" t="s">
        <v>10783</v>
      </c>
      <c r="F101" s="1138">
        <v>4</v>
      </c>
      <c r="G101" s="1138">
        <v>4</v>
      </c>
      <c r="H101" s="1138">
        <v>6</v>
      </c>
      <c r="I101" s="831"/>
      <c r="J101" s="831"/>
      <c r="K101" s="831"/>
      <c r="L101" s="831"/>
      <c r="M101" s="831"/>
      <c r="N101" s="831">
        <f>6.785-6.773</f>
        <v>1.2000000000000455E-2</v>
      </c>
      <c r="O101" s="853"/>
      <c r="P101" s="502"/>
      <c r="Q101" s="863"/>
      <c r="R101" s="873"/>
      <c r="S101" s="724"/>
      <c r="T101" s="335"/>
      <c r="U101" s="705"/>
      <c r="V101" s="705"/>
      <c r="W101" s="15"/>
      <c r="X101" s="15"/>
      <c r="Y101" s="17"/>
      <c r="Z101" s="1686"/>
      <c r="AE101" s="2461"/>
      <c r="AF101" s="68"/>
    </row>
    <row r="102" spans="1:32" s="2715" customFormat="1" ht="15.5" x14ac:dyDescent="0.35">
      <c r="A102" s="347"/>
      <c r="B102" s="358"/>
      <c r="C102" s="358"/>
      <c r="D102" s="358"/>
      <c r="E102" s="837" t="s">
        <v>10775</v>
      </c>
      <c r="F102" s="1138">
        <v>4</v>
      </c>
      <c r="G102" s="1138">
        <v>4</v>
      </c>
      <c r="H102" s="1138">
        <v>6</v>
      </c>
      <c r="I102" s="831"/>
      <c r="J102" s="831"/>
      <c r="K102" s="831"/>
      <c r="L102" s="831"/>
      <c r="M102" s="831"/>
      <c r="N102" s="831"/>
      <c r="O102" s="853"/>
      <c r="P102" s="502"/>
      <c r="Q102" s="863">
        <f>10.236-6.785</f>
        <v>3.4510000000000005</v>
      </c>
      <c r="R102" s="873"/>
      <c r="S102" s="724"/>
      <c r="T102" s="335"/>
      <c r="U102" s="705"/>
      <c r="V102" s="705"/>
      <c r="W102" s="15"/>
      <c r="X102" s="15"/>
      <c r="Y102" s="17"/>
      <c r="Z102" s="1686"/>
      <c r="AE102" s="2461"/>
      <c r="AF102" s="68"/>
    </row>
    <row r="103" spans="1:32" ht="15.5" x14ac:dyDescent="0.35">
      <c r="A103" s="347"/>
      <c r="B103" s="358">
        <v>10230</v>
      </c>
      <c r="C103" s="358"/>
      <c r="D103" s="358"/>
      <c r="E103" s="289" t="s">
        <v>10776</v>
      </c>
      <c r="F103" s="1138">
        <v>4</v>
      </c>
      <c r="G103" s="1138">
        <v>4</v>
      </c>
      <c r="H103" s="1138">
        <v>6</v>
      </c>
      <c r="I103" s="831"/>
      <c r="J103" s="831"/>
      <c r="K103" s="831"/>
      <c r="L103" s="831"/>
      <c r="M103" s="831"/>
      <c r="N103" s="831">
        <f>11.169-10.236</f>
        <v>0.93299999999999983</v>
      </c>
      <c r="O103" s="853"/>
      <c r="P103" s="502"/>
      <c r="Q103" s="863"/>
      <c r="R103" s="873"/>
      <c r="S103" s="724"/>
      <c r="T103" s="335"/>
      <c r="U103" s="705"/>
      <c r="V103" s="705"/>
      <c r="W103" s="15"/>
      <c r="X103" s="15"/>
      <c r="Y103" s="17"/>
      <c r="Z103" s="1686"/>
      <c r="AE103" s="2461"/>
      <c r="AF103" s="68"/>
    </row>
    <row r="104" spans="1:32" ht="15.5" x14ac:dyDescent="0.35">
      <c r="A104" s="347"/>
      <c r="B104" s="358">
        <v>10230</v>
      </c>
      <c r="C104" s="358"/>
      <c r="D104" s="358"/>
      <c r="E104" s="837" t="s">
        <v>10777</v>
      </c>
      <c r="F104" s="1138">
        <v>4</v>
      </c>
      <c r="G104" s="1138">
        <v>4</v>
      </c>
      <c r="H104" s="1138">
        <v>6</v>
      </c>
      <c r="I104" s="831"/>
      <c r="J104" s="831"/>
      <c r="K104" s="831"/>
      <c r="L104" s="831"/>
      <c r="M104" s="831"/>
      <c r="N104" s="831"/>
      <c r="O104" s="853"/>
      <c r="P104" s="502"/>
      <c r="Q104" s="863">
        <f>13.311-11.169</f>
        <v>2.1419999999999995</v>
      </c>
      <c r="R104" s="873"/>
      <c r="S104" s="724"/>
      <c r="T104" s="335"/>
      <c r="U104" s="705"/>
      <c r="V104" s="705"/>
      <c r="W104" s="15"/>
      <c r="X104" s="15"/>
      <c r="Y104" s="17"/>
      <c r="Z104" s="1686"/>
      <c r="AE104" s="2461"/>
      <c r="AF104" s="68"/>
    </row>
    <row r="105" spans="1:32" ht="15.5" x14ac:dyDescent="0.35">
      <c r="A105" s="347"/>
      <c r="B105" s="358">
        <v>10230</v>
      </c>
      <c r="C105" s="358"/>
      <c r="D105" s="358"/>
      <c r="E105" s="289" t="s">
        <v>10778</v>
      </c>
      <c r="F105" s="1138">
        <v>4</v>
      </c>
      <c r="G105" s="1138">
        <v>4</v>
      </c>
      <c r="H105" s="1138">
        <v>6</v>
      </c>
      <c r="I105" s="831"/>
      <c r="J105" s="831"/>
      <c r="K105" s="831"/>
      <c r="L105" s="831"/>
      <c r="M105" s="831"/>
      <c r="N105" s="831">
        <f>14.321-13.311</f>
        <v>1.0099999999999998</v>
      </c>
      <c r="O105" s="853"/>
      <c r="P105" s="502"/>
      <c r="Q105" s="863"/>
      <c r="R105" s="873"/>
      <c r="S105" s="724"/>
      <c r="T105" s="335"/>
      <c r="U105" s="705"/>
      <c r="V105" s="705"/>
      <c r="W105" s="15"/>
      <c r="X105" s="15"/>
      <c r="Y105" s="17"/>
      <c r="Z105" s="1686"/>
      <c r="AE105" s="2461"/>
      <c r="AF105" s="68"/>
    </row>
    <row r="106" spans="1:32" s="2707" customFormat="1" ht="15.5" x14ac:dyDescent="0.35">
      <c r="A106" s="347"/>
      <c r="B106" s="358"/>
      <c r="C106" s="358"/>
      <c r="D106" s="358"/>
      <c r="E106" s="837" t="s">
        <v>10779</v>
      </c>
      <c r="F106" s="1138">
        <v>4</v>
      </c>
      <c r="G106" s="1138">
        <v>4</v>
      </c>
      <c r="H106" s="1138">
        <v>6</v>
      </c>
      <c r="I106" s="831"/>
      <c r="J106" s="831"/>
      <c r="K106" s="831"/>
      <c r="L106" s="831"/>
      <c r="M106" s="831"/>
      <c r="N106" s="831"/>
      <c r="O106" s="853"/>
      <c r="P106" s="502"/>
      <c r="Q106" s="863">
        <f>17.951-14.321</f>
        <v>3.6300000000000008</v>
      </c>
      <c r="R106" s="873"/>
      <c r="S106" s="724"/>
      <c r="T106" s="335"/>
      <c r="U106" s="705"/>
      <c r="V106" s="705"/>
      <c r="W106" s="15"/>
      <c r="X106" s="15"/>
      <c r="Y106" s="17"/>
      <c r="Z106" s="1686"/>
      <c r="AE106" s="2461"/>
      <c r="AF106" s="68"/>
    </row>
    <row r="107" spans="1:32" s="2707" customFormat="1" ht="15.5" x14ac:dyDescent="0.35">
      <c r="A107" s="347"/>
      <c r="B107" s="358"/>
      <c r="C107" s="358"/>
      <c r="D107" s="358"/>
      <c r="E107" s="459" t="s">
        <v>10780</v>
      </c>
      <c r="F107" s="1138">
        <v>4</v>
      </c>
      <c r="G107" s="1138">
        <v>4</v>
      </c>
      <c r="H107" s="1138">
        <v>6</v>
      </c>
      <c r="I107" s="831"/>
      <c r="J107" s="831"/>
      <c r="K107" s="831"/>
      <c r="L107" s="831"/>
      <c r="M107" s="831"/>
      <c r="N107" s="831">
        <f>17.97-17.951</f>
        <v>1.8999999999998352E-2</v>
      </c>
      <c r="O107" s="853"/>
      <c r="P107" s="502"/>
      <c r="Q107" s="863"/>
      <c r="R107" s="873"/>
      <c r="S107" s="724"/>
      <c r="T107" s="335"/>
      <c r="U107" s="705"/>
      <c r="V107" s="705"/>
      <c r="W107" s="15"/>
      <c r="X107" s="15"/>
      <c r="Y107" s="17"/>
      <c r="Z107" s="1686"/>
      <c r="AE107" s="2461"/>
      <c r="AF107" s="68"/>
    </row>
    <row r="108" spans="1:32" ht="15.5" x14ac:dyDescent="0.35">
      <c r="A108" s="347"/>
      <c r="B108" s="358">
        <v>10230</v>
      </c>
      <c r="C108" s="358"/>
      <c r="D108" s="358"/>
      <c r="E108" s="837" t="s">
        <v>10781</v>
      </c>
      <c r="F108" s="13">
        <v>4</v>
      </c>
      <c r="G108" s="13">
        <v>4</v>
      </c>
      <c r="H108" s="13">
        <v>6</v>
      </c>
      <c r="I108" s="502"/>
      <c r="J108" s="502"/>
      <c r="K108" s="502"/>
      <c r="L108" s="502"/>
      <c r="M108" s="502"/>
      <c r="N108" s="502"/>
      <c r="O108" s="853"/>
      <c r="P108" s="502"/>
      <c r="Q108" s="863">
        <f>20.415-17.97</f>
        <v>2.4450000000000003</v>
      </c>
      <c r="R108" s="873"/>
      <c r="S108" s="724"/>
      <c r="T108" s="335"/>
      <c r="U108" s="705"/>
      <c r="V108" s="705"/>
      <c r="W108" s="15"/>
      <c r="X108" s="15"/>
      <c r="Y108" s="17"/>
      <c r="Z108" s="1686"/>
      <c r="AE108" s="2461"/>
      <c r="AF108" s="68"/>
    </row>
    <row r="109" spans="1:32" ht="15.5" x14ac:dyDescent="0.35">
      <c r="A109" s="347"/>
      <c r="B109" s="358">
        <v>10230</v>
      </c>
      <c r="C109" s="358"/>
      <c r="D109" s="358"/>
      <c r="E109" s="289" t="s">
        <v>10782</v>
      </c>
      <c r="F109" s="13">
        <v>4</v>
      </c>
      <c r="G109" s="13">
        <v>4</v>
      </c>
      <c r="H109" s="13">
        <v>6</v>
      </c>
      <c r="I109" s="502"/>
      <c r="J109" s="502"/>
      <c r="K109" s="502"/>
      <c r="L109" s="502"/>
      <c r="M109" s="502"/>
      <c r="N109" s="502">
        <f>21.562-20.415</f>
        <v>1.147000000000002</v>
      </c>
      <c r="O109" s="853"/>
      <c r="P109" s="502"/>
      <c r="Q109" s="863"/>
      <c r="R109" s="873"/>
      <c r="S109" s="724"/>
      <c r="T109" s="335"/>
      <c r="U109" s="705"/>
      <c r="V109" s="705"/>
      <c r="W109" s="15"/>
      <c r="X109" s="15"/>
      <c r="Y109" s="17"/>
      <c r="Z109" s="1686"/>
      <c r="AE109" s="2461"/>
      <c r="AF109" s="68"/>
    </row>
    <row r="110" spans="1:32" ht="45.5" x14ac:dyDescent="0.35">
      <c r="A110" s="349">
        <v>27</v>
      </c>
      <c r="B110" s="405">
        <v>10230</v>
      </c>
      <c r="C110" s="405"/>
      <c r="D110" s="2464" t="s">
        <v>4348</v>
      </c>
      <c r="E110" s="511" t="s">
        <v>10935</v>
      </c>
      <c r="F110" s="13">
        <v>5</v>
      </c>
      <c r="G110" s="13">
        <v>5</v>
      </c>
      <c r="H110" s="13">
        <v>6</v>
      </c>
      <c r="I110" s="501">
        <f>L110+K110+J110</f>
        <v>1.51</v>
      </c>
      <c r="J110" s="501">
        <f t="shared" ref="J110:J115" si="6">SUM(M110:R110)</f>
        <v>1.51</v>
      </c>
      <c r="K110" s="501"/>
      <c r="L110" s="501"/>
      <c r="M110" s="501"/>
      <c r="N110" s="501">
        <v>1.51</v>
      </c>
      <c r="O110" s="851"/>
      <c r="P110" s="501"/>
      <c r="Q110" s="860"/>
      <c r="R110" s="870"/>
      <c r="S110" s="1748"/>
      <c r="T110" s="705"/>
      <c r="U110" s="705"/>
      <c r="V110" s="705"/>
      <c r="W110" s="17">
        <v>2</v>
      </c>
      <c r="X110" s="17">
        <v>23.799999237060547</v>
      </c>
      <c r="Y110" s="17"/>
      <c r="Z110" s="1686"/>
      <c r="AB110">
        <v>1</v>
      </c>
      <c r="AE110" s="2461"/>
      <c r="AF110" s="68"/>
    </row>
    <row r="111" spans="1:32" ht="30.5" x14ac:dyDescent="0.35">
      <c r="A111" s="347">
        <v>28</v>
      </c>
      <c r="B111" s="358">
        <v>10230</v>
      </c>
      <c r="C111" s="358"/>
      <c r="D111" s="2464" t="s">
        <v>4349</v>
      </c>
      <c r="E111" s="511" t="s">
        <v>10936</v>
      </c>
      <c r="F111" s="13" t="s">
        <v>664</v>
      </c>
      <c r="G111" s="13">
        <v>5</v>
      </c>
      <c r="H111" s="13">
        <v>6</v>
      </c>
      <c r="I111" s="501">
        <f>L111+K111+J111</f>
        <v>3.52</v>
      </c>
      <c r="J111" s="501">
        <f t="shared" si="6"/>
        <v>3.52</v>
      </c>
      <c r="K111" s="503"/>
      <c r="L111" s="503"/>
      <c r="M111" s="501"/>
      <c r="N111" s="501"/>
      <c r="O111" s="854"/>
      <c r="P111" s="503"/>
      <c r="Q111" s="864"/>
      <c r="R111" s="874">
        <v>3.52</v>
      </c>
      <c r="S111" s="1748"/>
      <c r="T111" s="705"/>
      <c r="U111" s="705"/>
      <c r="V111" s="705"/>
      <c r="W111" s="15"/>
      <c r="X111" s="15"/>
      <c r="Y111" s="17"/>
      <c r="Z111" s="1686"/>
      <c r="AB111">
        <v>1</v>
      </c>
      <c r="AE111" s="2461"/>
      <c r="AF111" s="68"/>
    </row>
    <row r="112" spans="1:32" ht="45.5" x14ac:dyDescent="0.35">
      <c r="A112" s="349">
        <v>29</v>
      </c>
      <c r="B112" s="365">
        <v>10230</v>
      </c>
      <c r="C112" s="365" t="s">
        <v>1656</v>
      </c>
      <c r="D112" s="2464" t="s">
        <v>4350</v>
      </c>
      <c r="E112" s="269" t="s">
        <v>10937</v>
      </c>
      <c r="F112" s="92" t="s">
        <v>664</v>
      </c>
      <c r="G112" s="92">
        <v>5</v>
      </c>
      <c r="H112" s="13">
        <v>6</v>
      </c>
      <c r="I112" s="501">
        <f>L112+K112+J112</f>
        <v>0.25</v>
      </c>
      <c r="J112" s="501">
        <f t="shared" si="6"/>
        <v>0.25</v>
      </c>
      <c r="K112" s="557"/>
      <c r="L112" s="557"/>
      <c r="M112" s="557"/>
      <c r="N112" s="557"/>
      <c r="O112" s="856"/>
      <c r="P112" s="557"/>
      <c r="Q112" s="866"/>
      <c r="R112" s="1083">
        <v>0.25</v>
      </c>
      <c r="S112" s="1571"/>
      <c r="T112" s="1571"/>
      <c r="U112" s="1571"/>
      <c r="V112" s="1571"/>
      <c r="W112" s="106"/>
      <c r="X112" s="106"/>
      <c r="Y112" s="46"/>
      <c r="Z112" s="47"/>
      <c r="AB112">
        <v>1</v>
      </c>
      <c r="AE112" s="2461"/>
      <c r="AF112" s="68"/>
    </row>
    <row r="113" spans="1:32" ht="45.5" x14ac:dyDescent="0.35">
      <c r="A113" s="347">
        <v>30</v>
      </c>
      <c r="B113" s="358">
        <v>10230</v>
      </c>
      <c r="C113" s="1005" t="s">
        <v>1656</v>
      </c>
      <c r="D113" s="2464" t="s">
        <v>4351</v>
      </c>
      <c r="E113" s="511" t="s">
        <v>10938</v>
      </c>
      <c r="F113" s="1138" t="s">
        <v>664</v>
      </c>
      <c r="G113" s="13">
        <v>5</v>
      </c>
      <c r="H113" s="13">
        <v>6</v>
      </c>
      <c r="I113" s="297">
        <f>J113+K113+L113</f>
        <v>0.3</v>
      </c>
      <c r="J113" s="501">
        <f t="shared" si="6"/>
        <v>0.3</v>
      </c>
      <c r="K113" s="503"/>
      <c r="L113" s="503"/>
      <c r="M113" s="503"/>
      <c r="N113" s="503">
        <v>0.3</v>
      </c>
      <c r="O113" s="854"/>
      <c r="P113" s="503"/>
      <c r="Q113" s="859"/>
      <c r="R113" s="874"/>
      <c r="S113" s="1748"/>
      <c r="T113" s="705"/>
      <c r="U113" s="705"/>
      <c r="V113" s="705"/>
      <c r="W113" s="15"/>
      <c r="X113" s="15"/>
      <c r="Y113" s="17"/>
      <c r="Z113" s="1686"/>
      <c r="AB113">
        <v>1</v>
      </c>
      <c r="AE113" s="2461"/>
      <c r="AF113" s="68"/>
    </row>
    <row r="114" spans="1:32" ht="45.5" x14ac:dyDescent="0.35">
      <c r="A114" s="347">
        <v>31</v>
      </c>
      <c r="B114" s="358">
        <v>10230</v>
      </c>
      <c r="C114" s="1005" t="s">
        <v>1656</v>
      </c>
      <c r="D114" s="2464" t="s">
        <v>4352</v>
      </c>
      <c r="E114" s="511" t="s">
        <v>10939</v>
      </c>
      <c r="F114" s="1138" t="s">
        <v>664</v>
      </c>
      <c r="G114" s="13">
        <v>5</v>
      </c>
      <c r="H114" s="13">
        <v>6</v>
      </c>
      <c r="I114" s="297">
        <f>J114+K114+L114</f>
        <v>1</v>
      </c>
      <c r="J114" s="501">
        <f t="shared" si="6"/>
        <v>1</v>
      </c>
      <c r="K114" s="504"/>
      <c r="L114" s="504"/>
      <c r="M114" s="504"/>
      <c r="N114" s="492"/>
      <c r="O114" s="855"/>
      <c r="P114" s="504"/>
      <c r="Q114" s="863"/>
      <c r="R114" s="875">
        <v>1</v>
      </c>
      <c r="S114" s="1748"/>
      <c r="T114" s="705"/>
      <c r="U114" s="705"/>
      <c r="V114" s="705"/>
      <c r="W114" s="15"/>
      <c r="X114" s="15"/>
      <c r="Y114" s="17"/>
      <c r="Z114" s="1686"/>
      <c r="AB114">
        <v>1</v>
      </c>
      <c r="AE114" s="2461"/>
      <c r="AF114" s="68"/>
    </row>
    <row r="115" spans="1:32" ht="60.5" x14ac:dyDescent="0.35">
      <c r="A115" s="349">
        <v>32</v>
      </c>
      <c r="B115" s="358">
        <v>10231</v>
      </c>
      <c r="C115" s="358"/>
      <c r="D115" s="358" t="s">
        <v>1339</v>
      </c>
      <c r="E115" s="511" t="s">
        <v>10940</v>
      </c>
      <c r="F115" s="13"/>
      <c r="G115" s="13" t="s">
        <v>191</v>
      </c>
      <c r="H115" s="13" t="s">
        <v>191</v>
      </c>
      <c r="I115" s="501">
        <f>L115+K115+J115</f>
        <v>19.030999999999999</v>
      </c>
      <c r="J115" s="501">
        <f t="shared" si="6"/>
        <v>18.994999999999997</v>
      </c>
      <c r="K115" s="501"/>
      <c r="L115" s="501">
        <f>SUM(L116:L118)</f>
        <v>3.5999999999999997E-2</v>
      </c>
      <c r="M115" s="501"/>
      <c r="N115" s="501">
        <f>SUM(N116:N118)</f>
        <v>8.9</v>
      </c>
      <c r="O115" s="851"/>
      <c r="P115" s="501"/>
      <c r="Q115" s="860">
        <f>SUM(Q116:Q118)</f>
        <v>10.094999999999999</v>
      </c>
      <c r="R115" s="870"/>
      <c r="S115" s="724">
        <v>3</v>
      </c>
      <c r="T115" s="335">
        <f>6.5+36.8+9.5</f>
        <v>52.8</v>
      </c>
      <c r="U115" s="705"/>
      <c r="V115" s="705"/>
      <c r="W115" s="55">
        <v>18</v>
      </c>
      <c r="X115" s="55">
        <v>252.7</v>
      </c>
      <c r="Y115" s="164">
        <v>7</v>
      </c>
      <c r="Z115" s="2355">
        <v>71.8</v>
      </c>
      <c r="AB115">
        <v>1</v>
      </c>
      <c r="AE115" s="2461"/>
      <c r="AF115" s="68"/>
    </row>
    <row r="116" spans="1:32" s="2694" customFormat="1" ht="31" x14ac:dyDescent="0.35">
      <c r="A116" s="349"/>
      <c r="B116" s="358"/>
      <c r="C116" s="358"/>
      <c r="D116" s="358"/>
      <c r="E116" s="270" t="s">
        <v>10656</v>
      </c>
      <c r="F116" s="13">
        <v>4</v>
      </c>
      <c r="G116" s="13">
        <v>4</v>
      </c>
      <c r="H116" s="13" t="s">
        <v>191</v>
      </c>
      <c r="I116" s="501"/>
      <c r="J116" s="501"/>
      <c r="K116" s="501"/>
      <c r="L116" s="831">
        <v>3.5999999999999997E-2</v>
      </c>
      <c r="M116" s="500"/>
      <c r="N116" s="500"/>
      <c r="O116" s="851"/>
      <c r="P116" s="501"/>
      <c r="Q116" s="860"/>
      <c r="R116" s="870"/>
      <c r="S116" s="724"/>
      <c r="T116" s="335"/>
      <c r="U116" s="705"/>
      <c r="V116" s="705"/>
      <c r="W116" s="2530"/>
      <c r="X116" s="2530"/>
      <c r="Y116" s="2447"/>
      <c r="Z116" s="2686"/>
      <c r="AE116" s="2461"/>
      <c r="AF116" s="68"/>
    </row>
    <row r="117" spans="1:32" ht="15.5" x14ac:dyDescent="0.35">
      <c r="A117" s="347"/>
      <c r="B117" s="358">
        <v>10231</v>
      </c>
      <c r="C117" s="358"/>
      <c r="D117" s="358"/>
      <c r="E117" s="289" t="s">
        <v>10797</v>
      </c>
      <c r="F117" s="13">
        <v>4</v>
      </c>
      <c r="G117" s="13">
        <v>4</v>
      </c>
      <c r="H117" s="13">
        <v>6</v>
      </c>
      <c r="I117" s="502"/>
      <c r="J117" s="502"/>
      <c r="K117" s="502"/>
      <c r="L117" s="831"/>
      <c r="M117" s="831"/>
      <c r="N117" s="831">
        <f>8.936-0.036</f>
        <v>8.9</v>
      </c>
      <c r="O117" s="853"/>
      <c r="P117" s="502"/>
      <c r="Q117" s="863"/>
      <c r="R117" s="873"/>
      <c r="S117" s="724"/>
      <c r="T117" s="335"/>
      <c r="U117" s="705"/>
      <c r="V117" s="705"/>
      <c r="W117" s="15"/>
      <c r="X117" s="15"/>
      <c r="Y117" s="17"/>
      <c r="Z117" s="1686"/>
      <c r="AE117" s="2461"/>
      <c r="AF117" s="68"/>
    </row>
    <row r="118" spans="1:32" ht="15.5" x14ac:dyDescent="0.35">
      <c r="A118" s="347"/>
      <c r="B118" s="358">
        <v>10231</v>
      </c>
      <c r="C118" s="358"/>
      <c r="D118" s="358"/>
      <c r="E118" s="837" t="s">
        <v>10657</v>
      </c>
      <c r="F118" s="13">
        <v>4</v>
      </c>
      <c r="G118" s="13">
        <v>4</v>
      </c>
      <c r="H118" s="13">
        <v>6</v>
      </c>
      <c r="I118" s="502"/>
      <c r="J118" s="502"/>
      <c r="K118" s="502"/>
      <c r="L118" s="502"/>
      <c r="M118" s="502"/>
      <c r="N118" s="502"/>
      <c r="O118" s="853"/>
      <c r="P118" s="502"/>
      <c r="Q118" s="863">
        <f>19.031-8.936</f>
        <v>10.094999999999999</v>
      </c>
      <c r="R118" s="873"/>
      <c r="S118" s="724"/>
      <c r="T118" s="335"/>
      <c r="U118" s="705"/>
      <c r="V118" s="705"/>
      <c r="W118" s="15"/>
      <c r="X118" s="15"/>
      <c r="Y118" s="17"/>
      <c r="Z118" s="1686"/>
      <c r="AE118" s="2461"/>
      <c r="AF118" s="68"/>
    </row>
    <row r="119" spans="1:32" ht="60.5" x14ac:dyDescent="0.35">
      <c r="A119" s="347">
        <v>33</v>
      </c>
      <c r="B119" s="358">
        <v>10231</v>
      </c>
      <c r="C119" s="358"/>
      <c r="D119" s="2464" t="s">
        <v>4353</v>
      </c>
      <c r="E119" s="511" t="s">
        <v>10933</v>
      </c>
      <c r="F119" s="13"/>
      <c r="G119" s="13" t="s">
        <v>191</v>
      </c>
      <c r="H119" s="13" t="s">
        <v>191</v>
      </c>
      <c r="I119" s="501">
        <f>L119+K119+J119</f>
        <v>1.5219999999999998</v>
      </c>
      <c r="J119" s="501">
        <f>SUM(M119:R119)</f>
        <v>1.5219999999999998</v>
      </c>
      <c r="K119" s="501"/>
      <c r="L119" s="501"/>
      <c r="M119" s="501"/>
      <c r="N119" s="501">
        <f>SUM(N121:N122)</f>
        <v>0.7669999999999999</v>
      </c>
      <c r="O119" s="851"/>
      <c r="P119" s="501"/>
      <c r="Q119" s="860">
        <f>SUM(Q121:Q122)</f>
        <v>0.755</v>
      </c>
      <c r="R119" s="870"/>
      <c r="S119" s="1748"/>
      <c r="T119" s="705"/>
      <c r="U119" s="705"/>
      <c r="V119" s="705"/>
      <c r="W119" s="17"/>
      <c r="X119" s="17"/>
      <c r="Y119" s="17"/>
      <c r="Z119" s="1686"/>
      <c r="AB119">
        <v>1</v>
      </c>
      <c r="AE119" s="2461"/>
      <c r="AF119" s="68"/>
    </row>
    <row r="120" spans="1:32" s="2807" customFormat="1" ht="15.5" x14ac:dyDescent="0.35">
      <c r="A120" s="347"/>
      <c r="B120" s="358"/>
      <c r="C120" s="358"/>
      <c r="D120" s="2464"/>
      <c r="E120" s="459" t="s">
        <v>772</v>
      </c>
      <c r="F120" s="13">
        <v>4</v>
      </c>
      <c r="G120" s="13">
        <v>5</v>
      </c>
      <c r="H120" s="13">
        <v>6</v>
      </c>
      <c r="I120" s="501"/>
      <c r="J120" s="501"/>
      <c r="K120" s="501"/>
      <c r="L120" s="501"/>
      <c r="M120" s="501"/>
      <c r="N120" s="831">
        <v>2.5000000000000001E-2</v>
      </c>
      <c r="O120" s="851"/>
      <c r="P120" s="501"/>
      <c r="Q120" s="860"/>
      <c r="R120" s="870"/>
      <c r="S120" s="1748"/>
      <c r="T120" s="705"/>
      <c r="U120" s="705"/>
      <c r="V120" s="705"/>
      <c r="W120" s="17"/>
      <c r="X120" s="17"/>
      <c r="Y120" s="17"/>
      <c r="Z120" s="1686"/>
      <c r="AE120" s="2461"/>
      <c r="AF120" s="68"/>
    </row>
    <row r="121" spans="1:32" s="2737" customFormat="1" ht="15.5" x14ac:dyDescent="0.35">
      <c r="A121" s="347"/>
      <c r="B121" s="358"/>
      <c r="C121" s="358"/>
      <c r="D121" s="2464"/>
      <c r="E121" s="837" t="s">
        <v>11209</v>
      </c>
      <c r="F121" s="13">
        <v>4</v>
      </c>
      <c r="G121" s="13">
        <v>5</v>
      </c>
      <c r="H121" s="13">
        <v>6</v>
      </c>
      <c r="I121" s="502"/>
      <c r="J121" s="502"/>
      <c r="K121" s="502"/>
      <c r="L121" s="502"/>
      <c r="M121" s="502"/>
      <c r="N121" s="502"/>
      <c r="O121" s="2490"/>
      <c r="P121" s="502"/>
      <c r="Q121" s="1859">
        <f>0.78-0.025</f>
        <v>0.755</v>
      </c>
      <c r="R121" s="870"/>
      <c r="S121" s="1748"/>
      <c r="T121" s="705"/>
      <c r="U121" s="705"/>
      <c r="V121" s="705"/>
      <c r="W121" s="17"/>
      <c r="X121" s="17"/>
      <c r="Y121" s="17"/>
      <c r="Z121" s="1686"/>
      <c r="AE121" s="2461"/>
      <c r="AF121" s="68"/>
    </row>
    <row r="122" spans="1:32" s="2737" customFormat="1" ht="15.5" x14ac:dyDescent="0.35">
      <c r="A122" s="347"/>
      <c r="B122" s="358"/>
      <c r="C122" s="358"/>
      <c r="D122" s="2464"/>
      <c r="E122" s="459" t="s">
        <v>11134</v>
      </c>
      <c r="F122" s="1138">
        <v>4</v>
      </c>
      <c r="G122" s="1138">
        <v>5</v>
      </c>
      <c r="H122" s="1138">
        <v>6</v>
      </c>
      <c r="I122" s="831"/>
      <c r="J122" s="831"/>
      <c r="K122" s="831"/>
      <c r="L122" s="831"/>
      <c r="M122" s="831"/>
      <c r="N122" s="831">
        <f>1.547-0.78</f>
        <v>0.7669999999999999</v>
      </c>
      <c r="O122" s="2490"/>
      <c r="P122" s="502"/>
      <c r="Q122" s="1859"/>
      <c r="R122" s="870"/>
      <c r="S122" s="1748"/>
      <c r="T122" s="705"/>
      <c r="U122" s="705"/>
      <c r="V122" s="705"/>
      <c r="W122" s="17"/>
      <c r="X122" s="17"/>
      <c r="Y122" s="17"/>
      <c r="Z122" s="1686"/>
      <c r="AE122" s="2461"/>
      <c r="AF122" s="68"/>
    </row>
    <row r="123" spans="1:32" ht="90.5" x14ac:dyDescent="0.35">
      <c r="A123" s="370">
        <v>34</v>
      </c>
      <c r="B123" s="365">
        <v>10231</v>
      </c>
      <c r="C123" s="365" t="s">
        <v>1656</v>
      </c>
      <c r="D123" s="2464" t="s">
        <v>4354</v>
      </c>
      <c r="E123" s="269" t="s">
        <v>10934</v>
      </c>
      <c r="F123" s="92" t="s">
        <v>664</v>
      </c>
      <c r="G123" s="92">
        <v>5</v>
      </c>
      <c r="H123" s="13">
        <v>6</v>
      </c>
      <c r="I123" s="501">
        <f>L123+K123+J123</f>
        <v>0.15</v>
      </c>
      <c r="J123" s="501">
        <f>SUM(M123:R123)</f>
        <v>0.15</v>
      </c>
      <c r="K123" s="557"/>
      <c r="L123" s="557"/>
      <c r="M123" s="557"/>
      <c r="N123" s="557"/>
      <c r="O123" s="856"/>
      <c r="P123" s="557"/>
      <c r="Q123" s="866"/>
      <c r="R123" s="876">
        <v>0.15</v>
      </c>
      <c r="S123" s="1571"/>
      <c r="T123" s="1571"/>
      <c r="U123" s="1571"/>
      <c r="V123" s="1571"/>
      <c r="W123" s="106"/>
      <c r="X123" s="106"/>
      <c r="Y123" s="46"/>
      <c r="Z123" s="47"/>
      <c r="AB123">
        <v>1</v>
      </c>
      <c r="AE123" s="2461"/>
      <c r="AF123" s="68"/>
    </row>
    <row r="124" spans="1:32" ht="30" x14ac:dyDescent="0.35">
      <c r="A124" s="347">
        <v>35</v>
      </c>
      <c r="B124" s="358">
        <v>10232</v>
      </c>
      <c r="C124" s="358"/>
      <c r="D124" s="358" t="s">
        <v>1991</v>
      </c>
      <c r="E124" s="511" t="s">
        <v>11192</v>
      </c>
      <c r="F124" s="13"/>
      <c r="G124" s="13" t="s">
        <v>191</v>
      </c>
      <c r="H124" s="13" t="s">
        <v>191</v>
      </c>
      <c r="I124" s="501">
        <f>L124+K124+J124</f>
        <v>15.8</v>
      </c>
      <c r="J124" s="501">
        <f>SUM(M124:R124)</f>
        <v>14.095000000000001</v>
      </c>
      <c r="K124" s="501">
        <f>SUM(K125:K128)</f>
        <v>1.7050000000000001</v>
      </c>
      <c r="L124" s="501"/>
      <c r="M124" s="501"/>
      <c r="N124" s="2705">
        <f>SUM(N125:N128)</f>
        <v>14.095000000000001</v>
      </c>
      <c r="O124" s="851"/>
      <c r="P124" s="501"/>
      <c r="Q124" s="860">
        <f>SUM(Q125:Q128)</f>
        <v>0</v>
      </c>
      <c r="R124" s="870"/>
      <c r="S124" s="1748"/>
      <c r="T124" s="705"/>
      <c r="U124" s="705"/>
      <c r="V124" s="705"/>
      <c r="W124" s="55">
        <v>4</v>
      </c>
      <c r="X124" s="55">
        <v>55.2</v>
      </c>
      <c r="Y124" s="154">
        <v>1</v>
      </c>
      <c r="Z124" s="2355">
        <v>10.199999999999999</v>
      </c>
      <c r="AB124">
        <v>1</v>
      </c>
      <c r="AE124" s="2461"/>
      <c r="AF124" s="68"/>
    </row>
    <row r="125" spans="1:32" ht="46.5" x14ac:dyDescent="0.35">
      <c r="A125" s="347"/>
      <c r="B125" s="358">
        <v>10232</v>
      </c>
      <c r="C125" s="358"/>
      <c r="D125" s="358"/>
      <c r="E125" s="459" t="s">
        <v>11193</v>
      </c>
      <c r="F125" s="1138">
        <v>4</v>
      </c>
      <c r="G125" s="1138">
        <v>4</v>
      </c>
      <c r="H125" s="1138" t="s">
        <v>191</v>
      </c>
      <c r="I125" s="831"/>
      <c r="J125" s="831"/>
      <c r="K125" s="831">
        <v>1.7050000000000001</v>
      </c>
      <c r="L125" s="831"/>
      <c r="M125" s="831"/>
      <c r="N125" s="831"/>
      <c r="O125" s="853"/>
      <c r="P125" s="502"/>
      <c r="Q125" s="863"/>
      <c r="R125" s="873"/>
      <c r="S125" s="1748"/>
      <c r="T125" s="705"/>
      <c r="U125" s="705"/>
      <c r="V125" s="705"/>
      <c r="W125" s="15"/>
      <c r="X125" s="15"/>
      <c r="Y125" s="17"/>
      <c r="Z125" s="1686"/>
      <c r="AE125" s="2461"/>
      <c r="AF125" s="68"/>
    </row>
    <row r="126" spans="1:32" ht="15.5" x14ac:dyDescent="0.35">
      <c r="A126" s="347"/>
      <c r="B126" s="358">
        <v>10232</v>
      </c>
      <c r="C126" s="358"/>
      <c r="D126" s="358"/>
      <c r="E126" s="459" t="s">
        <v>11078</v>
      </c>
      <c r="F126" s="1138">
        <v>4</v>
      </c>
      <c r="G126" s="1138">
        <v>4</v>
      </c>
      <c r="H126" s="1138">
        <v>6</v>
      </c>
      <c r="I126" s="831"/>
      <c r="J126" s="831"/>
      <c r="K126" s="831"/>
      <c r="L126" s="831"/>
      <c r="M126" s="831"/>
      <c r="N126" s="831">
        <f>13.075-1.705</f>
        <v>11.37</v>
      </c>
      <c r="O126" s="853"/>
      <c r="P126" s="502"/>
      <c r="Q126" s="863"/>
      <c r="R126" s="873"/>
      <c r="S126" s="1748"/>
      <c r="T126" s="705"/>
      <c r="U126" s="705"/>
      <c r="V126" s="705"/>
      <c r="W126" s="15"/>
      <c r="X126" s="15"/>
      <c r="Y126" s="17"/>
      <c r="Z126" s="1686"/>
      <c r="AE126" s="2461"/>
      <c r="AF126" s="68"/>
    </row>
    <row r="127" spans="1:32" ht="15.5" x14ac:dyDescent="0.35">
      <c r="A127" s="347"/>
      <c r="B127" s="358"/>
      <c r="C127" s="358"/>
      <c r="D127" s="358"/>
      <c r="E127" s="2864" t="s">
        <v>11079</v>
      </c>
      <c r="F127" s="13">
        <v>4</v>
      </c>
      <c r="G127" s="13">
        <v>4</v>
      </c>
      <c r="H127" s="13">
        <v>6</v>
      </c>
      <c r="I127" s="502"/>
      <c r="J127" s="502"/>
      <c r="K127" s="502"/>
      <c r="L127" s="502"/>
      <c r="M127" s="502"/>
      <c r="N127" s="2608">
        <f>14.674-13.075</f>
        <v>1.5990000000000002</v>
      </c>
      <c r="O127" s="853"/>
      <c r="P127" s="502"/>
      <c r="Q127" s="863">
        <v>0</v>
      </c>
      <c r="R127" s="873"/>
      <c r="S127" s="1748"/>
      <c r="T127" s="705"/>
      <c r="U127" s="705"/>
      <c r="V127" s="705"/>
      <c r="W127" s="15"/>
      <c r="X127" s="15"/>
      <c r="Y127" s="17"/>
      <c r="Z127" s="1686"/>
      <c r="AE127" s="2461"/>
      <c r="AF127" s="68"/>
    </row>
    <row r="128" spans="1:32" ht="15.5" x14ac:dyDescent="0.35">
      <c r="A128" s="347"/>
      <c r="B128" s="358"/>
      <c r="C128" s="358"/>
      <c r="D128" s="358"/>
      <c r="E128" s="459" t="s">
        <v>11080</v>
      </c>
      <c r="F128" s="1138">
        <v>4</v>
      </c>
      <c r="G128" s="1138">
        <v>4</v>
      </c>
      <c r="H128" s="1138">
        <v>6</v>
      </c>
      <c r="I128" s="831"/>
      <c r="J128" s="831"/>
      <c r="K128" s="831"/>
      <c r="L128" s="831"/>
      <c r="M128" s="831"/>
      <c r="N128" s="831">
        <f>15.8-14.674</f>
        <v>1.1260000000000012</v>
      </c>
      <c r="O128" s="853"/>
      <c r="P128" s="502"/>
      <c r="Q128" s="863"/>
      <c r="R128" s="873"/>
      <c r="S128" s="1748"/>
      <c r="T128" s="705"/>
      <c r="U128" s="705"/>
      <c r="V128" s="705"/>
      <c r="W128" s="15"/>
      <c r="X128" s="15"/>
      <c r="Y128" s="17"/>
      <c r="Z128" s="1686"/>
      <c r="AE128" s="2461"/>
      <c r="AF128" s="68"/>
    </row>
    <row r="129" spans="1:32" ht="30.5" x14ac:dyDescent="0.35">
      <c r="A129" s="347">
        <v>36</v>
      </c>
      <c r="B129" s="358">
        <v>10232</v>
      </c>
      <c r="C129" s="358"/>
      <c r="D129" s="2464" t="s">
        <v>4355</v>
      </c>
      <c r="E129" s="511" t="s">
        <v>11354</v>
      </c>
      <c r="F129" s="1138"/>
      <c r="G129" s="1138" t="s">
        <v>191</v>
      </c>
      <c r="H129" s="1138" t="s">
        <v>191</v>
      </c>
      <c r="I129" s="500">
        <f>L129+K129+J129</f>
        <v>2.5710000000000002</v>
      </c>
      <c r="J129" s="500">
        <f>SUM(M129:R129)</f>
        <v>2.5710000000000002</v>
      </c>
      <c r="K129" s="500"/>
      <c r="L129" s="500"/>
      <c r="M129" s="500"/>
      <c r="N129" s="500">
        <f>SUM(N130:N133)</f>
        <v>2.5710000000000002</v>
      </c>
      <c r="O129" s="851"/>
      <c r="P129" s="501"/>
      <c r="Q129" s="860"/>
      <c r="R129" s="870"/>
      <c r="S129" s="1748"/>
      <c r="T129" s="705"/>
      <c r="U129" s="705"/>
      <c r="V129" s="705"/>
      <c r="W129" s="17">
        <v>2</v>
      </c>
      <c r="X129" s="154">
        <v>25.1</v>
      </c>
      <c r="Y129" s="154"/>
      <c r="Z129" s="2355"/>
      <c r="AB129">
        <v>1</v>
      </c>
      <c r="AE129" s="2461"/>
      <c r="AF129" s="68"/>
    </row>
    <row r="130" spans="1:32" ht="15.5" x14ac:dyDescent="0.35">
      <c r="A130" s="347"/>
      <c r="B130" s="358">
        <v>10232</v>
      </c>
      <c r="C130" s="358"/>
      <c r="D130" s="358"/>
      <c r="E130" s="459" t="s">
        <v>11222</v>
      </c>
      <c r="F130" s="1138">
        <v>4</v>
      </c>
      <c r="G130" s="1138">
        <v>5</v>
      </c>
      <c r="H130" s="1138">
        <v>6</v>
      </c>
      <c r="I130" s="831"/>
      <c r="J130" s="831"/>
      <c r="K130" s="831"/>
      <c r="L130" s="831"/>
      <c r="M130" s="831"/>
      <c r="N130" s="831">
        <v>0.92200000000000004</v>
      </c>
      <c r="O130" s="851"/>
      <c r="P130" s="501"/>
      <c r="Q130" s="860"/>
      <c r="R130" s="870"/>
      <c r="S130" s="1748"/>
      <c r="T130" s="705"/>
      <c r="U130" s="705"/>
      <c r="V130" s="705"/>
      <c r="W130" s="17"/>
      <c r="X130" s="17"/>
      <c r="Y130" s="17"/>
      <c r="Z130" s="1686"/>
      <c r="AE130" s="2461"/>
      <c r="AF130" s="68"/>
    </row>
    <row r="131" spans="1:32" ht="15.5" x14ac:dyDescent="0.35">
      <c r="A131" s="347"/>
      <c r="B131" s="358">
        <v>10232</v>
      </c>
      <c r="C131" s="358"/>
      <c r="D131" s="358"/>
      <c r="E131" s="459" t="s">
        <v>11223</v>
      </c>
      <c r="F131" s="1138" t="s">
        <v>827</v>
      </c>
      <c r="G131" s="1138">
        <v>5</v>
      </c>
      <c r="H131" s="1138">
        <v>6</v>
      </c>
      <c r="I131" s="831"/>
      <c r="J131" s="831"/>
      <c r="K131" s="831"/>
      <c r="L131" s="831"/>
      <c r="M131" s="831"/>
      <c r="N131" s="831">
        <f>1.109-0.922</f>
        <v>0.18699999999999994</v>
      </c>
      <c r="O131" s="851"/>
      <c r="P131" s="501"/>
      <c r="Q131" s="860"/>
      <c r="R131" s="870"/>
      <c r="S131" s="1748"/>
      <c r="T131" s="705"/>
      <c r="U131" s="705"/>
      <c r="V131" s="705"/>
      <c r="W131" s="17"/>
      <c r="X131" s="17"/>
      <c r="Y131" s="17"/>
      <c r="Z131" s="1686"/>
      <c r="AE131" s="2461"/>
      <c r="AF131" s="68"/>
    </row>
    <row r="132" spans="1:32" ht="15.5" x14ac:dyDescent="0.35">
      <c r="A132" s="347"/>
      <c r="B132" s="358">
        <v>10232</v>
      </c>
      <c r="C132" s="358"/>
      <c r="D132" s="358"/>
      <c r="E132" s="459" t="s">
        <v>11224</v>
      </c>
      <c r="F132" s="1138">
        <v>5</v>
      </c>
      <c r="G132" s="1138">
        <v>5</v>
      </c>
      <c r="H132" s="1138">
        <v>6</v>
      </c>
      <c r="I132" s="831"/>
      <c r="J132" s="831"/>
      <c r="K132" s="831"/>
      <c r="L132" s="831"/>
      <c r="M132" s="831"/>
      <c r="N132" s="831">
        <f>2.037-1.109</f>
        <v>0.92799999999999994</v>
      </c>
      <c r="O132" s="851"/>
      <c r="P132" s="501"/>
      <c r="Q132" s="860"/>
      <c r="R132" s="870"/>
      <c r="S132" s="1748"/>
      <c r="T132" s="705"/>
      <c r="U132" s="705"/>
      <c r="V132" s="705"/>
      <c r="W132" s="17"/>
      <c r="X132" s="17"/>
      <c r="Y132" s="17"/>
      <c r="Z132" s="1686"/>
      <c r="AE132" s="2461"/>
      <c r="AF132" s="68"/>
    </row>
    <row r="133" spans="1:32" ht="15.5" x14ac:dyDescent="0.35">
      <c r="A133" s="347"/>
      <c r="B133" s="358">
        <v>10232</v>
      </c>
      <c r="C133" s="358"/>
      <c r="D133" s="358"/>
      <c r="E133" s="459" t="s">
        <v>11225</v>
      </c>
      <c r="F133" s="1138" t="s">
        <v>827</v>
      </c>
      <c r="G133" s="1138">
        <v>5</v>
      </c>
      <c r="H133" s="1138">
        <v>6</v>
      </c>
      <c r="I133" s="831"/>
      <c r="J133" s="831"/>
      <c r="K133" s="831"/>
      <c r="L133" s="831"/>
      <c r="M133" s="831"/>
      <c r="N133" s="831">
        <f>2.571-2.037</f>
        <v>0.53400000000000025</v>
      </c>
      <c r="O133" s="851"/>
      <c r="P133" s="501"/>
      <c r="Q133" s="860"/>
      <c r="R133" s="870"/>
      <c r="S133" s="1748"/>
      <c r="T133" s="705"/>
      <c r="U133" s="705"/>
      <c r="V133" s="705"/>
      <c r="W133" s="17"/>
      <c r="X133" s="17"/>
      <c r="Y133" s="17"/>
      <c r="Z133" s="1686"/>
      <c r="AE133" s="2461"/>
      <c r="AF133" s="68"/>
    </row>
    <row r="134" spans="1:32" ht="45.5" x14ac:dyDescent="0.35">
      <c r="A134" s="347">
        <v>37</v>
      </c>
      <c r="B134" s="358">
        <v>10232</v>
      </c>
      <c r="C134" s="358"/>
      <c r="D134" s="2464" t="s">
        <v>4356</v>
      </c>
      <c r="E134" s="511" t="s">
        <v>10932</v>
      </c>
      <c r="F134" s="13">
        <v>5</v>
      </c>
      <c r="G134" s="13">
        <v>5</v>
      </c>
      <c r="H134" s="13">
        <v>6</v>
      </c>
      <c r="I134" s="501">
        <f>L134+K134+J134</f>
        <v>2.5670000000000002</v>
      </c>
      <c r="J134" s="501">
        <f>SUM(M134:R134)</f>
        <v>2.5670000000000002</v>
      </c>
      <c r="K134" s="503"/>
      <c r="L134" s="503"/>
      <c r="M134" s="501"/>
      <c r="N134" s="501">
        <v>2.5670000000000002</v>
      </c>
      <c r="O134" s="854"/>
      <c r="P134" s="503"/>
      <c r="Q134" s="864"/>
      <c r="R134" s="874"/>
      <c r="S134" s="1748"/>
      <c r="T134" s="705"/>
      <c r="U134" s="705"/>
      <c r="V134" s="705"/>
      <c r="W134" s="15"/>
      <c r="X134" s="15"/>
      <c r="Y134" s="17"/>
      <c r="Z134" s="1686"/>
      <c r="AB134">
        <v>1</v>
      </c>
      <c r="AE134" s="2461"/>
      <c r="AF134" s="68"/>
    </row>
    <row r="135" spans="1:32" ht="30.5" x14ac:dyDescent="0.35">
      <c r="A135" s="347">
        <v>38</v>
      </c>
      <c r="B135" s="358">
        <v>10232</v>
      </c>
      <c r="C135" s="1005" t="s">
        <v>1656</v>
      </c>
      <c r="D135" s="2464" t="s">
        <v>4357</v>
      </c>
      <c r="E135" s="511" t="s">
        <v>11194</v>
      </c>
      <c r="F135" s="1138" t="s">
        <v>1490</v>
      </c>
      <c r="G135" s="1138">
        <v>5</v>
      </c>
      <c r="H135" s="1138">
        <v>6</v>
      </c>
      <c r="I135" s="486">
        <f>J135+K135+L135</f>
        <v>0.5</v>
      </c>
      <c r="J135" s="500">
        <f>SUM(M135:R135)</f>
        <v>0.5</v>
      </c>
      <c r="K135" s="500"/>
      <c r="L135" s="500"/>
      <c r="M135" s="500"/>
      <c r="N135" s="500">
        <v>0.5</v>
      </c>
      <c r="O135" s="851"/>
      <c r="P135" s="501"/>
      <c r="Q135" s="1862"/>
      <c r="R135" s="870"/>
      <c r="S135" s="724"/>
      <c r="T135" s="335"/>
      <c r="U135" s="705"/>
      <c r="V135" s="705"/>
      <c r="W135" s="15"/>
      <c r="X135" s="15"/>
      <c r="Y135" s="17"/>
      <c r="Z135" s="1686"/>
      <c r="AB135">
        <v>1</v>
      </c>
      <c r="AE135" s="2461"/>
      <c r="AF135" s="68"/>
    </row>
    <row r="136" spans="1:32" ht="30" x14ac:dyDescent="0.35">
      <c r="A136" s="347">
        <v>39</v>
      </c>
      <c r="B136" s="358">
        <v>10233</v>
      </c>
      <c r="C136" s="358"/>
      <c r="D136" s="358" t="s">
        <v>1992</v>
      </c>
      <c r="E136" s="288" t="s">
        <v>2648</v>
      </c>
      <c r="F136" s="13"/>
      <c r="G136" s="13" t="s">
        <v>191</v>
      </c>
      <c r="H136" s="13" t="s">
        <v>191</v>
      </c>
      <c r="I136" s="501">
        <f>L136+K136+J136</f>
        <v>4.4000000000000004</v>
      </c>
      <c r="J136" s="501">
        <f>SUM(M136:R136)</f>
        <v>4.4000000000000004</v>
      </c>
      <c r="K136" s="501"/>
      <c r="L136" s="501"/>
      <c r="M136" s="501"/>
      <c r="N136" s="501">
        <f>SUM(N137:N138)</f>
        <v>3.35</v>
      </c>
      <c r="O136" s="851"/>
      <c r="P136" s="501"/>
      <c r="Q136" s="860">
        <f>SUM(Q137:Q138)</f>
        <v>1.05</v>
      </c>
      <c r="R136" s="870"/>
      <c r="S136" s="1748"/>
      <c r="T136" s="705"/>
      <c r="U136" s="705"/>
      <c r="V136" s="705"/>
      <c r="W136" s="1881">
        <v>6</v>
      </c>
      <c r="X136" s="233">
        <v>71.319999999999993</v>
      </c>
      <c r="Y136" s="17">
        <v>2</v>
      </c>
      <c r="Z136" s="1686">
        <v>20.02</v>
      </c>
      <c r="AB136">
        <v>1</v>
      </c>
      <c r="AE136" s="2461"/>
      <c r="AF136" s="68"/>
    </row>
    <row r="137" spans="1:32" ht="15.5" x14ac:dyDescent="0.35">
      <c r="A137" s="347"/>
      <c r="B137" s="358">
        <v>10233</v>
      </c>
      <c r="C137" s="358"/>
      <c r="D137" s="358"/>
      <c r="E137" s="289" t="s">
        <v>2649</v>
      </c>
      <c r="F137" s="13">
        <v>4</v>
      </c>
      <c r="G137" s="13">
        <v>4</v>
      </c>
      <c r="H137" s="13">
        <v>6</v>
      </c>
      <c r="I137" s="502"/>
      <c r="J137" s="502"/>
      <c r="K137" s="502"/>
      <c r="L137" s="502"/>
      <c r="M137" s="502"/>
      <c r="N137" s="502">
        <v>3.35</v>
      </c>
      <c r="O137" s="853"/>
      <c r="P137" s="502"/>
      <c r="Q137" s="863"/>
      <c r="R137" s="873"/>
      <c r="S137" s="1748"/>
      <c r="T137" s="705"/>
      <c r="U137" s="705"/>
      <c r="V137" s="705"/>
      <c r="W137" s="45"/>
      <c r="X137" s="18"/>
      <c r="Y137" s="17"/>
      <c r="Z137" s="1686"/>
      <c r="AE137" s="2461"/>
      <c r="AF137" s="68"/>
    </row>
    <row r="138" spans="1:32" ht="15.5" x14ac:dyDescent="0.35">
      <c r="A138" s="347"/>
      <c r="B138" s="358">
        <v>10233</v>
      </c>
      <c r="C138" s="358"/>
      <c r="D138" s="358"/>
      <c r="E138" s="837" t="s">
        <v>2650</v>
      </c>
      <c r="F138" s="13">
        <v>4</v>
      </c>
      <c r="G138" s="13">
        <v>4</v>
      </c>
      <c r="H138" s="13">
        <v>6</v>
      </c>
      <c r="I138" s="502"/>
      <c r="J138" s="502"/>
      <c r="K138" s="502"/>
      <c r="L138" s="502"/>
      <c r="M138" s="502"/>
      <c r="N138" s="502"/>
      <c r="O138" s="853"/>
      <c r="P138" s="502"/>
      <c r="Q138" s="863">
        <v>1.05</v>
      </c>
      <c r="R138" s="873"/>
      <c r="S138" s="1748"/>
      <c r="T138" s="705"/>
      <c r="U138" s="705"/>
      <c r="V138" s="705"/>
      <c r="W138" s="45"/>
      <c r="X138" s="18"/>
      <c r="Y138" s="17"/>
      <c r="Z138" s="1686"/>
      <c r="AE138" s="2461"/>
      <c r="AF138" s="68"/>
    </row>
    <row r="139" spans="1:32" ht="30.5" x14ac:dyDescent="0.35">
      <c r="A139" s="347">
        <v>40</v>
      </c>
      <c r="B139" s="405">
        <v>10233</v>
      </c>
      <c r="C139" s="1005" t="s">
        <v>1656</v>
      </c>
      <c r="D139" s="2464" t="s">
        <v>4358</v>
      </c>
      <c r="E139" s="511" t="s">
        <v>8278</v>
      </c>
      <c r="F139" s="1138" t="s">
        <v>664</v>
      </c>
      <c r="G139" s="13">
        <v>5</v>
      </c>
      <c r="H139" s="13">
        <v>6</v>
      </c>
      <c r="I139" s="297">
        <f>J139+K139+L139</f>
        <v>0.6</v>
      </c>
      <c r="J139" s="501">
        <f>SUM(M139:R139)</f>
        <v>0.6</v>
      </c>
      <c r="K139" s="501"/>
      <c r="L139" s="501"/>
      <c r="M139" s="501"/>
      <c r="N139" s="501"/>
      <c r="O139" s="851"/>
      <c r="P139" s="501"/>
      <c r="Q139" s="860"/>
      <c r="R139" s="870">
        <v>0.6</v>
      </c>
      <c r="S139" s="1748"/>
      <c r="T139" s="705"/>
      <c r="U139" s="705"/>
      <c r="V139" s="705"/>
      <c r="W139" s="17"/>
      <c r="X139" s="17"/>
      <c r="Y139" s="17"/>
      <c r="Z139" s="1686"/>
      <c r="AB139">
        <v>1</v>
      </c>
      <c r="AE139" s="2461"/>
      <c r="AF139" s="68"/>
    </row>
    <row r="140" spans="1:32" ht="30" x14ac:dyDescent="0.35">
      <c r="A140" s="347">
        <v>41</v>
      </c>
      <c r="B140" s="358">
        <v>10234</v>
      </c>
      <c r="C140" s="358"/>
      <c r="D140" s="358" t="s">
        <v>1993</v>
      </c>
      <c r="E140" s="511" t="s">
        <v>10944</v>
      </c>
      <c r="F140" s="13"/>
      <c r="G140" s="13" t="s">
        <v>191</v>
      </c>
      <c r="H140" s="13" t="s">
        <v>191</v>
      </c>
      <c r="I140" s="501">
        <f>L140+K140+J140</f>
        <v>8.2620000000000005</v>
      </c>
      <c r="J140" s="501">
        <f>SUM(M140:R140)</f>
        <v>8.18</v>
      </c>
      <c r="K140" s="501"/>
      <c r="L140" s="501">
        <f>SUM(L141:L143)</f>
        <v>8.2000000000000489E-2</v>
      </c>
      <c r="M140" s="501"/>
      <c r="N140" s="501">
        <f>SUM(N141:N143)</f>
        <v>8.18</v>
      </c>
      <c r="O140" s="851"/>
      <c r="P140" s="501"/>
      <c r="Q140" s="860"/>
      <c r="R140" s="870"/>
      <c r="S140" s="724">
        <v>1</v>
      </c>
      <c r="T140" s="335">
        <v>7</v>
      </c>
      <c r="U140" s="705"/>
      <c r="V140" s="705"/>
      <c r="W140" s="335">
        <v>23</v>
      </c>
      <c r="X140" s="335">
        <v>292</v>
      </c>
      <c r="Y140" s="705">
        <v>9</v>
      </c>
      <c r="Z140" s="2738">
        <v>82.7</v>
      </c>
      <c r="AB140">
        <v>1</v>
      </c>
      <c r="AE140" s="2461"/>
      <c r="AF140" s="68"/>
    </row>
    <row r="141" spans="1:32" s="2696" customFormat="1" ht="31" x14ac:dyDescent="0.35">
      <c r="A141" s="347"/>
      <c r="B141" s="358"/>
      <c r="C141" s="358"/>
      <c r="D141" s="358"/>
      <c r="E141" s="270" t="s">
        <v>10664</v>
      </c>
      <c r="F141" s="13">
        <v>4</v>
      </c>
      <c r="G141" s="13">
        <v>4</v>
      </c>
      <c r="H141" s="13" t="s">
        <v>191</v>
      </c>
      <c r="I141" s="502"/>
      <c r="J141" s="502"/>
      <c r="K141" s="502"/>
      <c r="L141" s="831">
        <v>3.7999999999999999E-2</v>
      </c>
      <c r="M141" s="502"/>
      <c r="N141" s="502"/>
      <c r="O141" s="851"/>
      <c r="P141" s="501"/>
      <c r="Q141" s="860"/>
      <c r="R141" s="870"/>
      <c r="S141" s="724"/>
      <c r="T141" s="335"/>
      <c r="U141" s="705"/>
      <c r="V141" s="705"/>
      <c r="W141" s="15"/>
      <c r="X141" s="15"/>
      <c r="Y141" s="17"/>
      <c r="Z141" s="1686"/>
      <c r="AE141" s="2461"/>
      <c r="AF141" s="68"/>
    </row>
    <row r="142" spans="1:32" s="2696" customFormat="1" ht="15.5" x14ac:dyDescent="0.35">
      <c r="A142" s="347"/>
      <c r="B142" s="358"/>
      <c r="C142" s="358"/>
      <c r="D142" s="358"/>
      <c r="E142" s="289" t="s">
        <v>10663</v>
      </c>
      <c r="F142" s="13">
        <v>4</v>
      </c>
      <c r="G142" s="13">
        <v>4</v>
      </c>
      <c r="H142" s="13">
        <v>6</v>
      </c>
      <c r="I142" s="502"/>
      <c r="J142" s="502"/>
      <c r="K142" s="502"/>
      <c r="L142" s="831"/>
      <c r="M142" s="502"/>
      <c r="N142" s="502">
        <f>8.218-0.038</f>
        <v>8.18</v>
      </c>
      <c r="O142" s="851"/>
      <c r="P142" s="501"/>
      <c r="Q142" s="860"/>
      <c r="R142" s="870"/>
      <c r="S142" s="724"/>
      <c r="T142" s="335"/>
      <c r="U142" s="705"/>
      <c r="V142" s="705"/>
      <c r="W142" s="15"/>
      <c r="X142" s="15"/>
      <c r="Y142" s="17"/>
      <c r="Z142" s="1686"/>
      <c r="AE142" s="2461"/>
      <c r="AF142" s="68"/>
    </row>
    <row r="143" spans="1:32" s="2696" customFormat="1" ht="31" x14ac:dyDescent="0.35">
      <c r="A143" s="347"/>
      <c r="B143" s="358"/>
      <c r="C143" s="358"/>
      <c r="D143" s="358"/>
      <c r="E143" s="270" t="s">
        <v>10665</v>
      </c>
      <c r="F143" s="13">
        <v>4</v>
      </c>
      <c r="G143" s="13">
        <v>4</v>
      </c>
      <c r="H143" s="13" t="s">
        <v>191</v>
      </c>
      <c r="I143" s="502"/>
      <c r="J143" s="502"/>
      <c r="K143" s="502"/>
      <c r="L143" s="831">
        <f>8.262-8.218</f>
        <v>4.4000000000000483E-2</v>
      </c>
      <c r="M143" s="502"/>
      <c r="N143" s="502"/>
      <c r="O143" s="851"/>
      <c r="P143" s="501"/>
      <c r="Q143" s="860"/>
      <c r="R143" s="870"/>
      <c r="S143" s="724"/>
      <c r="T143" s="335"/>
      <c r="U143" s="705"/>
      <c r="V143" s="705"/>
      <c r="W143" s="15"/>
      <c r="X143" s="15"/>
      <c r="Y143" s="17"/>
      <c r="Z143" s="1686"/>
      <c r="AE143" s="2461"/>
      <c r="AF143" s="68"/>
    </row>
    <row r="144" spans="1:32" ht="30.5" x14ac:dyDescent="0.35">
      <c r="A144" s="347">
        <v>42</v>
      </c>
      <c r="B144" s="358">
        <v>10234</v>
      </c>
      <c r="C144" s="358"/>
      <c r="D144" s="2464" t="s">
        <v>4359</v>
      </c>
      <c r="E144" s="512" t="s">
        <v>8279</v>
      </c>
      <c r="F144" s="13">
        <v>4</v>
      </c>
      <c r="G144" s="13">
        <v>4</v>
      </c>
      <c r="H144" s="13">
        <v>6</v>
      </c>
      <c r="I144" s="501">
        <f>L144+K144+J144</f>
        <v>0.79200000000000004</v>
      </c>
      <c r="J144" s="501">
        <f>SUM(M144:R144)</f>
        <v>0.79200000000000004</v>
      </c>
      <c r="K144" s="502"/>
      <c r="L144" s="502"/>
      <c r="M144" s="502"/>
      <c r="N144" s="501">
        <v>0.79200000000000004</v>
      </c>
      <c r="O144" s="853"/>
      <c r="P144" s="502"/>
      <c r="Q144" s="863"/>
      <c r="R144" s="873"/>
      <c r="S144" s="724"/>
      <c r="T144" s="335"/>
      <c r="U144" s="705"/>
      <c r="V144" s="705"/>
      <c r="W144" s="55">
        <v>4</v>
      </c>
      <c r="X144" s="55">
        <v>41.5</v>
      </c>
      <c r="Y144" s="154">
        <v>2</v>
      </c>
      <c r="Z144" s="2355">
        <v>20.9</v>
      </c>
      <c r="AB144">
        <v>1</v>
      </c>
      <c r="AE144" s="2461"/>
      <c r="AF144" s="68"/>
    </row>
    <row r="145" spans="1:32" ht="30.5" x14ac:dyDescent="0.35">
      <c r="A145" s="347">
        <v>43</v>
      </c>
      <c r="B145" s="358">
        <v>10234</v>
      </c>
      <c r="C145" s="358"/>
      <c r="D145" s="2464" t="s">
        <v>4360</v>
      </c>
      <c r="E145" s="288" t="s">
        <v>7540</v>
      </c>
      <c r="F145" s="13"/>
      <c r="G145" s="13" t="s">
        <v>191</v>
      </c>
      <c r="H145" s="13" t="s">
        <v>191</v>
      </c>
      <c r="I145" s="501">
        <f>L145+K145+J145</f>
        <v>1.41</v>
      </c>
      <c r="J145" s="501">
        <f>SUM(M145:R145)</f>
        <v>1.41</v>
      </c>
      <c r="K145" s="503"/>
      <c r="L145" s="503"/>
      <c r="M145" s="501"/>
      <c r="N145" s="501">
        <f>SUM(N146:N148)</f>
        <v>1.22</v>
      </c>
      <c r="O145" s="854"/>
      <c r="P145" s="503"/>
      <c r="Q145" s="864"/>
      <c r="R145" s="870">
        <f>SUM(R146:R148)</f>
        <v>0.18999999999999995</v>
      </c>
      <c r="S145" s="1748"/>
      <c r="T145" s="705"/>
      <c r="U145" s="705"/>
      <c r="V145" s="705"/>
      <c r="W145" s="15">
        <v>5</v>
      </c>
      <c r="X145" s="15">
        <v>52</v>
      </c>
      <c r="Y145" s="17"/>
      <c r="Z145" s="1686"/>
      <c r="AB145">
        <v>1</v>
      </c>
      <c r="AE145" s="2461"/>
      <c r="AF145" s="68"/>
    </row>
    <row r="146" spans="1:32" ht="15.5" x14ac:dyDescent="0.35">
      <c r="A146" s="347"/>
      <c r="B146" s="358">
        <v>10234</v>
      </c>
      <c r="C146" s="358"/>
      <c r="D146" s="358"/>
      <c r="E146" s="2354" t="s">
        <v>1074</v>
      </c>
      <c r="F146" s="13">
        <v>5</v>
      </c>
      <c r="G146" s="13">
        <v>5</v>
      </c>
      <c r="H146" s="13">
        <v>6</v>
      </c>
      <c r="I146" s="502"/>
      <c r="J146" s="502"/>
      <c r="K146" s="504"/>
      <c r="L146" s="504"/>
      <c r="M146" s="502"/>
      <c r="N146" s="502">
        <v>0.4</v>
      </c>
      <c r="O146" s="855"/>
      <c r="P146" s="504"/>
      <c r="Q146" s="865"/>
      <c r="R146" s="875"/>
      <c r="S146" s="1748"/>
      <c r="T146" s="705"/>
      <c r="U146" s="705"/>
      <c r="V146" s="705"/>
      <c r="W146" s="15"/>
      <c r="X146" s="15"/>
      <c r="Y146" s="17"/>
      <c r="Z146" s="1686"/>
      <c r="AE146" s="2461"/>
      <c r="AF146" s="68"/>
    </row>
    <row r="147" spans="1:32" ht="15.5" x14ac:dyDescent="0.35">
      <c r="A147" s="347"/>
      <c r="B147" s="358">
        <v>10234</v>
      </c>
      <c r="C147" s="358"/>
      <c r="D147" s="358"/>
      <c r="E147" s="289" t="s">
        <v>586</v>
      </c>
      <c r="F147" s="13" t="s">
        <v>1490</v>
      </c>
      <c r="G147" s="13">
        <v>5</v>
      </c>
      <c r="H147" s="13">
        <v>6</v>
      </c>
      <c r="I147" s="502"/>
      <c r="J147" s="502"/>
      <c r="K147" s="504"/>
      <c r="L147" s="504"/>
      <c r="M147" s="502"/>
      <c r="N147" s="502">
        <f>1.22-0.4</f>
        <v>0.82</v>
      </c>
      <c r="O147" s="855"/>
      <c r="P147" s="504"/>
      <c r="Q147" s="865"/>
      <c r="R147" s="875"/>
      <c r="S147" s="1748"/>
      <c r="T147" s="705"/>
      <c r="U147" s="705"/>
      <c r="V147" s="705"/>
      <c r="W147" s="15"/>
      <c r="X147" s="15"/>
      <c r="Y147" s="17"/>
      <c r="Z147" s="1686"/>
      <c r="AE147" s="2461"/>
      <c r="AF147" s="68"/>
    </row>
    <row r="148" spans="1:32" ht="15.5" x14ac:dyDescent="0.35">
      <c r="A148" s="347"/>
      <c r="B148" s="358">
        <v>10234</v>
      </c>
      <c r="C148" s="358"/>
      <c r="D148" s="358"/>
      <c r="E148" s="838" t="s">
        <v>1419</v>
      </c>
      <c r="F148" s="13" t="s">
        <v>1490</v>
      </c>
      <c r="G148" s="13">
        <v>5</v>
      </c>
      <c r="H148" s="13">
        <v>6</v>
      </c>
      <c r="I148" s="502"/>
      <c r="J148" s="502"/>
      <c r="K148" s="504"/>
      <c r="L148" s="504"/>
      <c r="M148" s="502"/>
      <c r="N148" s="502"/>
      <c r="O148" s="855"/>
      <c r="P148" s="504"/>
      <c r="Q148" s="865"/>
      <c r="R148" s="875">
        <f>1.41-1.22</f>
        <v>0.18999999999999995</v>
      </c>
      <c r="S148" s="1748"/>
      <c r="T148" s="705"/>
      <c r="U148" s="705"/>
      <c r="V148" s="705"/>
      <c r="W148" s="15"/>
      <c r="X148" s="15"/>
      <c r="Y148" s="17"/>
      <c r="Z148" s="1686"/>
      <c r="AE148" s="2461"/>
      <c r="AF148" s="68"/>
    </row>
    <row r="149" spans="1:32" ht="45.5" x14ac:dyDescent="0.35">
      <c r="A149" s="347">
        <v>44</v>
      </c>
      <c r="B149" s="358">
        <v>10234</v>
      </c>
      <c r="C149" s="358"/>
      <c r="D149" s="2464" t="s">
        <v>4361</v>
      </c>
      <c r="E149" s="2328" t="s">
        <v>7541</v>
      </c>
      <c r="F149" s="13" t="s">
        <v>1490</v>
      </c>
      <c r="G149" s="13">
        <v>5</v>
      </c>
      <c r="H149" s="13">
        <v>6</v>
      </c>
      <c r="I149" s="501">
        <f>L149+K149+J149</f>
        <v>0.63</v>
      </c>
      <c r="J149" s="501">
        <f>SUM(M149:R149)</f>
        <v>0.63</v>
      </c>
      <c r="K149" s="504"/>
      <c r="L149" s="504"/>
      <c r="M149" s="502"/>
      <c r="N149" s="501">
        <v>0.63</v>
      </c>
      <c r="O149" s="855"/>
      <c r="P149" s="504"/>
      <c r="Q149" s="865"/>
      <c r="R149" s="875"/>
      <c r="S149" s="1748"/>
      <c r="T149" s="705"/>
      <c r="U149" s="705"/>
      <c r="V149" s="705"/>
      <c r="W149" s="15"/>
      <c r="X149" s="15"/>
      <c r="Y149" s="17"/>
      <c r="Z149" s="1686"/>
      <c r="AB149">
        <v>1</v>
      </c>
      <c r="AE149" s="2461"/>
      <c r="AF149" s="68"/>
    </row>
    <row r="150" spans="1:32" ht="60.5" x14ac:dyDescent="0.35">
      <c r="A150" s="370">
        <v>45</v>
      </c>
      <c r="B150" s="358">
        <v>10234</v>
      </c>
      <c r="C150" s="365" t="s">
        <v>1656</v>
      </c>
      <c r="D150" s="2464" t="s">
        <v>4362</v>
      </c>
      <c r="E150" s="269" t="s">
        <v>8280</v>
      </c>
      <c r="F150" s="92" t="s">
        <v>664</v>
      </c>
      <c r="G150" s="92">
        <v>5</v>
      </c>
      <c r="H150" s="13">
        <v>6</v>
      </c>
      <c r="I150" s="501">
        <f>L150+K150+J150</f>
        <v>0.15</v>
      </c>
      <c r="J150" s="501">
        <f>SUM(M150:R150)</f>
        <v>0.15</v>
      </c>
      <c r="K150" s="557"/>
      <c r="L150" s="557"/>
      <c r="M150" s="557"/>
      <c r="N150" s="557"/>
      <c r="O150" s="856"/>
      <c r="P150" s="557"/>
      <c r="Q150" s="866"/>
      <c r="R150" s="876">
        <v>0.15</v>
      </c>
      <c r="S150" s="1571"/>
      <c r="T150" s="1571"/>
      <c r="U150" s="1571"/>
      <c r="V150" s="1571"/>
      <c r="W150" s="106"/>
      <c r="X150" s="106"/>
      <c r="Y150" s="46"/>
      <c r="Z150" s="47"/>
      <c r="AB150">
        <v>1</v>
      </c>
      <c r="AE150" s="2461"/>
      <c r="AF150" s="68"/>
    </row>
    <row r="151" spans="1:32" ht="30.5" x14ac:dyDescent="0.35">
      <c r="A151" s="347">
        <v>46</v>
      </c>
      <c r="B151" s="358">
        <v>10234</v>
      </c>
      <c r="C151" s="358"/>
      <c r="D151" s="2464" t="s">
        <v>4363</v>
      </c>
      <c r="E151" s="288" t="s">
        <v>7542</v>
      </c>
      <c r="F151" s="13">
        <v>5</v>
      </c>
      <c r="G151" s="13">
        <v>5</v>
      </c>
      <c r="H151" s="13">
        <v>6</v>
      </c>
      <c r="I151" s="501">
        <f>L151+K151+J151</f>
        <v>0.99</v>
      </c>
      <c r="J151" s="501">
        <f>SUM(M151:R151)</f>
        <v>0.99</v>
      </c>
      <c r="K151" s="503"/>
      <c r="L151" s="503"/>
      <c r="M151" s="501"/>
      <c r="N151" s="501">
        <v>0.99</v>
      </c>
      <c r="O151" s="854"/>
      <c r="P151" s="503"/>
      <c r="Q151" s="864"/>
      <c r="R151" s="870"/>
      <c r="S151" s="1748"/>
      <c r="T151" s="705"/>
      <c r="U151" s="705"/>
      <c r="V151" s="705"/>
      <c r="W151" s="15">
        <v>1</v>
      </c>
      <c r="X151" s="15">
        <v>15.6</v>
      </c>
      <c r="Y151" s="17"/>
      <c r="Z151" s="1686"/>
      <c r="AB151">
        <v>1</v>
      </c>
      <c r="AE151" s="2461"/>
      <c r="AF151" s="68"/>
    </row>
    <row r="152" spans="1:32" ht="30" x14ac:dyDescent="0.35">
      <c r="A152" s="370">
        <v>47</v>
      </c>
      <c r="B152" s="358">
        <v>10235</v>
      </c>
      <c r="C152" s="358"/>
      <c r="D152" s="358" t="s">
        <v>1994</v>
      </c>
      <c r="E152" s="288" t="s">
        <v>3002</v>
      </c>
      <c r="F152" s="13">
        <v>4</v>
      </c>
      <c r="G152" s="13">
        <v>4</v>
      </c>
      <c r="H152" s="13">
        <v>6</v>
      </c>
      <c r="I152" s="501">
        <f t="shared" ref="I152:I161" si="7">L152+K152+J152</f>
        <v>6.0860000000000003</v>
      </c>
      <c r="J152" s="501">
        <f t="shared" ref="J152:J161" si="8">SUM(M152:R152)</f>
        <v>6.0860000000000003</v>
      </c>
      <c r="K152" s="501"/>
      <c r="L152" s="501"/>
      <c r="M152" s="501"/>
      <c r="N152" s="501">
        <v>6.0860000000000003</v>
      </c>
      <c r="O152" s="851"/>
      <c r="P152" s="501"/>
      <c r="Q152" s="860"/>
      <c r="R152" s="870"/>
      <c r="S152" s="1748"/>
      <c r="T152" s="705"/>
      <c r="U152" s="705"/>
      <c r="V152" s="705"/>
      <c r="W152" s="15">
        <v>4</v>
      </c>
      <c r="X152" s="15">
        <v>45.4</v>
      </c>
      <c r="Y152" s="17"/>
      <c r="Z152" s="1686"/>
      <c r="AB152">
        <v>1</v>
      </c>
      <c r="AE152" s="2461"/>
      <c r="AF152" s="68"/>
    </row>
    <row r="153" spans="1:32" ht="30.5" x14ac:dyDescent="0.35">
      <c r="A153" s="347">
        <v>48</v>
      </c>
      <c r="B153" s="365">
        <v>10235</v>
      </c>
      <c r="C153" s="365" t="s">
        <v>1656</v>
      </c>
      <c r="D153" s="2464" t="s">
        <v>4364</v>
      </c>
      <c r="E153" s="269" t="s">
        <v>8281</v>
      </c>
      <c r="F153" s="92" t="s">
        <v>664</v>
      </c>
      <c r="G153" s="92">
        <v>5</v>
      </c>
      <c r="H153" s="13">
        <v>6</v>
      </c>
      <c r="I153" s="501">
        <f t="shared" si="7"/>
        <v>0.4</v>
      </c>
      <c r="J153" s="501">
        <f t="shared" si="8"/>
        <v>0.4</v>
      </c>
      <c r="K153" s="557"/>
      <c r="L153" s="557"/>
      <c r="M153" s="557"/>
      <c r="N153" s="557"/>
      <c r="O153" s="856"/>
      <c r="P153" s="557"/>
      <c r="Q153" s="866"/>
      <c r="R153" s="1083">
        <v>0.4</v>
      </c>
      <c r="S153" s="1571"/>
      <c r="T153" s="1571"/>
      <c r="U153" s="1571"/>
      <c r="V153" s="1571"/>
      <c r="W153" s="106"/>
      <c r="X153" s="106"/>
      <c r="Y153" s="46"/>
      <c r="Z153" s="47"/>
      <c r="AB153">
        <v>1</v>
      </c>
      <c r="AE153" s="2461"/>
      <c r="AF153" s="68"/>
    </row>
    <row r="154" spans="1:32" ht="60.5" x14ac:dyDescent="0.35">
      <c r="A154" s="370">
        <v>49</v>
      </c>
      <c r="B154" s="358">
        <v>10236</v>
      </c>
      <c r="C154" s="358"/>
      <c r="D154" s="358" t="s">
        <v>892</v>
      </c>
      <c r="E154" s="511" t="s">
        <v>10945</v>
      </c>
      <c r="F154" s="13"/>
      <c r="G154" s="13" t="s">
        <v>191</v>
      </c>
      <c r="H154" s="13" t="s">
        <v>191</v>
      </c>
      <c r="I154" s="501">
        <f t="shared" si="7"/>
        <v>13.219999999999999</v>
      </c>
      <c r="J154" s="501">
        <f t="shared" si="8"/>
        <v>13.219999999999999</v>
      </c>
      <c r="K154" s="501"/>
      <c r="L154" s="501"/>
      <c r="M154" s="501"/>
      <c r="N154" s="501">
        <f>SUM(N155:N158)</f>
        <v>2.17</v>
      </c>
      <c r="O154" s="851"/>
      <c r="P154" s="501"/>
      <c r="Q154" s="860">
        <f>SUM(Q155:Q158)</f>
        <v>11.049999999999999</v>
      </c>
      <c r="R154" s="870"/>
      <c r="S154" s="724"/>
      <c r="T154" s="335"/>
      <c r="U154" s="705"/>
      <c r="V154" s="705"/>
      <c r="W154" s="15">
        <v>9</v>
      </c>
      <c r="X154" s="15">
        <v>135.46</v>
      </c>
      <c r="Y154" s="17">
        <v>2</v>
      </c>
      <c r="Z154" s="1686">
        <v>30</v>
      </c>
      <c r="AB154">
        <v>1</v>
      </c>
      <c r="AE154" s="2461"/>
      <c r="AF154" s="68"/>
    </row>
    <row r="155" spans="1:32" ht="15.5" x14ac:dyDescent="0.35">
      <c r="A155" s="347"/>
      <c r="B155" s="358">
        <v>10236</v>
      </c>
      <c r="C155" s="358"/>
      <c r="D155" s="358"/>
      <c r="E155" s="837" t="s">
        <v>2350</v>
      </c>
      <c r="F155" s="13">
        <v>4</v>
      </c>
      <c r="G155" s="13">
        <v>4</v>
      </c>
      <c r="H155" s="13">
        <v>6</v>
      </c>
      <c r="I155" s="501"/>
      <c r="J155" s="501"/>
      <c r="K155" s="501"/>
      <c r="L155" s="501"/>
      <c r="M155" s="501"/>
      <c r="N155" s="501"/>
      <c r="O155" s="851"/>
      <c r="P155" s="501"/>
      <c r="Q155" s="863">
        <v>3.01</v>
      </c>
      <c r="R155" s="870"/>
      <c r="S155" s="724"/>
      <c r="T155" s="335"/>
      <c r="U155" s="705"/>
      <c r="V155" s="705"/>
      <c r="W155" s="15"/>
      <c r="X155" s="15"/>
      <c r="Y155" s="17"/>
      <c r="Z155" s="1686"/>
      <c r="AA155" t="s">
        <v>1812</v>
      </c>
      <c r="AE155" s="2461"/>
      <c r="AF155" s="68"/>
    </row>
    <row r="156" spans="1:32" ht="15.5" x14ac:dyDescent="0.35">
      <c r="A156" s="347"/>
      <c r="B156" s="358">
        <v>10236</v>
      </c>
      <c r="C156" s="358"/>
      <c r="D156" s="358"/>
      <c r="E156" s="289" t="s">
        <v>2827</v>
      </c>
      <c r="F156" s="13">
        <v>4</v>
      </c>
      <c r="G156" s="13">
        <v>4</v>
      </c>
      <c r="H156" s="13">
        <v>6</v>
      </c>
      <c r="I156" s="501"/>
      <c r="J156" s="501"/>
      <c r="K156" s="501"/>
      <c r="L156" s="501"/>
      <c r="M156" s="501"/>
      <c r="N156" s="502">
        <v>2.0299999999999998</v>
      </c>
      <c r="O156" s="851"/>
      <c r="P156" s="501"/>
      <c r="Q156" s="860"/>
      <c r="R156" s="870"/>
      <c r="S156" s="724"/>
      <c r="T156" s="335"/>
      <c r="U156" s="705"/>
      <c r="V156" s="705"/>
      <c r="W156" s="15"/>
      <c r="X156" s="15"/>
      <c r="Y156" s="17"/>
      <c r="Z156" s="1686"/>
      <c r="AE156" s="2461"/>
      <c r="AF156" s="68"/>
    </row>
    <row r="157" spans="1:32" ht="15.5" x14ac:dyDescent="0.35">
      <c r="A157" s="347"/>
      <c r="B157" s="358">
        <v>10236</v>
      </c>
      <c r="C157" s="358"/>
      <c r="D157" s="358"/>
      <c r="E157" s="837" t="s">
        <v>2828</v>
      </c>
      <c r="F157" s="13">
        <v>4</v>
      </c>
      <c r="G157" s="13">
        <v>4</v>
      </c>
      <c r="H157" s="13">
        <v>6</v>
      </c>
      <c r="I157" s="501"/>
      <c r="J157" s="501"/>
      <c r="K157" s="501"/>
      <c r="L157" s="501"/>
      <c r="M157" s="501"/>
      <c r="N157" s="501"/>
      <c r="O157" s="851"/>
      <c r="P157" s="501"/>
      <c r="Q157" s="863">
        <v>8.0399999999999991</v>
      </c>
      <c r="R157" s="870"/>
      <c r="S157" s="724"/>
      <c r="T157" s="335"/>
      <c r="U157" s="705"/>
      <c r="V157" s="705"/>
      <c r="W157" s="15"/>
      <c r="X157" s="15"/>
      <c r="Y157" s="17"/>
      <c r="Z157" s="1686"/>
      <c r="AE157" s="2461"/>
      <c r="AF157" s="68"/>
    </row>
    <row r="158" spans="1:32" ht="15.5" x14ac:dyDescent="0.35">
      <c r="A158" s="347"/>
      <c r="B158" s="358">
        <v>10236</v>
      </c>
      <c r="C158" s="358"/>
      <c r="D158" s="358"/>
      <c r="E158" s="534" t="s">
        <v>1558</v>
      </c>
      <c r="F158" s="13">
        <v>4</v>
      </c>
      <c r="G158" s="13">
        <v>4</v>
      </c>
      <c r="H158" s="13">
        <v>6</v>
      </c>
      <c r="I158" s="501"/>
      <c r="J158" s="501"/>
      <c r="K158" s="501"/>
      <c r="L158" s="501"/>
      <c r="M158" s="501"/>
      <c r="N158" s="502">
        <v>0.14000000000000001</v>
      </c>
      <c r="O158" s="851"/>
      <c r="P158" s="501"/>
      <c r="Q158" s="860"/>
      <c r="R158" s="870"/>
      <c r="S158" s="724"/>
      <c r="T158" s="335"/>
      <c r="U158" s="705"/>
      <c r="V158" s="705"/>
      <c r="W158" s="15"/>
      <c r="X158" s="15"/>
      <c r="Y158" s="17"/>
      <c r="Z158" s="1686"/>
      <c r="AE158" s="2461"/>
      <c r="AF158" s="68"/>
    </row>
    <row r="159" spans="1:32" ht="75.5" x14ac:dyDescent="0.35">
      <c r="A159" s="349">
        <v>50</v>
      </c>
      <c r="B159" s="405">
        <v>10236</v>
      </c>
      <c r="C159" s="405"/>
      <c r="D159" s="2464" t="s">
        <v>4365</v>
      </c>
      <c r="E159" s="511" t="s">
        <v>10946</v>
      </c>
      <c r="F159" s="13">
        <v>5</v>
      </c>
      <c r="G159" s="13">
        <v>5</v>
      </c>
      <c r="H159" s="13">
        <v>6</v>
      </c>
      <c r="I159" s="501">
        <f t="shared" si="7"/>
        <v>1.1000000000000001</v>
      </c>
      <c r="J159" s="501">
        <f t="shared" si="8"/>
        <v>1.1000000000000001</v>
      </c>
      <c r="K159" s="503"/>
      <c r="L159" s="503"/>
      <c r="M159" s="503"/>
      <c r="N159" s="503"/>
      <c r="O159" s="854"/>
      <c r="P159" s="503"/>
      <c r="Q159" s="860"/>
      <c r="R159" s="874">
        <v>1.1000000000000001</v>
      </c>
      <c r="S159" s="1748"/>
      <c r="T159" s="705"/>
      <c r="U159" s="705"/>
      <c r="V159" s="705"/>
      <c r="W159" s="15"/>
      <c r="X159" s="15"/>
      <c r="Y159" s="17"/>
      <c r="Z159" s="1686"/>
      <c r="AB159">
        <v>1</v>
      </c>
      <c r="AE159" s="2461"/>
      <c r="AF159" s="68"/>
    </row>
    <row r="160" spans="1:32" ht="90.5" x14ac:dyDescent="0.35">
      <c r="A160" s="370">
        <v>51</v>
      </c>
      <c r="B160" s="365">
        <v>10236</v>
      </c>
      <c r="C160" s="365" t="s">
        <v>1656</v>
      </c>
      <c r="D160" s="2464" t="s">
        <v>4366</v>
      </c>
      <c r="E160" s="269" t="s">
        <v>10947</v>
      </c>
      <c r="F160" s="92" t="s">
        <v>664</v>
      </c>
      <c r="G160" s="13">
        <v>5</v>
      </c>
      <c r="H160" s="13">
        <v>6</v>
      </c>
      <c r="I160" s="501">
        <f t="shared" si="7"/>
        <v>0.35</v>
      </c>
      <c r="J160" s="501">
        <f t="shared" si="8"/>
        <v>0.35</v>
      </c>
      <c r="K160" s="557"/>
      <c r="L160" s="557"/>
      <c r="M160" s="557"/>
      <c r="N160" s="557"/>
      <c r="O160" s="856"/>
      <c r="P160" s="557"/>
      <c r="Q160" s="866"/>
      <c r="R160" s="876">
        <v>0.35</v>
      </c>
      <c r="S160" s="1571"/>
      <c r="T160" s="1571"/>
      <c r="U160" s="1571"/>
      <c r="V160" s="1571"/>
      <c r="W160" s="106"/>
      <c r="X160" s="106"/>
      <c r="Y160" s="46"/>
      <c r="Z160" s="47"/>
      <c r="AB160">
        <v>1</v>
      </c>
      <c r="AE160" s="2461"/>
      <c r="AF160" s="68"/>
    </row>
    <row r="161" spans="1:32" ht="30" x14ac:dyDescent="0.35">
      <c r="A161" s="347">
        <v>52</v>
      </c>
      <c r="B161" s="358">
        <v>10237</v>
      </c>
      <c r="C161" s="358"/>
      <c r="D161" s="358" t="s">
        <v>2316</v>
      </c>
      <c r="E161" s="288" t="s">
        <v>1027</v>
      </c>
      <c r="F161" s="14"/>
      <c r="G161" s="14" t="s">
        <v>191</v>
      </c>
      <c r="H161" s="13" t="s">
        <v>191</v>
      </c>
      <c r="I161" s="501">
        <f t="shared" si="7"/>
        <v>4.5750000000000002</v>
      </c>
      <c r="J161" s="501">
        <f t="shared" si="8"/>
        <v>4.5750000000000002</v>
      </c>
      <c r="K161" s="501"/>
      <c r="L161" s="501"/>
      <c r="M161" s="501"/>
      <c r="N161" s="501">
        <f>SUM(N162:N163)</f>
        <v>1.4E-2</v>
      </c>
      <c r="O161" s="851"/>
      <c r="P161" s="501"/>
      <c r="Q161" s="860">
        <f>SUM(Q162:Q163)</f>
        <v>4.5609999999999999</v>
      </c>
      <c r="R161" s="870"/>
      <c r="S161" s="1748"/>
      <c r="T161" s="705"/>
      <c r="U161" s="705"/>
      <c r="V161" s="705"/>
      <c r="W161" s="17">
        <v>4</v>
      </c>
      <c r="X161" s="17">
        <v>54</v>
      </c>
      <c r="Y161" s="17"/>
      <c r="Z161" s="1686"/>
      <c r="AB161">
        <v>1</v>
      </c>
      <c r="AE161" s="2461"/>
      <c r="AF161" s="68"/>
    </row>
    <row r="162" spans="1:32" ht="15.5" x14ac:dyDescent="0.35">
      <c r="A162" s="347"/>
      <c r="B162" s="358">
        <v>10237</v>
      </c>
      <c r="C162" s="358"/>
      <c r="D162" s="358"/>
      <c r="E162" s="289" t="s">
        <v>2700</v>
      </c>
      <c r="F162" s="14">
        <v>4</v>
      </c>
      <c r="G162" s="14">
        <v>4</v>
      </c>
      <c r="H162" s="13">
        <v>6</v>
      </c>
      <c r="I162" s="502"/>
      <c r="J162" s="502"/>
      <c r="K162" s="502"/>
      <c r="L162" s="502"/>
      <c r="M162" s="502"/>
      <c r="N162" s="502">
        <v>1.4E-2</v>
      </c>
      <c r="O162" s="853"/>
      <c r="P162" s="502"/>
      <c r="Q162" s="863"/>
      <c r="R162" s="873"/>
      <c r="S162" s="1748"/>
      <c r="T162" s="705"/>
      <c r="U162" s="705"/>
      <c r="V162" s="705"/>
      <c r="W162" s="17"/>
      <c r="X162" s="17"/>
      <c r="Y162" s="17"/>
      <c r="Z162" s="1686"/>
      <c r="AE162" s="2461"/>
      <c r="AF162" s="68"/>
    </row>
    <row r="163" spans="1:32" ht="15.5" x14ac:dyDescent="0.35">
      <c r="A163" s="347"/>
      <c r="B163" s="358">
        <v>10237</v>
      </c>
      <c r="C163" s="358"/>
      <c r="D163" s="358"/>
      <c r="E163" s="837" t="s">
        <v>1028</v>
      </c>
      <c r="F163" s="14">
        <v>4</v>
      </c>
      <c r="G163" s="14">
        <v>4</v>
      </c>
      <c r="H163" s="13">
        <v>6</v>
      </c>
      <c r="I163" s="502"/>
      <c r="J163" s="502"/>
      <c r="K163" s="502"/>
      <c r="L163" s="502"/>
      <c r="M163" s="502"/>
      <c r="N163" s="502"/>
      <c r="O163" s="853"/>
      <c r="P163" s="502"/>
      <c r="Q163" s="863">
        <v>4.5609999999999999</v>
      </c>
      <c r="R163" s="873"/>
      <c r="S163" s="1748"/>
      <c r="T163" s="705"/>
      <c r="U163" s="705"/>
      <c r="V163" s="705"/>
      <c r="W163" s="17"/>
      <c r="X163" s="17"/>
      <c r="Y163" s="17"/>
      <c r="Z163" s="1686"/>
      <c r="AE163" s="2461"/>
      <c r="AF163" s="68"/>
    </row>
    <row r="164" spans="1:32" ht="30.5" x14ac:dyDescent="0.35">
      <c r="A164" s="349">
        <v>53</v>
      </c>
      <c r="B164" s="405">
        <v>10237</v>
      </c>
      <c r="C164" s="405"/>
      <c r="D164" s="2464" t="s">
        <v>4367</v>
      </c>
      <c r="E164" s="288" t="s">
        <v>7543</v>
      </c>
      <c r="F164" s="13">
        <v>5</v>
      </c>
      <c r="G164" s="13">
        <v>5</v>
      </c>
      <c r="H164" s="13">
        <v>6</v>
      </c>
      <c r="I164" s="501">
        <f>L164+K164+J164</f>
        <v>1.546</v>
      </c>
      <c r="J164" s="501">
        <f>SUM(M164:R164)</f>
        <v>1.546</v>
      </c>
      <c r="K164" s="503"/>
      <c r="L164" s="503"/>
      <c r="M164" s="503"/>
      <c r="N164" s="503"/>
      <c r="O164" s="854"/>
      <c r="P164" s="503"/>
      <c r="Q164" s="860">
        <v>1.546</v>
      </c>
      <c r="R164" s="874"/>
      <c r="S164" s="1748"/>
      <c r="T164" s="705"/>
      <c r="U164" s="705"/>
      <c r="V164" s="705"/>
      <c r="W164" s="15">
        <v>2</v>
      </c>
      <c r="X164" s="18">
        <v>20</v>
      </c>
      <c r="Y164" s="17"/>
      <c r="Z164" s="1686"/>
      <c r="AB164">
        <v>1</v>
      </c>
      <c r="AE164" s="2461"/>
      <c r="AF164" s="68"/>
    </row>
    <row r="165" spans="1:32" ht="30.5" x14ac:dyDescent="0.35">
      <c r="A165" s="370">
        <v>54</v>
      </c>
      <c r="B165" s="365">
        <v>10237</v>
      </c>
      <c r="C165" s="365" t="s">
        <v>1656</v>
      </c>
      <c r="D165" s="2464" t="s">
        <v>4368</v>
      </c>
      <c r="E165" s="269" t="s">
        <v>8282</v>
      </c>
      <c r="F165" s="92" t="s">
        <v>664</v>
      </c>
      <c r="G165" s="92">
        <v>5</v>
      </c>
      <c r="H165" s="13">
        <v>6</v>
      </c>
      <c r="I165" s="501">
        <f>L165+K165+J165</f>
        <v>0.2</v>
      </c>
      <c r="J165" s="501">
        <f>SUM(M165:R165)</f>
        <v>0.2</v>
      </c>
      <c r="K165" s="557"/>
      <c r="L165" s="557"/>
      <c r="M165" s="557"/>
      <c r="N165" s="557"/>
      <c r="O165" s="856"/>
      <c r="P165" s="557"/>
      <c r="Q165" s="866"/>
      <c r="R165" s="876">
        <v>0.2</v>
      </c>
      <c r="S165" s="1571"/>
      <c r="T165" s="1571"/>
      <c r="U165" s="1571"/>
      <c r="V165" s="1571"/>
      <c r="W165" s="106"/>
      <c r="X165" s="106"/>
      <c r="Y165" s="46"/>
      <c r="Z165" s="47"/>
      <c r="AB165">
        <v>1</v>
      </c>
      <c r="AE165" s="2461"/>
      <c r="AF165" s="68"/>
    </row>
    <row r="166" spans="1:32" ht="45.5" x14ac:dyDescent="0.35">
      <c r="A166" s="347">
        <v>55</v>
      </c>
      <c r="B166" s="358">
        <v>10238</v>
      </c>
      <c r="C166" s="358"/>
      <c r="D166" s="358" t="s">
        <v>1359</v>
      </c>
      <c r="E166" s="511" t="s">
        <v>10948</v>
      </c>
      <c r="F166" s="13"/>
      <c r="G166" s="13" t="s">
        <v>191</v>
      </c>
      <c r="H166" s="13" t="s">
        <v>191</v>
      </c>
      <c r="I166" s="501">
        <f>L166+K166+J166</f>
        <v>14.318000000000001</v>
      </c>
      <c r="J166" s="501">
        <f>SUM(M166:R166)</f>
        <v>13.483000000000001</v>
      </c>
      <c r="K166" s="501"/>
      <c r="L166" s="501">
        <f>SUM(L167:L175)</f>
        <v>0.83499999999999996</v>
      </c>
      <c r="M166" s="501"/>
      <c r="N166" s="501">
        <f>SUM(N167:N175)</f>
        <v>2.3919999999999977</v>
      </c>
      <c r="O166" s="851"/>
      <c r="P166" s="501"/>
      <c r="Q166" s="860">
        <f>SUM(Q167:Q175)</f>
        <v>11.091000000000003</v>
      </c>
      <c r="R166" s="870"/>
      <c r="S166" s="724">
        <v>1</v>
      </c>
      <c r="T166" s="335">
        <v>12</v>
      </c>
      <c r="U166" s="705"/>
      <c r="V166" s="705"/>
      <c r="W166" s="335">
        <v>19</v>
      </c>
      <c r="X166" s="335">
        <v>268.10000000000002</v>
      </c>
      <c r="Y166" s="705">
        <v>7</v>
      </c>
      <c r="Z166" s="2738">
        <v>73.8</v>
      </c>
      <c r="AB166">
        <v>1</v>
      </c>
      <c r="AE166" s="2461"/>
      <c r="AF166" s="68"/>
    </row>
    <row r="167" spans="1:32" ht="15.5" x14ac:dyDescent="0.35">
      <c r="A167" s="347"/>
      <c r="B167" s="358">
        <v>10238</v>
      </c>
      <c r="C167" s="358"/>
      <c r="D167" s="358"/>
      <c r="E167" s="289" t="s">
        <v>10566</v>
      </c>
      <c r="F167" s="13">
        <v>4</v>
      </c>
      <c r="G167" s="13">
        <v>4</v>
      </c>
      <c r="H167" s="13">
        <v>6</v>
      </c>
      <c r="I167" s="502"/>
      <c r="J167" s="502"/>
      <c r="K167" s="502"/>
      <c r="L167" s="502"/>
      <c r="M167" s="502"/>
      <c r="N167" s="502">
        <v>0.80800000000000005</v>
      </c>
      <c r="O167" s="853"/>
      <c r="P167" s="502"/>
      <c r="Q167" s="863"/>
      <c r="R167" s="873"/>
      <c r="S167" s="724"/>
      <c r="T167" s="335"/>
      <c r="U167" s="705"/>
      <c r="V167" s="705"/>
      <c r="W167" s="15"/>
      <c r="X167" s="15"/>
      <c r="Y167" s="17"/>
      <c r="Z167" s="1686"/>
      <c r="AE167" s="2461"/>
      <c r="AF167" s="68"/>
    </row>
    <row r="168" spans="1:32" ht="15.5" x14ac:dyDescent="0.35">
      <c r="A168" s="347"/>
      <c r="B168" s="358">
        <v>10238</v>
      </c>
      <c r="C168" s="358"/>
      <c r="D168" s="358"/>
      <c r="E168" s="837" t="s">
        <v>10567</v>
      </c>
      <c r="F168" s="13">
        <v>4</v>
      </c>
      <c r="G168" s="13">
        <v>4</v>
      </c>
      <c r="H168" s="13">
        <v>6</v>
      </c>
      <c r="I168" s="502"/>
      <c r="J168" s="502"/>
      <c r="K168" s="502"/>
      <c r="L168" s="502"/>
      <c r="M168" s="502"/>
      <c r="N168" s="502"/>
      <c r="O168" s="853"/>
      <c r="P168" s="502"/>
      <c r="Q168" s="863">
        <f>6.282-0.808</f>
        <v>5.4740000000000002</v>
      </c>
      <c r="R168" s="873"/>
      <c r="S168" s="724"/>
      <c r="T168" s="335"/>
      <c r="U168" s="705"/>
      <c r="V168" s="705"/>
      <c r="W168" s="15"/>
      <c r="X168" s="15"/>
      <c r="Y168" s="17"/>
      <c r="Z168" s="1686"/>
      <c r="AE168" s="2461"/>
      <c r="AF168" s="68"/>
    </row>
    <row r="169" spans="1:32" ht="31" x14ac:dyDescent="0.35">
      <c r="A169" s="347"/>
      <c r="B169" s="358">
        <v>10238</v>
      </c>
      <c r="C169" s="358"/>
      <c r="D169" s="358"/>
      <c r="E169" s="289" t="s">
        <v>10568</v>
      </c>
      <c r="F169" s="13">
        <v>4</v>
      </c>
      <c r="G169" s="13">
        <v>4</v>
      </c>
      <c r="H169" s="13" t="s">
        <v>191</v>
      </c>
      <c r="I169" s="502"/>
      <c r="J169" s="502"/>
      <c r="K169" s="502"/>
      <c r="L169" s="502">
        <f>7.117-6.282</f>
        <v>0.83499999999999996</v>
      </c>
      <c r="M169" s="502"/>
      <c r="N169" s="502"/>
      <c r="O169" s="853"/>
      <c r="P169" s="502"/>
      <c r="Q169" s="863"/>
      <c r="R169" s="873"/>
      <c r="S169" s="724"/>
      <c r="T169" s="335"/>
      <c r="U169" s="705"/>
      <c r="V169" s="705"/>
      <c r="W169" s="15"/>
      <c r="X169" s="15"/>
      <c r="Y169" s="17"/>
      <c r="Z169" s="1686"/>
      <c r="AE169" s="2461"/>
      <c r="AF169" s="68"/>
    </row>
    <row r="170" spans="1:32" ht="15.5" x14ac:dyDescent="0.35">
      <c r="A170" s="347"/>
      <c r="B170" s="358">
        <v>10238</v>
      </c>
      <c r="C170" s="358"/>
      <c r="D170" s="358"/>
      <c r="E170" s="2050" t="s">
        <v>10569</v>
      </c>
      <c r="F170" s="13">
        <v>4</v>
      </c>
      <c r="G170" s="13">
        <v>4</v>
      </c>
      <c r="H170" s="13">
        <v>6</v>
      </c>
      <c r="I170" s="502"/>
      <c r="J170" s="502"/>
      <c r="K170" s="502"/>
      <c r="L170" s="502"/>
      <c r="M170" s="502"/>
      <c r="N170" s="502"/>
      <c r="O170" s="853"/>
      <c r="P170" s="502"/>
      <c r="Q170" s="863">
        <f>10.522-7.117</f>
        <v>3.4050000000000002</v>
      </c>
      <c r="R170" s="873"/>
      <c r="S170" s="724"/>
      <c r="T170" s="335"/>
      <c r="U170" s="705"/>
      <c r="V170" s="705"/>
      <c r="W170" s="15"/>
      <c r="X170" s="15"/>
      <c r="Y170" s="17"/>
      <c r="Z170" s="1686"/>
      <c r="AE170" s="2461"/>
      <c r="AF170" s="68"/>
    </row>
    <row r="171" spans="1:32" ht="15.5" x14ac:dyDescent="0.35">
      <c r="A171" s="347"/>
      <c r="B171" s="358">
        <v>10238</v>
      </c>
      <c r="C171" s="358"/>
      <c r="D171" s="358"/>
      <c r="E171" s="289" t="s">
        <v>10570</v>
      </c>
      <c r="F171" s="13">
        <v>4</v>
      </c>
      <c r="G171" s="13">
        <v>4</v>
      </c>
      <c r="H171" s="13">
        <v>6</v>
      </c>
      <c r="I171" s="502"/>
      <c r="J171" s="502"/>
      <c r="K171" s="502"/>
      <c r="L171" s="502"/>
      <c r="M171" s="502"/>
      <c r="N171" s="502">
        <f>12.04-10.522</f>
        <v>1.5179999999999989</v>
      </c>
      <c r="O171" s="853"/>
      <c r="P171" s="502"/>
      <c r="Q171" s="863"/>
      <c r="R171" s="873"/>
      <c r="S171" s="724"/>
      <c r="T171" s="335"/>
      <c r="U171" s="705"/>
      <c r="V171" s="705"/>
      <c r="W171" s="15"/>
      <c r="X171" s="15"/>
      <c r="Y171" s="17"/>
      <c r="Z171" s="1686"/>
      <c r="AE171" s="2461"/>
      <c r="AF171" s="68"/>
    </row>
    <row r="172" spans="1:32" ht="15.5" x14ac:dyDescent="0.35">
      <c r="A172" s="347"/>
      <c r="B172" s="358">
        <v>10238</v>
      </c>
      <c r="C172" s="358"/>
      <c r="D172" s="358"/>
      <c r="E172" s="837" t="s">
        <v>10574</v>
      </c>
      <c r="F172" s="13">
        <v>4</v>
      </c>
      <c r="G172" s="13">
        <v>4</v>
      </c>
      <c r="H172" s="13">
        <v>6</v>
      </c>
      <c r="I172" s="502"/>
      <c r="J172" s="502"/>
      <c r="K172" s="502"/>
      <c r="L172" s="502"/>
      <c r="M172" s="502"/>
      <c r="N172" s="502"/>
      <c r="O172" s="853"/>
      <c r="P172" s="502"/>
      <c r="Q172" s="863">
        <f>12.631-12.04</f>
        <v>0.59100000000000108</v>
      </c>
      <c r="R172" s="873"/>
      <c r="S172" s="724"/>
      <c r="T172" s="335"/>
      <c r="U172" s="705"/>
      <c r="V172" s="705"/>
      <c r="W172" s="15"/>
      <c r="X172" s="15"/>
      <c r="Y172" s="17"/>
      <c r="Z172" s="1686"/>
      <c r="AE172" s="2461"/>
      <c r="AF172" s="68"/>
    </row>
    <row r="173" spans="1:32" ht="15.5" x14ac:dyDescent="0.35">
      <c r="A173" s="347"/>
      <c r="B173" s="358">
        <v>10238</v>
      </c>
      <c r="C173" s="358"/>
      <c r="D173" s="358"/>
      <c r="E173" s="458" t="s">
        <v>10571</v>
      </c>
      <c r="F173" s="13">
        <v>4</v>
      </c>
      <c r="G173" s="13">
        <v>4</v>
      </c>
      <c r="H173" s="13">
        <v>6</v>
      </c>
      <c r="I173" s="502"/>
      <c r="J173" s="502"/>
      <c r="K173" s="502"/>
      <c r="L173" s="502"/>
      <c r="M173" s="502"/>
      <c r="N173" s="502">
        <f>12.682-12.631</f>
        <v>5.1000000000000156E-2</v>
      </c>
      <c r="O173" s="853"/>
      <c r="P173" s="502"/>
      <c r="Q173" s="863"/>
      <c r="R173" s="873"/>
      <c r="S173" s="724"/>
      <c r="T173" s="335"/>
      <c r="U173" s="705"/>
      <c r="V173" s="705"/>
      <c r="W173" s="15"/>
      <c r="X173" s="15"/>
      <c r="Y173" s="17"/>
      <c r="Z173" s="1686"/>
      <c r="AE173" s="2461"/>
      <c r="AF173" s="68"/>
    </row>
    <row r="174" spans="1:32" ht="15.5" x14ac:dyDescent="0.35">
      <c r="A174" s="347"/>
      <c r="B174" s="358">
        <v>10238</v>
      </c>
      <c r="C174" s="358"/>
      <c r="D174" s="358"/>
      <c r="E174" s="879" t="s">
        <v>10572</v>
      </c>
      <c r="F174" s="13">
        <v>4</v>
      </c>
      <c r="G174" s="13">
        <v>4</v>
      </c>
      <c r="H174" s="13">
        <v>6</v>
      </c>
      <c r="I174" s="502"/>
      <c r="J174" s="502"/>
      <c r="K174" s="502"/>
      <c r="L174" s="502"/>
      <c r="M174" s="502"/>
      <c r="N174" s="502"/>
      <c r="O174" s="853"/>
      <c r="P174" s="502"/>
      <c r="Q174" s="863">
        <f>14.303-12.682</f>
        <v>1.6210000000000004</v>
      </c>
      <c r="R174" s="873"/>
      <c r="S174" s="724"/>
      <c r="T174" s="335"/>
      <c r="U174" s="705"/>
      <c r="V174" s="705"/>
      <c r="W174" s="15"/>
      <c r="X174" s="15"/>
      <c r="Y174" s="17"/>
      <c r="Z174" s="1686"/>
      <c r="AE174" s="2461"/>
      <c r="AF174" s="68"/>
    </row>
    <row r="175" spans="1:32" s="2685" customFormat="1" ht="15.5" x14ac:dyDescent="0.35">
      <c r="A175" s="347"/>
      <c r="B175" s="358"/>
      <c r="C175" s="358"/>
      <c r="D175" s="358"/>
      <c r="E175" s="289" t="s">
        <v>10573</v>
      </c>
      <c r="F175" s="13">
        <v>4</v>
      </c>
      <c r="G175" s="13">
        <v>4</v>
      </c>
      <c r="H175" s="13">
        <v>6</v>
      </c>
      <c r="I175" s="502"/>
      <c r="J175" s="502"/>
      <c r="K175" s="502"/>
      <c r="L175" s="502"/>
      <c r="M175" s="502"/>
      <c r="N175" s="502">
        <f>14.318-14.303</f>
        <v>1.4999999999998792E-2</v>
      </c>
      <c r="O175" s="853"/>
      <c r="P175" s="502"/>
      <c r="Q175" s="863"/>
      <c r="R175" s="873"/>
      <c r="S175" s="724"/>
      <c r="T175" s="335"/>
      <c r="U175" s="705"/>
      <c r="V175" s="705"/>
      <c r="W175" s="15"/>
      <c r="X175" s="15"/>
      <c r="Y175" s="17"/>
      <c r="Z175" s="1686"/>
      <c r="AE175" s="2461"/>
      <c r="AF175" s="68"/>
    </row>
    <row r="176" spans="1:32" ht="60.5" x14ac:dyDescent="0.35">
      <c r="A176" s="347">
        <v>56</v>
      </c>
      <c r="B176" s="358">
        <v>10238</v>
      </c>
      <c r="C176" s="358"/>
      <c r="D176" s="2464" t="s">
        <v>4369</v>
      </c>
      <c r="E176" s="288" t="s">
        <v>9710</v>
      </c>
      <c r="F176" s="13">
        <v>4</v>
      </c>
      <c r="G176" s="13">
        <v>4</v>
      </c>
      <c r="H176" s="13">
        <v>6</v>
      </c>
      <c r="I176" s="501">
        <f>L176+K176+J176</f>
        <v>1.153</v>
      </c>
      <c r="J176" s="501">
        <f t="shared" ref="J176:J183" si="9">SUM(M176:R176)</f>
        <v>1.153</v>
      </c>
      <c r="K176" s="502"/>
      <c r="L176" s="502"/>
      <c r="M176" s="502"/>
      <c r="N176" s="501">
        <v>1.153</v>
      </c>
      <c r="O176" s="853"/>
      <c r="P176" s="502"/>
      <c r="Q176" s="863"/>
      <c r="R176" s="873"/>
      <c r="S176" s="724"/>
      <c r="T176" s="335"/>
      <c r="U176" s="705"/>
      <c r="V176" s="705"/>
      <c r="W176" s="15">
        <v>2</v>
      </c>
      <c r="X176" s="18">
        <v>21</v>
      </c>
      <c r="Y176" s="17"/>
      <c r="Z176" s="1686"/>
      <c r="AB176">
        <v>1</v>
      </c>
      <c r="AE176" s="2461"/>
      <c r="AF176" s="68"/>
    </row>
    <row r="177" spans="1:32" ht="75.5" x14ac:dyDescent="0.35">
      <c r="A177" s="1855">
        <v>57</v>
      </c>
      <c r="B177" s="365">
        <v>10238</v>
      </c>
      <c r="C177" s="1005" t="s">
        <v>1656</v>
      </c>
      <c r="D177" s="2464" t="s">
        <v>4370</v>
      </c>
      <c r="E177" s="269" t="s">
        <v>9711</v>
      </c>
      <c r="F177" s="92" t="s">
        <v>664</v>
      </c>
      <c r="G177" s="13">
        <v>5</v>
      </c>
      <c r="H177" s="13">
        <v>6</v>
      </c>
      <c r="I177" s="297">
        <f>J177+K177+L177</f>
        <v>0.4</v>
      </c>
      <c r="J177" s="501">
        <f t="shared" si="9"/>
        <v>0.4</v>
      </c>
      <c r="K177" s="557"/>
      <c r="L177" s="557"/>
      <c r="M177" s="557"/>
      <c r="N177" s="557"/>
      <c r="O177" s="856"/>
      <c r="P177" s="557"/>
      <c r="Q177" s="866"/>
      <c r="R177" s="876">
        <v>0.4</v>
      </c>
      <c r="S177" s="1571"/>
      <c r="T177" s="1571"/>
      <c r="U177" s="1571"/>
      <c r="V177" s="1571"/>
      <c r="W177" s="106"/>
      <c r="X177" s="106"/>
      <c r="Y177" s="46"/>
      <c r="Z177" s="47"/>
      <c r="AB177">
        <v>1</v>
      </c>
      <c r="AE177" s="2461"/>
      <c r="AF177" s="68"/>
    </row>
    <row r="178" spans="1:32" ht="60.5" x14ac:dyDescent="0.35">
      <c r="A178" s="347">
        <v>58</v>
      </c>
      <c r="B178" s="405">
        <v>10238</v>
      </c>
      <c r="C178" s="1005" t="s">
        <v>1656</v>
      </c>
      <c r="D178" s="2464" t="s">
        <v>4371</v>
      </c>
      <c r="E178" s="511" t="s">
        <v>9712</v>
      </c>
      <c r="F178" s="1138"/>
      <c r="G178" s="13"/>
      <c r="H178" s="13" t="s">
        <v>191</v>
      </c>
      <c r="I178" s="297">
        <f>J178+K178+L178</f>
        <v>1.1000000000000001</v>
      </c>
      <c r="J178" s="297">
        <f t="shared" ref="J178" si="10">SUM(M178:R178)</f>
        <v>1.1000000000000001</v>
      </c>
      <c r="K178" s="502"/>
      <c r="L178" s="502"/>
      <c r="M178" s="502"/>
      <c r="N178" s="297">
        <f>SUM(N179:N180)</f>
        <v>0.9</v>
      </c>
      <c r="O178" s="2790"/>
      <c r="P178" s="501"/>
      <c r="Q178" s="1856"/>
      <c r="R178" s="1865">
        <f>SUM(R179:R180)</f>
        <v>0.20000000000000007</v>
      </c>
      <c r="S178" s="1748"/>
      <c r="T178" s="705"/>
      <c r="U178" s="705"/>
      <c r="V178" s="705"/>
      <c r="W178" s="17"/>
      <c r="X178" s="17"/>
      <c r="Y178" s="17"/>
      <c r="Z178" s="1686"/>
      <c r="AB178">
        <v>1</v>
      </c>
      <c r="AE178" s="2461"/>
      <c r="AF178" s="68"/>
    </row>
    <row r="179" spans="1:32" s="2789" customFormat="1" ht="15.5" x14ac:dyDescent="0.35">
      <c r="A179" s="347"/>
      <c r="B179" s="405"/>
      <c r="C179" s="1005"/>
      <c r="D179" s="2464"/>
      <c r="E179" s="289" t="s">
        <v>282</v>
      </c>
      <c r="F179" s="1138" t="s">
        <v>1490</v>
      </c>
      <c r="G179" s="13">
        <v>5</v>
      </c>
      <c r="H179" s="13">
        <v>6</v>
      </c>
      <c r="I179" s="297"/>
      <c r="J179" s="297"/>
      <c r="K179" s="502"/>
      <c r="L179" s="502"/>
      <c r="M179" s="502"/>
      <c r="N179" s="298">
        <v>0.9</v>
      </c>
      <c r="O179" s="853"/>
      <c r="P179" s="502"/>
      <c r="Q179" s="863"/>
      <c r="R179" s="873"/>
      <c r="S179" s="1748"/>
      <c r="T179" s="705"/>
      <c r="U179" s="705"/>
      <c r="V179" s="705"/>
      <c r="W179" s="17"/>
      <c r="X179" s="17"/>
      <c r="Y179" s="17"/>
      <c r="Z179" s="1686"/>
      <c r="AE179" s="2461"/>
      <c r="AF179" s="68"/>
    </row>
    <row r="180" spans="1:32" s="2789" customFormat="1" ht="15.5" x14ac:dyDescent="0.35">
      <c r="A180" s="347"/>
      <c r="B180" s="405"/>
      <c r="C180" s="1005"/>
      <c r="D180" s="2464"/>
      <c r="E180" s="838" t="s">
        <v>11150</v>
      </c>
      <c r="F180" s="1138" t="s">
        <v>664</v>
      </c>
      <c r="G180" s="13">
        <v>5</v>
      </c>
      <c r="H180" s="13">
        <v>6</v>
      </c>
      <c r="I180" s="297"/>
      <c r="J180" s="297"/>
      <c r="K180" s="502"/>
      <c r="L180" s="502"/>
      <c r="M180" s="502"/>
      <c r="N180" s="298"/>
      <c r="O180" s="853"/>
      <c r="P180" s="502"/>
      <c r="Q180" s="863"/>
      <c r="R180" s="873">
        <f>1.1-0.9</f>
        <v>0.20000000000000007</v>
      </c>
      <c r="S180" s="1748"/>
      <c r="T180" s="705"/>
      <c r="U180" s="705"/>
      <c r="V180" s="705"/>
      <c r="W180" s="17"/>
      <c r="X180" s="17"/>
      <c r="Y180" s="17"/>
      <c r="Z180" s="1686"/>
      <c r="AE180" s="2461"/>
      <c r="AF180" s="68"/>
    </row>
    <row r="181" spans="1:32" ht="30" x14ac:dyDescent="0.35">
      <c r="A181" s="1855">
        <v>59</v>
      </c>
      <c r="B181" s="358">
        <v>10239</v>
      </c>
      <c r="C181" s="358"/>
      <c r="D181" s="358" t="s">
        <v>1522</v>
      </c>
      <c r="E181" s="288" t="s">
        <v>524</v>
      </c>
      <c r="F181" s="13">
        <v>4</v>
      </c>
      <c r="G181" s="13">
        <v>4</v>
      </c>
      <c r="H181" s="13">
        <v>6</v>
      </c>
      <c r="I181" s="501">
        <f>L181+K181+J181</f>
        <v>4.38</v>
      </c>
      <c r="J181" s="501">
        <f t="shared" si="9"/>
        <v>4.38</v>
      </c>
      <c r="K181" s="501"/>
      <c r="L181" s="501"/>
      <c r="M181" s="501"/>
      <c r="N181" s="501">
        <v>4.38</v>
      </c>
      <c r="O181" s="851"/>
      <c r="P181" s="501"/>
      <c r="Q181" s="860"/>
      <c r="R181" s="870"/>
      <c r="S181" s="1748"/>
      <c r="T181" s="705"/>
      <c r="U181" s="705"/>
      <c r="V181" s="705"/>
      <c r="W181" s="15">
        <v>12</v>
      </c>
      <c r="X181" s="15">
        <v>159.1</v>
      </c>
      <c r="Y181" s="17">
        <v>4</v>
      </c>
      <c r="Z181" s="1686">
        <v>42.8</v>
      </c>
      <c r="AB181">
        <v>1</v>
      </c>
      <c r="AE181" s="2461"/>
      <c r="AF181" s="68"/>
    </row>
    <row r="182" spans="1:32" ht="30" x14ac:dyDescent="0.35">
      <c r="A182" s="347">
        <v>60</v>
      </c>
      <c r="B182" s="358">
        <v>10240</v>
      </c>
      <c r="C182" s="358"/>
      <c r="D182" s="358" t="s">
        <v>1523</v>
      </c>
      <c r="E182" s="288" t="s">
        <v>949</v>
      </c>
      <c r="F182" s="13">
        <v>5</v>
      </c>
      <c r="G182" s="13">
        <v>5</v>
      </c>
      <c r="H182" s="13">
        <v>6</v>
      </c>
      <c r="I182" s="501">
        <f>L182+K182+J182</f>
        <v>2.2000000000000002</v>
      </c>
      <c r="J182" s="501">
        <f t="shared" si="9"/>
        <v>2.2000000000000002</v>
      </c>
      <c r="K182" s="501"/>
      <c r="L182" s="501"/>
      <c r="M182" s="501"/>
      <c r="N182" s="501">
        <v>2.2000000000000002</v>
      </c>
      <c r="O182" s="851"/>
      <c r="P182" s="501"/>
      <c r="Q182" s="860"/>
      <c r="R182" s="870"/>
      <c r="S182" s="1748"/>
      <c r="T182" s="705"/>
      <c r="U182" s="705"/>
      <c r="V182" s="705"/>
      <c r="W182" s="17"/>
      <c r="X182" s="17"/>
      <c r="Y182" s="17"/>
      <c r="Z182" s="1686"/>
      <c r="AB182">
        <v>1</v>
      </c>
      <c r="AE182" s="2461"/>
      <c r="AF182" s="68"/>
    </row>
    <row r="183" spans="1:32" ht="30.5" x14ac:dyDescent="0.35">
      <c r="A183" s="1855">
        <v>61</v>
      </c>
      <c r="B183" s="358">
        <v>10241</v>
      </c>
      <c r="C183" s="358"/>
      <c r="D183" s="358" t="s">
        <v>1524</v>
      </c>
      <c r="E183" s="288" t="s">
        <v>6917</v>
      </c>
      <c r="F183" s="13"/>
      <c r="G183" s="13" t="s">
        <v>191</v>
      </c>
      <c r="H183" s="13" t="s">
        <v>191</v>
      </c>
      <c r="I183" s="501">
        <f>L183+K183+J183</f>
        <v>9.907</v>
      </c>
      <c r="J183" s="501">
        <f t="shared" si="9"/>
        <v>9.907</v>
      </c>
      <c r="K183" s="501"/>
      <c r="L183" s="501"/>
      <c r="M183" s="501"/>
      <c r="N183" s="501">
        <f>SUM(N184:N187)</f>
        <v>1.2270000000000001</v>
      </c>
      <c r="O183" s="851"/>
      <c r="P183" s="501"/>
      <c r="Q183" s="860">
        <f>SUM(Q184:Q187)</f>
        <v>8.68</v>
      </c>
      <c r="R183" s="870"/>
      <c r="S183" s="1748"/>
      <c r="T183" s="705"/>
      <c r="U183" s="705"/>
      <c r="V183" s="705"/>
      <c r="W183" s="15">
        <v>11</v>
      </c>
      <c r="X183" s="15">
        <v>140.9</v>
      </c>
      <c r="Y183" s="17">
        <v>2</v>
      </c>
      <c r="Z183" s="1686">
        <v>25</v>
      </c>
      <c r="AB183">
        <v>1</v>
      </c>
      <c r="AE183" s="2461"/>
      <c r="AF183" s="68"/>
    </row>
    <row r="184" spans="1:32" ht="15.5" x14ac:dyDescent="0.35">
      <c r="A184" s="347"/>
      <c r="B184" s="358">
        <v>10241</v>
      </c>
      <c r="C184" s="358"/>
      <c r="D184" s="358"/>
      <c r="E184" s="837" t="s">
        <v>1764</v>
      </c>
      <c r="F184" s="13">
        <v>4</v>
      </c>
      <c r="G184" s="13">
        <v>4</v>
      </c>
      <c r="H184" s="13">
        <v>6</v>
      </c>
      <c r="I184" s="502"/>
      <c r="J184" s="502"/>
      <c r="K184" s="502"/>
      <c r="L184" s="502"/>
      <c r="M184" s="502"/>
      <c r="N184" s="502"/>
      <c r="O184" s="853"/>
      <c r="P184" s="502"/>
      <c r="Q184" s="863">
        <v>6.58</v>
      </c>
      <c r="R184" s="873"/>
      <c r="S184" s="1748"/>
      <c r="T184" s="705"/>
      <c r="U184" s="705"/>
      <c r="V184" s="705"/>
      <c r="W184" s="15"/>
      <c r="X184" s="15"/>
      <c r="Y184" s="17"/>
      <c r="Z184" s="1686"/>
      <c r="AE184" s="2461"/>
      <c r="AF184" s="68"/>
    </row>
    <row r="185" spans="1:32" ht="15.5" x14ac:dyDescent="0.35">
      <c r="A185" s="347"/>
      <c r="B185" s="358">
        <v>10241</v>
      </c>
      <c r="C185" s="358"/>
      <c r="D185" s="358"/>
      <c r="E185" s="289" t="s">
        <v>950</v>
      </c>
      <c r="F185" s="13">
        <v>4</v>
      </c>
      <c r="G185" s="13">
        <v>4</v>
      </c>
      <c r="H185" s="13">
        <v>6</v>
      </c>
      <c r="I185" s="502"/>
      <c r="J185" s="502"/>
      <c r="K185" s="502"/>
      <c r="L185" s="502"/>
      <c r="M185" s="502"/>
      <c r="N185" s="502">
        <v>1.02</v>
      </c>
      <c r="O185" s="853"/>
      <c r="P185" s="502"/>
      <c r="Q185" s="863"/>
      <c r="R185" s="873"/>
      <c r="S185" s="1748"/>
      <c r="T185" s="705"/>
      <c r="U185" s="705"/>
      <c r="V185" s="705"/>
      <c r="W185" s="15"/>
      <c r="X185" s="15"/>
      <c r="Y185" s="17"/>
      <c r="Z185" s="1686"/>
      <c r="AE185" s="2461"/>
      <c r="AF185" s="68"/>
    </row>
    <row r="186" spans="1:32" ht="15.5" x14ac:dyDescent="0.35">
      <c r="A186" s="347"/>
      <c r="B186" s="358">
        <v>10241</v>
      </c>
      <c r="C186" s="358"/>
      <c r="D186" s="358"/>
      <c r="E186" s="837" t="s">
        <v>951</v>
      </c>
      <c r="F186" s="13">
        <v>4</v>
      </c>
      <c r="G186" s="13">
        <v>4</v>
      </c>
      <c r="H186" s="13">
        <v>6</v>
      </c>
      <c r="I186" s="502"/>
      <c r="J186" s="502"/>
      <c r="K186" s="502"/>
      <c r="L186" s="502"/>
      <c r="M186" s="502"/>
      <c r="N186" s="502"/>
      <c r="O186" s="853"/>
      <c r="P186" s="502"/>
      <c r="Q186" s="863">
        <v>2.1</v>
      </c>
      <c r="R186" s="873"/>
      <c r="S186" s="1748"/>
      <c r="T186" s="705"/>
      <c r="U186" s="705"/>
      <c r="V186" s="705"/>
      <c r="W186" s="15"/>
      <c r="X186" s="15"/>
      <c r="Y186" s="17"/>
      <c r="Z186" s="1686"/>
      <c r="AE186" s="2461"/>
      <c r="AF186" s="68"/>
    </row>
    <row r="187" spans="1:32" ht="15.5" x14ac:dyDescent="0.35">
      <c r="A187" s="347"/>
      <c r="B187" s="358">
        <v>10241</v>
      </c>
      <c r="C187" s="358"/>
      <c r="D187" s="358"/>
      <c r="E187" s="289" t="s">
        <v>952</v>
      </c>
      <c r="F187" s="13">
        <v>4</v>
      </c>
      <c r="G187" s="13">
        <v>4</v>
      </c>
      <c r="H187" s="13">
        <v>6</v>
      </c>
      <c r="I187" s="502"/>
      <c r="J187" s="502"/>
      <c r="K187" s="502"/>
      <c r="L187" s="502"/>
      <c r="M187" s="502"/>
      <c r="N187" s="502">
        <v>0.20699999999999999</v>
      </c>
      <c r="O187" s="853"/>
      <c r="P187" s="502"/>
      <c r="Q187" s="863"/>
      <c r="R187" s="873"/>
      <c r="S187" s="1748"/>
      <c r="T187" s="705"/>
      <c r="U187" s="705"/>
      <c r="V187" s="705"/>
      <c r="W187" s="15"/>
      <c r="X187" s="15"/>
      <c r="Y187" s="17"/>
      <c r="Z187" s="1686"/>
      <c r="AE187" s="2461"/>
      <c r="AF187" s="68"/>
    </row>
    <row r="188" spans="1:32" ht="45.5" x14ac:dyDescent="0.35">
      <c r="A188" s="347">
        <v>62</v>
      </c>
      <c r="B188" s="405">
        <v>10241</v>
      </c>
      <c r="C188" s="1005" t="s">
        <v>1656</v>
      </c>
      <c r="D188" s="2464" t="s">
        <v>4372</v>
      </c>
      <c r="E188" s="511" t="s">
        <v>8283</v>
      </c>
      <c r="F188" s="1138" t="s">
        <v>664</v>
      </c>
      <c r="G188" s="13">
        <v>5</v>
      </c>
      <c r="H188" s="13">
        <v>6</v>
      </c>
      <c r="I188" s="297">
        <f>J188+K188+L188</f>
        <v>0.3</v>
      </c>
      <c r="J188" s="501">
        <f>SUM(M188:R188)</f>
        <v>0.3</v>
      </c>
      <c r="K188" s="502"/>
      <c r="L188" s="502"/>
      <c r="M188" s="502"/>
      <c r="N188" s="298"/>
      <c r="O188" s="853"/>
      <c r="P188" s="502"/>
      <c r="Q188" s="863"/>
      <c r="R188" s="873">
        <v>0.3</v>
      </c>
      <c r="S188" s="1748"/>
      <c r="T188" s="705"/>
      <c r="U188" s="705"/>
      <c r="V188" s="705"/>
      <c r="W188" s="15"/>
      <c r="X188" s="15"/>
      <c r="Y188" s="17"/>
      <c r="Z188" s="1686"/>
      <c r="AB188">
        <v>1</v>
      </c>
      <c r="AE188" s="2461"/>
      <c r="AF188" s="68"/>
    </row>
    <row r="189" spans="1:32" ht="30" x14ac:dyDescent="0.35">
      <c r="A189" s="347">
        <v>63</v>
      </c>
      <c r="B189" s="358">
        <v>10242</v>
      </c>
      <c r="C189" s="358"/>
      <c r="D189" s="358" t="s">
        <v>1912</v>
      </c>
      <c r="E189" s="288" t="s">
        <v>2765</v>
      </c>
      <c r="F189" s="13"/>
      <c r="G189" s="13" t="s">
        <v>191</v>
      </c>
      <c r="H189" s="13" t="s">
        <v>191</v>
      </c>
      <c r="I189" s="501">
        <f>L189+K189+J189</f>
        <v>6.9509999999999996</v>
      </c>
      <c r="J189" s="501">
        <f>SUM(M189:R189)</f>
        <v>6.9509999999999996</v>
      </c>
      <c r="K189" s="501"/>
      <c r="L189" s="501"/>
      <c r="M189" s="501"/>
      <c r="N189" s="501">
        <f>SUM(N190:N191)</f>
        <v>0.14000000000000001</v>
      </c>
      <c r="O189" s="851"/>
      <c r="P189" s="501"/>
      <c r="Q189" s="860">
        <f>SUM(Q190:Q191)</f>
        <v>6.8109999999999999</v>
      </c>
      <c r="R189" s="870"/>
      <c r="S189" s="724"/>
      <c r="T189" s="335"/>
      <c r="U189" s="705"/>
      <c r="V189" s="705"/>
      <c r="W189" s="15">
        <v>7</v>
      </c>
      <c r="X189" s="15">
        <v>94.58</v>
      </c>
      <c r="Y189" s="17">
        <v>1</v>
      </c>
      <c r="Z189" s="1686">
        <v>10</v>
      </c>
      <c r="AB189">
        <v>1</v>
      </c>
      <c r="AE189" s="2461"/>
      <c r="AF189" s="68"/>
    </row>
    <row r="190" spans="1:32" ht="15.5" x14ac:dyDescent="0.35">
      <c r="A190" s="347"/>
      <c r="B190" s="358">
        <v>10242</v>
      </c>
      <c r="C190" s="358"/>
      <c r="D190" s="358"/>
      <c r="E190" s="289" t="s">
        <v>1321</v>
      </c>
      <c r="F190" s="13">
        <v>4</v>
      </c>
      <c r="G190" s="13">
        <v>4</v>
      </c>
      <c r="H190" s="13">
        <v>6</v>
      </c>
      <c r="I190" s="502"/>
      <c r="J190" s="502"/>
      <c r="K190" s="502"/>
      <c r="L190" s="502"/>
      <c r="M190" s="502"/>
      <c r="N190" s="502">
        <v>0.14000000000000001</v>
      </c>
      <c r="O190" s="853"/>
      <c r="P190" s="502"/>
      <c r="Q190" s="863"/>
      <c r="R190" s="873"/>
      <c r="S190" s="724"/>
      <c r="T190" s="335"/>
      <c r="U190" s="705"/>
      <c r="V190" s="705"/>
      <c r="W190" s="15"/>
      <c r="X190" s="15"/>
      <c r="Y190" s="17"/>
      <c r="Z190" s="1686"/>
      <c r="AE190" s="2461"/>
      <c r="AF190" s="68"/>
    </row>
    <row r="191" spans="1:32" ht="15.5" x14ac:dyDescent="0.35">
      <c r="A191" s="347"/>
      <c r="B191" s="358">
        <v>10242</v>
      </c>
      <c r="C191" s="358"/>
      <c r="D191" s="358"/>
      <c r="E191" s="837" t="s">
        <v>953</v>
      </c>
      <c r="F191" s="13">
        <v>4</v>
      </c>
      <c r="G191" s="13">
        <v>4</v>
      </c>
      <c r="H191" s="13">
        <v>6</v>
      </c>
      <c r="I191" s="502"/>
      <c r="J191" s="502"/>
      <c r="K191" s="502"/>
      <c r="L191" s="502"/>
      <c r="M191" s="502"/>
      <c r="N191" s="502"/>
      <c r="O191" s="853"/>
      <c r="P191" s="502"/>
      <c r="Q191" s="863">
        <f>6.951-0.14</f>
        <v>6.8109999999999999</v>
      </c>
      <c r="R191" s="873"/>
      <c r="S191" s="724"/>
      <c r="T191" s="335"/>
      <c r="U191" s="705"/>
      <c r="V191" s="705"/>
      <c r="W191" s="15"/>
      <c r="X191" s="15"/>
      <c r="Y191" s="17"/>
      <c r="Z191" s="1686"/>
      <c r="AE191" s="2461"/>
      <c r="AF191" s="68"/>
    </row>
    <row r="192" spans="1:32" ht="30.5" x14ac:dyDescent="0.35">
      <c r="A192" s="349">
        <v>64</v>
      </c>
      <c r="B192" s="405">
        <v>10242</v>
      </c>
      <c r="C192" s="405"/>
      <c r="D192" s="2464" t="s">
        <v>4373</v>
      </c>
      <c r="E192" s="288" t="s">
        <v>7544</v>
      </c>
      <c r="F192" s="13">
        <v>4</v>
      </c>
      <c r="G192" s="13">
        <v>5</v>
      </c>
      <c r="H192" s="13">
        <v>6</v>
      </c>
      <c r="I192" s="501">
        <f>L192+K192+J192</f>
        <v>1.635</v>
      </c>
      <c r="J192" s="501">
        <f>SUM(M192:R192)</f>
        <v>1.635</v>
      </c>
      <c r="K192" s="503"/>
      <c r="L192" s="503"/>
      <c r="M192" s="503"/>
      <c r="N192" s="503"/>
      <c r="O192" s="854"/>
      <c r="P192" s="503"/>
      <c r="Q192" s="860">
        <v>1.635</v>
      </c>
      <c r="R192" s="874"/>
      <c r="S192" s="1748"/>
      <c r="T192" s="705"/>
      <c r="U192" s="705"/>
      <c r="V192" s="705"/>
      <c r="W192" s="15">
        <v>1</v>
      </c>
      <c r="X192" s="15">
        <v>15.100000381469727</v>
      </c>
      <c r="Y192" s="17"/>
      <c r="Z192" s="1686"/>
      <c r="AB192">
        <v>1</v>
      </c>
      <c r="AE192" s="2461"/>
      <c r="AF192" s="68"/>
    </row>
    <row r="193" spans="1:32" ht="30.5" x14ac:dyDescent="0.35">
      <c r="A193" s="347">
        <v>65</v>
      </c>
      <c r="B193" s="358">
        <v>10242</v>
      </c>
      <c r="C193" s="1005" t="s">
        <v>1656</v>
      </c>
      <c r="D193" s="2464" t="s">
        <v>4374</v>
      </c>
      <c r="E193" s="511" t="s">
        <v>8284</v>
      </c>
      <c r="F193" s="1138" t="s">
        <v>664</v>
      </c>
      <c r="G193" s="13">
        <v>5</v>
      </c>
      <c r="H193" s="13">
        <v>6</v>
      </c>
      <c r="I193" s="297">
        <f>J193+K193+L193</f>
        <v>1.9</v>
      </c>
      <c r="J193" s="501">
        <f>SUM(M193:R193)</f>
        <v>1.9</v>
      </c>
      <c r="K193" s="503"/>
      <c r="L193" s="503"/>
      <c r="M193" s="503"/>
      <c r="N193" s="503"/>
      <c r="O193" s="854"/>
      <c r="P193" s="503"/>
      <c r="Q193" s="864"/>
      <c r="R193" s="874">
        <v>1.9</v>
      </c>
      <c r="S193" s="1748"/>
      <c r="T193" s="705"/>
      <c r="U193" s="705"/>
      <c r="V193" s="705"/>
      <c r="W193" s="15"/>
      <c r="X193" s="15"/>
      <c r="Y193" s="17"/>
      <c r="Z193" s="1686"/>
      <c r="AB193">
        <v>1</v>
      </c>
      <c r="AE193" s="2461"/>
      <c r="AF193" s="68"/>
    </row>
    <row r="194" spans="1:32" ht="60.5" x14ac:dyDescent="0.35">
      <c r="A194" s="347">
        <v>66</v>
      </c>
      <c r="B194" s="358">
        <v>10243</v>
      </c>
      <c r="C194" s="358"/>
      <c r="D194" s="358" t="s">
        <v>1486</v>
      </c>
      <c r="E194" s="511" t="s">
        <v>10949</v>
      </c>
      <c r="F194" s="13"/>
      <c r="G194" s="13" t="s">
        <v>191</v>
      </c>
      <c r="H194" s="13" t="s">
        <v>191</v>
      </c>
      <c r="I194" s="501">
        <f>L194+K194+J194</f>
        <v>10.065</v>
      </c>
      <c r="J194" s="501">
        <f>SUM(M194:R194)</f>
        <v>10.065</v>
      </c>
      <c r="K194" s="501"/>
      <c r="L194" s="501"/>
      <c r="M194" s="501"/>
      <c r="N194" s="501">
        <f>SUM(N195:N196)</f>
        <v>2.25</v>
      </c>
      <c r="O194" s="851"/>
      <c r="P194" s="501"/>
      <c r="Q194" s="860">
        <f>SUM(Q195:Q196)</f>
        <v>7.8149999999999995</v>
      </c>
      <c r="R194" s="870"/>
      <c r="S194" s="1748"/>
      <c r="T194" s="705"/>
      <c r="U194" s="705"/>
      <c r="V194" s="705"/>
      <c r="W194" s="15">
        <v>11</v>
      </c>
      <c r="X194" s="15">
        <f>185.5-33</f>
        <v>152.5</v>
      </c>
      <c r="Y194" s="17">
        <v>2</v>
      </c>
      <c r="Z194" s="1686">
        <v>20</v>
      </c>
      <c r="AB194">
        <v>1</v>
      </c>
      <c r="AE194" s="2461"/>
      <c r="AF194" s="68"/>
    </row>
    <row r="195" spans="1:32" ht="15.5" x14ac:dyDescent="0.35">
      <c r="A195" s="349"/>
      <c r="B195" s="358">
        <v>10243</v>
      </c>
      <c r="C195" s="358"/>
      <c r="D195" s="405"/>
      <c r="E195" s="289" t="s">
        <v>424</v>
      </c>
      <c r="F195" s="13">
        <v>4</v>
      </c>
      <c r="G195" s="13">
        <v>4</v>
      </c>
      <c r="H195" s="13">
        <v>6</v>
      </c>
      <c r="I195" s="502"/>
      <c r="J195" s="502"/>
      <c r="K195" s="502"/>
      <c r="L195" s="502"/>
      <c r="M195" s="502"/>
      <c r="N195" s="502">
        <v>2.25</v>
      </c>
      <c r="O195" s="853"/>
      <c r="P195" s="502"/>
      <c r="Q195" s="863"/>
      <c r="R195" s="873"/>
      <c r="S195" s="1748"/>
      <c r="T195" s="705"/>
      <c r="U195" s="705"/>
      <c r="V195" s="705"/>
      <c r="W195" s="15"/>
      <c r="X195" s="15"/>
      <c r="Y195" s="17"/>
      <c r="Z195" s="1686"/>
      <c r="AE195" s="2461"/>
      <c r="AF195" s="68"/>
    </row>
    <row r="196" spans="1:32" ht="15.5" x14ac:dyDescent="0.35">
      <c r="A196" s="349"/>
      <c r="B196" s="358">
        <v>10243</v>
      </c>
      <c r="C196" s="358"/>
      <c r="D196" s="405"/>
      <c r="E196" s="837" t="s">
        <v>423</v>
      </c>
      <c r="F196" s="13">
        <v>4</v>
      </c>
      <c r="G196" s="13">
        <v>4</v>
      </c>
      <c r="H196" s="13">
        <v>6</v>
      </c>
      <c r="I196" s="502"/>
      <c r="J196" s="502"/>
      <c r="K196" s="502"/>
      <c r="L196" s="502"/>
      <c r="M196" s="502"/>
      <c r="N196" s="502"/>
      <c r="O196" s="853"/>
      <c r="P196" s="502"/>
      <c r="Q196" s="863">
        <f>10.065-2.25</f>
        <v>7.8149999999999995</v>
      </c>
      <c r="R196" s="873"/>
      <c r="S196" s="1748"/>
      <c r="T196" s="705"/>
      <c r="U196" s="705"/>
      <c r="V196" s="705"/>
      <c r="W196" s="15"/>
      <c r="X196" s="15"/>
      <c r="Y196" s="17"/>
      <c r="Z196" s="1686"/>
      <c r="AA196" t="s">
        <v>1813</v>
      </c>
      <c r="AE196" s="2461"/>
      <c r="AF196" s="68"/>
    </row>
    <row r="197" spans="1:32" ht="105.5" x14ac:dyDescent="0.35">
      <c r="A197" s="349">
        <v>67</v>
      </c>
      <c r="B197" s="358">
        <v>10243</v>
      </c>
      <c r="C197" s="358"/>
      <c r="D197" s="2464" t="s">
        <v>4375</v>
      </c>
      <c r="E197" s="511" t="s">
        <v>10950</v>
      </c>
      <c r="F197" s="13">
        <v>4</v>
      </c>
      <c r="G197" s="13">
        <v>4</v>
      </c>
      <c r="H197" s="13">
        <v>6</v>
      </c>
      <c r="I197" s="501">
        <f t="shared" ref="I197:I210" si="11">L197+K197+J197</f>
        <v>1.7629999999999999</v>
      </c>
      <c r="J197" s="501">
        <f t="shared" ref="J197:J210" si="12">SUM(M197:R197)</f>
        <v>1.7629999999999999</v>
      </c>
      <c r="K197" s="501"/>
      <c r="L197" s="501"/>
      <c r="M197" s="501"/>
      <c r="N197" s="501"/>
      <c r="O197" s="851"/>
      <c r="P197" s="501"/>
      <c r="Q197" s="860">
        <v>1.7629999999999999</v>
      </c>
      <c r="R197" s="870"/>
      <c r="S197" s="1748"/>
      <c r="T197" s="705"/>
      <c r="U197" s="705"/>
      <c r="V197" s="705"/>
      <c r="W197" s="15">
        <v>2</v>
      </c>
      <c r="X197" s="15">
        <v>33</v>
      </c>
      <c r="Y197" s="17"/>
      <c r="Z197" s="1686"/>
      <c r="AB197">
        <v>1</v>
      </c>
      <c r="AE197" s="2461"/>
      <c r="AF197" s="68"/>
    </row>
    <row r="198" spans="1:32" ht="75.5" x14ac:dyDescent="0.35">
      <c r="A198" s="370">
        <v>68</v>
      </c>
      <c r="B198" s="365">
        <v>10243</v>
      </c>
      <c r="C198" s="365" t="s">
        <v>1656</v>
      </c>
      <c r="D198" s="2464" t="s">
        <v>4376</v>
      </c>
      <c r="E198" s="269" t="s">
        <v>10951</v>
      </c>
      <c r="F198" s="92" t="s">
        <v>664</v>
      </c>
      <c r="G198" s="13">
        <v>5</v>
      </c>
      <c r="H198" s="13">
        <v>6</v>
      </c>
      <c r="I198" s="501">
        <f t="shared" si="11"/>
        <v>0.1</v>
      </c>
      <c r="J198" s="501">
        <f t="shared" si="12"/>
        <v>0.1</v>
      </c>
      <c r="K198" s="557"/>
      <c r="L198" s="557"/>
      <c r="M198" s="557"/>
      <c r="N198" s="557"/>
      <c r="O198" s="856"/>
      <c r="P198" s="557"/>
      <c r="Q198" s="866"/>
      <c r="R198" s="876">
        <v>0.1</v>
      </c>
      <c r="S198" s="1571"/>
      <c r="T198" s="1571"/>
      <c r="U198" s="1571"/>
      <c r="V198" s="1571"/>
      <c r="W198" s="106"/>
      <c r="X198" s="106"/>
      <c r="Y198" s="46"/>
      <c r="Z198" s="47"/>
      <c r="AB198">
        <v>1</v>
      </c>
      <c r="AE198" s="2461"/>
      <c r="AF198" s="68"/>
    </row>
    <row r="199" spans="1:32" ht="105.5" x14ac:dyDescent="0.35">
      <c r="A199" s="349">
        <v>69</v>
      </c>
      <c r="B199" s="358">
        <v>10244</v>
      </c>
      <c r="C199" s="358"/>
      <c r="D199" s="358" t="s">
        <v>1143</v>
      </c>
      <c r="E199" s="511" t="s">
        <v>11355</v>
      </c>
      <c r="F199" s="1138"/>
      <c r="G199" s="1138" t="s">
        <v>191</v>
      </c>
      <c r="H199" s="1138" t="s">
        <v>191</v>
      </c>
      <c r="I199" s="500">
        <f t="shared" si="11"/>
        <v>6.2110000000000003</v>
      </c>
      <c r="J199" s="500">
        <f t="shared" si="12"/>
        <v>6.1859999999999999</v>
      </c>
      <c r="K199" s="500"/>
      <c r="L199" s="500">
        <f>SUM(L200:L202)</f>
        <v>2.5000000000000001E-2</v>
      </c>
      <c r="M199" s="2705"/>
      <c r="N199" s="500">
        <f>SUM(N200:N202)</f>
        <v>6.1859999999999999</v>
      </c>
      <c r="O199" s="851"/>
      <c r="P199" s="501"/>
      <c r="Q199" s="860"/>
      <c r="R199" s="870"/>
      <c r="S199" s="1748"/>
      <c r="T199" s="705"/>
      <c r="U199" s="705"/>
      <c r="V199" s="705"/>
      <c r="W199" s="15">
        <v>12</v>
      </c>
      <c r="X199" s="55">
        <v>162.05000000000001</v>
      </c>
      <c r="Y199" s="154">
        <v>3</v>
      </c>
      <c r="Z199" s="2355">
        <v>40.85</v>
      </c>
      <c r="AA199" t="s">
        <v>2522</v>
      </c>
      <c r="AB199">
        <v>1</v>
      </c>
      <c r="AE199" s="2461"/>
      <c r="AF199" s="68"/>
    </row>
    <row r="200" spans="1:32" ht="31" x14ac:dyDescent="0.35">
      <c r="A200" s="349"/>
      <c r="B200" s="358"/>
      <c r="C200" s="358"/>
      <c r="D200" s="358"/>
      <c r="E200" s="270" t="s">
        <v>11211</v>
      </c>
      <c r="F200" s="1138">
        <v>4</v>
      </c>
      <c r="G200" s="1138">
        <v>4</v>
      </c>
      <c r="H200" s="1138" t="s">
        <v>191</v>
      </c>
      <c r="I200" s="831"/>
      <c r="J200" s="831"/>
      <c r="K200" s="831"/>
      <c r="L200" s="831">
        <v>2.5000000000000001E-2</v>
      </c>
      <c r="M200" s="502"/>
      <c r="N200" s="831"/>
      <c r="O200" s="851"/>
      <c r="P200" s="501"/>
      <c r="Q200" s="860"/>
      <c r="R200" s="870"/>
      <c r="S200" s="1748"/>
      <c r="T200" s="705"/>
      <c r="U200" s="705"/>
      <c r="V200" s="705"/>
      <c r="W200" s="15"/>
      <c r="X200" s="15"/>
      <c r="Y200" s="17"/>
      <c r="Z200" s="1686"/>
      <c r="AE200" s="2461"/>
      <c r="AF200" s="68"/>
    </row>
    <row r="201" spans="1:32" s="2808" customFormat="1" ht="15.5" x14ac:dyDescent="0.35">
      <c r="A201" s="349"/>
      <c r="B201" s="358"/>
      <c r="C201" s="358"/>
      <c r="D201" s="358"/>
      <c r="E201" s="459" t="s">
        <v>11356</v>
      </c>
      <c r="F201" s="1138">
        <v>4</v>
      </c>
      <c r="G201" s="1138">
        <v>4</v>
      </c>
      <c r="H201" s="1138">
        <v>6</v>
      </c>
      <c r="I201" s="831"/>
      <c r="J201" s="831"/>
      <c r="K201" s="831"/>
      <c r="L201" s="831"/>
      <c r="M201" s="502"/>
      <c r="N201" s="831">
        <f>3-0.025</f>
        <v>2.9750000000000001</v>
      </c>
      <c r="O201" s="851"/>
      <c r="P201" s="501"/>
      <c r="Q201" s="860"/>
      <c r="R201" s="870"/>
      <c r="S201" s="1748"/>
      <c r="T201" s="705"/>
      <c r="U201" s="705"/>
      <c r="V201" s="705"/>
      <c r="W201" s="15"/>
      <c r="X201" s="15"/>
      <c r="Y201" s="17"/>
      <c r="Z201" s="1686"/>
      <c r="AE201" s="2461"/>
      <c r="AF201" s="68"/>
    </row>
    <row r="202" spans="1:32" ht="15.5" x14ac:dyDescent="0.35">
      <c r="A202" s="349"/>
      <c r="B202" s="358"/>
      <c r="C202" s="358"/>
      <c r="D202" s="358"/>
      <c r="E202" s="289" t="s">
        <v>11212</v>
      </c>
      <c r="F202" s="13">
        <v>4</v>
      </c>
      <c r="G202" s="13">
        <v>4</v>
      </c>
      <c r="H202" s="13">
        <v>10</v>
      </c>
      <c r="I202" s="502"/>
      <c r="J202" s="502"/>
      <c r="K202" s="502"/>
      <c r="L202" s="502"/>
      <c r="M202" s="502"/>
      <c r="N202" s="502">
        <f>6.211-3</f>
        <v>3.2110000000000003</v>
      </c>
      <c r="O202" s="851"/>
      <c r="P202" s="501"/>
      <c r="Q202" s="860"/>
      <c r="R202" s="870"/>
      <c r="S202" s="1748"/>
      <c r="T202" s="705"/>
      <c r="U202" s="705"/>
      <c r="V202" s="705"/>
      <c r="W202" s="15"/>
      <c r="X202" s="15"/>
      <c r="Y202" s="17"/>
      <c r="Z202" s="1686"/>
      <c r="AE202" s="2461"/>
      <c r="AF202" s="68"/>
    </row>
    <row r="203" spans="1:32" ht="120.5" x14ac:dyDescent="0.35">
      <c r="A203" s="370">
        <v>70</v>
      </c>
      <c r="B203" s="358">
        <v>10244</v>
      </c>
      <c r="C203" s="1005" t="s">
        <v>1656</v>
      </c>
      <c r="D203" s="2464" t="s">
        <v>4377</v>
      </c>
      <c r="E203" s="511" t="s">
        <v>10952</v>
      </c>
      <c r="F203" s="1138"/>
      <c r="G203" s="13" t="s">
        <v>191</v>
      </c>
      <c r="H203" s="13" t="s">
        <v>191</v>
      </c>
      <c r="I203" s="297">
        <f>J203+K203+L203</f>
        <v>0.8</v>
      </c>
      <c r="J203" s="297">
        <f>SUM(M203:R203)</f>
        <v>0.8</v>
      </c>
      <c r="K203" s="502"/>
      <c r="L203" s="502"/>
      <c r="M203" s="502"/>
      <c r="N203" s="501">
        <f>SUM(N204:N205)</f>
        <v>0.75</v>
      </c>
      <c r="O203" s="2790"/>
      <c r="P203" s="501"/>
      <c r="Q203" s="2013"/>
      <c r="R203" s="1865">
        <f>SUM(R204:R205)</f>
        <v>5.0000000000000044E-2</v>
      </c>
      <c r="S203" s="724"/>
      <c r="T203" s="335"/>
      <c r="U203" s="705"/>
      <c r="V203" s="705"/>
      <c r="W203" s="15"/>
      <c r="X203" s="15"/>
      <c r="Y203" s="17"/>
      <c r="Z203" s="1686"/>
      <c r="AB203">
        <v>1</v>
      </c>
      <c r="AE203" s="2461"/>
      <c r="AF203" s="68"/>
    </row>
    <row r="204" spans="1:32" s="2789" customFormat="1" ht="15.5" x14ac:dyDescent="0.35">
      <c r="A204" s="370"/>
      <c r="B204" s="358"/>
      <c r="C204" s="1005"/>
      <c r="D204" s="2464"/>
      <c r="E204" s="289" t="s">
        <v>782</v>
      </c>
      <c r="F204" s="1138" t="s">
        <v>1490</v>
      </c>
      <c r="G204" s="13">
        <v>5</v>
      </c>
      <c r="H204" s="13">
        <v>6</v>
      </c>
      <c r="I204" s="297"/>
      <c r="J204" s="297"/>
      <c r="K204" s="502"/>
      <c r="L204" s="502"/>
      <c r="M204" s="502"/>
      <c r="N204" s="502">
        <v>0.75</v>
      </c>
      <c r="O204" s="853"/>
      <c r="P204" s="502"/>
      <c r="Q204" s="888"/>
      <c r="R204" s="873"/>
      <c r="S204" s="724"/>
      <c r="T204" s="335"/>
      <c r="U204" s="705"/>
      <c r="V204" s="705"/>
      <c r="W204" s="15"/>
      <c r="X204" s="15"/>
      <c r="Y204" s="17"/>
      <c r="Z204" s="1686"/>
      <c r="AE204" s="2461"/>
      <c r="AF204" s="68"/>
    </row>
    <row r="205" spans="1:32" s="2789" customFormat="1" ht="15.5" x14ac:dyDescent="0.35">
      <c r="A205" s="370"/>
      <c r="B205" s="358"/>
      <c r="C205" s="1005"/>
      <c r="D205" s="2464"/>
      <c r="E205" s="838" t="s">
        <v>11151</v>
      </c>
      <c r="F205" s="1138" t="s">
        <v>664</v>
      </c>
      <c r="G205" s="13">
        <v>5</v>
      </c>
      <c r="H205" s="13">
        <v>6</v>
      </c>
      <c r="I205" s="297"/>
      <c r="J205" s="297"/>
      <c r="K205" s="502"/>
      <c r="L205" s="502"/>
      <c r="M205" s="502"/>
      <c r="N205" s="502"/>
      <c r="O205" s="853"/>
      <c r="P205" s="502"/>
      <c r="Q205" s="888"/>
      <c r="R205" s="873">
        <f>0.8-0.75</f>
        <v>5.0000000000000044E-2</v>
      </c>
      <c r="S205" s="724"/>
      <c r="T205" s="335"/>
      <c r="U205" s="705"/>
      <c r="V205" s="705"/>
      <c r="W205" s="15"/>
      <c r="X205" s="15"/>
      <c r="Y205" s="17"/>
      <c r="Z205" s="1686"/>
      <c r="AE205" s="2461"/>
      <c r="AF205" s="68"/>
    </row>
    <row r="206" spans="1:32" ht="30" x14ac:dyDescent="0.35">
      <c r="A206" s="349">
        <v>71</v>
      </c>
      <c r="B206" s="358">
        <v>10245</v>
      </c>
      <c r="C206" s="358"/>
      <c r="D206" s="358" t="s">
        <v>1144</v>
      </c>
      <c r="E206" s="288" t="s">
        <v>669</v>
      </c>
      <c r="F206" s="13">
        <v>4</v>
      </c>
      <c r="G206" s="13">
        <v>5</v>
      </c>
      <c r="H206" s="13">
        <v>6</v>
      </c>
      <c r="I206" s="501">
        <f t="shared" si="11"/>
        <v>2.31</v>
      </c>
      <c r="J206" s="501">
        <f t="shared" si="12"/>
        <v>2.31</v>
      </c>
      <c r="K206" s="501"/>
      <c r="L206" s="501"/>
      <c r="M206" s="501"/>
      <c r="N206" s="501">
        <v>2.31</v>
      </c>
      <c r="O206" s="851"/>
      <c r="P206" s="501"/>
      <c r="Q206" s="860"/>
      <c r="R206" s="870"/>
      <c r="S206" s="1748"/>
      <c r="T206" s="705"/>
      <c r="U206" s="705"/>
      <c r="V206" s="705"/>
      <c r="W206" s="15">
        <v>3</v>
      </c>
      <c r="X206" s="15">
        <v>33.099998474121094</v>
      </c>
      <c r="Y206" s="17"/>
      <c r="Z206" s="1686"/>
      <c r="AB206">
        <v>1</v>
      </c>
      <c r="AE206" s="2461"/>
      <c r="AF206" s="68"/>
    </row>
    <row r="207" spans="1:32" ht="30" x14ac:dyDescent="0.35">
      <c r="A207" s="370">
        <v>72</v>
      </c>
      <c r="B207" s="358">
        <v>10246</v>
      </c>
      <c r="C207" s="358"/>
      <c r="D207" s="358" t="s">
        <v>2683</v>
      </c>
      <c r="E207" s="511" t="s">
        <v>10953</v>
      </c>
      <c r="F207" s="13"/>
      <c r="G207" s="13" t="s">
        <v>191</v>
      </c>
      <c r="H207" s="13" t="s">
        <v>191</v>
      </c>
      <c r="I207" s="501">
        <f t="shared" si="11"/>
        <v>2.1059999999999999</v>
      </c>
      <c r="J207" s="501">
        <f t="shared" si="12"/>
        <v>2.1059999999999999</v>
      </c>
      <c r="K207" s="503"/>
      <c r="L207" s="503"/>
      <c r="M207" s="503"/>
      <c r="N207" s="501">
        <f>SUM(N208:N209)</f>
        <v>0.89600000000000002</v>
      </c>
      <c r="O207" s="854"/>
      <c r="P207" s="503"/>
      <c r="Q207" s="864">
        <f>SUM(Q208:Q209)</f>
        <v>1.21</v>
      </c>
      <c r="R207" s="874"/>
      <c r="S207" s="1748"/>
      <c r="T207" s="705"/>
      <c r="U207" s="705"/>
      <c r="V207" s="705"/>
      <c r="W207" s="17">
        <v>3</v>
      </c>
      <c r="X207" s="154">
        <v>41.9</v>
      </c>
      <c r="Y207" s="17"/>
      <c r="Z207" s="1686"/>
      <c r="AB207">
        <v>1</v>
      </c>
      <c r="AE207" s="2461"/>
      <c r="AF207" s="68"/>
    </row>
    <row r="208" spans="1:32" ht="15.5" x14ac:dyDescent="0.35">
      <c r="A208" s="370"/>
      <c r="B208" s="358">
        <v>10246</v>
      </c>
      <c r="C208" s="358"/>
      <c r="D208" s="358"/>
      <c r="E208" s="289" t="s">
        <v>10659</v>
      </c>
      <c r="F208" s="13" t="s">
        <v>827</v>
      </c>
      <c r="G208" s="13">
        <v>5</v>
      </c>
      <c r="H208" s="13">
        <v>6</v>
      </c>
      <c r="I208" s="502"/>
      <c r="J208" s="502"/>
      <c r="K208" s="504"/>
      <c r="L208" s="504"/>
      <c r="M208" s="504"/>
      <c r="N208" s="502">
        <v>0.89600000000000002</v>
      </c>
      <c r="O208" s="854"/>
      <c r="P208" s="503"/>
      <c r="Q208" s="864"/>
      <c r="R208" s="874"/>
      <c r="S208" s="1748"/>
      <c r="T208" s="705"/>
      <c r="U208" s="705"/>
      <c r="V208" s="705"/>
      <c r="W208" s="17"/>
      <c r="X208" s="17"/>
      <c r="Y208" s="17"/>
      <c r="Z208" s="1686"/>
      <c r="AE208" s="2461"/>
      <c r="AF208" s="68"/>
    </row>
    <row r="209" spans="1:32" ht="15.5" x14ac:dyDescent="0.35">
      <c r="A209" s="370"/>
      <c r="B209" s="358">
        <v>10246</v>
      </c>
      <c r="C209" s="358"/>
      <c r="D209" s="358"/>
      <c r="E209" s="837" t="s">
        <v>10660</v>
      </c>
      <c r="F209" s="13" t="s">
        <v>827</v>
      </c>
      <c r="G209" s="13">
        <v>5</v>
      </c>
      <c r="H209" s="13">
        <v>6</v>
      </c>
      <c r="I209" s="501"/>
      <c r="J209" s="501"/>
      <c r="K209" s="503"/>
      <c r="L209" s="503"/>
      <c r="M209" s="503"/>
      <c r="N209" s="501"/>
      <c r="O209" s="854"/>
      <c r="P209" s="503"/>
      <c r="Q209" s="863">
        <f>2.106-0.896</f>
        <v>1.21</v>
      </c>
      <c r="R209" s="874"/>
      <c r="S209" s="1748"/>
      <c r="T209" s="705"/>
      <c r="U209" s="705"/>
      <c r="V209" s="705"/>
      <c r="W209" s="17"/>
      <c r="X209" s="17"/>
      <c r="Y209" s="17"/>
      <c r="Z209" s="1686"/>
      <c r="AE209" s="2461"/>
      <c r="AF209" s="68"/>
    </row>
    <row r="210" spans="1:32" ht="30" x14ac:dyDescent="0.35">
      <c r="A210" s="349">
        <v>73</v>
      </c>
      <c r="B210" s="358">
        <v>10247</v>
      </c>
      <c r="C210" s="358"/>
      <c r="D210" s="358" t="s">
        <v>2680</v>
      </c>
      <c r="E210" s="288" t="s">
        <v>3355</v>
      </c>
      <c r="F210" s="13"/>
      <c r="G210" s="13" t="s">
        <v>191</v>
      </c>
      <c r="H210" s="13" t="s">
        <v>191</v>
      </c>
      <c r="I210" s="501">
        <f t="shared" si="11"/>
        <v>4.7270000000000003</v>
      </c>
      <c r="J210" s="501">
        <f t="shared" si="12"/>
        <v>4.7270000000000003</v>
      </c>
      <c r="K210" s="501"/>
      <c r="L210" s="501"/>
      <c r="M210" s="501"/>
      <c r="N210" s="501">
        <f>SUM(N211:N212)</f>
        <v>0.33500000000000002</v>
      </c>
      <c r="O210" s="851"/>
      <c r="P210" s="501"/>
      <c r="Q210" s="860">
        <f>SUM(Q211:Q212)</f>
        <v>4.3920000000000003</v>
      </c>
      <c r="R210" s="870"/>
      <c r="S210" s="1748"/>
      <c r="T210" s="705"/>
      <c r="U210" s="705"/>
      <c r="V210" s="705"/>
      <c r="W210" s="15">
        <v>4</v>
      </c>
      <c r="X210" s="15">
        <v>46.5</v>
      </c>
      <c r="Y210" s="17">
        <v>1</v>
      </c>
      <c r="Z210" s="1686">
        <v>10</v>
      </c>
      <c r="AB210">
        <v>1</v>
      </c>
      <c r="AE210" s="2461"/>
      <c r="AF210" s="68"/>
    </row>
    <row r="211" spans="1:32" ht="15.5" x14ac:dyDescent="0.35">
      <c r="A211" s="347"/>
      <c r="B211" s="358">
        <v>10247</v>
      </c>
      <c r="C211" s="358"/>
      <c r="D211" s="358"/>
      <c r="E211" s="289" t="s">
        <v>481</v>
      </c>
      <c r="F211" s="13">
        <v>4</v>
      </c>
      <c r="G211" s="13">
        <v>4</v>
      </c>
      <c r="H211" s="13">
        <v>6</v>
      </c>
      <c r="I211" s="502"/>
      <c r="J211" s="502"/>
      <c r="K211" s="502"/>
      <c r="L211" s="502"/>
      <c r="M211" s="502"/>
      <c r="N211" s="502">
        <v>0.33500000000000002</v>
      </c>
      <c r="O211" s="853"/>
      <c r="P211" s="502"/>
      <c r="Q211" s="863"/>
      <c r="R211" s="873"/>
      <c r="S211" s="1748"/>
      <c r="T211" s="705"/>
      <c r="U211" s="705"/>
      <c r="V211" s="705"/>
      <c r="W211" s="15"/>
      <c r="X211" s="15"/>
      <c r="Y211" s="17"/>
      <c r="Z211" s="1686"/>
      <c r="AE211" s="2461"/>
      <c r="AF211" s="68"/>
    </row>
    <row r="212" spans="1:32" ht="15.5" x14ac:dyDescent="0.35">
      <c r="A212" s="347"/>
      <c r="B212" s="358">
        <v>10247</v>
      </c>
      <c r="C212" s="358"/>
      <c r="D212" s="358"/>
      <c r="E212" s="837" t="s">
        <v>482</v>
      </c>
      <c r="F212" s="13">
        <v>4</v>
      </c>
      <c r="G212" s="13">
        <v>4</v>
      </c>
      <c r="H212" s="13">
        <v>6</v>
      </c>
      <c r="I212" s="502"/>
      <c r="J212" s="502"/>
      <c r="K212" s="502"/>
      <c r="L212" s="502"/>
      <c r="M212" s="502"/>
      <c r="N212" s="502"/>
      <c r="O212" s="853"/>
      <c r="P212" s="502"/>
      <c r="Q212" s="863">
        <v>4.3920000000000003</v>
      </c>
      <c r="R212" s="873"/>
      <c r="S212" s="1748"/>
      <c r="T212" s="705"/>
      <c r="U212" s="705"/>
      <c r="V212" s="705"/>
      <c r="W212" s="15"/>
      <c r="X212" s="15"/>
      <c r="Y212" s="17"/>
      <c r="Z212" s="1686"/>
      <c r="AE212" s="2461"/>
      <c r="AF212" s="68"/>
    </row>
    <row r="213" spans="1:32" ht="30" x14ac:dyDescent="0.35">
      <c r="A213" s="347">
        <v>74</v>
      </c>
      <c r="B213" s="358">
        <v>10248</v>
      </c>
      <c r="C213" s="358"/>
      <c r="D213" s="358" t="s">
        <v>2681</v>
      </c>
      <c r="E213" s="288" t="s">
        <v>2492</v>
      </c>
      <c r="F213" s="13">
        <v>5</v>
      </c>
      <c r="G213" s="13">
        <v>5</v>
      </c>
      <c r="H213" s="13">
        <v>6</v>
      </c>
      <c r="I213" s="501">
        <f t="shared" ref="I213:I221" si="13">L213+K213+J213</f>
        <v>4.7960000000000003</v>
      </c>
      <c r="J213" s="501">
        <f t="shared" ref="J213:J221" si="14">SUM(M213:R213)</f>
        <v>4.7960000000000003</v>
      </c>
      <c r="K213" s="501"/>
      <c r="L213" s="501"/>
      <c r="M213" s="501"/>
      <c r="N213" s="501">
        <v>4.7960000000000003</v>
      </c>
      <c r="O213" s="851"/>
      <c r="P213" s="501"/>
      <c r="Q213" s="860"/>
      <c r="R213" s="870"/>
      <c r="S213" s="1748"/>
      <c r="T213" s="705"/>
      <c r="U213" s="705"/>
      <c r="V213" s="705"/>
      <c r="W213" s="17">
        <v>4</v>
      </c>
      <c r="X213" s="17">
        <v>45.6</v>
      </c>
      <c r="Y213" s="17"/>
      <c r="Z213" s="1686"/>
      <c r="AB213">
        <v>1</v>
      </c>
      <c r="AE213" s="2461"/>
      <c r="AF213" s="68"/>
    </row>
    <row r="214" spans="1:32" ht="46.5" x14ac:dyDescent="0.35">
      <c r="A214" s="347"/>
      <c r="B214" s="358">
        <v>10248</v>
      </c>
      <c r="C214" s="358"/>
      <c r="D214" s="358"/>
      <c r="E214" s="289" t="s">
        <v>9880</v>
      </c>
      <c r="F214" s="13"/>
      <c r="G214" s="13" t="s">
        <v>191</v>
      </c>
      <c r="H214" s="13" t="s">
        <v>191</v>
      </c>
      <c r="I214" s="501"/>
      <c r="J214" s="501"/>
      <c r="K214" s="501"/>
      <c r="L214" s="501"/>
      <c r="M214" s="501"/>
      <c r="N214" s="501"/>
      <c r="O214" s="851"/>
      <c r="P214" s="501"/>
      <c r="Q214" s="860"/>
      <c r="R214" s="870"/>
      <c r="S214" s="1748"/>
      <c r="T214" s="705"/>
      <c r="U214" s="705"/>
      <c r="V214" s="705"/>
      <c r="W214" s="17"/>
      <c r="X214" s="17"/>
      <c r="Y214" s="17"/>
      <c r="Z214" s="1686"/>
      <c r="AE214" s="2461"/>
      <c r="AF214" s="68"/>
    </row>
    <row r="215" spans="1:32" ht="30" x14ac:dyDescent="0.35">
      <c r="A215" s="347">
        <v>75</v>
      </c>
      <c r="B215" s="358">
        <v>10249</v>
      </c>
      <c r="C215" s="358"/>
      <c r="D215" s="358" t="s">
        <v>2682</v>
      </c>
      <c r="E215" s="288" t="s">
        <v>1072</v>
      </c>
      <c r="F215" s="13">
        <v>5</v>
      </c>
      <c r="G215" s="13">
        <v>5</v>
      </c>
      <c r="H215" s="13">
        <v>6</v>
      </c>
      <c r="I215" s="501">
        <f t="shared" si="13"/>
        <v>2.6440000000000001</v>
      </c>
      <c r="J215" s="501">
        <f t="shared" si="14"/>
        <v>2.6440000000000001</v>
      </c>
      <c r="K215" s="501"/>
      <c r="L215" s="501"/>
      <c r="M215" s="501"/>
      <c r="N215" s="501"/>
      <c r="O215" s="851"/>
      <c r="P215" s="501"/>
      <c r="Q215" s="860">
        <v>2.6440000000000001</v>
      </c>
      <c r="R215" s="870"/>
      <c r="S215" s="1748"/>
      <c r="T215" s="705"/>
      <c r="U215" s="705"/>
      <c r="V215" s="705"/>
      <c r="W215" s="17">
        <v>4</v>
      </c>
      <c r="X215" s="17">
        <v>60.3</v>
      </c>
      <c r="Y215" s="17">
        <v>1</v>
      </c>
      <c r="Z215" s="1686">
        <v>15</v>
      </c>
      <c r="AB215">
        <v>1</v>
      </c>
      <c r="AE215" s="2461"/>
      <c r="AF215" s="68"/>
    </row>
    <row r="216" spans="1:32" ht="30" x14ac:dyDescent="0.35">
      <c r="A216" s="347">
        <v>76</v>
      </c>
      <c r="B216" s="358">
        <v>10250</v>
      </c>
      <c r="C216" s="358"/>
      <c r="D216" s="358" t="s">
        <v>1519</v>
      </c>
      <c r="E216" s="288" t="s">
        <v>6918</v>
      </c>
      <c r="F216" s="13">
        <v>4</v>
      </c>
      <c r="G216" s="13">
        <v>5</v>
      </c>
      <c r="H216" s="13">
        <v>6</v>
      </c>
      <c r="I216" s="501">
        <f t="shared" si="13"/>
        <v>4.1500000000000004</v>
      </c>
      <c r="J216" s="501">
        <f t="shared" si="14"/>
        <v>4.1500000000000004</v>
      </c>
      <c r="K216" s="501"/>
      <c r="L216" s="501"/>
      <c r="M216" s="501"/>
      <c r="N216" s="501"/>
      <c r="O216" s="851"/>
      <c r="P216" s="501"/>
      <c r="Q216" s="860">
        <v>4.1500000000000004</v>
      </c>
      <c r="R216" s="870"/>
      <c r="S216" s="1748"/>
      <c r="T216" s="705"/>
      <c r="U216" s="705"/>
      <c r="V216" s="705"/>
      <c r="W216" s="15">
        <v>1</v>
      </c>
      <c r="X216" s="15">
        <v>21.3</v>
      </c>
      <c r="Y216" s="46"/>
      <c r="Z216" s="47"/>
      <c r="AB216">
        <v>1</v>
      </c>
      <c r="AE216" s="2461"/>
      <c r="AF216" s="68"/>
    </row>
    <row r="217" spans="1:32" ht="30.5" x14ac:dyDescent="0.35">
      <c r="A217" s="347">
        <v>77</v>
      </c>
      <c r="B217" s="365">
        <v>10250</v>
      </c>
      <c r="C217" s="365" t="s">
        <v>1656</v>
      </c>
      <c r="D217" s="2464" t="s">
        <v>4378</v>
      </c>
      <c r="E217" s="269" t="s">
        <v>8285</v>
      </c>
      <c r="F217" s="92" t="s">
        <v>664</v>
      </c>
      <c r="G217" s="92">
        <v>5</v>
      </c>
      <c r="H217" s="13">
        <v>6</v>
      </c>
      <c r="I217" s="501">
        <f t="shared" si="13"/>
        <v>0.2</v>
      </c>
      <c r="J217" s="501">
        <f t="shared" si="14"/>
        <v>0.2</v>
      </c>
      <c r="K217" s="557"/>
      <c r="L217" s="557"/>
      <c r="M217" s="557"/>
      <c r="N217" s="557"/>
      <c r="O217" s="856"/>
      <c r="P217" s="557"/>
      <c r="Q217" s="866"/>
      <c r="R217" s="876">
        <v>0.2</v>
      </c>
      <c r="S217" s="1571"/>
      <c r="T217" s="1571"/>
      <c r="U217" s="1571"/>
      <c r="V217" s="1571"/>
      <c r="W217" s="106"/>
      <c r="X217" s="106"/>
      <c r="Y217" s="46"/>
      <c r="Z217" s="47"/>
      <c r="AB217">
        <v>1</v>
      </c>
      <c r="AE217" s="2461"/>
      <c r="AF217" s="68"/>
    </row>
    <row r="218" spans="1:32" ht="30" x14ac:dyDescent="0.35">
      <c r="A218" s="347">
        <v>78</v>
      </c>
      <c r="B218" s="358">
        <v>10251</v>
      </c>
      <c r="C218" s="358"/>
      <c r="D218" s="358" t="s">
        <v>1520</v>
      </c>
      <c r="E218" s="443" t="s">
        <v>2574</v>
      </c>
      <c r="F218" s="13">
        <v>4</v>
      </c>
      <c r="G218" s="13">
        <v>5</v>
      </c>
      <c r="H218" s="13">
        <v>6</v>
      </c>
      <c r="I218" s="501">
        <f t="shared" si="13"/>
        <v>7.07</v>
      </c>
      <c r="J218" s="501">
        <f t="shared" si="14"/>
        <v>7.07</v>
      </c>
      <c r="K218" s="501"/>
      <c r="L218" s="501"/>
      <c r="M218" s="501"/>
      <c r="N218" s="501"/>
      <c r="O218" s="851"/>
      <c r="P218" s="501"/>
      <c r="Q218" s="860">
        <v>7.07</v>
      </c>
      <c r="R218" s="870"/>
      <c r="S218" s="1748"/>
      <c r="T218" s="705"/>
      <c r="U218" s="705"/>
      <c r="V218" s="705"/>
      <c r="W218" s="15">
        <v>4</v>
      </c>
      <c r="X218" s="15">
        <v>44.5</v>
      </c>
      <c r="Y218" s="17"/>
      <c r="Z218" s="1686"/>
      <c r="AB218">
        <v>1</v>
      </c>
      <c r="AE218" s="2461"/>
      <c r="AF218" s="68"/>
    </row>
    <row r="219" spans="1:32" ht="45.5" x14ac:dyDescent="0.35">
      <c r="A219" s="347">
        <v>79</v>
      </c>
      <c r="B219" s="365">
        <v>10251</v>
      </c>
      <c r="C219" s="365" t="s">
        <v>1656</v>
      </c>
      <c r="D219" s="2464" t="s">
        <v>4379</v>
      </c>
      <c r="E219" s="269" t="s">
        <v>8286</v>
      </c>
      <c r="F219" s="92" t="s">
        <v>664</v>
      </c>
      <c r="G219" s="92">
        <v>5</v>
      </c>
      <c r="H219" s="13">
        <v>6</v>
      </c>
      <c r="I219" s="501">
        <f t="shared" si="13"/>
        <v>0.3</v>
      </c>
      <c r="J219" s="501">
        <f t="shared" si="14"/>
        <v>0.3</v>
      </c>
      <c r="K219" s="557"/>
      <c r="L219" s="557"/>
      <c r="M219" s="557"/>
      <c r="N219" s="557"/>
      <c r="O219" s="856"/>
      <c r="P219" s="557"/>
      <c r="Q219" s="866"/>
      <c r="R219" s="876">
        <v>0.3</v>
      </c>
      <c r="S219" s="1571"/>
      <c r="T219" s="1571"/>
      <c r="U219" s="1571"/>
      <c r="V219" s="1571"/>
      <c r="W219" s="106"/>
      <c r="X219" s="106"/>
      <c r="Y219" s="46"/>
      <c r="Z219" s="47"/>
      <c r="AB219">
        <v>1</v>
      </c>
      <c r="AE219" s="2461"/>
      <c r="AF219" s="68"/>
    </row>
    <row r="220" spans="1:32" ht="30" x14ac:dyDescent="0.35">
      <c r="A220" s="347">
        <v>80</v>
      </c>
      <c r="B220" s="358">
        <v>10252</v>
      </c>
      <c r="C220" s="358"/>
      <c r="D220" s="358" t="s">
        <v>1521</v>
      </c>
      <c r="E220" s="417" t="s">
        <v>2493</v>
      </c>
      <c r="F220" s="13">
        <v>4</v>
      </c>
      <c r="G220" s="13">
        <v>5</v>
      </c>
      <c r="H220" s="13">
        <v>6</v>
      </c>
      <c r="I220" s="501">
        <f t="shared" si="13"/>
        <v>1.36</v>
      </c>
      <c r="J220" s="501">
        <f t="shared" si="14"/>
        <v>1.36</v>
      </c>
      <c r="K220" s="501"/>
      <c r="L220" s="501"/>
      <c r="M220" s="501"/>
      <c r="N220" s="501"/>
      <c r="O220" s="851"/>
      <c r="P220" s="501"/>
      <c r="Q220" s="860">
        <v>1.36</v>
      </c>
      <c r="R220" s="870"/>
      <c r="S220" s="1748"/>
      <c r="T220" s="705"/>
      <c r="U220" s="705"/>
      <c r="V220" s="705"/>
      <c r="W220" s="17"/>
      <c r="X220" s="17"/>
      <c r="Y220" s="17"/>
      <c r="Z220" s="1686"/>
      <c r="AB220">
        <v>1</v>
      </c>
      <c r="AE220" s="2461"/>
      <c r="AF220" s="68"/>
    </row>
    <row r="221" spans="1:32" ht="30" x14ac:dyDescent="0.35">
      <c r="A221" s="347">
        <v>81</v>
      </c>
      <c r="B221" s="405">
        <v>10253</v>
      </c>
      <c r="C221" s="405"/>
      <c r="D221" s="405" t="s">
        <v>2609</v>
      </c>
      <c r="E221" s="511" t="s">
        <v>10954</v>
      </c>
      <c r="F221" s="13">
        <v>5</v>
      </c>
      <c r="G221" s="13">
        <v>5</v>
      </c>
      <c r="H221" s="13">
        <v>6</v>
      </c>
      <c r="I221" s="501">
        <f t="shared" si="13"/>
        <v>1.5</v>
      </c>
      <c r="J221" s="501">
        <f t="shared" si="14"/>
        <v>1.5</v>
      </c>
      <c r="K221" s="503"/>
      <c r="L221" s="503"/>
      <c r="M221" s="503"/>
      <c r="N221" s="503"/>
      <c r="O221" s="854"/>
      <c r="P221" s="503"/>
      <c r="Q221" s="864"/>
      <c r="R221" s="874">
        <v>1.5</v>
      </c>
      <c r="S221" s="1748"/>
      <c r="T221" s="705"/>
      <c r="U221" s="705"/>
      <c r="V221" s="705"/>
      <c r="W221" s="15"/>
      <c r="X221" s="15"/>
      <c r="Y221" s="17"/>
      <c r="Z221" s="1686"/>
      <c r="AB221">
        <v>1</v>
      </c>
      <c r="AE221" s="2461"/>
      <c r="AF221" s="68"/>
    </row>
    <row r="222" spans="1:32" ht="30" x14ac:dyDescent="0.35">
      <c r="A222" s="347">
        <v>82</v>
      </c>
      <c r="B222" s="405">
        <v>10254</v>
      </c>
      <c r="C222" s="405"/>
      <c r="D222" s="405" t="s">
        <v>2610</v>
      </c>
      <c r="E222" s="511" t="s">
        <v>10955</v>
      </c>
      <c r="F222" s="13"/>
      <c r="G222" s="13" t="s">
        <v>191</v>
      </c>
      <c r="H222" s="13" t="s">
        <v>191</v>
      </c>
      <c r="I222" s="501">
        <f>L222+K222+J222</f>
        <v>2.0660000000000003</v>
      </c>
      <c r="J222" s="501">
        <f>SUM(M222:R222)</f>
        <v>2.0660000000000003</v>
      </c>
      <c r="K222" s="503"/>
      <c r="L222" s="503"/>
      <c r="M222" s="503"/>
      <c r="N222" s="503">
        <f>SUM(N223:N225)</f>
        <v>0.6</v>
      </c>
      <c r="O222" s="854"/>
      <c r="P222" s="503"/>
      <c r="Q222" s="864">
        <f>SUM(Q223:Q225)</f>
        <v>1.1000000000000001</v>
      </c>
      <c r="R222" s="874">
        <f>SUM(R223:R225)</f>
        <v>0.36599999999999999</v>
      </c>
      <c r="S222" s="1748"/>
      <c r="T222" s="705"/>
      <c r="U222" s="705"/>
      <c r="V222" s="705"/>
      <c r="W222" s="15">
        <v>3</v>
      </c>
      <c r="X222" s="15">
        <v>31.7</v>
      </c>
      <c r="Y222" s="17"/>
      <c r="Z222" s="1686"/>
      <c r="AB222">
        <v>1</v>
      </c>
      <c r="AE222" s="2461"/>
      <c r="AF222" s="68"/>
    </row>
    <row r="223" spans="1:32" ht="15.5" x14ac:dyDescent="0.35">
      <c r="A223" s="347"/>
      <c r="B223" s="405"/>
      <c r="C223" s="405"/>
      <c r="D223" s="405"/>
      <c r="E223" s="289" t="s">
        <v>365</v>
      </c>
      <c r="F223" s="13">
        <v>5</v>
      </c>
      <c r="G223" s="13">
        <v>5</v>
      </c>
      <c r="H223" s="13">
        <v>6</v>
      </c>
      <c r="I223" s="502"/>
      <c r="J223" s="502"/>
      <c r="K223" s="504"/>
      <c r="L223" s="504"/>
      <c r="M223" s="504"/>
      <c r="N223" s="504">
        <v>0.6</v>
      </c>
      <c r="O223" s="855"/>
      <c r="P223" s="504"/>
      <c r="Q223" s="863"/>
      <c r="R223" s="875"/>
      <c r="S223" s="1748"/>
      <c r="T223" s="705"/>
      <c r="U223" s="705"/>
      <c r="V223" s="705"/>
      <c r="W223" s="15"/>
      <c r="X223" s="15"/>
      <c r="Y223" s="17"/>
      <c r="Z223" s="1686"/>
      <c r="AE223" s="2461"/>
      <c r="AF223" s="68"/>
    </row>
    <row r="224" spans="1:32" ht="15.5" x14ac:dyDescent="0.35">
      <c r="A224" s="347"/>
      <c r="B224" s="405">
        <v>10254</v>
      </c>
      <c r="C224" s="405"/>
      <c r="D224" s="405"/>
      <c r="E224" s="837" t="s">
        <v>6919</v>
      </c>
      <c r="F224" s="13">
        <v>5</v>
      </c>
      <c r="G224" s="13">
        <v>5</v>
      </c>
      <c r="H224" s="13">
        <v>6</v>
      </c>
      <c r="I224" s="502"/>
      <c r="J224" s="502"/>
      <c r="K224" s="504"/>
      <c r="L224" s="504"/>
      <c r="M224" s="504"/>
      <c r="N224" s="504"/>
      <c r="O224" s="855"/>
      <c r="P224" s="504"/>
      <c r="Q224" s="863">
        <v>1.1000000000000001</v>
      </c>
      <c r="R224" s="875"/>
      <c r="S224" s="1748"/>
      <c r="T224" s="705"/>
      <c r="U224" s="705"/>
      <c r="V224" s="705"/>
      <c r="W224" s="15"/>
      <c r="X224" s="15"/>
      <c r="Y224" s="17"/>
      <c r="Z224" s="1686"/>
      <c r="AE224" s="2461"/>
      <c r="AF224" s="68"/>
    </row>
    <row r="225" spans="1:32" ht="15.5" x14ac:dyDescent="0.35">
      <c r="A225" s="347"/>
      <c r="B225" s="405">
        <v>10254</v>
      </c>
      <c r="C225" s="405"/>
      <c r="D225" s="405"/>
      <c r="E225" s="838" t="s">
        <v>6920</v>
      </c>
      <c r="F225" s="13">
        <v>5</v>
      </c>
      <c r="G225" s="13">
        <v>5</v>
      </c>
      <c r="H225" s="13">
        <v>6</v>
      </c>
      <c r="I225" s="502"/>
      <c r="J225" s="502"/>
      <c r="K225" s="504"/>
      <c r="L225" s="504"/>
      <c r="M225" s="504"/>
      <c r="N225" s="504"/>
      <c r="O225" s="855"/>
      <c r="P225" s="504"/>
      <c r="Q225" s="863"/>
      <c r="R225" s="875">
        <v>0.36599999999999999</v>
      </c>
      <c r="S225" s="1748"/>
      <c r="T225" s="705"/>
      <c r="U225" s="705"/>
      <c r="V225" s="705"/>
      <c r="W225" s="15"/>
      <c r="X225" s="15"/>
      <c r="Y225" s="17"/>
      <c r="Z225" s="1686"/>
      <c r="AE225" s="2461"/>
      <c r="AF225" s="68"/>
    </row>
    <row r="226" spans="1:32" ht="30" x14ac:dyDescent="0.35">
      <c r="A226" s="347">
        <v>83</v>
      </c>
      <c r="B226" s="405">
        <v>10256</v>
      </c>
      <c r="C226" s="405"/>
      <c r="D226" s="405" t="s">
        <v>1742</v>
      </c>
      <c r="E226" s="288" t="s">
        <v>1345</v>
      </c>
      <c r="F226" s="13">
        <v>5</v>
      </c>
      <c r="G226" s="13">
        <v>5</v>
      </c>
      <c r="H226" s="13">
        <v>6</v>
      </c>
      <c r="I226" s="501">
        <f>L226+K226+J226</f>
        <v>3.4750000000000001</v>
      </c>
      <c r="J226" s="501">
        <f>SUM(M226:R226)</f>
        <v>3.4750000000000001</v>
      </c>
      <c r="K226" s="503"/>
      <c r="L226" s="503"/>
      <c r="M226" s="501"/>
      <c r="N226" s="501"/>
      <c r="O226" s="851"/>
      <c r="P226" s="501"/>
      <c r="Q226" s="860">
        <v>3.4750000000000001</v>
      </c>
      <c r="R226" s="870"/>
      <c r="S226" s="1748"/>
      <c r="T226" s="705"/>
      <c r="U226" s="705"/>
      <c r="V226" s="705"/>
      <c r="W226" s="15">
        <v>2</v>
      </c>
      <c r="X226" s="15">
        <v>30</v>
      </c>
      <c r="Y226" s="17"/>
      <c r="Z226" s="1686"/>
      <c r="AB226">
        <v>1</v>
      </c>
      <c r="AE226" s="2461"/>
      <c r="AF226" s="68"/>
    </row>
    <row r="227" spans="1:32" ht="30" x14ac:dyDescent="0.35">
      <c r="A227" s="347">
        <v>84</v>
      </c>
      <c r="B227" s="358">
        <v>10257</v>
      </c>
      <c r="C227" s="358"/>
      <c r="D227" s="358" t="s">
        <v>2231</v>
      </c>
      <c r="E227" s="550" t="s">
        <v>1896</v>
      </c>
      <c r="F227" s="13"/>
      <c r="G227" s="13" t="s">
        <v>191</v>
      </c>
      <c r="H227" s="13" t="s">
        <v>191</v>
      </c>
      <c r="I227" s="501">
        <f>L227+K227+J227</f>
        <v>1.67</v>
      </c>
      <c r="J227" s="501">
        <f>SUM(M227:R227)</f>
        <v>1.67</v>
      </c>
      <c r="K227" s="553"/>
      <c r="L227" s="553"/>
      <c r="M227" s="552"/>
      <c r="N227" s="552">
        <f>SUM(N228:N230)</f>
        <v>0.38</v>
      </c>
      <c r="O227" s="854"/>
      <c r="P227" s="553"/>
      <c r="Q227" s="860">
        <f>SUM(Q228:Q230)</f>
        <v>1.2899999999999998</v>
      </c>
      <c r="R227" s="870"/>
      <c r="S227" s="1748"/>
      <c r="T227" s="705"/>
      <c r="U227" s="705"/>
      <c r="V227" s="705"/>
      <c r="W227" s="328">
        <v>3</v>
      </c>
      <c r="X227" s="328">
        <v>38.200000000000003</v>
      </c>
      <c r="Y227" s="330"/>
      <c r="Z227" s="1687"/>
      <c r="AB227">
        <v>1</v>
      </c>
      <c r="AE227" s="2461"/>
      <c r="AF227" s="68"/>
    </row>
    <row r="228" spans="1:32" ht="15.5" x14ac:dyDescent="0.35">
      <c r="A228" s="347"/>
      <c r="B228" s="358">
        <v>10257</v>
      </c>
      <c r="C228" s="358"/>
      <c r="D228" s="358"/>
      <c r="E228" s="534" t="s">
        <v>1897</v>
      </c>
      <c r="F228" s="13">
        <v>5</v>
      </c>
      <c r="G228" s="13">
        <v>5</v>
      </c>
      <c r="H228" s="13">
        <v>6</v>
      </c>
      <c r="I228" s="502"/>
      <c r="J228" s="502"/>
      <c r="K228" s="504"/>
      <c r="L228" s="504"/>
      <c r="M228" s="502"/>
      <c r="N228" s="502">
        <v>0.38</v>
      </c>
      <c r="O228" s="855"/>
      <c r="P228" s="504"/>
      <c r="Q228" s="865"/>
      <c r="R228" s="875"/>
      <c r="S228" s="1748"/>
      <c r="T228" s="705"/>
      <c r="U228" s="705"/>
      <c r="V228" s="705"/>
      <c r="W228" s="15"/>
      <c r="X228" s="15"/>
      <c r="Y228" s="17"/>
      <c r="Z228" s="1686"/>
      <c r="AE228" s="2461"/>
      <c r="AF228" s="68"/>
    </row>
    <row r="229" spans="1:32" ht="15.5" x14ac:dyDescent="0.35">
      <c r="A229" s="347"/>
      <c r="B229" s="358">
        <v>10257</v>
      </c>
      <c r="C229" s="358"/>
      <c r="D229" s="358"/>
      <c r="E229" s="1860" t="s">
        <v>231</v>
      </c>
      <c r="F229" s="13">
        <v>5</v>
      </c>
      <c r="G229" s="13">
        <v>5</v>
      </c>
      <c r="H229" s="13">
        <v>6</v>
      </c>
      <c r="I229" s="502"/>
      <c r="J229" s="502"/>
      <c r="K229" s="504"/>
      <c r="L229" s="504"/>
      <c r="M229" s="502"/>
      <c r="N229" s="502"/>
      <c r="O229" s="855"/>
      <c r="P229" s="504"/>
      <c r="Q229" s="865">
        <f>1.51-0.38</f>
        <v>1.1299999999999999</v>
      </c>
      <c r="R229" s="875"/>
      <c r="S229" s="1748"/>
      <c r="T229" s="705"/>
      <c r="U229" s="705"/>
      <c r="V229" s="705"/>
      <c r="W229" s="15"/>
      <c r="X229" s="15"/>
      <c r="Y229" s="17"/>
      <c r="Z229" s="1686"/>
      <c r="AE229" s="2461"/>
      <c r="AF229" s="68"/>
    </row>
    <row r="230" spans="1:32" ht="15.5" x14ac:dyDescent="0.35">
      <c r="A230" s="347"/>
      <c r="B230" s="358">
        <v>10257</v>
      </c>
      <c r="C230" s="358"/>
      <c r="D230" s="358"/>
      <c r="E230" s="1860" t="s">
        <v>11593</v>
      </c>
      <c r="F230" s="13" t="s">
        <v>1490</v>
      </c>
      <c r="G230" s="13">
        <v>5</v>
      </c>
      <c r="H230" s="13">
        <v>6</v>
      </c>
      <c r="I230" s="502"/>
      <c r="J230" s="502"/>
      <c r="K230" s="504"/>
      <c r="L230" s="504"/>
      <c r="M230" s="502"/>
      <c r="N230" s="502"/>
      <c r="O230" s="855"/>
      <c r="P230" s="504"/>
      <c r="Q230" s="865">
        <f>1.67-1.51</f>
        <v>0.15999999999999992</v>
      </c>
      <c r="R230" s="875"/>
      <c r="S230" s="1748"/>
      <c r="T230" s="705"/>
      <c r="U230" s="705"/>
      <c r="V230" s="705"/>
      <c r="W230" s="15"/>
      <c r="X230" s="15"/>
      <c r="Y230" s="17"/>
      <c r="Z230" s="1686"/>
      <c r="AE230" s="2461"/>
      <c r="AF230" s="68"/>
    </row>
    <row r="231" spans="1:32" ht="90.5" x14ac:dyDescent="0.35">
      <c r="A231" s="349">
        <v>85</v>
      </c>
      <c r="B231" s="358">
        <v>10227</v>
      </c>
      <c r="C231" s="358"/>
      <c r="D231" s="405" t="s">
        <v>2769</v>
      </c>
      <c r="E231" s="511" t="s">
        <v>10957</v>
      </c>
      <c r="F231" s="13">
        <v>4</v>
      </c>
      <c r="G231" s="13">
        <v>4</v>
      </c>
      <c r="H231" s="13">
        <v>6</v>
      </c>
      <c r="I231" s="501">
        <f>L231+K231+J231</f>
        <v>2.488</v>
      </c>
      <c r="J231" s="501">
        <f>SUM(M231:R231)</f>
        <v>2.488</v>
      </c>
      <c r="K231" s="502"/>
      <c r="L231" s="502"/>
      <c r="M231" s="502"/>
      <c r="N231" s="502"/>
      <c r="O231" s="853"/>
      <c r="P231" s="502"/>
      <c r="Q231" s="860">
        <v>2.488</v>
      </c>
      <c r="R231" s="873"/>
      <c r="S231" s="724"/>
      <c r="T231" s="335"/>
      <c r="U231" s="705"/>
      <c r="V231" s="705"/>
      <c r="W231" s="15">
        <v>10</v>
      </c>
      <c r="X231" s="15">
        <v>127.3</v>
      </c>
      <c r="Y231" s="17">
        <v>5</v>
      </c>
      <c r="Z231" s="1686">
        <v>51.8</v>
      </c>
      <c r="AB231">
        <v>1</v>
      </c>
      <c r="AE231" s="2461"/>
      <c r="AF231" s="68"/>
    </row>
    <row r="232" spans="1:32" ht="30.5" x14ac:dyDescent="0.35">
      <c r="A232" s="347">
        <v>86</v>
      </c>
      <c r="B232" s="358">
        <v>10228</v>
      </c>
      <c r="C232" s="358"/>
      <c r="D232" s="358" t="s">
        <v>2180</v>
      </c>
      <c r="E232" s="511" t="s">
        <v>9713</v>
      </c>
      <c r="F232" s="13">
        <v>4</v>
      </c>
      <c r="G232" s="13">
        <v>5</v>
      </c>
      <c r="H232" s="13">
        <v>6</v>
      </c>
      <c r="I232" s="501">
        <f>L232+K232+J232</f>
        <v>2.86</v>
      </c>
      <c r="J232" s="501">
        <f>SUM(M232:R232)</f>
        <v>2.86</v>
      </c>
      <c r="K232" s="503"/>
      <c r="L232" s="503"/>
      <c r="M232" s="501"/>
      <c r="N232" s="501">
        <v>2.86</v>
      </c>
      <c r="O232" s="854"/>
      <c r="P232" s="503"/>
      <c r="Q232" s="864"/>
      <c r="R232" s="874"/>
      <c r="S232" s="1748"/>
      <c r="T232" s="705"/>
      <c r="U232" s="705"/>
      <c r="V232" s="705"/>
      <c r="W232" s="15">
        <v>9</v>
      </c>
      <c r="X232" s="15">
        <v>101.1</v>
      </c>
      <c r="Y232" s="17">
        <v>1</v>
      </c>
      <c r="Z232" s="1686">
        <v>10.1</v>
      </c>
      <c r="AB232">
        <v>1</v>
      </c>
      <c r="AE232" s="2461"/>
      <c r="AF232" s="68"/>
    </row>
    <row r="233" spans="1:32" ht="30.5" x14ac:dyDescent="0.35">
      <c r="A233" s="347"/>
      <c r="B233" s="358" t="s">
        <v>163</v>
      </c>
      <c r="C233" s="358"/>
      <c r="D233" s="358"/>
      <c r="E233" s="1596" t="s">
        <v>1271</v>
      </c>
      <c r="F233" s="13"/>
      <c r="G233" s="13"/>
      <c r="H233" s="13"/>
      <c r="I233" s="502"/>
      <c r="J233" s="502"/>
      <c r="K233" s="504"/>
      <c r="L233" s="504"/>
      <c r="M233" s="502"/>
      <c r="N233" s="502"/>
      <c r="O233" s="855"/>
      <c r="P233" s="504"/>
      <c r="Q233" s="865"/>
      <c r="R233" s="875"/>
      <c r="S233" s="1748"/>
      <c r="T233" s="705"/>
      <c r="U233" s="705"/>
      <c r="V233" s="705"/>
      <c r="W233" s="15"/>
      <c r="X233" s="15"/>
      <c r="Y233" s="17"/>
      <c r="Z233" s="1686"/>
      <c r="AE233" s="2461"/>
      <c r="AF233" s="68"/>
    </row>
    <row r="234" spans="1:32" ht="60.5" x14ac:dyDescent="0.35">
      <c r="A234" s="349">
        <v>87</v>
      </c>
      <c r="B234" s="405">
        <v>10255</v>
      </c>
      <c r="C234" s="405"/>
      <c r="D234" s="2464" t="s">
        <v>4380</v>
      </c>
      <c r="E234" s="511" t="s">
        <v>10956</v>
      </c>
      <c r="F234" s="13">
        <v>4</v>
      </c>
      <c r="G234" s="13">
        <v>4</v>
      </c>
      <c r="H234" s="13">
        <v>6</v>
      </c>
      <c r="I234" s="501">
        <f>L234+K234+J234</f>
        <v>1.84</v>
      </c>
      <c r="J234" s="501">
        <f>SUM(M234:R234)</f>
        <v>1.84</v>
      </c>
      <c r="K234" s="504"/>
      <c r="L234" s="504"/>
      <c r="M234" s="504"/>
      <c r="N234" s="503">
        <v>1.84</v>
      </c>
      <c r="O234" s="855"/>
      <c r="P234" s="504"/>
      <c r="Q234" s="863"/>
      <c r="R234" s="875"/>
      <c r="S234" s="1748"/>
      <c r="T234" s="705"/>
      <c r="U234" s="705"/>
      <c r="V234" s="705"/>
      <c r="W234" s="15">
        <v>3</v>
      </c>
      <c r="X234" s="15">
        <v>30.4</v>
      </c>
      <c r="Y234" s="17"/>
      <c r="Z234" s="1686"/>
      <c r="AB234">
        <v>1</v>
      </c>
      <c r="AE234" s="2461"/>
      <c r="AF234" s="68"/>
    </row>
    <row r="235" spans="1:32" ht="45.5" x14ac:dyDescent="0.35">
      <c r="A235" s="349">
        <v>88</v>
      </c>
      <c r="B235" s="405" t="s">
        <v>163</v>
      </c>
      <c r="C235" s="405"/>
      <c r="D235" s="2464" t="s">
        <v>4381</v>
      </c>
      <c r="E235" s="288" t="s">
        <v>9714</v>
      </c>
      <c r="F235" s="13"/>
      <c r="G235" s="13" t="s">
        <v>191</v>
      </c>
      <c r="H235" s="13" t="s">
        <v>191</v>
      </c>
      <c r="I235" s="501">
        <f>L235+K235+J235</f>
        <v>5</v>
      </c>
      <c r="J235" s="501">
        <f>SUM(M235:R235)</f>
        <v>5</v>
      </c>
      <c r="K235" s="503"/>
      <c r="L235" s="503"/>
      <c r="M235" s="503"/>
      <c r="N235" s="503">
        <f>SUM(N236:N237)</f>
        <v>4.7830000000000004</v>
      </c>
      <c r="O235" s="854"/>
      <c r="P235" s="503"/>
      <c r="Q235" s="860"/>
      <c r="R235" s="874">
        <f>SUM(R236:R237)</f>
        <v>0.217</v>
      </c>
      <c r="S235" s="1748"/>
      <c r="T235" s="705"/>
      <c r="U235" s="705"/>
      <c r="V235" s="705"/>
      <c r="W235" s="15">
        <v>6</v>
      </c>
      <c r="X235" s="15">
        <v>73.2</v>
      </c>
      <c r="Y235" s="17"/>
      <c r="Z235" s="1686"/>
      <c r="AB235">
        <v>1</v>
      </c>
      <c r="AE235" s="2461"/>
      <c r="AF235" s="68"/>
    </row>
    <row r="236" spans="1:32" ht="15.5" x14ac:dyDescent="0.35">
      <c r="A236" s="349"/>
      <c r="B236" s="405" t="s">
        <v>163</v>
      </c>
      <c r="C236" s="405"/>
      <c r="D236" s="405"/>
      <c r="E236" s="289" t="s">
        <v>2494</v>
      </c>
      <c r="F236" s="13">
        <v>5</v>
      </c>
      <c r="G236" s="13">
        <v>4</v>
      </c>
      <c r="H236" s="13">
        <v>6</v>
      </c>
      <c r="I236" s="502"/>
      <c r="J236" s="502"/>
      <c r="K236" s="504"/>
      <c r="L236" s="504"/>
      <c r="M236" s="504"/>
      <c r="N236" s="504">
        <v>4.7830000000000004</v>
      </c>
      <c r="O236" s="855"/>
      <c r="P236" s="504"/>
      <c r="Q236" s="863"/>
      <c r="R236" s="875"/>
      <c r="S236" s="1748"/>
      <c r="T236" s="705"/>
      <c r="U236" s="705"/>
      <c r="V236" s="705"/>
      <c r="W236" s="15"/>
      <c r="X236" s="15"/>
      <c r="Y236" s="17"/>
      <c r="Z236" s="1686"/>
      <c r="AE236" s="2461"/>
      <c r="AF236" s="68"/>
    </row>
    <row r="237" spans="1:32" ht="15.5" x14ac:dyDescent="0.35">
      <c r="A237" s="349"/>
      <c r="B237" s="405" t="s">
        <v>163</v>
      </c>
      <c r="C237" s="405"/>
      <c r="D237" s="405"/>
      <c r="E237" s="838" t="s">
        <v>2241</v>
      </c>
      <c r="F237" s="13">
        <v>5</v>
      </c>
      <c r="G237" s="13">
        <v>4</v>
      </c>
      <c r="H237" s="13">
        <v>6</v>
      </c>
      <c r="I237" s="502"/>
      <c r="J237" s="502"/>
      <c r="K237" s="504"/>
      <c r="L237" s="504"/>
      <c r="M237" s="504"/>
      <c r="N237" s="504"/>
      <c r="O237" s="855"/>
      <c r="P237" s="504"/>
      <c r="Q237" s="863"/>
      <c r="R237" s="875">
        <v>0.217</v>
      </c>
      <c r="S237" s="1748"/>
      <c r="T237" s="705"/>
      <c r="U237" s="705"/>
      <c r="V237" s="705"/>
      <c r="W237" s="15"/>
      <c r="X237" s="15"/>
      <c r="Y237" s="17"/>
      <c r="Z237" s="1686"/>
      <c r="AE237" s="2461"/>
      <c r="AF237" s="68"/>
    </row>
    <row r="238" spans="1:32" ht="60.5" x14ac:dyDescent="0.35">
      <c r="A238" s="370">
        <v>89</v>
      </c>
      <c r="B238" s="365" t="s">
        <v>163</v>
      </c>
      <c r="C238" s="365" t="s">
        <v>1656</v>
      </c>
      <c r="D238" s="2464" t="s">
        <v>4382</v>
      </c>
      <c r="E238" s="269" t="s">
        <v>9715</v>
      </c>
      <c r="F238" s="92"/>
      <c r="G238" s="92" t="s">
        <v>191</v>
      </c>
      <c r="H238" s="13" t="s">
        <v>191</v>
      </c>
      <c r="I238" s="501">
        <f>L238+K238+J238</f>
        <v>0.6</v>
      </c>
      <c r="J238" s="501">
        <f>SUM(M238:R238)</f>
        <v>0.6</v>
      </c>
      <c r="K238" s="557"/>
      <c r="L238" s="557"/>
      <c r="M238" s="557"/>
      <c r="N238" s="557">
        <f>SUM(N239:N240)</f>
        <v>0.1</v>
      </c>
      <c r="O238" s="856"/>
      <c r="P238" s="557"/>
      <c r="Q238" s="866"/>
      <c r="R238" s="876">
        <f>SUM(R239:R240)</f>
        <v>0.5</v>
      </c>
      <c r="S238" s="1571"/>
      <c r="T238" s="1571"/>
      <c r="U238" s="1571"/>
      <c r="V238" s="1571"/>
      <c r="W238" s="106"/>
      <c r="X238" s="106"/>
      <c r="Y238" s="46"/>
      <c r="Z238" s="47"/>
      <c r="AB238">
        <v>1</v>
      </c>
      <c r="AE238" s="2461"/>
      <c r="AF238" s="68"/>
    </row>
    <row r="239" spans="1:32" ht="15.5" x14ac:dyDescent="0.35">
      <c r="A239" s="370"/>
      <c r="B239" s="365" t="s">
        <v>163</v>
      </c>
      <c r="C239" s="365"/>
      <c r="D239" s="358"/>
      <c r="E239" s="270" t="s">
        <v>1332</v>
      </c>
      <c r="F239" s="92" t="s">
        <v>1490</v>
      </c>
      <c r="G239" s="92">
        <v>5</v>
      </c>
      <c r="H239" s="13">
        <v>6</v>
      </c>
      <c r="I239" s="558"/>
      <c r="J239" s="558"/>
      <c r="K239" s="558"/>
      <c r="L239" s="558"/>
      <c r="M239" s="558"/>
      <c r="N239" s="558">
        <v>0.1</v>
      </c>
      <c r="O239" s="857"/>
      <c r="P239" s="558"/>
      <c r="Q239" s="867"/>
      <c r="R239" s="877"/>
      <c r="S239" s="1571"/>
      <c r="T239" s="1571"/>
      <c r="U239" s="1571"/>
      <c r="V239" s="1571"/>
      <c r="W239" s="106"/>
      <c r="X239" s="106"/>
      <c r="Y239" s="46"/>
      <c r="Z239" s="47"/>
      <c r="AE239" s="2461"/>
      <c r="AF239" s="68"/>
    </row>
    <row r="240" spans="1:32" ht="15.5" x14ac:dyDescent="0.35">
      <c r="A240" s="370"/>
      <c r="B240" s="365" t="s">
        <v>163</v>
      </c>
      <c r="C240" s="365"/>
      <c r="D240" s="365"/>
      <c r="E240" s="878" t="s">
        <v>413</v>
      </c>
      <c r="F240" s="92" t="s">
        <v>1490</v>
      </c>
      <c r="G240" s="92">
        <v>5</v>
      </c>
      <c r="H240" s="13">
        <v>6</v>
      </c>
      <c r="I240" s="558"/>
      <c r="J240" s="558"/>
      <c r="K240" s="558"/>
      <c r="L240" s="558"/>
      <c r="M240" s="558"/>
      <c r="N240" s="558"/>
      <c r="O240" s="857"/>
      <c r="P240" s="558"/>
      <c r="Q240" s="867"/>
      <c r="R240" s="877">
        <v>0.5</v>
      </c>
      <c r="S240" s="1571"/>
      <c r="T240" s="1571"/>
      <c r="U240" s="1571"/>
      <c r="V240" s="1571"/>
      <c r="W240" s="106"/>
      <c r="X240" s="106"/>
      <c r="Y240" s="46"/>
      <c r="Z240" s="47"/>
      <c r="AE240" s="2461"/>
      <c r="AF240" s="68"/>
    </row>
    <row r="241" spans="1:32" ht="60.5" x14ac:dyDescent="0.35">
      <c r="A241" s="1855">
        <v>90</v>
      </c>
      <c r="B241" s="405" t="s">
        <v>163</v>
      </c>
      <c r="C241" s="1005" t="s">
        <v>1656</v>
      </c>
      <c r="D241" s="2464" t="s">
        <v>4383</v>
      </c>
      <c r="E241" s="511" t="s">
        <v>9716</v>
      </c>
      <c r="F241" s="1138" t="s">
        <v>664</v>
      </c>
      <c r="G241" s="13">
        <v>5</v>
      </c>
      <c r="H241" s="13">
        <v>6</v>
      </c>
      <c r="I241" s="297">
        <f>J241+K241+L241</f>
        <v>0.7</v>
      </c>
      <c r="J241" s="501">
        <f>SUM(M241:R241)</f>
        <v>0.7</v>
      </c>
      <c r="K241" s="502"/>
      <c r="L241" s="502"/>
      <c r="M241" s="502"/>
      <c r="N241" s="502"/>
      <c r="O241" s="853"/>
      <c r="P241" s="502"/>
      <c r="Q241" s="933"/>
      <c r="R241" s="873">
        <v>0.7</v>
      </c>
      <c r="S241" s="1748"/>
      <c r="T241" s="705"/>
      <c r="U241" s="705"/>
      <c r="V241" s="705"/>
      <c r="W241" s="15"/>
      <c r="X241" s="15"/>
      <c r="Y241" s="17"/>
      <c r="Z241" s="1686"/>
      <c r="AB241">
        <v>1</v>
      </c>
      <c r="AE241" s="2461"/>
      <c r="AF241" s="68"/>
    </row>
    <row r="242" spans="1:32" ht="30.5" x14ac:dyDescent="0.35">
      <c r="A242" s="349">
        <v>91</v>
      </c>
      <c r="B242" s="405" t="s">
        <v>163</v>
      </c>
      <c r="C242" s="405"/>
      <c r="D242" s="2464" t="s">
        <v>4384</v>
      </c>
      <c r="E242" s="288" t="s">
        <v>7545</v>
      </c>
      <c r="F242" s="13"/>
      <c r="G242" s="13" t="s">
        <v>191</v>
      </c>
      <c r="H242" s="13" t="s">
        <v>191</v>
      </c>
      <c r="I242" s="501">
        <f>L242+K242+J242</f>
        <v>1.3</v>
      </c>
      <c r="J242" s="501">
        <f>SUM(M242:R242)</f>
        <v>1.3</v>
      </c>
      <c r="K242" s="503"/>
      <c r="L242" s="503"/>
      <c r="M242" s="503"/>
      <c r="N242" s="503">
        <f>SUM(N243:N244)</f>
        <v>0.95000000000000007</v>
      </c>
      <c r="O242" s="854"/>
      <c r="P242" s="503"/>
      <c r="Q242" s="864">
        <f>SUM(Q243:Q244)</f>
        <v>0.35</v>
      </c>
      <c r="R242" s="874"/>
      <c r="S242" s="1748"/>
      <c r="T242" s="705"/>
      <c r="U242" s="705"/>
      <c r="V242" s="705"/>
      <c r="W242" s="15">
        <v>4</v>
      </c>
      <c r="X242" s="55">
        <v>46.2</v>
      </c>
      <c r="Y242" s="17">
        <v>1</v>
      </c>
      <c r="Z242" s="1686">
        <v>10</v>
      </c>
      <c r="AB242">
        <v>1</v>
      </c>
      <c r="AE242" s="2461"/>
      <c r="AF242" s="68"/>
    </row>
    <row r="243" spans="1:32" ht="15.5" x14ac:dyDescent="0.35">
      <c r="A243" s="349"/>
      <c r="B243" s="405" t="s">
        <v>163</v>
      </c>
      <c r="C243" s="405"/>
      <c r="D243" s="405"/>
      <c r="E243" s="837" t="s">
        <v>1898</v>
      </c>
      <c r="F243" s="13">
        <v>5</v>
      </c>
      <c r="G243" s="13">
        <v>5</v>
      </c>
      <c r="H243" s="13">
        <v>6</v>
      </c>
      <c r="I243" s="502"/>
      <c r="J243" s="502"/>
      <c r="K243" s="504"/>
      <c r="L243" s="504"/>
      <c r="M243" s="504"/>
      <c r="N243" s="504"/>
      <c r="O243" s="855"/>
      <c r="P243" s="504"/>
      <c r="Q243" s="863">
        <v>0.35</v>
      </c>
      <c r="R243" s="875"/>
      <c r="S243" s="1748"/>
      <c r="T243" s="705"/>
      <c r="U243" s="705"/>
      <c r="V243" s="705"/>
      <c r="W243" s="15"/>
      <c r="X243" s="15"/>
      <c r="Y243" s="17"/>
      <c r="Z243" s="1686"/>
      <c r="AE243" s="2461"/>
      <c r="AF243" s="68"/>
    </row>
    <row r="244" spans="1:32" ht="15.5" x14ac:dyDescent="0.35">
      <c r="A244" s="349"/>
      <c r="B244" s="405" t="s">
        <v>163</v>
      </c>
      <c r="C244" s="405"/>
      <c r="D244" s="405"/>
      <c r="E244" s="534" t="s">
        <v>3642</v>
      </c>
      <c r="F244" s="13">
        <v>5</v>
      </c>
      <c r="G244" s="13">
        <v>5</v>
      </c>
      <c r="H244" s="13">
        <v>6</v>
      </c>
      <c r="I244" s="502"/>
      <c r="J244" s="502"/>
      <c r="K244" s="504"/>
      <c r="L244" s="504"/>
      <c r="M244" s="504"/>
      <c r="N244" s="504">
        <f>1.3-0.35</f>
        <v>0.95000000000000007</v>
      </c>
      <c r="O244" s="855"/>
      <c r="P244" s="504"/>
      <c r="Q244" s="863"/>
      <c r="R244" s="875"/>
      <c r="S244" s="1748"/>
      <c r="T244" s="705"/>
      <c r="U244" s="705"/>
      <c r="V244" s="705"/>
      <c r="W244" s="15"/>
      <c r="X244" s="15"/>
      <c r="Y244" s="17"/>
      <c r="Z244" s="1686"/>
      <c r="AE244" s="2461"/>
      <c r="AF244" s="68"/>
    </row>
    <row r="245" spans="1:32" ht="45.5" x14ac:dyDescent="0.35">
      <c r="A245" s="349">
        <v>92</v>
      </c>
      <c r="B245" s="405" t="s">
        <v>163</v>
      </c>
      <c r="C245" s="405"/>
      <c r="D245" s="2464" t="s">
        <v>4385</v>
      </c>
      <c r="E245" s="288" t="s">
        <v>7546</v>
      </c>
      <c r="F245" s="13"/>
      <c r="G245" s="13" t="s">
        <v>191</v>
      </c>
      <c r="H245" s="13" t="s">
        <v>191</v>
      </c>
      <c r="I245" s="501">
        <f>L245+K245+J245</f>
        <v>2.87</v>
      </c>
      <c r="J245" s="501">
        <f>SUM(M245:R245)</f>
        <v>2.87</v>
      </c>
      <c r="K245" s="503"/>
      <c r="L245" s="503"/>
      <c r="M245" s="503"/>
      <c r="N245" s="503">
        <f>SUM(N246:N247)</f>
        <v>1.66</v>
      </c>
      <c r="O245" s="854"/>
      <c r="P245" s="503"/>
      <c r="Q245" s="864"/>
      <c r="R245" s="1861">
        <f>SUM(R246:R247)</f>
        <v>1.21</v>
      </c>
      <c r="S245" s="1748">
        <v>1</v>
      </c>
      <c r="T245" s="705">
        <v>18.95</v>
      </c>
      <c r="U245" s="701"/>
      <c r="V245" s="704"/>
      <c r="W245" s="15">
        <v>6</v>
      </c>
      <c r="X245" s="15">
        <v>85.4</v>
      </c>
      <c r="Y245" s="17">
        <v>2</v>
      </c>
      <c r="Z245" s="1686">
        <v>30</v>
      </c>
      <c r="AB245">
        <v>1</v>
      </c>
      <c r="AE245" s="2461"/>
      <c r="AF245" s="68"/>
    </row>
    <row r="246" spans="1:32" ht="15.5" x14ac:dyDescent="0.35">
      <c r="A246" s="349"/>
      <c r="B246" s="405" t="s">
        <v>163</v>
      </c>
      <c r="C246" s="405"/>
      <c r="D246" s="405"/>
      <c r="E246" s="289" t="s">
        <v>1012</v>
      </c>
      <c r="F246" s="13">
        <v>5</v>
      </c>
      <c r="G246" s="13">
        <v>5</v>
      </c>
      <c r="H246" s="13">
        <v>6</v>
      </c>
      <c r="I246" s="502"/>
      <c r="J246" s="502"/>
      <c r="K246" s="504"/>
      <c r="L246" s="504"/>
      <c r="M246" s="504"/>
      <c r="N246" s="504">
        <v>1.66</v>
      </c>
      <c r="O246" s="855"/>
      <c r="P246" s="504"/>
      <c r="Q246" s="863"/>
      <c r="R246" s="875"/>
      <c r="S246" s="1748"/>
      <c r="T246" s="705"/>
      <c r="U246" s="705"/>
      <c r="V246" s="705"/>
      <c r="W246" s="15"/>
      <c r="X246" s="15"/>
      <c r="Y246" s="17"/>
      <c r="Z246" s="1686"/>
      <c r="AE246" s="2461"/>
      <c r="AF246" s="68"/>
    </row>
    <row r="247" spans="1:32" s="99" customFormat="1" ht="16" x14ac:dyDescent="0.4">
      <c r="A247" s="349"/>
      <c r="B247" s="405" t="s">
        <v>163</v>
      </c>
      <c r="C247" s="405"/>
      <c r="D247" s="405"/>
      <c r="E247" s="838" t="s">
        <v>1447</v>
      </c>
      <c r="F247" s="13">
        <v>5</v>
      </c>
      <c r="G247" s="13">
        <v>5</v>
      </c>
      <c r="H247" s="13">
        <v>6</v>
      </c>
      <c r="I247" s="502"/>
      <c r="J247" s="502"/>
      <c r="K247" s="504"/>
      <c r="L247" s="504"/>
      <c r="M247" s="2329"/>
      <c r="N247" s="504"/>
      <c r="O247" s="855"/>
      <c r="P247" s="504"/>
      <c r="Q247" s="863"/>
      <c r="R247" s="875">
        <v>1.21</v>
      </c>
      <c r="S247" s="1748"/>
      <c r="T247" s="705"/>
      <c r="U247" s="705"/>
      <c r="V247" s="705"/>
      <c r="W247" s="15"/>
      <c r="X247" s="15"/>
      <c r="Y247" s="17"/>
      <c r="Z247" s="1686"/>
      <c r="AE247" s="2461"/>
      <c r="AF247" s="68"/>
    </row>
    <row r="248" spans="1:32" ht="60.5" x14ac:dyDescent="0.35">
      <c r="A248" s="347">
        <v>93</v>
      </c>
      <c r="B248" s="365" t="s">
        <v>163</v>
      </c>
      <c r="C248" s="1005" t="s">
        <v>1656</v>
      </c>
      <c r="D248" s="2464" t="s">
        <v>4386</v>
      </c>
      <c r="E248" s="269" t="s">
        <v>8287</v>
      </c>
      <c r="F248" s="92" t="s">
        <v>664</v>
      </c>
      <c r="G248" s="13">
        <v>5</v>
      </c>
      <c r="H248" s="13">
        <v>6</v>
      </c>
      <c r="I248" s="297">
        <f>J248+K248+L248</f>
        <v>0.3</v>
      </c>
      <c r="J248" s="501">
        <f>SUM(M248:R248)</f>
        <v>0.3</v>
      </c>
      <c r="K248" s="558"/>
      <c r="L248" s="558"/>
      <c r="M248" s="558"/>
      <c r="N248" s="1857"/>
      <c r="O248" s="857"/>
      <c r="P248" s="558"/>
      <c r="Q248" s="867"/>
      <c r="R248" s="877">
        <v>0.3</v>
      </c>
      <c r="S248" s="1571"/>
      <c r="T248" s="1571"/>
      <c r="U248" s="1571"/>
      <c r="V248" s="1571"/>
      <c r="W248" s="106"/>
      <c r="X248" s="106"/>
      <c r="Y248" s="46"/>
      <c r="Z248" s="47"/>
      <c r="AB248">
        <v>1</v>
      </c>
      <c r="AE248" s="2461"/>
      <c r="AF248" s="68"/>
    </row>
    <row r="249" spans="1:32" s="99" customFormat="1" ht="91" x14ac:dyDescent="0.4">
      <c r="A249" s="349">
        <v>94</v>
      </c>
      <c r="B249" s="405" t="s">
        <v>163</v>
      </c>
      <c r="C249" s="405"/>
      <c r="D249" s="2464" t="s">
        <v>4387</v>
      </c>
      <c r="E249" s="288" t="s">
        <v>9717</v>
      </c>
      <c r="F249" s="13">
        <v>5</v>
      </c>
      <c r="G249" s="13">
        <v>5</v>
      </c>
      <c r="H249" s="13">
        <v>10</v>
      </c>
      <c r="I249" s="501">
        <f>L249+K249+J249</f>
        <v>0.08</v>
      </c>
      <c r="J249" s="501">
        <f>SUM(M249:R249)</f>
        <v>0.08</v>
      </c>
      <c r="K249" s="504"/>
      <c r="L249" s="504"/>
      <c r="M249" s="1541">
        <v>0.08</v>
      </c>
      <c r="N249" s="504"/>
      <c r="O249" s="855"/>
      <c r="P249" s="504"/>
      <c r="Q249" s="863"/>
      <c r="R249" s="875"/>
      <c r="S249" s="1748"/>
      <c r="T249" s="705"/>
      <c r="U249" s="705"/>
      <c r="V249" s="705"/>
      <c r="W249" s="15"/>
      <c r="X249" s="15"/>
      <c r="Y249" s="17"/>
      <c r="Z249" s="1686"/>
      <c r="AB249" s="99">
        <v>1</v>
      </c>
      <c r="AE249" s="2461"/>
      <c r="AF249" s="68"/>
    </row>
    <row r="250" spans="1:32" ht="30.5" x14ac:dyDescent="0.35">
      <c r="A250" s="347">
        <v>95</v>
      </c>
      <c r="B250" s="358" t="s">
        <v>163</v>
      </c>
      <c r="C250" s="358"/>
      <c r="D250" s="2464" t="s">
        <v>4388</v>
      </c>
      <c r="E250" s="288" t="s">
        <v>7547</v>
      </c>
      <c r="F250" s="13"/>
      <c r="G250" s="13" t="s">
        <v>191</v>
      </c>
      <c r="H250" s="13" t="s">
        <v>191</v>
      </c>
      <c r="I250" s="501">
        <f>L250+K250+J250</f>
        <v>1.08</v>
      </c>
      <c r="J250" s="501">
        <f>SUM(M250:R250)</f>
        <v>1.08</v>
      </c>
      <c r="K250" s="501"/>
      <c r="L250" s="501"/>
      <c r="M250" s="1136"/>
      <c r="N250" s="501">
        <f>SUM(N251:N252)</f>
        <v>0.9</v>
      </c>
      <c r="O250" s="851"/>
      <c r="P250" s="501"/>
      <c r="Q250" s="860">
        <f>SUM(Q251:Q252)</f>
        <v>0.18000000000000005</v>
      </c>
      <c r="R250" s="870"/>
      <c r="S250" s="1748"/>
      <c r="T250" s="705"/>
      <c r="U250" s="705"/>
      <c r="V250" s="705"/>
      <c r="W250" s="15">
        <v>4</v>
      </c>
      <c r="X250" s="18">
        <v>40</v>
      </c>
      <c r="Y250" s="17"/>
      <c r="Z250" s="1686"/>
      <c r="AB250">
        <v>1</v>
      </c>
      <c r="AE250" s="2461"/>
      <c r="AF250" s="68"/>
    </row>
    <row r="251" spans="1:32" ht="15.5" x14ac:dyDescent="0.35">
      <c r="A251" s="349"/>
      <c r="B251" s="358" t="s">
        <v>163</v>
      </c>
      <c r="C251" s="358"/>
      <c r="D251" s="405"/>
      <c r="E251" s="289" t="s">
        <v>282</v>
      </c>
      <c r="F251" s="13">
        <v>4</v>
      </c>
      <c r="G251" s="13">
        <v>5</v>
      </c>
      <c r="H251" s="13">
        <v>6</v>
      </c>
      <c r="I251" s="502"/>
      <c r="J251" s="502"/>
      <c r="K251" s="502"/>
      <c r="L251" s="502"/>
      <c r="M251" s="502"/>
      <c r="N251" s="502">
        <v>0.9</v>
      </c>
      <c r="O251" s="853"/>
      <c r="P251" s="502"/>
      <c r="Q251" s="863"/>
      <c r="R251" s="873"/>
      <c r="S251" s="1748"/>
      <c r="T251" s="705"/>
      <c r="U251" s="705"/>
      <c r="V251" s="705"/>
      <c r="W251" s="15"/>
      <c r="X251" s="15"/>
      <c r="Y251" s="17"/>
      <c r="Z251" s="1686"/>
      <c r="AE251" s="2461"/>
      <c r="AF251" s="68"/>
    </row>
    <row r="252" spans="1:32" ht="15.5" x14ac:dyDescent="0.35">
      <c r="A252" s="349"/>
      <c r="B252" s="358" t="s">
        <v>163</v>
      </c>
      <c r="C252" s="358"/>
      <c r="D252" s="405"/>
      <c r="E252" s="837" t="s">
        <v>6921</v>
      </c>
      <c r="F252" s="13">
        <v>4</v>
      </c>
      <c r="G252" s="13">
        <v>5</v>
      </c>
      <c r="H252" s="13">
        <v>6</v>
      </c>
      <c r="I252" s="502"/>
      <c r="J252" s="502"/>
      <c r="K252" s="502"/>
      <c r="L252" s="502"/>
      <c r="M252" s="502"/>
      <c r="N252" s="502"/>
      <c r="O252" s="853"/>
      <c r="P252" s="502"/>
      <c r="Q252" s="863">
        <f>1.08-0.9</f>
        <v>0.18000000000000005</v>
      </c>
      <c r="R252" s="873"/>
      <c r="S252" s="1748"/>
      <c r="T252" s="705"/>
      <c r="U252" s="705"/>
      <c r="V252" s="705"/>
      <c r="W252" s="15"/>
      <c r="X252" s="15"/>
      <c r="Y252" s="17"/>
      <c r="Z252" s="1686"/>
      <c r="AE252" s="2461"/>
      <c r="AF252" s="68"/>
    </row>
    <row r="253" spans="1:32" ht="30.5" x14ac:dyDescent="0.35">
      <c r="A253" s="347">
        <v>96</v>
      </c>
      <c r="B253" s="358" t="s">
        <v>163</v>
      </c>
      <c r="C253" s="358"/>
      <c r="D253" s="2464" t="s">
        <v>6922</v>
      </c>
      <c r="E253" s="288" t="s">
        <v>7548</v>
      </c>
      <c r="F253" s="13">
        <v>4</v>
      </c>
      <c r="G253" s="13">
        <v>5</v>
      </c>
      <c r="H253" s="13">
        <v>6</v>
      </c>
      <c r="I253" s="501">
        <f>L253+K253+J253</f>
        <v>2.72</v>
      </c>
      <c r="J253" s="501">
        <f>SUM(M253:R253)</f>
        <v>2.72</v>
      </c>
      <c r="K253" s="501"/>
      <c r="L253" s="501"/>
      <c r="M253" s="1136"/>
      <c r="N253" s="501"/>
      <c r="O253" s="851"/>
      <c r="P253" s="501"/>
      <c r="Q253" s="860">
        <v>2.72</v>
      </c>
      <c r="R253" s="870"/>
      <c r="S253" s="1748"/>
      <c r="T253" s="705"/>
      <c r="U253" s="705"/>
      <c r="V253" s="705"/>
      <c r="W253" s="15"/>
      <c r="X253" s="18"/>
      <c r="Y253" s="17"/>
      <c r="Z253" s="1686"/>
      <c r="AB253">
        <v>1</v>
      </c>
      <c r="AE253" s="2461"/>
      <c r="AF253" s="68"/>
    </row>
    <row r="254" spans="1:32" ht="30.5" x14ac:dyDescent="0.35">
      <c r="A254" s="1855">
        <v>97</v>
      </c>
      <c r="B254" s="358" t="s">
        <v>163</v>
      </c>
      <c r="C254" s="358"/>
      <c r="D254" s="2464" t="s">
        <v>4389</v>
      </c>
      <c r="E254" s="288" t="s">
        <v>7549</v>
      </c>
      <c r="F254" s="13"/>
      <c r="G254" s="13" t="s">
        <v>191</v>
      </c>
      <c r="H254" s="13" t="s">
        <v>191</v>
      </c>
      <c r="I254" s="501">
        <f>L254+K254+J254</f>
        <v>3.2</v>
      </c>
      <c r="J254" s="501">
        <f>SUM(M254:R254)</f>
        <v>3.2</v>
      </c>
      <c r="K254" s="501"/>
      <c r="L254" s="501"/>
      <c r="M254" s="501"/>
      <c r="N254" s="501">
        <f>SUM(N255:N258)</f>
        <v>0.42599999999999982</v>
      </c>
      <c r="O254" s="851"/>
      <c r="P254" s="501"/>
      <c r="Q254" s="860">
        <f>SUM(Q255:Q258)</f>
        <v>2.2320000000000002</v>
      </c>
      <c r="R254" s="870">
        <f>SUM(R255:R258)</f>
        <v>0.54200000000000026</v>
      </c>
      <c r="S254" s="1748"/>
      <c r="T254" s="705"/>
      <c r="U254" s="705"/>
      <c r="V254" s="705"/>
      <c r="W254" s="17"/>
      <c r="X254" s="17"/>
      <c r="Y254" s="17"/>
      <c r="Z254" s="1686"/>
      <c r="AB254">
        <v>1</v>
      </c>
      <c r="AE254" s="2461"/>
      <c r="AF254" s="68"/>
    </row>
    <row r="255" spans="1:32" ht="15.5" x14ac:dyDescent="0.35">
      <c r="A255" s="349"/>
      <c r="B255" s="358" t="s">
        <v>163</v>
      </c>
      <c r="C255" s="358"/>
      <c r="D255" s="405"/>
      <c r="E255" s="459" t="s">
        <v>772</v>
      </c>
      <c r="F255" s="13">
        <v>5</v>
      </c>
      <c r="G255" s="13">
        <v>4</v>
      </c>
      <c r="H255" s="13">
        <v>6</v>
      </c>
      <c r="I255" s="502"/>
      <c r="J255" s="502"/>
      <c r="K255" s="502"/>
      <c r="L255" s="502"/>
      <c r="M255" s="502"/>
      <c r="N255" s="298">
        <f>0.025-0</f>
        <v>2.5000000000000001E-2</v>
      </c>
      <c r="O255" s="853"/>
      <c r="P255" s="502"/>
      <c r="Q255" s="863"/>
      <c r="R255" s="873"/>
      <c r="S255" s="1748"/>
      <c r="T255" s="705"/>
      <c r="U255" s="705"/>
      <c r="V255" s="705"/>
      <c r="W255" s="17"/>
      <c r="X255" s="17"/>
      <c r="Y255" s="17"/>
      <c r="Z255" s="1686"/>
      <c r="AE255" s="2461"/>
      <c r="AF255" s="68"/>
    </row>
    <row r="256" spans="1:32" ht="15.5" x14ac:dyDescent="0.35">
      <c r="A256" s="349"/>
      <c r="B256" s="358" t="s">
        <v>163</v>
      </c>
      <c r="C256" s="358"/>
      <c r="D256" s="405"/>
      <c r="E256" s="837" t="s">
        <v>773</v>
      </c>
      <c r="F256" s="13">
        <v>5</v>
      </c>
      <c r="G256" s="13">
        <v>4</v>
      </c>
      <c r="H256" s="13">
        <v>6</v>
      </c>
      <c r="I256" s="502"/>
      <c r="J256" s="502"/>
      <c r="K256" s="502"/>
      <c r="L256" s="502"/>
      <c r="M256" s="502"/>
      <c r="N256" s="502"/>
      <c r="O256" s="853"/>
      <c r="P256" s="502"/>
      <c r="Q256" s="933">
        <f>2.257-0.025</f>
        <v>2.2320000000000002</v>
      </c>
      <c r="R256" s="873"/>
      <c r="S256" s="1748"/>
      <c r="T256" s="705"/>
      <c r="U256" s="705"/>
      <c r="V256" s="705"/>
      <c r="W256" s="17"/>
      <c r="X256" s="17"/>
      <c r="Y256" s="17"/>
      <c r="Z256" s="1686"/>
      <c r="AE256" s="2461"/>
      <c r="AF256" s="68"/>
    </row>
    <row r="257" spans="1:32" ht="15.5" x14ac:dyDescent="0.35">
      <c r="A257" s="349"/>
      <c r="B257" s="358" t="s">
        <v>163</v>
      </c>
      <c r="C257" s="358"/>
      <c r="D257" s="405"/>
      <c r="E257" s="289" t="s">
        <v>774</v>
      </c>
      <c r="F257" s="13">
        <v>5</v>
      </c>
      <c r="G257" s="13">
        <v>4</v>
      </c>
      <c r="H257" s="13">
        <v>6</v>
      </c>
      <c r="I257" s="502"/>
      <c r="J257" s="502"/>
      <c r="K257" s="502"/>
      <c r="L257" s="502"/>
      <c r="M257" s="502"/>
      <c r="N257" s="298">
        <f>2.658-2.257</f>
        <v>0.4009999999999998</v>
      </c>
      <c r="O257" s="853"/>
      <c r="P257" s="502"/>
      <c r="Q257" s="863"/>
      <c r="R257" s="873"/>
      <c r="S257" s="1748"/>
      <c r="T257" s="705"/>
      <c r="U257" s="705"/>
      <c r="V257" s="705"/>
      <c r="W257" s="17"/>
      <c r="X257" s="17"/>
      <c r="Y257" s="17"/>
      <c r="Z257" s="1686"/>
      <c r="AE257" s="2461"/>
      <c r="AF257" s="68"/>
    </row>
    <row r="258" spans="1:32" ht="15.5" x14ac:dyDescent="0.35">
      <c r="A258" s="349"/>
      <c r="B258" s="358" t="s">
        <v>163</v>
      </c>
      <c r="C258" s="358"/>
      <c r="D258" s="405"/>
      <c r="E258" s="838" t="s">
        <v>1824</v>
      </c>
      <c r="F258" s="13">
        <v>5</v>
      </c>
      <c r="G258" s="13">
        <v>4</v>
      </c>
      <c r="H258" s="13">
        <v>6</v>
      </c>
      <c r="I258" s="502"/>
      <c r="J258" s="502"/>
      <c r="K258" s="502"/>
      <c r="L258" s="502"/>
      <c r="M258" s="502"/>
      <c r="N258" s="502"/>
      <c r="O258" s="853"/>
      <c r="P258" s="502"/>
      <c r="Q258" s="863"/>
      <c r="R258" s="927">
        <f>3.2-2.658</f>
        <v>0.54200000000000026</v>
      </c>
      <c r="S258" s="1748"/>
      <c r="T258" s="705"/>
      <c r="U258" s="705"/>
      <c r="V258" s="705"/>
      <c r="W258" s="17"/>
      <c r="X258" s="17"/>
      <c r="Y258" s="17"/>
      <c r="Z258" s="1686"/>
      <c r="AE258" s="2461"/>
      <c r="AF258" s="68"/>
    </row>
    <row r="259" spans="1:32" ht="45" x14ac:dyDescent="0.35">
      <c r="A259" s="1855">
        <v>98</v>
      </c>
      <c r="B259" s="358" t="s">
        <v>163</v>
      </c>
      <c r="C259" s="1005" t="s">
        <v>1656</v>
      </c>
      <c r="D259" s="2464" t="s">
        <v>4390</v>
      </c>
      <c r="E259" s="2070" t="s">
        <v>8288</v>
      </c>
      <c r="F259" s="1138" t="s">
        <v>664</v>
      </c>
      <c r="G259" s="13">
        <v>5</v>
      </c>
      <c r="H259" s="13">
        <v>6</v>
      </c>
      <c r="I259" s="297">
        <f>J259+K259+L259</f>
        <v>0.11</v>
      </c>
      <c r="J259" s="501">
        <f t="shared" ref="J259:J266" si="15">SUM(M259:R259)</f>
        <v>0.11</v>
      </c>
      <c r="K259" s="501"/>
      <c r="L259" s="501"/>
      <c r="M259" s="501"/>
      <c r="N259" s="501">
        <v>0.11</v>
      </c>
      <c r="O259" s="851"/>
      <c r="P259" s="501"/>
      <c r="Q259" s="860"/>
      <c r="R259" s="870"/>
      <c r="S259" s="724"/>
      <c r="T259" s="335"/>
      <c r="U259" s="705"/>
      <c r="V259" s="705"/>
      <c r="W259" s="15"/>
      <c r="X259" s="15"/>
      <c r="Y259" s="17"/>
      <c r="Z259" s="1686"/>
      <c r="AB259">
        <v>1</v>
      </c>
      <c r="AE259" s="2461"/>
      <c r="AF259" s="68"/>
    </row>
    <row r="260" spans="1:32" ht="30.5" x14ac:dyDescent="0.35">
      <c r="A260" s="347">
        <v>99</v>
      </c>
      <c r="B260" s="358" t="s">
        <v>163</v>
      </c>
      <c r="C260" s="1005" t="s">
        <v>1656</v>
      </c>
      <c r="D260" s="2464" t="s">
        <v>4391</v>
      </c>
      <c r="E260" s="511" t="s">
        <v>8289</v>
      </c>
      <c r="F260" s="1138" t="s">
        <v>664</v>
      </c>
      <c r="G260" s="13">
        <v>5</v>
      </c>
      <c r="H260" s="13">
        <v>6</v>
      </c>
      <c r="I260" s="297">
        <f>J260+K260+L260</f>
        <v>0.3</v>
      </c>
      <c r="J260" s="501">
        <f t="shared" si="15"/>
        <v>0.3</v>
      </c>
      <c r="K260" s="504"/>
      <c r="L260" s="504"/>
      <c r="M260" s="504"/>
      <c r="N260" s="504"/>
      <c r="O260" s="855"/>
      <c r="P260" s="504"/>
      <c r="Q260" s="863"/>
      <c r="R260" s="875">
        <v>0.3</v>
      </c>
      <c r="S260" s="1748"/>
      <c r="T260" s="705"/>
      <c r="U260" s="705"/>
      <c r="V260" s="705"/>
      <c r="W260" s="15"/>
      <c r="X260" s="15"/>
      <c r="Y260" s="17"/>
      <c r="Z260" s="1686"/>
      <c r="AB260">
        <v>1</v>
      </c>
      <c r="AE260" s="2461"/>
      <c r="AF260" s="68"/>
    </row>
    <row r="261" spans="1:32" ht="30.5" x14ac:dyDescent="0.35">
      <c r="A261" s="1855">
        <v>100</v>
      </c>
      <c r="B261" s="365" t="s">
        <v>163</v>
      </c>
      <c r="C261" s="1005" t="s">
        <v>1656</v>
      </c>
      <c r="D261" s="2464" t="s">
        <v>4392</v>
      </c>
      <c r="E261" s="269" t="s">
        <v>8290</v>
      </c>
      <c r="F261" s="92" t="s">
        <v>664</v>
      </c>
      <c r="G261" s="13">
        <v>5</v>
      </c>
      <c r="H261" s="13">
        <v>6</v>
      </c>
      <c r="I261" s="297">
        <f>J261+K261+L261</f>
        <v>0.3</v>
      </c>
      <c r="J261" s="501">
        <f t="shared" si="15"/>
        <v>0.3</v>
      </c>
      <c r="K261" s="557"/>
      <c r="L261" s="557"/>
      <c r="M261" s="557"/>
      <c r="N261" s="557"/>
      <c r="O261" s="856"/>
      <c r="P261" s="557"/>
      <c r="Q261" s="866"/>
      <c r="R261" s="876">
        <v>0.3</v>
      </c>
      <c r="S261" s="1571"/>
      <c r="T261" s="1571"/>
      <c r="U261" s="1571"/>
      <c r="V261" s="1571"/>
      <c r="W261" s="106"/>
      <c r="X261" s="106"/>
      <c r="Y261" s="46"/>
      <c r="Z261" s="47"/>
      <c r="AB261">
        <v>1</v>
      </c>
      <c r="AE261" s="2461"/>
      <c r="AF261" s="68"/>
    </row>
    <row r="262" spans="1:32" ht="30.5" x14ac:dyDescent="0.35">
      <c r="A262" s="347">
        <v>101</v>
      </c>
      <c r="B262" s="358" t="s">
        <v>163</v>
      </c>
      <c r="C262" s="358"/>
      <c r="D262" s="2464" t="s">
        <v>4393</v>
      </c>
      <c r="E262" s="288" t="s">
        <v>7550</v>
      </c>
      <c r="F262" s="13">
        <v>4</v>
      </c>
      <c r="G262" s="13">
        <v>5</v>
      </c>
      <c r="H262" s="13">
        <v>6</v>
      </c>
      <c r="I262" s="501">
        <f>L262+K262+J262</f>
        <v>1.42</v>
      </c>
      <c r="J262" s="501">
        <f t="shared" si="15"/>
        <v>1.42</v>
      </c>
      <c r="K262" s="501"/>
      <c r="L262" s="501"/>
      <c r="M262" s="501"/>
      <c r="N262" s="501"/>
      <c r="O262" s="851"/>
      <c r="P262" s="501"/>
      <c r="Q262" s="860">
        <v>1.42</v>
      </c>
      <c r="R262" s="870"/>
      <c r="S262" s="1748"/>
      <c r="T262" s="705"/>
      <c r="U262" s="705"/>
      <c r="V262" s="705"/>
      <c r="W262" s="15">
        <v>1</v>
      </c>
      <c r="X262" s="18">
        <v>10</v>
      </c>
      <c r="Y262" s="17"/>
      <c r="Z262" s="1686"/>
      <c r="AB262">
        <v>1</v>
      </c>
      <c r="AE262" s="2461"/>
      <c r="AF262" s="68"/>
    </row>
    <row r="263" spans="1:32" ht="30.5" x14ac:dyDescent="0.35">
      <c r="A263" s="1855">
        <v>102</v>
      </c>
      <c r="B263" s="358" t="s">
        <v>163</v>
      </c>
      <c r="C263" s="358"/>
      <c r="D263" s="2464" t="s">
        <v>4394</v>
      </c>
      <c r="E263" s="288" t="s">
        <v>7551</v>
      </c>
      <c r="F263" s="13">
        <v>5</v>
      </c>
      <c r="G263" s="13">
        <v>5</v>
      </c>
      <c r="H263" s="13">
        <v>6</v>
      </c>
      <c r="I263" s="501">
        <f>L263+K263+J263</f>
        <v>2.2999999999999998</v>
      </c>
      <c r="J263" s="501">
        <f t="shared" si="15"/>
        <v>2.2999999999999998</v>
      </c>
      <c r="K263" s="503"/>
      <c r="L263" s="503"/>
      <c r="M263" s="501"/>
      <c r="N263" s="501"/>
      <c r="O263" s="854"/>
      <c r="P263" s="503"/>
      <c r="Q263" s="864"/>
      <c r="R263" s="874">
        <v>2.2999999999999998</v>
      </c>
      <c r="S263" s="1748"/>
      <c r="T263" s="705"/>
      <c r="U263" s="705"/>
      <c r="V263" s="705"/>
      <c r="W263" s="15"/>
      <c r="X263" s="15"/>
      <c r="Y263" s="17"/>
      <c r="Z263" s="1686"/>
      <c r="AB263">
        <v>1</v>
      </c>
      <c r="AE263" s="2461"/>
      <c r="AF263" s="68"/>
    </row>
    <row r="264" spans="1:32" ht="45.5" x14ac:dyDescent="0.35">
      <c r="A264" s="347">
        <v>103</v>
      </c>
      <c r="B264" s="365" t="s">
        <v>163</v>
      </c>
      <c r="C264" s="365" t="s">
        <v>1656</v>
      </c>
      <c r="D264" s="2464" t="s">
        <v>4395</v>
      </c>
      <c r="E264" s="269" t="s">
        <v>8291</v>
      </c>
      <c r="F264" s="92" t="s">
        <v>664</v>
      </c>
      <c r="G264" s="92">
        <v>5</v>
      </c>
      <c r="H264" s="13">
        <v>6</v>
      </c>
      <c r="I264" s="501">
        <f>L264+K264+J264</f>
        <v>0.45</v>
      </c>
      <c r="J264" s="501">
        <f t="shared" si="15"/>
        <v>0.45</v>
      </c>
      <c r="K264" s="557"/>
      <c r="L264" s="557"/>
      <c r="M264" s="557"/>
      <c r="N264" s="557"/>
      <c r="O264" s="856"/>
      <c r="P264" s="557"/>
      <c r="Q264" s="866"/>
      <c r="R264" s="876">
        <v>0.45</v>
      </c>
      <c r="S264" s="1571"/>
      <c r="T264" s="1571"/>
      <c r="U264" s="1571"/>
      <c r="V264" s="1571"/>
      <c r="W264" s="106"/>
      <c r="X264" s="106"/>
      <c r="Y264" s="46"/>
      <c r="Z264" s="47"/>
      <c r="AB264">
        <v>1</v>
      </c>
      <c r="AE264" s="2461"/>
      <c r="AF264" s="68"/>
    </row>
    <row r="265" spans="1:32" ht="30.5" x14ac:dyDescent="0.35">
      <c r="A265" s="1855">
        <v>104</v>
      </c>
      <c r="B265" s="358" t="s">
        <v>163</v>
      </c>
      <c r="C265" s="358"/>
      <c r="D265" s="2464" t="s">
        <v>4396</v>
      </c>
      <c r="E265" s="288" t="s">
        <v>7552</v>
      </c>
      <c r="F265" s="13">
        <v>5</v>
      </c>
      <c r="G265" s="13">
        <v>5</v>
      </c>
      <c r="H265" s="13">
        <v>6</v>
      </c>
      <c r="I265" s="501">
        <f>L265+K265+J265</f>
        <v>2.1800000000000002</v>
      </c>
      <c r="J265" s="501">
        <f t="shared" si="15"/>
        <v>2.1800000000000002</v>
      </c>
      <c r="K265" s="503"/>
      <c r="L265" s="503"/>
      <c r="M265" s="501"/>
      <c r="N265" s="501"/>
      <c r="O265" s="854"/>
      <c r="P265" s="503"/>
      <c r="Q265" s="864"/>
      <c r="R265" s="874">
        <v>2.1800000000000002</v>
      </c>
      <c r="S265" s="1748"/>
      <c r="T265" s="705"/>
      <c r="U265" s="705"/>
      <c r="V265" s="705"/>
      <c r="W265" s="15"/>
      <c r="X265" s="15"/>
      <c r="Y265" s="17"/>
      <c r="Z265" s="1686"/>
      <c r="AB265">
        <v>1</v>
      </c>
      <c r="AE265" s="2461"/>
      <c r="AF265" s="68"/>
    </row>
    <row r="266" spans="1:32" ht="45.5" x14ac:dyDescent="0.35">
      <c r="A266" s="347">
        <v>105</v>
      </c>
      <c r="B266" s="358" t="s">
        <v>163</v>
      </c>
      <c r="C266" s="358"/>
      <c r="D266" s="2464" t="s">
        <v>4397</v>
      </c>
      <c r="E266" s="288" t="s">
        <v>7553</v>
      </c>
      <c r="F266" s="13">
        <v>5</v>
      </c>
      <c r="G266" s="13">
        <v>5</v>
      </c>
      <c r="H266" s="13">
        <v>6</v>
      </c>
      <c r="I266" s="501">
        <f>L266+K266+J266</f>
        <v>1.56</v>
      </c>
      <c r="J266" s="501">
        <f t="shared" si="15"/>
        <v>1.56</v>
      </c>
      <c r="K266" s="501"/>
      <c r="L266" s="501"/>
      <c r="M266" s="501"/>
      <c r="N266" s="501"/>
      <c r="O266" s="851"/>
      <c r="P266" s="501"/>
      <c r="Q266" s="860">
        <v>1.56</v>
      </c>
      <c r="R266" s="870"/>
      <c r="S266" s="1748"/>
      <c r="T266" s="705"/>
      <c r="U266" s="705"/>
      <c r="V266" s="705"/>
      <c r="W266" s="15">
        <v>2</v>
      </c>
      <c r="X266" s="18">
        <v>15.1</v>
      </c>
      <c r="Y266" s="17"/>
      <c r="Z266" s="1686"/>
      <c r="AB266">
        <v>1</v>
      </c>
      <c r="AE266" s="2461"/>
      <c r="AF266" s="68"/>
    </row>
    <row r="267" spans="1:32" ht="60.5" x14ac:dyDescent="0.35">
      <c r="A267" s="370"/>
      <c r="B267" s="365" t="s">
        <v>164</v>
      </c>
      <c r="C267" s="365"/>
      <c r="D267" s="358"/>
      <c r="E267" s="1596" t="s">
        <v>1115</v>
      </c>
      <c r="F267" s="92"/>
      <c r="G267" s="92"/>
      <c r="H267" s="92"/>
      <c r="I267" s="501"/>
      <c r="J267" s="501"/>
      <c r="K267" s="557"/>
      <c r="L267" s="557"/>
      <c r="M267" s="557"/>
      <c r="N267" s="557"/>
      <c r="O267" s="856"/>
      <c r="P267" s="557"/>
      <c r="Q267" s="866"/>
      <c r="R267" s="876"/>
      <c r="S267" s="1571"/>
      <c r="T267" s="1571"/>
      <c r="U267" s="1571"/>
      <c r="V267" s="1571"/>
      <c r="W267" s="106"/>
      <c r="X267" s="106"/>
      <c r="Y267" s="46"/>
      <c r="Z267" s="47"/>
      <c r="AE267" s="2461"/>
      <c r="AF267" s="68"/>
    </row>
    <row r="268" spans="1:32" ht="60.5" x14ac:dyDescent="0.35">
      <c r="A268" s="347">
        <v>106</v>
      </c>
      <c r="B268" s="358" t="s">
        <v>164</v>
      </c>
      <c r="C268" s="358"/>
      <c r="D268" s="2464" t="s">
        <v>4398</v>
      </c>
      <c r="E268" s="288" t="s">
        <v>7554</v>
      </c>
      <c r="F268" s="13">
        <v>4</v>
      </c>
      <c r="G268" s="13">
        <v>4</v>
      </c>
      <c r="H268" s="13">
        <v>6</v>
      </c>
      <c r="I268" s="501">
        <f>L268+K268+J268</f>
        <v>3.04</v>
      </c>
      <c r="J268" s="501">
        <f>SUM(M268:R268)</f>
        <v>3.04</v>
      </c>
      <c r="K268" s="501"/>
      <c r="L268" s="501"/>
      <c r="M268" s="501"/>
      <c r="N268" s="501">
        <v>3.04</v>
      </c>
      <c r="O268" s="851"/>
      <c r="P268" s="501"/>
      <c r="Q268" s="860"/>
      <c r="R268" s="870"/>
      <c r="S268" s="724">
        <v>1</v>
      </c>
      <c r="T268" s="335">
        <v>18.8</v>
      </c>
      <c r="U268" s="705"/>
      <c r="V268" s="705"/>
      <c r="W268" s="15">
        <v>4</v>
      </c>
      <c r="X268" s="18">
        <v>54.5</v>
      </c>
      <c r="Y268" s="17"/>
      <c r="Z268" s="1686"/>
      <c r="AB268">
        <v>1</v>
      </c>
      <c r="AE268" s="2461"/>
      <c r="AF268" s="68"/>
    </row>
    <row r="269" spans="1:32" ht="60.5" x14ac:dyDescent="0.35">
      <c r="A269" s="347">
        <v>107</v>
      </c>
      <c r="B269" s="358" t="s">
        <v>164</v>
      </c>
      <c r="C269" s="358"/>
      <c r="D269" s="2464" t="s">
        <v>4399</v>
      </c>
      <c r="E269" s="288" t="s">
        <v>7555</v>
      </c>
      <c r="F269" s="13"/>
      <c r="G269" s="13" t="s">
        <v>191</v>
      </c>
      <c r="H269" s="13" t="s">
        <v>191</v>
      </c>
      <c r="I269" s="501">
        <f>L269+K269+J269</f>
        <v>3.4899999999999998</v>
      </c>
      <c r="J269" s="501">
        <f>SUM(M269:R269)</f>
        <v>3.4899999999999998</v>
      </c>
      <c r="K269" s="501"/>
      <c r="L269" s="501"/>
      <c r="M269" s="501"/>
      <c r="N269" s="501">
        <f>SUM(N270:N272)</f>
        <v>2.7559999999999998</v>
      </c>
      <c r="O269" s="851"/>
      <c r="P269" s="501"/>
      <c r="Q269" s="860">
        <f>SUM(Q270:Q272)</f>
        <v>0.73399999999999999</v>
      </c>
      <c r="R269" s="870"/>
      <c r="S269" s="1748"/>
      <c r="T269" s="705"/>
      <c r="U269" s="705"/>
      <c r="V269" s="705"/>
      <c r="W269" s="55">
        <v>13</v>
      </c>
      <c r="X269" s="55">
        <v>148.80000000000001</v>
      </c>
      <c r="Y269" s="17">
        <v>2</v>
      </c>
      <c r="Z269" s="1686">
        <v>15.1</v>
      </c>
      <c r="AB269">
        <v>1</v>
      </c>
      <c r="AE269" s="2461"/>
      <c r="AF269" s="68"/>
    </row>
    <row r="270" spans="1:32" ht="15.5" x14ac:dyDescent="0.35">
      <c r="A270" s="349"/>
      <c r="B270" s="358" t="s">
        <v>164</v>
      </c>
      <c r="C270" s="358"/>
      <c r="D270" s="405"/>
      <c r="E270" s="289" t="s">
        <v>2271</v>
      </c>
      <c r="F270" s="13">
        <v>4</v>
      </c>
      <c r="G270" s="13">
        <v>4</v>
      </c>
      <c r="H270" s="13">
        <v>6</v>
      </c>
      <c r="I270" s="502"/>
      <c r="J270" s="502"/>
      <c r="K270" s="502"/>
      <c r="L270" s="502"/>
      <c r="M270" s="502"/>
      <c r="N270" s="502">
        <v>2.6379999999999999</v>
      </c>
      <c r="O270" s="853"/>
      <c r="P270" s="502"/>
      <c r="Q270" s="863"/>
      <c r="R270" s="873"/>
      <c r="S270" s="1748"/>
      <c r="T270" s="705"/>
      <c r="U270" s="705"/>
      <c r="V270" s="705"/>
      <c r="W270" s="15"/>
      <c r="X270" s="15"/>
      <c r="Y270" s="17"/>
      <c r="Z270" s="1686"/>
      <c r="AE270" s="2461"/>
      <c r="AF270" s="68"/>
    </row>
    <row r="271" spans="1:32" ht="15.5" x14ac:dyDescent="0.35">
      <c r="A271" s="349"/>
      <c r="B271" s="358" t="s">
        <v>164</v>
      </c>
      <c r="C271" s="358"/>
      <c r="D271" s="405"/>
      <c r="E271" s="837" t="s">
        <v>2272</v>
      </c>
      <c r="F271" s="13">
        <v>4</v>
      </c>
      <c r="G271" s="13">
        <v>4</v>
      </c>
      <c r="H271" s="13">
        <v>6</v>
      </c>
      <c r="I271" s="502"/>
      <c r="J271" s="502"/>
      <c r="K271" s="502"/>
      <c r="L271" s="502"/>
      <c r="M271" s="502"/>
      <c r="N271" s="502"/>
      <c r="O271" s="853"/>
      <c r="P271" s="502"/>
      <c r="Q271" s="863">
        <v>0.73399999999999999</v>
      </c>
      <c r="R271" s="873"/>
      <c r="S271" s="1748"/>
      <c r="T271" s="705"/>
      <c r="U271" s="705"/>
      <c r="V271" s="705"/>
      <c r="W271" s="15"/>
      <c r="X271" s="15"/>
      <c r="Y271" s="17"/>
      <c r="Z271" s="1686"/>
      <c r="AE271" s="2461"/>
      <c r="AF271" s="68"/>
    </row>
    <row r="272" spans="1:32" ht="15.5" x14ac:dyDescent="0.35">
      <c r="A272" s="349"/>
      <c r="B272" s="358" t="s">
        <v>164</v>
      </c>
      <c r="C272" s="358"/>
      <c r="D272" s="405"/>
      <c r="E272" s="459" t="s">
        <v>2273</v>
      </c>
      <c r="F272" s="13">
        <v>4</v>
      </c>
      <c r="G272" s="13">
        <v>4</v>
      </c>
      <c r="H272" s="13">
        <v>6</v>
      </c>
      <c r="I272" s="502"/>
      <c r="J272" s="502"/>
      <c r="K272" s="502"/>
      <c r="L272" s="502"/>
      <c r="M272" s="502"/>
      <c r="N272" s="502">
        <v>0.11799999999999999</v>
      </c>
      <c r="O272" s="853"/>
      <c r="P272" s="502"/>
      <c r="Q272" s="863"/>
      <c r="R272" s="873"/>
      <c r="S272" s="1748"/>
      <c r="T272" s="705"/>
      <c r="U272" s="705"/>
      <c r="V272" s="705"/>
      <c r="W272" s="15"/>
      <c r="X272" s="15"/>
      <c r="Y272" s="17"/>
      <c r="Z272" s="1686"/>
      <c r="AE272" s="2461"/>
      <c r="AF272" s="68"/>
    </row>
    <row r="273" spans="1:32" ht="75.5" x14ac:dyDescent="0.35">
      <c r="A273" s="347">
        <v>108</v>
      </c>
      <c r="B273" s="358" t="s">
        <v>164</v>
      </c>
      <c r="C273" s="358"/>
      <c r="D273" s="2464" t="s">
        <v>4400</v>
      </c>
      <c r="E273" s="288" t="s">
        <v>9718</v>
      </c>
      <c r="F273" s="13">
        <v>4</v>
      </c>
      <c r="G273" s="13">
        <v>4</v>
      </c>
      <c r="H273" s="13">
        <v>6</v>
      </c>
      <c r="I273" s="501">
        <f>L273+K273+J273</f>
        <v>2.3199999999999998</v>
      </c>
      <c r="J273" s="501">
        <f>SUM(M273:R273)</f>
        <v>2.3199999999999998</v>
      </c>
      <c r="K273" s="501"/>
      <c r="L273" s="501"/>
      <c r="M273" s="501"/>
      <c r="N273" s="501"/>
      <c r="O273" s="851"/>
      <c r="P273" s="501"/>
      <c r="Q273" s="860">
        <v>2.3199999999999998</v>
      </c>
      <c r="R273" s="870"/>
      <c r="S273" s="1748"/>
      <c r="T273" s="705"/>
      <c r="U273" s="705"/>
      <c r="V273" s="705"/>
      <c r="W273" s="17">
        <v>3</v>
      </c>
      <c r="X273" s="17">
        <v>44.1</v>
      </c>
      <c r="Y273" s="17"/>
      <c r="Z273" s="1686"/>
      <c r="AB273">
        <v>1</v>
      </c>
      <c r="AE273" s="2461"/>
      <c r="AF273" s="68"/>
    </row>
    <row r="274" spans="1:32" ht="60.5" x14ac:dyDescent="0.35">
      <c r="A274" s="370">
        <v>109</v>
      </c>
      <c r="B274" s="358" t="s">
        <v>164</v>
      </c>
      <c r="C274" s="358"/>
      <c r="D274" s="2464" t="s">
        <v>4401</v>
      </c>
      <c r="E274" s="288" t="s">
        <v>7556</v>
      </c>
      <c r="F274" s="13" t="s">
        <v>664</v>
      </c>
      <c r="G274" s="13">
        <v>5</v>
      </c>
      <c r="H274" s="13">
        <v>6</v>
      </c>
      <c r="I274" s="501">
        <f>L274+K274+J274</f>
        <v>0.63</v>
      </c>
      <c r="J274" s="501">
        <f>SUM(M274:R274)</f>
        <v>0.63</v>
      </c>
      <c r="K274" s="503"/>
      <c r="L274" s="503"/>
      <c r="M274" s="501"/>
      <c r="N274" s="501"/>
      <c r="O274" s="854"/>
      <c r="P274" s="503"/>
      <c r="Q274" s="864"/>
      <c r="R274" s="874">
        <v>0.63</v>
      </c>
      <c r="S274" s="1748"/>
      <c r="T274" s="705"/>
      <c r="U274" s="705"/>
      <c r="V274" s="705"/>
      <c r="W274" s="15"/>
      <c r="X274" s="15"/>
      <c r="Y274" s="17"/>
      <c r="Z274" s="1686"/>
      <c r="AB274">
        <v>1</v>
      </c>
      <c r="AE274" s="2461"/>
      <c r="AF274" s="68"/>
    </row>
    <row r="275" spans="1:32" ht="60.5" x14ac:dyDescent="0.35">
      <c r="A275" s="347">
        <v>110</v>
      </c>
      <c r="B275" s="358" t="s">
        <v>164</v>
      </c>
      <c r="C275" s="358"/>
      <c r="D275" s="2464" t="s">
        <v>4402</v>
      </c>
      <c r="E275" s="288" t="s">
        <v>7557</v>
      </c>
      <c r="F275" s="13">
        <v>5</v>
      </c>
      <c r="G275" s="13">
        <v>5</v>
      </c>
      <c r="H275" s="13">
        <v>6</v>
      </c>
      <c r="I275" s="501">
        <f>L275+K275+J275</f>
        <v>0.61</v>
      </c>
      <c r="J275" s="501">
        <f>SUM(M275:R275)</f>
        <v>0.61</v>
      </c>
      <c r="K275" s="503"/>
      <c r="L275" s="503"/>
      <c r="M275" s="501"/>
      <c r="N275" s="501"/>
      <c r="O275" s="854"/>
      <c r="P275" s="503"/>
      <c r="Q275" s="864"/>
      <c r="R275" s="874">
        <v>0.61</v>
      </c>
      <c r="S275" s="1748"/>
      <c r="T275" s="705"/>
      <c r="U275" s="705"/>
      <c r="V275" s="705"/>
      <c r="W275" s="15">
        <v>1</v>
      </c>
      <c r="X275" s="15">
        <v>16.399999999999999</v>
      </c>
      <c r="Y275" s="17"/>
      <c r="Z275" s="1686"/>
      <c r="AB275">
        <v>1</v>
      </c>
      <c r="AE275" s="2461"/>
      <c r="AF275" s="68"/>
    </row>
    <row r="276" spans="1:32" ht="45.5" x14ac:dyDescent="0.35">
      <c r="A276" s="370"/>
      <c r="B276" s="365" t="s">
        <v>165</v>
      </c>
      <c r="C276" s="365"/>
      <c r="D276" s="358"/>
      <c r="E276" s="1596" t="s">
        <v>10740</v>
      </c>
      <c r="F276" s="92"/>
      <c r="G276" s="92"/>
      <c r="H276" s="92"/>
      <c r="I276" s="501"/>
      <c r="J276" s="501"/>
      <c r="K276" s="557"/>
      <c r="L276" s="557"/>
      <c r="M276" s="557"/>
      <c r="N276" s="557"/>
      <c r="O276" s="856"/>
      <c r="P276" s="557"/>
      <c r="Q276" s="866"/>
      <c r="R276" s="876"/>
      <c r="S276" s="1571"/>
      <c r="T276" s="1571"/>
      <c r="U276" s="1571"/>
      <c r="V276" s="1571"/>
      <c r="W276" s="106"/>
      <c r="X276" s="106"/>
      <c r="Y276" s="46"/>
      <c r="Z276" s="47"/>
      <c r="AE276" s="2461"/>
      <c r="AF276" s="68"/>
    </row>
    <row r="277" spans="1:32" ht="45.5" x14ac:dyDescent="0.35">
      <c r="A277" s="349">
        <v>111</v>
      </c>
      <c r="B277" s="405" t="s">
        <v>165</v>
      </c>
      <c r="C277" s="405"/>
      <c r="D277" s="2464" t="s">
        <v>4403</v>
      </c>
      <c r="E277" s="511" t="s">
        <v>10958</v>
      </c>
      <c r="F277" s="13"/>
      <c r="G277" s="13" t="s">
        <v>191</v>
      </c>
      <c r="H277" s="13" t="s">
        <v>191</v>
      </c>
      <c r="I277" s="501">
        <f>L277+K277+J277</f>
        <v>0.70000000000000007</v>
      </c>
      <c r="J277" s="501">
        <f>SUM(M277:R277)</f>
        <v>0.70000000000000007</v>
      </c>
      <c r="K277" s="503"/>
      <c r="L277" s="503"/>
      <c r="M277" s="503"/>
      <c r="N277" s="503">
        <f>SUM(N278:N279)</f>
        <v>0.04</v>
      </c>
      <c r="O277" s="854"/>
      <c r="P277" s="503"/>
      <c r="Q277" s="864">
        <f>SUM(Q278:Q279)</f>
        <v>0.66</v>
      </c>
      <c r="R277" s="874"/>
      <c r="S277" s="1748"/>
      <c r="T277" s="705"/>
      <c r="U277" s="705"/>
      <c r="V277" s="705"/>
      <c r="W277" s="15"/>
      <c r="X277" s="15"/>
      <c r="Y277" s="17"/>
      <c r="Z277" s="1686"/>
      <c r="AB277">
        <v>1</v>
      </c>
      <c r="AE277" s="2461"/>
      <c r="AF277" s="68"/>
    </row>
    <row r="278" spans="1:32" ht="15.5" x14ac:dyDescent="0.35">
      <c r="A278" s="349"/>
      <c r="B278" s="405" t="s">
        <v>165</v>
      </c>
      <c r="C278" s="405"/>
      <c r="D278" s="405"/>
      <c r="E278" s="289" t="s">
        <v>753</v>
      </c>
      <c r="F278" s="13">
        <v>5</v>
      </c>
      <c r="G278" s="13">
        <v>5</v>
      </c>
      <c r="H278" s="13">
        <v>6</v>
      </c>
      <c r="I278" s="502"/>
      <c r="J278" s="502"/>
      <c r="K278" s="504"/>
      <c r="L278" s="504"/>
      <c r="M278" s="504"/>
      <c r="N278" s="504">
        <v>0.04</v>
      </c>
      <c r="O278" s="855"/>
      <c r="P278" s="504"/>
      <c r="Q278" s="863"/>
      <c r="R278" s="875"/>
      <c r="S278" s="1748"/>
      <c r="T278" s="705"/>
      <c r="U278" s="705"/>
      <c r="V278" s="705"/>
      <c r="W278" s="15"/>
      <c r="X278" s="15"/>
      <c r="Y278" s="17"/>
      <c r="Z278" s="1686"/>
      <c r="AE278" s="2461"/>
      <c r="AF278" s="68"/>
    </row>
    <row r="279" spans="1:32" ht="15.5" x14ac:dyDescent="0.35">
      <c r="A279" s="349"/>
      <c r="B279" s="405" t="s">
        <v>165</v>
      </c>
      <c r="C279" s="405"/>
      <c r="D279" s="405"/>
      <c r="E279" s="837" t="s">
        <v>754</v>
      </c>
      <c r="F279" s="13">
        <v>5</v>
      </c>
      <c r="G279" s="13">
        <v>5</v>
      </c>
      <c r="H279" s="13">
        <v>6</v>
      </c>
      <c r="I279" s="502"/>
      <c r="J279" s="502"/>
      <c r="K279" s="504"/>
      <c r="L279" s="504"/>
      <c r="M279" s="504"/>
      <c r="N279" s="504"/>
      <c r="O279" s="855"/>
      <c r="P279" s="504"/>
      <c r="Q279" s="863">
        <v>0.66</v>
      </c>
      <c r="R279" s="875"/>
      <c r="S279" s="1748"/>
      <c r="T279" s="705"/>
      <c r="U279" s="705"/>
      <c r="V279" s="705"/>
      <c r="W279" s="15"/>
      <c r="X279" s="15"/>
      <c r="Y279" s="17"/>
      <c r="Z279" s="1686"/>
      <c r="AE279" s="2461"/>
      <c r="AF279" s="68"/>
    </row>
    <row r="280" spans="1:32" ht="60.5" x14ac:dyDescent="0.35">
      <c r="A280" s="349">
        <v>112</v>
      </c>
      <c r="B280" s="405" t="s">
        <v>165</v>
      </c>
      <c r="C280" s="405"/>
      <c r="D280" s="2464" t="s">
        <v>4404</v>
      </c>
      <c r="E280" s="511" t="s">
        <v>10959</v>
      </c>
      <c r="F280" s="13"/>
      <c r="G280" s="13" t="s">
        <v>191</v>
      </c>
      <c r="H280" s="13" t="s">
        <v>191</v>
      </c>
      <c r="I280" s="501">
        <f>L280+K280+J280</f>
        <v>1.232</v>
      </c>
      <c r="J280" s="501">
        <f>SUM(M280:R280)</f>
        <v>1.232</v>
      </c>
      <c r="K280" s="501"/>
      <c r="L280" s="501"/>
      <c r="M280" s="501"/>
      <c r="N280" s="501">
        <f>SUM(N281:N282)</f>
        <v>0.65</v>
      </c>
      <c r="O280" s="851"/>
      <c r="P280" s="501"/>
      <c r="Q280" s="860"/>
      <c r="R280" s="870">
        <f>SUM(R281:R282)</f>
        <v>0.58199999999999996</v>
      </c>
      <c r="S280" s="1748"/>
      <c r="T280" s="705"/>
      <c r="U280" s="705"/>
      <c r="V280" s="705"/>
      <c r="W280" s="15">
        <v>1</v>
      </c>
      <c r="X280" s="18">
        <v>15</v>
      </c>
      <c r="Y280" s="17"/>
      <c r="Z280" s="1686"/>
      <c r="AB280">
        <v>1</v>
      </c>
      <c r="AE280" s="2461"/>
      <c r="AF280" s="68"/>
    </row>
    <row r="281" spans="1:32" ht="15.5" x14ac:dyDescent="0.35">
      <c r="A281" s="349"/>
      <c r="B281" s="405" t="s">
        <v>165</v>
      </c>
      <c r="C281" s="405"/>
      <c r="D281" s="358"/>
      <c r="E281" s="289" t="s">
        <v>1743</v>
      </c>
      <c r="F281" s="13">
        <v>4</v>
      </c>
      <c r="G281" s="13">
        <v>5</v>
      </c>
      <c r="H281" s="13">
        <v>6</v>
      </c>
      <c r="I281" s="502"/>
      <c r="J281" s="502"/>
      <c r="K281" s="502"/>
      <c r="L281" s="502"/>
      <c r="M281" s="502"/>
      <c r="N281" s="502">
        <v>0.65</v>
      </c>
      <c r="O281" s="853"/>
      <c r="P281" s="502"/>
      <c r="Q281" s="863"/>
      <c r="R281" s="873"/>
      <c r="S281" s="1748"/>
      <c r="T281" s="705"/>
      <c r="U281" s="705"/>
      <c r="V281" s="705"/>
      <c r="W281" s="15"/>
      <c r="X281" s="15"/>
      <c r="Y281" s="17"/>
      <c r="Z281" s="1686"/>
      <c r="AE281" s="2461"/>
      <c r="AF281" s="68"/>
    </row>
    <row r="282" spans="1:32" ht="15.5" x14ac:dyDescent="0.35">
      <c r="A282" s="349"/>
      <c r="B282" s="405" t="s">
        <v>165</v>
      </c>
      <c r="C282" s="405"/>
      <c r="D282" s="358"/>
      <c r="E282" s="838" t="s">
        <v>304</v>
      </c>
      <c r="F282" s="13">
        <v>5</v>
      </c>
      <c r="G282" s="13">
        <v>5</v>
      </c>
      <c r="H282" s="13">
        <v>6</v>
      </c>
      <c r="I282" s="502"/>
      <c r="J282" s="502"/>
      <c r="K282" s="502"/>
      <c r="L282" s="502"/>
      <c r="M282" s="502"/>
      <c r="N282" s="502"/>
      <c r="O282" s="853"/>
      <c r="P282" s="502"/>
      <c r="Q282" s="863"/>
      <c r="R282" s="873">
        <v>0.58199999999999996</v>
      </c>
      <c r="S282" s="1748"/>
      <c r="T282" s="705"/>
      <c r="U282" s="705"/>
      <c r="V282" s="705"/>
      <c r="W282" s="15"/>
      <c r="X282" s="15"/>
      <c r="Y282" s="17"/>
      <c r="Z282" s="1686"/>
      <c r="AE282" s="2461"/>
      <c r="AF282" s="68"/>
    </row>
    <row r="283" spans="1:32" ht="45.5" x14ac:dyDescent="0.35">
      <c r="A283" s="347">
        <v>113</v>
      </c>
      <c r="B283" s="358" t="s">
        <v>165</v>
      </c>
      <c r="C283" s="358"/>
      <c r="D283" s="2464" t="s">
        <v>4405</v>
      </c>
      <c r="E283" s="511" t="s">
        <v>10960</v>
      </c>
      <c r="F283" s="13"/>
      <c r="G283" s="13" t="s">
        <v>191</v>
      </c>
      <c r="H283" s="13" t="s">
        <v>191</v>
      </c>
      <c r="I283" s="501">
        <f>L283+K283+J283</f>
        <v>10.731</v>
      </c>
      <c r="J283" s="501">
        <f>SUM(M283:R283)</f>
        <v>9.4459999999999997</v>
      </c>
      <c r="K283" s="501"/>
      <c r="L283" s="501">
        <f>SUM(L284:L289)</f>
        <v>1.2849999999999999</v>
      </c>
      <c r="M283" s="501"/>
      <c r="N283" s="501">
        <f>SUM(N284:N289)</f>
        <v>2.411</v>
      </c>
      <c r="O283" s="2053">
        <f>SUM(O284:O289)</f>
        <v>2.9</v>
      </c>
      <c r="P283" s="501"/>
      <c r="Q283" s="860">
        <f>SUM(Q284:Q289)</f>
        <v>4.1349999999999998</v>
      </c>
      <c r="R283" s="501"/>
      <c r="S283" s="724">
        <v>1</v>
      </c>
      <c r="T283" s="335">
        <v>31.1</v>
      </c>
      <c r="U283" s="705"/>
      <c r="V283" s="705"/>
      <c r="W283" s="15">
        <v>1</v>
      </c>
      <c r="X283" s="18">
        <v>10.6</v>
      </c>
      <c r="Y283" s="17"/>
      <c r="Z283" s="1686"/>
      <c r="AB283">
        <v>1</v>
      </c>
      <c r="AE283" s="2461"/>
      <c r="AF283" s="68"/>
    </row>
    <row r="284" spans="1:32" ht="15.5" x14ac:dyDescent="0.35">
      <c r="A284" s="349"/>
      <c r="B284" s="358" t="s">
        <v>165</v>
      </c>
      <c r="C284" s="358"/>
      <c r="D284" s="405"/>
      <c r="E284" s="289" t="s">
        <v>1763</v>
      </c>
      <c r="F284" s="13">
        <v>4</v>
      </c>
      <c r="G284" s="13">
        <v>4</v>
      </c>
      <c r="H284" s="13">
        <v>6</v>
      </c>
      <c r="I284" s="502"/>
      <c r="J284" s="502"/>
      <c r="K284" s="502"/>
      <c r="L284" s="502"/>
      <c r="M284" s="502"/>
      <c r="N284" s="502">
        <v>1.42</v>
      </c>
      <c r="O284" s="853"/>
      <c r="P284" s="502"/>
      <c r="Q284" s="863"/>
      <c r="R284" s="873"/>
      <c r="S284" s="724"/>
      <c r="T284" s="335"/>
      <c r="U284" s="705"/>
      <c r="V284" s="705"/>
      <c r="W284" s="15"/>
      <c r="X284" s="15"/>
      <c r="Y284" s="17"/>
      <c r="Z284" s="1686"/>
      <c r="AE284" s="2461"/>
      <c r="AF284" s="68"/>
    </row>
    <row r="285" spans="1:32" ht="15.5" x14ac:dyDescent="0.35">
      <c r="A285" s="349"/>
      <c r="B285" s="358" t="s">
        <v>165</v>
      </c>
      <c r="C285" s="358"/>
      <c r="D285" s="405"/>
      <c r="E285" s="292" t="s">
        <v>11303</v>
      </c>
      <c r="F285" s="13">
        <v>4</v>
      </c>
      <c r="G285" s="13">
        <v>4</v>
      </c>
      <c r="H285" s="13">
        <v>6</v>
      </c>
      <c r="I285" s="502"/>
      <c r="J285" s="502"/>
      <c r="K285" s="502"/>
      <c r="L285" s="502"/>
      <c r="M285" s="502"/>
      <c r="N285" s="502"/>
      <c r="O285" s="853">
        <v>2.9</v>
      </c>
      <c r="P285" s="502"/>
      <c r="Q285" s="863"/>
      <c r="R285" s="873"/>
      <c r="S285" s="724"/>
      <c r="T285" s="335"/>
      <c r="U285" s="705"/>
      <c r="V285" s="705"/>
      <c r="W285" s="15"/>
      <c r="X285" s="15"/>
      <c r="Y285" s="17"/>
      <c r="Z285" s="1686"/>
      <c r="AE285" s="2461"/>
      <c r="AF285" s="68"/>
    </row>
    <row r="286" spans="1:32" ht="15.5" x14ac:dyDescent="0.35">
      <c r="A286" s="349"/>
      <c r="B286" s="358" t="s">
        <v>165</v>
      </c>
      <c r="C286" s="358"/>
      <c r="D286" s="405"/>
      <c r="E286" s="289" t="s">
        <v>11304</v>
      </c>
      <c r="F286" s="13">
        <v>4</v>
      </c>
      <c r="G286" s="13">
        <v>4</v>
      </c>
      <c r="H286" s="13">
        <v>6</v>
      </c>
      <c r="I286" s="502"/>
      <c r="J286" s="502"/>
      <c r="K286" s="502"/>
      <c r="L286" s="502"/>
      <c r="M286" s="502"/>
      <c r="N286" s="502">
        <v>0.155</v>
      </c>
      <c r="O286" s="853"/>
      <c r="P286" s="502"/>
      <c r="Q286" s="863"/>
      <c r="R286" s="873"/>
      <c r="S286" s="724"/>
      <c r="T286" s="335"/>
      <c r="U286" s="705"/>
      <c r="V286" s="705"/>
      <c r="W286" s="15"/>
      <c r="X286" s="15"/>
      <c r="Y286" s="17"/>
      <c r="Z286" s="1686"/>
      <c r="AE286" s="2461"/>
      <c r="AF286" s="68"/>
    </row>
    <row r="287" spans="1:32" ht="46.5" x14ac:dyDescent="0.35">
      <c r="A287" s="349"/>
      <c r="B287" s="358" t="s">
        <v>165</v>
      </c>
      <c r="C287" s="358"/>
      <c r="D287" s="405"/>
      <c r="E287" s="459" t="s">
        <v>10961</v>
      </c>
      <c r="F287" s="13">
        <v>4</v>
      </c>
      <c r="G287" s="13">
        <v>4</v>
      </c>
      <c r="H287" s="13" t="s">
        <v>191</v>
      </c>
      <c r="I287" s="502"/>
      <c r="J287" s="502"/>
      <c r="K287" s="502"/>
      <c r="L287" s="502">
        <v>1.2849999999999999</v>
      </c>
      <c r="M287" s="502"/>
      <c r="N287" s="502"/>
      <c r="O287" s="853"/>
      <c r="P287" s="502"/>
      <c r="Q287" s="863"/>
      <c r="R287" s="873"/>
      <c r="S287" s="724"/>
      <c r="T287" s="335"/>
      <c r="U287" s="705"/>
      <c r="V287" s="705"/>
      <c r="W287" s="15"/>
      <c r="X287" s="15"/>
      <c r="Y287" s="17"/>
      <c r="Z287" s="1686"/>
      <c r="AE287" s="2461"/>
      <c r="AF287" s="68"/>
    </row>
    <row r="288" spans="1:32" ht="15.5" x14ac:dyDescent="0.35">
      <c r="A288" s="349"/>
      <c r="B288" s="358" t="s">
        <v>165</v>
      </c>
      <c r="C288" s="358"/>
      <c r="D288" s="405"/>
      <c r="E288" s="289" t="s">
        <v>1987</v>
      </c>
      <c r="F288" s="13">
        <v>4</v>
      </c>
      <c r="G288" s="13">
        <v>4</v>
      </c>
      <c r="H288" s="13">
        <v>6</v>
      </c>
      <c r="I288" s="502"/>
      <c r="J288" s="502"/>
      <c r="K288" s="502"/>
      <c r="L288" s="502"/>
      <c r="M288" s="502"/>
      <c r="N288" s="502">
        <v>0.83599999999999997</v>
      </c>
      <c r="O288" s="853"/>
      <c r="P288" s="502"/>
      <c r="Q288" s="863"/>
      <c r="R288" s="873"/>
      <c r="S288" s="724"/>
      <c r="T288" s="335"/>
      <c r="U288" s="705"/>
      <c r="V288" s="705"/>
      <c r="W288" s="15"/>
      <c r="X288" s="15"/>
      <c r="Y288" s="17"/>
      <c r="Z288" s="1686"/>
      <c r="AE288" s="2461"/>
      <c r="AF288" s="68"/>
    </row>
    <row r="289" spans="1:32" ht="15.5" x14ac:dyDescent="0.35">
      <c r="A289" s="349"/>
      <c r="B289" s="358" t="s">
        <v>165</v>
      </c>
      <c r="C289" s="358"/>
      <c r="D289" s="405"/>
      <c r="E289" s="837" t="s">
        <v>1342</v>
      </c>
      <c r="F289" s="13">
        <v>4</v>
      </c>
      <c r="G289" s="13">
        <v>4</v>
      </c>
      <c r="H289" s="13">
        <v>6</v>
      </c>
      <c r="I289" s="502"/>
      <c r="J289" s="502"/>
      <c r="K289" s="502"/>
      <c r="L289" s="502"/>
      <c r="M289" s="502"/>
      <c r="N289" s="502"/>
      <c r="O289" s="853"/>
      <c r="P289" s="502"/>
      <c r="Q289" s="863">
        <v>4.1349999999999998</v>
      </c>
      <c r="R289" s="873"/>
      <c r="S289" s="724"/>
      <c r="T289" s="335"/>
      <c r="U289" s="705"/>
      <c r="V289" s="705"/>
      <c r="W289" s="15"/>
      <c r="X289" s="15"/>
      <c r="Y289" s="17"/>
      <c r="Z289" s="1686"/>
      <c r="AE289" s="2461"/>
      <c r="AF289" s="68"/>
    </row>
    <row r="290" spans="1:32" ht="60.5" x14ac:dyDescent="0.35">
      <c r="A290" s="370">
        <v>114</v>
      </c>
      <c r="B290" s="365" t="s">
        <v>165</v>
      </c>
      <c r="C290" s="365" t="s">
        <v>1656</v>
      </c>
      <c r="D290" s="2464" t="s">
        <v>4406</v>
      </c>
      <c r="E290" s="269" t="s">
        <v>10962</v>
      </c>
      <c r="F290" s="92" t="s">
        <v>664</v>
      </c>
      <c r="G290" s="92">
        <v>5</v>
      </c>
      <c r="H290" s="13">
        <v>6</v>
      </c>
      <c r="I290" s="501">
        <f>L290+K290+J290</f>
        <v>1.1499999999999999</v>
      </c>
      <c r="J290" s="501">
        <f t="shared" ref="J290:J296" si="16">SUM(M290:R290)</f>
        <v>1.1499999999999999</v>
      </c>
      <c r="K290" s="557"/>
      <c r="L290" s="557"/>
      <c r="M290" s="557"/>
      <c r="N290" s="557"/>
      <c r="O290" s="856"/>
      <c r="P290" s="557"/>
      <c r="Q290" s="866"/>
      <c r="R290" s="876">
        <v>1.1499999999999999</v>
      </c>
      <c r="S290" s="1571"/>
      <c r="T290" s="1571"/>
      <c r="U290" s="1571"/>
      <c r="V290" s="1571"/>
      <c r="W290" s="106"/>
      <c r="X290" s="106"/>
      <c r="Y290" s="46"/>
      <c r="Z290" s="47"/>
      <c r="AB290">
        <v>1</v>
      </c>
      <c r="AE290" s="2461"/>
      <c r="AF290" s="68"/>
    </row>
    <row r="291" spans="1:32" ht="120.5" x14ac:dyDescent="0.35">
      <c r="A291" s="349">
        <v>115</v>
      </c>
      <c r="B291" s="358" t="s">
        <v>165</v>
      </c>
      <c r="C291" s="358"/>
      <c r="D291" s="2464" t="s">
        <v>4407</v>
      </c>
      <c r="E291" s="511" t="s">
        <v>11317</v>
      </c>
      <c r="F291" s="13">
        <v>4</v>
      </c>
      <c r="G291" s="13">
        <v>4</v>
      </c>
      <c r="H291" s="13">
        <v>6</v>
      </c>
      <c r="I291" s="501">
        <f>L291+K291+J291</f>
        <v>1.115</v>
      </c>
      <c r="J291" s="501">
        <f t="shared" si="16"/>
        <v>1.115</v>
      </c>
      <c r="K291" s="501"/>
      <c r="L291" s="501"/>
      <c r="M291" s="501"/>
      <c r="N291" s="501">
        <v>1.115</v>
      </c>
      <c r="O291" s="851"/>
      <c r="P291" s="501"/>
      <c r="Q291" s="860"/>
      <c r="R291" s="870"/>
      <c r="S291" s="724"/>
      <c r="T291" s="335"/>
      <c r="U291" s="705"/>
      <c r="V291" s="705"/>
      <c r="W291" s="15">
        <v>3</v>
      </c>
      <c r="X291" s="15">
        <v>38.799999999999997</v>
      </c>
      <c r="Y291" s="17"/>
      <c r="Z291" s="1686"/>
      <c r="AB291">
        <v>1</v>
      </c>
      <c r="AE291" s="2461"/>
      <c r="AF291" s="68"/>
    </row>
    <row r="292" spans="1:32" ht="60.5" x14ac:dyDescent="0.35">
      <c r="A292" s="370">
        <v>116</v>
      </c>
      <c r="B292" s="405" t="s">
        <v>165</v>
      </c>
      <c r="C292" s="1005" t="s">
        <v>1656</v>
      </c>
      <c r="D292" s="2464" t="s">
        <v>4408</v>
      </c>
      <c r="E292" s="511" t="s">
        <v>10963</v>
      </c>
      <c r="F292" s="1138" t="s">
        <v>664</v>
      </c>
      <c r="G292" s="13">
        <v>5</v>
      </c>
      <c r="H292" s="13">
        <v>6</v>
      </c>
      <c r="I292" s="297">
        <f>J292+K292+L292</f>
        <v>0.2</v>
      </c>
      <c r="J292" s="501">
        <f t="shared" si="16"/>
        <v>0.2</v>
      </c>
      <c r="K292" s="501"/>
      <c r="L292" s="501"/>
      <c r="M292" s="501"/>
      <c r="N292" s="501"/>
      <c r="O292" s="851"/>
      <c r="P292" s="501"/>
      <c r="Q292" s="860"/>
      <c r="R292" s="870">
        <v>0.2</v>
      </c>
      <c r="S292" s="1748"/>
      <c r="T292" s="705"/>
      <c r="U292" s="705"/>
      <c r="V292" s="705"/>
      <c r="W292" s="15"/>
      <c r="X292" s="18"/>
      <c r="Y292" s="17"/>
      <c r="Z292" s="1686"/>
      <c r="AB292">
        <v>1</v>
      </c>
      <c r="AE292" s="2461"/>
      <c r="AF292" s="68"/>
    </row>
    <row r="293" spans="1:32" ht="45.5" x14ac:dyDescent="0.35">
      <c r="A293" s="349">
        <v>117</v>
      </c>
      <c r="B293" s="358" t="s">
        <v>165</v>
      </c>
      <c r="C293" s="358"/>
      <c r="D293" s="2464" t="s">
        <v>4409</v>
      </c>
      <c r="E293" s="511" t="s">
        <v>10964</v>
      </c>
      <c r="F293" s="13">
        <v>5</v>
      </c>
      <c r="G293" s="13">
        <v>4</v>
      </c>
      <c r="H293" s="13">
        <v>6</v>
      </c>
      <c r="I293" s="501">
        <f>L293+K293+J293</f>
        <v>1.0740000000000001</v>
      </c>
      <c r="J293" s="501">
        <f t="shared" si="16"/>
        <v>1.0740000000000001</v>
      </c>
      <c r="K293" s="501"/>
      <c r="L293" s="501"/>
      <c r="M293" s="501"/>
      <c r="N293" s="501">
        <v>1.0740000000000001</v>
      </c>
      <c r="O293" s="851"/>
      <c r="P293" s="501"/>
      <c r="Q293" s="860"/>
      <c r="R293" s="870"/>
      <c r="S293" s="1748"/>
      <c r="T293" s="705"/>
      <c r="U293" s="705"/>
      <c r="V293" s="705"/>
      <c r="W293" s="17">
        <v>1</v>
      </c>
      <c r="X293" s="17">
        <v>10</v>
      </c>
      <c r="Y293" s="17"/>
      <c r="Z293" s="1686"/>
      <c r="AB293">
        <v>1</v>
      </c>
      <c r="AE293" s="2461"/>
      <c r="AF293" s="68"/>
    </row>
    <row r="294" spans="1:32" ht="60.5" x14ac:dyDescent="0.35">
      <c r="A294" s="370">
        <v>118</v>
      </c>
      <c r="B294" s="365" t="s">
        <v>165</v>
      </c>
      <c r="C294" s="365" t="s">
        <v>1656</v>
      </c>
      <c r="D294" s="2464" t="s">
        <v>4410</v>
      </c>
      <c r="E294" s="269" t="s">
        <v>10965</v>
      </c>
      <c r="F294" s="92" t="s">
        <v>664</v>
      </c>
      <c r="G294" s="92">
        <v>5</v>
      </c>
      <c r="H294" s="13">
        <v>6</v>
      </c>
      <c r="I294" s="501">
        <f>L294+K294+J294</f>
        <v>0.39</v>
      </c>
      <c r="J294" s="501">
        <f t="shared" si="16"/>
        <v>0.39</v>
      </c>
      <c r="K294" s="557"/>
      <c r="L294" s="557"/>
      <c r="M294" s="557"/>
      <c r="N294" s="557"/>
      <c r="O294" s="856"/>
      <c r="P294" s="557"/>
      <c r="Q294" s="866"/>
      <c r="R294" s="876">
        <v>0.39</v>
      </c>
      <c r="S294" s="1571"/>
      <c r="T294" s="1571"/>
      <c r="U294" s="1571"/>
      <c r="V294" s="1571"/>
      <c r="W294" s="106"/>
      <c r="X294" s="106"/>
      <c r="Y294" s="46"/>
      <c r="Z294" s="47"/>
      <c r="AA294" s="1680"/>
      <c r="AB294">
        <v>1</v>
      </c>
      <c r="AE294" s="2461"/>
      <c r="AF294" s="68"/>
    </row>
    <row r="295" spans="1:32" ht="45.5" x14ac:dyDescent="0.35">
      <c r="A295" s="370">
        <v>119</v>
      </c>
      <c r="B295" s="365" t="s">
        <v>165</v>
      </c>
      <c r="C295" s="1005" t="s">
        <v>1656</v>
      </c>
      <c r="D295" s="2464" t="s">
        <v>4411</v>
      </c>
      <c r="E295" s="511" t="s">
        <v>10966</v>
      </c>
      <c r="F295" s="1138" t="s">
        <v>664</v>
      </c>
      <c r="G295" s="13">
        <v>5</v>
      </c>
      <c r="H295" s="13">
        <v>6</v>
      </c>
      <c r="I295" s="297">
        <f>J295+K295+L295</f>
        <v>0.23</v>
      </c>
      <c r="J295" s="501">
        <f t="shared" si="16"/>
        <v>0.23</v>
      </c>
      <c r="K295" s="503"/>
      <c r="L295" s="503"/>
      <c r="M295" s="503"/>
      <c r="N295" s="503"/>
      <c r="O295" s="854"/>
      <c r="P295" s="503"/>
      <c r="Q295" s="1862"/>
      <c r="R295" s="874">
        <v>0.23</v>
      </c>
      <c r="S295" s="1748"/>
      <c r="T295" s="705"/>
      <c r="U295" s="705"/>
      <c r="V295" s="705"/>
      <c r="W295" s="15"/>
      <c r="X295" s="233"/>
      <c r="Y295" s="17"/>
      <c r="Z295" s="1686"/>
      <c r="AB295">
        <v>1</v>
      </c>
      <c r="AE295" s="2461"/>
      <c r="AF295" s="68"/>
    </row>
    <row r="296" spans="1:32" ht="45.5" x14ac:dyDescent="0.35">
      <c r="A296" s="349">
        <v>120</v>
      </c>
      <c r="B296" s="365" t="s">
        <v>165</v>
      </c>
      <c r="C296" s="1005"/>
      <c r="D296" s="2464" t="s">
        <v>4412</v>
      </c>
      <c r="E296" s="511" t="s">
        <v>10967</v>
      </c>
      <c r="F296" s="1138" t="s">
        <v>664</v>
      </c>
      <c r="G296" s="13">
        <v>5</v>
      </c>
      <c r="H296" s="13">
        <v>6</v>
      </c>
      <c r="I296" s="297">
        <f>J296+K296+L296</f>
        <v>0.91</v>
      </c>
      <c r="J296" s="501">
        <f t="shared" si="16"/>
        <v>0.91</v>
      </c>
      <c r="K296" s="503"/>
      <c r="L296" s="503"/>
      <c r="M296" s="503"/>
      <c r="N296" s="503"/>
      <c r="O296" s="854"/>
      <c r="P296" s="503"/>
      <c r="Q296" s="1862"/>
      <c r="R296" s="874">
        <v>0.91</v>
      </c>
      <c r="S296" s="1748"/>
      <c r="T296" s="705"/>
      <c r="U296" s="705"/>
      <c r="V296" s="705"/>
      <c r="W296" s="15"/>
      <c r="X296" s="233"/>
      <c r="Y296" s="17"/>
      <c r="Z296" s="1686"/>
      <c r="AB296">
        <v>1</v>
      </c>
      <c r="AE296" s="2461"/>
      <c r="AF296" s="68"/>
    </row>
    <row r="297" spans="1:32" ht="15.5" x14ac:dyDescent="0.35">
      <c r="E297" s="457"/>
      <c r="G297" s="2431"/>
    </row>
    <row r="298" spans="1:32" x14ac:dyDescent="0.25">
      <c r="E298" s="457"/>
    </row>
    <row r="299" spans="1:32" x14ac:dyDescent="0.25">
      <c r="E299" s="457"/>
    </row>
    <row r="300" spans="1:32" x14ac:dyDescent="0.25">
      <c r="E300" s="457"/>
    </row>
    <row r="301" spans="1:32" x14ac:dyDescent="0.25">
      <c r="E301" s="457"/>
    </row>
    <row r="302" spans="1:32" x14ac:dyDescent="0.25">
      <c r="E302" s="457"/>
    </row>
    <row r="303" spans="1:32" x14ac:dyDescent="0.25">
      <c r="E303" s="457"/>
    </row>
    <row r="304" spans="1:32" x14ac:dyDescent="0.25">
      <c r="E304" s="457"/>
    </row>
    <row r="305" spans="5:5" x14ac:dyDescent="0.25">
      <c r="E305" s="457"/>
    </row>
    <row r="306" spans="5:5" x14ac:dyDescent="0.25">
      <c r="E306" s="457"/>
    </row>
    <row r="307" spans="5:5" x14ac:dyDescent="0.25">
      <c r="E307" s="457"/>
    </row>
    <row r="308" spans="5:5" x14ac:dyDescent="0.25">
      <c r="E308" s="457"/>
    </row>
    <row r="309" spans="5:5" x14ac:dyDescent="0.25">
      <c r="E309" s="457"/>
    </row>
    <row r="310" spans="5:5" x14ac:dyDescent="0.25">
      <c r="E310" s="457"/>
    </row>
    <row r="311" spans="5:5" x14ac:dyDescent="0.25">
      <c r="E311" s="457"/>
    </row>
    <row r="312" spans="5:5" x14ac:dyDescent="0.25">
      <c r="E312" s="457"/>
    </row>
    <row r="313" spans="5:5" x14ac:dyDescent="0.25">
      <c r="E313" s="457"/>
    </row>
    <row r="314" spans="5:5" x14ac:dyDescent="0.25">
      <c r="E314" s="457"/>
    </row>
    <row r="315" spans="5:5" x14ac:dyDescent="0.25">
      <c r="E315" s="457"/>
    </row>
    <row r="316" spans="5:5" x14ac:dyDescent="0.25">
      <c r="E316" s="457"/>
    </row>
    <row r="317" spans="5:5" x14ac:dyDescent="0.25">
      <c r="E317" s="457"/>
    </row>
    <row r="318" spans="5:5" x14ac:dyDescent="0.25">
      <c r="E318" s="457"/>
    </row>
    <row r="319" spans="5:5" x14ac:dyDescent="0.25">
      <c r="E319" s="457"/>
    </row>
    <row r="320" spans="5:5" x14ac:dyDescent="0.25">
      <c r="E320" s="457"/>
    </row>
    <row r="321" spans="5:5" x14ac:dyDescent="0.25">
      <c r="E321" s="457"/>
    </row>
    <row r="322" spans="5:5" x14ac:dyDescent="0.25">
      <c r="E322" s="457"/>
    </row>
    <row r="323" spans="5:5" x14ac:dyDescent="0.25">
      <c r="E323" s="457"/>
    </row>
    <row r="324" spans="5:5" x14ac:dyDescent="0.25">
      <c r="E324" s="457"/>
    </row>
    <row r="325" spans="5:5" x14ac:dyDescent="0.25">
      <c r="E325" s="457"/>
    </row>
    <row r="326" spans="5:5" x14ac:dyDescent="0.25">
      <c r="E326" s="457"/>
    </row>
    <row r="327" spans="5:5" x14ac:dyDescent="0.25">
      <c r="E327" s="457"/>
    </row>
    <row r="328" spans="5:5" x14ac:dyDescent="0.25">
      <c r="E328" s="457"/>
    </row>
    <row r="329" spans="5:5" x14ac:dyDescent="0.25">
      <c r="E329" s="457"/>
    </row>
    <row r="330" spans="5:5" x14ac:dyDescent="0.25">
      <c r="E330" s="457"/>
    </row>
    <row r="331" spans="5:5" x14ac:dyDescent="0.25">
      <c r="E331" s="457"/>
    </row>
    <row r="332" spans="5:5" x14ac:dyDescent="0.25">
      <c r="E332" s="457"/>
    </row>
    <row r="333" spans="5:5" x14ac:dyDescent="0.25">
      <c r="E333" s="457"/>
    </row>
    <row r="334" spans="5:5" x14ac:dyDescent="0.25">
      <c r="E334" s="457"/>
    </row>
    <row r="335" spans="5:5" x14ac:dyDescent="0.25">
      <c r="E335" s="457"/>
    </row>
    <row r="336" spans="5:5" x14ac:dyDescent="0.25">
      <c r="E336" s="457"/>
    </row>
    <row r="337" spans="5:5" x14ac:dyDescent="0.25">
      <c r="E337" s="457"/>
    </row>
    <row r="338" spans="5:5" x14ac:dyDescent="0.25">
      <c r="E338" s="457"/>
    </row>
    <row r="339" spans="5:5" x14ac:dyDescent="0.25">
      <c r="E339" s="457"/>
    </row>
    <row r="340" spans="5:5" x14ac:dyDescent="0.25">
      <c r="E340" s="457"/>
    </row>
    <row r="341" spans="5:5" x14ac:dyDescent="0.25">
      <c r="E341" s="457"/>
    </row>
    <row r="342" spans="5:5" x14ac:dyDescent="0.25">
      <c r="E342" s="457"/>
    </row>
    <row r="343" spans="5:5" x14ac:dyDescent="0.25">
      <c r="E343" s="457"/>
    </row>
    <row r="344" spans="5:5" x14ac:dyDescent="0.25">
      <c r="E344" s="457"/>
    </row>
    <row r="345" spans="5:5" x14ac:dyDescent="0.25">
      <c r="E345" s="457"/>
    </row>
    <row r="346" spans="5:5" x14ac:dyDescent="0.25">
      <c r="E346" s="457"/>
    </row>
    <row r="347" spans="5:5" x14ac:dyDescent="0.25">
      <c r="E347" s="457"/>
    </row>
    <row r="348" spans="5:5" x14ac:dyDescent="0.25">
      <c r="E348" s="457"/>
    </row>
    <row r="349" spans="5:5" x14ac:dyDescent="0.25">
      <c r="E349" s="457"/>
    </row>
    <row r="350" spans="5:5" x14ac:dyDescent="0.25">
      <c r="E350" s="457"/>
    </row>
    <row r="351" spans="5:5" x14ac:dyDescent="0.25">
      <c r="E351" s="457"/>
    </row>
    <row r="352" spans="5:5" x14ac:dyDescent="0.25">
      <c r="E352" s="457"/>
    </row>
    <row r="353" spans="5:5" x14ac:dyDescent="0.25">
      <c r="E353" s="457"/>
    </row>
    <row r="354" spans="5:5" x14ac:dyDescent="0.25">
      <c r="E354" s="457"/>
    </row>
    <row r="355" spans="5:5" x14ac:dyDescent="0.25">
      <c r="E355" s="457"/>
    </row>
    <row r="356" spans="5:5" x14ac:dyDescent="0.25">
      <c r="E356" s="457"/>
    </row>
    <row r="357" spans="5:5" x14ac:dyDescent="0.25">
      <c r="E357" s="457"/>
    </row>
    <row r="358" spans="5:5" x14ac:dyDescent="0.25">
      <c r="E358" s="457"/>
    </row>
    <row r="359" spans="5:5" x14ac:dyDescent="0.25">
      <c r="E359" s="457"/>
    </row>
    <row r="360" spans="5:5" x14ac:dyDescent="0.25">
      <c r="E360" s="457"/>
    </row>
    <row r="361" spans="5:5" x14ac:dyDescent="0.25">
      <c r="E361" s="457"/>
    </row>
    <row r="362" spans="5:5" x14ac:dyDescent="0.25">
      <c r="E362" s="457"/>
    </row>
    <row r="363" spans="5:5" x14ac:dyDescent="0.25">
      <c r="E363" s="457"/>
    </row>
    <row r="364" spans="5:5" x14ac:dyDescent="0.25">
      <c r="E364" s="457"/>
    </row>
    <row r="365" spans="5:5" x14ac:dyDescent="0.25">
      <c r="E365" s="457"/>
    </row>
    <row r="366" spans="5:5" x14ac:dyDescent="0.25">
      <c r="E366" s="457"/>
    </row>
    <row r="367" spans="5:5" x14ac:dyDescent="0.25">
      <c r="E367" s="457"/>
    </row>
    <row r="368" spans="5:5" x14ac:dyDescent="0.25">
      <c r="E368" s="457"/>
    </row>
    <row r="369" spans="5:5" x14ac:dyDescent="0.25">
      <c r="E369" s="457"/>
    </row>
    <row r="370" spans="5:5" x14ac:dyDescent="0.25">
      <c r="E370" s="457"/>
    </row>
    <row r="371" spans="5:5" x14ac:dyDescent="0.25">
      <c r="E371" s="457"/>
    </row>
    <row r="372" spans="5:5" x14ac:dyDescent="0.25">
      <c r="E372" s="457"/>
    </row>
    <row r="373" spans="5:5" x14ac:dyDescent="0.25">
      <c r="E373" s="457"/>
    </row>
    <row r="374" spans="5:5" x14ac:dyDescent="0.25">
      <c r="E374" s="457"/>
    </row>
    <row r="375" spans="5:5" x14ac:dyDescent="0.25">
      <c r="E375" s="457"/>
    </row>
    <row r="376" spans="5:5" x14ac:dyDescent="0.25">
      <c r="E376" s="457"/>
    </row>
    <row r="377" spans="5:5" x14ac:dyDescent="0.25">
      <c r="E377" s="457"/>
    </row>
    <row r="378" spans="5:5" x14ac:dyDescent="0.25">
      <c r="E378" s="457"/>
    </row>
    <row r="379" spans="5:5" x14ac:dyDescent="0.25">
      <c r="E379" s="457"/>
    </row>
    <row r="380" spans="5:5" x14ac:dyDescent="0.25">
      <c r="E380" s="457"/>
    </row>
    <row r="381" spans="5:5" x14ac:dyDescent="0.25">
      <c r="E381" s="457"/>
    </row>
    <row r="382" spans="5:5" x14ac:dyDescent="0.25">
      <c r="E382" s="457"/>
    </row>
    <row r="383" spans="5:5" x14ac:dyDescent="0.25">
      <c r="E383" s="457"/>
    </row>
    <row r="384" spans="5:5" x14ac:dyDescent="0.25">
      <c r="E384" s="457"/>
    </row>
    <row r="385" spans="5:5" x14ac:dyDescent="0.25">
      <c r="E385" s="457"/>
    </row>
    <row r="386" spans="5:5" x14ac:dyDescent="0.25">
      <c r="E386" s="457"/>
    </row>
    <row r="387" spans="5:5" x14ac:dyDescent="0.25">
      <c r="E387" s="457"/>
    </row>
    <row r="388" spans="5:5" x14ac:dyDescent="0.25">
      <c r="E388" s="457"/>
    </row>
    <row r="389" spans="5:5" x14ac:dyDescent="0.25">
      <c r="E389" s="457"/>
    </row>
    <row r="390" spans="5:5" x14ac:dyDescent="0.25">
      <c r="E390" s="457"/>
    </row>
    <row r="391" spans="5:5" x14ac:dyDescent="0.25">
      <c r="E391" s="457"/>
    </row>
    <row r="392" spans="5:5" x14ac:dyDescent="0.25">
      <c r="E392" s="457"/>
    </row>
    <row r="393" spans="5:5" x14ac:dyDescent="0.25">
      <c r="E393" s="457"/>
    </row>
    <row r="394" spans="5:5" x14ac:dyDescent="0.25">
      <c r="E394" s="457"/>
    </row>
    <row r="395" spans="5:5" x14ac:dyDescent="0.25">
      <c r="E395" s="457"/>
    </row>
    <row r="396" spans="5:5" x14ac:dyDescent="0.25">
      <c r="E396" s="457"/>
    </row>
    <row r="397" spans="5:5" x14ac:dyDescent="0.25">
      <c r="E397" s="457"/>
    </row>
    <row r="398" spans="5:5" x14ac:dyDescent="0.25">
      <c r="E398" s="457"/>
    </row>
    <row r="399" spans="5:5" x14ac:dyDescent="0.25">
      <c r="E399" s="457"/>
    </row>
    <row r="400" spans="5:5" x14ac:dyDescent="0.25">
      <c r="E400" s="457"/>
    </row>
    <row r="401" spans="5:5" x14ac:dyDescent="0.25">
      <c r="E401" s="457"/>
    </row>
    <row r="402" spans="5:5" x14ac:dyDescent="0.25">
      <c r="E402" s="457"/>
    </row>
    <row r="403" spans="5:5" x14ac:dyDescent="0.25">
      <c r="E403" s="457"/>
    </row>
    <row r="404" spans="5:5" x14ac:dyDescent="0.25">
      <c r="E404" s="457"/>
    </row>
    <row r="405" spans="5:5" x14ac:dyDescent="0.25">
      <c r="E405" s="457"/>
    </row>
    <row r="406" spans="5:5" x14ac:dyDescent="0.25">
      <c r="E406" s="457"/>
    </row>
    <row r="407" spans="5:5" x14ac:dyDescent="0.25">
      <c r="E407" s="457"/>
    </row>
    <row r="408" spans="5:5" x14ac:dyDescent="0.25">
      <c r="E408" s="457"/>
    </row>
    <row r="409" spans="5:5" x14ac:dyDescent="0.25">
      <c r="E409" s="457"/>
    </row>
    <row r="410" spans="5:5" x14ac:dyDescent="0.25">
      <c r="E410" s="457"/>
    </row>
    <row r="411" spans="5:5" x14ac:dyDescent="0.25">
      <c r="E411" s="457"/>
    </row>
    <row r="412" spans="5:5" x14ac:dyDescent="0.25">
      <c r="E412" s="457"/>
    </row>
    <row r="413" spans="5:5" x14ac:dyDescent="0.25">
      <c r="E413" s="457"/>
    </row>
    <row r="414" spans="5:5" x14ac:dyDescent="0.25">
      <c r="E414" s="457"/>
    </row>
    <row r="415" spans="5:5" x14ac:dyDescent="0.25">
      <c r="E415" s="457"/>
    </row>
    <row r="416" spans="5:5" x14ac:dyDescent="0.25">
      <c r="E416" s="457"/>
    </row>
    <row r="417" spans="5:5" x14ac:dyDescent="0.25">
      <c r="E417" s="457"/>
    </row>
    <row r="418" spans="5:5" x14ac:dyDescent="0.25">
      <c r="E418" s="457"/>
    </row>
    <row r="419" spans="5:5" x14ac:dyDescent="0.25">
      <c r="E419" s="457"/>
    </row>
    <row r="420" spans="5:5" x14ac:dyDescent="0.25">
      <c r="E420" s="457"/>
    </row>
    <row r="421" spans="5:5" x14ac:dyDescent="0.25">
      <c r="E421" s="457"/>
    </row>
    <row r="422" spans="5:5" x14ac:dyDescent="0.25">
      <c r="E422" s="457"/>
    </row>
    <row r="423" spans="5:5" x14ac:dyDescent="0.25">
      <c r="E423" s="457"/>
    </row>
    <row r="424" spans="5:5" x14ac:dyDescent="0.25">
      <c r="E424" s="457"/>
    </row>
    <row r="425" spans="5:5" x14ac:dyDescent="0.25">
      <c r="E425" s="457"/>
    </row>
    <row r="426" spans="5:5" x14ac:dyDescent="0.25">
      <c r="E426" s="457"/>
    </row>
    <row r="427" spans="5:5" x14ac:dyDescent="0.25">
      <c r="E427" s="457"/>
    </row>
  </sheetData>
  <autoFilter ref="A29:AB296"/>
  <mergeCells count="35">
    <mergeCell ref="Y7:Y8"/>
    <mergeCell ref="Z7:Z8"/>
    <mergeCell ref="W7:W8"/>
    <mergeCell ref="X7:X8"/>
    <mergeCell ref="Q6:Q8"/>
    <mergeCell ref="Y6:Z6"/>
    <mergeCell ref="U7:U8"/>
    <mergeCell ref="V7:V8"/>
    <mergeCell ref="T7:T8"/>
    <mergeCell ref="A2:Z2"/>
    <mergeCell ref="A3:Z3"/>
    <mergeCell ref="A5:A8"/>
    <mergeCell ref="D5:D8"/>
    <mergeCell ref="E5:E8"/>
    <mergeCell ref="F5:F8"/>
    <mergeCell ref="G5:G8"/>
    <mergeCell ref="I5:L5"/>
    <mergeCell ref="M5:R5"/>
    <mergeCell ref="N6:N8"/>
    <mergeCell ref="B5:B8"/>
    <mergeCell ref="R6:R8"/>
    <mergeCell ref="S6:T6"/>
    <mergeCell ref="W6:X6"/>
    <mergeCell ref="W5:Z5"/>
    <mergeCell ref="I6:I8"/>
    <mergeCell ref="H5:H8"/>
    <mergeCell ref="O6:O8"/>
    <mergeCell ref="P6:P8"/>
    <mergeCell ref="S5:V5"/>
    <mergeCell ref="U6:V6"/>
    <mergeCell ref="J6:J8"/>
    <mergeCell ref="K6:K8"/>
    <mergeCell ref="S7:S8"/>
    <mergeCell ref="L6:L8"/>
    <mergeCell ref="M6:M8"/>
  </mergeCells>
  <phoneticPr fontId="0" type="noConversion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Roman,обычный"&amp;10Глусское ДРСУ-213&amp;R&amp;"Times New Roman,обычный"&amp;10&amp;P</oddFooter>
  </headerFooter>
  <rowBreaks count="6" manualBreakCount="6">
    <brk id="45" max="24" man="1"/>
    <brk id="74" max="24" man="1"/>
    <brk id="118" max="24" man="1"/>
    <brk id="196" max="24" man="1"/>
    <brk id="232" max="24" man="1"/>
    <brk id="282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AM455"/>
  <sheetViews>
    <sheetView zoomScale="90" zoomScaleNormal="90"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RowHeight="12.5" x14ac:dyDescent="0.25"/>
  <cols>
    <col min="1" max="1" width="4.4140625" style="43" customWidth="1"/>
    <col min="2" max="3" width="7.25" style="43" hidden="1" customWidth="1"/>
    <col min="4" max="4" width="7.33203125" customWidth="1"/>
    <col min="5" max="5" width="43.4140625" customWidth="1"/>
    <col min="6" max="6" width="6.75" customWidth="1"/>
    <col min="7" max="10" width="7.25" customWidth="1"/>
    <col min="11" max="12" width="6.6640625" customWidth="1"/>
    <col min="13" max="13" width="6.75" customWidth="1"/>
    <col min="14" max="14" width="7.33203125" customWidth="1"/>
    <col min="15" max="16" width="6.6640625" customWidth="1"/>
    <col min="17" max="18" width="7.25" customWidth="1"/>
    <col min="19" max="19" width="4.4140625" customWidth="1"/>
    <col min="20" max="20" width="6.75" customWidth="1"/>
    <col min="21" max="21" width="4.4140625" customWidth="1"/>
    <col min="22" max="22" width="5.58203125" customWidth="1"/>
    <col min="23" max="23" width="4.4140625" customWidth="1"/>
    <col min="24" max="24" width="7.75" customWidth="1"/>
    <col min="25" max="25" width="4.33203125" customWidth="1"/>
    <col min="26" max="26" width="7.75" customWidth="1"/>
    <col min="37" max="37" width="23.25" customWidth="1"/>
  </cols>
  <sheetData>
    <row r="1" spans="1:39" ht="15.5" x14ac:dyDescent="0.35">
      <c r="A1" s="4"/>
      <c r="B1" s="4"/>
      <c r="C1" s="4"/>
      <c r="D1" s="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353"/>
      <c r="R1" s="1"/>
      <c r="S1" s="1"/>
      <c r="T1" s="1"/>
      <c r="U1" s="1"/>
      <c r="V1" s="1"/>
      <c r="W1" s="1"/>
      <c r="X1" s="1"/>
      <c r="Y1" s="1"/>
      <c r="Z1" s="1"/>
    </row>
    <row r="2" spans="1:39" ht="20" x14ac:dyDescent="0.25">
      <c r="A2" s="3084" t="s">
        <v>10620</v>
      </c>
      <c r="B2" s="3084"/>
      <c r="C2" s="3084"/>
      <c r="D2" s="3084"/>
      <c r="E2" s="3084"/>
      <c r="F2" s="3084"/>
      <c r="G2" s="3084"/>
      <c r="H2" s="3084"/>
      <c r="I2" s="3084"/>
      <c r="J2" s="3084"/>
      <c r="K2" s="3084"/>
      <c r="L2" s="3084"/>
      <c r="M2" s="3084"/>
      <c r="N2" s="3084"/>
      <c r="O2" s="3084"/>
      <c r="P2" s="3084"/>
      <c r="Q2" s="3084"/>
      <c r="R2" s="3084"/>
      <c r="S2" s="3084"/>
      <c r="T2" s="3084"/>
      <c r="U2" s="3084"/>
      <c r="V2" s="3084"/>
      <c r="W2" s="3084"/>
      <c r="X2" s="3084"/>
      <c r="Y2" s="3084"/>
      <c r="Z2" s="3084"/>
    </row>
    <row r="3" spans="1:39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8.5" thickBot="1" x14ac:dyDescent="0.45">
      <c r="A4" s="36"/>
      <c r="B4" s="36"/>
      <c r="C4" s="36"/>
      <c r="D4" s="36"/>
      <c r="E4" s="28"/>
      <c r="F4" s="26"/>
      <c r="G4" s="26"/>
      <c r="H4" s="26"/>
      <c r="I4" s="26"/>
      <c r="J4" s="2309"/>
      <c r="K4" s="26"/>
      <c r="L4" s="27"/>
      <c r="M4" s="27"/>
      <c r="N4" s="27"/>
      <c r="O4" s="27"/>
      <c r="P4" s="3"/>
      <c r="Q4" s="3"/>
      <c r="R4" s="2307"/>
      <c r="S4" s="3"/>
      <c r="T4" s="3"/>
      <c r="U4" s="3"/>
      <c r="V4" s="3"/>
      <c r="W4" s="3"/>
      <c r="X4" s="3"/>
      <c r="Y4" s="3"/>
      <c r="Z4" s="3"/>
    </row>
    <row r="5" spans="1:39" ht="15.75" customHeight="1" x14ac:dyDescent="0.3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3" customHeight="1" x14ac:dyDescent="0.2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5.75" customHeight="1" x14ac:dyDescent="0.2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5.5" thickBot="1" x14ac:dyDescent="0.3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" thickBot="1" x14ac:dyDescent="0.4">
      <c r="A10" s="450"/>
      <c r="B10" s="995"/>
      <c r="C10" s="995"/>
      <c r="D10" s="479" t="s">
        <v>1516</v>
      </c>
      <c r="E10" s="839" t="s">
        <v>2392</v>
      </c>
      <c r="F10" s="451"/>
      <c r="G10" s="451"/>
      <c r="H10" s="451"/>
      <c r="I10" s="845">
        <f>J10+K10+L10</f>
        <v>610.55100000000004</v>
      </c>
      <c r="J10" s="845">
        <f>M10+N10+O10+P10+Q10+R10</f>
        <v>607.64200000000005</v>
      </c>
      <c r="K10" s="845">
        <f t="shared" ref="K10:R10" si="0">K11+K12+K13+K14</f>
        <v>0</v>
      </c>
      <c r="L10" s="845">
        <f>L11+L12+L13+L14</f>
        <v>2.9090000000000007</v>
      </c>
      <c r="M10" s="845">
        <f t="shared" si="0"/>
        <v>0</v>
      </c>
      <c r="N10" s="845">
        <f t="shared" si="0"/>
        <v>247.30300000000005</v>
      </c>
      <c r="O10" s="849">
        <f t="shared" si="0"/>
        <v>8.0060000000000002</v>
      </c>
      <c r="P10" s="845">
        <f t="shared" si="0"/>
        <v>0</v>
      </c>
      <c r="Q10" s="858">
        <f t="shared" si="0"/>
        <v>204.23100000000002</v>
      </c>
      <c r="R10" s="868">
        <f t="shared" si="0"/>
        <v>148.10199999999992</v>
      </c>
      <c r="S10" s="846">
        <f>SUM(S30:S960)</f>
        <v>30</v>
      </c>
      <c r="T10" s="847">
        <f t="shared" ref="T10:Z10" si="1">SUM(T30:T960)</f>
        <v>698.65000000000009</v>
      </c>
      <c r="U10" s="846">
        <f t="shared" si="1"/>
        <v>1</v>
      </c>
      <c r="V10" s="847">
        <f t="shared" si="1"/>
        <v>10</v>
      </c>
      <c r="W10" s="846">
        <f t="shared" si="1"/>
        <v>814</v>
      </c>
      <c r="X10" s="847">
        <f t="shared" si="1"/>
        <v>10994.159999999998</v>
      </c>
      <c r="Y10" s="846">
        <f t="shared" si="1"/>
        <v>164</v>
      </c>
      <c r="Z10" s="1669">
        <f t="shared" si="1"/>
        <v>1726.1000000000001</v>
      </c>
      <c r="AA10" s="3"/>
      <c r="AB10" s="1268">
        <f>SUM(AB30:AB970)</f>
        <v>250</v>
      </c>
      <c r="AK10" s="2150" t="s">
        <v>11226</v>
      </c>
      <c r="AL10" s="43"/>
      <c r="AM10" s="2812" t="s">
        <v>11227</v>
      </c>
    </row>
    <row r="11" spans="1:39" ht="15.5" x14ac:dyDescent="0.35">
      <c r="A11" s="445"/>
      <c r="B11" s="1028"/>
      <c r="C11" s="1028"/>
      <c r="D11" s="530"/>
      <c r="E11" s="1264" t="s">
        <v>909</v>
      </c>
      <c r="F11" s="1245">
        <v>3</v>
      </c>
      <c r="G11" s="1245"/>
      <c r="H11" s="1658"/>
      <c r="I11" s="1336"/>
      <c r="J11" s="1336"/>
      <c r="K11" s="1336"/>
      <c r="L11" s="1336"/>
      <c r="M11" s="1336"/>
      <c r="N11" s="1336"/>
      <c r="O11" s="1336"/>
      <c r="P11" s="1336"/>
      <c r="Q11" s="1337"/>
      <c r="R11" s="1338"/>
      <c r="S11" s="530"/>
      <c r="T11" s="530"/>
      <c r="U11" s="529"/>
      <c r="V11" s="529"/>
      <c r="W11" s="529"/>
      <c r="X11" s="559"/>
      <c r="Y11" s="529"/>
      <c r="Z11" s="1670"/>
      <c r="AA11" s="3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ht="15.5" x14ac:dyDescent="0.35">
      <c r="A12" s="285"/>
      <c r="B12" s="993"/>
      <c r="C12" s="993"/>
      <c r="D12" s="280"/>
      <c r="E12" s="640"/>
      <c r="F12" s="1249">
        <v>4</v>
      </c>
      <c r="G12" s="1249"/>
      <c r="H12" s="1249"/>
      <c r="I12" s="1342">
        <f t="shared" ref="I12:I20" si="2">J12+K12+L12</f>
        <v>228.16000000000003</v>
      </c>
      <c r="J12" s="1281">
        <f t="shared" ref="J12:J20" si="3">R12+Q12+P12+O12+N12+M12</f>
        <v>227.18400000000003</v>
      </c>
      <c r="K12" s="1281">
        <f>SUMIF(F30:F955,4,K30:K955)</f>
        <v>0</v>
      </c>
      <c r="L12" s="1281">
        <f>SUMIF(F30:F955,4,L30:L955)</f>
        <v>0.97600000000000087</v>
      </c>
      <c r="M12" s="1281">
        <f>SUMIF(F30:F955,4,M30:M955)</f>
        <v>0</v>
      </c>
      <c r="N12" s="1281">
        <f>SUMIF(F30:F955,4,N30:N955)</f>
        <v>161.07400000000004</v>
      </c>
      <c r="O12" s="1251">
        <f>SUMIF(F30:F955,4,O30:O955)</f>
        <v>4.9060000000000006</v>
      </c>
      <c r="P12" s="1317">
        <f>SUMIF(F30:F955,4,P30:P955)</f>
        <v>0</v>
      </c>
      <c r="Q12" s="1283">
        <f>SUMIF(F30:F955,4,Q30:Q955)</f>
        <v>61.203999999999994</v>
      </c>
      <c r="R12" s="1284">
        <f>SUMIF(F30:F955,4,R30:R955)</f>
        <v>0</v>
      </c>
      <c r="S12" s="286"/>
      <c r="T12" s="280"/>
      <c r="U12" s="286"/>
      <c r="V12" s="286"/>
      <c r="W12" s="286"/>
      <c r="X12" s="96"/>
      <c r="Y12" s="286"/>
      <c r="Z12" s="1671"/>
      <c r="AA12" s="3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ht="15.5" x14ac:dyDescent="0.35">
      <c r="A13" s="285"/>
      <c r="B13" s="993"/>
      <c r="C13" s="993"/>
      <c r="D13" s="280"/>
      <c r="E13" s="640"/>
      <c r="F13" s="1249">
        <v>5</v>
      </c>
      <c r="G13" s="1249"/>
      <c r="H13" s="1249"/>
      <c r="I13" s="1342">
        <f t="shared" si="2"/>
        <v>210.79500000000002</v>
      </c>
      <c r="J13" s="1281">
        <f t="shared" si="3"/>
        <v>209.16700000000003</v>
      </c>
      <c r="K13" s="1281">
        <f>SUMIF(F30:F955,5,K30:K955)</f>
        <v>0</v>
      </c>
      <c r="L13" s="1281">
        <f>SUMIF(F30:F955,5,L30:L955)</f>
        <v>1.6280000000000001</v>
      </c>
      <c r="M13" s="1281">
        <f>SUMIF(F30:F955,5,M30:M955)</f>
        <v>0</v>
      </c>
      <c r="N13" s="1281">
        <f>SUMIF(F30:F955,5,N30:N955)</f>
        <v>71.953000000000017</v>
      </c>
      <c r="O13" s="1251">
        <f>SUMIF(F30:F955,5,O30:O955)</f>
        <v>3.1</v>
      </c>
      <c r="P13" s="1317">
        <f>SUMIF(F30:F955,5,P30:P955)</f>
        <v>0</v>
      </c>
      <c r="Q13" s="1252">
        <f>SUMIF(F30:F955,5,Q30:Q955)</f>
        <v>127.12200000000003</v>
      </c>
      <c r="R13" s="1256">
        <f>SUMIF(F30:F955,5,R30:R955)</f>
        <v>6.992</v>
      </c>
      <c r="S13" s="286"/>
      <c r="T13" s="280"/>
      <c r="U13" s="286"/>
      <c r="V13" s="286"/>
      <c r="W13" s="286"/>
      <c r="X13" s="96"/>
      <c r="Y13" s="286"/>
      <c r="Z13" s="1671"/>
      <c r="AA13" s="3"/>
      <c r="AD13" s="2777" t="s">
        <v>11126</v>
      </c>
      <c r="AE13" s="2776"/>
      <c r="AF13" s="2778">
        <v>79</v>
      </c>
      <c r="AG13" s="2783">
        <f>M12+N12+O12</f>
        <v>165.98000000000005</v>
      </c>
      <c r="AH13" s="2783">
        <f>M13+N13+O13</f>
        <v>75.053000000000011</v>
      </c>
      <c r="AI13" s="2784">
        <f>M14+N14+O14</f>
        <v>14.275999999999998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ht="15.5" x14ac:dyDescent="0.35">
      <c r="A14" s="285"/>
      <c r="B14" s="993"/>
      <c r="C14" s="993"/>
      <c r="D14" s="280"/>
      <c r="E14" s="640"/>
      <c r="F14" s="1249" t="s">
        <v>448</v>
      </c>
      <c r="G14" s="1249"/>
      <c r="H14" s="1249"/>
      <c r="I14" s="1250">
        <f>J14+K14+L14</f>
        <v>171.59599999999995</v>
      </c>
      <c r="J14" s="1250">
        <f>R14+Q14+P14+O14+N14+M14</f>
        <v>171.29099999999994</v>
      </c>
      <c r="K14" s="1250">
        <f>K15+K16+K17</f>
        <v>0</v>
      </c>
      <c r="L14" s="1250">
        <f>L15+L16+L17</f>
        <v>0.30499999999999994</v>
      </c>
      <c r="M14" s="1250">
        <f t="shared" ref="M14:R14" si="4">M15+M16+M17</f>
        <v>0</v>
      </c>
      <c r="N14" s="1250">
        <f t="shared" si="4"/>
        <v>14.275999999999998</v>
      </c>
      <c r="O14" s="1251">
        <f t="shared" si="4"/>
        <v>0</v>
      </c>
      <c r="P14" s="1317">
        <f t="shared" si="4"/>
        <v>0</v>
      </c>
      <c r="Q14" s="1252">
        <f t="shared" si="4"/>
        <v>15.905000000000001</v>
      </c>
      <c r="R14" s="1256">
        <f t="shared" si="4"/>
        <v>141.10999999999993</v>
      </c>
      <c r="S14" s="286"/>
      <c r="T14" s="280"/>
      <c r="U14" s="286"/>
      <c r="V14" s="286"/>
      <c r="W14" s="286"/>
      <c r="X14" s="96"/>
      <c r="Y14" s="286"/>
      <c r="Z14" s="1671"/>
      <c r="AA14" s="3"/>
      <c r="AD14" s="2777" t="s">
        <v>11127</v>
      </c>
      <c r="AE14" s="2776"/>
      <c r="AF14" s="2778">
        <v>80</v>
      </c>
      <c r="AG14" s="2785">
        <f>P12+Q12</f>
        <v>61.203999999999994</v>
      </c>
      <c r="AH14" s="2785">
        <f>P13+Q13</f>
        <v>127.12200000000003</v>
      </c>
      <c r="AI14" s="2786">
        <f>P14+Q14</f>
        <v>15.905000000000001</v>
      </c>
      <c r="AK14" s="2815" t="s">
        <v>11230</v>
      </c>
      <c r="AL14" s="2579">
        <f>SUMIFS(M30:M953,F30:F953,4,G30:G953,3)</f>
        <v>0</v>
      </c>
      <c r="AM14" s="2817"/>
    </row>
    <row r="15" spans="1:39" ht="15.5" x14ac:dyDescent="0.35">
      <c r="A15" s="285"/>
      <c r="B15" s="993"/>
      <c r="C15" s="993"/>
      <c r="D15" s="280"/>
      <c r="E15" s="640"/>
      <c r="F15" s="1253" t="s">
        <v>827</v>
      </c>
      <c r="G15" s="1249"/>
      <c r="H15" s="1249"/>
      <c r="I15" s="1318">
        <f>J15+K15+L15</f>
        <v>38.045000000000002</v>
      </c>
      <c r="J15" s="1318">
        <f>R15+Q15+P15+O15+N15+M15</f>
        <v>38.010000000000005</v>
      </c>
      <c r="K15" s="1318">
        <f>SUMIF(F30:F954,"=6а",K30:K954)</f>
        <v>0</v>
      </c>
      <c r="L15" s="1318">
        <f>SUMIF(F30:F954,"=6а",L30:L954)</f>
        <v>3.499999999999992E-2</v>
      </c>
      <c r="M15" s="1318">
        <f>SUMIF(F30:F954,"=6а",M30:M954)</f>
        <v>0</v>
      </c>
      <c r="N15" s="1318">
        <f>SUMIF(F30:F954,"=6а",N30:N954)</f>
        <v>8.6939999999999991</v>
      </c>
      <c r="O15" s="1319">
        <f>SUMIF(F30:F954,"=6а",O30:O954)</f>
        <v>0</v>
      </c>
      <c r="P15" s="1320">
        <f>SUMIF(F30:F954,"=6а",P30:P954)</f>
        <v>0</v>
      </c>
      <c r="Q15" s="1321">
        <f>SUMIF(F30:F954,"=6а",Q30:Q954)</f>
        <v>12.21</v>
      </c>
      <c r="R15" s="1322">
        <f>SUMIF(F30:F954,"=6а",R30:R954)</f>
        <v>17.106000000000002</v>
      </c>
      <c r="S15" s="286"/>
      <c r="T15" s="280"/>
      <c r="U15" s="286"/>
      <c r="V15" s="286"/>
      <c r="W15" s="286"/>
      <c r="X15" s="96"/>
      <c r="Y15" s="286"/>
      <c r="Z15" s="1671"/>
      <c r="AA15" s="3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6.992</v>
      </c>
      <c r="AI15" s="2788">
        <f>R14</f>
        <v>141.10999999999993</v>
      </c>
      <c r="AK15" s="2815" t="s">
        <v>11231</v>
      </c>
      <c r="AL15" s="2579">
        <f>SUMIFS(N30:N953,F30:F953,4,G30:G953,3)</f>
        <v>0</v>
      </c>
      <c r="AM15" s="2817"/>
    </row>
    <row r="16" spans="1:39" ht="15.5" x14ac:dyDescent="0.35">
      <c r="A16" s="285"/>
      <c r="B16" s="993"/>
      <c r="C16" s="993"/>
      <c r="D16" s="280"/>
      <c r="E16" s="1265"/>
      <c r="F16" s="1254" t="s">
        <v>1490</v>
      </c>
      <c r="G16" s="1249"/>
      <c r="H16" s="1249"/>
      <c r="I16" s="1318">
        <f>J16+K16+L16</f>
        <v>44.530999999999999</v>
      </c>
      <c r="J16" s="1318">
        <f>R16+Q16+P16+O16+N16+M16</f>
        <v>44.260999999999996</v>
      </c>
      <c r="K16" s="1318">
        <f>SUMIF(F30:F955,"=6б",K30:K955)</f>
        <v>0</v>
      </c>
      <c r="L16" s="1318">
        <f>SUMIF(F30:F955,"=6б",L30:L955)</f>
        <v>0.27</v>
      </c>
      <c r="M16" s="1318">
        <f>SUMIF(F30:F955,"=6б",M30:M955)</f>
        <v>0</v>
      </c>
      <c r="N16" s="1318">
        <f>SUMIF(F30:F955,"=6б",N30:N955)</f>
        <v>5.4119999999999999</v>
      </c>
      <c r="O16" s="1319">
        <f>SUMIF(F30:F955,"=6б",O30:O955)</f>
        <v>0</v>
      </c>
      <c r="P16" s="1320">
        <f>SUMIF(F30:F955,"=6б",P30:P955)</f>
        <v>0</v>
      </c>
      <c r="Q16" s="1321">
        <f>SUMIF(F30:F955,"=6б",Q30:Q955)</f>
        <v>3.6949999999999994</v>
      </c>
      <c r="R16" s="1322">
        <f>SUMIF(F30:F955,"=6б",R30:R955)</f>
        <v>35.153999999999996</v>
      </c>
      <c r="S16" s="286"/>
      <c r="T16" s="280"/>
      <c r="U16" s="286"/>
      <c r="V16" s="286"/>
      <c r="W16" s="286"/>
      <c r="X16" s="96"/>
      <c r="Y16" s="286"/>
      <c r="Z16" s="1671"/>
      <c r="AA16" s="3"/>
      <c r="AK16" s="2815" t="s">
        <v>11232</v>
      </c>
      <c r="AL16" s="2579">
        <f>SUMIFS(O30:O953,F30:F953,4,G30:G953,3)</f>
        <v>0</v>
      </c>
      <c r="AM16" s="2817"/>
    </row>
    <row r="17" spans="1:39" ht="15.5" x14ac:dyDescent="0.35">
      <c r="A17" s="285"/>
      <c r="B17" s="993"/>
      <c r="C17" s="993"/>
      <c r="D17" s="280"/>
      <c r="E17" s="1265"/>
      <c r="F17" s="2271" t="s">
        <v>449</v>
      </c>
      <c r="G17" s="1249"/>
      <c r="H17" s="1249"/>
      <c r="I17" s="2272">
        <f>J17+K17+L17</f>
        <v>89.019999999999939</v>
      </c>
      <c r="J17" s="2272">
        <f>R17+Q17+P17+O17+N17+M17</f>
        <v>89.019999999999939</v>
      </c>
      <c r="K17" s="2272">
        <f>SUMIF(F30:F956,"=б/к",K30:K956)</f>
        <v>0</v>
      </c>
      <c r="L17" s="2272">
        <f>SUMIF(F30:F956,"=б/к",L30:L956)</f>
        <v>0</v>
      </c>
      <c r="M17" s="2272">
        <f>SUMIF(F30:F956,"=б/к",M30:M956)</f>
        <v>0</v>
      </c>
      <c r="N17" s="2272">
        <f>SUMIF(F30:F956,"=б/к",N30:N956)</f>
        <v>0.17</v>
      </c>
      <c r="O17" s="2272">
        <f>SUMIF(F30:F956,"=б/к",O30:O956)</f>
        <v>0</v>
      </c>
      <c r="P17" s="2272">
        <f>SUMIF(F30:F956,"=б/к",P30:P956)</f>
        <v>0</v>
      </c>
      <c r="Q17" s="2273">
        <f>SUMIF(F30:F956,"=б/к",Q30:Q956)</f>
        <v>0</v>
      </c>
      <c r="R17" s="2274">
        <f>SUMIF(F30:F956,"=б/к",R30:R956)</f>
        <v>88.849999999999937</v>
      </c>
      <c r="S17" s="286"/>
      <c r="T17" s="280"/>
      <c r="U17" s="286"/>
      <c r="V17" s="286"/>
      <c r="W17" s="286"/>
      <c r="X17" s="96"/>
      <c r="Y17" s="286"/>
      <c r="Z17" s="1671"/>
      <c r="AA17" s="3"/>
      <c r="AK17" s="2815" t="s">
        <v>11233</v>
      </c>
      <c r="AL17" s="2579">
        <f>SUMIFS(P30:P953,F30:F953,4,G30:G953,3)+SUMIFS(Q30:Q953,F30:F953,4,G30:G953,3)</f>
        <v>0</v>
      </c>
      <c r="AM17" s="2817"/>
    </row>
    <row r="18" spans="1:39" ht="15.5" x14ac:dyDescent="0.35">
      <c r="A18" s="285"/>
      <c r="B18" s="993"/>
      <c r="C18" s="993"/>
      <c r="D18" s="280"/>
      <c r="E18" s="1266"/>
      <c r="F18" s="1266" t="s">
        <v>3303</v>
      </c>
      <c r="G18" s="1241">
        <v>3</v>
      </c>
      <c r="H18" s="1241"/>
      <c r="I18" s="1286">
        <f t="shared" si="2"/>
        <v>0</v>
      </c>
      <c r="J18" s="1286">
        <f t="shared" si="3"/>
        <v>0</v>
      </c>
      <c r="K18" s="1286">
        <f>SUMIF(G30:G955,3,K30:K955)</f>
        <v>0</v>
      </c>
      <c r="L18" s="1286">
        <f>SUMIF(G30:G955,3,L30:L955)</f>
        <v>0</v>
      </c>
      <c r="M18" s="1286">
        <f>SUMIF(G30:G955,3,M30:M955)</f>
        <v>0</v>
      </c>
      <c r="N18" s="1286">
        <f>SUMIF(G30:G955,3,N30:N955)</f>
        <v>0</v>
      </c>
      <c r="O18" s="1286">
        <f>SUMIF(G30:G955,3,O30:O955)</f>
        <v>0</v>
      </c>
      <c r="P18" s="1286">
        <f>SUMIF(G30:G955,3,P30:P955)</f>
        <v>0</v>
      </c>
      <c r="Q18" s="1288">
        <f>SUMIF(G30:G955,3,Q30:Q955)</f>
        <v>0</v>
      </c>
      <c r="R18" s="1289">
        <f>SUMIF(G30:G955,3,R30:R955)</f>
        <v>0</v>
      </c>
      <c r="S18" s="286"/>
      <c r="T18" s="280"/>
      <c r="U18" s="286"/>
      <c r="V18" s="286"/>
      <c r="W18" s="286"/>
      <c r="X18" s="96"/>
      <c r="Y18" s="286"/>
      <c r="Z18" s="1671"/>
      <c r="AA18" s="3"/>
      <c r="AK18" s="2815" t="s">
        <v>910</v>
      </c>
      <c r="AL18" s="2579">
        <f>SUMIFS(R30:R953,F30:F953,4,G30:G953,3)</f>
        <v>0</v>
      </c>
      <c r="AM18" s="2817"/>
    </row>
    <row r="19" spans="1:39" ht="15.5" x14ac:dyDescent="0.35">
      <c r="A19" s="285"/>
      <c r="B19" s="993"/>
      <c r="C19" s="993"/>
      <c r="D19" s="280"/>
      <c r="E19" s="98"/>
      <c r="F19" s="1240"/>
      <c r="G19" s="1241">
        <v>4</v>
      </c>
      <c r="H19" s="1241"/>
      <c r="I19" s="1286">
        <f t="shared" si="2"/>
        <v>220.58200000000005</v>
      </c>
      <c r="J19" s="1286">
        <f t="shared" si="3"/>
        <v>219.60600000000005</v>
      </c>
      <c r="K19" s="1286">
        <f>SUMIF(G30:G955,4,K30:K955)</f>
        <v>0</v>
      </c>
      <c r="L19" s="1286">
        <f>SUMIF(G30:G955,4,L30:L955)</f>
        <v>0.97600000000000087</v>
      </c>
      <c r="M19" s="1286">
        <f>SUMIF(G30:G955,4,M30:M955)</f>
        <v>0</v>
      </c>
      <c r="N19" s="1286">
        <f>SUMIF(G30:G955,4,N30:N955)</f>
        <v>147.92600000000004</v>
      </c>
      <c r="O19" s="1286">
        <f>SUMIF(G30:G955,4,O30:O955)</f>
        <v>4.9060000000000006</v>
      </c>
      <c r="P19" s="1286">
        <f>SUMIF(G30:G955,4,P30:P955)</f>
        <v>0</v>
      </c>
      <c r="Q19" s="1288">
        <f>SUMIF(G30:G955,4,Q30:Q955)</f>
        <v>61.017999999999986</v>
      </c>
      <c r="R19" s="1289">
        <f>SUMIF(G30:G955,4,R30:R955)</f>
        <v>5.7559999999999993</v>
      </c>
      <c r="S19" s="286"/>
      <c r="T19" s="280"/>
      <c r="U19" s="286"/>
      <c r="V19" s="286"/>
      <c r="W19" s="286"/>
      <c r="X19" s="96"/>
      <c r="Y19" s="286"/>
      <c r="Z19" s="1671"/>
      <c r="AA19" s="3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ht="16" thickBot="1" x14ac:dyDescent="0.4">
      <c r="A20" s="387"/>
      <c r="B20" s="994"/>
      <c r="C20" s="994"/>
      <c r="D20" s="389"/>
      <c r="E20" s="319"/>
      <c r="F20" s="1258"/>
      <c r="G20" s="1259">
        <v>5</v>
      </c>
      <c r="H20" s="1259"/>
      <c r="I20" s="1286">
        <f t="shared" si="2"/>
        <v>389.96900000000016</v>
      </c>
      <c r="J20" s="1286">
        <f t="shared" si="3"/>
        <v>388.03600000000017</v>
      </c>
      <c r="K20" s="1290">
        <f>SUMIF(G30:G955,5,K30:K955)</f>
        <v>0</v>
      </c>
      <c r="L20" s="1290">
        <f>SUMIF(G30:G955,5,L30:L955)</f>
        <v>1.9330000000000001</v>
      </c>
      <c r="M20" s="1290">
        <f>SUMIF(G30:G955,5,M30:M955)</f>
        <v>0</v>
      </c>
      <c r="N20" s="1290">
        <f>SUMIF(G30:G955,5,N30:N955)</f>
        <v>99.377000000000052</v>
      </c>
      <c r="O20" s="1290">
        <f>SUMIF(G30:G955,5,O30:O955)</f>
        <v>3.1</v>
      </c>
      <c r="P20" s="1290">
        <f>SUMIF(G30:G955,5,P30:P955)</f>
        <v>0</v>
      </c>
      <c r="Q20" s="1288">
        <f>SUMIF(G30:G955,5,Q30:Q955)</f>
        <v>143.21300000000005</v>
      </c>
      <c r="R20" s="1290">
        <f>SUMIF(G30:G955,5,R30:R955)</f>
        <v>142.346</v>
      </c>
      <c r="S20" s="391"/>
      <c r="T20" s="389"/>
      <c r="U20" s="391"/>
      <c r="V20" s="391"/>
      <c r="W20" s="391"/>
      <c r="X20" s="390"/>
      <c r="Y20" s="391"/>
      <c r="Z20" s="1672"/>
      <c r="AA20" s="3"/>
      <c r="AK20" s="2815" t="s">
        <v>11230</v>
      </c>
      <c r="AL20" s="2579">
        <f>SUMIFS(M30:M953,F30:F953,5,G30:G953,3)</f>
        <v>0</v>
      </c>
      <c r="AM20" s="2817"/>
    </row>
    <row r="21" spans="1:39" ht="15.5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B21" s="3"/>
      <c r="AK21" s="2815" t="s">
        <v>11231</v>
      </c>
      <c r="AL21" s="2579">
        <f>SUMIFS(N30:N953,F30:F953,5,G30:G953,3)</f>
        <v>0</v>
      </c>
      <c r="AM21" s="2817"/>
    </row>
    <row r="22" spans="1:39" ht="15.5" x14ac:dyDescent="0.35">
      <c r="A22" s="285"/>
      <c r="B22" s="993"/>
      <c r="C22" s="993"/>
      <c r="D22" s="538">
        <f>SUMIF(C30:C886,"=сад",AB30:AB886)</f>
        <v>3</v>
      </c>
      <c r="E22" s="2241" t="s">
        <v>2763</v>
      </c>
      <c r="F22" s="98"/>
      <c r="G22" s="226"/>
      <c r="H22" s="226"/>
      <c r="I22" s="2247">
        <f>J22+K22+L22</f>
        <v>3.2399999999999998</v>
      </c>
      <c r="J22" s="2247">
        <f>R22+Q22+P22+O22+N22+M22</f>
        <v>3.2399999999999998</v>
      </c>
      <c r="K22" s="2247">
        <f>SUMIF(C30:C886,"=сад",K30:K886)</f>
        <v>0</v>
      </c>
      <c r="L22" s="2247">
        <f>SUMIF(C30:C886,"=сад",L30:L886)</f>
        <v>0</v>
      </c>
      <c r="M22" s="2247">
        <f>SUMIF(C30:C886,"=сад",M30:M886)</f>
        <v>0</v>
      </c>
      <c r="N22" s="2247">
        <f>SUMIF(C30:C886,"=сад",N30:N886)</f>
        <v>1.7000000000000001E-2</v>
      </c>
      <c r="O22" s="2248">
        <f>SUMIF(C30:C886,"=сад",O30:O886)</f>
        <v>0</v>
      </c>
      <c r="P22" s="2247">
        <f>SUMIF(C30:C886,"=сад",P30:P886)</f>
        <v>0</v>
      </c>
      <c r="Q22" s="2249">
        <f>SUMIF(C30:C886,"=сад",Q30:Q886)</f>
        <v>0.92</v>
      </c>
      <c r="R22" s="2250">
        <f>SUMIF(C30:C886,"=сад",R30:R886)</f>
        <v>2.3029999999999999</v>
      </c>
      <c r="S22" s="275"/>
      <c r="T22" s="275"/>
      <c r="U22" s="275"/>
      <c r="V22" s="275"/>
      <c r="W22" s="275"/>
      <c r="X22" s="275"/>
      <c r="Y22" s="275"/>
      <c r="Z22" s="412"/>
      <c r="AA22" s="3"/>
      <c r="AB22" s="3"/>
      <c r="AK22" s="2815" t="s">
        <v>11232</v>
      </c>
      <c r="AL22" s="2579">
        <f>SUMIFS(O30:O953,F30:F953,5,G30:G953,3)</f>
        <v>0</v>
      </c>
      <c r="AM22" s="2817"/>
    </row>
    <row r="23" spans="1:39" ht="15.5" x14ac:dyDescent="0.35">
      <c r="A23" s="285"/>
      <c r="B23" s="993"/>
      <c r="C23" s="993"/>
      <c r="D23" s="538">
        <f>SUMIF(C30:C887,"=индив",AB30:AB887)</f>
        <v>6</v>
      </c>
      <c r="E23" s="2241" t="s">
        <v>2762</v>
      </c>
      <c r="F23" s="98"/>
      <c r="G23" s="226"/>
      <c r="H23" s="226"/>
      <c r="I23" s="2247">
        <f>J23+K23+L23</f>
        <v>3.5399999999999996</v>
      </c>
      <c r="J23" s="2247">
        <f>R23+Q23+P23+O23+N23+M23</f>
        <v>3.5399999999999996</v>
      </c>
      <c r="K23" s="2247">
        <f>SUMIF(C30:C887,"=индив",K30:K887)</f>
        <v>0</v>
      </c>
      <c r="L23" s="2247">
        <f>SUMIF(C30:C887,"=индив",L30:L887)</f>
        <v>0</v>
      </c>
      <c r="M23" s="2247">
        <f>SUMIF(C30:C887,"=индив",M30:M887)</f>
        <v>0</v>
      </c>
      <c r="N23" s="2247">
        <f>SUMIF(C30:C887,"=индив",N30:N887)</f>
        <v>2.8899999999999997</v>
      </c>
      <c r="O23" s="2248">
        <f>SUMIF(C30:C887,"=индив",O30:O887)</f>
        <v>0</v>
      </c>
      <c r="P23" s="2247">
        <f>SUMIF(C30:C887,"=индив",P30:P887)</f>
        <v>0</v>
      </c>
      <c r="Q23" s="2249">
        <f>SUMIF(C30:C887,"=индив",Q30:Q887)</f>
        <v>0.65</v>
      </c>
      <c r="R23" s="2250">
        <f>SUMIF(C30:C887,"=индив",R30:R887)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B23" s="3"/>
      <c r="AK23" s="2815" t="s">
        <v>11233</v>
      </c>
      <c r="AL23" s="2579">
        <f>SUMIFS(P30:P953,F30:F953,5,G30:G953,3)+SUMIFS(Q30:Q953,F30:F953,5,G30:G953,3)</f>
        <v>0</v>
      </c>
      <c r="AM23" s="2817"/>
    </row>
    <row r="24" spans="1:39" ht="15.5" x14ac:dyDescent="0.35">
      <c r="A24" s="285"/>
      <c r="B24" s="993"/>
      <c r="C24" s="993"/>
      <c r="D24" s="538">
        <f>SUMIF(C30:C888,"=кладб",AB30:AB888)</f>
        <v>97</v>
      </c>
      <c r="E24" s="2241" t="s">
        <v>2761</v>
      </c>
      <c r="F24" s="98"/>
      <c r="G24" s="226"/>
      <c r="H24" s="226"/>
      <c r="I24" s="2247">
        <f>J24+K24+L24</f>
        <v>46.335000000000008</v>
      </c>
      <c r="J24" s="2247">
        <f>R24+Q24+P24+O24+N24+M24</f>
        <v>46.335000000000008</v>
      </c>
      <c r="K24" s="2247">
        <f>SUMIF(C30:C888,"=кладб",K30:K888)</f>
        <v>0</v>
      </c>
      <c r="L24" s="2247">
        <f>SUMIF(C30:C888,"=кладб",L30:L888)</f>
        <v>0</v>
      </c>
      <c r="M24" s="2247">
        <f>SUMIF(C30:C888,"=кладб",M30:M888)</f>
        <v>0</v>
      </c>
      <c r="N24" s="2247">
        <f>SUMIF(C30:C888,"=кладб",N30:N888)</f>
        <v>0.17</v>
      </c>
      <c r="O24" s="2248">
        <f>SUMIF(C30:C888,"=кладб",O30:O888)</f>
        <v>0</v>
      </c>
      <c r="P24" s="2247">
        <f>SUMIF(C30:C888,"=кладб",P30:P888)</f>
        <v>0</v>
      </c>
      <c r="Q24" s="2249">
        <f>SUMIF(C30:C888,"=кладб",Q30:Q888)</f>
        <v>0</v>
      </c>
      <c r="R24" s="2250">
        <f>SUMIF(C30:C888,"=кладб",R30:R888)</f>
        <v>46.165000000000006</v>
      </c>
      <c r="S24" s="275"/>
      <c r="T24" s="275"/>
      <c r="U24" s="275"/>
      <c r="V24" s="275"/>
      <c r="W24" s="275"/>
      <c r="X24" s="275"/>
      <c r="Y24" s="275"/>
      <c r="Z24" s="412"/>
      <c r="AA24" s="3"/>
      <c r="AB24" s="3"/>
      <c r="AK24" s="2815" t="s">
        <v>910</v>
      </c>
      <c r="AL24" s="2579">
        <f>SUMIFS(R30:R953,F30:F953,5,G30:G953,3)</f>
        <v>0</v>
      </c>
      <c r="AM24" s="2817"/>
    </row>
    <row r="25" spans="1:39" ht="15.5" x14ac:dyDescent="0.35">
      <c r="A25" s="387"/>
      <c r="B25" s="994"/>
      <c r="C25" s="994"/>
      <c r="D25" s="538">
        <f>SUMIF(C30:C889,"=прир",AB30:AB889)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SUMIF(C30:C889,"=прир",K30:K889)</f>
        <v>0</v>
      </c>
      <c r="L25" s="2259">
        <f>SUMIF(C30:C889,"=прир",L30:L889)</f>
        <v>0</v>
      </c>
      <c r="M25" s="2259">
        <f>SUMIF(C30:C889,"=прир",M30:M889)</f>
        <v>0</v>
      </c>
      <c r="N25" s="2259">
        <f>SUMIF(C30:C889,"=прир",N30:N889)</f>
        <v>0</v>
      </c>
      <c r="O25" s="2260">
        <f>SUMIF(C30:C889,"=прир",O30:O889)</f>
        <v>0</v>
      </c>
      <c r="P25" s="2259">
        <f>SUMIF(C30:C889,"=прир",P30:P889)</f>
        <v>0</v>
      </c>
      <c r="Q25" s="2261">
        <f>SUMIF(C30:C889,"=прир",Q30:Q889)</f>
        <v>0</v>
      </c>
      <c r="R25" s="2262">
        <f>SUMIF(C30:C889,"=прир",R30:R889)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B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ht="15.5" x14ac:dyDescent="0.35">
      <c r="A26" s="387"/>
      <c r="B26" s="994"/>
      <c r="C26" s="994"/>
      <c r="D26" s="538">
        <f>SUMIF(C30:C890,"=ист",AB30:AB890)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SUMIF(C30:C890,"=ист",K30:K890)</f>
        <v>0</v>
      </c>
      <c r="L26" s="2259">
        <f>SUMIF(C30:C890,"=ист",L30:L890)</f>
        <v>0</v>
      </c>
      <c r="M26" s="2259">
        <f>SUMIF(C30:C890,"=ист",M30:M890)</f>
        <v>0</v>
      </c>
      <c r="N26" s="2259">
        <f>SUMIF(C30:C890,"=ист",N30:N890)</f>
        <v>0</v>
      </c>
      <c r="O26" s="2260">
        <f>SUMIF(C30:C890,"=ист",O30:O890)</f>
        <v>0</v>
      </c>
      <c r="P26" s="2259">
        <f>SUMIF(C30:C890,"=ист",P30:P890)</f>
        <v>0</v>
      </c>
      <c r="Q26" s="2261">
        <f>SUMIF(C30:C890,"=ист",Q30:Q890)</f>
        <v>0</v>
      </c>
      <c r="R26" s="2262">
        <f>SUMIF(C30:C890,"=ист",R30:R890)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B26" s="3"/>
      <c r="AK26" s="2815" t="s">
        <v>11230</v>
      </c>
      <c r="AL26" s="2579">
        <f>SUMIFS(M30:M953,F30:F953,"6а",G30:G953,3)+SUMIFS(M30:M953,F30:F953,"6б",G30:G953,3)+SUMIFS(M30:M953,F30:F953,"б/к",G30:G953,3)</f>
        <v>0</v>
      </c>
      <c r="AM26" s="2817"/>
    </row>
    <row r="27" spans="1:39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B27" s="3"/>
      <c r="AK27" s="2815" t="s">
        <v>11231</v>
      </c>
      <c r="AL27" s="2579">
        <f>SUMIFS(N30:N953,F30:F953,"6а",G30:G953,3)+SUMIFS(N30:N953,F30:F953,"6б",G30:G953,3)+SUMIFS(N30:N953,F30:F953,"б/к",G30:G953,3)</f>
        <v>0</v>
      </c>
      <c r="AM27" s="2817"/>
    </row>
    <row r="28" spans="1:39" ht="16" thickBot="1" x14ac:dyDescent="0.4">
      <c r="A28" s="450"/>
      <c r="B28" s="995"/>
      <c r="C28" s="995"/>
      <c r="D28" s="479"/>
      <c r="E28" s="451"/>
      <c r="F28" s="451"/>
      <c r="G28" s="451"/>
      <c r="H28" s="451"/>
      <c r="I28" s="2325">
        <f t="shared" ref="I28:R28" si="5">SUBTOTAL(9,I30:I607)</f>
        <v>610.55100000000016</v>
      </c>
      <c r="J28" s="2325">
        <f t="shared" si="5"/>
        <v>607.64200000000017</v>
      </c>
      <c r="K28" s="2325">
        <f t="shared" si="5"/>
        <v>0</v>
      </c>
      <c r="L28" s="2325">
        <f t="shared" si="5"/>
        <v>5.8180000000000014</v>
      </c>
      <c r="M28" s="2325">
        <f t="shared" si="5"/>
        <v>0</v>
      </c>
      <c r="N28" s="2325">
        <f t="shared" si="5"/>
        <v>410.30900000000008</v>
      </c>
      <c r="O28" s="2325">
        <f t="shared" si="5"/>
        <v>12.912000000000001</v>
      </c>
      <c r="P28" s="2325">
        <f t="shared" si="5"/>
        <v>0</v>
      </c>
      <c r="Q28" s="2325">
        <f t="shared" si="5"/>
        <v>341.39799999999991</v>
      </c>
      <c r="R28" s="2325">
        <f t="shared" si="5"/>
        <v>187.08900000000006</v>
      </c>
      <c r="S28" s="480"/>
      <c r="T28" s="479"/>
      <c r="U28" s="480"/>
      <c r="V28" s="480"/>
      <c r="W28" s="480"/>
      <c r="X28" s="481"/>
      <c r="Y28" s="480"/>
      <c r="Z28" s="482"/>
      <c r="AA28" s="3"/>
      <c r="AB28" s="2322">
        <f>SUBTOTAL(9,AB30:AB607)</f>
        <v>250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SUMIFS(O30:O953,F30:F953,"6а",G30:G953,3)+SUMIFS(O30:O953,F30:F953,"6б",G30:G953,3)+SUMIFS(O30:O953,F30:F953,"б/к",G30:G953,3)</f>
        <v>0</v>
      </c>
      <c r="AM28" s="2817"/>
    </row>
    <row r="29" spans="1:39" ht="15.5" x14ac:dyDescent="0.35">
      <c r="A29" s="474"/>
      <c r="B29" s="1030"/>
      <c r="C29" s="1030"/>
      <c r="D29" s="475"/>
      <c r="E29" s="476" t="s">
        <v>2871</v>
      </c>
      <c r="F29" s="477"/>
      <c r="G29" s="477"/>
      <c r="H29" s="477"/>
      <c r="I29" s="566"/>
      <c r="J29" s="566"/>
      <c r="K29" s="566"/>
      <c r="L29" s="566"/>
      <c r="M29" s="566"/>
      <c r="N29" s="566"/>
      <c r="O29" s="567"/>
      <c r="P29" s="566"/>
      <c r="Q29" s="883"/>
      <c r="R29" s="881"/>
      <c r="S29" s="44"/>
      <c r="T29" s="44"/>
      <c r="U29" s="44"/>
      <c r="V29" s="44"/>
      <c r="W29" s="44"/>
      <c r="X29" s="1667"/>
      <c r="Y29" s="44"/>
      <c r="Z29" s="1668"/>
      <c r="AA29" s="3"/>
      <c r="AD29" s="2578" t="s">
        <v>7180</v>
      </c>
      <c r="AE29" s="2579">
        <f>SUMIFS(M30:M888,F30:F888,3,G30:G888,3)+SUMIFS(N30:N888,F30:F888,3,G30:G888,3)+SUMIFS(O30:O888,F30:F888,3,G30:G888,3)+SUMIFS(P30:P888,F30:F888,3,G30:G888,3)+SUMIFS(Q30:Q888,F30:F888,3,G30:G888,3)+SUMIFS(R30:R888,F30:F888,3,G30:G888,3)</f>
        <v>0</v>
      </c>
      <c r="AF29" s="2579">
        <f>SUMIFS(M30:M888,F30:F888,4,G30:G888,3)+SUMIFS(N30:N888,F30:F888,4,G30:G888,3)+SUMIFS(O30:O888,F30:F888,4,G30:G888,3)+SUMIFS(P30:P888,F30:F888,4,G30:G888,3)+SUMIFS(Q30:Q888,F30:F888,4,G30:G888,3)+SUMIFS(R30:R888,F30:F888,4,G30:G888,3)</f>
        <v>0</v>
      </c>
      <c r="AG29" s="2579">
        <f>SUMIFS(M30:M888,F30:F888,5,G30:G888,3)+SUMIFS(N30:N888,F30:F888,5,G30:G888,3)+SUMIFS(O30:O888,F30:F888,5,G30:G888,3)+SUMIFS(P30:P888,F30:F888,5,G30:G888,3)+SUMIFS(Q30:Q888,F30:F888,5,G30:G888,3)+SUMIFS(R30:R888,F30:F888,5,G30:G888,3)</f>
        <v>0</v>
      </c>
      <c r="AH29" s="2579">
        <f>SUMIFS(M30:M888,F30:F888,"6а",G30:G888,3)+SUMIFS(N30:N888,F30:F888,"6а",G30:G888,3)+SUMIFS(O30:O888,F30:F888,"6а",G30:G888,3)+SUMIFS(P30:P888,F30:F888,"6а",G30:G888,3)+SUMIFS(Q30:Q888,F30:F888,"6а",G30:G888,3)+SUMIFS(R30:R888,F30:F888,"6а",G30:G888,3)</f>
        <v>0</v>
      </c>
      <c r="AI29" s="2579">
        <f>SUMIFS(M30:M888,F30:F888,"6б",G30:G888,3)+SUMIFS(N30:N888,F30:F888,"6б",G30:G888,3)+SUMIFS(O30:O888,F30:F888,"6б",G30:G888,3)+SUMIFS(P30:P888,F30:F888,"6б",G30:G888,3)+SUMIFS(Q30:Q888,F30:F888,"6б",G30:G888,3)+SUMIFS(R30:R888,F30:F888,"6б",G30:G888,3)</f>
        <v>0</v>
      </c>
      <c r="AJ29" s="2580">
        <f>SUMIFS(M30:M888,F30:F888,"б/к",G30:G888,3)+SUMIFS(N30:N888,F30:F888,"б/к",G30:G888,3)+SUMIFS(O30:O888,F30:F888,"б/к",G30:G888,3)+SUMIFS(P30:P888,F30:F888,"б/к",G30:G888,3)+SUMIFS(Q30:Q888,F30:F888,"б/к",G30:G888,3)+SUMIFS(R30:R888,F30:F888,"б/к",G30:G888,3)</f>
        <v>0</v>
      </c>
      <c r="AK29" s="2815" t="s">
        <v>11233</v>
      </c>
      <c r="AL29" s="2579">
        <f>SUMIFS(P30:P953,F30:F953,"6а",G30:G953,3)+SUMIFS(Q30:Q953,F30:F953,"6а",G30:G953,3)+SUMIFS(P30:P953,F30:F953,"6б",G30:G953,3)+SUMIFS(Q30:Q953,F30:F953,"6б",G30:G953,3)+SUMIFS(P30:P953,F30:F953,"б/к",G30:G953,3)+SUMIFS(Q30:Q953,F30:F953,"б/к",G30:G953,3)</f>
        <v>0</v>
      </c>
      <c r="AM29" s="2817"/>
    </row>
    <row r="30" spans="1:39" ht="30" x14ac:dyDescent="0.35">
      <c r="A30" s="347">
        <v>1</v>
      </c>
      <c r="B30" s="358">
        <v>10301</v>
      </c>
      <c r="C30" s="358"/>
      <c r="D30" s="358" t="s">
        <v>1745</v>
      </c>
      <c r="E30" s="288" t="s">
        <v>3592</v>
      </c>
      <c r="F30" s="13"/>
      <c r="G30" s="13" t="s">
        <v>191</v>
      </c>
      <c r="H30" s="13" t="s">
        <v>191</v>
      </c>
      <c r="I30" s="501">
        <f>J30+K30+L30</f>
        <v>32.165999999999997</v>
      </c>
      <c r="J30" s="501">
        <f>SUM(M30:R30)</f>
        <v>32.165999999999997</v>
      </c>
      <c r="K30" s="501"/>
      <c r="L30" s="501"/>
      <c r="M30" s="501"/>
      <c r="N30" s="501">
        <f>SUM(N32:N34)</f>
        <v>24.965999999999998</v>
      </c>
      <c r="O30" s="568"/>
      <c r="P30" s="501"/>
      <c r="Q30" s="860">
        <f>SUM(Q32:Q34)</f>
        <v>7.1999999999999993</v>
      </c>
      <c r="R30" s="870"/>
      <c r="S30" s="55">
        <v>4</v>
      </c>
      <c r="T30" s="1962">
        <v>71.099999999999994</v>
      </c>
      <c r="U30" s="154"/>
      <c r="V30" s="154"/>
      <c r="W30" s="55">
        <v>66</v>
      </c>
      <c r="X30" s="2432">
        <v>946.93</v>
      </c>
      <c r="Y30" s="55">
        <v>29</v>
      </c>
      <c r="Z30" s="2433">
        <v>321</v>
      </c>
      <c r="AA30" s="3"/>
      <c r="AB30">
        <v>1</v>
      </c>
      <c r="AD30" s="2578" t="s">
        <v>7181</v>
      </c>
      <c r="AE30" s="2579">
        <f>SUMIFS(M30:M888,F30:F888,3,G30:G888,4)+SUMIFS(N30:N888,F30:F888,3,G30:G888,4)+SUMIFS(O30:O888,F30:F888,3,G30:G888,4)+SUMIFS(P30:P888,F30:F888,3,G30:G888,4)+SUMIFS(Q30:Q888,F30:F888,3,G30:G888,4)+SUMIFS(R30:R888,F30:F888,3,G30:G888,4)</f>
        <v>0</v>
      </c>
      <c r="AF30" s="2579">
        <f>SUMIFS(M30:M888,F30:F888,4,G30:G888,4)+SUMIFS(N30:N888,F30:F888,4,G30:G888,4)+SUMIFS(O30:O888,F30:F888,4,G30:G888,4)+SUMIFS(P30:P888,F30:F888,4,G30:G888,4)+SUMIFS(Q30:Q888,F30:F888,4,G30:G888,4)+SUMIFS(R30:R888,F30:F888,4,G30:G888,4)</f>
        <v>172.655</v>
      </c>
      <c r="AG30" s="2579">
        <f>SUMIFS(M30:M888,F30:F888,5,G30:G888,4)+SUMIFS(N30:N888,F30:F888,5,G30:G888,4)+SUMIFS(O30:O888,F30:F888,5,G30:G888,4)+SUMIFS(P30:P888,F30:F888,5,G30:G888,4)+SUMIFS(Q30:Q888,F30:F888,5,G30:G888,4)+SUMIFS(R30:R888,F30:F888,5,G30:G888,4)</f>
        <v>41.445000000000007</v>
      </c>
      <c r="AH30" s="2579">
        <f>SUMIFS(M30:M888,F30:F888,"6а",G30:G888,4)+SUMIFS(N30:N888,F30:F888,"6а",G30:G888,4)+SUMIFS(O30:O888,F30:F888,"6а",G30:G888,4)+SUMIFS(P30:P888,F30:F888,"6а",G30:G888,4)+SUMIFS(Q30:Q888,F30:F888,"6а",G30:G888,4)+SUMIFS(R30:R888,F30:F888,"6а",G30:G888,4)</f>
        <v>1.0259999999999998</v>
      </c>
      <c r="AI30" s="2579">
        <f>SUMIFS(M30:M888,F30:F888,"6б",G30:G888,4)+SUMIFS(N30:N888,F30:F888,"6б",G30:G888,4)+SUMIFS(O30:O888,F30:F888,"6б",G30:G888,4)+SUMIFS(P30:P888,F30:F888,"6б",G30:G888,4)+SUMIFS(Q30:Q888,F30:F888,"6б",G30:G888,4)+SUMIFS(R30:R888,F30:F888,"6б",G30:G888,4)</f>
        <v>0</v>
      </c>
      <c r="AJ30" s="2580">
        <f>SUMIFS(M30:M888,F30:F888,"б/к",G30:G888,4)+SUMIFS(N30:N888,F30:F888,"б/к",G30:G888,4)+SUMIFS(O30:O888,F30:F888,"б/к",G30:G888,4)+SUMIFS(P30:P888,F30:F888,"б/к",G30:G888,4)+SUMIFS(Q30:Q888,F30:F888,"б/к",G30:G888,4)+SUMIFS(R30:R888,F30:F888,"б/к",G30:G888,4)</f>
        <v>4.4799999999999995</v>
      </c>
      <c r="AK30" s="2815" t="s">
        <v>910</v>
      </c>
      <c r="AL30" s="2579">
        <f>SUMIFS(R30:R953,F30:F953,"6а",G30:G953,3)+SUMIFS(R30:R953,F30:F953,"6б",G30:G953,3)+SUMIFS(R30:R953,F30:F953,"б/к",G30:G953,3)</f>
        <v>0</v>
      </c>
      <c r="AM30" s="2817"/>
    </row>
    <row r="31" spans="1:39" ht="46.5" x14ac:dyDescent="0.35">
      <c r="A31" s="347"/>
      <c r="B31" s="358"/>
      <c r="C31" s="358"/>
      <c r="D31" s="358"/>
      <c r="E31" s="289" t="s">
        <v>9970</v>
      </c>
      <c r="F31" s="13"/>
      <c r="G31" s="13" t="s">
        <v>191</v>
      </c>
      <c r="H31" s="13" t="s">
        <v>191</v>
      </c>
      <c r="I31" s="501"/>
      <c r="J31" s="501"/>
      <c r="K31" s="501"/>
      <c r="L31" s="501"/>
      <c r="M31" s="501"/>
      <c r="N31" s="501"/>
      <c r="O31" s="568"/>
      <c r="P31" s="501"/>
      <c r="Q31" s="860"/>
      <c r="R31" s="870"/>
      <c r="S31" s="55"/>
      <c r="T31" s="1962"/>
      <c r="U31" s="154"/>
      <c r="V31" s="154"/>
      <c r="W31" s="55"/>
      <c r="X31" s="2432"/>
      <c r="Y31" s="55"/>
      <c r="Z31" s="2433"/>
      <c r="AA31" s="3"/>
      <c r="AD31" s="2581" t="s">
        <v>7182</v>
      </c>
      <c r="AE31" s="2582">
        <f>SUMIFS(M30:M888,F30:F888,3,G30:G888,5)+SUMIFS(N30:N888,F30:F888,3,G30:G888,5)+SUMIFS(O30:O888,F30:F888,3,G30:G888,5)+SUMIFS(P30:P888,F30:F888,3,G30:G888,5)+SUMIFS(Q30:Q888,F30:F888,3,G30:G888,5)+SUMIFS(R30:R888,F30:F888,3,G30:G888,5)</f>
        <v>0</v>
      </c>
      <c r="AF31" s="2582">
        <f>SUMIFS(M30:M888,F30:F888,4,G30:G888,5)+SUMIFS(N30:N888,F30:F888,4,G30:G888,5)+SUMIFS(O30:O888,F30:F888,4,G30:G888,5)+SUMIFS(P30:P888,F30:F888,4,G30:G888,5)+SUMIFS(Q30:Q888,F30:F888,4,G30:G888,5)+SUMIFS(R30:R888,F30:F888,4,G30:G888,5)</f>
        <v>54.528999999999996</v>
      </c>
      <c r="AG31" s="2582">
        <f>SUMIFS(M30:M888,F30:F888,5,G30:G888,5)+SUMIFS(N30:N888,F30:F888,5,G30:G888,5)+SUMIFS(O30:O888,F30:F888,5,G30:G888,5)+SUMIFS(P30:P888,F30:F888,5,G30:G888,5)+SUMIFS(Q30:Q888,F30:F888,5,G30:G888,5)+SUMIFS(R30:R888,F30:F888,5,G30:G888,5)</f>
        <v>167.72200000000001</v>
      </c>
      <c r="AH31" s="2582">
        <f>SUMIFS(M30:M888,F30:F888,"6а",G30:G888,5)+SUMIFS(N30:N888,F30:F888,"6а",G30:G888,5)+SUMIFS(O30:O888,F30:F888,"6а",G30:G888,5)+SUMIFS(P30:P888,F30:F888,"6а",G30:G888,5)+SUMIFS(Q30:Q888,F30:F888,"6а",G30:G888,5)+SUMIFS(R30:R888,F30:F888,"6а",G30:G888,5)</f>
        <v>36.983999999999995</v>
      </c>
      <c r="AI31" s="2582">
        <f>SUMIFS(M30:M888,F30:F888,"6б",G30:G888,5)+SUMIFS(N30:N888,F30:F888,"6б",G30:G888,5)+SUMIFS(O30:O888,F30:F888,"6б",G30:G888,5)+SUMIFS(P30:P888,F30:F888,"6б",G30:G888,5)+SUMIFS(Q30:Q888,F30:F888,"6б",G30:G888,5)+SUMIFS(R30:R888,F30:F888,"6б",G30:G888,5)</f>
        <v>44.260999999999996</v>
      </c>
      <c r="AJ31" s="2583">
        <f>SUMIFS(M30:M888,F30:F888,"б/к",G30:G888,5)+SUMIFS(N30:N888,F30:F888,"б/к",G30:G888,5)+SUMIFS(O30:O888,F30:F888,"б/к",G30:G888,5)+SUMIFS(P30:P888,F30:F888,"б/к",G30:G888,5)+SUMIFS(Q30:Q888,F30:F888,"б/к",G30:G888,5)+SUMIFS(R30:R888,F30:F888,"б/к",G30:G888,5)</f>
        <v>84.539999999999935</v>
      </c>
      <c r="AK31" s="2815"/>
      <c r="AL31" s="2579"/>
      <c r="AM31" s="2817"/>
    </row>
    <row r="32" spans="1:39" ht="15.5" x14ac:dyDescent="0.35">
      <c r="A32" s="347"/>
      <c r="B32" s="358"/>
      <c r="C32" s="358"/>
      <c r="D32" s="358"/>
      <c r="E32" s="289" t="s">
        <v>929</v>
      </c>
      <c r="F32" s="13">
        <v>4</v>
      </c>
      <c r="G32" s="13">
        <v>4</v>
      </c>
      <c r="H32" s="13">
        <v>6</v>
      </c>
      <c r="I32" s="502"/>
      <c r="J32" s="502"/>
      <c r="K32" s="502"/>
      <c r="L32" s="502"/>
      <c r="M32" s="502"/>
      <c r="N32" s="502">
        <v>20.5</v>
      </c>
      <c r="O32" s="569"/>
      <c r="P32" s="502"/>
      <c r="Q32" s="1859"/>
      <c r="R32" s="1868"/>
      <c r="S32" s="55"/>
      <c r="T32" s="1962"/>
      <c r="U32" s="154"/>
      <c r="V32" s="154"/>
      <c r="W32" s="55"/>
      <c r="X32" s="2432"/>
      <c r="Y32" s="55"/>
      <c r="Z32" s="2433"/>
      <c r="AA32" s="3"/>
      <c r="AE32" s="1572"/>
      <c r="AI32" s="2584" t="s">
        <v>7183</v>
      </c>
      <c r="AJ32" s="2585">
        <f>SUMIF(AB30:AB888,"=1",J30:J888)</f>
        <v>607.64200000000017</v>
      </c>
      <c r="AK32" s="2818" t="s">
        <v>11235</v>
      </c>
      <c r="AL32" s="2821">
        <f>AL34+AL40+AL46</f>
        <v>219.60600000000002</v>
      </c>
      <c r="AM32" s="2820">
        <f>AL32-J19</f>
        <v>0</v>
      </c>
    </row>
    <row r="33" spans="1:39" ht="15.5" x14ac:dyDescent="0.35">
      <c r="A33" s="347"/>
      <c r="B33" s="358"/>
      <c r="C33" s="358"/>
      <c r="D33" s="358"/>
      <c r="E33" s="837" t="s">
        <v>930</v>
      </c>
      <c r="F33" s="13">
        <v>4</v>
      </c>
      <c r="G33" s="13">
        <v>4</v>
      </c>
      <c r="H33" s="13">
        <v>6</v>
      </c>
      <c r="I33" s="502"/>
      <c r="J33" s="502"/>
      <c r="K33" s="502"/>
      <c r="L33" s="502"/>
      <c r="M33" s="502"/>
      <c r="N33" s="502"/>
      <c r="O33" s="569"/>
      <c r="P33" s="502"/>
      <c r="Q33" s="1859">
        <f>27.7-20.5</f>
        <v>7.1999999999999993</v>
      </c>
      <c r="R33" s="1868"/>
      <c r="S33" s="55"/>
      <c r="T33" s="1962"/>
      <c r="U33" s="154"/>
      <c r="V33" s="154"/>
      <c r="W33" s="55"/>
      <c r="X33" s="2432"/>
      <c r="Y33" s="55"/>
      <c r="Z33" s="2433"/>
      <c r="AA33" s="3"/>
      <c r="AE33" s="1572"/>
      <c r="AJ33" s="2585">
        <f>SUM(AE29:AJ31)-AJ32</f>
        <v>0</v>
      </c>
      <c r="AK33" s="2815" t="s">
        <v>11229</v>
      </c>
      <c r="AL33" s="2579"/>
      <c r="AM33" s="2817"/>
    </row>
    <row r="34" spans="1:39" ht="15.5" x14ac:dyDescent="0.35">
      <c r="A34" s="347"/>
      <c r="B34" s="358"/>
      <c r="C34" s="358"/>
      <c r="D34" s="358"/>
      <c r="E34" s="289" t="s">
        <v>3593</v>
      </c>
      <c r="F34" s="13">
        <v>4</v>
      </c>
      <c r="G34" s="13">
        <v>4</v>
      </c>
      <c r="H34" s="13">
        <v>6</v>
      </c>
      <c r="I34" s="502"/>
      <c r="J34" s="502"/>
      <c r="K34" s="502"/>
      <c r="L34" s="502"/>
      <c r="M34" s="502"/>
      <c r="N34" s="502">
        <f>32.166-27.7</f>
        <v>4.4659999999999975</v>
      </c>
      <c r="O34" s="569"/>
      <c r="P34" s="502"/>
      <c r="Q34" s="1859"/>
      <c r="R34" s="1868"/>
      <c r="S34" s="55"/>
      <c r="T34" s="1962"/>
      <c r="U34" s="154"/>
      <c r="V34" s="154"/>
      <c r="W34" s="55"/>
      <c r="X34" s="2432"/>
      <c r="Y34" s="55"/>
      <c r="Z34" s="2433"/>
      <c r="AA34" s="3"/>
      <c r="AK34" s="2818" t="s">
        <v>7184</v>
      </c>
      <c r="AL34" s="2821">
        <f>AL35+AL36+AL37+AL38+AL39</f>
        <v>172.655</v>
      </c>
      <c r="AM34" s="2820">
        <f>AL34-AF30</f>
        <v>0</v>
      </c>
    </row>
    <row r="35" spans="1:39" ht="30.5" x14ac:dyDescent="0.35">
      <c r="A35" s="347">
        <v>2</v>
      </c>
      <c r="B35" s="358">
        <v>10301</v>
      </c>
      <c r="C35" s="358"/>
      <c r="D35" s="2464" t="s">
        <v>4413</v>
      </c>
      <c r="E35" s="288" t="s">
        <v>7558</v>
      </c>
      <c r="F35" s="14">
        <v>5</v>
      </c>
      <c r="G35" s="14">
        <v>5</v>
      </c>
      <c r="H35" s="13">
        <v>6</v>
      </c>
      <c r="I35" s="501">
        <f>J35+K35+L35</f>
        <v>1</v>
      </c>
      <c r="J35" s="501">
        <f>SUM(M35:R35)</f>
        <v>1</v>
      </c>
      <c r="K35" s="501"/>
      <c r="L35" s="501"/>
      <c r="M35" s="501"/>
      <c r="N35" s="501">
        <v>1</v>
      </c>
      <c r="O35" s="568"/>
      <c r="P35" s="501"/>
      <c r="Q35" s="860"/>
      <c r="R35" s="870"/>
      <c r="S35" s="154"/>
      <c r="T35" s="260"/>
      <c r="U35" s="154"/>
      <c r="V35" s="154"/>
      <c r="W35" s="55">
        <v>2</v>
      </c>
      <c r="X35" s="2432">
        <v>28.1</v>
      </c>
      <c r="Y35" s="55"/>
      <c r="Z35" s="2433"/>
      <c r="AA35" s="3"/>
      <c r="AB35">
        <v>1</v>
      </c>
      <c r="AE35" s="2461"/>
      <c r="AF35" s="2462"/>
      <c r="AK35" s="2815" t="s">
        <v>11230</v>
      </c>
      <c r="AL35" s="2579">
        <f>SUMIFS(M30:M953,F30:F953,4,G30:G953,4)</f>
        <v>0</v>
      </c>
      <c r="AM35" s="2817"/>
    </row>
    <row r="36" spans="1:39" ht="30.5" x14ac:dyDescent="0.35">
      <c r="A36" s="347">
        <v>3</v>
      </c>
      <c r="B36" s="358">
        <v>10301</v>
      </c>
      <c r="C36" s="358"/>
      <c r="D36" s="2464" t="s">
        <v>4414</v>
      </c>
      <c r="E36" s="288" t="s">
        <v>7559</v>
      </c>
      <c r="F36" s="14">
        <v>5</v>
      </c>
      <c r="G36" s="14">
        <v>5</v>
      </c>
      <c r="H36" s="13">
        <v>6</v>
      </c>
      <c r="I36" s="501">
        <f>J36+K36+L36</f>
        <v>0.6</v>
      </c>
      <c r="J36" s="501">
        <f>SUM(M36:R36)</f>
        <v>0.6</v>
      </c>
      <c r="K36" s="501"/>
      <c r="L36" s="501"/>
      <c r="M36" s="501"/>
      <c r="N36" s="501">
        <v>0.6</v>
      </c>
      <c r="O36" s="568"/>
      <c r="P36" s="501"/>
      <c r="Q36" s="860"/>
      <c r="R36" s="870"/>
      <c r="S36" s="154"/>
      <c r="T36" s="260"/>
      <c r="U36" s="154"/>
      <c r="V36" s="154"/>
      <c r="W36" s="55">
        <v>1</v>
      </c>
      <c r="X36" s="2432">
        <v>14.2</v>
      </c>
      <c r="Y36" s="55"/>
      <c r="Z36" s="2433"/>
      <c r="AA36" s="3"/>
      <c r="AB36">
        <v>1</v>
      </c>
      <c r="AE36" s="2461"/>
      <c r="AF36" s="68"/>
      <c r="AK36" s="2815" t="s">
        <v>11231</v>
      </c>
      <c r="AL36" s="2579">
        <f>SUMIFS(N30:N953,F30:F953,4,G30:G953,4)</f>
        <v>128.03100000000001</v>
      </c>
      <c r="AM36" s="2817"/>
    </row>
    <row r="37" spans="1:39" ht="30.5" x14ac:dyDescent="0.35">
      <c r="A37" s="347">
        <v>4</v>
      </c>
      <c r="B37" s="358">
        <v>10301</v>
      </c>
      <c r="C37" s="358"/>
      <c r="D37" s="2464" t="s">
        <v>4415</v>
      </c>
      <c r="E37" s="288" t="s">
        <v>7560</v>
      </c>
      <c r="F37" s="14"/>
      <c r="G37" s="14" t="s">
        <v>191</v>
      </c>
      <c r="H37" s="13" t="s">
        <v>191</v>
      </c>
      <c r="I37" s="501">
        <f>J37+K37+L37</f>
        <v>2.8</v>
      </c>
      <c r="J37" s="501">
        <f>SUM(M37:R37)</f>
        <v>2.8</v>
      </c>
      <c r="K37" s="501"/>
      <c r="L37" s="501"/>
      <c r="M37" s="501"/>
      <c r="N37" s="501"/>
      <c r="O37" s="568"/>
      <c r="P37" s="501"/>
      <c r="Q37" s="860">
        <f>SUM(Q38:Q39)</f>
        <v>2.4</v>
      </c>
      <c r="R37" s="870">
        <f>SUM(R38:R39)</f>
        <v>0.4</v>
      </c>
      <c r="S37" s="154"/>
      <c r="T37" s="260"/>
      <c r="U37" s="154"/>
      <c r="V37" s="154"/>
      <c r="W37" s="55">
        <v>3</v>
      </c>
      <c r="X37" s="2432">
        <v>56.2</v>
      </c>
      <c r="Y37" s="55"/>
      <c r="Z37" s="2433"/>
      <c r="AA37" s="3"/>
      <c r="AB37">
        <v>1</v>
      </c>
      <c r="AE37" s="2461"/>
      <c r="AF37" s="68"/>
      <c r="AK37" s="2815" t="s">
        <v>11232</v>
      </c>
      <c r="AL37" s="2579">
        <f>SUMIFS(O30:O953,F30:F953,4,G30:G953,4)</f>
        <v>4.9060000000000006</v>
      </c>
      <c r="AM37" s="2817"/>
    </row>
    <row r="38" spans="1:39" ht="15.5" x14ac:dyDescent="0.35">
      <c r="A38" s="363"/>
      <c r="B38" s="358">
        <v>10301</v>
      </c>
      <c r="C38" s="358"/>
      <c r="D38" s="364"/>
      <c r="E38" s="837" t="s">
        <v>2916</v>
      </c>
      <c r="F38" s="14">
        <v>5</v>
      </c>
      <c r="G38" s="14">
        <v>5</v>
      </c>
      <c r="H38" s="13">
        <v>6</v>
      </c>
      <c r="I38" s="502" t="s">
        <v>1516</v>
      </c>
      <c r="J38" s="502" t="s">
        <v>1516</v>
      </c>
      <c r="K38" s="501"/>
      <c r="L38" s="502"/>
      <c r="M38" s="502"/>
      <c r="N38" s="502"/>
      <c r="O38" s="569"/>
      <c r="P38" s="502"/>
      <c r="Q38" s="863">
        <v>2.4</v>
      </c>
      <c r="R38" s="873"/>
      <c r="S38" s="1944"/>
      <c r="T38" s="2497"/>
      <c r="U38" s="1944"/>
      <c r="V38" s="1944"/>
      <c r="W38" s="1138"/>
      <c r="X38" s="2498"/>
      <c r="Y38" s="1138"/>
      <c r="Z38" s="2499"/>
      <c r="AA38" s="3"/>
      <c r="AE38" s="2461"/>
      <c r="AF38" s="68"/>
      <c r="AK38" s="2815" t="s">
        <v>11233</v>
      </c>
      <c r="AL38" s="2579">
        <f>SUMIFS(P30:P953,F30:F953,4,G30:G953,4)+SUMIFS(Q30:Q953,F30:F953,4,G30:G953,4)</f>
        <v>39.717999999999989</v>
      </c>
      <c r="AM38" s="2817"/>
    </row>
    <row r="39" spans="1:39" ht="15.5" x14ac:dyDescent="0.35">
      <c r="A39" s="363"/>
      <c r="B39" s="358">
        <v>10301</v>
      </c>
      <c r="C39" s="358"/>
      <c r="D39" s="364"/>
      <c r="E39" s="838" t="s">
        <v>2917</v>
      </c>
      <c r="F39" s="14" t="s">
        <v>664</v>
      </c>
      <c r="G39" s="14">
        <v>5</v>
      </c>
      <c r="H39" s="14">
        <v>6</v>
      </c>
      <c r="I39" s="502" t="s">
        <v>1516</v>
      </c>
      <c r="J39" s="502" t="s">
        <v>1516</v>
      </c>
      <c r="K39" s="501"/>
      <c r="L39" s="502"/>
      <c r="M39" s="502"/>
      <c r="N39" s="502"/>
      <c r="O39" s="569"/>
      <c r="P39" s="502"/>
      <c r="Q39" s="863"/>
      <c r="R39" s="873">
        <v>0.4</v>
      </c>
      <c r="S39" s="1944"/>
      <c r="T39" s="2497"/>
      <c r="U39" s="1944"/>
      <c r="V39" s="1944"/>
      <c r="W39" s="1138"/>
      <c r="X39" s="2498"/>
      <c r="Y39" s="1138"/>
      <c r="Z39" s="2499"/>
      <c r="AA39" s="3"/>
      <c r="AE39" s="2461"/>
      <c r="AF39" s="68"/>
      <c r="AK39" s="2815" t="s">
        <v>910</v>
      </c>
      <c r="AL39" s="2579">
        <f>SUMIFS(R30:R953,F30:F953,4,G30:G953,4)</f>
        <v>0</v>
      </c>
      <c r="AM39" s="2817"/>
    </row>
    <row r="40" spans="1:39" ht="45.5" x14ac:dyDescent="0.35">
      <c r="A40" s="347">
        <v>5</v>
      </c>
      <c r="B40" s="405">
        <v>10301</v>
      </c>
      <c r="C40" s="358" t="s">
        <v>1656</v>
      </c>
      <c r="D40" s="2464" t="s">
        <v>4416</v>
      </c>
      <c r="E40" s="511" t="s">
        <v>8292</v>
      </c>
      <c r="F40" s="14" t="s">
        <v>664</v>
      </c>
      <c r="G40" s="14">
        <v>5</v>
      </c>
      <c r="H40" s="14">
        <v>6</v>
      </c>
      <c r="I40" s="501">
        <f t="shared" ref="I40:I46" si="6">J40+K40+L40</f>
        <v>0.08</v>
      </c>
      <c r="J40" s="501">
        <f t="shared" ref="J40:J46" si="7">SUM(M40:R40)</f>
        <v>0.08</v>
      </c>
      <c r="K40" s="501"/>
      <c r="L40" s="501"/>
      <c r="M40" s="501"/>
      <c r="N40" s="501"/>
      <c r="O40" s="568"/>
      <c r="P40" s="501"/>
      <c r="Q40" s="1856"/>
      <c r="R40" s="1865">
        <v>0.08</v>
      </c>
      <c r="S40" s="2500"/>
      <c r="T40" s="1962"/>
      <c r="U40" s="154"/>
      <c r="V40" s="154"/>
      <c r="W40" s="55"/>
      <c r="X40" s="2432"/>
      <c r="Y40" s="55"/>
      <c r="Z40" s="2433"/>
      <c r="AB40">
        <v>1</v>
      </c>
      <c r="AE40" s="2461"/>
      <c r="AF40" s="68"/>
      <c r="AK40" s="2818" t="s">
        <v>7185</v>
      </c>
      <c r="AL40" s="2821">
        <f>AL41+AL42+AL43+AL44+AL45</f>
        <v>41.445000000000007</v>
      </c>
      <c r="AM40" s="2820">
        <f>AL40-AG30</f>
        <v>0</v>
      </c>
    </row>
    <row r="41" spans="1:39" ht="30.5" x14ac:dyDescent="0.35">
      <c r="A41" s="349">
        <v>6</v>
      </c>
      <c r="B41" s="405">
        <v>10301</v>
      </c>
      <c r="C41" s="405"/>
      <c r="D41" s="2464" t="s">
        <v>4417</v>
      </c>
      <c r="E41" s="511" t="s">
        <v>7561</v>
      </c>
      <c r="F41" s="13" t="s">
        <v>827</v>
      </c>
      <c r="G41" s="13">
        <v>5</v>
      </c>
      <c r="H41" s="14">
        <v>6</v>
      </c>
      <c r="I41" s="501">
        <f t="shared" si="6"/>
        <v>1.3</v>
      </c>
      <c r="J41" s="501">
        <f t="shared" si="7"/>
        <v>1.3</v>
      </c>
      <c r="K41" s="501"/>
      <c r="L41" s="501"/>
      <c r="M41" s="501"/>
      <c r="N41" s="501"/>
      <c r="O41" s="568"/>
      <c r="P41" s="501"/>
      <c r="Q41" s="860"/>
      <c r="R41" s="870">
        <v>1.3</v>
      </c>
      <c r="S41" s="154"/>
      <c r="T41" s="260"/>
      <c r="U41" s="154"/>
      <c r="V41" s="154"/>
      <c r="W41" s="154">
        <v>1</v>
      </c>
      <c r="X41" s="2501">
        <v>10</v>
      </c>
      <c r="Y41" s="154"/>
      <c r="Z41" s="2433"/>
      <c r="AA41" s="3"/>
      <c r="AB41">
        <v>1</v>
      </c>
      <c r="AC41" t="s">
        <v>2570</v>
      </c>
      <c r="AE41" s="2461"/>
      <c r="AF41" s="68"/>
      <c r="AK41" s="2815" t="s">
        <v>11230</v>
      </c>
      <c r="AL41" s="2579">
        <f>SUMIFS(M30:M953,F30:F953,5,G30:G953,4)</f>
        <v>0</v>
      </c>
      <c r="AM41" s="2817"/>
    </row>
    <row r="42" spans="1:39" ht="30.5" x14ac:dyDescent="0.35">
      <c r="A42" s="347">
        <v>7</v>
      </c>
      <c r="B42" s="405">
        <v>10301</v>
      </c>
      <c r="C42" s="358" t="s">
        <v>1657</v>
      </c>
      <c r="D42" s="2464" t="s">
        <v>4418</v>
      </c>
      <c r="E42" s="511" t="s">
        <v>9347</v>
      </c>
      <c r="F42" s="13" t="s">
        <v>827</v>
      </c>
      <c r="G42" s="13">
        <v>5</v>
      </c>
      <c r="H42" s="13">
        <v>6</v>
      </c>
      <c r="I42" s="501">
        <f t="shared" si="6"/>
        <v>0.3</v>
      </c>
      <c r="J42" s="501">
        <f t="shared" si="7"/>
        <v>0.3</v>
      </c>
      <c r="K42" s="501"/>
      <c r="L42" s="501"/>
      <c r="M42" s="501"/>
      <c r="N42" s="501">
        <v>0.3</v>
      </c>
      <c r="O42" s="568"/>
      <c r="P42" s="501"/>
      <c r="Q42" s="860"/>
      <c r="R42" s="870"/>
      <c r="S42" s="154"/>
      <c r="T42" s="260"/>
      <c r="U42" s="154"/>
      <c r="V42" s="154"/>
      <c r="W42" s="154"/>
      <c r="X42" s="2501"/>
      <c r="Y42" s="154"/>
      <c r="Z42" s="2433"/>
      <c r="AA42" s="3"/>
      <c r="AB42">
        <v>1</v>
      </c>
      <c r="AE42" s="2461"/>
      <c r="AF42" s="68"/>
      <c r="AK42" s="2815" t="s">
        <v>11231</v>
      </c>
      <c r="AL42" s="2579">
        <f>SUMIFS(N30:N953,F30:F953,5,G30:G953,4)</f>
        <v>19.895</v>
      </c>
      <c r="AM42" s="2817"/>
    </row>
    <row r="43" spans="1:39" ht="30.5" x14ac:dyDescent="0.35">
      <c r="A43" s="349">
        <v>8</v>
      </c>
      <c r="B43" s="405">
        <v>10301</v>
      </c>
      <c r="C43" s="358" t="s">
        <v>1656</v>
      </c>
      <c r="D43" s="2464" t="s">
        <v>4419</v>
      </c>
      <c r="E43" s="511" t="s">
        <v>8293</v>
      </c>
      <c r="F43" s="14" t="s">
        <v>664</v>
      </c>
      <c r="G43" s="14">
        <v>5</v>
      </c>
      <c r="H43" s="14">
        <v>6</v>
      </c>
      <c r="I43" s="501">
        <f t="shared" si="6"/>
        <v>0.1</v>
      </c>
      <c r="J43" s="501">
        <f t="shared" si="7"/>
        <v>0.1</v>
      </c>
      <c r="K43" s="501"/>
      <c r="L43" s="501"/>
      <c r="M43" s="501"/>
      <c r="N43" s="501"/>
      <c r="O43" s="568"/>
      <c r="P43" s="501"/>
      <c r="Q43" s="1856"/>
      <c r="R43" s="1865">
        <v>0.1</v>
      </c>
      <c r="S43" s="154"/>
      <c r="T43" s="260"/>
      <c r="U43" s="154"/>
      <c r="V43" s="154"/>
      <c r="W43" s="154"/>
      <c r="X43" s="2501"/>
      <c r="Y43" s="154"/>
      <c r="Z43" s="2433"/>
      <c r="AB43">
        <v>1</v>
      </c>
      <c r="AE43" s="2461"/>
      <c r="AF43" s="68"/>
      <c r="AK43" s="2815" t="s">
        <v>11232</v>
      </c>
      <c r="AL43" s="2579">
        <f>SUMIFS(O30:O953,F30:F953,5,G30:G953,4)</f>
        <v>0</v>
      </c>
      <c r="AM43" s="2817"/>
    </row>
    <row r="44" spans="1:39" ht="30.5" x14ac:dyDescent="0.35">
      <c r="A44" s="347">
        <v>9</v>
      </c>
      <c r="B44" s="358">
        <v>10301</v>
      </c>
      <c r="C44" s="358" t="s">
        <v>1656</v>
      </c>
      <c r="D44" s="2464" t="s">
        <v>4420</v>
      </c>
      <c r="E44" s="511" t="s">
        <v>8294</v>
      </c>
      <c r="F44" s="14" t="s">
        <v>664</v>
      </c>
      <c r="G44" s="14">
        <v>5</v>
      </c>
      <c r="H44" s="14">
        <v>6</v>
      </c>
      <c r="I44" s="501">
        <f t="shared" si="6"/>
        <v>0.3</v>
      </c>
      <c r="J44" s="501">
        <f t="shared" si="7"/>
        <v>0.3</v>
      </c>
      <c r="K44" s="501"/>
      <c r="L44" s="501"/>
      <c r="M44" s="501"/>
      <c r="N44" s="501"/>
      <c r="O44" s="568"/>
      <c r="P44" s="501"/>
      <c r="Q44" s="1856"/>
      <c r="R44" s="1865">
        <v>0.3</v>
      </c>
      <c r="S44" s="154"/>
      <c r="T44" s="260"/>
      <c r="U44" s="154"/>
      <c r="V44" s="154"/>
      <c r="W44" s="55"/>
      <c r="X44" s="2432"/>
      <c r="Y44" s="55"/>
      <c r="Z44" s="2433"/>
      <c r="AB44">
        <v>1</v>
      </c>
      <c r="AE44" s="2461"/>
      <c r="AF44" s="68"/>
      <c r="AK44" s="2815" t="s">
        <v>11233</v>
      </c>
      <c r="AL44" s="2579">
        <f>SUMIFS(P30:P953,F30:F953,5,G30:G953,4)+SUMIFS(Q30:Q953,F30:F953,5,G30:G953,4)</f>
        <v>21.300000000000004</v>
      </c>
      <c r="AM44" s="2817"/>
    </row>
    <row r="45" spans="1:39" ht="45.5" x14ac:dyDescent="0.35">
      <c r="A45" s="349">
        <v>10</v>
      </c>
      <c r="B45" s="1024">
        <v>10360</v>
      </c>
      <c r="C45" s="358" t="s">
        <v>1656</v>
      </c>
      <c r="D45" s="2464" t="s">
        <v>4533</v>
      </c>
      <c r="E45" s="511" t="s">
        <v>8295</v>
      </c>
      <c r="F45" s="14" t="s">
        <v>664</v>
      </c>
      <c r="G45" s="14">
        <v>5</v>
      </c>
      <c r="H45" s="14">
        <v>6</v>
      </c>
      <c r="I45" s="501">
        <f>J45+K45+L45</f>
        <v>0.8</v>
      </c>
      <c r="J45" s="501">
        <f>SUM(M45:R45)</f>
        <v>0.8</v>
      </c>
      <c r="K45" s="501"/>
      <c r="L45" s="501"/>
      <c r="M45" s="501"/>
      <c r="N45" s="501"/>
      <c r="O45" s="568"/>
      <c r="P45" s="501"/>
      <c r="Q45" s="1856"/>
      <c r="R45" s="1865">
        <v>0.8</v>
      </c>
      <c r="S45" s="154"/>
      <c r="T45" s="260"/>
      <c r="U45" s="154"/>
      <c r="V45" s="154"/>
      <c r="W45" s="55"/>
      <c r="X45" s="2432"/>
      <c r="Y45" s="55"/>
      <c r="Z45" s="2433"/>
      <c r="AA45" s="3"/>
      <c r="AB45">
        <v>1</v>
      </c>
      <c r="AE45" s="2461"/>
      <c r="AF45" s="68"/>
      <c r="AK45" s="2815" t="s">
        <v>910</v>
      </c>
      <c r="AL45" s="2579">
        <f>SUMIFS(R30:R953,F30:F953,5,G30:G953,4)</f>
        <v>0.25</v>
      </c>
      <c r="AM45" s="2817"/>
    </row>
    <row r="46" spans="1:39" ht="30.5" x14ac:dyDescent="0.35">
      <c r="A46" s="347">
        <v>11</v>
      </c>
      <c r="B46" s="405">
        <v>10302</v>
      </c>
      <c r="C46" s="405"/>
      <c r="D46" s="405" t="s">
        <v>309</v>
      </c>
      <c r="E46" s="288" t="s">
        <v>3652</v>
      </c>
      <c r="F46" s="13"/>
      <c r="G46" s="13" t="s">
        <v>191</v>
      </c>
      <c r="H46" s="13" t="s">
        <v>191</v>
      </c>
      <c r="I46" s="501">
        <f t="shared" si="6"/>
        <v>19.571999999999999</v>
      </c>
      <c r="J46" s="501">
        <f t="shared" si="7"/>
        <v>19.571999999999999</v>
      </c>
      <c r="K46" s="501"/>
      <c r="L46" s="501"/>
      <c r="M46" s="501"/>
      <c r="N46" s="501">
        <f>SUM(N47:N49)</f>
        <v>12.521999999999998</v>
      </c>
      <c r="O46" s="568"/>
      <c r="P46" s="501"/>
      <c r="Q46" s="860">
        <f>SUM(Q47:Q49)</f>
        <v>7.0500000000000007</v>
      </c>
      <c r="R46" s="870"/>
      <c r="S46" s="1881">
        <v>2</v>
      </c>
      <c r="T46" s="1962">
        <v>33</v>
      </c>
      <c r="U46" s="154"/>
      <c r="V46" s="154"/>
      <c r="W46" s="55">
        <v>29</v>
      </c>
      <c r="X46" s="2432">
        <v>392.39</v>
      </c>
      <c r="Y46" s="55">
        <v>5</v>
      </c>
      <c r="Z46" s="2433">
        <v>47.5</v>
      </c>
      <c r="AA46" s="3"/>
      <c r="AB46">
        <v>1</v>
      </c>
      <c r="AE46" s="2461"/>
      <c r="AF46" s="68"/>
      <c r="AK46" s="2818" t="s">
        <v>11234</v>
      </c>
      <c r="AL46" s="2821">
        <f>AL47+AL48+AL49+AL50+AL51</f>
        <v>5.5059999999999993</v>
      </c>
      <c r="AM46" s="2820">
        <f>AL46-AH30-AI30-AJ30</f>
        <v>0</v>
      </c>
    </row>
    <row r="47" spans="1:39" ht="15.5" x14ac:dyDescent="0.35">
      <c r="A47" s="359"/>
      <c r="B47" s="405">
        <v>10302</v>
      </c>
      <c r="C47" s="405"/>
      <c r="D47" s="360"/>
      <c r="E47" s="289" t="s">
        <v>3308</v>
      </c>
      <c r="F47" s="13">
        <v>4</v>
      </c>
      <c r="G47" s="13">
        <v>4</v>
      </c>
      <c r="H47" s="13">
        <v>6</v>
      </c>
      <c r="I47" s="502" t="s">
        <v>1516</v>
      </c>
      <c r="J47" s="502" t="s">
        <v>1516</v>
      </c>
      <c r="K47" s="501"/>
      <c r="L47" s="502"/>
      <c r="M47" s="502"/>
      <c r="N47" s="502">
        <v>0.85</v>
      </c>
      <c r="O47" s="569"/>
      <c r="P47" s="502"/>
      <c r="Q47" s="863"/>
      <c r="R47" s="873"/>
      <c r="S47" s="2502"/>
      <c r="T47" s="2074"/>
      <c r="U47" s="1944"/>
      <c r="V47" s="1944"/>
      <c r="W47" s="1138"/>
      <c r="X47" s="2498"/>
      <c r="Y47" s="1138"/>
      <c r="Z47" s="2499"/>
      <c r="AA47" s="3"/>
      <c r="AE47" s="2461"/>
      <c r="AF47" s="68"/>
      <c r="AK47" s="2815" t="s">
        <v>11230</v>
      </c>
      <c r="AL47" s="2579">
        <f>SUMIFS(M30:M953,F30:F953,"6а",G30:G953,4)+SUMIFS(M30:M953,F30:F953,"6б",G30:G953,4)+SUMIFS(M30:M953,F30:F953,"б/к",G30:G953,4)</f>
        <v>0</v>
      </c>
      <c r="AM47" s="2817"/>
    </row>
    <row r="48" spans="1:39" ht="15.5" x14ac:dyDescent="0.35">
      <c r="A48" s="359"/>
      <c r="B48" s="405">
        <v>10302</v>
      </c>
      <c r="C48" s="405"/>
      <c r="D48" s="360"/>
      <c r="E48" s="837" t="s">
        <v>3661</v>
      </c>
      <c r="F48" s="13">
        <v>4</v>
      </c>
      <c r="G48" s="13">
        <v>4</v>
      </c>
      <c r="H48" s="13">
        <v>6</v>
      </c>
      <c r="I48" s="502" t="s">
        <v>1516</v>
      </c>
      <c r="J48" s="502" t="s">
        <v>1516</v>
      </c>
      <c r="K48" s="501"/>
      <c r="L48" s="502"/>
      <c r="M48" s="502"/>
      <c r="N48" s="502"/>
      <c r="O48" s="569"/>
      <c r="P48" s="502"/>
      <c r="Q48" s="863">
        <f>7.9-0.85</f>
        <v>7.0500000000000007</v>
      </c>
      <c r="R48" s="873"/>
      <c r="S48" s="2502"/>
      <c r="T48" s="2074"/>
      <c r="U48" s="1944"/>
      <c r="V48" s="1944"/>
      <c r="W48" s="1138"/>
      <c r="X48" s="2498"/>
      <c r="Y48" s="1138"/>
      <c r="Z48" s="2499"/>
      <c r="AA48" s="3"/>
      <c r="AE48" s="2461"/>
      <c r="AF48" s="68"/>
      <c r="AK48" s="2815" t="s">
        <v>11231</v>
      </c>
      <c r="AL48" s="2579">
        <f>SUMIFS(N30:N953,F30:F953,"6а",G30:G953,4)+SUMIFS(N30:N953,F30:F953,"6б",G30:G953,4)+SUMIFS(N30:N953,F30:F953,"б/к",G30:G953,4)</f>
        <v>0</v>
      </c>
      <c r="AM48" s="2817"/>
    </row>
    <row r="49" spans="1:39" ht="15.5" x14ac:dyDescent="0.35">
      <c r="A49" s="359"/>
      <c r="B49" s="405">
        <v>10302</v>
      </c>
      <c r="C49" s="405"/>
      <c r="D49" s="360"/>
      <c r="E49" s="289" t="s">
        <v>3662</v>
      </c>
      <c r="F49" s="13">
        <v>4</v>
      </c>
      <c r="G49" s="13">
        <v>4</v>
      </c>
      <c r="H49" s="13">
        <v>6</v>
      </c>
      <c r="I49" s="502" t="s">
        <v>1516</v>
      </c>
      <c r="J49" s="502" t="s">
        <v>1516</v>
      </c>
      <c r="K49" s="501"/>
      <c r="L49" s="502"/>
      <c r="M49" s="502"/>
      <c r="N49" s="502">
        <f>19.572-7.9</f>
        <v>11.671999999999999</v>
      </c>
      <c r="O49" s="569"/>
      <c r="P49" s="502"/>
      <c r="Q49" s="863"/>
      <c r="R49" s="873"/>
      <c r="S49" s="2502"/>
      <c r="T49" s="2074"/>
      <c r="U49" s="1944"/>
      <c r="V49" s="1944"/>
      <c r="W49" s="1138"/>
      <c r="X49" s="2498"/>
      <c r="Y49" s="1138"/>
      <c r="Z49" s="2499"/>
      <c r="AA49" s="3"/>
      <c r="AE49" s="2461"/>
      <c r="AF49" s="68"/>
      <c r="AK49" s="2815" t="s">
        <v>11232</v>
      </c>
      <c r="AL49" s="2579">
        <f>SUMIFS(O30:O953,F30:F953,"6а",G30:G953,4)+SUMIFS(O30:O953,F30:F953,"6б",G30:G953,4)+SUMIFS(O30:O953,F30:F953,"б/к",G30:G953,4)</f>
        <v>0</v>
      </c>
      <c r="AM49" s="2817"/>
    </row>
    <row r="50" spans="1:39" ht="45.5" x14ac:dyDescent="0.35">
      <c r="A50" s="347">
        <v>12</v>
      </c>
      <c r="B50" s="358">
        <v>10302</v>
      </c>
      <c r="C50" s="358"/>
      <c r="D50" s="2464" t="s">
        <v>4421</v>
      </c>
      <c r="E50" s="288" t="s">
        <v>7562</v>
      </c>
      <c r="F50" s="13" t="s">
        <v>664</v>
      </c>
      <c r="G50" s="13">
        <v>5</v>
      </c>
      <c r="H50" s="14">
        <v>6</v>
      </c>
      <c r="I50" s="501">
        <f>J50+K50+L50</f>
        <v>0.6</v>
      </c>
      <c r="J50" s="501">
        <f>SUM(M50:R50)</f>
        <v>0.6</v>
      </c>
      <c r="K50" s="501"/>
      <c r="L50" s="501"/>
      <c r="M50" s="501"/>
      <c r="N50" s="501"/>
      <c r="O50" s="568"/>
      <c r="P50" s="501"/>
      <c r="Q50" s="860"/>
      <c r="R50" s="870">
        <v>0.6</v>
      </c>
      <c r="S50" s="154"/>
      <c r="T50" s="260"/>
      <c r="U50" s="154"/>
      <c r="V50" s="154"/>
      <c r="W50" s="55"/>
      <c r="X50" s="2432"/>
      <c r="Y50" s="55"/>
      <c r="Z50" s="2433"/>
      <c r="AA50" s="3"/>
      <c r="AB50">
        <v>1</v>
      </c>
      <c r="AE50" s="2461"/>
      <c r="AF50" s="68"/>
      <c r="AK50" s="2815" t="s">
        <v>11233</v>
      </c>
      <c r="AL50" s="2579">
        <f>SUMIFS(P30:P953,F30:F953,"6а",G30:G953,4)+SUMIFS(Q30:Q953,F30:F953,"6а",G30:G953,4)+SUMIFS(P30:P953,F30:F953,"6б",G30:G953,4)+SUMIFS(Q30:Q953,F30:F953,"6б",G30:G953,4)+SUMIFS(O30:O953,F30:F953,"б/к",G30:G953,4)+SUMIFS(P30:P953,F30:F953,"б/к",G30:G953,4)+SUMIFS(Q30:Q953,F30:F953,"б/к",G30:G953,4)</f>
        <v>0</v>
      </c>
      <c r="AM50" s="2817"/>
    </row>
    <row r="51" spans="1:39" ht="45.5" x14ac:dyDescent="0.35">
      <c r="A51" s="347">
        <v>13</v>
      </c>
      <c r="B51" s="358">
        <v>10302</v>
      </c>
      <c r="C51" s="358" t="s">
        <v>1656</v>
      </c>
      <c r="D51" s="2464" t="s">
        <v>4422</v>
      </c>
      <c r="E51" s="511" t="s">
        <v>8296</v>
      </c>
      <c r="F51" s="14" t="s">
        <v>664</v>
      </c>
      <c r="G51" s="14">
        <v>5</v>
      </c>
      <c r="H51" s="14">
        <v>6</v>
      </c>
      <c r="I51" s="501">
        <f>J51+K51+L51</f>
        <v>0.2</v>
      </c>
      <c r="J51" s="501">
        <f>SUM(M51:R51)</f>
        <v>0.2</v>
      </c>
      <c r="K51" s="501"/>
      <c r="L51" s="501"/>
      <c r="M51" s="501"/>
      <c r="N51" s="501"/>
      <c r="O51" s="568"/>
      <c r="P51" s="501"/>
      <c r="Q51" s="1856"/>
      <c r="R51" s="1865">
        <v>0.2</v>
      </c>
      <c r="S51" s="154"/>
      <c r="T51" s="260"/>
      <c r="U51" s="154"/>
      <c r="V51" s="154"/>
      <c r="W51" s="154"/>
      <c r="X51" s="2501"/>
      <c r="Y51" s="154"/>
      <c r="Z51" s="2433"/>
      <c r="AB51">
        <v>1</v>
      </c>
      <c r="AE51" s="2461"/>
      <c r="AF51" s="68"/>
      <c r="AK51" s="2815" t="s">
        <v>910</v>
      </c>
      <c r="AL51" s="2579">
        <f>SUMIFS(R30:R953,F30:F953,"6а",G30:G953,4)+SUMIFS(R30:R953,F30:F953,"6б",G30:G953,4)+SUMIFS(R30:R953,F30:F953,"б/к",G30:G953,4)</f>
        <v>5.5059999999999993</v>
      </c>
      <c r="AM51" s="2817"/>
    </row>
    <row r="52" spans="1:39" ht="45.5" x14ac:dyDescent="0.35">
      <c r="A52" s="347">
        <v>14</v>
      </c>
      <c r="B52" s="1024">
        <v>10364</v>
      </c>
      <c r="C52" s="358" t="s">
        <v>1656</v>
      </c>
      <c r="D52" s="2464" t="s">
        <v>4423</v>
      </c>
      <c r="E52" s="511" t="s">
        <v>8297</v>
      </c>
      <c r="F52" s="14" t="s">
        <v>664</v>
      </c>
      <c r="G52" s="14">
        <v>5</v>
      </c>
      <c r="H52" s="14">
        <v>6</v>
      </c>
      <c r="I52" s="501">
        <f>J52+K52+L52</f>
        <v>0.25</v>
      </c>
      <c r="J52" s="501">
        <f>SUM(M52:R52)</f>
        <v>0.25</v>
      </c>
      <c r="K52" s="501"/>
      <c r="L52" s="501"/>
      <c r="M52" s="501"/>
      <c r="N52" s="501"/>
      <c r="O52" s="568"/>
      <c r="P52" s="501"/>
      <c r="Q52" s="1856"/>
      <c r="R52" s="1865">
        <v>0.25</v>
      </c>
      <c r="S52" s="154"/>
      <c r="T52" s="260"/>
      <c r="U52" s="154"/>
      <c r="V52" s="154"/>
      <c r="W52" s="55"/>
      <c r="X52" s="2432"/>
      <c r="Y52" s="55"/>
      <c r="Z52" s="2433"/>
      <c r="AA52" s="3"/>
      <c r="AB52">
        <v>1</v>
      </c>
      <c r="AE52" s="2461"/>
      <c r="AF52" s="68"/>
      <c r="AK52" s="2815"/>
      <c r="AL52" s="2579"/>
      <c r="AM52" s="2817"/>
    </row>
    <row r="53" spans="1:39" ht="45.5" x14ac:dyDescent="0.35">
      <c r="A53" s="347">
        <v>15</v>
      </c>
      <c r="B53" s="358">
        <v>10302</v>
      </c>
      <c r="C53" s="358"/>
      <c r="D53" s="2464" t="s">
        <v>4424</v>
      </c>
      <c r="E53" s="288" t="s">
        <v>7563</v>
      </c>
      <c r="F53" s="13">
        <v>5</v>
      </c>
      <c r="G53" s="13">
        <v>5</v>
      </c>
      <c r="H53" s="14">
        <v>6</v>
      </c>
      <c r="I53" s="501">
        <f>J53+K53+L53</f>
        <v>1.9</v>
      </c>
      <c r="J53" s="501">
        <f>SUM(M53:R53)</f>
        <v>1.9</v>
      </c>
      <c r="K53" s="501"/>
      <c r="L53" s="501"/>
      <c r="M53" s="501"/>
      <c r="N53" s="501"/>
      <c r="O53" s="568"/>
      <c r="P53" s="501"/>
      <c r="Q53" s="860"/>
      <c r="R53" s="870">
        <v>1.9</v>
      </c>
      <c r="S53" s="154"/>
      <c r="T53" s="260"/>
      <c r="U53" s="154"/>
      <c r="V53" s="154"/>
      <c r="W53" s="154">
        <v>3</v>
      </c>
      <c r="X53" s="2501">
        <v>30</v>
      </c>
      <c r="Y53" s="154"/>
      <c r="Z53" s="2433"/>
      <c r="AA53" s="3"/>
      <c r="AB53">
        <v>1</v>
      </c>
      <c r="AC53" t="s">
        <v>2570</v>
      </c>
      <c r="AE53" s="2461"/>
      <c r="AF53" s="68"/>
      <c r="AK53" s="2818" t="s">
        <v>11236</v>
      </c>
      <c r="AL53" s="2821">
        <f>AL55+AL61+AL67</f>
        <v>388.03599999999994</v>
      </c>
      <c r="AM53" s="2820">
        <f>AL53-J20</f>
        <v>0</v>
      </c>
    </row>
    <row r="54" spans="1:39" ht="45.5" x14ac:dyDescent="0.35">
      <c r="A54" s="347">
        <v>16</v>
      </c>
      <c r="B54" s="405">
        <v>10302</v>
      </c>
      <c r="C54" s="358" t="s">
        <v>1657</v>
      </c>
      <c r="D54" s="2464" t="s">
        <v>4425</v>
      </c>
      <c r="E54" s="511" t="s">
        <v>11191</v>
      </c>
      <c r="F54" s="1138" t="s">
        <v>827</v>
      </c>
      <c r="G54" s="1138">
        <v>5</v>
      </c>
      <c r="H54" s="1138">
        <v>6</v>
      </c>
      <c r="I54" s="500">
        <f>J54+K54+L54</f>
        <v>0.87</v>
      </c>
      <c r="J54" s="500">
        <f>SUM(M54:R54)</f>
        <v>0.87</v>
      </c>
      <c r="K54" s="500"/>
      <c r="L54" s="500"/>
      <c r="M54" s="500"/>
      <c r="N54" s="500">
        <v>0.87</v>
      </c>
      <c r="O54" s="568"/>
      <c r="P54" s="501"/>
      <c r="Q54" s="860"/>
      <c r="R54" s="870"/>
      <c r="S54" s="154"/>
      <c r="T54" s="260"/>
      <c r="U54" s="154"/>
      <c r="V54" s="154"/>
      <c r="W54" s="154">
        <v>1</v>
      </c>
      <c r="X54" s="2501">
        <v>10</v>
      </c>
      <c r="Y54" s="154"/>
      <c r="Z54" s="2433"/>
      <c r="AA54" s="3"/>
      <c r="AB54">
        <v>1</v>
      </c>
      <c r="AE54" s="2461"/>
      <c r="AF54" s="68"/>
      <c r="AK54" s="2815" t="s">
        <v>11229</v>
      </c>
      <c r="AL54" s="2579"/>
      <c r="AM54" s="2817"/>
    </row>
    <row r="55" spans="1:39" ht="45.5" x14ac:dyDescent="0.35">
      <c r="A55" s="347">
        <v>17</v>
      </c>
      <c r="B55" s="405">
        <v>10302</v>
      </c>
      <c r="C55" s="358" t="s">
        <v>1656</v>
      </c>
      <c r="D55" s="2464" t="s">
        <v>4426</v>
      </c>
      <c r="E55" s="511" t="s">
        <v>9236</v>
      </c>
      <c r="F55" s="14" t="s">
        <v>664</v>
      </c>
      <c r="G55" s="14">
        <v>5</v>
      </c>
      <c r="H55" s="14">
        <v>6</v>
      </c>
      <c r="I55" s="501">
        <f t="shared" ref="I55:I85" si="8">J55+K55+L55</f>
        <v>2</v>
      </c>
      <c r="J55" s="501">
        <f t="shared" ref="J55:J85" si="9">SUM(M55:R55)</f>
        <v>2</v>
      </c>
      <c r="K55" s="501"/>
      <c r="L55" s="501"/>
      <c r="M55" s="501"/>
      <c r="N55" s="501"/>
      <c r="O55" s="568"/>
      <c r="P55" s="501"/>
      <c r="Q55" s="1856"/>
      <c r="R55" s="1865">
        <v>2</v>
      </c>
      <c r="S55" s="154"/>
      <c r="T55" s="260"/>
      <c r="U55" s="154"/>
      <c r="V55" s="154"/>
      <c r="W55" s="154"/>
      <c r="X55" s="2501"/>
      <c r="Y55" s="154"/>
      <c r="Z55" s="2433"/>
      <c r="AB55">
        <v>1</v>
      </c>
      <c r="AE55" s="2461"/>
      <c r="AF55" s="68"/>
      <c r="AK55" s="2818" t="s">
        <v>7184</v>
      </c>
      <c r="AL55" s="2821">
        <f>AL56+AL57+AL58+AL59+AL60</f>
        <v>54.528999999999996</v>
      </c>
      <c r="AM55" s="2820">
        <f>AL55-AF31</f>
        <v>0</v>
      </c>
    </row>
    <row r="56" spans="1:39" ht="45.5" x14ac:dyDescent="0.35">
      <c r="A56" s="347">
        <v>18</v>
      </c>
      <c r="B56" s="358">
        <v>10302</v>
      </c>
      <c r="C56" s="358" t="s">
        <v>1656</v>
      </c>
      <c r="D56" s="2464" t="s">
        <v>4427</v>
      </c>
      <c r="E56" s="511" t="s">
        <v>8298</v>
      </c>
      <c r="F56" s="14" t="s">
        <v>664</v>
      </c>
      <c r="G56" s="14">
        <v>5</v>
      </c>
      <c r="H56" s="14">
        <v>6</v>
      </c>
      <c r="I56" s="501">
        <f t="shared" si="8"/>
        <v>0.35</v>
      </c>
      <c r="J56" s="501">
        <f t="shared" si="9"/>
        <v>0.35</v>
      </c>
      <c r="K56" s="501"/>
      <c r="L56" s="501"/>
      <c r="M56" s="501"/>
      <c r="N56" s="501"/>
      <c r="O56" s="568"/>
      <c r="P56" s="501"/>
      <c r="Q56" s="1856"/>
      <c r="R56" s="1865">
        <v>0.35</v>
      </c>
      <c r="S56" s="154"/>
      <c r="T56" s="260"/>
      <c r="U56" s="154"/>
      <c r="V56" s="154"/>
      <c r="W56" s="154"/>
      <c r="X56" s="2501"/>
      <c r="Y56" s="154"/>
      <c r="Z56" s="2433"/>
      <c r="AB56">
        <v>1</v>
      </c>
      <c r="AE56" s="2461"/>
      <c r="AF56" s="68"/>
      <c r="AK56" s="2815" t="s">
        <v>11230</v>
      </c>
      <c r="AL56" s="2579">
        <f>SUMIFS(M30:M953,F30:F953,4,G30:G953,5)</f>
        <v>0</v>
      </c>
      <c r="AM56" s="2817"/>
    </row>
    <row r="57" spans="1:39" ht="30" x14ac:dyDescent="0.35">
      <c r="A57" s="347">
        <v>19</v>
      </c>
      <c r="B57" s="358">
        <v>10303</v>
      </c>
      <c r="C57" s="358"/>
      <c r="D57" s="358" t="s">
        <v>1893</v>
      </c>
      <c r="E57" s="288" t="s">
        <v>3597</v>
      </c>
      <c r="F57" s="13">
        <v>4</v>
      </c>
      <c r="G57" s="13">
        <v>4</v>
      </c>
      <c r="H57" s="13">
        <v>6</v>
      </c>
      <c r="I57" s="501">
        <f t="shared" si="8"/>
        <v>18.645</v>
      </c>
      <c r="J57" s="501">
        <f t="shared" si="9"/>
        <v>18.645</v>
      </c>
      <c r="K57" s="501"/>
      <c r="L57" s="501"/>
      <c r="M57" s="501"/>
      <c r="N57" s="501">
        <v>18.645</v>
      </c>
      <c r="O57" s="568"/>
      <c r="P57" s="501"/>
      <c r="Q57" s="860"/>
      <c r="R57" s="870"/>
      <c r="S57" s="55">
        <v>2</v>
      </c>
      <c r="T57" s="1962">
        <v>43.85</v>
      </c>
      <c r="U57" s="154"/>
      <c r="V57" s="154"/>
      <c r="W57" s="55">
        <v>30</v>
      </c>
      <c r="X57" s="2432">
        <v>392.4</v>
      </c>
      <c r="Y57" s="55">
        <v>13</v>
      </c>
      <c r="Z57" s="2433">
        <v>148</v>
      </c>
      <c r="AA57" s="3"/>
      <c r="AB57">
        <v>1</v>
      </c>
      <c r="AE57" s="2461"/>
      <c r="AF57" s="68"/>
      <c r="AK57" s="2815" t="s">
        <v>11231</v>
      </c>
      <c r="AL57" s="2579">
        <f>SUMIFS(N30:N953,F30:F953,4,G30:G953,5)</f>
        <v>33.042999999999999</v>
      </c>
      <c r="AM57" s="2817"/>
    </row>
    <row r="58" spans="1:39" ht="30.5" x14ac:dyDescent="0.35">
      <c r="A58" s="347">
        <v>20</v>
      </c>
      <c r="B58" s="358">
        <v>10303</v>
      </c>
      <c r="C58" s="358"/>
      <c r="D58" s="2464" t="s">
        <v>4428</v>
      </c>
      <c r="E58" s="511" t="s">
        <v>9348</v>
      </c>
      <c r="F58" s="13"/>
      <c r="G58" s="13" t="s">
        <v>191</v>
      </c>
      <c r="H58" s="13" t="s">
        <v>191</v>
      </c>
      <c r="I58" s="501">
        <f t="shared" si="8"/>
        <v>3.33</v>
      </c>
      <c r="J58" s="501">
        <f t="shared" si="9"/>
        <v>3.33</v>
      </c>
      <c r="K58" s="501"/>
      <c r="L58" s="501"/>
      <c r="M58" s="501"/>
      <c r="N58" s="501">
        <f>SUM(N59:N60)</f>
        <v>0.94</v>
      </c>
      <c r="O58" s="568"/>
      <c r="P58" s="501"/>
      <c r="Q58" s="860">
        <f>SUM(Q59:Q60)</f>
        <v>2.39</v>
      </c>
      <c r="R58" s="870"/>
      <c r="S58" s="55"/>
      <c r="T58" s="1962"/>
      <c r="U58" s="154"/>
      <c r="V58" s="154"/>
      <c r="W58" s="55">
        <v>10</v>
      </c>
      <c r="X58" s="2432">
        <v>111.6</v>
      </c>
      <c r="Y58" s="55">
        <v>2</v>
      </c>
      <c r="Z58" s="2433">
        <v>30</v>
      </c>
      <c r="AA58" s="3"/>
      <c r="AB58">
        <v>1</v>
      </c>
      <c r="AE58" s="2461"/>
      <c r="AF58" s="68"/>
      <c r="AK58" s="2815" t="s">
        <v>11232</v>
      </c>
      <c r="AL58" s="2579">
        <f>SUMIFS(O30:O953,F30:F953,4,G30:G953,5)</f>
        <v>0</v>
      </c>
      <c r="AM58" s="2817"/>
    </row>
    <row r="59" spans="1:39" ht="15.5" x14ac:dyDescent="0.35">
      <c r="A59" s="347"/>
      <c r="B59" s="358">
        <v>10303</v>
      </c>
      <c r="C59" s="358"/>
      <c r="D59" s="358"/>
      <c r="E59" s="289" t="s">
        <v>732</v>
      </c>
      <c r="F59" s="13">
        <v>4</v>
      </c>
      <c r="G59" s="13">
        <v>5</v>
      </c>
      <c r="H59" s="13">
        <v>6</v>
      </c>
      <c r="I59" s="502"/>
      <c r="J59" s="502"/>
      <c r="K59" s="502"/>
      <c r="L59" s="502"/>
      <c r="M59" s="502"/>
      <c r="N59" s="502">
        <v>0.94</v>
      </c>
      <c r="O59" s="569"/>
      <c r="P59" s="502"/>
      <c r="Q59" s="1859"/>
      <c r="R59" s="870"/>
      <c r="S59" s="55"/>
      <c r="T59" s="1962"/>
      <c r="U59" s="154"/>
      <c r="V59" s="154"/>
      <c r="W59" s="55"/>
      <c r="X59" s="2432"/>
      <c r="Y59" s="55"/>
      <c r="Z59" s="2433"/>
      <c r="AA59" s="3"/>
      <c r="AE59" s="2461"/>
      <c r="AF59" s="68"/>
      <c r="AK59" s="2815" t="s">
        <v>11233</v>
      </c>
      <c r="AL59" s="2579">
        <f>SUMIFS(P30:P953,F30:F953,4,G30:G953,5)+SUMIFS(Q30:Q953,F30:F953,4,G30:G953,5)</f>
        <v>21.486000000000001</v>
      </c>
      <c r="AM59" s="2817"/>
    </row>
    <row r="60" spans="1:39" ht="15.5" x14ac:dyDescent="0.35">
      <c r="A60" s="347"/>
      <c r="B60" s="358">
        <v>10303</v>
      </c>
      <c r="C60" s="358"/>
      <c r="D60" s="358"/>
      <c r="E60" s="837" t="s">
        <v>2956</v>
      </c>
      <c r="F60" s="13">
        <v>5</v>
      </c>
      <c r="G60" s="13">
        <v>5</v>
      </c>
      <c r="H60" s="13">
        <v>6</v>
      </c>
      <c r="I60" s="502"/>
      <c r="J60" s="502"/>
      <c r="K60" s="502"/>
      <c r="L60" s="502"/>
      <c r="M60" s="502"/>
      <c r="N60" s="502"/>
      <c r="O60" s="569"/>
      <c r="P60" s="502"/>
      <c r="Q60" s="1859">
        <f>3.33-0.94</f>
        <v>2.39</v>
      </c>
      <c r="R60" s="870"/>
      <c r="S60" s="55"/>
      <c r="T60" s="1962"/>
      <c r="U60" s="154"/>
      <c r="V60" s="154"/>
      <c r="W60" s="55"/>
      <c r="X60" s="2432"/>
      <c r="Y60" s="55"/>
      <c r="Z60" s="2433"/>
      <c r="AA60" s="3"/>
      <c r="AE60" s="2461"/>
      <c r="AF60" s="68"/>
      <c r="AK60" s="2815" t="s">
        <v>910</v>
      </c>
      <c r="AL60" s="2579">
        <f>SUMIFS(R30:R953,F30:F953,4,G30:G953,5)</f>
        <v>0</v>
      </c>
      <c r="AM60" s="2817"/>
    </row>
    <row r="61" spans="1:39" ht="30.5" x14ac:dyDescent="0.35">
      <c r="A61" s="347">
        <v>21</v>
      </c>
      <c r="B61" s="358">
        <v>10303</v>
      </c>
      <c r="C61" s="358"/>
      <c r="D61" s="2464" t="s">
        <v>4429</v>
      </c>
      <c r="E61" s="288" t="s">
        <v>7564</v>
      </c>
      <c r="F61" s="14">
        <v>5</v>
      </c>
      <c r="G61" s="14">
        <v>5</v>
      </c>
      <c r="H61" s="13">
        <v>6</v>
      </c>
      <c r="I61" s="501">
        <f t="shared" si="8"/>
        <v>0.88200000000000001</v>
      </c>
      <c r="J61" s="501">
        <f t="shared" si="9"/>
        <v>0.88200000000000001</v>
      </c>
      <c r="K61" s="501"/>
      <c r="L61" s="501"/>
      <c r="M61" s="501"/>
      <c r="N61" s="501">
        <v>0.88200000000000001</v>
      </c>
      <c r="O61" s="568"/>
      <c r="P61" s="501"/>
      <c r="Q61" s="860"/>
      <c r="R61" s="870"/>
      <c r="S61" s="154"/>
      <c r="T61" s="260"/>
      <c r="U61" s="154"/>
      <c r="V61" s="154"/>
      <c r="W61" s="55"/>
      <c r="X61" s="2432"/>
      <c r="Y61" s="55"/>
      <c r="Z61" s="2433"/>
      <c r="AA61" s="3"/>
      <c r="AB61">
        <v>1</v>
      </c>
      <c r="AE61" s="2461"/>
      <c r="AF61" s="68"/>
      <c r="AK61" s="2818" t="s">
        <v>7185</v>
      </c>
      <c r="AL61" s="2821">
        <f>AL62+AL63+AL64+AL65+AL66</f>
        <v>167.72200000000001</v>
      </c>
      <c r="AM61" s="2820">
        <f>AL61-AG31</f>
        <v>0</v>
      </c>
    </row>
    <row r="62" spans="1:39" ht="45.5" x14ac:dyDescent="0.35">
      <c r="A62" s="347">
        <v>22</v>
      </c>
      <c r="B62" s="358">
        <v>10303</v>
      </c>
      <c r="C62" s="358" t="s">
        <v>1656</v>
      </c>
      <c r="D62" s="2464" t="s">
        <v>4430</v>
      </c>
      <c r="E62" s="511" t="s">
        <v>8299</v>
      </c>
      <c r="F62" s="14" t="s">
        <v>664</v>
      </c>
      <c r="G62" s="14">
        <v>5</v>
      </c>
      <c r="H62" s="14">
        <v>6</v>
      </c>
      <c r="I62" s="501">
        <f t="shared" si="8"/>
        <v>0.15</v>
      </c>
      <c r="J62" s="501">
        <f t="shared" si="9"/>
        <v>0.15</v>
      </c>
      <c r="K62" s="501"/>
      <c r="L62" s="501"/>
      <c r="M62" s="501"/>
      <c r="N62" s="501"/>
      <c r="O62" s="568"/>
      <c r="P62" s="501"/>
      <c r="Q62" s="1856"/>
      <c r="R62" s="1865">
        <v>0.15</v>
      </c>
      <c r="S62" s="154"/>
      <c r="T62" s="260"/>
      <c r="U62" s="154"/>
      <c r="V62" s="154"/>
      <c r="W62" s="55"/>
      <c r="X62" s="2432"/>
      <c r="Y62" s="55"/>
      <c r="Z62" s="2433"/>
      <c r="AB62">
        <v>1</v>
      </c>
      <c r="AE62" s="2461"/>
      <c r="AF62" s="68"/>
      <c r="AK62" s="2815" t="s">
        <v>11230</v>
      </c>
      <c r="AL62" s="2579">
        <f>SUMIFS(M30:M953,F30:F953,5,G30:G953,5)</f>
        <v>0</v>
      </c>
      <c r="AM62" s="2817"/>
    </row>
    <row r="63" spans="1:39" ht="30.5" x14ac:dyDescent="0.35">
      <c r="A63" s="347">
        <v>23</v>
      </c>
      <c r="B63" s="358">
        <v>10303</v>
      </c>
      <c r="C63" s="358"/>
      <c r="D63" s="2464" t="s">
        <v>4431</v>
      </c>
      <c r="E63" s="511" t="s">
        <v>9349</v>
      </c>
      <c r="F63" s="14" t="s">
        <v>827</v>
      </c>
      <c r="G63" s="14">
        <v>5</v>
      </c>
      <c r="H63" s="13">
        <v>6</v>
      </c>
      <c r="I63" s="501">
        <f t="shared" si="8"/>
        <v>1.7889999999999999</v>
      </c>
      <c r="J63" s="501">
        <f t="shared" si="9"/>
        <v>1.7889999999999999</v>
      </c>
      <c r="K63" s="501"/>
      <c r="L63" s="503"/>
      <c r="M63" s="503"/>
      <c r="N63" s="501">
        <v>1.7889999999999999</v>
      </c>
      <c r="O63" s="570"/>
      <c r="P63" s="503"/>
      <c r="Q63" s="864"/>
      <c r="R63" s="874"/>
      <c r="S63" s="154">
        <v>1</v>
      </c>
      <c r="T63" s="260">
        <v>9.4</v>
      </c>
      <c r="U63" s="154"/>
      <c r="V63" s="154"/>
      <c r="W63" s="154">
        <v>4</v>
      </c>
      <c r="X63" s="2501">
        <v>37.07</v>
      </c>
      <c r="Y63" s="154">
        <v>1</v>
      </c>
      <c r="Z63" s="2433">
        <v>9</v>
      </c>
      <c r="AA63" s="3"/>
      <c r="AB63">
        <v>1</v>
      </c>
      <c r="AE63" s="2461"/>
      <c r="AF63" s="68"/>
      <c r="AK63" s="2815" t="s">
        <v>11231</v>
      </c>
      <c r="AL63" s="2579">
        <f>SUMIFS(N30:N953,F30:F953,5,G30:G953,5)</f>
        <v>52.058000000000014</v>
      </c>
      <c r="AM63" s="2817"/>
    </row>
    <row r="64" spans="1:39" ht="60.5" x14ac:dyDescent="0.35">
      <c r="A64" s="347">
        <v>24</v>
      </c>
      <c r="B64" s="405">
        <v>10303</v>
      </c>
      <c r="C64" s="405"/>
      <c r="D64" s="2464" t="s">
        <v>4432</v>
      </c>
      <c r="E64" s="511" t="s">
        <v>9314</v>
      </c>
      <c r="F64" s="13">
        <v>5</v>
      </c>
      <c r="G64" s="13">
        <v>5</v>
      </c>
      <c r="H64" s="13">
        <v>6</v>
      </c>
      <c r="I64" s="501">
        <f t="shared" si="8"/>
        <v>0.8</v>
      </c>
      <c r="J64" s="501">
        <f t="shared" si="9"/>
        <v>0.8</v>
      </c>
      <c r="K64" s="501"/>
      <c r="L64" s="501"/>
      <c r="M64" s="501"/>
      <c r="N64" s="501">
        <v>0.8</v>
      </c>
      <c r="O64" s="568"/>
      <c r="P64" s="501"/>
      <c r="Q64" s="860"/>
      <c r="R64" s="870"/>
      <c r="S64" s="154"/>
      <c r="T64" s="260"/>
      <c r="U64" s="154"/>
      <c r="V64" s="154"/>
      <c r="W64" s="154"/>
      <c r="X64" s="2501"/>
      <c r="Y64" s="154"/>
      <c r="Z64" s="2433"/>
      <c r="AA64" s="3"/>
      <c r="AB64">
        <v>1</v>
      </c>
      <c r="AE64" s="2461"/>
      <c r="AF64" s="68"/>
      <c r="AK64" s="2815" t="s">
        <v>11232</v>
      </c>
      <c r="AL64" s="2579">
        <f>SUMIFS(O30:O953,F30:F953,5,G30:G953,5)</f>
        <v>3.1</v>
      </c>
      <c r="AM64" s="2817"/>
    </row>
    <row r="65" spans="1:39" ht="45.5" x14ac:dyDescent="0.35">
      <c r="A65" s="347">
        <v>25</v>
      </c>
      <c r="B65" s="358">
        <v>10303</v>
      </c>
      <c r="C65" s="358" t="s">
        <v>1656</v>
      </c>
      <c r="D65" s="2464" t="s">
        <v>4433</v>
      </c>
      <c r="E65" s="511" t="s">
        <v>8300</v>
      </c>
      <c r="F65" s="14" t="s">
        <v>664</v>
      </c>
      <c r="G65" s="14">
        <v>5</v>
      </c>
      <c r="H65" s="14">
        <v>6</v>
      </c>
      <c r="I65" s="501">
        <f t="shared" si="8"/>
        <v>0.94</v>
      </c>
      <c r="J65" s="501">
        <f t="shared" si="9"/>
        <v>0.94</v>
      </c>
      <c r="K65" s="501"/>
      <c r="L65" s="501"/>
      <c r="M65" s="501"/>
      <c r="N65" s="501"/>
      <c r="O65" s="568"/>
      <c r="P65" s="501"/>
      <c r="Q65" s="1856"/>
      <c r="R65" s="1865">
        <v>0.94</v>
      </c>
      <c r="S65" s="154"/>
      <c r="T65" s="260"/>
      <c r="U65" s="154"/>
      <c r="V65" s="154"/>
      <c r="W65" s="55"/>
      <c r="X65" s="2432"/>
      <c r="Y65" s="55"/>
      <c r="Z65" s="2433"/>
      <c r="AB65">
        <v>1</v>
      </c>
      <c r="AE65" s="2461"/>
      <c r="AF65" s="68"/>
      <c r="AK65" s="2815" t="s">
        <v>11233</v>
      </c>
      <c r="AL65" s="2579">
        <f>SUMIFS(P30:P953,F30:F953,5,G30:G953,5)+SUMIFS(Q30:Q953,F30:F953,5,G30:G953,5)</f>
        <v>105.82200000000002</v>
      </c>
      <c r="AM65" s="2817"/>
    </row>
    <row r="66" spans="1:39" ht="30.5" x14ac:dyDescent="0.35">
      <c r="A66" s="347">
        <v>26</v>
      </c>
      <c r="B66" s="405">
        <v>10304</v>
      </c>
      <c r="C66" s="405"/>
      <c r="D66" s="405" t="s">
        <v>1894</v>
      </c>
      <c r="E66" s="511" t="s">
        <v>695</v>
      </c>
      <c r="F66" s="13"/>
      <c r="G66" s="13" t="s">
        <v>191</v>
      </c>
      <c r="H66" s="13" t="s">
        <v>191</v>
      </c>
      <c r="I66" s="501">
        <f t="shared" si="8"/>
        <v>21.14</v>
      </c>
      <c r="J66" s="501">
        <f t="shared" si="9"/>
        <v>21.14</v>
      </c>
      <c r="K66" s="501"/>
      <c r="L66" s="501"/>
      <c r="M66" s="501"/>
      <c r="N66" s="501">
        <f>SUM(N67:N69)</f>
        <v>17.334</v>
      </c>
      <c r="O66" s="851">
        <f>SUM(O67:O69)</f>
        <v>3.8060000000000009</v>
      </c>
      <c r="P66" s="501"/>
      <c r="Q66" s="860"/>
      <c r="R66" s="870"/>
      <c r="S66" s="55">
        <v>3</v>
      </c>
      <c r="T66" s="1962">
        <v>47.85</v>
      </c>
      <c r="U66" s="154"/>
      <c r="V66" s="154"/>
      <c r="W66" s="55">
        <v>37</v>
      </c>
      <c r="X66" s="2432">
        <v>489.9</v>
      </c>
      <c r="Y66" s="55">
        <v>18</v>
      </c>
      <c r="Z66" s="2433">
        <v>190</v>
      </c>
      <c r="AA66" s="3"/>
      <c r="AB66">
        <v>1</v>
      </c>
      <c r="AE66" s="2461"/>
      <c r="AF66" s="68"/>
      <c r="AK66" s="2815" t="s">
        <v>910</v>
      </c>
      <c r="AL66" s="2579">
        <f>SUMIFS(R30:R953,F30:F953,5,G30:G953,5)</f>
        <v>6.742</v>
      </c>
      <c r="AM66" s="2817"/>
    </row>
    <row r="67" spans="1:39" ht="15.5" x14ac:dyDescent="0.35">
      <c r="A67" s="347"/>
      <c r="B67" s="405">
        <v>10304</v>
      </c>
      <c r="C67" s="405"/>
      <c r="D67" s="405"/>
      <c r="E67" s="289" t="s">
        <v>798</v>
      </c>
      <c r="F67" s="13">
        <v>4</v>
      </c>
      <c r="G67" s="13">
        <v>4</v>
      </c>
      <c r="H67" s="13">
        <v>6</v>
      </c>
      <c r="I67" s="502"/>
      <c r="J67" s="502"/>
      <c r="K67" s="502"/>
      <c r="L67" s="502"/>
      <c r="M67" s="502"/>
      <c r="N67" s="502">
        <v>16.579999999999998</v>
      </c>
      <c r="O67" s="569"/>
      <c r="P67" s="502"/>
      <c r="Q67" s="1859"/>
      <c r="R67" s="1868"/>
      <c r="S67" s="55"/>
      <c r="T67" s="1962"/>
      <c r="U67" s="154"/>
      <c r="V67" s="154"/>
      <c r="W67" s="55"/>
      <c r="X67" s="2432"/>
      <c r="Y67" s="55"/>
      <c r="Z67" s="2433"/>
      <c r="AA67" s="3"/>
      <c r="AE67" s="2461"/>
      <c r="AF67" s="68"/>
      <c r="AK67" s="2818" t="s">
        <v>11234</v>
      </c>
      <c r="AL67" s="2821">
        <f>AL68+AL69+AL70+AL71+AL72</f>
        <v>165.78499999999991</v>
      </c>
      <c r="AM67" s="2820">
        <f>AL67-AH31-AI31-AJ31</f>
        <v>0</v>
      </c>
    </row>
    <row r="68" spans="1:39" ht="15.5" x14ac:dyDescent="0.35">
      <c r="A68" s="347"/>
      <c r="B68" s="405">
        <v>10304</v>
      </c>
      <c r="C68" s="405"/>
      <c r="D68" s="405"/>
      <c r="E68" s="921" t="s">
        <v>799</v>
      </c>
      <c r="F68" s="13">
        <v>4</v>
      </c>
      <c r="G68" s="13">
        <v>4</v>
      </c>
      <c r="H68" s="13">
        <v>6</v>
      </c>
      <c r="I68" s="502"/>
      <c r="J68" s="502"/>
      <c r="K68" s="502"/>
      <c r="L68" s="502"/>
      <c r="M68" s="502"/>
      <c r="N68" s="502"/>
      <c r="O68" s="1092">
        <f>20.386-16.58</f>
        <v>3.8060000000000009</v>
      </c>
      <c r="P68" s="502"/>
      <c r="Q68" s="1859"/>
      <c r="R68" s="1868"/>
      <c r="S68" s="55"/>
      <c r="T68" s="1962"/>
      <c r="U68" s="154"/>
      <c r="V68" s="154"/>
      <c r="W68" s="55"/>
      <c r="X68" s="2432"/>
      <c r="Y68" s="55"/>
      <c r="Z68" s="2433"/>
      <c r="AA68" s="3"/>
      <c r="AE68" s="2461"/>
      <c r="AF68" s="68"/>
      <c r="AK68" s="2815" t="s">
        <v>11230</v>
      </c>
      <c r="AL68" s="2579">
        <f>SUMIFS(M30:M953,F30:F953,"6а",G30:G953,5)+SUMIFS(M30:M953,F30:F953,"6б",G30:G953,5)+SUMIFS(M30:M953,F30:F953,"б/к",G30:G953,5)</f>
        <v>0</v>
      </c>
      <c r="AM68" s="2817"/>
    </row>
    <row r="69" spans="1:39" ht="15.5" x14ac:dyDescent="0.35">
      <c r="A69" s="347"/>
      <c r="B69" s="405">
        <v>10304</v>
      </c>
      <c r="C69" s="405"/>
      <c r="D69" s="405"/>
      <c r="E69" s="289" t="s">
        <v>800</v>
      </c>
      <c r="F69" s="13">
        <v>4</v>
      </c>
      <c r="G69" s="13">
        <v>4</v>
      </c>
      <c r="H69" s="13">
        <v>6</v>
      </c>
      <c r="I69" s="502"/>
      <c r="J69" s="502"/>
      <c r="K69" s="502"/>
      <c r="L69" s="502"/>
      <c r="M69" s="502"/>
      <c r="N69" s="502">
        <f>21.14-20.386</f>
        <v>0.75400000000000134</v>
      </c>
      <c r="O69" s="569"/>
      <c r="P69" s="502"/>
      <c r="Q69" s="1859"/>
      <c r="R69" s="1868"/>
      <c r="S69" s="55"/>
      <c r="T69" s="1962"/>
      <c r="U69" s="154"/>
      <c r="V69" s="154"/>
      <c r="W69" s="55"/>
      <c r="X69" s="2432"/>
      <c r="Y69" s="55"/>
      <c r="Z69" s="2433"/>
      <c r="AA69" s="3"/>
      <c r="AE69" s="2461"/>
      <c r="AF69" s="68"/>
      <c r="AK69" s="2815" t="s">
        <v>11231</v>
      </c>
      <c r="AL69" s="2579">
        <f>SUMIFS(N30:N953,F30:F953,"6а",G30:G953,5)+SUMIFS(N30:N953,F30:F953,"6б",G30:G953,5)+SUMIFS(N30:N953,F30:F953,"б/к",G30:G953,5)</f>
        <v>14.275999999999998</v>
      </c>
      <c r="AM69" s="2817"/>
    </row>
    <row r="70" spans="1:39" ht="45.5" x14ac:dyDescent="0.35">
      <c r="A70" s="347">
        <v>27</v>
      </c>
      <c r="B70" s="358">
        <v>10304</v>
      </c>
      <c r="C70" s="358"/>
      <c r="D70" s="2464" t="s">
        <v>4434</v>
      </c>
      <c r="E70" s="511" t="s">
        <v>7565</v>
      </c>
      <c r="F70" s="13" t="s">
        <v>1490</v>
      </c>
      <c r="G70" s="13">
        <v>5</v>
      </c>
      <c r="H70" s="14">
        <v>6</v>
      </c>
      <c r="I70" s="501">
        <f t="shared" si="8"/>
        <v>3.2</v>
      </c>
      <c r="J70" s="501">
        <f t="shared" si="9"/>
        <v>3.2</v>
      </c>
      <c r="K70" s="501"/>
      <c r="L70" s="501"/>
      <c r="M70" s="501"/>
      <c r="N70" s="501"/>
      <c r="O70" s="568"/>
      <c r="P70" s="501"/>
      <c r="Q70" s="860"/>
      <c r="R70" s="870">
        <v>3.2</v>
      </c>
      <c r="S70" s="154"/>
      <c r="T70" s="260"/>
      <c r="U70" s="154"/>
      <c r="V70" s="154"/>
      <c r="W70" s="55">
        <v>1</v>
      </c>
      <c r="X70" s="2432">
        <v>10</v>
      </c>
      <c r="Y70" s="55"/>
      <c r="Z70" s="2433"/>
      <c r="AA70" s="3"/>
      <c r="AB70">
        <v>1</v>
      </c>
      <c r="AE70" s="2461"/>
      <c r="AF70" s="68"/>
      <c r="AK70" s="2815" t="s">
        <v>11232</v>
      </c>
      <c r="AL70" s="2579">
        <f>SUMIFS(O30:O953,F30:F953,"6а",G30:G953,5)+SUMIFS(O30:O953,F30:F953,"6б",G30:G953,5)+SUMIFS(O30:O953,F30:F953,"б/к",G30:G953,5)</f>
        <v>0</v>
      </c>
      <c r="AM70" s="2817"/>
    </row>
    <row r="71" spans="1:39" ht="45.5" x14ac:dyDescent="0.35">
      <c r="A71" s="347">
        <v>28</v>
      </c>
      <c r="B71" s="358">
        <v>10304</v>
      </c>
      <c r="C71" s="358"/>
      <c r="D71" s="2464" t="s">
        <v>4435</v>
      </c>
      <c r="E71" s="511" t="s">
        <v>7566</v>
      </c>
      <c r="F71" s="13" t="s">
        <v>1490</v>
      </c>
      <c r="G71" s="13">
        <v>5</v>
      </c>
      <c r="H71" s="1944">
        <v>6</v>
      </c>
      <c r="I71" s="500">
        <f t="shared" si="8"/>
        <v>1.1000000000000001</v>
      </c>
      <c r="J71" s="500">
        <f t="shared" si="9"/>
        <v>1.1000000000000001</v>
      </c>
      <c r="K71" s="500"/>
      <c r="L71" s="500"/>
      <c r="M71" s="500"/>
      <c r="N71" s="500">
        <v>1.1000000000000001</v>
      </c>
      <c r="O71" s="568"/>
      <c r="P71" s="501"/>
      <c r="Q71" s="860"/>
      <c r="R71" s="870"/>
      <c r="S71" s="154"/>
      <c r="T71" s="260"/>
      <c r="U71" s="154"/>
      <c r="V71" s="154"/>
      <c r="W71" s="55"/>
      <c r="X71" s="2432"/>
      <c r="Y71" s="55"/>
      <c r="Z71" s="2433"/>
      <c r="AA71" s="3"/>
      <c r="AB71">
        <v>1</v>
      </c>
      <c r="AE71" s="2461"/>
      <c r="AF71" s="68"/>
      <c r="AK71" s="2815" t="s">
        <v>11233</v>
      </c>
      <c r="AL71" s="2579">
        <f>SUMIFS(P30:P953,F30:F953,"6а",G30:G953,5)+SUMIFS(Q30:Q953,F30:F953,"6а",G30:G953,5)+SUMIFS(P30:P953,F30:F953,"6б",G30:G953,5)+SUMIFS(Q30:Q953,F30:F953,"6б",G30:G953,5)+SUMIFS(P30:P953,F30:F953,"б/к",G30:G953,5)+SUMIFS(Q30:Q953,F30:F953,"б/к",G30:G953,5)</f>
        <v>15.905000000000001</v>
      </c>
      <c r="AM71" s="2817"/>
    </row>
    <row r="72" spans="1:39" ht="45.5" x14ac:dyDescent="0.35">
      <c r="A72" s="347">
        <v>29</v>
      </c>
      <c r="B72" s="358">
        <v>10304</v>
      </c>
      <c r="C72" s="358" t="s">
        <v>1656</v>
      </c>
      <c r="D72" s="2464" t="s">
        <v>4436</v>
      </c>
      <c r="E72" s="511" t="s">
        <v>8301</v>
      </c>
      <c r="F72" s="14" t="s">
        <v>664</v>
      </c>
      <c r="G72" s="14">
        <v>5</v>
      </c>
      <c r="H72" s="14">
        <v>6</v>
      </c>
      <c r="I72" s="501">
        <f t="shared" si="8"/>
        <v>0.15</v>
      </c>
      <c r="J72" s="501">
        <f t="shared" si="9"/>
        <v>0.15</v>
      </c>
      <c r="K72" s="501"/>
      <c r="L72" s="501"/>
      <c r="M72" s="501"/>
      <c r="N72" s="501"/>
      <c r="O72" s="568"/>
      <c r="P72" s="501"/>
      <c r="Q72" s="1856"/>
      <c r="R72" s="1865">
        <v>0.15</v>
      </c>
      <c r="S72" s="154"/>
      <c r="T72" s="260"/>
      <c r="U72" s="154"/>
      <c r="V72" s="154"/>
      <c r="W72" s="55"/>
      <c r="X72" s="2432"/>
      <c r="Y72" s="55"/>
      <c r="Z72" s="2433"/>
      <c r="AB72">
        <v>1</v>
      </c>
      <c r="AE72" s="2461"/>
      <c r="AF72" s="68"/>
      <c r="AK72" s="2815" t="s">
        <v>910</v>
      </c>
      <c r="AL72" s="2579">
        <f>SUMIFS(R30:R953,F30:F953,"6а",G30:G953,5)+SUMIFS(R30:R953,F30:F953,"6б",G30:G953,5)+SUMIFS(R30:R953,F30:F953,"б/к",G30:G953,5)</f>
        <v>135.60399999999993</v>
      </c>
      <c r="AM72" s="2817"/>
    </row>
    <row r="73" spans="1:39" ht="45.5" x14ac:dyDescent="0.35">
      <c r="A73" s="347">
        <v>30</v>
      </c>
      <c r="B73" s="358">
        <v>10304</v>
      </c>
      <c r="C73" s="358"/>
      <c r="D73" s="2464" t="s">
        <v>4437</v>
      </c>
      <c r="E73" s="511" t="s">
        <v>7567</v>
      </c>
      <c r="F73" s="13"/>
      <c r="G73" s="13" t="s">
        <v>191</v>
      </c>
      <c r="H73" s="13" t="s">
        <v>191</v>
      </c>
      <c r="I73" s="501">
        <f t="shared" si="8"/>
        <v>2.1000000000000005</v>
      </c>
      <c r="J73" s="501">
        <f t="shared" si="9"/>
        <v>2.1000000000000005</v>
      </c>
      <c r="K73" s="501"/>
      <c r="L73" s="501"/>
      <c r="M73" s="501"/>
      <c r="N73" s="501">
        <f>SUM(N74:N77)</f>
        <v>5.5999999999999904E-2</v>
      </c>
      <c r="O73" s="568"/>
      <c r="P73" s="501"/>
      <c r="Q73" s="860"/>
      <c r="R73" s="870">
        <f>SUM(R74:R77)</f>
        <v>2.0440000000000005</v>
      </c>
      <c r="S73" s="154"/>
      <c r="T73" s="260"/>
      <c r="U73" s="154"/>
      <c r="V73" s="154"/>
      <c r="W73" s="154">
        <v>3</v>
      </c>
      <c r="X73" s="2501">
        <v>30.3</v>
      </c>
      <c r="Y73" s="154"/>
      <c r="Z73" s="2433"/>
      <c r="AA73" s="3"/>
      <c r="AB73">
        <v>1</v>
      </c>
      <c r="AE73" s="2461"/>
      <c r="AF73" s="68"/>
      <c r="AK73" s="2815"/>
      <c r="AL73" s="2579"/>
      <c r="AM73" s="2817"/>
    </row>
    <row r="74" spans="1:39" ht="15.5" x14ac:dyDescent="0.35">
      <c r="A74" s="347"/>
      <c r="B74" s="358"/>
      <c r="C74" s="358"/>
      <c r="D74" s="358"/>
      <c r="E74" s="289" t="s">
        <v>3320</v>
      </c>
      <c r="F74" s="13" t="s">
        <v>1490</v>
      </c>
      <c r="G74" s="13">
        <v>5</v>
      </c>
      <c r="H74" s="13">
        <v>6</v>
      </c>
      <c r="I74" s="502"/>
      <c r="J74" s="502"/>
      <c r="K74" s="502"/>
      <c r="L74" s="502"/>
      <c r="M74" s="502"/>
      <c r="N74" s="502">
        <v>3.9E-2</v>
      </c>
      <c r="O74" s="569"/>
      <c r="P74" s="502"/>
      <c r="Q74" s="1859"/>
      <c r="R74" s="1868"/>
      <c r="S74" s="154"/>
      <c r="T74" s="260"/>
      <c r="U74" s="154"/>
      <c r="V74" s="154"/>
      <c r="W74" s="154"/>
      <c r="X74" s="2501"/>
      <c r="Y74" s="154"/>
      <c r="Z74" s="2433"/>
      <c r="AA74" s="3"/>
      <c r="AE74" s="2461"/>
      <c r="AF74" s="68"/>
      <c r="AK74" s="2822" t="s">
        <v>11237</v>
      </c>
      <c r="AL74" s="2823">
        <f>AL11+AL32+AL53</f>
        <v>607.64199999999994</v>
      </c>
      <c r="AM74" s="2824">
        <f>AL74-J10</f>
        <v>0</v>
      </c>
    </row>
    <row r="75" spans="1:39" ht="15.5" x14ac:dyDescent="0.35">
      <c r="A75" s="347"/>
      <c r="B75" s="358"/>
      <c r="C75" s="358"/>
      <c r="D75" s="358"/>
      <c r="E75" s="838" t="s">
        <v>3322</v>
      </c>
      <c r="F75" s="13" t="s">
        <v>1490</v>
      </c>
      <c r="G75" s="13">
        <v>5</v>
      </c>
      <c r="H75" s="14">
        <v>6</v>
      </c>
      <c r="I75" s="502"/>
      <c r="J75" s="502"/>
      <c r="K75" s="502"/>
      <c r="L75" s="502"/>
      <c r="M75" s="502"/>
      <c r="N75" s="502"/>
      <c r="O75" s="569"/>
      <c r="P75" s="502"/>
      <c r="Q75" s="1859"/>
      <c r="R75" s="1868">
        <f>1.888-0.039</f>
        <v>1.849</v>
      </c>
      <c r="S75" s="154"/>
      <c r="T75" s="260"/>
      <c r="U75" s="154"/>
      <c r="V75" s="154"/>
      <c r="W75" s="154"/>
      <c r="X75" s="2501"/>
      <c r="Y75" s="154"/>
      <c r="Z75" s="2433"/>
      <c r="AA75" s="3"/>
      <c r="AE75" s="2461"/>
      <c r="AF75" s="68"/>
      <c r="AK75" s="2825" t="s">
        <v>11238</v>
      </c>
      <c r="AL75" s="2826">
        <f>AL34+AL55+AL13</f>
        <v>227.184</v>
      </c>
      <c r="AM75" s="2827">
        <f>AL75-J12</f>
        <v>0</v>
      </c>
    </row>
    <row r="76" spans="1:39" ht="15.5" x14ac:dyDescent="0.35">
      <c r="A76" s="347"/>
      <c r="B76" s="358"/>
      <c r="C76" s="358"/>
      <c r="D76" s="358"/>
      <c r="E76" s="838" t="s">
        <v>3323</v>
      </c>
      <c r="F76" s="13" t="s">
        <v>1490</v>
      </c>
      <c r="G76" s="13">
        <v>5</v>
      </c>
      <c r="H76" s="14">
        <v>6</v>
      </c>
      <c r="I76" s="502"/>
      <c r="J76" s="502"/>
      <c r="K76" s="502"/>
      <c r="L76" s="502"/>
      <c r="M76" s="502"/>
      <c r="N76" s="502"/>
      <c r="O76" s="569"/>
      <c r="P76" s="502"/>
      <c r="Q76" s="1859"/>
      <c r="R76" s="1868">
        <f>2.083-1.888</f>
        <v>0.19500000000000028</v>
      </c>
      <c r="S76" s="154"/>
      <c r="T76" s="260"/>
      <c r="U76" s="154"/>
      <c r="V76" s="154"/>
      <c r="W76" s="154"/>
      <c r="X76" s="2501"/>
      <c r="Y76" s="154"/>
      <c r="Z76" s="2433"/>
      <c r="AA76" s="3"/>
      <c r="AE76" s="2461"/>
      <c r="AF76" s="68"/>
      <c r="AK76" s="2828" t="s">
        <v>11239</v>
      </c>
      <c r="AL76" s="2826">
        <f>AL19+AL40+AL61</f>
        <v>209.16700000000003</v>
      </c>
      <c r="AM76" s="2827">
        <f>AL76-J13</f>
        <v>0</v>
      </c>
    </row>
    <row r="77" spans="1:39" ht="15.5" x14ac:dyDescent="0.35">
      <c r="A77" s="347"/>
      <c r="B77" s="358"/>
      <c r="C77" s="358"/>
      <c r="D77" s="358"/>
      <c r="E77" s="289" t="s">
        <v>3321</v>
      </c>
      <c r="F77" s="13" t="s">
        <v>1490</v>
      </c>
      <c r="G77" s="13">
        <v>5</v>
      </c>
      <c r="H77" s="13">
        <v>6</v>
      </c>
      <c r="I77" s="502"/>
      <c r="J77" s="502"/>
      <c r="K77" s="502"/>
      <c r="L77" s="502"/>
      <c r="M77" s="502"/>
      <c r="N77" s="502">
        <f>2.1-2.083</f>
        <v>1.6999999999999904E-2</v>
      </c>
      <c r="O77" s="569"/>
      <c r="P77" s="502"/>
      <c r="Q77" s="1859"/>
      <c r="R77" s="1868"/>
      <c r="S77" s="154"/>
      <c r="T77" s="260"/>
      <c r="U77" s="154"/>
      <c r="V77" s="154"/>
      <c r="W77" s="154"/>
      <c r="X77" s="2501"/>
      <c r="Y77" s="154"/>
      <c r="Z77" s="2433"/>
      <c r="AA77" s="3"/>
      <c r="AE77" s="2461"/>
      <c r="AF77" s="68"/>
      <c r="AK77" s="2828" t="s">
        <v>11240</v>
      </c>
      <c r="AL77" s="2826">
        <f>AL25+AL46+AL67</f>
        <v>171.29099999999991</v>
      </c>
      <c r="AM77" s="2827">
        <f>AL77-J14</f>
        <v>0</v>
      </c>
    </row>
    <row r="78" spans="1:39" ht="45.5" x14ac:dyDescent="0.35">
      <c r="A78" s="347">
        <v>31</v>
      </c>
      <c r="B78" s="358">
        <v>10304</v>
      </c>
      <c r="C78" s="358" t="s">
        <v>1656</v>
      </c>
      <c r="D78" s="2464" t="s">
        <v>4438</v>
      </c>
      <c r="E78" s="511" t="s">
        <v>8302</v>
      </c>
      <c r="F78" s="14" t="s">
        <v>664</v>
      </c>
      <c r="G78" s="14">
        <v>5</v>
      </c>
      <c r="H78" s="14">
        <v>6</v>
      </c>
      <c r="I78" s="501">
        <f t="shared" si="8"/>
        <v>0.2</v>
      </c>
      <c r="J78" s="501">
        <f t="shared" si="9"/>
        <v>0.2</v>
      </c>
      <c r="K78" s="501"/>
      <c r="L78" s="501"/>
      <c r="M78" s="501"/>
      <c r="N78" s="501"/>
      <c r="O78" s="568"/>
      <c r="P78" s="501"/>
      <c r="Q78" s="1856"/>
      <c r="R78" s="1865">
        <v>0.2</v>
      </c>
      <c r="S78" s="154"/>
      <c r="T78" s="260"/>
      <c r="U78" s="154"/>
      <c r="V78" s="154"/>
      <c r="W78" s="154"/>
      <c r="X78" s="2501"/>
      <c r="Y78" s="154"/>
      <c r="Z78" s="2433"/>
      <c r="AB78">
        <v>1</v>
      </c>
      <c r="AE78" s="2461"/>
      <c r="AF78" s="68"/>
    </row>
    <row r="79" spans="1:39" ht="45.5" x14ac:dyDescent="0.35">
      <c r="A79" s="347">
        <v>32</v>
      </c>
      <c r="B79" s="405">
        <v>10304</v>
      </c>
      <c r="C79" s="405"/>
      <c r="D79" s="2464" t="s">
        <v>4439</v>
      </c>
      <c r="E79" s="288" t="s">
        <v>7568</v>
      </c>
      <c r="F79" s="13" t="s">
        <v>827</v>
      </c>
      <c r="G79" s="13">
        <v>5</v>
      </c>
      <c r="H79" s="14">
        <v>6</v>
      </c>
      <c r="I79" s="501">
        <f t="shared" si="8"/>
        <v>1.6</v>
      </c>
      <c r="J79" s="501">
        <f t="shared" si="9"/>
        <v>1.6</v>
      </c>
      <c r="K79" s="501"/>
      <c r="L79" s="501"/>
      <c r="M79" s="501"/>
      <c r="N79" s="501"/>
      <c r="O79" s="568"/>
      <c r="P79" s="501"/>
      <c r="Q79" s="860"/>
      <c r="R79" s="870">
        <v>1.6</v>
      </c>
      <c r="S79" s="154"/>
      <c r="T79" s="260"/>
      <c r="U79" s="154"/>
      <c r="V79" s="154"/>
      <c r="W79" s="154"/>
      <c r="X79" s="2501"/>
      <c r="Y79" s="154"/>
      <c r="Z79" s="2433"/>
      <c r="AA79" s="3"/>
      <c r="AB79">
        <v>1</v>
      </c>
      <c r="AE79" s="2461"/>
      <c r="AF79" s="68"/>
    </row>
    <row r="80" spans="1:39" ht="45.5" x14ac:dyDescent="0.35">
      <c r="A80" s="347">
        <v>33</v>
      </c>
      <c r="B80" s="358">
        <v>10314</v>
      </c>
      <c r="C80" s="358" t="s">
        <v>1656</v>
      </c>
      <c r="D80" s="2464" t="s">
        <v>4440</v>
      </c>
      <c r="E80" s="511" t="s">
        <v>8303</v>
      </c>
      <c r="F80" s="14" t="s">
        <v>664</v>
      </c>
      <c r="G80" s="14">
        <v>5</v>
      </c>
      <c r="H80" s="14">
        <v>6</v>
      </c>
      <c r="I80" s="501">
        <f>J80+K80+L80</f>
        <v>0.8</v>
      </c>
      <c r="J80" s="501">
        <f>SUM(M80:R80)</f>
        <v>0.8</v>
      </c>
      <c r="K80" s="501"/>
      <c r="L80" s="501"/>
      <c r="M80" s="501"/>
      <c r="N80" s="501"/>
      <c r="O80" s="568"/>
      <c r="P80" s="501"/>
      <c r="Q80" s="1856"/>
      <c r="R80" s="1865">
        <v>0.8</v>
      </c>
      <c r="S80" s="154"/>
      <c r="T80" s="260"/>
      <c r="U80" s="154"/>
      <c r="V80" s="154"/>
      <c r="W80" s="55"/>
      <c r="X80" s="2432"/>
      <c r="Y80" s="55"/>
      <c r="Z80" s="2433"/>
      <c r="AB80">
        <v>1</v>
      </c>
      <c r="AE80" s="2461"/>
      <c r="AF80" s="68"/>
    </row>
    <row r="81" spans="1:32" ht="45.5" x14ac:dyDescent="0.35">
      <c r="A81" s="347">
        <v>34</v>
      </c>
      <c r="B81" s="405">
        <v>10304</v>
      </c>
      <c r="C81" s="405"/>
      <c r="D81" s="2464" t="s">
        <v>4441</v>
      </c>
      <c r="E81" s="511" t="s">
        <v>7569</v>
      </c>
      <c r="F81" s="13">
        <v>5</v>
      </c>
      <c r="G81" s="13">
        <v>5</v>
      </c>
      <c r="H81" s="13">
        <v>6</v>
      </c>
      <c r="I81" s="501">
        <f t="shared" si="8"/>
        <v>1</v>
      </c>
      <c r="J81" s="501">
        <f t="shared" si="9"/>
        <v>1</v>
      </c>
      <c r="K81" s="501"/>
      <c r="L81" s="501"/>
      <c r="M81" s="501"/>
      <c r="N81" s="501">
        <v>1</v>
      </c>
      <c r="O81" s="568"/>
      <c r="P81" s="501"/>
      <c r="Q81" s="860"/>
      <c r="R81" s="870"/>
      <c r="S81" s="154"/>
      <c r="T81" s="260"/>
      <c r="U81" s="154"/>
      <c r="V81" s="154"/>
      <c r="W81" s="154"/>
      <c r="X81" s="2501"/>
      <c r="Y81" s="154"/>
      <c r="Z81" s="2433"/>
      <c r="AA81" s="3"/>
      <c r="AB81">
        <v>1</v>
      </c>
      <c r="AE81" s="2461"/>
      <c r="AF81" s="68"/>
    </row>
    <row r="82" spans="1:32" ht="45.5" x14ac:dyDescent="0.35">
      <c r="A82" s="347">
        <v>35</v>
      </c>
      <c r="B82" s="358">
        <v>10304</v>
      </c>
      <c r="C82" s="358" t="s">
        <v>1656</v>
      </c>
      <c r="D82" s="2464" t="s">
        <v>4442</v>
      </c>
      <c r="E82" s="511" t="s">
        <v>8304</v>
      </c>
      <c r="F82" s="14" t="s">
        <v>664</v>
      </c>
      <c r="G82" s="14">
        <v>5</v>
      </c>
      <c r="H82" s="14">
        <v>6</v>
      </c>
      <c r="I82" s="501">
        <f t="shared" si="8"/>
        <v>0.15</v>
      </c>
      <c r="J82" s="501">
        <f t="shared" si="9"/>
        <v>0.15</v>
      </c>
      <c r="K82" s="501"/>
      <c r="L82" s="501"/>
      <c r="M82" s="501"/>
      <c r="N82" s="501"/>
      <c r="O82" s="568"/>
      <c r="P82" s="501"/>
      <c r="Q82" s="1856"/>
      <c r="R82" s="1865">
        <v>0.15</v>
      </c>
      <c r="S82" s="154"/>
      <c r="T82" s="260"/>
      <c r="U82" s="154"/>
      <c r="V82" s="154"/>
      <c r="W82" s="55"/>
      <c r="X82" s="2432"/>
      <c r="Y82" s="55"/>
      <c r="Z82" s="2433"/>
      <c r="AB82">
        <v>1</v>
      </c>
      <c r="AE82" s="2461"/>
      <c r="AF82" s="68"/>
    </row>
    <row r="83" spans="1:32" ht="45.5" x14ac:dyDescent="0.35">
      <c r="A83" s="347">
        <v>36</v>
      </c>
      <c r="B83" s="405">
        <v>10304</v>
      </c>
      <c r="C83" s="405"/>
      <c r="D83" s="2464" t="s">
        <v>4443</v>
      </c>
      <c r="E83" s="511" t="s">
        <v>7570</v>
      </c>
      <c r="F83" s="13" t="s">
        <v>664</v>
      </c>
      <c r="G83" s="13">
        <v>5</v>
      </c>
      <c r="H83" s="14">
        <v>6</v>
      </c>
      <c r="I83" s="501">
        <f t="shared" si="8"/>
        <v>0.7</v>
      </c>
      <c r="J83" s="501">
        <f t="shared" si="9"/>
        <v>0.7</v>
      </c>
      <c r="K83" s="501"/>
      <c r="L83" s="501"/>
      <c r="M83" s="501"/>
      <c r="N83" s="501"/>
      <c r="O83" s="568"/>
      <c r="P83" s="501"/>
      <c r="Q83" s="860"/>
      <c r="R83" s="870">
        <v>0.7</v>
      </c>
      <c r="S83" s="154"/>
      <c r="T83" s="260"/>
      <c r="U83" s="154"/>
      <c r="V83" s="154"/>
      <c r="W83" s="154"/>
      <c r="X83" s="2501"/>
      <c r="Y83" s="154"/>
      <c r="Z83" s="2433"/>
      <c r="AA83" s="3"/>
      <c r="AB83">
        <v>1</v>
      </c>
      <c r="AE83" s="2461"/>
      <c r="AF83" s="68"/>
    </row>
    <row r="84" spans="1:32" ht="60.5" x14ac:dyDescent="0.35">
      <c r="A84" s="347">
        <v>37</v>
      </c>
      <c r="B84" s="358">
        <v>10304</v>
      </c>
      <c r="C84" s="358" t="s">
        <v>1656</v>
      </c>
      <c r="D84" s="2464" t="s">
        <v>4444</v>
      </c>
      <c r="E84" s="511" t="s">
        <v>8305</v>
      </c>
      <c r="F84" s="14" t="s">
        <v>664</v>
      </c>
      <c r="G84" s="14">
        <v>5</v>
      </c>
      <c r="H84" s="14">
        <v>6</v>
      </c>
      <c r="I84" s="501">
        <f t="shared" si="8"/>
        <v>0.15</v>
      </c>
      <c r="J84" s="501">
        <f t="shared" si="9"/>
        <v>0.15</v>
      </c>
      <c r="K84" s="501"/>
      <c r="L84" s="501"/>
      <c r="M84" s="501"/>
      <c r="N84" s="501"/>
      <c r="O84" s="568"/>
      <c r="P84" s="501"/>
      <c r="Q84" s="1856"/>
      <c r="R84" s="1865">
        <v>0.15</v>
      </c>
      <c r="S84" s="154"/>
      <c r="T84" s="260"/>
      <c r="U84" s="154"/>
      <c r="V84" s="154"/>
      <c r="W84" s="55"/>
      <c r="X84" s="2432"/>
      <c r="Y84" s="55"/>
      <c r="Z84" s="2433"/>
      <c r="AB84">
        <v>1</v>
      </c>
      <c r="AE84" s="2461"/>
      <c r="AF84" s="68"/>
    </row>
    <row r="85" spans="1:32" ht="45.5" x14ac:dyDescent="0.35">
      <c r="A85" s="347">
        <v>38</v>
      </c>
      <c r="B85" s="358">
        <v>10305</v>
      </c>
      <c r="C85" s="358"/>
      <c r="D85" s="358" t="s">
        <v>2741</v>
      </c>
      <c r="E85" s="511" t="s">
        <v>9719</v>
      </c>
      <c r="F85" s="13"/>
      <c r="G85" s="13" t="s">
        <v>191</v>
      </c>
      <c r="H85" s="13" t="s">
        <v>191</v>
      </c>
      <c r="I85" s="501">
        <f t="shared" si="8"/>
        <v>17.427</v>
      </c>
      <c r="J85" s="501">
        <f t="shared" si="9"/>
        <v>16.450999999999997</v>
      </c>
      <c r="K85" s="501"/>
      <c r="L85" s="501">
        <f>SUM(L86:L92)</f>
        <v>0.97600000000000087</v>
      </c>
      <c r="M85" s="501"/>
      <c r="N85" s="501">
        <f>SUM(N86:N92)</f>
        <v>14.250999999999998</v>
      </c>
      <c r="O85" s="568"/>
      <c r="P85" s="501"/>
      <c r="Q85" s="860">
        <f>SUM(Q86:Q92)</f>
        <v>2.2000000000000002</v>
      </c>
      <c r="R85" s="870"/>
      <c r="S85" s="154"/>
      <c r="T85" s="260"/>
      <c r="U85" s="154"/>
      <c r="V85" s="154"/>
      <c r="W85" s="55">
        <v>31</v>
      </c>
      <c r="X85" s="2432">
        <v>427.46</v>
      </c>
      <c r="Y85" s="55">
        <v>12</v>
      </c>
      <c r="Z85" s="2433">
        <v>125</v>
      </c>
      <c r="AA85" s="3" t="s">
        <v>1817</v>
      </c>
      <c r="AB85">
        <v>1</v>
      </c>
      <c r="AE85" s="2461"/>
      <c r="AF85" s="68"/>
    </row>
    <row r="86" spans="1:32" ht="15.5" x14ac:dyDescent="0.35">
      <c r="A86" s="349"/>
      <c r="B86" s="358">
        <v>10305</v>
      </c>
      <c r="C86" s="358"/>
      <c r="D86" s="358"/>
      <c r="E86" s="459" t="s">
        <v>1738</v>
      </c>
      <c r="F86" s="13">
        <v>4</v>
      </c>
      <c r="G86" s="13">
        <v>4</v>
      </c>
      <c r="H86" s="13">
        <v>6</v>
      </c>
      <c r="I86" s="502"/>
      <c r="J86" s="502"/>
      <c r="K86" s="502"/>
      <c r="L86" s="502"/>
      <c r="M86" s="502"/>
      <c r="N86" s="502">
        <v>1.7</v>
      </c>
      <c r="O86" s="569"/>
      <c r="P86" s="502"/>
      <c r="Q86" s="1859"/>
      <c r="R86" s="1868"/>
      <c r="S86" s="154"/>
      <c r="T86" s="260"/>
      <c r="U86" s="154"/>
      <c r="V86" s="154"/>
      <c r="W86" s="55"/>
      <c r="X86" s="2432"/>
      <c r="Y86" s="55"/>
      <c r="Z86" s="2433"/>
      <c r="AA86" s="3"/>
      <c r="AE86" s="2461"/>
      <c r="AF86" s="68"/>
    </row>
    <row r="87" spans="1:32" ht="15.5" x14ac:dyDescent="0.35">
      <c r="A87" s="349"/>
      <c r="B87" s="358"/>
      <c r="C87" s="358"/>
      <c r="D87" s="358"/>
      <c r="E87" s="837" t="s">
        <v>703</v>
      </c>
      <c r="F87" s="13">
        <v>4</v>
      </c>
      <c r="G87" s="13">
        <v>4</v>
      </c>
      <c r="H87" s="13">
        <v>6</v>
      </c>
      <c r="I87" s="502"/>
      <c r="J87" s="502"/>
      <c r="K87" s="502"/>
      <c r="L87" s="502"/>
      <c r="M87" s="502"/>
      <c r="N87" s="502"/>
      <c r="O87" s="569"/>
      <c r="P87" s="502"/>
      <c r="Q87" s="1859">
        <f>1.9-1.7</f>
        <v>0.19999999999999996</v>
      </c>
      <c r="R87" s="1868"/>
      <c r="S87" s="154"/>
      <c r="T87" s="260"/>
      <c r="U87" s="154"/>
      <c r="V87" s="154"/>
      <c r="W87" s="55"/>
      <c r="X87" s="2432"/>
      <c r="Y87" s="55"/>
      <c r="Z87" s="2433"/>
      <c r="AA87" s="3"/>
      <c r="AE87" s="2461"/>
      <c r="AF87" s="68"/>
    </row>
    <row r="88" spans="1:32" ht="15.5" x14ac:dyDescent="0.35">
      <c r="A88" s="349"/>
      <c r="B88" s="358"/>
      <c r="C88" s="358"/>
      <c r="D88" s="358"/>
      <c r="E88" s="459" t="s">
        <v>704</v>
      </c>
      <c r="F88" s="13">
        <v>4</v>
      </c>
      <c r="G88" s="13">
        <v>4</v>
      </c>
      <c r="H88" s="13">
        <v>6</v>
      </c>
      <c r="I88" s="502"/>
      <c r="J88" s="502"/>
      <c r="K88" s="502"/>
      <c r="L88" s="502"/>
      <c r="M88" s="502"/>
      <c r="N88" s="502">
        <f>2-1.9</f>
        <v>0.10000000000000009</v>
      </c>
      <c r="O88" s="569"/>
      <c r="P88" s="502"/>
      <c r="Q88" s="1859"/>
      <c r="R88" s="1868"/>
      <c r="S88" s="154"/>
      <c r="T88" s="260"/>
      <c r="U88" s="154"/>
      <c r="V88" s="154"/>
      <c r="W88" s="55"/>
      <c r="X88" s="2432"/>
      <c r="Y88" s="55"/>
      <c r="Z88" s="2433"/>
      <c r="AA88" s="3"/>
      <c r="AE88" s="2461"/>
      <c r="AF88" s="68"/>
    </row>
    <row r="89" spans="1:32" ht="15.5" x14ac:dyDescent="0.35">
      <c r="A89" s="349"/>
      <c r="B89" s="358"/>
      <c r="C89" s="358"/>
      <c r="D89" s="358"/>
      <c r="E89" s="837" t="s">
        <v>705</v>
      </c>
      <c r="F89" s="13">
        <v>4</v>
      </c>
      <c r="G89" s="13">
        <v>4</v>
      </c>
      <c r="H89" s="13">
        <v>6</v>
      </c>
      <c r="I89" s="502"/>
      <c r="J89" s="502"/>
      <c r="K89" s="502"/>
      <c r="L89" s="502"/>
      <c r="M89" s="502"/>
      <c r="N89" s="502"/>
      <c r="O89" s="569"/>
      <c r="P89" s="502"/>
      <c r="Q89" s="1859">
        <f>4-2</f>
        <v>2</v>
      </c>
      <c r="R89" s="1868"/>
      <c r="S89" s="154"/>
      <c r="T89" s="260"/>
      <c r="U89" s="154"/>
      <c r="V89" s="154"/>
      <c r="W89" s="55"/>
      <c r="X89" s="2432"/>
      <c r="Y89" s="55"/>
      <c r="Z89" s="2433"/>
      <c r="AA89" s="3"/>
      <c r="AE89" s="2461"/>
      <c r="AF89" s="68"/>
    </row>
    <row r="90" spans="1:32" ht="15.5" x14ac:dyDescent="0.35">
      <c r="A90" s="349"/>
      <c r="B90" s="358"/>
      <c r="C90" s="358"/>
      <c r="D90" s="358"/>
      <c r="E90" s="459" t="s">
        <v>3595</v>
      </c>
      <c r="F90" s="13">
        <v>4</v>
      </c>
      <c r="G90" s="13">
        <v>4</v>
      </c>
      <c r="H90" s="13">
        <v>6</v>
      </c>
      <c r="I90" s="502"/>
      <c r="J90" s="502"/>
      <c r="K90" s="502"/>
      <c r="L90" s="502"/>
      <c r="M90" s="502"/>
      <c r="N90" s="502">
        <f>9.248-4</f>
        <v>5.2479999999999993</v>
      </c>
      <c r="O90" s="569"/>
      <c r="P90" s="502"/>
      <c r="Q90" s="1859"/>
      <c r="R90" s="1868"/>
      <c r="S90" s="154"/>
      <c r="T90" s="260"/>
      <c r="U90" s="154"/>
      <c r="V90" s="154"/>
      <c r="W90" s="55"/>
      <c r="X90" s="2432"/>
      <c r="Y90" s="55"/>
      <c r="Z90" s="2433"/>
      <c r="AA90" s="3"/>
      <c r="AE90" s="2461"/>
      <c r="AF90" s="68"/>
    </row>
    <row r="91" spans="1:32" ht="31" x14ac:dyDescent="0.35">
      <c r="A91" s="359"/>
      <c r="B91" s="358">
        <v>10305</v>
      </c>
      <c r="C91" s="358"/>
      <c r="D91" s="360"/>
      <c r="E91" s="459" t="s">
        <v>3594</v>
      </c>
      <c r="F91" s="13">
        <v>4</v>
      </c>
      <c r="G91" s="13">
        <v>4</v>
      </c>
      <c r="H91" s="14" t="s">
        <v>191</v>
      </c>
      <c r="I91" s="502" t="s">
        <v>1516</v>
      </c>
      <c r="J91" s="502" t="s">
        <v>1516</v>
      </c>
      <c r="K91" s="501"/>
      <c r="L91" s="502">
        <f>10.224-9.248</f>
        <v>0.97600000000000087</v>
      </c>
      <c r="M91" s="502"/>
      <c r="N91" s="502"/>
      <c r="O91" s="569"/>
      <c r="P91" s="502"/>
      <c r="Q91" s="863"/>
      <c r="R91" s="873"/>
      <c r="S91" s="1944"/>
      <c r="T91" s="2497" t="s">
        <v>1516</v>
      </c>
      <c r="U91" s="1944"/>
      <c r="V91" s="1944"/>
      <c r="W91" s="1944"/>
      <c r="X91" s="2503"/>
      <c r="Y91" s="1944"/>
      <c r="Z91" s="2499"/>
      <c r="AA91" s="3"/>
      <c r="AE91" s="2461"/>
      <c r="AF91" s="68"/>
    </row>
    <row r="92" spans="1:32" ht="15.5" x14ac:dyDescent="0.35">
      <c r="A92" s="359"/>
      <c r="B92" s="358">
        <v>10305</v>
      </c>
      <c r="C92" s="358"/>
      <c r="D92" s="360"/>
      <c r="E92" s="459" t="s">
        <v>3596</v>
      </c>
      <c r="F92" s="13">
        <v>4</v>
      </c>
      <c r="G92" s="13">
        <v>4</v>
      </c>
      <c r="H92" s="13">
        <v>6</v>
      </c>
      <c r="I92" s="502"/>
      <c r="J92" s="502"/>
      <c r="K92" s="501"/>
      <c r="L92" s="502"/>
      <c r="M92" s="502"/>
      <c r="N92" s="502">
        <f>17.427-10.224</f>
        <v>7.2029999999999994</v>
      </c>
      <c r="O92" s="569"/>
      <c r="P92" s="502"/>
      <c r="Q92" s="863"/>
      <c r="R92" s="873"/>
      <c r="S92" s="1944"/>
      <c r="T92" s="2497"/>
      <c r="U92" s="1944"/>
      <c r="V92" s="1944"/>
      <c r="W92" s="1944"/>
      <c r="X92" s="2503"/>
      <c r="Y92" s="1944"/>
      <c r="Z92" s="2499"/>
      <c r="AA92" s="3"/>
      <c r="AE92" s="2461"/>
      <c r="AF92" s="68"/>
    </row>
    <row r="93" spans="1:32" ht="60.5" x14ac:dyDescent="0.35">
      <c r="A93" s="347">
        <v>39</v>
      </c>
      <c r="B93" s="358">
        <v>10305</v>
      </c>
      <c r="C93" s="358" t="s">
        <v>1656</v>
      </c>
      <c r="D93" s="2464" t="s">
        <v>4445</v>
      </c>
      <c r="E93" s="511" t="s">
        <v>9720</v>
      </c>
      <c r="F93" s="14" t="s">
        <v>664</v>
      </c>
      <c r="G93" s="14">
        <v>5</v>
      </c>
      <c r="H93" s="14">
        <v>6</v>
      </c>
      <c r="I93" s="501">
        <f t="shared" ref="I93:I101" si="10">J93+K93+L93</f>
        <v>0.8</v>
      </c>
      <c r="J93" s="501">
        <f t="shared" ref="J93:J101" si="11">SUM(M93:R93)</f>
        <v>0.8</v>
      </c>
      <c r="K93" s="501"/>
      <c r="L93" s="503"/>
      <c r="M93" s="503"/>
      <c r="N93" s="501"/>
      <c r="O93" s="570"/>
      <c r="P93" s="503"/>
      <c r="Q93" s="2099"/>
      <c r="R93" s="2098">
        <v>0.8</v>
      </c>
      <c r="S93" s="154"/>
      <c r="T93" s="260"/>
      <c r="U93" s="154"/>
      <c r="V93" s="154"/>
      <c r="W93" s="154"/>
      <c r="X93" s="2501"/>
      <c r="Y93" s="154"/>
      <c r="Z93" s="2433"/>
      <c r="AB93">
        <v>1</v>
      </c>
      <c r="AE93" s="2461"/>
      <c r="AF93" s="68"/>
    </row>
    <row r="94" spans="1:32" ht="60.5" x14ac:dyDescent="0.35">
      <c r="A94" s="347">
        <v>40</v>
      </c>
      <c r="B94" s="358">
        <v>10305</v>
      </c>
      <c r="C94" s="358" t="s">
        <v>1656</v>
      </c>
      <c r="D94" s="2464" t="s">
        <v>4446</v>
      </c>
      <c r="E94" s="511" t="s">
        <v>9721</v>
      </c>
      <c r="F94" s="14" t="s">
        <v>664</v>
      </c>
      <c r="G94" s="14">
        <v>5</v>
      </c>
      <c r="H94" s="14">
        <v>6</v>
      </c>
      <c r="I94" s="501">
        <f t="shared" si="10"/>
        <v>0.2</v>
      </c>
      <c r="J94" s="501">
        <f t="shared" si="11"/>
        <v>0.2</v>
      </c>
      <c r="K94" s="501"/>
      <c r="L94" s="501"/>
      <c r="M94" s="501"/>
      <c r="N94" s="501"/>
      <c r="O94" s="568"/>
      <c r="P94" s="501"/>
      <c r="Q94" s="1856"/>
      <c r="R94" s="1865">
        <v>0.2</v>
      </c>
      <c r="S94" s="154"/>
      <c r="T94" s="260"/>
      <c r="U94" s="154"/>
      <c r="V94" s="154"/>
      <c r="W94" s="55"/>
      <c r="X94" s="2432"/>
      <c r="Y94" s="55"/>
      <c r="Z94" s="2433"/>
      <c r="AB94">
        <v>1</v>
      </c>
      <c r="AE94" s="2461"/>
      <c r="AF94" s="68"/>
    </row>
    <row r="95" spans="1:32" ht="60.5" x14ac:dyDescent="0.35">
      <c r="A95" s="347">
        <v>41</v>
      </c>
      <c r="B95" s="358">
        <v>10305</v>
      </c>
      <c r="C95" s="358" t="s">
        <v>1656</v>
      </c>
      <c r="D95" s="2464" t="s">
        <v>4447</v>
      </c>
      <c r="E95" s="511" t="s">
        <v>9722</v>
      </c>
      <c r="F95" s="14" t="s">
        <v>664</v>
      </c>
      <c r="G95" s="14">
        <v>5</v>
      </c>
      <c r="H95" s="14">
        <v>6</v>
      </c>
      <c r="I95" s="501">
        <f t="shared" si="10"/>
        <v>0.2</v>
      </c>
      <c r="J95" s="501">
        <f t="shared" si="11"/>
        <v>0.2</v>
      </c>
      <c r="K95" s="501"/>
      <c r="L95" s="501"/>
      <c r="M95" s="501"/>
      <c r="N95" s="501"/>
      <c r="O95" s="568"/>
      <c r="P95" s="501"/>
      <c r="Q95" s="1856"/>
      <c r="R95" s="1865">
        <v>0.2</v>
      </c>
      <c r="S95" s="154"/>
      <c r="T95" s="260"/>
      <c r="U95" s="154"/>
      <c r="V95" s="154"/>
      <c r="W95" s="55"/>
      <c r="X95" s="2432"/>
      <c r="Y95" s="55"/>
      <c r="Z95" s="2433"/>
      <c r="AB95">
        <v>1</v>
      </c>
      <c r="AE95" s="2461"/>
      <c r="AF95" s="68"/>
    </row>
    <row r="96" spans="1:32" ht="30" x14ac:dyDescent="0.35">
      <c r="A96" s="347">
        <v>42</v>
      </c>
      <c r="B96" s="358">
        <v>10306</v>
      </c>
      <c r="C96" s="358"/>
      <c r="D96" s="358" t="s">
        <v>1502</v>
      </c>
      <c r="E96" s="288" t="s">
        <v>1728</v>
      </c>
      <c r="F96" s="13">
        <v>4</v>
      </c>
      <c r="G96" s="13">
        <v>4</v>
      </c>
      <c r="H96" s="13">
        <v>6</v>
      </c>
      <c r="I96" s="501">
        <f t="shared" si="10"/>
        <v>5.74</v>
      </c>
      <c r="J96" s="501">
        <f t="shared" si="11"/>
        <v>5.74</v>
      </c>
      <c r="K96" s="501"/>
      <c r="L96" s="501"/>
      <c r="M96" s="501"/>
      <c r="N96" s="501">
        <v>5.74</v>
      </c>
      <c r="O96" s="568"/>
      <c r="P96" s="501"/>
      <c r="Q96" s="860"/>
      <c r="R96" s="870"/>
      <c r="S96" s="154"/>
      <c r="T96" s="260"/>
      <c r="U96" s="154"/>
      <c r="V96" s="154"/>
      <c r="W96" s="55">
        <v>8</v>
      </c>
      <c r="X96" s="2432">
        <v>125.4</v>
      </c>
      <c r="Y96" s="55"/>
      <c r="Z96" s="2433"/>
      <c r="AA96" s="3"/>
      <c r="AB96">
        <v>1</v>
      </c>
      <c r="AE96" s="2461"/>
      <c r="AF96" s="68"/>
    </row>
    <row r="97" spans="1:32" ht="30.5" x14ac:dyDescent="0.35">
      <c r="A97" s="347">
        <v>43</v>
      </c>
      <c r="B97" s="358">
        <v>10306</v>
      </c>
      <c r="C97" s="358"/>
      <c r="D97" s="2464" t="s">
        <v>4448</v>
      </c>
      <c r="E97" s="511" t="s">
        <v>7571</v>
      </c>
      <c r="F97" s="13" t="s">
        <v>1490</v>
      </c>
      <c r="G97" s="1138">
        <v>5</v>
      </c>
      <c r="H97" s="14">
        <v>6</v>
      </c>
      <c r="I97" s="297">
        <f t="shared" si="10"/>
        <v>0.8</v>
      </c>
      <c r="J97" s="297">
        <f>SUM(M97:R97)</f>
        <v>0.8</v>
      </c>
      <c r="K97" s="501"/>
      <c r="L97" s="501"/>
      <c r="M97" s="501"/>
      <c r="N97" s="501"/>
      <c r="O97" s="568"/>
      <c r="P97" s="501"/>
      <c r="Q97" s="860"/>
      <c r="R97" s="870">
        <v>0.8</v>
      </c>
      <c r="S97" s="55"/>
      <c r="T97" s="1962"/>
      <c r="U97" s="154"/>
      <c r="V97" s="154"/>
      <c r="W97" s="55">
        <v>3</v>
      </c>
      <c r="X97" s="2432">
        <v>30</v>
      </c>
      <c r="Y97" s="55">
        <v>2</v>
      </c>
      <c r="Z97" s="2433">
        <v>20</v>
      </c>
      <c r="AA97" s="3" t="s">
        <v>3449</v>
      </c>
      <c r="AB97">
        <v>1</v>
      </c>
      <c r="AC97" t="s">
        <v>2570</v>
      </c>
      <c r="AE97" s="2461"/>
      <c r="AF97" s="68"/>
    </row>
    <row r="98" spans="1:32" ht="45.5" x14ac:dyDescent="0.35">
      <c r="A98" s="347">
        <v>44</v>
      </c>
      <c r="B98" s="358">
        <v>10306</v>
      </c>
      <c r="C98" s="358"/>
      <c r="D98" s="2464" t="s">
        <v>7054</v>
      </c>
      <c r="E98" s="511" t="s">
        <v>7572</v>
      </c>
      <c r="F98" s="13" t="s">
        <v>1490</v>
      </c>
      <c r="G98" s="1138">
        <v>5</v>
      </c>
      <c r="H98" s="14">
        <v>6</v>
      </c>
      <c r="I98" s="297">
        <f>J98+K98+L98</f>
        <v>0.2</v>
      </c>
      <c r="J98" s="297">
        <f>SUM(M98:R98)</f>
        <v>0.2</v>
      </c>
      <c r="K98" s="501"/>
      <c r="L98" s="501"/>
      <c r="M98" s="501"/>
      <c r="N98" s="501"/>
      <c r="O98" s="568"/>
      <c r="P98" s="501"/>
      <c r="Q98" s="860"/>
      <c r="R98" s="870">
        <v>0.2</v>
      </c>
      <c r="S98" s="55"/>
      <c r="T98" s="1962"/>
      <c r="U98" s="154"/>
      <c r="V98" s="154"/>
      <c r="W98" s="55"/>
      <c r="X98" s="2432"/>
      <c r="Y98" s="55"/>
      <c r="Z98" s="2433"/>
      <c r="AA98" s="3" t="s">
        <v>3449</v>
      </c>
      <c r="AB98">
        <v>1</v>
      </c>
      <c r="AC98" t="s">
        <v>2570</v>
      </c>
      <c r="AE98" s="2461"/>
      <c r="AF98" s="68"/>
    </row>
    <row r="99" spans="1:32" ht="30.5" x14ac:dyDescent="0.35">
      <c r="A99" s="347">
        <v>45</v>
      </c>
      <c r="B99" s="358">
        <v>10306</v>
      </c>
      <c r="C99" s="358"/>
      <c r="D99" s="2464" t="s">
        <v>4449</v>
      </c>
      <c r="E99" s="288" t="s">
        <v>7573</v>
      </c>
      <c r="F99" s="13">
        <v>5</v>
      </c>
      <c r="G99" s="13">
        <v>5</v>
      </c>
      <c r="H99" s="13">
        <v>6</v>
      </c>
      <c r="I99" s="501">
        <f t="shared" si="10"/>
        <v>1</v>
      </c>
      <c r="J99" s="501">
        <f t="shared" si="11"/>
        <v>1</v>
      </c>
      <c r="K99" s="501"/>
      <c r="L99" s="501"/>
      <c r="M99" s="501"/>
      <c r="N99" s="501"/>
      <c r="O99" s="568"/>
      <c r="P99" s="501"/>
      <c r="Q99" s="860">
        <v>1</v>
      </c>
      <c r="R99" s="870"/>
      <c r="S99" s="154"/>
      <c r="T99" s="260"/>
      <c r="U99" s="154"/>
      <c r="V99" s="154"/>
      <c r="W99" s="55"/>
      <c r="X99" s="2432"/>
      <c r="Y99" s="55"/>
      <c r="Z99" s="2433"/>
      <c r="AA99" s="3"/>
      <c r="AB99">
        <v>1</v>
      </c>
      <c r="AE99" s="2461"/>
      <c r="AF99" s="68"/>
    </row>
    <row r="100" spans="1:32" ht="45.5" x14ac:dyDescent="0.35">
      <c r="A100" s="347">
        <v>46</v>
      </c>
      <c r="B100" s="358">
        <v>10306</v>
      </c>
      <c r="C100" s="358" t="s">
        <v>1656</v>
      </c>
      <c r="D100" s="2464" t="s">
        <v>4450</v>
      </c>
      <c r="E100" s="511" t="s">
        <v>8306</v>
      </c>
      <c r="F100" s="14" t="s">
        <v>664</v>
      </c>
      <c r="G100" s="14">
        <v>5</v>
      </c>
      <c r="H100" s="14">
        <v>6</v>
      </c>
      <c r="I100" s="501">
        <f t="shared" si="10"/>
        <v>0.6</v>
      </c>
      <c r="J100" s="501">
        <f t="shared" si="11"/>
        <v>0.6</v>
      </c>
      <c r="K100" s="501"/>
      <c r="L100" s="501"/>
      <c r="M100" s="501"/>
      <c r="N100" s="501"/>
      <c r="O100" s="568"/>
      <c r="P100" s="501"/>
      <c r="Q100" s="1856"/>
      <c r="R100" s="1865">
        <v>0.6</v>
      </c>
      <c r="S100" s="154"/>
      <c r="T100" s="260"/>
      <c r="U100" s="154"/>
      <c r="V100" s="154"/>
      <c r="W100" s="55"/>
      <c r="X100" s="2432"/>
      <c r="Y100" s="55"/>
      <c r="Z100" s="2433"/>
      <c r="AB100">
        <v>1</v>
      </c>
      <c r="AE100" s="2461"/>
      <c r="AF100" s="68"/>
    </row>
    <row r="101" spans="1:32" ht="30" x14ac:dyDescent="0.35">
      <c r="A101" s="347">
        <v>47</v>
      </c>
      <c r="B101" s="358">
        <v>10307</v>
      </c>
      <c r="C101" s="358"/>
      <c r="D101" s="358" t="s">
        <v>1582</v>
      </c>
      <c r="E101" s="511" t="s">
        <v>9723</v>
      </c>
      <c r="F101" s="13"/>
      <c r="G101" s="13" t="s">
        <v>191</v>
      </c>
      <c r="H101" s="13" t="s">
        <v>191</v>
      </c>
      <c r="I101" s="501">
        <f t="shared" si="10"/>
        <v>6.58</v>
      </c>
      <c r="J101" s="501">
        <f t="shared" si="11"/>
        <v>6.58</v>
      </c>
      <c r="K101" s="501"/>
      <c r="L101" s="501"/>
      <c r="M101" s="501"/>
      <c r="N101" s="501">
        <f>SUM(N102:N104)</f>
        <v>2.6799999999999997</v>
      </c>
      <c r="O101" s="568"/>
      <c r="P101" s="501"/>
      <c r="Q101" s="860">
        <f>SUM(Q102:Q104)</f>
        <v>3.9000000000000004</v>
      </c>
      <c r="R101" s="870" t="s">
        <v>1516</v>
      </c>
      <c r="S101" s="154"/>
      <c r="T101" s="260"/>
      <c r="U101" s="154"/>
      <c r="V101" s="154"/>
      <c r="W101" s="55">
        <v>7</v>
      </c>
      <c r="X101" s="2432">
        <v>120.9</v>
      </c>
      <c r="Y101" s="55"/>
      <c r="Z101" s="2433"/>
      <c r="AA101" s="3" t="s">
        <v>280</v>
      </c>
      <c r="AB101">
        <v>1</v>
      </c>
      <c r="AE101" s="2461"/>
      <c r="AF101" s="68"/>
    </row>
    <row r="102" spans="1:32" ht="15.5" x14ac:dyDescent="0.35">
      <c r="A102" s="347"/>
      <c r="B102" s="358">
        <v>10307</v>
      </c>
      <c r="C102" s="358"/>
      <c r="D102" s="358"/>
      <c r="E102" s="289" t="s">
        <v>2020</v>
      </c>
      <c r="F102" s="13">
        <v>4</v>
      </c>
      <c r="G102" s="13">
        <v>4</v>
      </c>
      <c r="H102" s="13">
        <v>6</v>
      </c>
      <c r="I102" s="502"/>
      <c r="J102" s="502"/>
      <c r="K102" s="502"/>
      <c r="L102" s="502"/>
      <c r="M102" s="502"/>
      <c r="N102" s="502">
        <v>1.5</v>
      </c>
      <c r="O102" s="569"/>
      <c r="P102" s="502"/>
      <c r="Q102" s="1859"/>
      <c r="R102" s="870"/>
      <c r="S102" s="154"/>
      <c r="T102" s="260"/>
      <c r="U102" s="154"/>
      <c r="V102" s="154"/>
      <c r="W102" s="55"/>
      <c r="X102" s="2432"/>
      <c r="Y102" s="55"/>
      <c r="Z102" s="2433"/>
      <c r="AA102" s="3"/>
      <c r="AE102" s="2461"/>
      <c r="AF102" s="68"/>
    </row>
    <row r="103" spans="1:32" ht="15.5" x14ac:dyDescent="0.35">
      <c r="A103" s="347"/>
      <c r="B103" s="358">
        <v>10307</v>
      </c>
      <c r="C103" s="358"/>
      <c r="D103" s="358"/>
      <c r="E103" s="837" t="s">
        <v>946</v>
      </c>
      <c r="F103" s="13">
        <v>4</v>
      </c>
      <c r="G103" s="13">
        <v>4</v>
      </c>
      <c r="H103" s="13">
        <v>6</v>
      </c>
      <c r="I103" s="502"/>
      <c r="J103" s="502"/>
      <c r="K103" s="502"/>
      <c r="L103" s="502"/>
      <c r="M103" s="502"/>
      <c r="N103" s="502"/>
      <c r="O103" s="569"/>
      <c r="P103" s="502"/>
      <c r="Q103" s="1859">
        <f>5.4-1.5</f>
        <v>3.9000000000000004</v>
      </c>
      <c r="R103" s="870"/>
      <c r="S103" s="154"/>
      <c r="T103" s="260"/>
      <c r="U103" s="154"/>
      <c r="V103" s="154"/>
      <c r="W103" s="55"/>
      <c r="X103" s="2432"/>
      <c r="Y103" s="55"/>
      <c r="Z103" s="2433"/>
      <c r="AA103" s="3"/>
      <c r="AE103" s="2461"/>
      <c r="AF103" s="68"/>
    </row>
    <row r="104" spans="1:32" ht="15.5" x14ac:dyDescent="0.35">
      <c r="A104" s="347"/>
      <c r="B104" s="358">
        <v>10307</v>
      </c>
      <c r="C104" s="358"/>
      <c r="D104" s="358"/>
      <c r="E104" s="289" t="s">
        <v>947</v>
      </c>
      <c r="F104" s="13">
        <v>4</v>
      </c>
      <c r="G104" s="13">
        <v>4</v>
      </c>
      <c r="H104" s="13">
        <v>6</v>
      </c>
      <c r="I104" s="502"/>
      <c r="J104" s="502"/>
      <c r="K104" s="502"/>
      <c r="L104" s="502"/>
      <c r="M104" s="502"/>
      <c r="N104" s="502">
        <f>6.58-5.4</f>
        <v>1.1799999999999997</v>
      </c>
      <c r="O104" s="569"/>
      <c r="P104" s="502"/>
      <c r="Q104" s="1859"/>
      <c r="R104" s="870"/>
      <c r="S104" s="154"/>
      <c r="T104" s="260"/>
      <c r="U104" s="154"/>
      <c r="V104" s="154"/>
      <c r="W104" s="55"/>
      <c r="X104" s="2432"/>
      <c r="Y104" s="55"/>
      <c r="Z104" s="2433"/>
      <c r="AA104" s="3"/>
      <c r="AE104" s="2461"/>
      <c r="AF104" s="68"/>
    </row>
    <row r="105" spans="1:32" ht="30.5" x14ac:dyDescent="0.35">
      <c r="A105" s="347">
        <v>48</v>
      </c>
      <c r="B105" s="358">
        <v>10307</v>
      </c>
      <c r="C105" s="358"/>
      <c r="D105" s="2464" t="s">
        <v>4451</v>
      </c>
      <c r="E105" s="511" t="s">
        <v>9724</v>
      </c>
      <c r="F105" s="13" t="s">
        <v>827</v>
      </c>
      <c r="G105" s="13">
        <v>5</v>
      </c>
      <c r="H105" s="14">
        <v>6</v>
      </c>
      <c r="I105" s="501">
        <v>3.24</v>
      </c>
      <c r="J105" s="501">
        <v>3.24</v>
      </c>
      <c r="K105" s="501"/>
      <c r="L105" s="502"/>
      <c r="M105" s="502"/>
      <c r="N105" s="502"/>
      <c r="O105" s="569"/>
      <c r="P105" s="502"/>
      <c r="Q105" s="863"/>
      <c r="R105" s="1865">
        <v>3.24</v>
      </c>
      <c r="S105" s="154"/>
      <c r="T105" s="260"/>
      <c r="U105" s="1944"/>
      <c r="V105" s="1944"/>
      <c r="W105" s="55">
        <v>5</v>
      </c>
      <c r="X105" s="2432">
        <v>55.1</v>
      </c>
      <c r="Y105" s="1138"/>
      <c r="Z105" s="2499"/>
      <c r="AA105" s="3"/>
      <c r="AB105">
        <v>1</v>
      </c>
      <c r="AE105" s="2461"/>
      <c r="AF105" s="68"/>
    </row>
    <row r="106" spans="1:32" ht="45.5" x14ac:dyDescent="0.35">
      <c r="A106" s="347">
        <v>49</v>
      </c>
      <c r="B106" s="358">
        <v>10307</v>
      </c>
      <c r="C106" s="358" t="s">
        <v>1656</v>
      </c>
      <c r="D106" s="2464" t="s">
        <v>4452</v>
      </c>
      <c r="E106" s="511" t="s">
        <v>9725</v>
      </c>
      <c r="F106" s="14" t="s">
        <v>664</v>
      </c>
      <c r="G106" s="14">
        <v>5</v>
      </c>
      <c r="H106" s="14">
        <v>6</v>
      </c>
      <c r="I106" s="501">
        <f>J106+K106+L106</f>
        <v>0.55000000000000004</v>
      </c>
      <c r="J106" s="501">
        <f>SUM(M106:R106)</f>
        <v>0.55000000000000004</v>
      </c>
      <c r="K106" s="501"/>
      <c r="L106" s="501"/>
      <c r="M106" s="501"/>
      <c r="N106" s="501"/>
      <c r="O106" s="568"/>
      <c r="P106" s="501"/>
      <c r="Q106" s="1856"/>
      <c r="R106" s="1865">
        <v>0.55000000000000004</v>
      </c>
      <c r="S106" s="154"/>
      <c r="T106" s="260"/>
      <c r="U106" s="154"/>
      <c r="V106" s="154"/>
      <c r="W106" s="55"/>
      <c r="X106" s="2432"/>
      <c r="Y106" s="55"/>
      <c r="Z106" s="2433"/>
      <c r="AB106">
        <v>1</v>
      </c>
      <c r="AE106" s="2461"/>
      <c r="AF106" s="68"/>
    </row>
    <row r="107" spans="1:32" ht="30.5" x14ac:dyDescent="0.35">
      <c r="A107" s="347">
        <v>50</v>
      </c>
      <c r="B107" s="358">
        <v>10307</v>
      </c>
      <c r="C107" s="358"/>
      <c r="D107" s="2464" t="s">
        <v>4453</v>
      </c>
      <c r="E107" s="511" t="s">
        <v>9726</v>
      </c>
      <c r="F107" s="14" t="s">
        <v>827</v>
      </c>
      <c r="G107" s="14">
        <v>5</v>
      </c>
      <c r="H107" s="14">
        <v>6</v>
      </c>
      <c r="I107" s="501">
        <f>J107+K107+L107</f>
        <v>2.4500000000000002</v>
      </c>
      <c r="J107" s="501">
        <f>SUM(M107:R107)</f>
        <v>2.4500000000000002</v>
      </c>
      <c r="K107" s="501"/>
      <c r="L107" s="503"/>
      <c r="M107" s="503"/>
      <c r="N107" s="503"/>
      <c r="O107" s="570"/>
      <c r="P107" s="503"/>
      <c r="Q107" s="864"/>
      <c r="R107" s="870">
        <v>2.4500000000000002</v>
      </c>
      <c r="S107" s="154"/>
      <c r="T107" s="260"/>
      <c r="U107" s="154"/>
      <c r="V107" s="154"/>
      <c r="W107" s="154">
        <v>4</v>
      </c>
      <c r="X107" s="2501">
        <v>50.3</v>
      </c>
      <c r="Y107" s="154"/>
      <c r="Z107" s="2433"/>
      <c r="AA107" s="3"/>
      <c r="AB107">
        <v>1</v>
      </c>
      <c r="AE107" s="2461"/>
      <c r="AF107" s="68"/>
    </row>
    <row r="108" spans="1:32" ht="45.5" x14ac:dyDescent="0.35">
      <c r="A108" s="347">
        <v>51</v>
      </c>
      <c r="B108" s="405">
        <v>10307</v>
      </c>
      <c r="C108" s="358" t="s">
        <v>1656</v>
      </c>
      <c r="D108" s="2464" t="s">
        <v>4454</v>
      </c>
      <c r="E108" s="511" t="s">
        <v>9727</v>
      </c>
      <c r="F108" s="14" t="s">
        <v>664</v>
      </c>
      <c r="G108" s="14">
        <v>5</v>
      </c>
      <c r="H108" s="14">
        <v>6</v>
      </c>
      <c r="I108" s="501">
        <f>J108+K108+L108</f>
        <v>0.85</v>
      </c>
      <c r="J108" s="501">
        <f>SUM(M108:R108)</f>
        <v>0.85</v>
      </c>
      <c r="K108" s="501"/>
      <c r="L108" s="501"/>
      <c r="M108" s="501"/>
      <c r="N108" s="501"/>
      <c r="O108" s="568"/>
      <c r="P108" s="501"/>
      <c r="Q108" s="1856"/>
      <c r="R108" s="1865">
        <v>0.85</v>
      </c>
      <c r="S108" s="154"/>
      <c r="T108" s="260"/>
      <c r="U108" s="154"/>
      <c r="V108" s="154"/>
      <c r="W108" s="154"/>
      <c r="X108" s="2501"/>
      <c r="Y108" s="154"/>
      <c r="Z108" s="2433"/>
      <c r="AB108">
        <v>1</v>
      </c>
      <c r="AE108" s="2461"/>
      <c r="AF108" s="68"/>
    </row>
    <row r="109" spans="1:32" ht="30" x14ac:dyDescent="0.35">
      <c r="A109" s="347">
        <v>52</v>
      </c>
      <c r="B109" s="358">
        <v>10308</v>
      </c>
      <c r="C109" s="358"/>
      <c r="D109" s="358" t="s">
        <v>1627</v>
      </c>
      <c r="E109" s="288" t="s">
        <v>1214</v>
      </c>
      <c r="F109" s="13"/>
      <c r="G109" s="13" t="s">
        <v>191</v>
      </c>
      <c r="H109" s="13" t="s">
        <v>191</v>
      </c>
      <c r="I109" s="501">
        <f>J109+K109+L109</f>
        <v>6.8600000000000012</v>
      </c>
      <c r="J109" s="501">
        <f>SUM(M109:R109)</f>
        <v>6.8600000000000012</v>
      </c>
      <c r="K109" s="501"/>
      <c r="L109" s="501"/>
      <c r="M109" s="501"/>
      <c r="N109" s="2705">
        <f>SUM(N110:N112)</f>
        <v>0.9</v>
      </c>
      <c r="O109" s="568"/>
      <c r="P109" s="501"/>
      <c r="Q109" s="860">
        <f>SUM(Q110:Q112)</f>
        <v>5.9600000000000009</v>
      </c>
      <c r="R109" s="870"/>
      <c r="S109" s="55">
        <v>1</v>
      </c>
      <c r="T109" s="1962">
        <v>18.600000000000001</v>
      </c>
      <c r="U109" s="154"/>
      <c r="V109" s="154"/>
      <c r="W109" s="55">
        <v>11</v>
      </c>
      <c r="X109" s="2432">
        <v>210.7</v>
      </c>
      <c r="Y109" s="55">
        <v>2</v>
      </c>
      <c r="Z109" s="2433">
        <v>20</v>
      </c>
      <c r="AA109" s="3"/>
      <c r="AB109">
        <v>1</v>
      </c>
      <c r="AE109" s="2461"/>
      <c r="AF109" s="68"/>
    </row>
    <row r="110" spans="1:32" ht="15.5" x14ac:dyDescent="0.35">
      <c r="A110" s="363"/>
      <c r="B110" s="358">
        <v>10308</v>
      </c>
      <c r="C110" s="358"/>
      <c r="D110" s="364"/>
      <c r="E110" s="289" t="s">
        <v>282</v>
      </c>
      <c r="F110" s="13">
        <v>5</v>
      </c>
      <c r="G110" s="13">
        <v>4</v>
      </c>
      <c r="H110" s="13">
        <v>6</v>
      </c>
      <c r="I110" s="502" t="s">
        <v>1516</v>
      </c>
      <c r="J110" s="502" t="s">
        <v>1516</v>
      </c>
      <c r="K110" s="501"/>
      <c r="L110" s="502"/>
      <c r="M110" s="502"/>
      <c r="N110" s="502">
        <v>0.9</v>
      </c>
      <c r="O110" s="569"/>
      <c r="P110" s="502"/>
      <c r="Q110" s="863"/>
      <c r="R110" s="873"/>
      <c r="S110" s="1138"/>
      <c r="T110" s="2074"/>
      <c r="U110" s="1944"/>
      <c r="V110" s="1944"/>
      <c r="W110" s="1138"/>
      <c r="X110" s="2498"/>
      <c r="Y110" s="1138"/>
      <c r="Z110" s="2499"/>
      <c r="AA110" s="3"/>
      <c r="AE110" s="2461"/>
      <c r="AF110" s="68"/>
    </row>
    <row r="111" spans="1:32" ht="15.5" x14ac:dyDescent="0.35">
      <c r="A111" s="363"/>
      <c r="B111" s="358"/>
      <c r="C111" s="358"/>
      <c r="D111" s="364"/>
      <c r="E111" s="837" t="s">
        <v>10443</v>
      </c>
      <c r="F111" s="13">
        <v>5</v>
      </c>
      <c r="G111" s="13">
        <v>4</v>
      </c>
      <c r="H111" s="13">
        <v>6</v>
      </c>
      <c r="I111" s="502"/>
      <c r="J111" s="502"/>
      <c r="K111" s="501"/>
      <c r="L111" s="502"/>
      <c r="M111" s="502"/>
      <c r="N111" s="502"/>
      <c r="O111" s="569"/>
      <c r="P111" s="502"/>
      <c r="Q111" s="1859">
        <f>4.64-0.9</f>
        <v>3.7399999999999998</v>
      </c>
      <c r="R111" s="873"/>
      <c r="S111" s="1138"/>
      <c r="T111" s="2074"/>
      <c r="U111" s="1944"/>
      <c r="V111" s="1944"/>
      <c r="W111" s="1138"/>
      <c r="X111" s="2498"/>
      <c r="Y111" s="1138"/>
      <c r="Z111" s="2499"/>
      <c r="AA111" s="3"/>
      <c r="AE111" s="2461"/>
      <c r="AF111" s="68"/>
    </row>
    <row r="112" spans="1:32" ht="15.5" x14ac:dyDescent="0.35">
      <c r="A112" s="363"/>
      <c r="B112" s="358">
        <v>10308</v>
      </c>
      <c r="C112" s="358"/>
      <c r="D112" s="364"/>
      <c r="E112" s="2868" t="s">
        <v>3277</v>
      </c>
      <c r="F112" s="13">
        <v>5</v>
      </c>
      <c r="G112" s="13">
        <v>4</v>
      </c>
      <c r="H112" s="13">
        <v>6</v>
      </c>
      <c r="I112" s="502" t="s">
        <v>1516</v>
      </c>
      <c r="J112" s="502" t="s">
        <v>1516</v>
      </c>
      <c r="K112" s="501"/>
      <c r="L112" s="502"/>
      <c r="M112" s="502"/>
      <c r="N112" s="2608">
        <v>0</v>
      </c>
      <c r="O112" s="569"/>
      <c r="P112" s="502"/>
      <c r="Q112" s="863">
        <f>6.86-4.64</f>
        <v>2.2200000000000006</v>
      </c>
      <c r="R112" s="873"/>
      <c r="S112" s="1138"/>
      <c r="T112" s="2074"/>
      <c r="U112" s="1944"/>
      <c r="V112" s="1944"/>
      <c r="W112" s="1138"/>
      <c r="X112" s="2498"/>
      <c r="Y112" s="1138"/>
      <c r="Z112" s="2499"/>
      <c r="AA112" s="3"/>
      <c r="AE112" s="2461"/>
      <c r="AF112" s="68"/>
    </row>
    <row r="113" spans="1:32" ht="45.5" x14ac:dyDescent="0.35">
      <c r="A113" s="349">
        <v>53</v>
      </c>
      <c r="B113" s="358">
        <v>10308</v>
      </c>
      <c r="C113" s="358" t="s">
        <v>1657</v>
      </c>
      <c r="D113" s="2464" t="s">
        <v>4455</v>
      </c>
      <c r="E113" s="473" t="s">
        <v>9315</v>
      </c>
      <c r="F113" s="14">
        <v>5</v>
      </c>
      <c r="G113" s="14">
        <v>5</v>
      </c>
      <c r="H113" s="13">
        <v>6</v>
      </c>
      <c r="I113" s="501">
        <f t="shared" ref="I113:I124" si="12">J113+K113+L113</f>
        <v>0.92</v>
      </c>
      <c r="J113" s="501">
        <f t="shared" ref="J113:J123" si="13">SUM(M113:R113)</f>
        <v>0.92</v>
      </c>
      <c r="K113" s="501"/>
      <c r="L113" s="501"/>
      <c r="M113" s="501"/>
      <c r="N113" s="501">
        <v>0.92</v>
      </c>
      <c r="O113" s="568"/>
      <c r="P113" s="501"/>
      <c r="Q113" s="860"/>
      <c r="R113" s="870"/>
      <c r="S113" s="154"/>
      <c r="T113" s="260"/>
      <c r="U113" s="154"/>
      <c r="V113" s="154"/>
      <c r="W113" s="154"/>
      <c r="X113" s="2501"/>
      <c r="Y113" s="154"/>
      <c r="Z113" s="2433"/>
      <c r="AA113" s="3"/>
      <c r="AB113">
        <v>1</v>
      </c>
      <c r="AE113" s="2461"/>
      <c r="AF113" s="68"/>
    </row>
    <row r="114" spans="1:32" ht="30" x14ac:dyDescent="0.35">
      <c r="A114" s="347">
        <v>54</v>
      </c>
      <c r="B114" s="358">
        <v>10309</v>
      </c>
      <c r="C114" s="358"/>
      <c r="D114" s="358" t="s">
        <v>1583</v>
      </c>
      <c r="E114" s="288" t="s">
        <v>7055</v>
      </c>
      <c r="F114" s="13" t="s">
        <v>664</v>
      </c>
      <c r="G114" s="13">
        <v>5</v>
      </c>
      <c r="H114" s="14">
        <v>6</v>
      </c>
      <c r="I114" s="501">
        <f t="shared" si="12"/>
        <v>3.67</v>
      </c>
      <c r="J114" s="501">
        <f t="shared" si="13"/>
        <v>3.67</v>
      </c>
      <c r="K114" s="501"/>
      <c r="L114" s="501"/>
      <c r="M114" s="501"/>
      <c r="N114" s="501"/>
      <c r="O114" s="568"/>
      <c r="P114" s="501"/>
      <c r="Q114" s="860"/>
      <c r="R114" s="870">
        <v>3.67</v>
      </c>
      <c r="S114" s="154"/>
      <c r="T114" s="260"/>
      <c r="U114" s="154"/>
      <c r="V114" s="154"/>
      <c r="W114" s="55">
        <v>3</v>
      </c>
      <c r="X114" s="2432">
        <v>46.3</v>
      </c>
      <c r="Y114" s="55"/>
      <c r="Z114" s="2433"/>
      <c r="AA114" s="3"/>
      <c r="AB114">
        <v>1</v>
      </c>
      <c r="AE114" s="2461"/>
      <c r="AF114" s="68"/>
    </row>
    <row r="115" spans="1:32" ht="30.5" x14ac:dyDescent="0.35">
      <c r="A115" s="349">
        <v>55</v>
      </c>
      <c r="B115" s="358">
        <v>10309</v>
      </c>
      <c r="C115" s="358" t="s">
        <v>1656</v>
      </c>
      <c r="D115" s="2464" t="s">
        <v>4456</v>
      </c>
      <c r="E115" s="511" t="s">
        <v>9237</v>
      </c>
      <c r="F115" s="14" t="s">
        <v>664</v>
      </c>
      <c r="G115" s="14">
        <v>5</v>
      </c>
      <c r="H115" s="14">
        <v>6</v>
      </c>
      <c r="I115" s="501">
        <f>J115+K115+L115</f>
        <v>2.5</v>
      </c>
      <c r="J115" s="501">
        <f>SUM(M115:R115)</f>
        <v>2.5</v>
      </c>
      <c r="K115" s="501"/>
      <c r="L115" s="501"/>
      <c r="M115" s="501"/>
      <c r="N115" s="501"/>
      <c r="O115" s="568"/>
      <c r="P115" s="501"/>
      <c r="Q115" s="1856"/>
      <c r="R115" s="1865">
        <v>2.5</v>
      </c>
      <c r="S115" s="55"/>
      <c r="T115" s="1962"/>
      <c r="U115" s="154"/>
      <c r="V115" s="154"/>
      <c r="W115" s="55"/>
      <c r="X115" s="2432"/>
      <c r="Y115" s="55"/>
      <c r="Z115" s="2433"/>
      <c r="AB115">
        <v>1</v>
      </c>
      <c r="AE115" s="2461"/>
      <c r="AF115" s="68"/>
    </row>
    <row r="116" spans="1:32" ht="45.5" x14ac:dyDescent="0.35">
      <c r="A116" s="347">
        <v>56</v>
      </c>
      <c r="B116" s="358">
        <v>10309</v>
      </c>
      <c r="C116" s="358" t="s">
        <v>1656</v>
      </c>
      <c r="D116" s="2464" t="s">
        <v>4457</v>
      </c>
      <c r="E116" s="511" t="s">
        <v>9728</v>
      </c>
      <c r="F116" s="14" t="s">
        <v>664</v>
      </c>
      <c r="G116" s="14">
        <v>5</v>
      </c>
      <c r="H116" s="14">
        <v>6</v>
      </c>
      <c r="I116" s="501">
        <f>J116+K116+L116</f>
        <v>0.1</v>
      </c>
      <c r="J116" s="501">
        <f>SUM(M116:R116)</f>
        <v>0.1</v>
      </c>
      <c r="K116" s="501"/>
      <c r="L116" s="501"/>
      <c r="M116" s="501"/>
      <c r="N116" s="501"/>
      <c r="O116" s="568"/>
      <c r="P116" s="501"/>
      <c r="Q116" s="1856"/>
      <c r="R116" s="1865">
        <v>0.1</v>
      </c>
      <c r="S116" s="55"/>
      <c r="T116" s="1962"/>
      <c r="U116" s="154"/>
      <c r="V116" s="154"/>
      <c r="W116" s="55"/>
      <c r="X116" s="2432"/>
      <c r="Y116" s="55"/>
      <c r="Z116" s="2433"/>
      <c r="AB116">
        <v>1</v>
      </c>
      <c r="AE116" s="2461"/>
      <c r="AF116" s="68"/>
    </row>
    <row r="117" spans="1:32" ht="30" x14ac:dyDescent="0.35">
      <c r="A117" s="349">
        <v>57</v>
      </c>
      <c r="B117" s="358">
        <v>10310</v>
      </c>
      <c r="C117" s="358"/>
      <c r="D117" s="358" t="s">
        <v>277</v>
      </c>
      <c r="E117" s="288" t="s">
        <v>3636</v>
      </c>
      <c r="F117" s="13"/>
      <c r="G117" s="13" t="s">
        <v>191</v>
      </c>
      <c r="H117" s="13" t="s">
        <v>191</v>
      </c>
      <c r="I117" s="501">
        <f t="shared" si="12"/>
        <v>9.5299999999999994</v>
      </c>
      <c r="J117" s="501">
        <f t="shared" si="13"/>
        <v>9.5299999999999994</v>
      </c>
      <c r="K117" s="501"/>
      <c r="L117" s="501"/>
      <c r="M117" s="501"/>
      <c r="N117" s="501">
        <f>SUM(N118:N119)</f>
        <v>4.8620000000000001</v>
      </c>
      <c r="O117" s="568"/>
      <c r="P117" s="501"/>
      <c r="Q117" s="860">
        <f>SUM(Q118:Q119)</f>
        <v>4.6679999999999993</v>
      </c>
      <c r="R117" s="870"/>
      <c r="S117" s="154"/>
      <c r="T117" s="260"/>
      <c r="U117" s="154"/>
      <c r="V117" s="154"/>
      <c r="W117" s="55">
        <v>26</v>
      </c>
      <c r="X117" s="2432">
        <v>355.3</v>
      </c>
      <c r="Y117" s="55">
        <v>7</v>
      </c>
      <c r="Z117" s="2433">
        <v>75</v>
      </c>
      <c r="AA117" s="3"/>
      <c r="AB117">
        <v>1</v>
      </c>
      <c r="AE117" s="2461"/>
      <c r="AF117" s="68"/>
    </row>
    <row r="118" spans="1:32" ht="15.5" x14ac:dyDescent="0.35">
      <c r="A118" s="349"/>
      <c r="B118" s="358">
        <v>10310</v>
      </c>
      <c r="C118" s="358"/>
      <c r="D118" s="358"/>
      <c r="E118" s="289" t="s">
        <v>3637</v>
      </c>
      <c r="F118" s="13">
        <v>4</v>
      </c>
      <c r="G118" s="13">
        <v>4</v>
      </c>
      <c r="H118" s="13">
        <v>6</v>
      </c>
      <c r="I118" s="502"/>
      <c r="J118" s="502"/>
      <c r="K118" s="502"/>
      <c r="L118" s="502"/>
      <c r="M118" s="502"/>
      <c r="N118" s="502">
        <v>4.8620000000000001</v>
      </c>
      <c r="O118" s="569"/>
      <c r="P118" s="502"/>
      <c r="Q118" s="1859"/>
      <c r="R118" s="870"/>
      <c r="S118" s="154"/>
      <c r="T118" s="260"/>
      <c r="U118" s="154"/>
      <c r="V118" s="154"/>
      <c r="W118" s="55"/>
      <c r="X118" s="2432"/>
      <c r="Y118" s="55"/>
      <c r="Z118" s="2433"/>
      <c r="AA118" s="3"/>
      <c r="AE118" s="2461"/>
      <c r="AF118" s="68"/>
    </row>
    <row r="119" spans="1:32" ht="15.5" x14ac:dyDescent="0.35">
      <c r="A119" s="349"/>
      <c r="B119" s="358">
        <v>10310</v>
      </c>
      <c r="C119" s="358"/>
      <c r="D119" s="358"/>
      <c r="E119" s="837" t="s">
        <v>3638</v>
      </c>
      <c r="F119" s="13">
        <v>4</v>
      </c>
      <c r="G119" s="13">
        <v>4</v>
      </c>
      <c r="H119" s="13">
        <v>6</v>
      </c>
      <c r="I119" s="502"/>
      <c r="J119" s="502"/>
      <c r="K119" s="502"/>
      <c r="L119" s="502"/>
      <c r="M119" s="502"/>
      <c r="N119" s="502"/>
      <c r="O119" s="569"/>
      <c r="P119" s="502"/>
      <c r="Q119" s="1859">
        <f>9.53-4.862</f>
        <v>4.6679999999999993</v>
      </c>
      <c r="R119" s="870"/>
      <c r="S119" s="154"/>
      <c r="T119" s="260"/>
      <c r="U119" s="154"/>
      <c r="V119" s="154"/>
      <c r="W119" s="55"/>
      <c r="X119" s="2432"/>
      <c r="Y119" s="55"/>
      <c r="Z119" s="2433"/>
      <c r="AA119" s="3"/>
      <c r="AE119" s="2461"/>
      <c r="AF119" s="68"/>
    </row>
    <row r="120" spans="1:32" ht="30.5" x14ac:dyDescent="0.35">
      <c r="A120" s="347">
        <v>58</v>
      </c>
      <c r="B120" s="358">
        <v>10310</v>
      </c>
      <c r="C120" s="358"/>
      <c r="D120" s="2464" t="s">
        <v>4458</v>
      </c>
      <c r="E120" s="511" t="s">
        <v>9350</v>
      </c>
      <c r="F120" s="13">
        <v>5</v>
      </c>
      <c r="G120" s="13">
        <v>4</v>
      </c>
      <c r="H120" s="13">
        <v>6</v>
      </c>
      <c r="I120" s="501">
        <f t="shared" si="12"/>
        <v>0.6</v>
      </c>
      <c r="J120" s="501">
        <f t="shared" si="13"/>
        <v>0.6</v>
      </c>
      <c r="K120" s="501"/>
      <c r="L120" s="501"/>
      <c r="M120" s="501"/>
      <c r="N120" s="501">
        <v>0.6</v>
      </c>
      <c r="O120" s="568"/>
      <c r="P120" s="501"/>
      <c r="Q120" s="860" t="s">
        <v>1516</v>
      </c>
      <c r="R120" s="870"/>
      <c r="S120" s="154"/>
      <c r="T120" s="260"/>
      <c r="U120" s="154"/>
      <c r="V120" s="154"/>
      <c r="W120" s="55"/>
      <c r="X120" s="2432"/>
      <c r="Y120" s="55"/>
      <c r="Z120" s="2433"/>
      <c r="AA120" s="3"/>
      <c r="AB120">
        <v>1</v>
      </c>
      <c r="AE120" s="2461"/>
      <c r="AF120" s="68"/>
    </row>
    <row r="121" spans="1:32" ht="30.5" x14ac:dyDescent="0.35">
      <c r="A121" s="349">
        <v>59</v>
      </c>
      <c r="B121" s="358">
        <v>10310</v>
      </c>
      <c r="C121" s="358" t="s">
        <v>1656</v>
      </c>
      <c r="D121" s="2464" t="s">
        <v>4459</v>
      </c>
      <c r="E121" s="511" t="s">
        <v>9238</v>
      </c>
      <c r="F121" s="14" t="s">
        <v>664</v>
      </c>
      <c r="G121" s="14">
        <v>5</v>
      </c>
      <c r="H121" s="14">
        <v>6</v>
      </c>
      <c r="I121" s="501">
        <f t="shared" si="12"/>
        <v>0.25</v>
      </c>
      <c r="J121" s="501">
        <f t="shared" si="13"/>
        <v>0.25</v>
      </c>
      <c r="K121" s="501"/>
      <c r="L121" s="501"/>
      <c r="M121" s="501"/>
      <c r="N121" s="501"/>
      <c r="O121" s="568"/>
      <c r="P121" s="501"/>
      <c r="Q121" s="1856"/>
      <c r="R121" s="1865">
        <v>0.25</v>
      </c>
      <c r="S121" s="55"/>
      <c r="T121" s="1962"/>
      <c r="U121" s="154"/>
      <c r="V121" s="154"/>
      <c r="W121" s="55"/>
      <c r="X121" s="2432"/>
      <c r="Y121" s="55"/>
      <c r="Z121" s="2433"/>
      <c r="AB121">
        <v>1</v>
      </c>
      <c r="AE121" s="2461"/>
      <c r="AF121" s="68"/>
    </row>
    <row r="122" spans="1:32" ht="45.5" x14ac:dyDescent="0.35">
      <c r="A122" s="347">
        <v>60</v>
      </c>
      <c r="B122" s="405">
        <v>10310</v>
      </c>
      <c r="C122" s="358" t="s">
        <v>1656</v>
      </c>
      <c r="D122" s="2464" t="s">
        <v>4460</v>
      </c>
      <c r="E122" s="511" t="s">
        <v>8307</v>
      </c>
      <c r="F122" s="14" t="s">
        <v>664</v>
      </c>
      <c r="G122" s="14">
        <v>5</v>
      </c>
      <c r="H122" s="14">
        <v>6</v>
      </c>
      <c r="I122" s="501">
        <f t="shared" si="12"/>
        <v>0.2</v>
      </c>
      <c r="J122" s="501">
        <f t="shared" si="13"/>
        <v>0.2</v>
      </c>
      <c r="K122" s="501"/>
      <c r="L122" s="501"/>
      <c r="M122" s="501"/>
      <c r="N122" s="501"/>
      <c r="O122" s="568"/>
      <c r="P122" s="501"/>
      <c r="Q122" s="1856"/>
      <c r="R122" s="1865">
        <v>0.2</v>
      </c>
      <c r="S122" s="154"/>
      <c r="T122" s="260"/>
      <c r="U122" s="154"/>
      <c r="V122" s="154"/>
      <c r="W122" s="154"/>
      <c r="X122" s="2501"/>
      <c r="Y122" s="154"/>
      <c r="Z122" s="2433"/>
      <c r="AB122">
        <v>1</v>
      </c>
      <c r="AE122" s="2461"/>
      <c r="AF122" s="68"/>
    </row>
    <row r="123" spans="1:32" ht="30.5" x14ac:dyDescent="0.35">
      <c r="A123" s="349">
        <v>61</v>
      </c>
      <c r="B123" s="358">
        <v>10310</v>
      </c>
      <c r="C123" s="358" t="s">
        <v>1656</v>
      </c>
      <c r="D123" s="2464" t="s">
        <v>4461</v>
      </c>
      <c r="E123" s="511" t="s">
        <v>8308</v>
      </c>
      <c r="F123" s="14" t="s">
        <v>664</v>
      </c>
      <c r="G123" s="14">
        <v>5</v>
      </c>
      <c r="H123" s="14">
        <v>6</v>
      </c>
      <c r="I123" s="501">
        <f t="shared" si="12"/>
        <v>0.3</v>
      </c>
      <c r="J123" s="501">
        <f t="shared" si="13"/>
        <v>0.3</v>
      </c>
      <c r="K123" s="501"/>
      <c r="L123" s="501"/>
      <c r="M123" s="501"/>
      <c r="N123" s="501"/>
      <c r="O123" s="568"/>
      <c r="P123" s="501"/>
      <c r="Q123" s="1856"/>
      <c r="R123" s="1865">
        <v>0.3</v>
      </c>
      <c r="S123" s="55"/>
      <c r="T123" s="1962"/>
      <c r="U123" s="154"/>
      <c r="V123" s="154"/>
      <c r="W123" s="55"/>
      <c r="X123" s="2432"/>
      <c r="Y123" s="55"/>
      <c r="Z123" s="2433"/>
      <c r="AB123">
        <v>1</v>
      </c>
      <c r="AE123" s="2461"/>
      <c r="AF123" s="68"/>
    </row>
    <row r="124" spans="1:32" ht="30" x14ac:dyDescent="0.35">
      <c r="A124" s="347">
        <v>62</v>
      </c>
      <c r="B124" s="358">
        <v>10311</v>
      </c>
      <c r="C124" s="358"/>
      <c r="D124" s="358" t="s">
        <v>2981</v>
      </c>
      <c r="E124" s="288" t="s">
        <v>188</v>
      </c>
      <c r="F124" s="13"/>
      <c r="G124" s="13" t="s">
        <v>191</v>
      </c>
      <c r="H124" s="13" t="s">
        <v>191</v>
      </c>
      <c r="I124" s="501">
        <f t="shared" si="12"/>
        <v>11.9</v>
      </c>
      <c r="J124" s="501">
        <f>SUM(M124:R124)</f>
        <v>11.9</v>
      </c>
      <c r="K124" s="501"/>
      <c r="L124" s="501"/>
      <c r="M124" s="501"/>
      <c r="N124" s="501">
        <f>SUM(N125:N128)</f>
        <v>3.8200000000000003</v>
      </c>
      <c r="O124" s="568"/>
      <c r="P124" s="501"/>
      <c r="Q124" s="860">
        <f>SUM(Q125:Q128)</f>
        <v>8.08</v>
      </c>
      <c r="R124" s="870"/>
      <c r="S124" s="154"/>
      <c r="T124" s="260"/>
      <c r="U124" s="154"/>
      <c r="V124" s="154"/>
      <c r="W124" s="55">
        <v>7</v>
      </c>
      <c r="X124" s="2432">
        <v>93.8</v>
      </c>
      <c r="Y124" s="55"/>
      <c r="Z124" s="2433"/>
      <c r="AA124" s="3" t="s">
        <v>3147</v>
      </c>
      <c r="AB124">
        <v>1</v>
      </c>
      <c r="AE124" s="2461"/>
      <c r="AF124" s="68"/>
    </row>
    <row r="125" spans="1:32" ht="15.5" x14ac:dyDescent="0.35">
      <c r="A125" s="363"/>
      <c r="B125" s="358">
        <v>10311</v>
      </c>
      <c r="C125" s="358"/>
      <c r="D125" s="364"/>
      <c r="E125" s="289" t="s">
        <v>189</v>
      </c>
      <c r="F125" s="13">
        <v>5</v>
      </c>
      <c r="G125" s="13">
        <v>4</v>
      </c>
      <c r="H125" s="13">
        <v>6</v>
      </c>
      <c r="I125" s="502" t="s">
        <v>1516</v>
      </c>
      <c r="J125" s="502" t="s">
        <v>1516</v>
      </c>
      <c r="K125" s="501"/>
      <c r="L125" s="502"/>
      <c r="M125" s="502"/>
      <c r="N125" s="502">
        <v>1.84</v>
      </c>
      <c r="O125" s="569"/>
      <c r="P125" s="502"/>
      <c r="Q125" s="863"/>
      <c r="R125" s="873"/>
      <c r="S125" s="1944"/>
      <c r="T125" s="2497"/>
      <c r="U125" s="1944"/>
      <c r="V125" s="1944"/>
      <c r="W125" s="1138"/>
      <c r="X125" s="2498"/>
      <c r="Y125" s="1138"/>
      <c r="Z125" s="2499"/>
      <c r="AA125" s="3"/>
      <c r="AE125" s="2461"/>
      <c r="AF125" s="68"/>
    </row>
    <row r="126" spans="1:32" ht="15.5" x14ac:dyDescent="0.35">
      <c r="A126" s="363"/>
      <c r="B126" s="358">
        <v>10311</v>
      </c>
      <c r="C126" s="358"/>
      <c r="D126" s="364"/>
      <c r="E126" s="837" t="s">
        <v>190</v>
      </c>
      <c r="F126" s="13">
        <v>5</v>
      </c>
      <c r="G126" s="13">
        <v>4</v>
      </c>
      <c r="H126" s="13">
        <v>6</v>
      </c>
      <c r="I126" s="502" t="s">
        <v>1516</v>
      </c>
      <c r="J126" s="502" t="s">
        <v>1516</v>
      </c>
      <c r="K126" s="501"/>
      <c r="L126" s="502"/>
      <c r="M126" s="502"/>
      <c r="N126" s="502"/>
      <c r="O126" s="569"/>
      <c r="P126" s="502"/>
      <c r="Q126" s="863">
        <f>6.92-1.84</f>
        <v>5.08</v>
      </c>
      <c r="R126" s="873"/>
      <c r="S126" s="1944"/>
      <c r="T126" s="2497"/>
      <c r="U126" s="1944"/>
      <c r="V126" s="1944"/>
      <c r="W126" s="1138"/>
      <c r="X126" s="2498"/>
      <c r="Y126" s="1138"/>
      <c r="Z126" s="2499"/>
      <c r="AA126" s="3" t="s">
        <v>2242</v>
      </c>
      <c r="AE126" s="2461"/>
      <c r="AF126" s="68"/>
    </row>
    <row r="127" spans="1:32" ht="15.5" x14ac:dyDescent="0.35">
      <c r="A127" s="363"/>
      <c r="B127" s="358"/>
      <c r="C127" s="358"/>
      <c r="D127" s="364"/>
      <c r="E127" s="289" t="s">
        <v>10442</v>
      </c>
      <c r="F127" s="13">
        <v>5</v>
      </c>
      <c r="G127" s="13">
        <v>4</v>
      </c>
      <c r="H127" s="13">
        <v>6</v>
      </c>
      <c r="I127" s="502" t="s">
        <v>1516</v>
      </c>
      <c r="J127" s="502" t="s">
        <v>1516</v>
      </c>
      <c r="K127" s="501"/>
      <c r="L127" s="502"/>
      <c r="M127" s="502"/>
      <c r="N127" s="502">
        <f>8.9-6.92</f>
        <v>1.9800000000000004</v>
      </c>
      <c r="O127" s="569"/>
      <c r="P127" s="502"/>
      <c r="Q127" s="863"/>
      <c r="R127" s="873"/>
      <c r="S127" s="1944"/>
      <c r="T127" s="2497"/>
      <c r="U127" s="1944"/>
      <c r="V127" s="1944"/>
      <c r="W127" s="1138"/>
      <c r="X127" s="2498"/>
      <c r="Y127" s="1138"/>
      <c r="Z127" s="2499"/>
      <c r="AA127" s="3"/>
      <c r="AE127" s="2461"/>
      <c r="AF127" s="68"/>
    </row>
    <row r="128" spans="1:32" ht="15.5" x14ac:dyDescent="0.35">
      <c r="A128" s="363"/>
      <c r="B128" s="358">
        <v>10311</v>
      </c>
      <c r="C128" s="358"/>
      <c r="D128" s="364"/>
      <c r="E128" s="837" t="s">
        <v>10441</v>
      </c>
      <c r="F128" s="13">
        <v>5</v>
      </c>
      <c r="G128" s="13">
        <v>4</v>
      </c>
      <c r="H128" s="13">
        <v>6</v>
      </c>
      <c r="I128" s="502" t="s">
        <v>1516</v>
      </c>
      <c r="J128" s="502" t="s">
        <v>1516</v>
      </c>
      <c r="K128" s="501"/>
      <c r="L128" s="502"/>
      <c r="M128" s="502"/>
      <c r="N128" s="502"/>
      <c r="O128" s="569"/>
      <c r="P128" s="502"/>
      <c r="Q128" s="863">
        <f>11.9-8.9</f>
        <v>3</v>
      </c>
      <c r="R128" s="873"/>
      <c r="S128" s="1944"/>
      <c r="T128" s="2497"/>
      <c r="U128" s="1944"/>
      <c r="V128" s="1944"/>
      <c r="W128" s="1138"/>
      <c r="X128" s="2498"/>
      <c r="Y128" s="1138"/>
      <c r="Z128" s="2499"/>
      <c r="AA128" s="3"/>
      <c r="AE128" s="2461"/>
      <c r="AF128" s="68"/>
    </row>
    <row r="129" spans="1:32" ht="30.5" x14ac:dyDescent="0.35">
      <c r="A129" s="347">
        <v>63</v>
      </c>
      <c r="B129" s="358">
        <v>10311</v>
      </c>
      <c r="C129" s="358"/>
      <c r="D129" s="2464" t="s">
        <v>4462</v>
      </c>
      <c r="E129" s="288" t="s">
        <v>7574</v>
      </c>
      <c r="F129" s="14">
        <v>5</v>
      </c>
      <c r="G129" s="14">
        <v>4</v>
      </c>
      <c r="H129" s="13">
        <v>6</v>
      </c>
      <c r="I129" s="501">
        <f>J129+K129+L129</f>
        <v>1.38</v>
      </c>
      <c r="J129" s="501">
        <f>SUM(M129:R129)</f>
        <v>1.38</v>
      </c>
      <c r="K129" s="501"/>
      <c r="L129" s="501"/>
      <c r="M129" s="501"/>
      <c r="N129" s="501">
        <v>1.38</v>
      </c>
      <c r="O129" s="568"/>
      <c r="P129" s="501"/>
      <c r="Q129" s="860"/>
      <c r="R129" s="870"/>
      <c r="S129" s="154"/>
      <c r="T129" s="260"/>
      <c r="U129" s="154"/>
      <c r="V129" s="154"/>
      <c r="W129" s="55"/>
      <c r="X129" s="2432"/>
      <c r="Y129" s="55"/>
      <c r="Z129" s="2433"/>
      <c r="AA129" s="3" t="s">
        <v>3159</v>
      </c>
      <c r="AB129">
        <v>1</v>
      </c>
      <c r="AE129" s="2461"/>
      <c r="AF129" s="68"/>
    </row>
    <row r="130" spans="1:32" ht="30.5" x14ac:dyDescent="0.35">
      <c r="A130" s="347">
        <v>64</v>
      </c>
      <c r="B130" s="358">
        <v>10311</v>
      </c>
      <c r="C130" s="358"/>
      <c r="D130" s="2464" t="s">
        <v>4463</v>
      </c>
      <c r="E130" s="288" t="s">
        <v>7575</v>
      </c>
      <c r="F130" s="14"/>
      <c r="G130" s="14" t="s">
        <v>191</v>
      </c>
      <c r="H130" s="13" t="s">
        <v>191</v>
      </c>
      <c r="I130" s="501">
        <f>J130+K130+L130</f>
        <v>3.1309999999999998</v>
      </c>
      <c r="J130" s="501">
        <f>SUM(M130:R130)</f>
        <v>3.1309999999999998</v>
      </c>
      <c r="K130" s="501"/>
      <c r="L130" s="501"/>
      <c r="M130" s="501"/>
      <c r="N130" s="501">
        <f>SUM(N131:N133)</f>
        <v>1.855</v>
      </c>
      <c r="O130" s="568"/>
      <c r="P130" s="501"/>
      <c r="Q130" s="860"/>
      <c r="R130" s="870">
        <f>SUM(R131:R133)</f>
        <v>1.2759999999999998</v>
      </c>
      <c r="S130" s="154"/>
      <c r="T130" s="260"/>
      <c r="U130" s="154"/>
      <c r="V130" s="154"/>
      <c r="W130" s="55">
        <v>7</v>
      </c>
      <c r="X130" s="2432">
        <v>95.8</v>
      </c>
      <c r="Y130" s="55"/>
      <c r="Z130" s="2433"/>
      <c r="AA130" s="3" t="s">
        <v>3160</v>
      </c>
      <c r="AB130">
        <v>1</v>
      </c>
      <c r="AE130" s="2461"/>
      <c r="AF130" s="68"/>
    </row>
    <row r="131" spans="1:32" ht="15.5" x14ac:dyDescent="0.35">
      <c r="A131" s="363"/>
      <c r="B131" s="358">
        <v>10311</v>
      </c>
      <c r="C131" s="358"/>
      <c r="D131" s="364"/>
      <c r="E131" s="534" t="s">
        <v>3312</v>
      </c>
      <c r="F131" s="14">
        <v>5</v>
      </c>
      <c r="G131" s="14">
        <v>4</v>
      </c>
      <c r="H131" s="13">
        <v>6</v>
      </c>
      <c r="I131" s="502" t="s">
        <v>1516</v>
      </c>
      <c r="J131" s="502" t="s">
        <v>1516</v>
      </c>
      <c r="K131" s="501"/>
      <c r="L131" s="502"/>
      <c r="M131" s="502"/>
      <c r="N131" s="502">
        <v>1.855</v>
      </c>
      <c r="O131" s="569"/>
      <c r="P131" s="502"/>
      <c r="Q131" s="863"/>
      <c r="R131" s="873" t="s">
        <v>1516</v>
      </c>
      <c r="S131" s="1944"/>
      <c r="T131" s="2497"/>
      <c r="U131" s="1944"/>
      <c r="V131" s="1944"/>
      <c r="W131" s="1138"/>
      <c r="X131" s="2498"/>
      <c r="Y131" s="1138"/>
      <c r="Z131" s="2499"/>
      <c r="AA131" s="3"/>
      <c r="AE131" s="2461"/>
      <c r="AF131" s="68"/>
    </row>
    <row r="132" spans="1:32" ht="15.5" x14ac:dyDescent="0.35">
      <c r="A132" s="363"/>
      <c r="B132" s="358"/>
      <c r="C132" s="358"/>
      <c r="D132" s="364"/>
      <c r="E132" s="838" t="s">
        <v>3313</v>
      </c>
      <c r="F132" s="14">
        <v>5</v>
      </c>
      <c r="G132" s="14">
        <v>4</v>
      </c>
      <c r="H132" s="14">
        <v>6</v>
      </c>
      <c r="I132" s="502"/>
      <c r="J132" s="502"/>
      <c r="K132" s="501"/>
      <c r="L132" s="502"/>
      <c r="M132" s="502"/>
      <c r="N132" s="502"/>
      <c r="O132" s="569"/>
      <c r="P132" s="502"/>
      <c r="Q132" s="863"/>
      <c r="R132" s="873">
        <f>2.105-1.855</f>
        <v>0.25</v>
      </c>
      <c r="S132" s="1944"/>
      <c r="T132" s="2497"/>
      <c r="U132" s="1944"/>
      <c r="V132" s="1944"/>
      <c r="W132" s="1138"/>
      <c r="X132" s="2498"/>
      <c r="Y132" s="1138"/>
      <c r="Z132" s="2499"/>
      <c r="AA132" s="3"/>
      <c r="AE132" s="2461"/>
      <c r="AF132" s="68"/>
    </row>
    <row r="133" spans="1:32" ht="15.5" x14ac:dyDescent="0.35">
      <c r="A133" s="363"/>
      <c r="B133" s="358">
        <v>10311</v>
      </c>
      <c r="C133" s="358"/>
      <c r="D133" s="364"/>
      <c r="E133" s="838" t="s">
        <v>3314</v>
      </c>
      <c r="F133" s="14" t="s">
        <v>827</v>
      </c>
      <c r="G133" s="14">
        <v>4</v>
      </c>
      <c r="H133" s="14">
        <v>6</v>
      </c>
      <c r="I133" s="502" t="s">
        <v>1516</v>
      </c>
      <c r="J133" s="502" t="s">
        <v>1516</v>
      </c>
      <c r="K133" s="501"/>
      <c r="L133" s="502"/>
      <c r="M133" s="502"/>
      <c r="N133" s="502"/>
      <c r="O133" s="569"/>
      <c r="P133" s="502"/>
      <c r="Q133" s="863"/>
      <c r="R133" s="873">
        <f>3.131-2.105</f>
        <v>1.0259999999999998</v>
      </c>
      <c r="S133" s="1944"/>
      <c r="T133" s="2497"/>
      <c r="U133" s="1944"/>
      <c r="V133" s="1944"/>
      <c r="W133" s="1138"/>
      <c r="X133" s="2498"/>
      <c r="Y133" s="1138"/>
      <c r="Z133" s="2499"/>
      <c r="AA133" s="3"/>
      <c r="AE133" s="2461"/>
      <c r="AF133" s="68"/>
    </row>
    <row r="134" spans="1:32" ht="45.5" x14ac:dyDescent="0.35">
      <c r="A134" s="349">
        <v>65</v>
      </c>
      <c r="B134" s="405">
        <v>10311</v>
      </c>
      <c r="C134" s="405"/>
      <c r="D134" s="2464" t="s">
        <v>4464</v>
      </c>
      <c r="E134" s="511" t="s">
        <v>9316</v>
      </c>
      <c r="F134" s="13">
        <v>5</v>
      </c>
      <c r="G134" s="13">
        <v>5</v>
      </c>
      <c r="H134" s="13">
        <v>6</v>
      </c>
      <c r="I134" s="501">
        <f>J134+K134+L134</f>
        <v>0.4</v>
      </c>
      <c r="J134" s="501">
        <f>SUM(M134:R134)</f>
        <v>0.4</v>
      </c>
      <c r="K134" s="501"/>
      <c r="L134" s="501"/>
      <c r="M134" s="501"/>
      <c r="N134" s="501">
        <v>0.4</v>
      </c>
      <c r="O134" s="568"/>
      <c r="P134" s="501"/>
      <c r="Q134" s="860"/>
      <c r="R134" s="870"/>
      <c r="S134" s="154"/>
      <c r="T134" s="260"/>
      <c r="U134" s="154"/>
      <c r="V134" s="154"/>
      <c r="W134" s="154"/>
      <c r="X134" s="2501"/>
      <c r="Y134" s="154"/>
      <c r="Z134" s="2433"/>
      <c r="AA134" s="3"/>
      <c r="AB134">
        <v>1</v>
      </c>
      <c r="AE134" s="2461"/>
      <c r="AF134" s="68"/>
    </row>
    <row r="135" spans="1:32" ht="30.5" x14ac:dyDescent="0.35">
      <c r="A135" s="347">
        <v>66</v>
      </c>
      <c r="B135" s="1024">
        <v>10311</v>
      </c>
      <c r="C135" s="1024"/>
      <c r="D135" s="2464" t="s">
        <v>4465</v>
      </c>
      <c r="E135" s="288" t="s">
        <v>7576</v>
      </c>
      <c r="F135" s="13">
        <v>5</v>
      </c>
      <c r="G135" s="13">
        <v>5</v>
      </c>
      <c r="H135" s="13">
        <v>6</v>
      </c>
      <c r="I135" s="501">
        <f>J135+K135+L135</f>
        <v>0.91500000000000004</v>
      </c>
      <c r="J135" s="501">
        <f>SUM(M135:R135)</f>
        <v>0.91500000000000004</v>
      </c>
      <c r="K135" s="501"/>
      <c r="L135" s="501"/>
      <c r="M135" s="501"/>
      <c r="N135" s="501"/>
      <c r="O135" s="568"/>
      <c r="P135" s="501"/>
      <c r="Q135" s="860">
        <v>0.91500000000000004</v>
      </c>
      <c r="R135" s="870"/>
      <c r="S135" s="154"/>
      <c r="T135" s="260"/>
      <c r="U135" s="154"/>
      <c r="V135" s="154"/>
      <c r="W135" s="55"/>
      <c r="X135" s="2432"/>
      <c r="Y135" s="55"/>
      <c r="Z135" s="2433"/>
      <c r="AA135" s="3"/>
      <c r="AB135">
        <v>1</v>
      </c>
      <c r="AE135" s="2461"/>
      <c r="AF135" s="68"/>
    </row>
    <row r="136" spans="1:32" ht="30.5" x14ac:dyDescent="0.35">
      <c r="A136" s="349">
        <v>67</v>
      </c>
      <c r="B136" s="358">
        <v>10311</v>
      </c>
      <c r="C136" s="358" t="s">
        <v>1656</v>
      </c>
      <c r="D136" s="2464" t="s">
        <v>4466</v>
      </c>
      <c r="E136" s="511" t="s">
        <v>8309</v>
      </c>
      <c r="F136" s="14" t="s">
        <v>664</v>
      </c>
      <c r="G136" s="14">
        <v>5</v>
      </c>
      <c r="H136" s="14">
        <v>6</v>
      </c>
      <c r="I136" s="501">
        <f>J136+K136+L136</f>
        <v>1.4</v>
      </c>
      <c r="J136" s="501">
        <f>SUM(M136:R136)</f>
        <v>1.4</v>
      </c>
      <c r="K136" s="501"/>
      <c r="L136" s="501"/>
      <c r="M136" s="501"/>
      <c r="N136" s="501"/>
      <c r="O136" s="568"/>
      <c r="P136" s="501"/>
      <c r="Q136" s="1856"/>
      <c r="R136" s="1865">
        <v>1.4</v>
      </c>
      <c r="S136" s="154"/>
      <c r="T136" s="260"/>
      <c r="U136" s="154"/>
      <c r="V136" s="154"/>
      <c r="W136" s="55"/>
      <c r="X136" s="2432"/>
      <c r="Y136" s="55"/>
      <c r="Z136" s="2433"/>
      <c r="AB136">
        <v>1</v>
      </c>
      <c r="AE136" s="2461"/>
      <c r="AF136" s="68"/>
    </row>
    <row r="137" spans="1:32" ht="30" x14ac:dyDescent="0.35">
      <c r="A137" s="347">
        <v>68</v>
      </c>
      <c r="B137" s="358">
        <v>10312</v>
      </c>
      <c r="C137" s="358"/>
      <c r="D137" s="358" t="s">
        <v>1584</v>
      </c>
      <c r="E137" s="511" t="s">
        <v>3611</v>
      </c>
      <c r="F137" s="13"/>
      <c r="G137" s="13" t="s">
        <v>191</v>
      </c>
      <c r="H137" s="13" t="s">
        <v>191</v>
      </c>
      <c r="I137" s="501">
        <f>J137+K137+L137</f>
        <v>10.042999999999999</v>
      </c>
      <c r="J137" s="501">
        <f>SUM(M137:R137)</f>
        <v>10.042999999999999</v>
      </c>
      <c r="K137" s="501"/>
      <c r="L137" s="501"/>
      <c r="M137" s="501"/>
      <c r="N137" s="501">
        <f>SUM(N138:N140)</f>
        <v>10.042999999999999</v>
      </c>
      <c r="O137" s="568"/>
      <c r="P137" s="501"/>
      <c r="Q137" s="860"/>
      <c r="R137" s="870"/>
      <c r="S137" s="154"/>
      <c r="T137" s="260"/>
      <c r="U137" s="154"/>
      <c r="V137" s="154"/>
      <c r="W137" s="55">
        <v>21</v>
      </c>
      <c r="X137" s="2432">
        <v>355.7</v>
      </c>
      <c r="Y137" s="55">
        <v>7</v>
      </c>
      <c r="Z137" s="2433">
        <v>85.7</v>
      </c>
      <c r="AA137" s="3" t="s">
        <v>371</v>
      </c>
      <c r="AB137">
        <v>1</v>
      </c>
      <c r="AE137" s="2461"/>
      <c r="AF137" s="68"/>
    </row>
    <row r="138" spans="1:32" ht="15.5" x14ac:dyDescent="0.35">
      <c r="A138" s="347"/>
      <c r="B138" s="358">
        <v>10312</v>
      </c>
      <c r="C138" s="358"/>
      <c r="D138" s="358"/>
      <c r="E138" s="534" t="s">
        <v>3612</v>
      </c>
      <c r="F138" s="13">
        <v>4</v>
      </c>
      <c r="G138" s="13">
        <v>5</v>
      </c>
      <c r="H138" s="13">
        <v>6</v>
      </c>
      <c r="I138" s="502"/>
      <c r="J138" s="502"/>
      <c r="K138" s="502"/>
      <c r="L138" s="502"/>
      <c r="M138" s="502"/>
      <c r="N138" s="502">
        <v>8.8610000000000007</v>
      </c>
      <c r="O138" s="568"/>
      <c r="P138" s="501"/>
      <c r="Q138" s="860"/>
      <c r="R138" s="870"/>
      <c r="S138" s="154"/>
      <c r="T138" s="260"/>
      <c r="U138" s="154"/>
      <c r="V138" s="154"/>
      <c r="W138" s="55"/>
      <c r="X138" s="2432"/>
      <c r="Y138" s="55"/>
      <c r="Z138" s="2433"/>
      <c r="AA138" s="3"/>
      <c r="AE138" s="2461"/>
      <c r="AF138" s="68"/>
    </row>
    <row r="139" spans="1:32" ht="15.5" x14ac:dyDescent="0.35">
      <c r="A139" s="347"/>
      <c r="B139" s="358">
        <v>10312</v>
      </c>
      <c r="C139" s="358"/>
      <c r="D139" s="358"/>
      <c r="E139" s="534" t="s">
        <v>3613</v>
      </c>
      <c r="F139" s="13" t="s">
        <v>827</v>
      </c>
      <c r="G139" s="13">
        <v>5</v>
      </c>
      <c r="H139" s="13">
        <v>6</v>
      </c>
      <c r="I139" s="502"/>
      <c r="J139" s="502"/>
      <c r="K139" s="502"/>
      <c r="L139" s="502"/>
      <c r="M139" s="502"/>
      <c r="N139" s="502">
        <f>9.273-8.861</f>
        <v>0.41199999999999903</v>
      </c>
      <c r="O139" s="568"/>
      <c r="P139" s="501"/>
      <c r="Q139" s="860"/>
      <c r="R139" s="870"/>
      <c r="S139" s="154"/>
      <c r="T139" s="260"/>
      <c r="U139" s="154"/>
      <c r="V139" s="154"/>
      <c r="W139" s="55"/>
      <c r="X139" s="2432"/>
      <c r="Y139" s="55"/>
      <c r="Z139" s="2433"/>
      <c r="AA139" s="3"/>
      <c r="AE139" s="2461"/>
      <c r="AF139" s="68"/>
    </row>
    <row r="140" spans="1:32" ht="15.5" x14ac:dyDescent="0.35">
      <c r="A140" s="347"/>
      <c r="B140" s="358">
        <v>10312</v>
      </c>
      <c r="C140" s="358"/>
      <c r="D140" s="358"/>
      <c r="E140" s="534" t="s">
        <v>3614</v>
      </c>
      <c r="F140" s="13">
        <v>5</v>
      </c>
      <c r="G140" s="13">
        <v>5</v>
      </c>
      <c r="H140" s="13">
        <v>6</v>
      </c>
      <c r="I140" s="502"/>
      <c r="J140" s="502"/>
      <c r="K140" s="502"/>
      <c r="L140" s="502"/>
      <c r="M140" s="502"/>
      <c r="N140" s="502">
        <f>10.043-9.273</f>
        <v>0.76999999999999957</v>
      </c>
      <c r="O140" s="568"/>
      <c r="P140" s="501"/>
      <c r="Q140" s="860"/>
      <c r="R140" s="870"/>
      <c r="S140" s="154"/>
      <c r="T140" s="260"/>
      <c r="U140" s="154"/>
      <c r="V140" s="154"/>
      <c r="W140" s="55"/>
      <c r="X140" s="2432"/>
      <c r="Y140" s="55"/>
      <c r="Z140" s="2433"/>
      <c r="AA140" s="3"/>
      <c r="AE140" s="2461"/>
      <c r="AF140" s="68"/>
    </row>
    <row r="141" spans="1:32" ht="45.5" x14ac:dyDescent="0.35">
      <c r="A141" s="349">
        <v>69</v>
      </c>
      <c r="B141" s="358">
        <v>10312</v>
      </c>
      <c r="C141" s="358"/>
      <c r="D141" s="2464" t="s">
        <v>4467</v>
      </c>
      <c r="E141" s="511" t="s">
        <v>7577</v>
      </c>
      <c r="F141" s="14">
        <v>5</v>
      </c>
      <c r="G141" s="14">
        <v>5</v>
      </c>
      <c r="H141" s="13">
        <v>6</v>
      </c>
      <c r="I141" s="501">
        <f>J141+K141+L141</f>
        <v>3.1</v>
      </c>
      <c r="J141" s="501">
        <f>SUM(M141:R141)</f>
        <v>3.1</v>
      </c>
      <c r="K141" s="501"/>
      <c r="L141" s="501"/>
      <c r="M141" s="501"/>
      <c r="N141" s="501"/>
      <c r="O141" s="568"/>
      <c r="P141" s="501"/>
      <c r="Q141" s="860">
        <v>3.1</v>
      </c>
      <c r="R141" s="870"/>
      <c r="S141" s="154"/>
      <c r="T141" s="260"/>
      <c r="U141" s="154"/>
      <c r="V141" s="154"/>
      <c r="W141" s="55">
        <v>3</v>
      </c>
      <c r="X141" s="2432">
        <v>52.9</v>
      </c>
      <c r="Y141" s="55"/>
      <c r="Z141" s="2433"/>
      <c r="AA141" s="3" t="s">
        <v>2559</v>
      </c>
      <c r="AB141">
        <v>1</v>
      </c>
      <c r="AE141" s="2461"/>
      <c r="AF141" s="68"/>
    </row>
    <row r="142" spans="1:32" ht="60.5" x14ac:dyDescent="0.35">
      <c r="A142" s="347">
        <v>70</v>
      </c>
      <c r="B142" s="405">
        <v>10312</v>
      </c>
      <c r="C142" s="358" t="s">
        <v>1656</v>
      </c>
      <c r="D142" s="2464" t="s">
        <v>4468</v>
      </c>
      <c r="E142" s="511" t="s">
        <v>9729</v>
      </c>
      <c r="F142" s="14" t="s">
        <v>664</v>
      </c>
      <c r="G142" s="14">
        <v>5</v>
      </c>
      <c r="H142" s="14">
        <v>6</v>
      </c>
      <c r="I142" s="501">
        <f>J142+K142+L142</f>
        <v>0.15</v>
      </c>
      <c r="J142" s="501">
        <f>SUM(M142:R142)</f>
        <v>0.15</v>
      </c>
      <c r="K142" s="501"/>
      <c r="L142" s="501"/>
      <c r="M142" s="501"/>
      <c r="N142" s="501"/>
      <c r="O142" s="568"/>
      <c r="P142" s="501"/>
      <c r="Q142" s="1856"/>
      <c r="R142" s="1865">
        <v>0.15</v>
      </c>
      <c r="S142" s="154"/>
      <c r="T142" s="260"/>
      <c r="U142" s="154"/>
      <c r="V142" s="154"/>
      <c r="W142" s="154"/>
      <c r="X142" s="2501"/>
      <c r="Y142" s="154"/>
      <c r="Z142" s="2433"/>
      <c r="AB142">
        <v>1</v>
      </c>
      <c r="AE142" s="2461"/>
      <c r="AF142" s="68"/>
    </row>
    <row r="143" spans="1:32" ht="45.5" x14ac:dyDescent="0.35">
      <c r="A143" s="349">
        <v>71</v>
      </c>
      <c r="B143" s="358">
        <v>10312</v>
      </c>
      <c r="C143" s="358" t="s">
        <v>1656</v>
      </c>
      <c r="D143" s="2464" t="s">
        <v>4469</v>
      </c>
      <c r="E143" s="511" t="s">
        <v>8310</v>
      </c>
      <c r="F143" s="14" t="s">
        <v>664</v>
      </c>
      <c r="G143" s="14">
        <v>5</v>
      </c>
      <c r="H143" s="14">
        <v>6</v>
      </c>
      <c r="I143" s="501">
        <f>J143+K143+L143</f>
        <v>0.2</v>
      </c>
      <c r="J143" s="501">
        <f>SUM(M143:R143)</f>
        <v>0.2</v>
      </c>
      <c r="K143" s="501"/>
      <c r="L143" s="501"/>
      <c r="M143" s="501"/>
      <c r="N143" s="501"/>
      <c r="O143" s="568"/>
      <c r="P143" s="501"/>
      <c r="Q143" s="1856"/>
      <c r="R143" s="1865">
        <v>0.2</v>
      </c>
      <c r="S143" s="55"/>
      <c r="T143" s="1962"/>
      <c r="U143" s="154"/>
      <c r="V143" s="154"/>
      <c r="W143" s="55"/>
      <c r="X143" s="2432"/>
      <c r="Y143" s="55"/>
      <c r="Z143" s="2433"/>
      <c r="AB143">
        <v>1</v>
      </c>
      <c r="AE143" s="2461"/>
      <c r="AF143" s="68"/>
    </row>
    <row r="144" spans="1:32" ht="30" x14ac:dyDescent="0.35">
      <c r="A144" s="349">
        <v>72</v>
      </c>
      <c r="B144" s="358">
        <v>10313</v>
      </c>
      <c r="C144" s="358"/>
      <c r="D144" s="358" t="s">
        <v>1585</v>
      </c>
      <c r="E144" s="288" t="s">
        <v>2221</v>
      </c>
      <c r="F144" s="13"/>
      <c r="G144" s="13" t="s">
        <v>191</v>
      </c>
      <c r="H144" s="13" t="s">
        <v>191</v>
      </c>
      <c r="I144" s="501">
        <f>J144+K144+L144</f>
        <v>13.14</v>
      </c>
      <c r="J144" s="501">
        <f>SUM(M144:R144)</f>
        <v>13.14</v>
      </c>
      <c r="K144" s="501"/>
      <c r="L144" s="501"/>
      <c r="M144" s="501"/>
      <c r="N144" s="501">
        <f>SUM(N145:N146)</f>
        <v>0.4</v>
      </c>
      <c r="O144" s="568"/>
      <c r="P144" s="501"/>
      <c r="Q144" s="860">
        <f>SUM(Q145:Q146)</f>
        <v>12.74</v>
      </c>
      <c r="R144" s="870"/>
      <c r="S144" s="154"/>
      <c r="T144" s="260"/>
      <c r="U144" s="154"/>
      <c r="V144" s="154"/>
      <c r="W144" s="55">
        <v>14</v>
      </c>
      <c r="X144" s="2432">
        <v>285.10000000000002</v>
      </c>
      <c r="Y144" s="55"/>
      <c r="Z144" s="2433"/>
      <c r="AA144" s="3" t="s">
        <v>2557</v>
      </c>
      <c r="AB144">
        <v>1</v>
      </c>
      <c r="AE144" s="2461"/>
      <c r="AF144" s="68"/>
    </row>
    <row r="145" spans="1:32" ht="15.5" x14ac:dyDescent="0.35">
      <c r="A145" s="363"/>
      <c r="B145" s="358">
        <v>10313</v>
      </c>
      <c r="C145" s="358"/>
      <c r="D145" s="364"/>
      <c r="E145" s="289" t="s">
        <v>1074</v>
      </c>
      <c r="F145" s="13">
        <v>4</v>
      </c>
      <c r="G145" s="13">
        <v>5</v>
      </c>
      <c r="H145" s="13">
        <v>6</v>
      </c>
      <c r="I145" s="502" t="s">
        <v>1516</v>
      </c>
      <c r="J145" s="502" t="s">
        <v>1516</v>
      </c>
      <c r="K145" s="501"/>
      <c r="L145" s="502"/>
      <c r="M145" s="502"/>
      <c r="N145" s="502">
        <v>0.4</v>
      </c>
      <c r="O145" s="569"/>
      <c r="P145" s="502"/>
      <c r="Q145" s="863"/>
      <c r="R145" s="873"/>
      <c r="S145" s="1944"/>
      <c r="T145" s="2497"/>
      <c r="U145" s="1944"/>
      <c r="V145" s="1944"/>
      <c r="W145" s="1138"/>
      <c r="X145" s="2498"/>
      <c r="Y145" s="1138"/>
      <c r="Z145" s="2499"/>
      <c r="AA145" s="3"/>
      <c r="AE145" s="2461"/>
      <c r="AF145" s="68"/>
    </row>
    <row r="146" spans="1:32" ht="15.5" x14ac:dyDescent="0.35">
      <c r="A146" s="363"/>
      <c r="B146" s="358">
        <v>10313</v>
      </c>
      <c r="C146" s="358"/>
      <c r="D146" s="364"/>
      <c r="E146" s="837" t="s">
        <v>2464</v>
      </c>
      <c r="F146" s="13">
        <v>4</v>
      </c>
      <c r="G146" s="13">
        <v>5</v>
      </c>
      <c r="H146" s="13">
        <v>6</v>
      </c>
      <c r="I146" s="502" t="s">
        <v>1516</v>
      </c>
      <c r="J146" s="502" t="s">
        <v>1516</v>
      </c>
      <c r="K146" s="501"/>
      <c r="L146" s="502"/>
      <c r="M146" s="502"/>
      <c r="N146" s="502"/>
      <c r="O146" s="569"/>
      <c r="P146" s="502"/>
      <c r="Q146" s="863">
        <v>12.74</v>
      </c>
      <c r="R146" s="873"/>
      <c r="S146" s="1944"/>
      <c r="T146" s="2497"/>
      <c r="U146" s="1944"/>
      <c r="V146" s="1944"/>
      <c r="W146" s="1138"/>
      <c r="X146" s="2498"/>
      <c r="Y146" s="1138"/>
      <c r="Z146" s="2499"/>
      <c r="AA146" s="3"/>
      <c r="AE146" s="2461"/>
      <c r="AF146" s="68"/>
    </row>
    <row r="147" spans="1:32" ht="30.5" x14ac:dyDescent="0.35">
      <c r="A147" s="347">
        <v>73</v>
      </c>
      <c r="B147" s="358">
        <v>10313</v>
      </c>
      <c r="C147" s="358"/>
      <c r="D147" s="2464" t="s">
        <v>4471</v>
      </c>
      <c r="E147" s="288" t="s">
        <v>7578</v>
      </c>
      <c r="F147" s="14"/>
      <c r="G147" s="14" t="s">
        <v>191</v>
      </c>
      <c r="H147" s="13" t="s">
        <v>191</v>
      </c>
      <c r="I147" s="501">
        <f>J147+K147+L147</f>
        <v>4.5</v>
      </c>
      <c r="J147" s="501">
        <f>SUM(M147:R147)</f>
        <v>4.5</v>
      </c>
      <c r="K147" s="501"/>
      <c r="L147" s="501"/>
      <c r="M147" s="501"/>
      <c r="N147" s="501">
        <f>SUM(N148:N149)</f>
        <v>0.9</v>
      </c>
      <c r="O147" s="568"/>
      <c r="P147" s="501"/>
      <c r="Q147" s="860">
        <f>SUM(Q148:Q149)</f>
        <v>3.6</v>
      </c>
      <c r="R147" s="870"/>
      <c r="S147" s="154"/>
      <c r="T147" s="260"/>
      <c r="U147" s="154"/>
      <c r="V147" s="154"/>
      <c r="W147" s="154">
        <v>5</v>
      </c>
      <c r="X147" s="2501">
        <v>87.6</v>
      </c>
      <c r="Y147" s="154"/>
      <c r="Z147" s="2433"/>
      <c r="AA147" s="3" t="s">
        <v>2558</v>
      </c>
      <c r="AB147">
        <v>1</v>
      </c>
      <c r="AE147" s="2461"/>
      <c r="AF147" s="68"/>
    </row>
    <row r="148" spans="1:32" ht="15.5" x14ac:dyDescent="0.35">
      <c r="A148" s="363"/>
      <c r="B148" s="358">
        <v>10313</v>
      </c>
      <c r="C148" s="358"/>
      <c r="D148" s="364"/>
      <c r="E148" s="837" t="s">
        <v>2582</v>
      </c>
      <c r="F148" s="14">
        <v>5</v>
      </c>
      <c r="G148" s="14">
        <v>5</v>
      </c>
      <c r="H148" s="13">
        <v>6</v>
      </c>
      <c r="I148" s="502" t="s">
        <v>1516</v>
      </c>
      <c r="J148" s="502" t="s">
        <v>1516</v>
      </c>
      <c r="K148" s="501"/>
      <c r="L148" s="502"/>
      <c r="M148" s="502"/>
      <c r="N148" s="502" t="s">
        <v>1516</v>
      </c>
      <c r="O148" s="569"/>
      <c r="P148" s="502"/>
      <c r="Q148" s="863">
        <v>3.6</v>
      </c>
      <c r="R148" s="873"/>
      <c r="S148" s="1944"/>
      <c r="T148" s="2497"/>
      <c r="U148" s="1944"/>
      <c r="V148" s="1944"/>
      <c r="W148" s="1944"/>
      <c r="X148" s="2503"/>
      <c r="Y148" s="1944"/>
      <c r="Z148" s="2499"/>
      <c r="AA148" s="3"/>
      <c r="AE148" s="2461"/>
      <c r="AF148" s="68"/>
    </row>
    <row r="149" spans="1:32" ht="15.5" x14ac:dyDescent="0.35">
      <c r="A149" s="363"/>
      <c r="B149" s="358">
        <v>10313</v>
      </c>
      <c r="C149" s="358"/>
      <c r="D149" s="364"/>
      <c r="E149" s="534" t="s">
        <v>1100</v>
      </c>
      <c r="F149" s="14">
        <v>5</v>
      </c>
      <c r="G149" s="14">
        <v>5</v>
      </c>
      <c r="H149" s="13">
        <v>6</v>
      </c>
      <c r="I149" s="502" t="s">
        <v>1516</v>
      </c>
      <c r="J149" s="502" t="s">
        <v>1516</v>
      </c>
      <c r="K149" s="501"/>
      <c r="L149" s="502"/>
      <c r="M149" s="502"/>
      <c r="N149" s="502">
        <v>0.9</v>
      </c>
      <c r="O149" s="569"/>
      <c r="P149" s="502"/>
      <c r="Q149" s="863" t="s">
        <v>1516</v>
      </c>
      <c r="R149" s="873"/>
      <c r="S149" s="1944"/>
      <c r="T149" s="2497"/>
      <c r="U149" s="1944"/>
      <c r="V149" s="1944"/>
      <c r="W149" s="1944"/>
      <c r="X149" s="2503"/>
      <c r="Y149" s="1944"/>
      <c r="Z149" s="2499"/>
      <c r="AA149" s="3"/>
      <c r="AE149" s="2461"/>
      <c r="AF149" s="68"/>
    </row>
    <row r="150" spans="1:32" ht="30.5" x14ac:dyDescent="0.35">
      <c r="A150" s="349">
        <v>74</v>
      </c>
      <c r="B150" s="405">
        <v>10313</v>
      </c>
      <c r="C150" s="405"/>
      <c r="D150" s="2464" t="s">
        <v>4472</v>
      </c>
      <c r="E150" s="288" t="s">
        <v>7579</v>
      </c>
      <c r="F150" s="13" t="s">
        <v>664</v>
      </c>
      <c r="G150" s="13">
        <v>5</v>
      </c>
      <c r="H150" s="14">
        <v>6</v>
      </c>
      <c r="I150" s="501">
        <f t="shared" ref="I150:I156" si="14">J150+K150+L150</f>
        <v>1.3</v>
      </c>
      <c r="J150" s="501">
        <f t="shared" ref="J150:J156" si="15">SUM(M150:R150)</f>
        <v>1.3</v>
      </c>
      <c r="K150" s="501"/>
      <c r="L150" s="501"/>
      <c r="M150" s="501"/>
      <c r="N150" s="501"/>
      <c r="O150" s="568"/>
      <c r="P150" s="501"/>
      <c r="Q150" s="860"/>
      <c r="R150" s="870">
        <v>1.3</v>
      </c>
      <c r="S150" s="154"/>
      <c r="T150" s="260"/>
      <c r="U150" s="154"/>
      <c r="V150" s="154"/>
      <c r="W150" s="154"/>
      <c r="X150" s="2501"/>
      <c r="Y150" s="154"/>
      <c r="Z150" s="2433"/>
      <c r="AA150" s="3"/>
      <c r="AB150">
        <v>1</v>
      </c>
      <c r="AC150" s="2331" t="s">
        <v>3114</v>
      </c>
      <c r="AD150" s="1784">
        <v>37350</v>
      </c>
      <c r="AE150" s="2461"/>
      <c r="AF150" s="68"/>
    </row>
    <row r="151" spans="1:32" ht="45.5" x14ac:dyDescent="0.35">
      <c r="A151" s="347">
        <v>75</v>
      </c>
      <c r="B151" s="358">
        <v>10313</v>
      </c>
      <c r="C151" s="358" t="s">
        <v>1656</v>
      </c>
      <c r="D151" s="2464" t="s">
        <v>4473</v>
      </c>
      <c r="E151" s="511" t="s">
        <v>8311</v>
      </c>
      <c r="F151" s="14" t="s">
        <v>664</v>
      </c>
      <c r="G151" s="14">
        <v>5</v>
      </c>
      <c r="H151" s="14">
        <v>6</v>
      </c>
      <c r="I151" s="501">
        <f t="shared" si="14"/>
        <v>0.3</v>
      </c>
      <c r="J151" s="501">
        <f t="shared" si="15"/>
        <v>0.3</v>
      </c>
      <c r="K151" s="501"/>
      <c r="L151" s="501"/>
      <c r="M151" s="501"/>
      <c r="N151" s="501"/>
      <c r="O151" s="568"/>
      <c r="P151" s="501"/>
      <c r="Q151" s="1856"/>
      <c r="R151" s="1865">
        <v>0.3</v>
      </c>
      <c r="S151" s="154"/>
      <c r="T151" s="260"/>
      <c r="U151" s="154"/>
      <c r="V151" s="154"/>
      <c r="W151" s="55"/>
      <c r="X151" s="2432"/>
      <c r="Y151" s="55"/>
      <c r="Z151" s="2433"/>
      <c r="AB151">
        <v>1</v>
      </c>
      <c r="AE151" s="2461"/>
      <c r="AF151" s="68"/>
    </row>
    <row r="152" spans="1:32" ht="30" x14ac:dyDescent="0.35">
      <c r="A152" s="349">
        <v>76</v>
      </c>
      <c r="B152" s="358">
        <v>10314</v>
      </c>
      <c r="C152" s="358"/>
      <c r="D152" s="358" t="s">
        <v>1586</v>
      </c>
      <c r="E152" s="511" t="s">
        <v>2056</v>
      </c>
      <c r="F152" s="13">
        <v>5</v>
      </c>
      <c r="G152" s="13">
        <v>5</v>
      </c>
      <c r="H152" s="13">
        <v>6</v>
      </c>
      <c r="I152" s="501">
        <f t="shared" si="14"/>
        <v>7.93</v>
      </c>
      <c r="J152" s="501">
        <f t="shared" si="15"/>
        <v>7.93</v>
      </c>
      <c r="K152" s="501"/>
      <c r="L152" s="501"/>
      <c r="M152" s="501"/>
      <c r="N152" s="501"/>
      <c r="O152" s="568"/>
      <c r="P152" s="501"/>
      <c r="Q152" s="860">
        <v>7.93</v>
      </c>
      <c r="R152" s="870"/>
      <c r="S152" s="55">
        <v>1</v>
      </c>
      <c r="T152" s="1962">
        <v>4</v>
      </c>
      <c r="U152" s="154"/>
      <c r="V152" s="154"/>
      <c r="W152" s="55">
        <v>5</v>
      </c>
      <c r="X152" s="2432">
        <f>98-27.4</f>
        <v>70.599999999999994</v>
      </c>
      <c r="Y152" s="55"/>
      <c r="Z152" s="2433"/>
      <c r="AA152" s="3"/>
      <c r="AB152">
        <v>1</v>
      </c>
      <c r="AE152" s="2461"/>
      <c r="AF152" s="68"/>
    </row>
    <row r="153" spans="1:32" ht="30.5" x14ac:dyDescent="0.35">
      <c r="A153" s="347">
        <v>77</v>
      </c>
      <c r="B153" s="405">
        <v>10314</v>
      </c>
      <c r="C153" s="405"/>
      <c r="D153" s="2464" t="s">
        <v>4474</v>
      </c>
      <c r="E153" s="511" t="s">
        <v>7580</v>
      </c>
      <c r="F153" s="13" t="s">
        <v>1490</v>
      </c>
      <c r="G153" s="13">
        <v>5</v>
      </c>
      <c r="H153" s="14">
        <v>6</v>
      </c>
      <c r="I153" s="501">
        <f t="shared" si="14"/>
        <v>1.75</v>
      </c>
      <c r="J153" s="501">
        <f t="shared" si="15"/>
        <v>1.75</v>
      </c>
      <c r="K153" s="501"/>
      <c r="L153" s="501"/>
      <c r="M153" s="501"/>
      <c r="N153" s="501"/>
      <c r="O153" s="568"/>
      <c r="P153" s="501"/>
      <c r="Q153" s="860"/>
      <c r="R153" s="870">
        <v>1.75</v>
      </c>
      <c r="S153" s="154"/>
      <c r="T153" s="260"/>
      <c r="U153" s="154"/>
      <c r="V153" s="154"/>
      <c r="W153" s="154"/>
      <c r="X153" s="2501"/>
      <c r="Y153" s="154"/>
      <c r="Z153" s="2433"/>
      <c r="AA153" s="3"/>
      <c r="AB153">
        <v>1</v>
      </c>
      <c r="AE153" s="2461"/>
      <c r="AF153" s="68"/>
    </row>
    <row r="154" spans="1:32" ht="30.5" x14ac:dyDescent="0.35">
      <c r="A154" s="349">
        <v>78</v>
      </c>
      <c r="B154" s="358">
        <v>10314</v>
      </c>
      <c r="C154" s="358" t="s">
        <v>1656</v>
      </c>
      <c r="D154" s="2464" t="s">
        <v>4475</v>
      </c>
      <c r="E154" s="511" t="s">
        <v>8312</v>
      </c>
      <c r="F154" s="14" t="s">
        <v>664</v>
      </c>
      <c r="G154" s="14">
        <v>5</v>
      </c>
      <c r="H154" s="14">
        <v>6</v>
      </c>
      <c r="I154" s="501">
        <f t="shared" si="14"/>
        <v>0.7</v>
      </c>
      <c r="J154" s="501">
        <f t="shared" si="15"/>
        <v>0.7</v>
      </c>
      <c r="K154" s="501"/>
      <c r="L154" s="501"/>
      <c r="M154" s="501"/>
      <c r="N154" s="501"/>
      <c r="O154" s="568"/>
      <c r="P154" s="501"/>
      <c r="Q154" s="1856"/>
      <c r="R154" s="1865">
        <v>0.7</v>
      </c>
      <c r="S154" s="154"/>
      <c r="T154" s="260"/>
      <c r="U154" s="154"/>
      <c r="V154" s="154"/>
      <c r="W154" s="55"/>
      <c r="X154" s="2432"/>
      <c r="Y154" s="55"/>
      <c r="Z154" s="2433"/>
      <c r="AB154">
        <v>1</v>
      </c>
      <c r="AE154" s="2461"/>
      <c r="AF154" s="68"/>
    </row>
    <row r="155" spans="1:32" ht="30.5" x14ac:dyDescent="0.35">
      <c r="A155" s="347">
        <v>79</v>
      </c>
      <c r="B155" s="358">
        <v>10314</v>
      </c>
      <c r="C155" s="358" t="s">
        <v>1656</v>
      </c>
      <c r="D155" s="2464" t="s">
        <v>4476</v>
      </c>
      <c r="E155" s="511" t="s">
        <v>8313</v>
      </c>
      <c r="F155" s="14" t="s">
        <v>664</v>
      </c>
      <c r="G155" s="14">
        <v>5</v>
      </c>
      <c r="H155" s="14">
        <v>6</v>
      </c>
      <c r="I155" s="501">
        <f t="shared" si="14"/>
        <v>0.8</v>
      </c>
      <c r="J155" s="501">
        <f t="shared" si="15"/>
        <v>0.8</v>
      </c>
      <c r="K155" s="501"/>
      <c r="L155" s="501"/>
      <c r="M155" s="501"/>
      <c r="N155" s="501"/>
      <c r="O155" s="568"/>
      <c r="P155" s="501"/>
      <c r="Q155" s="1856"/>
      <c r="R155" s="1865">
        <v>0.8</v>
      </c>
      <c r="S155" s="154"/>
      <c r="T155" s="260"/>
      <c r="U155" s="154"/>
      <c r="V155" s="154"/>
      <c r="W155" s="55"/>
      <c r="X155" s="2432"/>
      <c r="Y155" s="55"/>
      <c r="Z155" s="2433"/>
      <c r="AB155">
        <v>1</v>
      </c>
      <c r="AE155" s="2461"/>
      <c r="AF155" s="68"/>
    </row>
    <row r="156" spans="1:32" ht="45.5" x14ac:dyDescent="0.35">
      <c r="A156" s="349">
        <v>80</v>
      </c>
      <c r="B156" s="358">
        <v>10315</v>
      </c>
      <c r="C156" s="358"/>
      <c r="D156" s="358" t="s">
        <v>2982</v>
      </c>
      <c r="E156" s="288" t="s">
        <v>9730</v>
      </c>
      <c r="F156" s="13"/>
      <c r="G156" s="13" t="s">
        <v>191</v>
      </c>
      <c r="H156" s="13" t="s">
        <v>191</v>
      </c>
      <c r="I156" s="501">
        <f t="shared" si="14"/>
        <v>17.600000000000001</v>
      </c>
      <c r="J156" s="501">
        <f t="shared" si="15"/>
        <v>17.600000000000001</v>
      </c>
      <c r="K156" s="501"/>
      <c r="L156" s="501"/>
      <c r="M156" s="501"/>
      <c r="N156" s="501">
        <f>SUM(N157:N163)</f>
        <v>8.9700000000000006</v>
      </c>
      <c r="O156" s="851">
        <f>SUM(O157:O163)</f>
        <v>1.0999999999999996</v>
      </c>
      <c r="P156" s="501"/>
      <c r="Q156" s="860">
        <f>SUM(Q157:Q163)</f>
        <v>4.75</v>
      </c>
      <c r="R156" s="870">
        <f>SUM(R157:R163)</f>
        <v>2.78</v>
      </c>
      <c r="S156" s="55">
        <v>3</v>
      </c>
      <c r="T156" s="1962">
        <v>109.65</v>
      </c>
      <c r="U156" s="154"/>
      <c r="V156" s="154"/>
      <c r="W156" s="55">
        <v>14</v>
      </c>
      <c r="X156" s="2432">
        <v>191.6</v>
      </c>
      <c r="Y156" s="55"/>
      <c r="Z156" s="2433"/>
      <c r="AA156" s="3"/>
      <c r="AB156">
        <v>1</v>
      </c>
      <c r="AE156" s="2461"/>
      <c r="AF156" s="68"/>
    </row>
    <row r="157" spans="1:32" ht="46.5" x14ac:dyDescent="0.35">
      <c r="A157" s="347"/>
      <c r="B157" s="358">
        <v>10315</v>
      </c>
      <c r="C157" s="358"/>
      <c r="D157" s="358"/>
      <c r="E157" s="289" t="s">
        <v>9971</v>
      </c>
      <c r="F157" s="13"/>
      <c r="G157" s="13" t="s">
        <v>191</v>
      </c>
      <c r="H157" s="13" t="s">
        <v>191</v>
      </c>
      <c r="I157" s="501"/>
      <c r="J157" s="501"/>
      <c r="K157" s="501"/>
      <c r="L157" s="501"/>
      <c r="M157" s="501"/>
      <c r="N157" s="501"/>
      <c r="O157" s="568"/>
      <c r="P157" s="501"/>
      <c r="Q157" s="860"/>
      <c r="R157" s="870"/>
      <c r="S157" s="55"/>
      <c r="T157" s="1962"/>
      <c r="U157" s="154"/>
      <c r="V157" s="154"/>
      <c r="W157" s="55"/>
      <c r="X157" s="2432"/>
      <c r="Y157" s="55"/>
      <c r="Z157" s="2433"/>
      <c r="AA157" s="3"/>
      <c r="AE157" s="2461"/>
      <c r="AF157" s="68"/>
    </row>
    <row r="158" spans="1:32" ht="15.5" x14ac:dyDescent="0.35">
      <c r="A158" s="363"/>
      <c r="B158" s="358">
        <v>10315</v>
      </c>
      <c r="C158" s="358"/>
      <c r="D158" s="364"/>
      <c r="E158" s="289" t="s">
        <v>2307</v>
      </c>
      <c r="F158" s="13">
        <v>4</v>
      </c>
      <c r="G158" s="13">
        <v>4</v>
      </c>
      <c r="H158" s="13">
        <v>6</v>
      </c>
      <c r="I158" s="502" t="s">
        <v>1516</v>
      </c>
      <c r="J158" s="502" t="s">
        <v>1516</v>
      </c>
      <c r="K158" s="501"/>
      <c r="L158" s="502"/>
      <c r="M158" s="502"/>
      <c r="N158" s="502">
        <v>8</v>
      </c>
      <c r="O158" s="569"/>
      <c r="P158" s="502"/>
      <c r="Q158" s="863"/>
      <c r="R158" s="873"/>
      <c r="S158" s="1138"/>
      <c r="T158" s="2074"/>
      <c r="U158" s="1944"/>
      <c r="V158" s="1944"/>
      <c r="W158" s="1138"/>
      <c r="X158" s="2498"/>
      <c r="Y158" s="1138"/>
      <c r="Z158" s="2499"/>
      <c r="AA158" s="3"/>
      <c r="AE158" s="2461"/>
      <c r="AF158" s="68"/>
    </row>
    <row r="159" spans="1:32" ht="15.5" x14ac:dyDescent="0.35">
      <c r="A159" s="363"/>
      <c r="B159" s="358">
        <v>10315</v>
      </c>
      <c r="C159" s="358"/>
      <c r="D159" s="364"/>
      <c r="E159" s="921" t="s">
        <v>931</v>
      </c>
      <c r="F159" s="13">
        <v>4</v>
      </c>
      <c r="G159" s="13">
        <v>4</v>
      </c>
      <c r="H159" s="13">
        <v>6</v>
      </c>
      <c r="I159" s="502"/>
      <c r="J159" s="502"/>
      <c r="K159" s="501"/>
      <c r="L159" s="502"/>
      <c r="M159" s="502"/>
      <c r="N159" s="502"/>
      <c r="O159" s="1092">
        <f>8.5-8</f>
        <v>0.5</v>
      </c>
      <c r="P159" s="502"/>
      <c r="Q159" s="863"/>
      <c r="R159" s="873"/>
      <c r="S159" s="1138"/>
      <c r="T159" s="2074"/>
      <c r="U159" s="1944"/>
      <c r="V159" s="1944"/>
      <c r="W159" s="1138"/>
      <c r="X159" s="2498"/>
      <c r="Y159" s="1138"/>
      <c r="Z159" s="2499"/>
      <c r="AA159" s="3"/>
      <c r="AE159" s="2461"/>
      <c r="AF159" s="68"/>
    </row>
    <row r="160" spans="1:32" ht="15.5" x14ac:dyDescent="0.35">
      <c r="A160" s="363"/>
      <c r="B160" s="358">
        <v>10315</v>
      </c>
      <c r="C160" s="358"/>
      <c r="D160" s="364"/>
      <c r="E160" s="837" t="s">
        <v>932</v>
      </c>
      <c r="F160" s="13">
        <v>4</v>
      </c>
      <c r="G160" s="13">
        <v>4</v>
      </c>
      <c r="H160" s="13">
        <v>6</v>
      </c>
      <c r="I160" s="502"/>
      <c r="J160" s="502"/>
      <c r="K160" s="501"/>
      <c r="L160" s="502"/>
      <c r="M160" s="502"/>
      <c r="N160" s="502"/>
      <c r="O160" s="1092"/>
      <c r="P160" s="502"/>
      <c r="Q160" s="863">
        <f>13.25-8.5</f>
        <v>4.75</v>
      </c>
      <c r="R160" s="873"/>
      <c r="S160" s="1138"/>
      <c r="T160" s="2074"/>
      <c r="U160" s="1944"/>
      <c r="V160" s="1944"/>
      <c r="W160" s="1138"/>
      <c r="X160" s="2498"/>
      <c r="Y160" s="1138"/>
      <c r="Z160" s="2499"/>
      <c r="AA160" s="3"/>
      <c r="AE160" s="2461"/>
      <c r="AF160" s="68"/>
    </row>
    <row r="161" spans="1:32" ht="15.5" x14ac:dyDescent="0.35">
      <c r="A161" s="363"/>
      <c r="B161" s="358">
        <v>10315</v>
      </c>
      <c r="C161" s="358"/>
      <c r="D161" s="364"/>
      <c r="E161" s="921" t="s">
        <v>933</v>
      </c>
      <c r="F161" s="13">
        <v>4</v>
      </c>
      <c r="G161" s="13">
        <v>4</v>
      </c>
      <c r="H161" s="13">
        <v>6</v>
      </c>
      <c r="I161" s="502"/>
      <c r="J161" s="502"/>
      <c r="K161" s="501"/>
      <c r="L161" s="502"/>
      <c r="M161" s="502"/>
      <c r="N161" s="502"/>
      <c r="O161" s="1092">
        <f>13.85-13.25</f>
        <v>0.59999999999999964</v>
      </c>
      <c r="P161" s="502"/>
      <c r="Q161" s="863"/>
      <c r="R161" s="873"/>
      <c r="S161" s="1138"/>
      <c r="T161" s="2074"/>
      <c r="U161" s="1944"/>
      <c r="V161" s="1944"/>
      <c r="W161" s="1138"/>
      <c r="X161" s="2498"/>
      <c r="Y161" s="1138"/>
      <c r="Z161" s="2499"/>
      <c r="AA161" s="3"/>
      <c r="AE161" s="2461"/>
      <c r="AF161" s="68"/>
    </row>
    <row r="162" spans="1:32" ht="15.5" x14ac:dyDescent="0.35">
      <c r="A162" s="363"/>
      <c r="B162" s="358">
        <v>10315</v>
      </c>
      <c r="C162" s="358"/>
      <c r="D162" s="364"/>
      <c r="E162" s="838" t="s">
        <v>3391</v>
      </c>
      <c r="F162" s="13" t="s">
        <v>664</v>
      </c>
      <c r="G162" s="13">
        <v>4</v>
      </c>
      <c r="H162" s="14">
        <v>6</v>
      </c>
      <c r="I162" s="502" t="s">
        <v>1516</v>
      </c>
      <c r="J162" s="502" t="s">
        <v>1516</v>
      </c>
      <c r="K162" s="501"/>
      <c r="L162" s="502"/>
      <c r="M162" s="502"/>
      <c r="N162" s="502"/>
      <c r="O162" s="569"/>
      <c r="P162" s="502"/>
      <c r="Q162" s="863"/>
      <c r="R162" s="873">
        <v>2.78</v>
      </c>
      <c r="S162" s="1138"/>
      <c r="T162" s="2074"/>
      <c r="U162" s="1944"/>
      <c r="V162" s="1944"/>
      <c r="W162" s="1138"/>
      <c r="X162" s="2498"/>
      <c r="Y162" s="1138"/>
      <c r="Z162" s="2499"/>
      <c r="AA162" s="3"/>
      <c r="AE162" s="2461"/>
      <c r="AF162" s="68"/>
    </row>
    <row r="163" spans="1:32" ht="15.5" x14ac:dyDescent="0.35">
      <c r="A163" s="363"/>
      <c r="B163" s="358">
        <v>10315</v>
      </c>
      <c r="C163" s="358"/>
      <c r="D163" s="364"/>
      <c r="E163" s="459" t="s">
        <v>2565</v>
      </c>
      <c r="F163" s="13">
        <v>4</v>
      </c>
      <c r="G163" s="13">
        <v>4</v>
      </c>
      <c r="H163" s="13">
        <v>6</v>
      </c>
      <c r="I163" s="502" t="s">
        <v>1516</v>
      </c>
      <c r="J163" s="502" t="s">
        <v>1516</v>
      </c>
      <c r="K163" s="501"/>
      <c r="L163" s="502"/>
      <c r="M163" s="502"/>
      <c r="N163" s="502">
        <v>0.97</v>
      </c>
      <c r="O163" s="569"/>
      <c r="P163" s="502"/>
      <c r="Q163" s="863"/>
      <c r="R163" s="873"/>
      <c r="S163" s="1138"/>
      <c r="T163" s="2074"/>
      <c r="U163" s="1944"/>
      <c r="V163" s="1944"/>
      <c r="W163" s="1138"/>
      <c r="X163" s="2498"/>
      <c r="Y163" s="1138"/>
      <c r="Z163" s="2499"/>
      <c r="AA163" s="3"/>
      <c r="AE163" s="2461"/>
      <c r="AF163" s="68"/>
    </row>
    <row r="164" spans="1:32" ht="60.5" x14ac:dyDescent="0.35">
      <c r="A164" s="347">
        <v>81</v>
      </c>
      <c r="B164" s="358">
        <v>10315</v>
      </c>
      <c r="C164" s="358"/>
      <c r="D164" s="2464" t="s">
        <v>4477</v>
      </c>
      <c r="E164" s="288" t="s">
        <v>9731</v>
      </c>
      <c r="F164" s="14"/>
      <c r="G164" s="14" t="s">
        <v>191</v>
      </c>
      <c r="H164" s="13" t="s">
        <v>191</v>
      </c>
      <c r="I164" s="501">
        <f>J164+K164+L164</f>
        <v>1.43</v>
      </c>
      <c r="J164" s="501">
        <f>SUM(M164:R164)</f>
        <v>1.43</v>
      </c>
      <c r="K164" s="501"/>
      <c r="L164" s="501"/>
      <c r="M164" s="501"/>
      <c r="N164" s="501">
        <f>SUM(N166:N167)</f>
        <v>0.6</v>
      </c>
      <c r="O164" s="568"/>
      <c r="P164" s="501"/>
      <c r="Q164" s="860">
        <f>SUM(Q166:Q167)</f>
        <v>0.83</v>
      </c>
      <c r="R164" s="870"/>
      <c r="S164" s="154"/>
      <c r="T164" s="260"/>
      <c r="U164" s="154"/>
      <c r="V164" s="154"/>
      <c r="W164" s="154">
        <v>1</v>
      </c>
      <c r="X164" s="2501">
        <v>15.1</v>
      </c>
      <c r="Y164" s="154"/>
      <c r="Z164" s="2433"/>
      <c r="AA164" s="3"/>
      <c r="AB164">
        <v>1</v>
      </c>
      <c r="AE164" s="2461"/>
      <c r="AF164" s="68"/>
    </row>
    <row r="165" spans="1:32" ht="46.5" x14ac:dyDescent="0.35">
      <c r="A165" s="347"/>
      <c r="B165" s="358">
        <v>10315</v>
      </c>
      <c r="C165" s="358"/>
      <c r="D165" s="358"/>
      <c r="E165" s="289" t="s">
        <v>9972</v>
      </c>
      <c r="F165" s="14"/>
      <c r="G165" s="14" t="s">
        <v>191</v>
      </c>
      <c r="H165" s="14" t="s">
        <v>191</v>
      </c>
      <c r="I165" s="501"/>
      <c r="J165" s="501"/>
      <c r="K165" s="501"/>
      <c r="L165" s="501"/>
      <c r="M165" s="501"/>
      <c r="N165" s="501"/>
      <c r="O165" s="568"/>
      <c r="P165" s="501"/>
      <c r="Q165" s="860"/>
      <c r="R165" s="870"/>
      <c r="S165" s="154"/>
      <c r="T165" s="260"/>
      <c r="U165" s="154"/>
      <c r="V165" s="154"/>
      <c r="W165" s="154"/>
      <c r="X165" s="2501"/>
      <c r="Y165" s="154"/>
      <c r="Z165" s="2433"/>
      <c r="AA165" s="3"/>
      <c r="AE165" s="2461"/>
      <c r="AF165" s="68"/>
    </row>
    <row r="166" spans="1:32" ht="15.5" x14ac:dyDescent="0.35">
      <c r="A166" s="347"/>
      <c r="B166" s="358">
        <v>10315</v>
      </c>
      <c r="C166" s="358"/>
      <c r="D166" s="358"/>
      <c r="E166" s="289" t="s">
        <v>365</v>
      </c>
      <c r="F166" s="14">
        <v>5</v>
      </c>
      <c r="G166" s="14">
        <v>4</v>
      </c>
      <c r="H166" s="13">
        <v>6</v>
      </c>
      <c r="I166" s="502"/>
      <c r="J166" s="502"/>
      <c r="K166" s="502"/>
      <c r="L166" s="502"/>
      <c r="M166" s="502"/>
      <c r="N166" s="502">
        <v>0.6</v>
      </c>
      <c r="O166" s="569"/>
      <c r="P166" s="502"/>
      <c r="Q166" s="1859"/>
      <c r="R166" s="870"/>
      <c r="S166" s="154"/>
      <c r="T166" s="260"/>
      <c r="U166" s="154"/>
      <c r="V166" s="154"/>
      <c r="W166" s="154"/>
      <c r="X166" s="2501"/>
      <c r="Y166" s="154"/>
      <c r="Z166" s="2433"/>
      <c r="AA166" s="3"/>
      <c r="AE166" s="2461"/>
      <c r="AF166" s="68"/>
    </row>
    <row r="167" spans="1:32" ht="15.5" x14ac:dyDescent="0.35">
      <c r="A167" s="347"/>
      <c r="B167" s="358">
        <v>10315</v>
      </c>
      <c r="C167" s="358"/>
      <c r="D167" s="358"/>
      <c r="E167" s="837" t="s">
        <v>3660</v>
      </c>
      <c r="F167" s="14">
        <v>5</v>
      </c>
      <c r="G167" s="14">
        <v>4</v>
      </c>
      <c r="H167" s="13">
        <v>6</v>
      </c>
      <c r="I167" s="502"/>
      <c r="J167" s="502"/>
      <c r="K167" s="502"/>
      <c r="L167" s="502"/>
      <c r="M167" s="502"/>
      <c r="N167" s="502"/>
      <c r="O167" s="569"/>
      <c r="P167" s="502"/>
      <c r="Q167" s="1859">
        <f>1.43-0.6</f>
        <v>0.83</v>
      </c>
      <c r="R167" s="870"/>
      <c r="S167" s="154"/>
      <c r="T167" s="260"/>
      <c r="U167" s="154"/>
      <c r="V167" s="154"/>
      <c r="W167" s="154"/>
      <c r="X167" s="2501"/>
      <c r="Y167" s="154"/>
      <c r="Z167" s="2433"/>
      <c r="AA167" s="3"/>
      <c r="AE167" s="2461"/>
      <c r="AF167" s="68"/>
    </row>
    <row r="168" spans="1:32" ht="45.5" x14ac:dyDescent="0.35">
      <c r="A168" s="347">
        <v>82</v>
      </c>
      <c r="B168" s="358">
        <v>10315</v>
      </c>
      <c r="C168" s="358" t="s">
        <v>1656</v>
      </c>
      <c r="D168" s="2464" t="s">
        <v>4478</v>
      </c>
      <c r="E168" s="511" t="s">
        <v>9732</v>
      </c>
      <c r="F168" s="14" t="s">
        <v>664</v>
      </c>
      <c r="G168" s="14">
        <v>5</v>
      </c>
      <c r="H168" s="14">
        <v>6</v>
      </c>
      <c r="I168" s="501">
        <f t="shared" ref="I168:I174" si="16">J168+K168+L168</f>
        <v>0.16</v>
      </c>
      <c r="J168" s="501">
        <f t="shared" ref="J168:J174" si="17">SUM(M168:R168)</f>
        <v>0.16</v>
      </c>
      <c r="K168" s="501"/>
      <c r="L168" s="501"/>
      <c r="M168" s="501"/>
      <c r="N168" s="501"/>
      <c r="O168" s="568"/>
      <c r="P168" s="501"/>
      <c r="Q168" s="1856"/>
      <c r="R168" s="1865">
        <v>0.16</v>
      </c>
      <c r="S168" s="154"/>
      <c r="T168" s="260"/>
      <c r="U168" s="154"/>
      <c r="V168" s="154"/>
      <c r="W168" s="55"/>
      <c r="X168" s="2432"/>
      <c r="Y168" s="55"/>
      <c r="Z168" s="2433"/>
      <c r="AB168">
        <v>1</v>
      </c>
      <c r="AE168" s="2461"/>
      <c r="AF168" s="68"/>
    </row>
    <row r="169" spans="1:32" ht="45.5" x14ac:dyDescent="0.35">
      <c r="A169" s="347">
        <v>83</v>
      </c>
      <c r="B169" s="358">
        <v>10315</v>
      </c>
      <c r="C169" s="358" t="s">
        <v>1656</v>
      </c>
      <c r="D169" s="2464" t="s">
        <v>4479</v>
      </c>
      <c r="E169" s="511" t="s">
        <v>9733</v>
      </c>
      <c r="F169" s="14" t="s">
        <v>664</v>
      </c>
      <c r="G169" s="14">
        <v>5</v>
      </c>
      <c r="H169" s="14">
        <v>6</v>
      </c>
      <c r="I169" s="501">
        <f t="shared" si="16"/>
        <v>0.06</v>
      </c>
      <c r="J169" s="501">
        <f t="shared" si="17"/>
        <v>0.06</v>
      </c>
      <c r="K169" s="501"/>
      <c r="L169" s="501"/>
      <c r="M169" s="501"/>
      <c r="N169" s="501"/>
      <c r="O169" s="568"/>
      <c r="P169" s="501"/>
      <c r="Q169" s="1856"/>
      <c r="R169" s="1865">
        <v>0.06</v>
      </c>
      <c r="S169" s="154"/>
      <c r="T169" s="260"/>
      <c r="U169" s="154"/>
      <c r="V169" s="154"/>
      <c r="W169" s="154"/>
      <c r="X169" s="2501"/>
      <c r="Y169" s="154"/>
      <c r="Z169" s="2433"/>
      <c r="AB169">
        <v>1</v>
      </c>
      <c r="AE169" s="2461"/>
      <c r="AF169" s="68"/>
    </row>
    <row r="170" spans="1:32" ht="45.5" x14ac:dyDescent="0.35">
      <c r="A170" s="347">
        <v>84</v>
      </c>
      <c r="B170" s="405">
        <v>10315</v>
      </c>
      <c r="C170" s="358" t="s">
        <v>1656</v>
      </c>
      <c r="D170" s="2464" t="s">
        <v>4480</v>
      </c>
      <c r="E170" s="511" t="s">
        <v>9734</v>
      </c>
      <c r="F170" s="14" t="s">
        <v>664</v>
      </c>
      <c r="G170" s="14">
        <v>5</v>
      </c>
      <c r="H170" s="14">
        <v>6</v>
      </c>
      <c r="I170" s="501">
        <f t="shared" si="16"/>
        <v>0.1</v>
      </c>
      <c r="J170" s="501">
        <f t="shared" si="17"/>
        <v>0.1</v>
      </c>
      <c r="K170" s="501"/>
      <c r="L170" s="501"/>
      <c r="M170" s="501"/>
      <c r="N170" s="501"/>
      <c r="O170" s="568"/>
      <c r="P170" s="501"/>
      <c r="Q170" s="1856"/>
      <c r="R170" s="1865">
        <v>0.1</v>
      </c>
      <c r="S170" s="154"/>
      <c r="T170" s="260"/>
      <c r="U170" s="154"/>
      <c r="V170" s="154"/>
      <c r="W170" s="55"/>
      <c r="X170" s="2432"/>
      <c r="Y170" s="55"/>
      <c r="Z170" s="2433"/>
      <c r="AB170">
        <v>1</v>
      </c>
      <c r="AE170" s="2461"/>
      <c r="AF170" s="68"/>
    </row>
    <row r="171" spans="1:32" ht="30" x14ac:dyDescent="0.35">
      <c r="A171" s="347">
        <v>85</v>
      </c>
      <c r="B171" s="358">
        <v>10316</v>
      </c>
      <c r="C171" s="358"/>
      <c r="D171" s="358" t="s">
        <v>1587</v>
      </c>
      <c r="E171" s="511" t="s">
        <v>1402</v>
      </c>
      <c r="F171" s="13">
        <v>4</v>
      </c>
      <c r="G171" s="13">
        <v>4</v>
      </c>
      <c r="H171" s="13">
        <v>6</v>
      </c>
      <c r="I171" s="501">
        <f t="shared" si="16"/>
        <v>7.3</v>
      </c>
      <c r="J171" s="501">
        <f t="shared" si="17"/>
        <v>7.3</v>
      </c>
      <c r="K171" s="501"/>
      <c r="L171" s="501"/>
      <c r="M171" s="501"/>
      <c r="N171" s="501"/>
      <c r="O171" s="568"/>
      <c r="P171" s="501"/>
      <c r="Q171" s="860">
        <v>7.3</v>
      </c>
      <c r="R171" s="870"/>
      <c r="S171" s="154"/>
      <c r="T171" s="260"/>
      <c r="U171" s="154"/>
      <c r="V171" s="154"/>
      <c r="W171" s="55">
        <v>12</v>
      </c>
      <c r="X171" s="2432">
        <v>201.7</v>
      </c>
      <c r="Y171" s="55"/>
      <c r="Z171" s="2433"/>
      <c r="AA171" s="3"/>
      <c r="AB171">
        <v>1</v>
      </c>
      <c r="AE171" s="2461"/>
      <c r="AF171" s="68"/>
    </row>
    <row r="172" spans="1:32" ht="45.5" x14ac:dyDescent="0.35">
      <c r="A172" s="347">
        <v>86</v>
      </c>
      <c r="B172" s="358">
        <v>10316</v>
      </c>
      <c r="C172" s="358" t="s">
        <v>1656</v>
      </c>
      <c r="D172" s="2464" t="s">
        <v>4481</v>
      </c>
      <c r="E172" s="511" t="s">
        <v>8314</v>
      </c>
      <c r="F172" s="14" t="s">
        <v>664</v>
      </c>
      <c r="G172" s="14">
        <v>5</v>
      </c>
      <c r="H172" s="14">
        <v>6</v>
      </c>
      <c r="I172" s="501">
        <f t="shared" si="16"/>
        <v>0.1</v>
      </c>
      <c r="J172" s="501">
        <f t="shared" si="17"/>
        <v>0.1</v>
      </c>
      <c r="K172" s="501"/>
      <c r="L172" s="501"/>
      <c r="M172" s="501"/>
      <c r="N172" s="501"/>
      <c r="O172" s="568"/>
      <c r="P172" s="501"/>
      <c r="Q172" s="1856"/>
      <c r="R172" s="1865">
        <v>0.1</v>
      </c>
      <c r="S172" s="55"/>
      <c r="T172" s="1962"/>
      <c r="U172" s="154"/>
      <c r="V172" s="154"/>
      <c r="W172" s="55"/>
      <c r="X172" s="2432"/>
      <c r="Y172" s="55"/>
      <c r="Z172" s="2433"/>
      <c r="AB172">
        <v>1</v>
      </c>
      <c r="AE172" s="2461"/>
      <c r="AF172" s="68"/>
    </row>
    <row r="173" spans="1:32" ht="45.5" x14ac:dyDescent="0.35">
      <c r="A173" s="347">
        <v>87</v>
      </c>
      <c r="B173" s="358">
        <v>10316</v>
      </c>
      <c r="C173" s="358" t="s">
        <v>1656</v>
      </c>
      <c r="D173" s="2464" t="s">
        <v>4482</v>
      </c>
      <c r="E173" s="511" t="s">
        <v>8315</v>
      </c>
      <c r="F173" s="14" t="s">
        <v>664</v>
      </c>
      <c r="G173" s="14">
        <v>5</v>
      </c>
      <c r="H173" s="14">
        <v>6</v>
      </c>
      <c r="I173" s="501">
        <f t="shared" si="16"/>
        <v>0.15</v>
      </c>
      <c r="J173" s="501">
        <f t="shared" si="17"/>
        <v>0.15</v>
      </c>
      <c r="K173" s="501"/>
      <c r="L173" s="501"/>
      <c r="M173" s="501"/>
      <c r="N173" s="501"/>
      <c r="O173" s="568"/>
      <c r="P173" s="501"/>
      <c r="Q173" s="1856"/>
      <c r="R173" s="1865">
        <v>0.15</v>
      </c>
      <c r="S173" s="55"/>
      <c r="T173" s="1962"/>
      <c r="U173" s="154"/>
      <c r="V173" s="154"/>
      <c r="W173" s="55"/>
      <c r="X173" s="2432"/>
      <c r="Y173" s="55"/>
      <c r="Z173" s="2433"/>
      <c r="AB173">
        <v>1</v>
      </c>
      <c r="AE173" s="2461"/>
      <c r="AF173" s="68"/>
    </row>
    <row r="174" spans="1:32" ht="30" x14ac:dyDescent="0.35">
      <c r="A174" s="347">
        <v>88</v>
      </c>
      <c r="B174" s="358">
        <v>10317</v>
      </c>
      <c r="C174" s="358"/>
      <c r="D174" s="358" t="s">
        <v>1588</v>
      </c>
      <c r="E174" s="288" t="s">
        <v>14</v>
      </c>
      <c r="F174" s="13"/>
      <c r="G174" s="13" t="s">
        <v>191</v>
      </c>
      <c r="H174" s="13" t="s">
        <v>191</v>
      </c>
      <c r="I174" s="501">
        <f t="shared" si="16"/>
        <v>6.1319999999999988</v>
      </c>
      <c r="J174" s="501">
        <f t="shared" si="17"/>
        <v>4.7939999999999987</v>
      </c>
      <c r="K174" s="501"/>
      <c r="L174" s="501">
        <f>SUM(L175:L181)</f>
        <v>1.3380000000000001</v>
      </c>
      <c r="M174" s="501"/>
      <c r="N174" s="501">
        <f>SUM(N175:N181)</f>
        <v>8.2000000000000142E-2</v>
      </c>
      <c r="O174" s="568"/>
      <c r="P174" s="501"/>
      <c r="Q174" s="860">
        <f>SUM(Q175:Q181)</f>
        <v>4.2799999999999994</v>
      </c>
      <c r="R174" s="870">
        <f>SUM(R175:R181)</f>
        <v>0.4319999999999995</v>
      </c>
      <c r="S174" s="154"/>
      <c r="T174" s="260"/>
      <c r="U174" s="154"/>
      <c r="V174" s="154"/>
      <c r="W174" s="55">
        <v>10</v>
      </c>
      <c r="X174" s="2432">
        <v>135.69999999999999</v>
      </c>
      <c r="Y174" s="55">
        <v>3</v>
      </c>
      <c r="Z174" s="2433">
        <v>30</v>
      </c>
      <c r="AA174" s="3" t="s">
        <v>3148</v>
      </c>
      <c r="AB174">
        <v>1</v>
      </c>
      <c r="AE174" s="2461"/>
      <c r="AF174" s="68"/>
    </row>
    <row r="175" spans="1:32" ht="15.5" x14ac:dyDescent="0.35">
      <c r="A175" s="347"/>
      <c r="B175" s="358">
        <v>10317</v>
      </c>
      <c r="C175" s="358"/>
      <c r="D175" s="358"/>
      <c r="E175" s="289" t="s">
        <v>7</v>
      </c>
      <c r="F175" s="13">
        <v>5</v>
      </c>
      <c r="G175" s="13">
        <v>5</v>
      </c>
      <c r="H175" s="13">
        <v>6</v>
      </c>
      <c r="I175" s="501"/>
      <c r="J175" s="501"/>
      <c r="K175" s="572"/>
      <c r="L175" s="572"/>
      <c r="M175" s="572"/>
      <c r="N175" s="572">
        <v>4.7E-2</v>
      </c>
      <c r="O175" s="556"/>
      <c r="P175" s="572"/>
      <c r="Q175" s="863"/>
      <c r="R175" s="870"/>
      <c r="S175" s="154"/>
      <c r="T175" s="260"/>
      <c r="U175" s="154"/>
      <c r="V175" s="154"/>
      <c r="W175" s="55"/>
      <c r="X175" s="2432"/>
      <c r="Y175" s="55"/>
      <c r="Z175" s="2433"/>
      <c r="AA175" s="3"/>
      <c r="AE175" s="2461"/>
      <c r="AF175" s="68"/>
    </row>
    <row r="176" spans="1:32" ht="15.5" x14ac:dyDescent="0.35">
      <c r="A176" s="347"/>
      <c r="B176" s="358"/>
      <c r="C176" s="358"/>
      <c r="D176" s="358"/>
      <c r="E176" s="837" t="s">
        <v>8</v>
      </c>
      <c r="F176" s="13">
        <v>5</v>
      </c>
      <c r="G176" s="13">
        <v>5</v>
      </c>
      <c r="H176" s="13">
        <v>6</v>
      </c>
      <c r="I176" s="501"/>
      <c r="J176" s="501"/>
      <c r="K176" s="572"/>
      <c r="L176" s="572"/>
      <c r="M176" s="572"/>
      <c r="N176" s="572"/>
      <c r="O176" s="556"/>
      <c r="P176" s="572"/>
      <c r="Q176" s="863">
        <f>2.243-0.047</f>
        <v>2.1959999999999997</v>
      </c>
      <c r="R176" s="870"/>
      <c r="S176" s="154"/>
      <c r="T176" s="260"/>
      <c r="U176" s="154"/>
      <c r="V176" s="154"/>
      <c r="W176" s="55"/>
      <c r="X176" s="2432"/>
      <c r="Y176" s="55"/>
      <c r="Z176" s="2433"/>
      <c r="AA176" s="3"/>
      <c r="AE176" s="2461"/>
      <c r="AF176" s="68"/>
    </row>
    <row r="177" spans="1:32" ht="15.5" x14ac:dyDescent="0.35">
      <c r="A177" s="347"/>
      <c r="B177" s="358"/>
      <c r="C177" s="358"/>
      <c r="D177" s="358"/>
      <c r="E177" s="289" t="s">
        <v>9</v>
      </c>
      <c r="F177" s="13">
        <v>5</v>
      </c>
      <c r="G177" s="13">
        <v>5</v>
      </c>
      <c r="H177" s="13">
        <v>6</v>
      </c>
      <c r="I177" s="501"/>
      <c r="J177" s="501"/>
      <c r="K177" s="572"/>
      <c r="L177" s="572"/>
      <c r="M177" s="572"/>
      <c r="N177" s="572">
        <f>2.26-2.243</f>
        <v>1.6999999999999904E-2</v>
      </c>
      <c r="O177" s="556"/>
      <c r="P177" s="572"/>
      <c r="Q177" s="863"/>
      <c r="R177" s="870"/>
      <c r="S177" s="154"/>
      <c r="T177" s="260"/>
      <c r="U177" s="154"/>
      <c r="V177" s="154"/>
      <c r="W177" s="55"/>
      <c r="X177" s="2432"/>
      <c r="Y177" s="55"/>
      <c r="Z177" s="2433"/>
      <c r="AA177" s="3"/>
      <c r="AE177" s="2461"/>
      <c r="AF177" s="68"/>
    </row>
    <row r="178" spans="1:32" ht="31" x14ac:dyDescent="0.35">
      <c r="A178" s="347"/>
      <c r="B178" s="358">
        <v>10317</v>
      </c>
      <c r="C178" s="358"/>
      <c r="D178" s="358"/>
      <c r="E178" s="289" t="s">
        <v>10</v>
      </c>
      <c r="F178" s="13">
        <v>5</v>
      </c>
      <c r="G178" s="13">
        <v>5</v>
      </c>
      <c r="H178" s="13" t="s">
        <v>191</v>
      </c>
      <c r="I178" s="501"/>
      <c r="J178" s="501"/>
      <c r="K178" s="572"/>
      <c r="L178" s="572">
        <f>3.598-2.26</f>
        <v>1.3380000000000001</v>
      </c>
      <c r="M178" s="572"/>
      <c r="N178" s="572"/>
      <c r="O178" s="556"/>
      <c r="P178" s="572"/>
      <c r="Q178" s="863"/>
      <c r="R178" s="870"/>
      <c r="S178" s="154"/>
      <c r="T178" s="260"/>
      <c r="U178" s="154"/>
      <c r="V178" s="154"/>
      <c r="W178" s="55"/>
      <c r="X178" s="2432"/>
      <c r="Y178" s="55"/>
      <c r="Z178" s="2433"/>
      <c r="AA178" s="3"/>
      <c r="AE178" s="2461"/>
      <c r="AF178" s="68"/>
    </row>
    <row r="179" spans="1:32" ht="15.5" x14ac:dyDescent="0.35">
      <c r="A179" s="347"/>
      <c r="B179" s="358"/>
      <c r="C179" s="358"/>
      <c r="D179" s="358"/>
      <c r="E179" s="289" t="s">
        <v>11</v>
      </c>
      <c r="F179" s="13">
        <v>5</v>
      </c>
      <c r="G179" s="13">
        <v>5</v>
      </c>
      <c r="H179" s="13">
        <v>6</v>
      </c>
      <c r="I179" s="501"/>
      <c r="J179" s="501"/>
      <c r="K179" s="572"/>
      <c r="L179" s="572"/>
      <c r="M179" s="572"/>
      <c r="N179" s="572">
        <f>3.616-3.598</f>
        <v>1.8000000000000238E-2</v>
      </c>
      <c r="O179" s="556"/>
      <c r="P179" s="572"/>
      <c r="Q179" s="863"/>
      <c r="R179" s="870"/>
      <c r="S179" s="154"/>
      <c r="T179" s="260"/>
      <c r="U179" s="154"/>
      <c r="V179" s="154"/>
      <c r="W179" s="55"/>
      <c r="X179" s="2432"/>
      <c r="Y179" s="55"/>
      <c r="Z179" s="2433"/>
      <c r="AA179" s="3"/>
      <c r="AE179" s="2461"/>
      <c r="AF179" s="68"/>
    </row>
    <row r="180" spans="1:32" ht="15.5" x14ac:dyDescent="0.35">
      <c r="A180" s="347"/>
      <c r="B180" s="358">
        <v>10317</v>
      </c>
      <c r="C180" s="358"/>
      <c r="D180" s="358"/>
      <c r="E180" s="837" t="s">
        <v>12</v>
      </c>
      <c r="F180" s="13">
        <v>5</v>
      </c>
      <c r="G180" s="13">
        <v>5</v>
      </c>
      <c r="H180" s="13">
        <v>6</v>
      </c>
      <c r="I180" s="501"/>
      <c r="J180" s="501"/>
      <c r="K180" s="572"/>
      <c r="L180" s="572"/>
      <c r="M180" s="572"/>
      <c r="N180" s="572"/>
      <c r="O180" s="556"/>
      <c r="P180" s="572"/>
      <c r="Q180" s="863">
        <f>5.7-3.616</f>
        <v>2.0840000000000001</v>
      </c>
      <c r="R180" s="870"/>
      <c r="S180" s="154"/>
      <c r="T180" s="260"/>
      <c r="U180" s="154"/>
      <c r="V180" s="154"/>
      <c r="W180" s="55"/>
      <c r="X180" s="2432"/>
      <c r="Y180" s="55"/>
      <c r="Z180" s="2433"/>
      <c r="AA180" s="3"/>
      <c r="AE180" s="2461"/>
      <c r="AF180" s="68"/>
    </row>
    <row r="181" spans="1:32" ht="15.5" x14ac:dyDescent="0.35">
      <c r="A181" s="347"/>
      <c r="B181" s="358">
        <v>10317</v>
      </c>
      <c r="C181" s="358"/>
      <c r="D181" s="358"/>
      <c r="E181" s="838" t="s">
        <v>13</v>
      </c>
      <c r="F181" s="13" t="s">
        <v>1490</v>
      </c>
      <c r="G181" s="13">
        <v>5</v>
      </c>
      <c r="H181" s="14">
        <v>6</v>
      </c>
      <c r="I181" s="501"/>
      <c r="J181" s="501"/>
      <c r="K181" s="572"/>
      <c r="L181" s="572"/>
      <c r="M181" s="572"/>
      <c r="N181" s="572"/>
      <c r="O181" s="556"/>
      <c r="P181" s="572"/>
      <c r="Q181" s="863"/>
      <c r="R181" s="1868">
        <f>6.132-5.7</f>
        <v>0.4319999999999995</v>
      </c>
      <c r="S181" s="154"/>
      <c r="T181" s="260"/>
      <c r="U181" s="154"/>
      <c r="V181" s="154"/>
      <c r="W181" s="55"/>
      <c r="X181" s="2432"/>
      <c r="Y181" s="55"/>
      <c r="Z181" s="2433"/>
      <c r="AA181" s="3"/>
      <c r="AC181" t="s">
        <v>2570</v>
      </c>
      <c r="AE181" s="2461"/>
      <c r="AF181" s="68"/>
    </row>
    <row r="182" spans="1:32" ht="30.5" x14ac:dyDescent="0.35">
      <c r="A182" s="347">
        <v>89</v>
      </c>
      <c r="B182" s="358">
        <v>10318</v>
      </c>
      <c r="C182" s="358"/>
      <c r="D182" s="358" t="s">
        <v>7056</v>
      </c>
      <c r="E182" s="288" t="s">
        <v>9735</v>
      </c>
      <c r="F182" s="13"/>
      <c r="G182" s="13" t="s">
        <v>191</v>
      </c>
      <c r="H182" s="13" t="s">
        <v>191</v>
      </c>
      <c r="I182" s="501">
        <f>J182+K182+L182</f>
        <v>8.5519999999999996</v>
      </c>
      <c r="J182" s="501">
        <f>SUM(M182:R182)</f>
        <v>8.5519999999999996</v>
      </c>
      <c r="K182" s="501"/>
      <c r="L182" s="501"/>
      <c r="M182" s="501"/>
      <c r="N182" s="501">
        <f>SUM(N183:N185)</f>
        <v>7.3520000000000003</v>
      </c>
      <c r="O182" s="568"/>
      <c r="P182" s="501"/>
      <c r="Q182" s="860">
        <f>SUM(Q183:Q185)</f>
        <v>1.1999999999999993</v>
      </c>
      <c r="R182" s="870"/>
      <c r="S182" s="154"/>
      <c r="T182" s="260"/>
      <c r="U182" s="154"/>
      <c r="V182" s="154"/>
      <c r="W182" s="55">
        <v>10</v>
      </c>
      <c r="X182" s="2432">
        <v>140.4</v>
      </c>
      <c r="Y182" s="55">
        <v>2</v>
      </c>
      <c r="Z182" s="2433">
        <v>17.5</v>
      </c>
      <c r="AA182" s="3" t="s">
        <v>1005</v>
      </c>
      <c r="AB182">
        <v>1</v>
      </c>
      <c r="AE182" s="2461"/>
      <c r="AF182" s="68"/>
    </row>
    <row r="183" spans="1:32" ht="15.5" x14ac:dyDescent="0.35">
      <c r="A183" s="347"/>
      <c r="B183" s="358">
        <v>10318</v>
      </c>
      <c r="C183" s="358"/>
      <c r="D183" s="358"/>
      <c r="E183" s="289" t="s">
        <v>3615</v>
      </c>
      <c r="F183" s="13">
        <v>5</v>
      </c>
      <c r="G183" s="13">
        <v>5</v>
      </c>
      <c r="H183" s="13">
        <v>6</v>
      </c>
      <c r="I183" s="502"/>
      <c r="J183" s="502"/>
      <c r="K183" s="502"/>
      <c r="L183" s="502"/>
      <c r="M183" s="502"/>
      <c r="N183" s="502">
        <v>1.419</v>
      </c>
      <c r="O183" s="568"/>
      <c r="P183" s="501"/>
      <c r="Q183" s="860"/>
      <c r="R183" s="870"/>
      <c r="S183" s="154"/>
      <c r="T183" s="260"/>
      <c r="U183" s="154"/>
      <c r="V183" s="154"/>
      <c r="W183" s="55"/>
      <c r="X183" s="2432"/>
      <c r="Y183" s="55"/>
      <c r="Z183" s="2433"/>
      <c r="AA183" s="3"/>
      <c r="AE183" s="2461"/>
      <c r="AF183" s="68"/>
    </row>
    <row r="184" spans="1:32" ht="15.5" x14ac:dyDescent="0.35">
      <c r="A184" s="347"/>
      <c r="B184" s="358"/>
      <c r="C184" s="358"/>
      <c r="D184" s="358"/>
      <c r="E184" s="289" t="s">
        <v>10445</v>
      </c>
      <c r="F184" s="13">
        <v>4</v>
      </c>
      <c r="G184" s="13">
        <v>5</v>
      </c>
      <c r="H184" s="13">
        <v>6</v>
      </c>
      <c r="I184" s="502"/>
      <c r="J184" s="502"/>
      <c r="K184" s="502"/>
      <c r="L184" s="502"/>
      <c r="M184" s="502"/>
      <c r="N184" s="502">
        <f>7.352-1.419</f>
        <v>5.9329999999999998</v>
      </c>
      <c r="O184" s="568"/>
      <c r="P184" s="501"/>
      <c r="Q184" s="860"/>
      <c r="R184" s="870"/>
      <c r="S184" s="154"/>
      <c r="T184" s="260"/>
      <c r="U184" s="154"/>
      <c r="V184" s="154"/>
      <c r="W184" s="55"/>
      <c r="X184" s="2432"/>
      <c r="Y184" s="55"/>
      <c r="Z184" s="2433"/>
      <c r="AA184" s="3"/>
      <c r="AE184" s="2461"/>
      <c r="AF184" s="68"/>
    </row>
    <row r="185" spans="1:32" ht="15.5" x14ac:dyDescent="0.35">
      <c r="A185" s="347"/>
      <c r="B185" s="358">
        <v>10318</v>
      </c>
      <c r="C185" s="358"/>
      <c r="D185" s="358"/>
      <c r="E185" s="837" t="s">
        <v>10444</v>
      </c>
      <c r="F185" s="13">
        <v>4</v>
      </c>
      <c r="G185" s="13">
        <v>5</v>
      </c>
      <c r="H185" s="13">
        <v>6</v>
      </c>
      <c r="I185" s="502"/>
      <c r="J185" s="502"/>
      <c r="K185" s="502"/>
      <c r="L185" s="502"/>
      <c r="M185" s="502"/>
      <c r="N185" s="502"/>
      <c r="O185" s="568"/>
      <c r="P185" s="501"/>
      <c r="Q185" s="860">
        <f>8.552-7.352</f>
        <v>1.1999999999999993</v>
      </c>
      <c r="R185" s="870"/>
      <c r="S185" s="154"/>
      <c r="T185" s="260"/>
      <c r="U185" s="154"/>
      <c r="V185" s="154"/>
      <c r="W185" s="55"/>
      <c r="X185" s="2432"/>
      <c r="Y185" s="55"/>
      <c r="Z185" s="2433"/>
      <c r="AA185" s="3"/>
      <c r="AE185" s="2461"/>
      <c r="AF185" s="68"/>
    </row>
    <row r="186" spans="1:32" ht="45.5" x14ac:dyDescent="0.35">
      <c r="A186" s="347">
        <v>90</v>
      </c>
      <c r="B186" s="358">
        <v>10318</v>
      </c>
      <c r="C186" s="358"/>
      <c r="D186" s="2464" t="s">
        <v>4483</v>
      </c>
      <c r="E186" s="288" t="s">
        <v>9736</v>
      </c>
      <c r="F186" s="13"/>
      <c r="G186" s="13" t="s">
        <v>191</v>
      </c>
      <c r="H186" s="13" t="s">
        <v>191</v>
      </c>
      <c r="I186" s="501">
        <f>J186+K186+L186</f>
        <v>3.6960000000000002</v>
      </c>
      <c r="J186" s="501">
        <f>SUM(M186:R186)</f>
        <v>3.6960000000000002</v>
      </c>
      <c r="K186" s="501"/>
      <c r="L186" s="501"/>
      <c r="M186" s="501"/>
      <c r="N186" s="501">
        <f>SUM(N187:N190)</f>
        <v>3.2000000000000001E-2</v>
      </c>
      <c r="O186" s="568"/>
      <c r="P186" s="501"/>
      <c r="Q186" s="860">
        <f>SUM(Q187:Q190)</f>
        <v>3.6640000000000001</v>
      </c>
      <c r="R186" s="870"/>
      <c r="S186" s="154"/>
      <c r="T186" s="260"/>
      <c r="U186" s="154"/>
      <c r="V186" s="154"/>
      <c r="W186" s="55">
        <v>14</v>
      </c>
      <c r="X186" s="2432">
        <v>157.69999999999999</v>
      </c>
      <c r="Y186" s="55">
        <v>3</v>
      </c>
      <c r="Z186" s="2433">
        <v>40</v>
      </c>
      <c r="AA186" s="3"/>
      <c r="AB186">
        <v>1</v>
      </c>
      <c r="AE186" s="2461"/>
      <c r="AF186" s="68"/>
    </row>
    <row r="187" spans="1:32" ht="15.5" x14ac:dyDescent="0.35">
      <c r="A187" s="347"/>
      <c r="B187" s="358">
        <v>10318</v>
      </c>
      <c r="C187" s="358"/>
      <c r="D187" s="358"/>
      <c r="E187" s="289" t="s">
        <v>3309</v>
      </c>
      <c r="F187" s="13">
        <v>5</v>
      </c>
      <c r="G187" s="13">
        <v>5</v>
      </c>
      <c r="H187" s="13">
        <v>6</v>
      </c>
      <c r="I187" s="502"/>
      <c r="J187" s="502"/>
      <c r="K187" s="502"/>
      <c r="L187" s="502"/>
      <c r="M187" s="502"/>
      <c r="N187" s="502">
        <v>3.2000000000000001E-2</v>
      </c>
      <c r="O187" s="569"/>
      <c r="P187" s="502"/>
      <c r="Q187" s="1859"/>
      <c r="R187" s="870"/>
      <c r="S187" s="154"/>
      <c r="T187" s="260"/>
      <c r="U187" s="154"/>
      <c r="V187" s="154"/>
      <c r="W187" s="55"/>
      <c r="X187" s="2432"/>
      <c r="Y187" s="55"/>
      <c r="Z187" s="2433"/>
      <c r="AA187" s="3"/>
      <c r="AE187" s="2461"/>
      <c r="AF187" s="68"/>
    </row>
    <row r="188" spans="1:32" ht="15.5" x14ac:dyDescent="0.35">
      <c r="A188" s="347"/>
      <c r="B188" s="358">
        <v>10318</v>
      </c>
      <c r="C188" s="358"/>
      <c r="D188" s="358"/>
      <c r="E188" s="837" t="s">
        <v>3310</v>
      </c>
      <c r="F188" s="13">
        <v>5</v>
      </c>
      <c r="G188" s="13">
        <v>5</v>
      </c>
      <c r="H188" s="13">
        <v>6</v>
      </c>
      <c r="I188" s="502"/>
      <c r="J188" s="502"/>
      <c r="K188" s="502"/>
      <c r="L188" s="502"/>
      <c r="M188" s="502"/>
      <c r="N188" s="502"/>
      <c r="O188" s="569"/>
      <c r="P188" s="502"/>
      <c r="Q188" s="1859">
        <f>0.119-0.032</f>
        <v>8.6999999999999994E-2</v>
      </c>
      <c r="R188" s="870"/>
      <c r="S188" s="154"/>
      <c r="T188" s="260"/>
      <c r="U188" s="154"/>
      <c r="V188" s="154"/>
      <c r="W188" s="55"/>
      <c r="X188" s="2432"/>
      <c r="Y188" s="55"/>
      <c r="Z188" s="2433"/>
      <c r="AA188" s="3"/>
      <c r="AE188" s="2461"/>
      <c r="AF188" s="68"/>
    </row>
    <row r="189" spans="1:32" ht="15.5" x14ac:dyDescent="0.35">
      <c r="A189" s="347"/>
      <c r="B189" s="358">
        <v>10318</v>
      </c>
      <c r="C189" s="358"/>
      <c r="D189" s="358"/>
      <c r="E189" s="837" t="s">
        <v>3311</v>
      </c>
      <c r="F189" s="13" t="s">
        <v>1490</v>
      </c>
      <c r="G189" s="13">
        <v>5</v>
      </c>
      <c r="H189" s="13">
        <v>6</v>
      </c>
      <c r="I189" s="502"/>
      <c r="J189" s="502"/>
      <c r="K189" s="502"/>
      <c r="L189" s="502"/>
      <c r="M189" s="502"/>
      <c r="N189" s="502"/>
      <c r="O189" s="569"/>
      <c r="P189" s="502"/>
      <c r="Q189" s="1859">
        <f>1.335-0.119</f>
        <v>1.216</v>
      </c>
      <c r="R189" s="870"/>
      <c r="S189" s="154"/>
      <c r="T189" s="260"/>
      <c r="U189" s="154"/>
      <c r="V189" s="154"/>
      <c r="W189" s="55"/>
      <c r="X189" s="2432"/>
      <c r="Y189" s="55"/>
      <c r="Z189" s="2433"/>
      <c r="AA189" s="3"/>
      <c r="AE189" s="2461"/>
      <c r="AF189" s="68"/>
    </row>
    <row r="190" spans="1:32" ht="15.5" x14ac:dyDescent="0.35">
      <c r="A190" s="347"/>
      <c r="B190" s="358">
        <v>10318</v>
      </c>
      <c r="C190" s="358"/>
      <c r="D190" s="358"/>
      <c r="E190" s="837" t="s">
        <v>7058</v>
      </c>
      <c r="F190" s="13">
        <v>5</v>
      </c>
      <c r="G190" s="13">
        <v>5</v>
      </c>
      <c r="H190" s="13">
        <v>6</v>
      </c>
      <c r="I190" s="502"/>
      <c r="J190" s="502"/>
      <c r="K190" s="502"/>
      <c r="L190" s="502"/>
      <c r="M190" s="502"/>
      <c r="N190" s="502"/>
      <c r="O190" s="569"/>
      <c r="P190" s="502"/>
      <c r="Q190" s="1859">
        <f>3.696-1.335</f>
        <v>2.3610000000000002</v>
      </c>
      <c r="R190" s="870"/>
      <c r="S190" s="154"/>
      <c r="T190" s="260"/>
      <c r="U190" s="154"/>
      <c r="V190" s="154"/>
      <c r="W190" s="55"/>
      <c r="X190" s="2432"/>
      <c r="Y190" s="55"/>
      <c r="Z190" s="2433"/>
      <c r="AA190" s="3"/>
      <c r="AE190" s="2461"/>
      <c r="AF190" s="68"/>
    </row>
    <row r="191" spans="1:32" ht="75.5" x14ac:dyDescent="0.35">
      <c r="A191" s="347">
        <v>91</v>
      </c>
      <c r="B191" s="358">
        <v>10318</v>
      </c>
      <c r="C191" s="358"/>
      <c r="D191" s="2464" t="s">
        <v>7057</v>
      </c>
      <c r="E191" s="288" t="s">
        <v>9737</v>
      </c>
      <c r="F191" s="13">
        <v>5</v>
      </c>
      <c r="G191" s="13">
        <v>5</v>
      </c>
      <c r="H191" s="13">
        <v>6</v>
      </c>
      <c r="I191" s="501">
        <f>J191+K191+L191</f>
        <v>1.149</v>
      </c>
      <c r="J191" s="501">
        <f>SUM(M191:R191)</f>
        <v>1.149</v>
      </c>
      <c r="K191" s="501"/>
      <c r="L191" s="501"/>
      <c r="M191" s="501"/>
      <c r="N191" s="501"/>
      <c r="O191" s="568"/>
      <c r="P191" s="501"/>
      <c r="Q191" s="860">
        <v>1.149</v>
      </c>
      <c r="R191" s="870"/>
      <c r="S191" s="154"/>
      <c r="T191" s="260"/>
      <c r="U191" s="154"/>
      <c r="V191" s="154"/>
      <c r="W191" s="55"/>
      <c r="X191" s="2432"/>
      <c r="Y191" s="55"/>
      <c r="Z191" s="2433"/>
      <c r="AA191" s="3"/>
      <c r="AB191">
        <v>1</v>
      </c>
      <c r="AE191" s="2461"/>
      <c r="AF191" s="68"/>
    </row>
    <row r="192" spans="1:32" ht="45.5" x14ac:dyDescent="0.35">
      <c r="A192" s="347">
        <v>92</v>
      </c>
      <c r="B192" s="826">
        <v>10318</v>
      </c>
      <c r="C192" s="826"/>
      <c r="D192" s="2464" t="s">
        <v>4484</v>
      </c>
      <c r="E192" s="511" t="s">
        <v>9738</v>
      </c>
      <c r="F192" s="13"/>
      <c r="G192" s="13" t="s">
        <v>191</v>
      </c>
      <c r="H192" s="13" t="s">
        <v>191</v>
      </c>
      <c r="I192" s="501">
        <f>J192+K192+L192</f>
        <v>3.27</v>
      </c>
      <c r="J192" s="501">
        <f>SUM(M192:R192)</f>
        <v>2.98</v>
      </c>
      <c r="K192" s="501"/>
      <c r="L192" s="501">
        <f>SUM(L193:L195)</f>
        <v>0.29000000000000004</v>
      </c>
      <c r="M192" s="501"/>
      <c r="N192" s="501">
        <f>SUM(N193:N195)</f>
        <v>2.98</v>
      </c>
      <c r="O192" s="568"/>
      <c r="P192" s="501"/>
      <c r="Q192" s="860" t="s">
        <v>1516</v>
      </c>
      <c r="R192" s="870"/>
      <c r="S192" s="154"/>
      <c r="T192" s="260"/>
      <c r="U192" s="154"/>
      <c r="V192" s="154"/>
      <c r="W192" s="55">
        <v>1</v>
      </c>
      <c r="X192" s="2432">
        <v>12.5</v>
      </c>
      <c r="Y192" s="55"/>
      <c r="Z192" s="2433"/>
      <c r="AA192" s="3"/>
      <c r="AB192">
        <v>1</v>
      </c>
      <c r="AE192" s="2461"/>
      <c r="AF192" s="68"/>
    </row>
    <row r="193" spans="1:32" ht="15.5" x14ac:dyDescent="0.35">
      <c r="A193" s="347"/>
      <c r="B193" s="826">
        <v>10318</v>
      </c>
      <c r="C193" s="826"/>
      <c r="D193" s="358"/>
      <c r="E193" s="289" t="s">
        <v>2030</v>
      </c>
      <c r="F193" s="13">
        <v>5</v>
      </c>
      <c r="G193" s="13">
        <v>5</v>
      </c>
      <c r="H193" s="13">
        <v>6</v>
      </c>
      <c r="I193" s="502"/>
      <c r="J193" s="502"/>
      <c r="K193" s="502"/>
      <c r="L193" s="502"/>
      <c r="M193" s="502"/>
      <c r="N193" s="502">
        <v>2.2999999999999998</v>
      </c>
      <c r="O193" s="568"/>
      <c r="P193" s="501"/>
      <c r="Q193" s="860"/>
      <c r="R193" s="870"/>
      <c r="S193" s="154"/>
      <c r="T193" s="260"/>
      <c r="U193" s="154"/>
      <c r="V193" s="154"/>
      <c r="W193" s="55"/>
      <c r="X193" s="2432"/>
      <c r="Y193" s="55"/>
      <c r="Z193" s="2433"/>
      <c r="AA193" s="3"/>
      <c r="AE193" s="2461"/>
      <c r="AF193" s="68"/>
    </row>
    <row r="194" spans="1:32" ht="46.5" x14ac:dyDescent="0.35">
      <c r="A194" s="347"/>
      <c r="B194" s="826">
        <v>10318</v>
      </c>
      <c r="C194" s="826"/>
      <c r="D194" s="358"/>
      <c r="E194" s="459" t="s">
        <v>11357</v>
      </c>
      <c r="F194" s="13">
        <v>5</v>
      </c>
      <c r="G194" s="13">
        <v>5</v>
      </c>
      <c r="H194" s="13" t="s">
        <v>191</v>
      </c>
      <c r="I194" s="502"/>
      <c r="J194" s="502"/>
      <c r="K194" s="502"/>
      <c r="L194" s="502">
        <f>2.59-2.3</f>
        <v>0.29000000000000004</v>
      </c>
      <c r="M194" s="502"/>
      <c r="N194" s="502"/>
      <c r="O194" s="568"/>
      <c r="P194" s="501"/>
      <c r="Q194" s="860"/>
      <c r="R194" s="870"/>
      <c r="S194" s="154"/>
      <c r="T194" s="260"/>
      <c r="U194" s="154"/>
      <c r="V194" s="154"/>
      <c r="W194" s="55"/>
      <c r="X194" s="2432"/>
      <c r="Y194" s="55"/>
      <c r="Z194" s="2433"/>
      <c r="AA194" s="3"/>
      <c r="AE194" s="2461"/>
      <c r="AF194" s="68"/>
    </row>
    <row r="195" spans="1:32" ht="15.5" x14ac:dyDescent="0.35">
      <c r="A195" s="347"/>
      <c r="B195" s="826">
        <v>10318</v>
      </c>
      <c r="C195" s="826"/>
      <c r="D195" s="358"/>
      <c r="E195" s="289" t="s">
        <v>2072</v>
      </c>
      <c r="F195" s="13">
        <v>5</v>
      </c>
      <c r="G195" s="13">
        <v>5</v>
      </c>
      <c r="H195" s="13">
        <v>6</v>
      </c>
      <c r="I195" s="502"/>
      <c r="J195" s="502"/>
      <c r="K195" s="502"/>
      <c r="L195" s="502"/>
      <c r="M195" s="502"/>
      <c r="N195" s="502">
        <f>3.27-2.59</f>
        <v>0.68000000000000016</v>
      </c>
      <c r="O195" s="568"/>
      <c r="P195" s="501"/>
      <c r="Q195" s="860"/>
      <c r="R195" s="870"/>
      <c r="S195" s="154"/>
      <c r="T195" s="260"/>
      <c r="U195" s="154"/>
      <c r="V195" s="154"/>
      <c r="W195" s="55"/>
      <c r="X195" s="2432"/>
      <c r="Y195" s="55"/>
      <c r="Z195" s="2433"/>
      <c r="AA195" s="3"/>
      <c r="AE195" s="2461"/>
      <c r="AF195" s="68"/>
    </row>
    <row r="196" spans="1:32" ht="45.5" x14ac:dyDescent="0.35">
      <c r="A196" s="347">
        <v>93</v>
      </c>
      <c r="B196" s="358">
        <v>10318</v>
      </c>
      <c r="C196" s="358" t="s">
        <v>1656</v>
      </c>
      <c r="D196" s="2464" t="s">
        <v>4485</v>
      </c>
      <c r="E196" s="511" t="s">
        <v>9739</v>
      </c>
      <c r="F196" s="14" t="s">
        <v>664</v>
      </c>
      <c r="G196" s="14">
        <v>5</v>
      </c>
      <c r="H196" s="14">
        <v>6</v>
      </c>
      <c r="I196" s="501">
        <f>J196+K196+L196</f>
        <v>0.64</v>
      </c>
      <c r="J196" s="501">
        <f>SUM(M196:R196)</f>
        <v>0.64</v>
      </c>
      <c r="K196" s="501"/>
      <c r="L196" s="501"/>
      <c r="M196" s="501"/>
      <c r="N196" s="501"/>
      <c r="O196" s="568"/>
      <c r="P196" s="501"/>
      <c r="Q196" s="1856"/>
      <c r="R196" s="1865">
        <v>0.64</v>
      </c>
      <c r="S196" s="55"/>
      <c r="T196" s="1962"/>
      <c r="U196" s="154"/>
      <c r="V196" s="154"/>
      <c r="W196" s="55"/>
      <c r="X196" s="2432"/>
      <c r="Y196" s="55"/>
      <c r="Z196" s="2433"/>
      <c r="AB196">
        <v>1</v>
      </c>
      <c r="AE196" s="2461"/>
      <c r="AF196" s="68"/>
    </row>
    <row r="197" spans="1:32" ht="30" x14ac:dyDescent="0.35">
      <c r="A197" s="347">
        <v>94</v>
      </c>
      <c r="B197" s="358">
        <v>10319</v>
      </c>
      <c r="C197" s="358"/>
      <c r="D197" s="358" t="s">
        <v>1589</v>
      </c>
      <c r="E197" s="288" t="s">
        <v>9740</v>
      </c>
      <c r="F197" s="13"/>
      <c r="G197" s="13" t="s">
        <v>191</v>
      </c>
      <c r="H197" s="13" t="s">
        <v>191</v>
      </c>
      <c r="I197" s="501">
        <f>J197+K197+L197</f>
        <v>1.75</v>
      </c>
      <c r="J197" s="501">
        <f>SUM(M197:R197)</f>
        <v>1.75</v>
      </c>
      <c r="K197" s="501"/>
      <c r="L197" s="501"/>
      <c r="M197" s="501"/>
      <c r="N197" s="501">
        <f>SUM(N198:N199)</f>
        <v>0.6</v>
      </c>
      <c r="O197" s="568"/>
      <c r="P197" s="501"/>
      <c r="Q197" s="860">
        <f>SUM(Q198:Q199)</f>
        <v>1.1499999999999999</v>
      </c>
      <c r="R197" s="870"/>
      <c r="S197" s="154"/>
      <c r="T197" s="260"/>
      <c r="U197" s="154"/>
      <c r="V197" s="154"/>
      <c r="W197" s="55">
        <v>5</v>
      </c>
      <c r="X197" s="2432">
        <v>92.2</v>
      </c>
      <c r="Y197" s="55"/>
      <c r="Z197" s="2433"/>
      <c r="AA197" s="3"/>
      <c r="AB197">
        <v>1</v>
      </c>
      <c r="AE197" s="2461"/>
      <c r="AF197" s="68"/>
    </row>
    <row r="198" spans="1:32" ht="15.5" x14ac:dyDescent="0.35">
      <c r="A198" s="363"/>
      <c r="B198" s="358">
        <v>10319</v>
      </c>
      <c r="C198" s="358"/>
      <c r="D198" s="364"/>
      <c r="E198" s="837" t="s">
        <v>758</v>
      </c>
      <c r="F198" s="13">
        <v>5</v>
      </c>
      <c r="G198" s="13">
        <v>5</v>
      </c>
      <c r="H198" s="13">
        <v>6</v>
      </c>
      <c r="I198" s="502" t="s">
        <v>1516</v>
      </c>
      <c r="J198" s="502" t="s">
        <v>1516</v>
      </c>
      <c r="K198" s="501"/>
      <c r="L198" s="502"/>
      <c r="M198" s="502"/>
      <c r="N198" s="502"/>
      <c r="O198" s="569"/>
      <c r="P198" s="502"/>
      <c r="Q198" s="863">
        <v>1.1499999999999999</v>
      </c>
      <c r="R198" s="873"/>
      <c r="S198" s="1944"/>
      <c r="T198" s="2497"/>
      <c r="U198" s="1944"/>
      <c r="V198" s="1944"/>
      <c r="W198" s="1138"/>
      <c r="X198" s="2498"/>
      <c r="Y198" s="1138"/>
      <c r="Z198" s="2499"/>
      <c r="AA198" s="3"/>
      <c r="AE198" s="2461"/>
      <c r="AF198" s="68"/>
    </row>
    <row r="199" spans="1:32" ht="15.5" x14ac:dyDescent="0.35">
      <c r="A199" s="363"/>
      <c r="B199" s="358">
        <v>10319</v>
      </c>
      <c r="C199" s="358"/>
      <c r="D199" s="364"/>
      <c r="E199" s="289" t="s">
        <v>3023</v>
      </c>
      <c r="F199" s="13">
        <v>5</v>
      </c>
      <c r="G199" s="13">
        <v>5</v>
      </c>
      <c r="H199" s="13">
        <v>6</v>
      </c>
      <c r="I199" s="502" t="s">
        <v>1516</v>
      </c>
      <c r="J199" s="502" t="s">
        <v>1516</v>
      </c>
      <c r="K199" s="501"/>
      <c r="L199" s="502"/>
      <c r="M199" s="502"/>
      <c r="N199" s="502">
        <v>0.6</v>
      </c>
      <c r="O199" s="569"/>
      <c r="P199" s="502"/>
      <c r="Q199" s="863"/>
      <c r="R199" s="873"/>
      <c r="S199" s="1944"/>
      <c r="T199" s="2497"/>
      <c r="U199" s="1944"/>
      <c r="V199" s="1944"/>
      <c r="W199" s="1138"/>
      <c r="X199" s="2498"/>
      <c r="Y199" s="1138"/>
      <c r="Z199" s="2499"/>
      <c r="AA199" s="3"/>
      <c r="AE199" s="2461"/>
      <c r="AF199" s="68"/>
    </row>
    <row r="200" spans="1:32" ht="45.5" x14ac:dyDescent="0.35">
      <c r="A200" s="347">
        <v>95</v>
      </c>
      <c r="B200" s="358">
        <v>10319</v>
      </c>
      <c r="C200" s="358" t="s">
        <v>1656</v>
      </c>
      <c r="D200" s="2464" t="s">
        <v>4486</v>
      </c>
      <c r="E200" s="511" t="s">
        <v>9741</v>
      </c>
      <c r="F200" s="14" t="s">
        <v>664</v>
      </c>
      <c r="G200" s="14">
        <v>5</v>
      </c>
      <c r="H200" s="14">
        <v>6</v>
      </c>
      <c r="I200" s="501">
        <f>J200+K200+L200</f>
        <v>0.4</v>
      </c>
      <c r="J200" s="501">
        <f>SUM(M200:R200)</f>
        <v>0.4</v>
      </c>
      <c r="K200" s="501"/>
      <c r="L200" s="501"/>
      <c r="M200" s="501"/>
      <c r="N200" s="501"/>
      <c r="O200" s="568"/>
      <c r="P200" s="501"/>
      <c r="Q200" s="1856"/>
      <c r="R200" s="1865">
        <v>0.4</v>
      </c>
      <c r="S200" s="154"/>
      <c r="T200" s="260"/>
      <c r="U200" s="154"/>
      <c r="V200" s="154"/>
      <c r="W200" s="154"/>
      <c r="X200" s="2501"/>
      <c r="Y200" s="154"/>
      <c r="Z200" s="2433"/>
      <c r="AB200">
        <v>1</v>
      </c>
      <c r="AE200" s="2461"/>
      <c r="AF200" s="68"/>
    </row>
    <row r="201" spans="1:32" ht="30" x14ac:dyDescent="0.35">
      <c r="A201" s="347">
        <v>96</v>
      </c>
      <c r="B201" s="358">
        <v>10320</v>
      </c>
      <c r="C201" s="358"/>
      <c r="D201" s="358" t="s">
        <v>1590</v>
      </c>
      <c r="E201" s="288" t="s">
        <v>1119</v>
      </c>
      <c r="F201" s="13"/>
      <c r="G201" s="13" t="s">
        <v>191</v>
      </c>
      <c r="H201" s="13" t="s">
        <v>191</v>
      </c>
      <c r="I201" s="501">
        <f>J201+K201+L201</f>
        <v>3.75</v>
      </c>
      <c r="J201" s="501">
        <f>SUM(M201:R201)</f>
        <v>3.75</v>
      </c>
      <c r="K201" s="501"/>
      <c r="L201" s="501"/>
      <c r="M201" s="501"/>
      <c r="N201" s="501">
        <f>SUM(N202:N205)</f>
        <v>0.99999999999999978</v>
      </c>
      <c r="O201" s="568"/>
      <c r="P201" s="501"/>
      <c r="Q201" s="860">
        <f>SUM(Q202:Q205)</f>
        <v>1.05</v>
      </c>
      <c r="R201" s="870">
        <f>SUM(R202:R205)</f>
        <v>1.7</v>
      </c>
      <c r="S201" s="55">
        <v>1</v>
      </c>
      <c r="T201" s="1962">
        <v>18.600000000000001</v>
      </c>
      <c r="U201" s="154"/>
      <c r="V201" s="154"/>
      <c r="W201" s="55">
        <v>2</v>
      </c>
      <c r="X201" s="2432">
        <v>25.2</v>
      </c>
      <c r="Y201" s="55"/>
      <c r="Z201" s="2433"/>
      <c r="AA201" s="3"/>
      <c r="AB201">
        <v>1</v>
      </c>
      <c r="AE201" s="2461"/>
      <c r="AF201" s="68"/>
    </row>
    <row r="202" spans="1:32" ht="15.5" x14ac:dyDescent="0.35">
      <c r="A202" s="363"/>
      <c r="B202" s="358">
        <v>10320</v>
      </c>
      <c r="C202" s="358"/>
      <c r="D202" s="364"/>
      <c r="E202" s="289" t="s">
        <v>2134</v>
      </c>
      <c r="F202" s="13">
        <v>4</v>
      </c>
      <c r="G202" s="13">
        <v>4</v>
      </c>
      <c r="H202" s="13">
        <v>6</v>
      </c>
      <c r="I202" s="502" t="s">
        <v>1516</v>
      </c>
      <c r="J202" s="502" t="s">
        <v>1516</v>
      </c>
      <c r="K202" s="501"/>
      <c r="L202" s="502"/>
      <c r="M202" s="502"/>
      <c r="N202" s="502">
        <v>0.25</v>
      </c>
      <c r="O202" s="569"/>
      <c r="P202" s="502"/>
      <c r="Q202" s="863"/>
      <c r="R202" s="873"/>
      <c r="S202" s="1138"/>
      <c r="T202" s="2074"/>
      <c r="U202" s="1944"/>
      <c r="V202" s="1944"/>
      <c r="W202" s="1138"/>
      <c r="X202" s="2498"/>
      <c r="Y202" s="1138"/>
      <c r="Z202" s="2499"/>
      <c r="AA202" s="3"/>
      <c r="AE202" s="2461"/>
      <c r="AF202" s="68"/>
    </row>
    <row r="203" spans="1:32" ht="15.5" x14ac:dyDescent="0.35">
      <c r="A203" s="363"/>
      <c r="B203" s="358">
        <v>10320</v>
      </c>
      <c r="C203" s="358"/>
      <c r="D203" s="364"/>
      <c r="E203" s="837" t="s">
        <v>6837</v>
      </c>
      <c r="F203" s="13">
        <v>4</v>
      </c>
      <c r="G203" s="13">
        <v>4</v>
      </c>
      <c r="H203" s="13">
        <v>6</v>
      </c>
      <c r="I203" s="502" t="s">
        <v>1516</v>
      </c>
      <c r="J203" s="502" t="s">
        <v>1516</v>
      </c>
      <c r="K203" s="501"/>
      <c r="L203" s="502"/>
      <c r="M203" s="502"/>
      <c r="N203" s="502"/>
      <c r="O203" s="569"/>
      <c r="P203" s="502"/>
      <c r="Q203" s="863">
        <f>1.3-0.25</f>
        <v>1.05</v>
      </c>
      <c r="R203" s="873"/>
      <c r="S203" s="1138"/>
      <c r="T203" s="2074"/>
      <c r="U203" s="1944"/>
      <c r="V203" s="1944"/>
      <c r="W203" s="1138"/>
      <c r="X203" s="2498"/>
      <c r="Y203" s="1138"/>
      <c r="Z203" s="2499"/>
      <c r="AA203" s="3"/>
      <c r="AE203" s="2461"/>
      <c r="AF203" s="68"/>
    </row>
    <row r="204" spans="1:32" ht="15.5" x14ac:dyDescent="0.35">
      <c r="A204" s="363"/>
      <c r="B204" s="358">
        <v>10320</v>
      </c>
      <c r="C204" s="358"/>
      <c r="D204" s="364"/>
      <c r="E204" s="289" t="s">
        <v>6805</v>
      </c>
      <c r="F204" s="13">
        <v>4</v>
      </c>
      <c r="G204" s="13">
        <v>4</v>
      </c>
      <c r="H204" s="13">
        <v>6</v>
      </c>
      <c r="I204" s="502" t="s">
        <v>1516</v>
      </c>
      <c r="J204" s="502" t="s">
        <v>1516</v>
      </c>
      <c r="K204" s="501"/>
      <c r="L204" s="502"/>
      <c r="M204" s="502"/>
      <c r="N204" s="502">
        <f>2.05-1.3</f>
        <v>0.74999999999999978</v>
      </c>
      <c r="O204" s="569"/>
      <c r="P204" s="502"/>
      <c r="Q204" s="863"/>
      <c r="R204" s="873"/>
      <c r="S204" s="1138"/>
      <c r="T204" s="2074"/>
      <c r="U204" s="1944"/>
      <c r="V204" s="1944"/>
      <c r="W204" s="1138"/>
      <c r="X204" s="2498"/>
      <c r="Y204" s="1138"/>
      <c r="Z204" s="2499"/>
      <c r="AA204" s="3"/>
      <c r="AE204" s="2461"/>
      <c r="AF204" s="68"/>
    </row>
    <row r="205" spans="1:32" ht="15.5" x14ac:dyDescent="0.35">
      <c r="A205" s="363"/>
      <c r="B205" s="358">
        <v>10320</v>
      </c>
      <c r="C205" s="358"/>
      <c r="D205" s="364"/>
      <c r="E205" s="838" t="s">
        <v>1120</v>
      </c>
      <c r="F205" s="13" t="s">
        <v>664</v>
      </c>
      <c r="G205" s="13">
        <v>4</v>
      </c>
      <c r="H205" s="14">
        <v>6</v>
      </c>
      <c r="I205" s="502" t="s">
        <v>1516</v>
      </c>
      <c r="J205" s="502" t="s">
        <v>1516</v>
      </c>
      <c r="K205" s="501"/>
      <c r="L205" s="502"/>
      <c r="M205" s="502"/>
      <c r="N205" s="502"/>
      <c r="O205" s="569"/>
      <c r="P205" s="502"/>
      <c r="Q205" s="863"/>
      <c r="R205" s="873">
        <v>1.7</v>
      </c>
      <c r="S205" s="1138"/>
      <c r="T205" s="2074"/>
      <c r="U205" s="1944"/>
      <c r="V205" s="1944"/>
      <c r="W205" s="1138"/>
      <c r="X205" s="2498"/>
      <c r="Y205" s="1138"/>
      <c r="Z205" s="2499"/>
      <c r="AA205" s="3"/>
      <c r="AE205" s="2461"/>
      <c r="AF205" s="68"/>
    </row>
    <row r="206" spans="1:32" ht="30.5" x14ac:dyDescent="0.35">
      <c r="A206" s="347">
        <v>97</v>
      </c>
      <c r="B206" s="358">
        <v>10320</v>
      </c>
      <c r="C206" s="358"/>
      <c r="D206" s="2464" t="s">
        <v>4487</v>
      </c>
      <c r="E206" s="288" t="s">
        <v>7581</v>
      </c>
      <c r="F206" s="14" t="s">
        <v>664</v>
      </c>
      <c r="G206" s="14">
        <v>5</v>
      </c>
      <c r="H206" s="14">
        <v>6</v>
      </c>
      <c r="I206" s="501">
        <f t="shared" ref="I206:I213" si="18">J206+K206+L206</f>
        <v>0.55000000000000004</v>
      </c>
      <c r="J206" s="501">
        <f t="shared" ref="J206:J213" si="19">SUM(M206:R206)</f>
        <v>0.55000000000000004</v>
      </c>
      <c r="K206" s="501"/>
      <c r="L206" s="503"/>
      <c r="M206" s="503"/>
      <c r="N206" s="503"/>
      <c r="O206" s="570"/>
      <c r="P206" s="503"/>
      <c r="Q206" s="864"/>
      <c r="R206" s="870">
        <v>0.55000000000000004</v>
      </c>
      <c r="S206" s="154"/>
      <c r="T206" s="260"/>
      <c r="U206" s="154"/>
      <c r="V206" s="154"/>
      <c r="W206" s="154"/>
      <c r="X206" s="2501"/>
      <c r="Y206" s="154"/>
      <c r="Z206" s="2433"/>
      <c r="AA206" s="3"/>
      <c r="AB206">
        <v>1</v>
      </c>
      <c r="AE206" s="2461"/>
      <c r="AF206" s="68"/>
    </row>
    <row r="207" spans="1:32" ht="45.5" x14ac:dyDescent="0.35">
      <c r="A207" s="347">
        <v>98</v>
      </c>
      <c r="B207" s="358">
        <v>10320</v>
      </c>
      <c r="C207" s="358" t="s">
        <v>1656</v>
      </c>
      <c r="D207" s="2464" t="s">
        <v>4488</v>
      </c>
      <c r="E207" s="511" t="s">
        <v>8316</v>
      </c>
      <c r="F207" s="14" t="s">
        <v>664</v>
      </c>
      <c r="G207" s="14">
        <v>5</v>
      </c>
      <c r="H207" s="14">
        <v>6</v>
      </c>
      <c r="I207" s="501">
        <f t="shared" si="18"/>
        <v>0.64</v>
      </c>
      <c r="J207" s="501">
        <f t="shared" si="19"/>
        <v>0.64</v>
      </c>
      <c r="K207" s="501"/>
      <c r="L207" s="501"/>
      <c r="M207" s="501"/>
      <c r="N207" s="501"/>
      <c r="O207" s="568"/>
      <c r="P207" s="501"/>
      <c r="Q207" s="1856"/>
      <c r="R207" s="1865">
        <v>0.64</v>
      </c>
      <c r="S207" s="154"/>
      <c r="T207" s="260"/>
      <c r="U207" s="154"/>
      <c r="V207" s="154"/>
      <c r="W207" s="55"/>
      <c r="X207" s="2432"/>
      <c r="Y207" s="55"/>
      <c r="Z207" s="2433"/>
      <c r="AB207">
        <v>1</v>
      </c>
      <c r="AE207" s="2461"/>
      <c r="AF207" s="68"/>
    </row>
    <row r="208" spans="1:32" ht="30.5" x14ac:dyDescent="0.35">
      <c r="A208" s="347">
        <v>99</v>
      </c>
      <c r="B208" s="358">
        <v>10320</v>
      </c>
      <c r="C208" s="358" t="s">
        <v>1656</v>
      </c>
      <c r="D208" s="2464" t="s">
        <v>4489</v>
      </c>
      <c r="E208" s="511" t="s">
        <v>8317</v>
      </c>
      <c r="F208" s="14" t="s">
        <v>664</v>
      </c>
      <c r="G208" s="14">
        <v>5</v>
      </c>
      <c r="H208" s="14">
        <v>6</v>
      </c>
      <c r="I208" s="501">
        <f t="shared" si="18"/>
        <v>0.45</v>
      </c>
      <c r="J208" s="501">
        <f t="shared" si="19"/>
        <v>0.45</v>
      </c>
      <c r="K208" s="501"/>
      <c r="L208" s="501"/>
      <c r="M208" s="501"/>
      <c r="N208" s="501"/>
      <c r="O208" s="568"/>
      <c r="P208" s="501"/>
      <c r="Q208" s="1856"/>
      <c r="R208" s="1865">
        <v>0.45</v>
      </c>
      <c r="S208" s="154"/>
      <c r="T208" s="260"/>
      <c r="U208" s="154"/>
      <c r="V208" s="154"/>
      <c r="W208" s="154"/>
      <c r="X208" s="2501"/>
      <c r="Y208" s="154"/>
      <c r="Z208" s="2433"/>
      <c r="AB208">
        <v>1</v>
      </c>
      <c r="AE208" s="2461"/>
      <c r="AF208" s="68"/>
    </row>
    <row r="209" spans="1:32" ht="30" x14ac:dyDescent="0.35">
      <c r="A209" s="347">
        <v>100</v>
      </c>
      <c r="B209" s="358">
        <v>10321</v>
      </c>
      <c r="C209" s="358"/>
      <c r="D209" s="358" t="s">
        <v>1547</v>
      </c>
      <c r="E209" s="511" t="s">
        <v>2060</v>
      </c>
      <c r="F209" s="13">
        <v>5</v>
      </c>
      <c r="G209" s="13">
        <v>5</v>
      </c>
      <c r="H209" s="13">
        <v>6</v>
      </c>
      <c r="I209" s="501">
        <f t="shared" si="18"/>
        <v>2.2999999999999998</v>
      </c>
      <c r="J209" s="501">
        <f t="shared" si="19"/>
        <v>2.2999999999999998</v>
      </c>
      <c r="K209" s="501"/>
      <c r="L209" s="501"/>
      <c r="M209" s="501"/>
      <c r="N209" s="501"/>
      <c r="O209" s="568"/>
      <c r="P209" s="501"/>
      <c r="Q209" s="860">
        <v>2.2999999999999998</v>
      </c>
      <c r="R209" s="870"/>
      <c r="S209" s="55">
        <v>1</v>
      </c>
      <c r="T209" s="1962">
        <v>27.8</v>
      </c>
      <c r="U209" s="154"/>
      <c r="V209" s="154"/>
      <c r="W209" s="2504">
        <v>2</v>
      </c>
      <c r="X209" s="2432">
        <v>25.5</v>
      </c>
      <c r="Y209" s="2500"/>
      <c r="Z209" s="2433"/>
      <c r="AA209" s="3"/>
      <c r="AB209">
        <v>1</v>
      </c>
      <c r="AE209" s="2461"/>
      <c r="AF209" s="68"/>
    </row>
    <row r="210" spans="1:32" ht="31" x14ac:dyDescent="0.4">
      <c r="A210" s="347">
        <v>101</v>
      </c>
      <c r="B210" s="358">
        <v>10321</v>
      </c>
      <c r="C210" s="358"/>
      <c r="D210" s="2464" t="s">
        <v>4490</v>
      </c>
      <c r="E210" s="511" t="s">
        <v>7582</v>
      </c>
      <c r="F210" s="14">
        <v>5</v>
      </c>
      <c r="G210" s="14">
        <v>5</v>
      </c>
      <c r="H210" s="13">
        <v>6</v>
      </c>
      <c r="I210" s="501">
        <f t="shared" si="18"/>
        <v>2.2000000000000002</v>
      </c>
      <c r="J210" s="501">
        <f t="shared" si="19"/>
        <v>2.2000000000000002</v>
      </c>
      <c r="K210" s="501"/>
      <c r="L210" s="501"/>
      <c r="M210" s="501"/>
      <c r="N210" s="501"/>
      <c r="O210" s="568"/>
      <c r="P210" s="501"/>
      <c r="Q210" s="860">
        <v>2.2000000000000002</v>
      </c>
      <c r="R210" s="870"/>
      <c r="S210" s="154"/>
      <c r="T210" s="260"/>
      <c r="U210" s="154"/>
      <c r="V210" s="154"/>
      <c r="W210" s="55">
        <v>3</v>
      </c>
      <c r="X210" s="2432">
        <v>44.8</v>
      </c>
      <c r="Y210" s="55"/>
      <c r="Z210" s="2433"/>
      <c r="AA210" s="3"/>
      <c r="AB210">
        <v>1</v>
      </c>
      <c r="AC210" s="63" t="s">
        <v>3560</v>
      </c>
      <c r="AE210" s="2461"/>
      <c r="AF210" s="68"/>
    </row>
    <row r="211" spans="1:32" ht="45.5" x14ac:dyDescent="0.35">
      <c r="A211" s="347">
        <v>102</v>
      </c>
      <c r="B211" s="358">
        <v>10321</v>
      </c>
      <c r="C211" s="358"/>
      <c r="D211" s="2464" t="s">
        <v>4491</v>
      </c>
      <c r="E211" s="511" t="s">
        <v>7583</v>
      </c>
      <c r="F211" s="14">
        <v>5</v>
      </c>
      <c r="G211" s="14">
        <v>5</v>
      </c>
      <c r="H211" s="13">
        <v>6</v>
      </c>
      <c r="I211" s="501">
        <f t="shared" si="18"/>
        <v>0.5</v>
      </c>
      <c r="J211" s="501">
        <f t="shared" si="19"/>
        <v>0.5</v>
      </c>
      <c r="K211" s="501"/>
      <c r="L211" s="501"/>
      <c r="M211" s="501"/>
      <c r="N211" s="501"/>
      <c r="O211" s="568"/>
      <c r="P211" s="501"/>
      <c r="Q211" s="860">
        <v>0.5</v>
      </c>
      <c r="R211" s="870"/>
      <c r="S211" s="154">
        <v>1</v>
      </c>
      <c r="T211" s="260">
        <v>30.6</v>
      </c>
      <c r="U211" s="154"/>
      <c r="V211" s="154"/>
      <c r="W211" s="55"/>
      <c r="X211" s="2432"/>
      <c r="Y211" s="55"/>
      <c r="Z211" s="2433"/>
      <c r="AA211" s="3"/>
      <c r="AB211">
        <v>1</v>
      </c>
      <c r="AE211" s="2461"/>
      <c r="AF211" s="68"/>
    </row>
    <row r="212" spans="1:32" ht="60.5" x14ac:dyDescent="0.35">
      <c r="A212" s="347">
        <v>103</v>
      </c>
      <c r="B212" s="358">
        <v>10321</v>
      </c>
      <c r="C212" s="358" t="s">
        <v>1656</v>
      </c>
      <c r="D212" s="2464" t="s">
        <v>4492</v>
      </c>
      <c r="E212" s="511" t="s">
        <v>8318</v>
      </c>
      <c r="F212" s="14" t="s">
        <v>664</v>
      </c>
      <c r="G212" s="14">
        <v>5</v>
      </c>
      <c r="H212" s="14">
        <v>6</v>
      </c>
      <c r="I212" s="501">
        <f t="shared" si="18"/>
        <v>0.6</v>
      </c>
      <c r="J212" s="501">
        <f t="shared" si="19"/>
        <v>0.6</v>
      </c>
      <c r="K212" s="501"/>
      <c r="L212" s="501"/>
      <c r="M212" s="501"/>
      <c r="N212" s="501"/>
      <c r="O212" s="568"/>
      <c r="P212" s="501"/>
      <c r="Q212" s="1856"/>
      <c r="R212" s="1865">
        <v>0.6</v>
      </c>
      <c r="S212" s="154"/>
      <c r="T212" s="260"/>
      <c r="U212" s="154"/>
      <c r="V212" s="154"/>
      <c r="W212" s="55"/>
      <c r="X212" s="2432"/>
      <c r="Y212" s="55"/>
      <c r="Z212" s="2433"/>
      <c r="AB212">
        <v>1</v>
      </c>
      <c r="AE212" s="2461"/>
      <c r="AF212" s="68"/>
    </row>
    <row r="213" spans="1:32" ht="30.5" x14ac:dyDescent="0.35">
      <c r="A213" s="347">
        <v>104</v>
      </c>
      <c r="B213" s="358">
        <v>10322</v>
      </c>
      <c r="C213" s="358"/>
      <c r="D213" s="358" t="s">
        <v>3297</v>
      </c>
      <c r="E213" s="288" t="s">
        <v>3618</v>
      </c>
      <c r="F213" s="13"/>
      <c r="G213" s="13" t="s">
        <v>191</v>
      </c>
      <c r="H213" s="13" t="s">
        <v>191</v>
      </c>
      <c r="I213" s="501">
        <f t="shared" si="18"/>
        <v>8.7650000000000006</v>
      </c>
      <c r="J213" s="501">
        <f t="shared" si="19"/>
        <v>8.7650000000000006</v>
      </c>
      <c r="K213" s="501"/>
      <c r="L213" s="501"/>
      <c r="M213" s="501"/>
      <c r="N213" s="501">
        <f>SUM(N214:N218)</f>
        <v>0.25400000000000134</v>
      </c>
      <c r="O213" s="568"/>
      <c r="P213" s="501"/>
      <c r="Q213" s="860">
        <f>SUM(Q214:Q218)</f>
        <v>8.5109999999999992</v>
      </c>
      <c r="R213" s="870"/>
      <c r="S213" s="154"/>
      <c r="T213" s="260"/>
      <c r="U213" s="154"/>
      <c r="V213" s="154"/>
      <c r="W213" s="55">
        <v>18</v>
      </c>
      <c r="X213" s="2432">
        <v>247.4</v>
      </c>
      <c r="Y213" s="55">
        <v>2</v>
      </c>
      <c r="Z213" s="2433">
        <v>20</v>
      </c>
      <c r="AA213" s="3" t="s">
        <v>3395</v>
      </c>
      <c r="AB213">
        <v>1</v>
      </c>
      <c r="AE213" s="2461"/>
      <c r="AF213" s="68"/>
    </row>
    <row r="214" spans="1:32" ht="15.5" x14ac:dyDescent="0.35">
      <c r="A214" s="347"/>
      <c r="B214" s="358">
        <v>10322</v>
      </c>
      <c r="C214" s="358"/>
      <c r="D214" s="358"/>
      <c r="E214" s="289" t="s">
        <v>753</v>
      </c>
      <c r="F214" s="13">
        <v>5</v>
      </c>
      <c r="G214" s="13">
        <v>5</v>
      </c>
      <c r="H214" s="13">
        <v>6</v>
      </c>
      <c r="I214" s="502"/>
      <c r="J214" s="502"/>
      <c r="K214" s="502"/>
      <c r="L214" s="502"/>
      <c r="M214" s="502"/>
      <c r="N214" s="502">
        <v>0.04</v>
      </c>
      <c r="O214" s="569"/>
      <c r="P214" s="502"/>
      <c r="Q214" s="1859"/>
      <c r="R214" s="1868"/>
      <c r="S214" s="154"/>
      <c r="T214" s="260"/>
      <c r="U214" s="154"/>
      <c r="V214" s="154"/>
      <c r="W214" s="55"/>
      <c r="X214" s="2432"/>
      <c r="Y214" s="55"/>
      <c r="Z214" s="2433"/>
      <c r="AA214" s="3"/>
      <c r="AE214" s="2461"/>
      <c r="AF214" s="68"/>
    </row>
    <row r="215" spans="1:32" ht="15.5" x14ac:dyDescent="0.35">
      <c r="A215" s="347"/>
      <c r="B215" s="358">
        <v>10322</v>
      </c>
      <c r="C215" s="358"/>
      <c r="D215" s="358"/>
      <c r="E215" s="2050" t="s">
        <v>3619</v>
      </c>
      <c r="F215" s="13">
        <v>5</v>
      </c>
      <c r="G215" s="13">
        <v>5</v>
      </c>
      <c r="H215" s="13">
        <v>6</v>
      </c>
      <c r="I215" s="502"/>
      <c r="J215" s="502"/>
      <c r="K215" s="502"/>
      <c r="L215" s="502"/>
      <c r="M215" s="502"/>
      <c r="N215" s="502"/>
      <c r="O215" s="569"/>
      <c r="P215" s="502"/>
      <c r="Q215" s="1859">
        <f>3.225-0.04</f>
        <v>3.1850000000000001</v>
      </c>
      <c r="R215" s="1868"/>
      <c r="S215" s="154"/>
      <c r="T215" s="260"/>
      <c r="U215" s="154"/>
      <c r="V215" s="154"/>
      <c r="W215" s="55"/>
      <c r="X215" s="2432"/>
      <c r="Y215" s="55"/>
      <c r="Z215" s="2433"/>
      <c r="AA215" s="3"/>
      <c r="AE215" s="2461"/>
      <c r="AF215" s="68"/>
    </row>
    <row r="216" spans="1:32" ht="15.5" x14ac:dyDescent="0.35">
      <c r="A216" s="347"/>
      <c r="B216" s="358">
        <v>10322</v>
      </c>
      <c r="C216" s="358"/>
      <c r="D216" s="358"/>
      <c r="E216" s="289" t="s">
        <v>3620</v>
      </c>
      <c r="F216" s="13">
        <v>5</v>
      </c>
      <c r="G216" s="13">
        <v>5</v>
      </c>
      <c r="H216" s="13">
        <v>6</v>
      </c>
      <c r="I216" s="502"/>
      <c r="J216" s="502"/>
      <c r="K216" s="502"/>
      <c r="L216" s="502"/>
      <c r="M216" s="502"/>
      <c r="N216" s="502">
        <f>3.387-3.225</f>
        <v>0.16199999999999992</v>
      </c>
      <c r="O216" s="569"/>
      <c r="P216" s="502"/>
      <c r="Q216" s="1859"/>
      <c r="R216" s="1868"/>
      <c r="S216" s="154"/>
      <c r="T216" s="260"/>
      <c r="U216" s="154"/>
      <c r="V216" s="154"/>
      <c r="W216" s="55"/>
      <c r="X216" s="2432"/>
      <c r="Y216" s="55"/>
      <c r="Z216" s="2433"/>
      <c r="AA216" s="3"/>
      <c r="AE216" s="2461"/>
      <c r="AF216" s="68"/>
    </row>
    <row r="217" spans="1:32" ht="15.5" x14ac:dyDescent="0.35">
      <c r="A217" s="347"/>
      <c r="B217" s="358">
        <v>10322</v>
      </c>
      <c r="C217" s="358"/>
      <c r="D217" s="358"/>
      <c r="E217" s="2050" t="s">
        <v>3621</v>
      </c>
      <c r="F217" s="13">
        <v>5</v>
      </c>
      <c r="G217" s="13">
        <v>5</v>
      </c>
      <c r="H217" s="13">
        <v>6</v>
      </c>
      <c r="I217" s="502"/>
      <c r="J217" s="502"/>
      <c r="K217" s="502"/>
      <c r="L217" s="502"/>
      <c r="M217" s="502"/>
      <c r="N217" s="502"/>
      <c r="O217" s="569"/>
      <c r="P217" s="502"/>
      <c r="Q217" s="1859">
        <f>8.713-3.387</f>
        <v>5.3259999999999987</v>
      </c>
      <c r="R217" s="1868"/>
      <c r="S217" s="154"/>
      <c r="T217" s="260"/>
      <c r="U217" s="154"/>
      <c r="V217" s="154"/>
      <c r="W217" s="55"/>
      <c r="X217" s="2432"/>
      <c r="Y217" s="55"/>
      <c r="Z217" s="2433"/>
      <c r="AA217" s="3"/>
      <c r="AE217" s="2461"/>
      <c r="AF217" s="68"/>
    </row>
    <row r="218" spans="1:32" ht="15.5" x14ac:dyDescent="0.35">
      <c r="A218" s="347"/>
      <c r="B218" s="358">
        <v>10322</v>
      </c>
      <c r="C218" s="358"/>
      <c r="D218" s="358"/>
      <c r="E218" s="289" t="s">
        <v>3622</v>
      </c>
      <c r="F218" s="13">
        <v>5</v>
      </c>
      <c r="G218" s="13">
        <v>5</v>
      </c>
      <c r="H218" s="13">
        <v>6</v>
      </c>
      <c r="I218" s="502"/>
      <c r="J218" s="502"/>
      <c r="K218" s="502"/>
      <c r="L218" s="502"/>
      <c r="M218" s="502"/>
      <c r="N218" s="502">
        <f>8.765-8.713</f>
        <v>5.2000000000001378E-2</v>
      </c>
      <c r="O218" s="569"/>
      <c r="P218" s="502"/>
      <c r="Q218" s="1859"/>
      <c r="R218" s="1868"/>
      <c r="S218" s="154"/>
      <c r="T218" s="260"/>
      <c r="U218" s="154"/>
      <c r="V218" s="154"/>
      <c r="W218" s="55"/>
      <c r="X218" s="2432"/>
      <c r="Y218" s="55"/>
      <c r="Z218" s="2433"/>
      <c r="AA218" s="3"/>
      <c r="AE218" s="2461"/>
      <c r="AF218" s="68"/>
    </row>
    <row r="219" spans="1:32" ht="45.5" x14ac:dyDescent="0.35">
      <c r="A219" s="347">
        <v>105</v>
      </c>
      <c r="B219" s="358">
        <v>10322</v>
      </c>
      <c r="C219" s="358" t="s">
        <v>1655</v>
      </c>
      <c r="D219" s="2464" t="s">
        <v>4493</v>
      </c>
      <c r="E219" s="511" t="s">
        <v>7371</v>
      </c>
      <c r="F219" s="14" t="s">
        <v>664</v>
      </c>
      <c r="G219" s="1944">
        <v>5</v>
      </c>
      <c r="H219" s="14">
        <v>6</v>
      </c>
      <c r="I219" s="297">
        <f>J219+K219+L219</f>
        <v>0.3</v>
      </c>
      <c r="J219" s="297">
        <f>SUM(M219:R219)</f>
        <v>0.3</v>
      </c>
      <c r="K219" s="501"/>
      <c r="L219" s="501"/>
      <c r="M219" s="501"/>
      <c r="N219" s="501"/>
      <c r="O219" s="568"/>
      <c r="P219" s="501"/>
      <c r="Q219" s="860"/>
      <c r="R219" s="870">
        <v>0.3</v>
      </c>
      <c r="S219" s="154"/>
      <c r="T219" s="260"/>
      <c r="U219" s="154"/>
      <c r="V219" s="154"/>
      <c r="W219" s="55"/>
      <c r="X219" s="2432"/>
      <c r="Y219" s="55"/>
      <c r="Z219" s="2433"/>
      <c r="AA219" s="3"/>
      <c r="AB219">
        <v>1</v>
      </c>
      <c r="AE219" s="2461"/>
      <c r="AF219" s="68"/>
    </row>
    <row r="220" spans="1:32" ht="45.5" x14ac:dyDescent="0.35">
      <c r="A220" s="347">
        <v>106</v>
      </c>
      <c r="B220" s="358">
        <v>10329</v>
      </c>
      <c r="C220" s="358" t="s">
        <v>1656</v>
      </c>
      <c r="D220" s="2464" t="s">
        <v>4504</v>
      </c>
      <c r="E220" s="511" t="s">
        <v>8319</v>
      </c>
      <c r="F220" s="14" t="s">
        <v>664</v>
      </c>
      <c r="G220" s="14">
        <v>5</v>
      </c>
      <c r="H220" s="14">
        <v>6</v>
      </c>
      <c r="I220" s="501">
        <f>J220+K220+L220</f>
        <v>0.7</v>
      </c>
      <c r="J220" s="501">
        <f>SUM(M220:R220)</f>
        <v>0.7</v>
      </c>
      <c r="K220" s="501"/>
      <c r="L220" s="501"/>
      <c r="M220" s="501"/>
      <c r="N220" s="501"/>
      <c r="O220" s="568"/>
      <c r="P220" s="501"/>
      <c r="Q220" s="1856"/>
      <c r="R220" s="1865">
        <v>0.7</v>
      </c>
      <c r="S220" s="55"/>
      <c r="T220" s="1962"/>
      <c r="U220" s="154"/>
      <c r="V220" s="154"/>
      <c r="W220" s="55"/>
      <c r="X220" s="2432"/>
      <c r="Y220" s="55"/>
      <c r="Z220" s="2433"/>
      <c r="AB220">
        <v>1</v>
      </c>
      <c r="AE220" s="2461"/>
      <c r="AF220" s="68"/>
    </row>
    <row r="221" spans="1:32" ht="30" x14ac:dyDescent="0.35">
      <c r="A221" s="347">
        <v>107</v>
      </c>
      <c r="B221" s="358">
        <v>10323</v>
      </c>
      <c r="C221" s="358"/>
      <c r="D221" s="358" t="s">
        <v>648</v>
      </c>
      <c r="E221" s="288" t="s">
        <v>570</v>
      </c>
      <c r="F221" s="13"/>
      <c r="G221" s="13" t="s">
        <v>191</v>
      </c>
      <c r="H221" s="13" t="s">
        <v>191</v>
      </c>
      <c r="I221" s="501">
        <f>J221+K221+L221</f>
        <v>3.99</v>
      </c>
      <c r="J221" s="501">
        <f>SUM(M221:R221)</f>
        <v>3.99</v>
      </c>
      <c r="K221" s="501"/>
      <c r="L221" s="501"/>
      <c r="M221" s="501"/>
      <c r="N221" s="501"/>
      <c r="O221" s="568"/>
      <c r="P221" s="501"/>
      <c r="Q221" s="860">
        <f>SUM(Q222:Q223)</f>
        <v>2.9</v>
      </c>
      <c r="R221" s="870">
        <f>SUM(R222:R223)</f>
        <v>1.0900000000000003</v>
      </c>
      <c r="S221" s="154"/>
      <c r="T221" s="260"/>
      <c r="U221" s="154"/>
      <c r="V221" s="154"/>
      <c r="W221" s="55">
        <v>6</v>
      </c>
      <c r="X221" s="2432">
        <v>70.599999999999994</v>
      </c>
      <c r="Y221" s="55"/>
      <c r="Z221" s="2433"/>
      <c r="AA221" s="3"/>
      <c r="AB221">
        <v>1</v>
      </c>
      <c r="AE221" s="2461"/>
      <c r="AF221" s="68"/>
    </row>
    <row r="222" spans="1:32" ht="15.5" x14ac:dyDescent="0.35">
      <c r="A222" s="347"/>
      <c r="B222" s="358">
        <v>10323</v>
      </c>
      <c r="C222" s="358"/>
      <c r="D222" s="358"/>
      <c r="E222" s="2050" t="s">
        <v>562</v>
      </c>
      <c r="F222" s="13">
        <v>5</v>
      </c>
      <c r="G222" s="13">
        <v>5</v>
      </c>
      <c r="H222" s="13">
        <v>6</v>
      </c>
      <c r="I222" s="502"/>
      <c r="J222" s="502"/>
      <c r="K222" s="502"/>
      <c r="L222" s="502"/>
      <c r="M222" s="502"/>
      <c r="N222" s="502"/>
      <c r="O222" s="569"/>
      <c r="P222" s="502"/>
      <c r="Q222" s="1859">
        <v>2.9</v>
      </c>
      <c r="R222" s="1868"/>
      <c r="S222" s="154"/>
      <c r="T222" s="260"/>
      <c r="U222" s="154"/>
      <c r="V222" s="154"/>
      <c r="W222" s="55"/>
      <c r="X222" s="2432"/>
      <c r="Y222" s="55"/>
      <c r="Z222" s="2433"/>
      <c r="AA222" s="3"/>
      <c r="AE222" s="2461"/>
      <c r="AF222" s="68"/>
    </row>
    <row r="223" spans="1:32" ht="15.5" x14ac:dyDescent="0.35">
      <c r="A223" s="347"/>
      <c r="B223" s="358">
        <v>10323</v>
      </c>
      <c r="C223" s="358"/>
      <c r="D223" s="358"/>
      <c r="E223" s="838" t="s">
        <v>563</v>
      </c>
      <c r="F223" s="13" t="s">
        <v>664</v>
      </c>
      <c r="G223" s="13">
        <v>5</v>
      </c>
      <c r="H223" s="14">
        <v>6</v>
      </c>
      <c r="I223" s="502"/>
      <c r="J223" s="502"/>
      <c r="K223" s="502"/>
      <c r="L223" s="502"/>
      <c r="M223" s="502"/>
      <c r="N223" s="502"/>
      <c r="O223" s="569"/>
      <c r="P223" s="502"/>
      <c r="Q223" s="1859"/>
      <c r="R223" s="1868">
        <f>3.99-2.9</f>
        <v>1.0900000000000003</v>
      </c>
      <c r="S223" s="154"/>
      <c r="T223" s="260"/>
      <c r="U223" s="154"/>
      <c r="V223" s="154"/>
      <c r="W223" s="55"/>
      <c r="X223" s="2432"/>
      <c r="Y223" s="55"/>
      <c r="Z223" s="2433"/>
      <c r="AA223" s="3"/>
      <c r="AE223" s="2461"/>
      <c r="AF223" s="68"/>
    </row>
    <row r="224" spans="1:32" ht="30.5" x14ac:dyDescent="0.35">
      <c r="A224" s="347">
        <v>108</v>
      </c>
      <c r="B224" s="358">
        <v>10324</v>
      </c>
      <c r="C224" s="358"/>
      <c r="D224" s="358" t="s">
        <v>649</v>
      </c>
      <c r="E224" s="288" t="s">
        <v>6770</v>
      </c>
      <c r="F224" s="13"/>
      <c r="G224" s="13" t="s">
        <v>191</v>
      </c>
      <c r="H224" s="13" t="s">
        <v>191</v>
      </c>
      <c r="I224" s="501">
        <f>J224+K224+L224</f>
        <v>7.3659999999999988</v>
      </c>
      <c r="J224" s="501">
        <f>SUM(M224:R224)</f>
        <v>7.3659999999999988</v>
      </c>
      <c r="K224" s="501"/>
      <c r="L224" s="501"/>
      <c r="M224" s="501"/>
      <c r="N224" s="501">
        <f>SUM(N225:N228)</f>
        <v>7.6000000000000012E-2</v>
      </c>
      <c r="O224" s="568"/>
      <c r="P224" s="501"/>
      <c r="Q224" s="860">
        <f>SUM(Q225:Q228)</f>
        <v>7.2899999999999991</v>
      </c>
      <c r="R224" s="870"/>
      <c r="S224" s="55"/>
      <c r="T224" s="1962"/>
      <c r="U224" s="154"/>
      <c r="V224" s="154"/>
      <c r="W224" s="55">
        <v>21</v>
      </c>
      <c r="X224" s="2432">
        <v>245.3</v>
      </c>
      <c r="Y224" s="55">
        <v>8</v>
      </c>
      <c r="Z224" s="2505">
        <v>85</v>
      </c>
      <c r="AA224" s="3" t="s">
        <v>3045</v>
      </c>
      <c r="AB224">
        <v>1</v>
      </c>
      <c r="AE224" s="2461"/>
      <c r="AF224" s="68"/>
    </row>
    <row r="225" spans="1:32" ht="15.5" x14ac:dyDescent="0.35">
      <c r="A225" s="347"/>
      <c r="B225" s="358">
        <v>10324</v>
      </c>
      <c r="C225" s="358"/>
      <c r="D225" s="358"/>
      <c r="E225" s="289" t="s">
        <v>3401</v>
      </c>
      <c r="F225" s="13">
        <v>4</v>
      </c>
      <c r="G225" s="13">
        <v>5</v>
      </c>
      <c r="H225" s="13">
        <v>6</v>
      </c>
      <c r="I225" s="502"/>
      <c r="J225" s="502"/>
      <c r="K225" s="502"/>
      <c r="L225" s="502"/>
      <c r="M225" s="502"/>
      <c r="N225" s="502">
        <v>5.1999999999999998E-2</v>
      </c>
      <c r="O225" s="569"/>
      <c r="P225" s="502"/>
      <c r="Q225" s="1859"/>
      <c r="R225" s="870"/>
      <c r="S225" s="55"/>
      <c r="T225" s="1962"/>
      <c r="U225" s="154"/>
      <c r="V225" s="154"/>
      <c r="W225" s="55"/>
      <c r="X225" s="2432"/>
      <c r="Y225" s="55"/>
      <c r="Z225" s="2433"/>
      <c r="AA225" s="3"/>
      <c r="AE225" s="2461"/>
      <c r="AF225" s="68"/>
    </row>
    <row r="226" spans="1:32" ht="15.5" x14ac:dyDescent="0.35">
      <c r="A226" s="347"/>
      <c r="B226" s="358">
        <v>10324</v>
      </c>
      <c r="C226" s="358"/>
      <c r="D226" s="358"/>
      <c r="E226" s="2050" t="s">
        <v>3402</v>
      </c>
      <c r="F226" s="13">
        <v>4</v>
      </c>
      <c r="G226" s="13">
        <v>5</v>
      </c>
      <c r="H226" s="13">
        <v>6</v>
      </c>
      <c r="I226" s="502"/>
      <c r="J226" s="502"/>
      <c r="K226" s="502"/>
      <c r="L226" s="502"/>
      <c r="M226" s="502"/>
      <c r="N226" s="502"/>
      <c r="O226" s="569"/>
      <c r="P226" s="502"/>
      <c r="Q226" s="1859">
        <f>3.987-0.052</f>
        <v>3.9350000000000001</v>
      </c>
      <c r="R226" s="870"/>
      <c r="S226" s="55"/>
      <c r="T226" s="1962"/>
      <c r="U226" s="154"/>
      <c r="V226" s="154"/>
      <c r="W226" s="55"/>
      <c r="X226" s="2432"/>
      <c r="Y226" s="55"/>
      <c r="Z226" s="2433"/>
      <c r="AA226" s="3"/>
      <c r="AE226" s="2461"/>
      <c r="AF226" s="68"/>
    </row>
    <row r="227" spans="1:32" ht="15.5" x14ac:dyDescent="0.35">
      <c r="A227" s="347"/>
      <c r="B227" s="358">
        <v>10324</v>
      </c>
      <c r="C227" s="358"/>
      <c r="D227" s="358"/>
      <c r="E227" s="2050" t="s">
        <v>3399</v>
      </c>
      <c r="F227" s="13">
        <v>5</v>
      </c>
      <c r="G227" s="13">
        <v>5</v>
      </c>
      <c r="H227" s="13">
        <v>6</v>
      </c>
      <c r="I227" s="502"/>
      <c r="J227" s="502"/>
      <c r="K227" s="502"/>
      <c r="L227" s="502"/>
      <c r="M227" s="502"/>
      <c r="N227" s="502"/>
      <c r="O227" s="569"/>
      <c r="P227" s="502"/>
      <c r="Q227" s="1859">
        <f>7.342-3.987</f>
        <v>3.3549999999999995</v>
      </c>
      <c r="R227" s="870"/>
      <c r="S227" s="55"/>
      <c r="T227" s="1962"/>
      <c r="U227" s="154"/>
      <c r="V227" s="154"/>
      <c r="W227" s="55"/>
      <c r="X227" s="2432"/>
      <c r="Y227" s="55"/>
      <c r="Z227" s="2433"/>
      <c r="AA227" s="3"/>
      <c r="AE227" s="2461"/>
      <c r="AF227" s="68"/>
    </row>
    <row r="228" spans="1:32" ht="15.5" x14ac:dyDescent="0.35">
      <c r="A228" s="347"/>
      <c r="B228" s="358">
        <v>10324</v>
      </c>
      <c r="C228" s="358"/>
      <c r="D228" s="358"/>
      <c r="E228" s="289" t="s">
        <v>3400</v>
      </c>
      <c r="F228" s="13" t="s">
        <v>827</v>
      </c>
      <c r="G228" s="13">
        <v>5</v>
      </c>
      <c r="H228" s="13">
        <v>6</v>
      </c>
      <c r="I228" s="502"/>
      <c r="J228" s="502"/>
      <c r="K228" s="502"/>
      <c r="L228" s="502"/>
      <c r="M228" s="502"/>
      <c r="N228" s="502">
        <f>7.366-7.342</f>
        <v>2.4000000000000021E-2</v>
      </c>
      <c r="O228" s="569"/>
      <c r="P228" s="502"/>
      <c r="Q228" s="1859"/>
      <c r="R228" s="870"/>
      <c r="S228" s="55"/>
      <c r="T228" s="1962"/>
      <c r="U228" s="154"/>
      <c r="V228" s="154"/>
      <c r="W228" s="55"/>
      <c r="X228" s="2432"/>
      <c r="Y228" s="55"/>
      <c r="Z228" s="2433"/>
      <c r="AA228" s="3"/>
      <c r="AE228" s="2461"/>
      <c r="AF228" s="68"/>
    </row>
    <row r="229" spans="1:32" ht="45.5" x14ac:dyDescent="0.35">
      <c r="A229" s="347">
        <v>109</v>
      </c>
      <c r="B229" s="358">
        <v>10324</v>
      </c>
      <c r="C229" s="358"/>
      <c r="D229" s="2464" t="s">
        <v>4494</v>
      </c>
      <c r="E229" s="288" t="s">
        <v>7584</v>
      </c>
      <c r="F229" s="13"/>
      <c r="G229" s="13" t="s">
        <v>191</v>
      </c>
      <c r="H229" s="13" t="s">
        <v>191</v>
      </c>
      <c r="I229" s="501">
        <f>J229+K229+L229</f>
        <v>1.64</v>
      </c>
      <c r="J229" s="501">
        <f>SUM(M229:R229)</f>
        <v>1.64</v>
      </c>
      <c r="K229" s="501"/>
      <c r="L229" s="501"/>
      <c r="M229" s="501"/>
      <c r="N229" s="501">
        <v>0.26</v>
      </c>
      <c r="O229" s="568"/>
      <c r="P229" s="501"/>
      <c r="Q229" s="860">
        <v>1.38</v>
      </c>
      <c r="R229" s="870"/>
      <c r="S229" s="55"/>
      <c r="T229" s="1962"/>
      <c r="U229" s="154"/>
      <c r="V229" s="154"/>
      <c r="W229" s="55">
        <v>1</v>
      </c>
      <c r="X229" s="2432">
        <v>15.3</v>
      </c>
      <c r="Y229" s="55"/>
      <c r="Z229" s="2433"/>
      <c r="AA229" s="3"/>
      <c r="AB229">
        <v>1</v>
      </c>
      <c r="AE229" s="2461"/>
      <c r="AF229" s="68"/>
    </row>
    <row r="230" spans="1:32" ht="15.5" x14ac:dyDescent="0.35">
      <c r="A230" s="363"/>
      <c r="B230" s="358">
        <v>10324</v>
      </c>
      <c r="C230" s="358"/>
      <c r="D230" s="364" t="s">
        <v>1516</v>
      </c>
      <c r="E230" s="837" t="s">
        <v>431</v>
      </c>
      <c r="F230" s="13">
        <v>5</v>
      </c>
      <c r="G230" s="13">
        <v>5</v>
      </c>
      <c r="H230" s="13">
        <v>6</v>
      </c>
      <c r="I230" s="502" t="s">
        <v>1516</v>
      </c>
      <c r="J230" s="502" t="s">
        <v>1516</v>
      </c>
      <c r="K230" s="501"/>
      <c r="L230" s="502"/>
      <c r="M230" s="502"/>
      <c r="N230" s="502"/>
      <c r="O230" s="569"/>
      <c r="P230" s="502"/>
      <c r="Q230" s="863">
        <v>1.38</v>
      </c>
      <c r="R230" s="873"/>
      <c r="S230" s="1138"/>
      <c r="T230" s="2074"/>
      <c r="U230" s="1944"/>
      <c r="V230" s="1944"/>
      <c r="W230" s="1138"/>
      <c r="X230" s="2498"/>
      <c r="Y230" s="1138"/>
      <c r="Z230" s="2499"/>
      <c r="AA230" s="3"/>
      <c r="AE230" s="2461"/>
      <c r="AF230" s="68"/>
    </row>
    <row r="231" spans="1:32" ht="15.5" x14ac:dyDescent="0.35">
      <c r="A231" s="363"/>
      <c r="B231" s="358">
        <v>10324</v>
      </c>
      <c r="C231" s="358"/>
      <c r="D231" s="364"/>
      <c r="E231" s="289" t="s">
        <v>432</v>
      </c>
      <c r="F231" s="13">
        <v>5</v>
      </c>
      <c r="G231" s="13">
        <v>5</v>
      </c>
      <c r="H231" s="13">
        <v>6</v>
      </c>
      <c r="I231" s="502" t="s">
        <v>1516</v>
      </c>
      <c r="J231" s="502" t="s">
        <v>1516</v>
      </c>
      <c r="K231" s="501"/>
      <c r="L231" s="502"/>
      <c r="M231" s="502"/>
      <c r="N231" s="502">
        <v>0.26</v>
      </c>
      <c r="O231" s="569"/>
      <c r="P231" s="502"/>
      <c r="Q231" s="863"/>
      <c r="R231" s="873"/>
      <c r="S231" s="1138"/>
      <c r="T231" s="2074"/>
      <c r="U231" s="1944"/>
      <c r="V231" s="1944"/>
      <c r="W231" s="1138"/>
      <c r="X231" s="2498"/>
      <c r="Y231" s="1138"/>
      <c r="Z231" s="2499"/>
      <c r="AA231" s="3"/>
      <c r="AE231" s="2461"/>
      <c r="AF231" s="68"/>
    </row>
    <row r="232" spans="1:32" ht="45.5" x14ac:dyDescent="0.35">
      <c r="A232" s="347">
        <v>110</v>
      </c>
      <c r="B232" s="358">
        <v>10324</v>
      </c>
      <c r="C232" s="358" t="s">
        <v>1656</v>
      </c>
      <c r="D232" s="2464" t="s">
        <v>4495</v>
      </c>
      <c r="E232" s="511" t="s">
        <v>8320</v>
      </c>
      <c r="F232" s="14" t="s">
        <v>664</v>
      </c>
      <c r="G232" s="14">
        <v>5</v>
      </c>
      <c r="H232" s="14">
        <v>6</v>
      </c>
      <c r="I232" s="501">
        <f>J232+K232+L232</f>
        <v>0.2</v>
      </c>
      <c r="J232" s="501">
        <f>SUM(M232:R232)</f>
        <v>0.2</v>
      </c>
      <c r="K232" s="501"/>
      <c r="L232" s="501"/>
      <c r="M232" s="501"/>
      <c r="N232" s="501"/>
      <c r="O232" s="568"/>
      <c r="P232" s="501"/>
      <c r="Q232" s="1856"/>
      <c r="R232" s="1865">
        <v>0.2</v>
      </c>
      <c r="S232" s="154"/>
      <c r="T232" s="260"/>
      <c r="U232" s="154"/>
      <c r="V232" s="154"/>
      <c r="W232" s="55"/>
      <c r="X232" s="2432"/>
      <c r="Y232" s="55"/>
      <c r="Z232" s="2433"/>
      <c r="AB232">
        <v>1</v>
      </c>
      <c r="AE232" s="2461"/>
      <c r="AF232" s="68"/>
    </row>
    <row r="233" spans="1:32" ht="45.5" x14ac:dyDescent="0.35">
      <c r="A233" s="347">
        <v>111</v>
      </c>
      <c r="B233" s="358">
        <v>10324</v>
      </c>
      <c r="C233" s="358" t="s">
        <v>1656</v>
      </c>
      <c r="D233" s="2464" t="s">
        <v>4496</v>
      </c>
      <c r="E233" s="511" t="s">
        <v>8321</v>
      </c>
      <c r="F233" s="14" t="s">
        <v>664</v>
      </c>
      <c r="G233" s="14">
        <v>5</v>
      </c>
      <c r="H233" s="14">
        <v>6</v>
      </c>
      <c r="I233" s="501">
        <f>J233+K233+L233</f>
        <v>0.72</v>
      </c>
      <c r="J233" s="501">
        <f>SUM(M233:R233)</f>
        <v>0.72</v>
      </c>
      <c r="K233" s="501"/>
      <c r="L233" s="501"/>
      <c r="M233" s="501"/>
      <c r="N233" s="501"/>
      <c r="O233" s="568"/>
      <c r="P233" s="501"/>
      <c r="Q233" s="1856"/>
      <c r="R233" s="1865">
        <v>0.72</v>
      </c>
      <c r="S233" s="55"/>
      <c r="T233" s="1962"/>
      <c r="U233" s="154"/>
      <c r="V233" s="154"/>
      <c r="W233" s="55"/>
      <c r="X233" s="2432"/>
      <c r="Y233" s="55"/>
      <c r="Z233" s="2433"/>
      <c r="AB233">
        <v>1</v>
      </c>
      <c r="AE233" s="2461"/>
      <c r="AF233" s="68"/>
    </row>
    <row r="234" spans="1:32" ht="60.5" x14ac:dyDescent="0.35">
      <c r="A234" s="347">
        <v>112</v>
      </c>
      <c r="B234" s="358">
        <v>10325</v>
      </c>
      <c r="C234" s="358"/>
      <c r="D234" s="358" t="s">
        <v>650</v>
      </c>
      <c r="E234" s="288" t="s">
        <v>9742</v>
      </c>
      <c r="F234" s="14"/>
      <c r="G234" s="14" t="s">
        <v>191</v>
      </c>
      <c r="H234" s="13" t="s">
        <v>191</v>
      </c>
      <c r="I234" s="501">
        <f>J234+K234+L234</f>
        <v>9.1750000000000007</v>
      </c>
      <c r="J234" s="501">
        <f>SUM(M234:R234)</f>
        <v>9.1750000000000007</v>
      </c>
      <c r="K234" s="501"/>
      <c r="L234" s="501"/>
      <c r="M234" s="501"/>
      <c r="N234" s="501">
        <f>SUM(N235:N236)</f>
        <v>7.2640000000000002</v>
      </c>
      <c r="O234" s="568"/>
      <c r="P234" s="501"/>
      <c r="Q234" s="860">
        <f>SUM(Q235:Q236)</f>
        <v>1.9110000000000005</v>
      </c>
      <c r="R234" s="870"/>
      <c r="S234" s="55">
        <v>1</v>
      </c>
      <c r="T234" s="1962">
        <v>24.6</v>
      </c>
      <c r="U234" s="154"/>
      <c r="V234" s="154"/>
      <c r="W234" s="55">
        <v>11</v>
      </c>
      <c r="X234" s="2432">
        <v>157</v>
      </c>
      <c r="Y234" s="55">
        <v>1</v>
      </c>
      <c r="Z234" s="2433">
        <v>10</v>
      </c>
      <c r="AA234" s="3" t="s">
        <v>2127</v>
      </c>
      <c r="AB234">
        <v>1</v>
      </c>
      <c r="AE234" s="2461"/>
      <c r="AF234" s="68"/>
    </row>
    <row r="235" spans="1:32" ht="15.5" x14ac:dyDescent="0.35">
      <c r="A235" s="359"/>
      <c r="B235" s="358">
        <v>10325</v>
      </c>
      <c r="C235" s="358"/>
      <c r="D235" s="360"/>
      <c r="E235" s="289" t="s">
        <v>3631</v>
      </c>
      <c r="F235" s="14">
        <v>4</v>
      </c>
      <c r="G235" s="14">
        <v>5</v>
      </c>
      <c r="H235" s="13">
        <v>6</v>
      </c>
      <c r="I235" s="502" t="s">
        <v>1516</v>
      </c>
      <c r="J235" s="502" t="s">
        <v>1516</v>
      </c>
      <c r="K235" s="501"/>
      <c r="L235" s="502"/>
      <c r="M235" s="502"/>
      <c r="N235" s="502">
        <v>7.2640000000000002</v>
      </c>
      <c r="O235" s="569"/>
      <c r="P235" s="502"/>
      <c r="Q235" s="863"/>
      <c r="R235" s="873"/>
      <c r="S235" s="1944"/>
      <c r="T235" s="2497"/>
      <c r="U235" s="1944"/>
      <c r="V235" s="1944"/>
      <c r="W235" s="1944"/>
      <c r="X235" s="2503"/>
      <c r="Y235" s="1944"/>
      <c r="Z235" s="2499"/>
      <c r="AA235" s="3"/>
      <c r="AE235" s="2461"/>
      <c r="AF235" s="68"/>
    </row>
    <row r="236" spans="1:32" ht="15.5" x14ac:dyDescent="0.35">
      <c r="A236" s="359"/>
      <c r="B236" s="358">
        <v>10325</v>
      </c>
      <c r="C236" s="358"/>
      <c r="D236" s="360"/>
      <c r="E236" s="837" t="s">
        <v>3632</v>
      </c>
      <c r="F236" s="14">
        <v>4</v>
      </c>
      <c r="G236" s="14">
        <v>5</v>
      </c>
      <c r="H236" s="13">
        <v>6</v>
      </c>
      <c r="I236" s="502" t="s">
        <v>1516</v>
      </c>
      <c r="J236" s="502" t="s">
        <v>1516</v>
      </c>
      <c r="K236" s="501"/>
      <c r="L236" s="502"/>
      <c r="M236" s="502"/>
      <c r="N236" s="502"/>
      <c r="O236" s="569"/>
      <c r="P236" s="502"/>
      <c r="Q236" s="863">
        <f>9.175-7.264</f>
        <v>1.9110000000000005</v>
      </c>
      <c r="R236" s="873"/>
      <c r="S236" s="1944"/>
      <c r="T236" s="2497"/>
      <c r="U236" s="1944"/>
      <c r="V236" s="1944"/>
      <c r="W236" s="1944"/>
      <c r="X236" s="2503"/>
      <c r="Y236" s="1944"/>
      <c r="Z236" s="2499"/>
      <c r="AA236" s="3"/>
      <c r="AE236" s="2461"/>
      <c r="AF236" s="68"/>
    </row>
    <row r="237" spans="1:32" ht="75.5" x14ac:dyDescent="0.35">
      <c r="A237" s="347">
        <v>113</v>
      </c>
      <c r="B237" s="358">
        <v>10325</v>
      </c>
      <c r="C237" s="358" t="s">
        <v>1656</v>
      </c>
      <c r="D237" s="2464" t="s">
        <v>4497</v>
      </c>
      <c r="E237" s="511" t="s">
        <v>9743</v>
      </c>
      <c r="F237" s="14" t="s">
        <v>664</v>
      </c>
      <c r="G237" s="14">
        <v>5</v>
      </c>
      <c r="H237" s="14">
        <v>6</v>
      </c>
      <c r="I237" s="501">
        <f>J237+K237+L237</f>
        <v>0.2</v>
      </c>
      <c r="J237" s="501">
        <f>SUM(M237:R237)</f>
        <v>0.2</v>
      </c>
      <c r="K237" s="501"/>
      <c r="L237" s="503"/>
      <c r="M237" s="503"/>
      <c r="N237" s="503"/>
      <c r="O237" s="570"/>
      <c r="P237" s="503"/>
      <c r="Q237" s="2099"/>
      <c r="R237" s="1865">
        <v>0.2</v>
      </c>
      <c r="S237" s="154"/>
      <c r="T237" s="260"/>
      <c r="U237" s="154"/>
      <c r="V237" s="154"/>
      <c r="W237" s="154"/>
      <c r="X237" s="2501"/>
      <c r="Y237" s="154"/>
      <c r="Z237" s="2433"/>
      <c r="AB237">
        <v>1</v>
      </c>
      <c r="AE237" s="2461"/>
      <c r="AF237" s="68"/>
    </row>
    <row r="238" spans="1:32" ht="30" x14ac:dyDescent="0.35">
      <c r="A238" s="347">
        <v>114</v>
      </c>
      <c r="B238" s="358">
        <v>10326</v>
      </c>
      <c r="C238" s="358"/>
      <c r="D238" s="358" t="s">
        <v>651</v>
      </c>
      <c r="E238" s="288" t="s">
        <v>676</v>
      </c>
      <c r="F238" s="13" t="s">
        <v>664</v>
      </c>
      <c r="G238" s="13">
        <v>5</v>
      </c>
      <c r="H238" s="14">
        <v>6</v>
      </c>
      <c r="I238" s="501">
        <v>3.4</v>
      </c>
      <c r="J238" s="501">
        <v>3.4</v>
      </c>
      <c r="K238" s="501"/>
      <c r="L238" s="501"/>
      <c r="M238" s="501"/>
      <c r="N238" s="501" t="s">
        <v>1516</v>
      </c>
      <c r="O238" s="568"/>
      <c r="P238" s="501"/>
      <c r="Q238" s="860" t="s">
        <v>1516</v>
      </c>
      <c r="R238" s="870">
        <v>3.4</v>
      </c>
      <c r="S238" s="154"/>
      <c r="T238" s="260"/>
      <c r="U238" s="154"/>
      <c r="V238" s="154"/>
      <c r="W238" s="55"/>
      <c r="X238" s="2432"/>
      <c r="Y238" s="55"/>
      <c r="Z238" s="2433"/>
      <c r="AA238" s="3"/>
      <c r="AB238">
        <v>1</v>
      </c>
      <c r="AC238" s="62"/>
      <c r="AD238" s="353"/>
      <c r="AE238" s="2461"/>
      <c r="AF238" s="68"/>
    </row>
    <row r="239" spans="1:32" ht="30" x14ac:dyDescent="0.35">
      <c r="A239" s="347">
        <v>115</v>
      </c>
      <c r="B239" s="358">
        <v>10327</v>
      </c>
      <c r="C239" s="358"/>
      <c r="D239" s="358" t="s">
        <v>3090</v>
      </c>
      <c r="E239" s="288" t="s">
        <v>3634</v>
      </c>
      <c r="F239" s="13"/>
      <c r="G239" s="13" t="s">
        <v>191</v>
      </c>
      <c r="H239" s="13" t="s">
        <v>191</v>
      </c>
      <c r="I239" s="501">
        <f>J239+K239+L239</f>
        <v>13.095000000000001</v>
      </c>
      <c r="J239" s="501">
        <f>SUM(M239:R239)</f>
        <v>13.095000000000001</v>
      </c>
      <c r="K239" s="501"/>
      <c r="L239" s="501"/>
      <c r="M239" s="501"/>
      <c r="N239" s="501">
        <f>SUM(N240:N243)</f>
        <v>6.6</v>
      </c>
      <c r="O239" s="568"/>
      <c r="P239" s="501"/>
      <c r="Q239" s="860">
        <f>SUM(Q240:Q243)</f>
        <v>6.495000000000001</v>
      </c>
      <c r="R239" s="870">
        <f>SUM(R240:R243)</f>
        <v>0</v>
      </c>
      <c r="S239" s="154"/>
      <c r="T239" s="260"/>
      <c r="U239" s="154"/>
      <c r="V239" s="154"/>
      <c r="W239" s="55">
        <v>32</v>
      </c>
      <c r="X239" s="2432">
        <v>371.7</v>
      </c>
      <c r="Y239" s="55">
        <v>10</v>
      </c>
      <c r="Z239" s="2433">
        <v>101</v>
      </c>
      <c r="AA239" s="3" t="s">
        <v>7320</v>
      </c>
      <c r="AB239">
        <v>1</v>
      </c>
      <c r="AE239" s="2461"/>
      <c r="AF239" s="68"/>
    </row>
    <row r="240" spans="1:32" ht="15.5" x14ac:dyDescent="0.35">
      <c r="A240" s="363"/>
      <c r="B240" s="358">
        <v>10327</v>
      </c>
      <c r="C240" s="358"/>
      <c r="D240" s="364"/>
      <c r="E240" s="289" t="s">
        <v>6834</v>
      </c>
      <c r="F240" s="13">
        <v>5</v>
      </c>
      <c r="G240" s="13">
        <v>5</v>
      </c>
      <c r="H240" s="13">
        <v>6</v>
      </c>
      <c r="I240" s="502" t="s">
        <v>1516</v>
      </c>
      <c r="J240" s="502" t="s">
        <v>1516</v>
      </c>
      <c r="K240" s="501"/>
      <c r="L240" s="502"/>
      <c r="M240" s="502"/>
      <c r="N240" s="502">
        <v>6.25</v>
      </c>
      <c r="O240" s="569"/>
      <c r="P240" s="502"/>
      <c r="Q240" s="863"/>
      <c r="R240" s="873"/>
      <c r="S240" s="1944"/>
      <c r="T240" s="2497"/>
      <c r="U240" s="1944"/>
      <c r="V240" s="1944"/>
      <c r="W240" s="1138"/>
      <c r="X240" s="2498"/>
      <c r="Y240" s="1138"/>
      <c r="Z240" s="2499"/>
      <c r="AA240" s="3"/>
      <c r="AE240" s="2461"/>
      <c r="AF240" s="68"/>
    </row>
    <row r="241" spans="1:32" ht="15.5" x14ac:dyDescent="0.35">
      <c r="A241" s="363"/>
      <c r="B241" s="358"/>
      <c r="C241" s="358"/>
      <c r="D241" s="364"/>
      <c r="E241" s="837" t="s">
        <v>6835</v>
      </c>
      <c r="F241" s="13">
        <v>5</v>
      </c>
      <c r="G241" s="13">
        <v>5</v>
      </c>
      <c r="H241" s="13">
        <v>6</v>
      </c>
      <c r="I241" s="502"/>
      <c r="J241" s="502"/>
      <c r="K241" s="501"/>
      <c r="L241" s="502"/>
      <c r="M241" s="502"/>
      <c r="N241" s="502"/>
      <c r="O241" s="569"/>
      <c r="P241" s="502"/>
      <c r="Q241" s="863">
        <f>7.25-6.25</f>
        <v>1</v>
      </c>
      <c r="R241" s="873"/>
      <c r="S241" s="1944"/>
      <c r="T241" s="2497"/>
      <c r="U241" s="1944"/>
      <c r="V241" s="1944"/>
      <c r="W241" s="1138"/>
      <c r="X241" s="2498"/>
      <c r="Y241" s="1138"/>
      <c r="Z241" s="2499"/>
      <c r="AA241" s="3"/>
      <c r="AE241" s="2461"/>
      <c r="AF241" s="68"/>
    </row>
    <row r="242" spans="1:32" ht="15.5" x14ac:dyDescent="0.35">
      <c r="A242" s="363"/>
      <c r="B242" s="358"/>
      <c r="C242" s="358"/>
      <c r="D242" s="364"/>
      <c r="E242" s="289" t="s">
        <v>6836</v>
      </c>
      <c r="F242" s="13">
        <v>5</v>
      </c>
      <c r="G242" s="13">
        <v>5</v>
      </c>
      <c r="H242" s="13">
        <v>6</v>
      </c>
      <c r="I242" s="502"/>
      <c r="J242" s="502"/>
      <c r="K242" s="501"/>
      <c r="L242" s="502"/>
      <c r="M242" s="502"/>
      <c r="N242" s="502">
        <f>7.6-7.25</f>
        <v>0.34999999999999964</v>
      </c>
      <c r="O242" s="569"/>
      <c r="P242" s="502"/>
      <c r="Q242" s="863"/>
      <c r="R242" s="873"/>
      <c r="S242" s="1944"/>
      <c r="T242" s="2497"/>
      <c r="U242" s="1944"/>
      <c r="V242" s="1944"/>
      <c r="W242" s="1138"/>
      <c r="X242" s="2498"/>
      <c r="Y242" s="1138"/>
      <c r="Z242" s="2499"/>
      <c r="AA242" s="3"/>
      <c r="AE242" s="2461"/>
      <c r="AF242" s="68"/>
    </row>
    <row r="243" spans="1:32" ht="15.5" x14ac:dyDescent="0.35">
      <c r="A243" s="363"/>
      <c r="B243" s="358">
        <v>10327</v>
      </c>
      <c r="C243" s="358"/>
      <c r="D243" s="364"/>
      <c r="E243" s="837" t="s">
        <v>3635</v>
      </c>
      <c r="F243" s="13">
        <v>5</v>
      </c>
      <c r="G243" s="13">
        <v>5</v>
      </c>
      <c r="H243" s="13">
        <v>6</v>
      </c>
      <c r="I243" s="502"/>
      <c r="J243" s="502"/>
      <c r="K243" s="501"/>
      <c r="L243" s="502"/>
      <c r="M243" s="502"/>
      <c r="N243" s="502"/>
      <c r="O243" s="569"/>
      <c r="P243" s="502"/>
      <c r="Q243" s="863">
        <f>13.095-7.6</f>
        <v>5.495000000000001</v>
      </c>
      <c r="R243" s="873"/>
      <c r="S243" s="1944"/>
      <c r="T243" s="2497"/>
      <c r="U243" s="1944"/>
      <c r="V243" s="1944"/>
      <c r="W243" s="1138"/>
      <c r="X243" s="2498"/>
      <c r="Y243" s="1138"/>
      <c r="Z243" s="2499"/>
      <c r="AA243" s="3"/>
      <c r="AE243" s="2461"/>
      <c r="AF243" s="68"/>
    </row>
    <row r="244" spans="1:32" ht="75.5" x14ac:dyDescent="0.35">
      <c r="A244" s="347">
        <v>116</v>
      </c>
      <c r="B244" s="358">
        <v>10327</v>
      </c>
      <c r="C244" s="358"/>
      <c r="D244" s="2464" t="s">
        <v>4498</v>
      </c>
      <c r="E244" s="288" t="s">
        <v>9744</v>
      </c>
      <c r="F244" s="14"/>
      <c r="G244" s="14" t="s">
        <v>191</v>
      </c>
      <c r="H244" s="13" t="s">
        <v>191</v>
      </c>
      <c r="I244" s="501">
        <f>J244+K244+L244</f>
        <v>3.32</v>
      </c>
      <c r="J244" s="501">
        <f>SUM(M244:R244)</f>
        <v>3.32</v>
      </c>
      <c r="K244" s="501"/>
      <c r="L244" s="501"/>
      <c r="M244" s="501"/>
      <c r="N244" s="501">
        <f>SUM(N245:N246)</f>
        <v>1.68</v>
      </c>
      <c r="O244" s="568"/>
      <c r="P244" s="501"/>
      <c r="Q244" s="860">
        <f>SUM(Q245:Q246)</f>
        <v>1.64</v>
      </c>
      <c r="R244" s="870"/>
      <c r="S244" s="154"/>
      <c r="T244" s="260"/>
      <c r="U244" s="154"/>
      <c r="V244" s="154"/>
      <c r="W244" s="55">
        <v>5</v>
      </c>
      <c r="X244" s="2432">
        <v>70</v>
      </c>
      <c r="Y244" s="55"/>
      <c r="Z244" s="2433"/>
      <c r="AA244" s="3"/>
      <c r="AB244">
        <v>1</v>
      </c>
      <c r="AE244" s="2461"/>
      <c r="AF244" s="68"/>
    </row>
    <row r="245" spans="1:32" ht="15.5" x14ac:dyDescent="0.35">
      <c r="A245" s="363"/>
      <c r="B245" s="358">
        <v>10327</v>
      </c>
      <c r="C245" s="358"/>
      <c r="D245" s="364"/>
      <c r="E245" s="289" t="s">
        <v>3080</v>
      </c>
      <c r="F245" s="14">
        <v>5</v>
      </c>
      <c r="G245" s="14">
        <v>5</v>
      </c>
      <c r="H245" s="13">
        <v>6</v>
      </c>
      <c r="I245" s="502" t="s">
        <v>1516</v>
      </c>
      <c r="J245" s="502" t="s">
        <v>1516</v>
      </c>
      <c r="K245" s="501"/>
      <c r="L245" s="502"/>
      <c r="M245" s="502"/>
      <c r="N245" s="502">
        <v>1.68</v>
      </c>
      <c r="O245" s="569"/>
      <c r="P245" s="502"/>
      <c r="Q245" s="863"/>
      <c r="R245" s="873"/>
      <c r="S245" s="1944"/>
      <c r="T245" s="2497"/>
      <c r="U245" s="1944"/>
      <c r="V245" s="1944"/>
      <c r="W245" s="1138"/>
      <c r="X245" s="2498"/>
      <c r="Y245" s="1138"/>
      <c r="Z245" s="2499"/>
      <c r="AA245" s="3"/>
      <c r="AE245" s="2461"/>
      <c r="AF245" s="68"/>
    </row>
    <row r="246" spans="1:32" ht="15.5" x14ac:dyDescent="0.35">
      <c r="A246" s="363"/>
      <c r="B246" s="358">
        <v>10327</v>
      </c>
      <c r="C246" s="358"/>
      <c r="D246" s="364"/>
      <c r="E246" s="837" t="s">
        <v>2575</v>
      </c>
      <c r="F246" s="14">
        <v>5</v>
      </c>
      <c r="G246" s="14">
        <v>5</v>
      </c>
      <c r="H246" s="13">
        <v>6</v>
      </c>
      <c r="I246" s="502" t="s">
        <v>1516</v>
      </c>
      <c r="J246" s="502" t="s">
        <v>1516</v>
      </c>
      <c r="K246" s="501"/>
      <c r="L246" s="502"/>
      <c r="M246" s="502"/>
      <c r="N246" s="502"/>
      <c r="O246" s="569"/>
      <c r="P246" s="502"/>
      <c r="Q246" s="863">
        <v>1.64</v>
      </c>
      <c r="R246" s="873"/>
      <c r="S246" s="1944"/>
      <c r="T246" s="2497"/>
      <c r="U246" s="1944"/>
      <c r="V246" s="1944"/>
      <c r="W246" s="1138"/>
      <c r="X246" s="2498"/>
      <c r="Y246" s="1138"/>
      <c r="Z246" s="2499"/>
      <c r="AA246" s="3"/>
      <c r="AE246" s="2461"/>
      <c r="AF246" s="68"/>
    </row>
    <row r="247" spans="1:32" ht="30.5" x14ac:dyDescent="0.35">
      <c r="A247" s="347">
        <v>117</v>
      </c>
      <c r="B247" s="358">
        <v>10327</v>
      </c>
      <c r="C247" s="358" t="s">
        <v>1656</v>
      </c>
      <c r="D247" s="2464" t="s">
        <v>4499</v>
      </c>
      <c r="E247" s="511" t="s">
        <v>8322</v>
      </c>
      <c r="F247" s="14" t="s">
        <v>664</v>
      </c>
      <c r="G247" s="14">
        <v>5</v>
      </c>
      <c r="H247" s="14">
        <v>6</v>
      </c>
      <c r="I247" s="501">
        <f t="shared" ref="I247:I254" si="20">J247+K247+L247</f>
        <v>0.05</v>
      </c>
      <c r="J247" s="501">
        <f t="shared" ref="J247:J254" si="21">SUM(M247:R247)</f>
        <v>0.05</v>
      </c>
      <c r="K247" s="501"/>
      <c r="L247" s="501"/>
      <c r="M247" s="501"/>
      <c r="N247" s="501"/>
      <c r="O247" s="568"/>
      <c r="P247" s="501"/>
      <c r="Q247" s="1856"/>
      <c r="R247" s="1865">
        <v>0.05</v>
      </c>
      <c r="S247" s="154"/>
      <c r="T247" s="260"/>
      <c r="U247" s="154"/>
      <c r="V247" s="154"/>
      <c r="W247" s="154"/>
      <c r="X247" s="2501"/>
      <c r="Y247" s="154"/>
      <c r="Z247" s="2433"/>
      <c r="AB247">
        <v>1</v>
      </c>
      <c r="AE247" s="2461"/>
      <c r="AF247" s="68"/>
    </row>
    <row r="248" spans="1:32" ht="30" x14ac:dyDescent="0.35">
      <c r="A248" s="347">
        <v>118</v>
      </c>
      <c r="B248" s="358">
        <v>10328</v>
      </c>
      <c r="C248" s="358"/>
      <c r="D248" s="358" t="s">
        <v>2615</v>
      </c>
      <c r="E248" s="288" t="s">
        <v>3633</v>
      </c>
      <c r="F248" s="13">
        <v>4</v>
      </c>
      <c r="G248" s="13">
        <v>4</v>
      </c>
      <c r="H248" s="13">
        <v>6</v>
      </c>
      <c r="I248" s="501">
        <f t="shared" si="20"/>
        <v>8.2210000000000001</v>
      </c>
      <c r="J248" s="501">
        <f t="shared" si="21"/>
        <v>8.2210000000000001</v>
      </c>
      <c r="K248" s="501"/>
      <c r="L248" s="501"/>
      <c r="M248" s="501"/>
      <c r="N248" s="501">
        <v>8.2210000000000001</v>
      </c>
      <c r="O248" s="568"/>
      <c r="P248" s="501"/>
      <c r="Q248" s="860"/>
      <c r="R248" s="870"/>
      <c r="S248" s="55">
        <v>1</v>
      </c>
      <c r="T248" s="1962">
        <v>18.600000000000001</v>
      </c>
      <c r="U248" s="154"/>
      <c r="V248" s="154"/>
      <c r="W248" s="55">
        <v>24</v>
      </c>
      <c r="X248" s="2432">
        <v>273.8</v>
      </c>
      <c r="Y248" s="55">
        <v>4</v>
      </c>
      <c r="Z248" s="2433">
        <v>35</v>
      </c>
      <c r="AA248" s="3" t="s">
        <v>2096</v>
      </c>
      <c r="AB248">
        <v>1</v>
      </c>
      <c r="AE248" s="2461"/>
      <c r="AF248" s="68"/>
    </row>
    <row r="249" spans="1:32" ht="45.5" x14ac:dyDescent="0.35">
      <c r="A249" s="347">
        <v>119</v>
      </c>
      <c r="B249" s="358">
        <v>10328</v>
      </c>
      <c r="C249" s="358" t="s">
        <v>1656</v>
      </c>
      <c r="D249" s="2464" t="s">
        <v>4500</v>
      </c>
      <c r="E249" s="511" t="s">
        <v>8323</v>
      </c>
      <c r="F249" s="14" t="s">
        <v>664</v>
      </c>
      <c r="G249" s="14">
        <v>5</v>
      </c>
      <c r="H249" s="14">
        <v>6</v>
      </c>
      <c r="I249" s="501">
        <f t="shared" si="20"/>
        <v>0.3</v>
      </c>
      <c r="J249" s="501">
        <f t="shared" si="21"/>
        <v>0.3</v>
      </c>
      <c r="K249" s="501"/>
      <c r="L249" s="501"/>
      <c r="M249" s="501"/>
      <c r="N249" s="501"/>
      <c r="O249" s="568"/>
      <c r="P249" s="501"/>
      <c r="Q249" s="1856"/>
      <c r="R249" s="1865">
        <v>0.3</v>
      </c>
      <c r="S249" s="154"/>
      <c r="T249" s="260"/>
      <c r="U249" s="154"/>
      <c r="V249" s="154"/>
      <c r="W249" s="55"/>
      <c r="X249" s="2432"/>
      <c r="Y249" s="55"/>
      <c r="Z249" s="2433"/>
      <c r="AB249">
        <v>1</v>
      </c>
      <c r="AE249" s="2461"/>
      <c r="AF249" s="68"/>
    </row>
    <row r="250" spans="1:32" ht="30" x14ac:dyDescent="0.35">
      <c r="A250" s="347">
        <v>120</v>
      </c>
      <c r="B250" s="358">
        <v>10328</v>
      </c>
      <c r="C250" s="358"/>
      <c r="D250" s="2464" t="s">
        <v>4501</v>
      </c>
      <c r="E250" s="2068" t="s">
        <v>7585</v>
      </c>
      <c r="F250" s="14" t="s">
        <v>1490</v>
      </c>
      <c r="G250" s="14">
        <v>5</v>
      </c>
      <c r="H250" s="14">
        <v>6</v>
      </c>
      <c r="I250" s="501">
        <f>J250+K250+L250</f>
        <v>0.7</v>
      </c>
      <c r="J250" s="501">
        <f>SUM(M250:R250)</f>
        <v>0.7</v>
      </c>
      <c r="K250" s="501"/>
      <c r="L250" s="501"/>
      <c r="M250" s="501"/>
      <c r="N250" s="501"/>
      <c r="O250" s="568"/>
      <c r="P250" s="501"/>
      <c r="Q250" s="1856"/>
      <c r="R250" s="1865">
        <v>0.7</v>
      </c>
      <c r="S250" s="154"/>
      <c r="T250" s="260"/>
      <c r="U250" s="154"/>
      <c r="V250" s="154"/>
      <c r="W250" s="55"/>
      <c r="X250" s="2432"/>
      <c r="Y250" s="55"/>
      <c r="Z250" s="2433"/>
      <c r="AB250">
        <v>1</v>
      </c>
      <c r="AE250" s="2461"/>
      <c r="AF250" s="68"/>
    </row>
    <row r="251" spans="1:32" ht="30" x14ac:dyDescent="0.35">
      <c r="A251" s="347">
        <v>121</v>
      </c>
      <c r="B251" s="358">
        <v>10329</v>
      </c>
      <c r="C251" s="358"/>
      <c r="D251" s="358" t="s">
        <v>3091</v>
      </c>
      <c r="E251" s="288" t="s">
        <v>3198</v>
      </c>
      <c r="F251" s="13">
        <v>5</v>
      </c>
      <c r="G251" s="13">
        <v>4</v>
      </c>
      <c r="H251" s="13">
        <v>6</v>
      </c>
      <c r="I251" s="501">
        <f t="shared" si="20"/>
        <v>5.36</v>
      </c>
      <c r="J251" s="501">
        <f t="shared" si="21"/>
        <v>5.36</v>
      </c>
      <c r="K251" s="501"/>
      <c r="L251" s="501"/>
      <c r="M251" s="501"/>
      <c r="N251" s="501">
        <v>5.36</v>
      </c>
      <c r="O251" s="568"/>
      <c r="P251" s="501"/>
      <c r="Q251" s="860"/>
      <c r="R251" s="870"/>
      <c r="S251" s="154"/>
      <c r="T251" s="260"/>
      <c r="U251" s="154"/>
      <c r="V251" s="154"/>
      <c r="W251" s="55">
        <v>6</v>
      </c>
      <c r="X251" s="2432">
        <v>121.7</v>
      </c>
      <c r="Y251" s="55"/>
      <c r="Z251" s="2433"/>
      <c r="AA251" s="3" t="s">
        <v>279</v>
      </c>
      <c r="AB251">
        <v>1</v>
      </c>
      <c r="AE251" s="2461"/>
      <c r="AF251" s="68"/>
    </row>
    <row r="252" spans="1:32" ht="30.5" x14ac:dyDescent="0.35">
      <c r="A252" s="347">
        <v>122</v>
      </c>
      <c r="B252" s="358">
        <v>10329</v>
      </c>
      <c r="C252" s="358"/>
      <c r="D252" s="2464" t="s">
        <v>4502</v>
      </c>
      <c r="E252" s="288" t="s">
        <v>7586</v>
      </c>
      <c r="F252" s="13" t="s">
        <v>1490</v>
      </c>
      <c r="G252" s="13">
        <v>5</v>
      </c>
      <c r="H252" s="14">
        <v>6</v>
      </c>
      <c r="I252" s="501">
        <f t="shared" si="20"/>
        <v>1.2</v>
      </c>
      <c r="J252" s="501">
        <f t="shared" si="21"/>
        <v>1.2</v>
      </c>
      <c r="K252" s="501"/>
      <c r="L252" s="501"/>
      <c r="M252" s="501"/>
      <c r="N252" s="501"/>
      <c r="O252" s="568"/>
      <c r="P252" s="501"/>
      <c r="Q252" s="860"/>
      <c r="R252" s="870">
        <v>1.2</v>
      </c>
      <c r="S252" s="154"/>
      <c r="T252" s="260"/>
      <c r="U252" s="154"/>
      <c r="V252" s="154"/>
      <c r="W252" s="55">
        <v>2</v>
      </c>
      <c r="X252" s="2432">
        <v>20</v>
      </c>
      <c r="Y252" s="55"/>
      <c r="Z252" s="2433"/>
      <c r="AA252" s="3"/>
      <c r="AB252">
        <v>1</v>
      </c>
      <c r="AE252" s="2461"/>
      <c r="AF252" s="68"/>
    </row>
    <row r="253" spans="1:32" ht="30.5" x14ac:dyDescent="0.35">
      <c r="A253" s="347">
        <v>123</v>
      </c>
      <c r="B253" s="358">
        <v>10329</v>
      </c>
      <c r="C253" s="358" t="s">
        <v>1656</v>
      </c>
      <c r="D253" s="2464" t="s">
        <v>4503</v>
      </c>
      <c r="E253" s="511" t="s">
        <v>8324</v>
      </c>
      <c r="F253" s="14" t="s">
        <v>664</v>
      </c>
      <c r="G253" s="1944">
        <v>5</v>
      </c>
      <c r="H253" s="14">
        <v>6</v>
      </c>
      <c r="I253" s="297">
        <f t="shared" si="20"/>
        <v>0.2</v>
      </c>
      <c r="J253" s="297">
        <f>SUM(M253:R253)</f>
        <v>0.2</v>
      </c>
      <c r="K253" s="501"/>
      <c r="L253" s="502"/>
      <c r="M253" s="502"/>
      <c r="N253" s="502"/>
      <c r="O253" s="569"/>
      <c r="P253" s="502"/>
      <c r="Q253" s="863"/>
      <c r="R253" s="1865">
        <v>0.2</v>
      </c>
      <c r="S253" s="1944"/>
      <c r="T253" s="2497"/>
      <c r="U253" s="1944"/>
      <c r="V253" s="1944"/>
      <c r="W253" s="1138"/>
      <c r="X253" s="2498"/>
      <c r="Y253" s="1138"/>
      <c r="Z253" s="2499"/>
      <c r="AA253" s="3"/>
      <c r="AB253">
        <v>1</v>
      </c>
      <c r="AE253" s="2461"/>
      <c r="AF253" s="68"/>
    </row>
    <row r="254" spans="1:32" ht="30" x14ac:dyDescent="0.35">
      <c r="A254" s="347">
        <v>124</v>
      </c>
      <c r="B254" s="358">
        <v>10330</v>
      </c>
      <c r="C254" s="358"/>
      <c r="D254" s="358" t="s">
        <v>2616</v>
      </c>
      <c r="E254" s="288" t="s">
        <v>7060</v>
      </c>
      <c r="F254" s="13"/>
      <c r="G254" s="13" t="s">
        <v>191</v>
      </c>
      <c r="H254" s="13" t="s">
        <v>191</v>
      </c>
      <c r="I254" s="501">
        <f t="shared" si="20"/>
        <v>7.4500000000000011</v>
      </c>
      <c r="J254" s="501">
        <f t="shared" si="21"/>
        <v>7.4500000000000011</v>
      </c>
      <c r="K254" s="501"/>
      <c r="L254" s="501"/>
      <c r="M254" s="501"/>
      <c r="N254" s="501">
        <f>SUM(N255:N257)</f>
        <v>4.3600000000000003</v>
      </c>
      <c r="O254" s="568"/>
      <c r="P254" s="501"/>
      <c r="Q254" s="860">
        <f>SUM(Q255:Q257)</f>
        <v>1.7</v>
      </c>
      <c r="R254" s="870">
        <f>SUM(R255:R257)</f>
        <v>1.3900000000000006</v>
      </c>
      <c r="S254" s="154"/>
      <c r="T254" s="260"/>
      <c r="U254" s="154"/>
      <c r="V254" s="154"/>
      <c r="W254" s="55">
        <v>14</v>
      </c>
      <c r="X254" s="2432">
        <v>216.6</v>
      </c>
      <c r="Y254" s="55"/>
      <c r="Z254" s="2433"/>
      <c r="AA254" s="3" t="s">
        <v>3161</v>
      </c>
      <c r="AB254">
        <v>1</v>
      </c>
      <c r="AE254" s="2461"/>
      <c r="AF254" s="68"/>
    </row>
    <row r="255" spans="1:32" ht="15.5" x14ac:dyDescent="0.35">
      <c r="A255" s="363"/>
      <c r="B255" s="358">
        <v>10330</v>
      </c>
      <c r="C255" s="358"/>
      <c r="D255" s="364"/>
      <c r="E255" s="289" t="s">
        <v>2876</v>
      </c>
      <c r="F255" s="13">
        <v>4</v>
      </c>
      <c r="G255" s="13">
        <v>5</v>
      </c>
      <c r="H255" s="13">
        <v>6</v>
      </c>
      <c r="I255" s="502" t="s">
        <v>1516</v>
      </c>
      <c r="J255" s="502" t="s">
        <v>1516</v>
      </c>
      <c r="K255" s="501"/>
      <c r="L255" s="502"/>
      <c r="M255" s="502"/>
      <c r="N255" s="502">
        <v>4.3600000000000003</v>
      </c>
      <c r="O255" s="569"/>
      <c r="P255" s="502"/>
      <c r="Q255" s="863"/>
      <c r="R255" s="873"/>
      <c r="S255" s="1944"/>
      <c r="T255" s="2497"/>
      <c r="U255" s="1944"/>
      <c r="V255" s="1944"/>
      <c r="W255" s="1138"/>
      <c r="X255" s="2498"/>
      <c r="Y255" s="1138"/>
      <c r="Z255" s="2499"/>
      <c r="AA255" s="3" t="s">
        <v>1093</v>
      </c>
      <c r="AE255" s="2461"/>
      <c r="AF255" s="68"/>
    </row>
    <row r="256" spans="1:32" ht="15.5" x14ac:dyDescent="0.35">
      <c r="A256" s="363"/>
      <c r="B256" s="358">
        <v>10330</v>
      </c>
      <c r="C256" s="358"/>
      <c r="D256" s="364"/>
      <c r="E256" s="837" t="s">
        <v>2877</v>
      </c>
      <c r="F256" s="13">
        <v>4</v>
      </c>
      <c r="G256" s="13">
        <v>5</v>
      </c>
      <c r="H256" s="13">
        <v>6</v>
      </c>
      <c r="I256" s="502" t="s">
        <v>1516</v>
      </c>
      <c r="J256" s="502" t="s">
        <v>1516</v>
      </c>
      <c r="K256" s="501"/>
      <c r="L256" s="502"/>
      <c r="M256" s="502"/>
      <c r="N256" s="502"/>
      <c r="O256" s="569"/>
      <c r="P256" s="502"/>
      <c r="Q256" s="863">
        <v>1.7</v>
      </c>
      <c r="R256" s="873"/>
      <c r="S256" s="1944"/>
      <c r="T256" s="2497"/>
      <c r="U256" s="1944"/>
      <c r="V256" s="1944"/>
      <c r="W256" s="1138"/>
      <c r="X256" s="2498"/>
      <c r="Y256" s="1138"/>
      <c r="Z256" s="2499"/>
      <c r="AA256" s="3"/>
      <c r="AE256" s="2461"/>
      <c r="AF256" s="68"/>
    </row>
    <row r="257" spans="1:32" ht="15.5" x14ac:dyDescent="0.35">
      <c r="A257" s="363"/>
      <c r="B257" s="358">
        <v>10330</v>
      </c>
      <c r="C257" s="358"/>
      <c r="D257" s="364"/>
      <c r="E257" s="838" t="s">
        <v>7059</v>
      </c>
      <c r="F257" s="13" t="s">
        <v>664</v>
      </c>
      <c r="G257" s="13">
        <v>5</v>
      </c>
      <c r="H257" s="14">
        <v>6</v>
      </c>
      <c r="I257" s="502" t="s">
        <v>1516</v>
      </c>
      <c r="J257" s="502" t="s">
        <v>1516</v>
      </c>
      <c r="K257" s="501"/>
      <c r="L257" s="502"/>
      <c r="M257" s="502"/>
      <c r="N257" s="502"/>
      <c r="O257" s="569"/>
      <c r="P257" s="502"/>
      <c r="Q257" s="863"/>
      <c r="R257" s="873">
        <f>7.45-6.06</f>
        <v>1.3900000000000006</v>
      </c>
      <c r="S257" s="1944"/>
      <c r="T257" s="2497"/>
      <c r="U257" s="1944"/>
      <c r="V257" s="1944"/>
      <c r="W257" s="1138"/>
      <c r="X257" s="2498"/>
      <c r="Y257" s="1138"/>
      <c r="Z257" s="2499"/>
      <c r="AA257" s="3"/>
      <c r="AE257" s="2461"/>
      <c r="AF257" s="68"/>
    </row>
    <row r="258" spans="1:32" ht="45.5" x14ac:dyDescent="0.35">
      <c r="A258" s="347">
        <v>125</v>
      </c>
      <c r="B258" s="358">
        <v>10330</v>
      </c>
      <c r="C258" s="358" t="s">
        <v>1656</v>
      </c>
      <c r="D258" s="2464" t="s">
        <v>4505</v>
      </c>
      <c r="E258" s="511" t="s">
        <v>8325</v>
      </c>
      <c r="F258" s="14" t="s">
        <v>664</v>
      </c>
      <c r="G258" s="14">
        <v>5</v>
      </c>
      <c r="H258" s="14">
        <v>6</v>
      </c>
      <c r="I258" s="501">
        <f t="shared" ref="I258:I278" si="22">J258+K258+L258</f>
        <v>2.1</v>
      </c>
      <c r="J258" s="501">
        <f t="shared" ref="J258:J278" si="23">SUM(M258:R258)</f>
        <v>2.1</v>
      </c>
      <c r="K258" s="501"/>
      <c r="L258" s="501"/>
      <c r="M258" s="501"/>
      <c r="N258" s="501"/>
      <c r="O258" s="568"/>
      <c r="P258" s="501"/>
      <c r="Q258" s="1856"/>
      <c r="R258" s="1865">
        <v>2.1</v>
      </c>
      <c r="S258" s="154"/>
      <c r="T258" s="260"/>
      <c r="U258" s="154"/>
      <c r="V258" s="154"/>
      <c r="W258" s="55"/>
      <c r="X258" s="2432"/>
      <c r="Y258" s="55"/>
      <c r="Z258" s="2433"/>
      <c r="AB258">
        <v>1</v>
      </c>
      <c r="AE258" s="2461"/>
      <c r="AF258" s="68"/>
    </row>
    <row r="259" spans="1:32" ht="60.5" x14ac:dyDescent="0.35">
      <c r="A259" s="347">
        <v>126</v>
      </c>
      <c r="B259" s="358">
        <v>10330</v>
      </c>
      <c r="C259" s="358" t="s">
        <v>1656</v>
      </c>
      <c r="D259" s="2464" t="s">
        <v>4506</v>
      </c>
      <c r="E259" s="511" t="s">
        <v>8326</v>
      </c>
      <c r="F259" s="14" t="s">
        <v>664</v>
      </c>
      <c r="G259" s="14">
        <v>5</v>
      </c>
      <c r="H259" s="14">
        <v>6</v>
      </c>
      <c r="I259" s="501">
        <f t="shared" si="22"/>
        <v>0.1</v>
      </c>
      <c r="J259" s="501">
        <f t="shared" si="23"/>
        <v>0.1</v>
      </c>
      <c r="K259" s="501"/>
      <c r="L259" s="501"/>
      <c r="M259" s="501"/>
      <c r="N259" s="501"/>
      <c r="O259" s="568"/>
      <c r="P259" s="501"/>
      <c r="Q259" s="1856"/>
      <c r="R259" s="1865">
        <v>0.1</v>
      </c>
      <c r="S259" s="154"/>
      <c r="T259" s="260"/>
      <c r="U259" s="154"/>
      <c r="V259" s="154"/>
      <c r="W259" s="55"/>
      <c r="X259" s="2432"/>
      <c r="Y259" s="55"/>
      <c r="Z259" s="2433"/>
      <c r="AB259">
        <v>1</v>
      </c>
      <c r="AE259" s="2461"/>
      <c r="AF259" s="68"/>
    </row>
    <row r="260" spans="1:32" ht="45.5" x14ac:dyDescent="0.35">
      <c r="A260" s="347">
        <v>127</v>
      </c>
      <c r="B260" s="405">
        <v>10330</v>
      </c>
      <c r="C260" s="358" t="s">
        <v>1656</v>
      </c>
      <c r="D260" s="2464" t="s">
        <v>4507</v>
      </c>
      <c r="E260" s="511" t="s">
        <v>8327</v>
      </c>
      <c r="F260" s="14" t="s">
        <v>664</v>
      </c>
      <c r="G260" s="14">
        <v>5</v>
      </c>
      <c r="H260" s="14">
        <v>6</v>
      </c>
      <c r="I260" s="501">
        <f t="shared" si="22"/>
        <v>0.05</v>
      </c>
      <c r="J260" s="501">
        <f t="shared" si="23"/>
        <v>0.05</v>
      </c>
      <c r="K260" s="501"/>
      <c r="L260" s="501"/>
      <c r="M260" s="501"/>
      <c r="N260" s="501"/>
      <c r="O260" s="568"/>
      <c r="P260" s="501"/>
      <c r="Q260" s="1856"/>
      <c r="R260" s="1865">
        <v>0.05</v>
      </c>
      <c r="S260" s="154"/>
      <c r="T260" s="260"/>
      <c r="U260" s="154"/>
      <c r="V260" s="154"/>
      <c r="W260" s="154"/>
      <c r="X260" s="2501"/>
      <c r="Y260" s="154"/>
      <c r="Z260" s="2433"/>
      <c r="AB260">
        <v>1</v>
      </c>
      <c r="AE260" s="2461"/>
      <c r="AF260" s="68"/>
    </row>
    <row r="261" spans="1:32" ht="30.5" x14ac:dyDescent="0.35">
      <c r="A261" s="347">
        <v>128</v>
      </c>
      <c r="B261" s="358">
        <v>10330</v>
      </c>
      <c r="C261" s="358"/>
      <c r="D261" s="2464" t="s">
        <v>4508</v>
      </c>
      <c r="E261" s="511" t="s">
        <v>7587</v>
      </c>
      <c r="F261" s="14" t="s">
        <v>1490</v>
      </c>
      <c r="G261" s="1944">
        <v>5</v>
      </c>
      <c r="H261" s="14">
        <v>6</v>
      </c>
      <c r="I261" s="297">
        <f t="shared" si="22"/>
        <v>1.7</v>
      </c>
      <c r="J261" s="297">
        <f>SUM(M261:R261)</f>
        <v>1.7</v>
      </c>
      <c r="K261" s="501"/>
      <c r="L261" s="501"/>
      <c r="M261" s="501"/>
      <c r="N261" s="501"/>
      <c r="O261" s="568"/>
      <c r="P261" s="501"/>
      <c r="Q261" s="860"/>
      <c r="R261" s="870">
        <v>1.7</v>
      </c>
      <c r="S261" s="154"/>
      <c r="T261" s="260"/>
      <c r="U261" s="154"/>
      <c r="V261" s="154"/>
      <c r="W261" s="55">
        <v>5</v>
      </c>
      <c r="X261" s="2432">
        <v>50</v>
      </c>
      <c r="Y261" s="55">
        <v>1</v>
      </c>
      <c r="Z261" s="1962">
        <v>10</v>
      </c>
      <c r="AA261" s="3"/>
      <c r="AB261">
        <v>1</v>
      </c>
      <c r="AE261" s="2461"/>
      <c r="AF261" s="68"/>
    </row>
    <row r="262" spans="1:32" ht="30" x14ac:dyDescent="0.35">
      <c r="A262" s="347">
        <v>129</v>
      </c>
      <c r="B262" s="358">
        <v>10331</v>
      </c>
      <c r="C262" s="358"/>
      <c r="D262" s="358" t="s">
        <v>961</v>
      </c>
      <c r="E262" s="511" t="s">
        <v>595</v>
      </c>
      <c r="F262" s="13" t="s">
        <v>664</v>
      </c>
      <c r="G262" s="13">
        <v>5</v>
      </c>
      <c r="H262" s="14">
        <v>6</v>
      </c>
      <c r="I262" s="501">
        <f t="shared" si="22"/>
        <v>2.2000000000000002</v>
      </c>
      <c r="J262" s="501">
        <f t="shared" si="23"/>
        <v>2.2000000000000002</v>
      </c>
      <c r="K262" s="501"/>
      <c r="L262" s="501"/>
      <c r="M262" s="501"/>
      <c r="N262" s="501"/>
      <c r="O262" s="568"/>
      <c r="P262" s="501"/>
      <c r="Q262" s="860"/>
      <c r="R262" s="870">
        <v>2.2000000000000002</v>
      </c>
      <c r="S262" s="154"/>
      <c r="T262" s="260"/>
      <c r="U262" s="154"/>
      <c r="V262" s="154"/>
      <c r="W262" s="55">
        <v>4</v>
      </c>
      <c r="X262" s="2432">
        <v>53.9</v>
      </c>
      <c r="Y262" s="55"/>
      <c r="Z262" s="2433"/>
      <c r="AA262" s="3" t="s">
        <v>3158</v>
      </c>
      <c r="AB262">
        <v>1</v>
      </c>
      <c r="AE262" s="2461"/>
      <c r="AF262" s="68"/>
    </row>
    <row r="263" spans="1:32" ht="30.5" x14ac:dyDescent="0.35">
      <c r="A263" s="347">
        <v>130</v>
      </c>
      <c r="B263" s="358">
        <v>10331</v>
      </c>
      <c r="C263" s="358" t="s">
        <v>1656</v>
      </c>
      <c r="D263" s="2464" t="s">
        <v>4509</v>
      </c>
      <c r="E263" s="511" t="s">
        <v>8328</v>
      </c>
      <c r="F263" s="14" t="s">
        <v>664</v>
      </c>
      <c r="G263" s="14">
        <v>5</v>
      </c>
      <c r="H263" s="14">
        <v>6</v>
      </c>
      <c r="I263" s="501">
        <f t="shared" si="22"/>
        <v>0.1</v>
      </c>
      <c r="J263" s="501">
        <f t="shared" si="23"/>
        <v>0.1</v>
      </c>
      <c r="K263" s="501"/>
      <c r="L263" s="501"/>
      <c r="M263" s="501"/>
      <c r="N263" s="501"/>
      <c r="O263" s="568"/>
      <c r="P263" s="501"/>
      <c r="Q263" s="1856"/>
      <c r="R263" s="1865">
        <v>0.1</v>
      </c>
      <c r="S263" s="154"/>
      <c r="T263" s="260"/>
      <c r="U263" s="154"/>
      <c r="V263" s="154"/>
      <c r="W263" s="154"/>
      <c r="X263" s="2501"/>
      <c r="Y263" s="154"/>
      <c r="Z263" s="2433"/>
      <c r="AB263">
        <v>1</v>
      </c>
      <c r="AE263" s="2461"/>
      <c r="AF263" s="68"/>
    </row>
    <row r="264" spans="1:32" ht="30.5" x14ac:dyDescent="0.35">
      <c r="A264" s="347">
        <v>131</v>
      </c>
      <c r="B264" s="405">
        <v>10331</v>
      </c>
      <c r="C264" s="358" t="s">
        <v>1656</v>
      </c>
      <c r="D264" s="2464" t="s">
        <v>4510</v>
      </c>
      <c r="E264" s="511" t="s">
        <v>8329</v>
      </c>
      <c r="F264" s="14" t="s">
        <v>664</v>
      </c>
      <c r="G264" s="14">
        <v>5</v>
      </c>
      <c r="H264" s="14">
        <v>6</v>
      </c>
      <c r="I264" s="501">
        <f t="shared" si="22"/>
        <v>0.25</v>
      </c>
      <c r="J264" s="501">
        <f t="shared" si="23"/>
        <v>0.25</v>
      </c>
      <c r="K264" s="501"/>
      <c r="L264" s="501"/>
      <c r="M264" s="501"/>
      <c r="N264" s="501"/>
      <c r="O264" s="568"/>
      <c r="P264" s="501"/>
      <c r="Q264" s="1856"/>
      <c r="R264" s="1865">
        <v>0.25</v>
      </c>
      <c r="S264" s="154"/>
      <c r="T264" s="260"/>
      <c r="U264" s="154"/>
      <c r="V264" s="154"/>
      <c r="W264" s="154"/>
      <c r="X264" s="2501"/>
      <c r="Y264" s="154"/>
      <c r="Z264" s="2433"/>
      <c r="AB264">
        <v>1</v>
      </c>
      <c r="AE264" s="2461"/>
      <c r="AF264" s="68"/>
    </row>
    <row r="265" spans="1:32" ht="30" x14ac:dyDescent="0.35">
      <c r="A265" s="347">
        <v>132</v>
      </c>
      <c r="B265" s="358">
        <v>10332</v>
      </c>
      <c r="C265" s="358"/>
      <c r="D265" s="358" t="s">
        <v>962</v>
      </c>
      <c r="E265" s="288" t="s">
        <v>7061</v>
      </c>
      <c r="F265" s="13" t="s">
        <v>827</v>
      </c>
      <c r="G265" s="13">
        <v>5</v>
      </c>
      <c r="H265" s="13">
        <v>6</v>
      </c>
      <c r="I265" s="501">
        <f t="shared" si="22"/>
        <v>2.37</v>
      </c>
      <c r="J265" s="501">
        <f t="shared" si="23"/>
        <v>2.37</v>
      </c>
      <c r="K265" s="501"/>
      <c r="L265" s="501"/>
      <c r="M265" s="501"/>
      <c r="N265" s="501">
        <v>2.37</v>
      </c>
      <c r="O265" s="568"/>
      <c r="P265" s="501"/>
      <c r="Q265" s="860"/>
      <c r="R265" s="870"/>
      <c r="S265" s="154"/>
      <c r="T265" s="260"/>
      <c r="U265" s="154"/>
      <c r="V265" s="154"/>
      <c r="W265" s="55">
        <v>5</v>
      </c>
      <c r="X265" s="2432">
        <v>63.8</v>
      </c>
      <c r="Y265" s="55"/>
      <c r="Z265" s="2433"/>
      <c r="AA265" s="3" t="s">
        <v>425</v>
      </c>
      <c r="AB265">
        <v>1</v>
      </c>
      <c r="AE265" s="2461"/>
      <c r="AF265" s="68"/>
    </row>
    <row r="266" spans="1:32" ht="30" x14ac:dyDescent="0.35">
      <c r="A266" s="347">
        <v>133</v>
      </c>
      <c r="B266" s="358">
        <v>10333</v>
      </c>
      <c r="C266" s="358"/>
      <c r="D266" s="358" t="s">
        <v>963</v>
      </c>
      <c r="E266" s="288" t="s">
        <v>801</v>
      </c>
      <c r="F266" s="13" t="s">
        <v>664</v>
      </c>
      <c r="G266" s="13">
        <v>5</v>
      </c>
      <c r="H266" s="14">
        <v>6</v>
      </c>
      <c r="I266" s="501">
        <f t="shared" si="22"/>
        <v>2</v>
      </c>
      <c r="J266" s="501">
        <f t="shared" si="23"/>
        <v>2</v>
      </c>
      <c r="K266" s="501"/>
      <c r="L266" s="501"/>
      <c r="M266" s="501"/>
      <c r="N266" s="501"/>
      <c r="O266" s="568"/>
      <c r="P266" s="501"/>
      <c r="Q266" s="860"/>
      <c r="R266" s="870">
        <v>2</v>
      </c>
      <c r="S266" s="154"/>
      <c r="T266" s="260"/>
      <c r="U266" s="154"/>
      <c r="V266" s="154"/>
      <c r="W266" s="55"/>
      <c r="X266" s="2432"/>
      <c r="Y266" s="55"/>
      <c r="Z266" s="2433"/>
      <c r="AA266" s="3"/>
      <c r="AB266">
        <v>1</v>
      </c>
      <c r="AE266" s="2461"/>
      <c r="AF266" s="68"/>
    </row>
    <row r="267" spans="1:32" ht="45.5" x14ac:dyDescent="0.35">
      <c r="A267" s="347">
        <v>134</v>
      </c>
      <c r="B267" s="358">
        <v>10333</v>
      </c>
      <c r="C267" s="358" t="s">
        <v>1656</v>
      </c>
      <c r="D267" s="2464" t="s">
        <v>4511</v>
      </c>
      <c r="E267" s="511" t="s">
        <v>9745</v>
      </c>
      <c r="F267" s="14" t="s">
        <v>664</v>
      </c>
      <c r="G267" s="14">
        <v>5</v>
      </c>
      <c r="H267" s="14">
        <v>6</v>
      </c>
      <c r="I267" s="501">
        <f t="shared" si="22"/>
        <v>0.18</v>
      </c>
      <c r="J267" s="501">
        <f t="shared" si="23"/>
        <v>0.18</v>
      </c>
      <c r="K267" s="501"/>
      <c r="L267" s="501"/>
      <c r="M267" s="501"/>
      <c r="N267" s="501"/>
      <c r="O267" s="568"/>
      <c r="P267" s="501"/>
      <c r="Q267" s="1856"/>
      <c r="R267" s="1865">
        <v>0.18</v>
      </c>
      <c r="S267" s="55"/>
      <c r="T267" s="1962"/>
      <c r="U267" s="154"/>
      <c r="V267" s="154"/>
      <c r="W267" s="55"/>
      <c r="X267" s="2432"/>
      <c r="Y267" s="55"/>
      <c r="Z267" s="2433"/>
      <c r="AB267">
        <v>1</v>
      </c>
      <c r="AE267" s="2461"/>
      <c r="AF267" s="68"/>
    </row>
    <row r="268" spans="1:32" ht="30" x14ac:dyDescent="0.35">
      <c r="A268" s="347">
        <v>135</v>
      </c>
      <c r="B268" s="358">
        <v>10334</v>
      </c>
      <c r="C268" s="358"/>
      <c r="D268" s="358" t="s">
        <v>2480</v>
      </c>
      <c r="E268" s="511" t="s">
        <v>2484</v>
      </c>
      <c r="F268" s="14">
        <v>5</v>
      </c>
      <c r="G268" s="14">
        <v>5</v>
      </c>
      <c r="H268" s="14">
        <v>6</v>
      </c>
      <c r="I268" s="501">
        <f>J268+K268+L268</f>
        <v>3.1</v>
      </c>
      <c r="J268" s="501">
        <f>SUM(M268:R268)</f>
        <v>3.1</v>
      </c>
      <c r="K268" s="501"/>
      <c r="L268" s="501"/>
      <c r="M268" s="501"/>
      <c r="N268" s="501"/>
      <c r="O268" s="851">
        <v>3.1</v>
      </c>
      <c r="P268" s="501"/>
      <c r="Q268" s="1856"/>
      <c r="R268" s="1865"/>
      <c r="S268" s="55">
        <v>1</v>
      </c>
      <c r="T268" s="1962">
        <v>18.600000000000001</v>
      </c>
      <c r="U268" s="154"/>
      <c r="V268" s="154"/>
      <c r="W268" s="55">
        <v>2</v>
      </c>
      <c r="X268" s="2432">
        <v>27.4</v>
      </c>
      <c r="Y268" s="55"/>
      <c r="Z268" s="2433"/>
      <c r="AB268">
        <v>1</v>
      </c>
      <c r="AE268" s="2461"/>
      <c r="AF268" s="68"/>
    </row>
    <row r="269" spans="1:32" ht="30.5" x14ac:dyDescent="0.35">
      <c r="A269" s="347">
        <v>136</v>
      </c>
      <c r="B269" s="358">
        <v>10334</v>
      </c>
      <c r="C269" s="358"/>
      <c r="D269" s="2464" t="s">
        <v>4512</v>
      </c>
      <c r="E269" s="288" t="s">
        <v>7588</v>
      </c>
      <c r="F269" s="14"/>
      <c r="G269" s="14" t="s">
        <v>191</v>
      </c>
      <c r="H269" s="13" t="s">
        <v>191</v>
      </c>
      <c r="I269" s="501">
        <f>J269+K269+L269</f>
        <v>0.7</v>
      </c>
      <c r="J269" s="501">
        <f>SUM(M269:R269)</f>
        <v>0.7</v>
      </c>
      <c r="K269" s="501"/>
      <c r="L269" s="501"/>
      <c r="M269" s="501"/>
      <c r="N269" s="501">
        <f>SUM(N270:N271)</f>
        <v>0.1</v>
      </c>
      <c r="O269" s="568"/>
      <c r="P269" s="501"/>
      <c r="Q269" s="860">
        <f>SUM(Q270:Q271)</f>
        <v>0.6</v>
      </c>
      <c r="R269" s="870"/>
      <c r="S269" s="55">
        <v>1</v>
      </c>
      <c r="T269" s="1962">
        <v>12.4</v>
      </c>
      <c r="U269" s="154"/>
      <c r="V269" s="154"/>
      <c r="W269" s="154"/>
      <c r="X269" s="2501"/>
      <c r="Y269" s="154"/>
      <c r="Z269" s="2433"/>
      <c r="AA269" s="3"/>
      <c r="AB269">
        <v>1</v>
      </c>
      <c r="AE269" s="2461"/>
      <c r="AF269" s="68"/>
    </row>
    <row r="270" spans="1:32" ht="15.5" x14ac:dyDescent="0.35">
      <c r="A270" s="363"/>
      <c r="B270" s="358">
        <v>10334</v>
      </c>
      <c r="C270" s="358"/>
      <c r="D270" s="364"/>
      <c r="E270" s="289" t="s">
        <v>1332</v>
      </c>
      <c r="F270" s="14" t="s">
        <v>1490</v>
      </c>
      <c r="G270" s="14">
        <v>5</v>
      </c>
      <c r="H270" s="13">
        <v>6</v>
      </c>
      <c r="I270" s="502" t="s">
        <v>1516</v>
      </c>
      <c r="J270" s="502" t="s">
        <v>1516</v>
      </c>
      <c r="K270" s="501"/>
      <c r="L270" s="502"/>
      <c r="M270" s="502"/>
      <c r="N270" s="502">
        <v>0.1</v>
      </c>
      <c r="O270" s="569"/>
      <c r="P270" s="502"/>
      <c r="Q270" s="863"/>
      <c r="R270" s="873"/>
      <c r="S270" s="1138"/>
      <c r="T270" s="2074"/>
      <c r="U270" s="1944"/>
      <c r="V270" s="1944"/>
      <c r="W270" s="1944"/>
      <c r="X270" s="2503"/>
      <c r="Y270" s="1944"/>
      <c r="Z270" s="2499"/>
      <c r="AA270" s="3"/>
      <c r="AE270" s="2461"/>
      <c r="AF270" s="68"/>
    </row>
    <row r="271" spans="1:32" ht="15.5" x14ac:dyDescent="0.35">
      <c r="A271" s="363"/>
      <c r="B271" s="358">
        <v>10334</v>
      </c>
      <c r="C271" s="358"/>
      <c r="D271" s="364"/>
      <c r="E271" s="884" t="s">
        <v>2481</v>
      </c>
      <c r="F271" s="14" t="s">
        <v>1490</v>
      </c>
      <c r="G271" s="14">
        <v>5</v>
      </c>
      <c r="H271" s="13">
        <v>6</v>
      </c>
      <c r="I271" s="502" t="s">
        <v>1516</v>
      </c>
      <c r="J271" s="502" t="s">
        <v>1516</v>
      </c>
      <c r="K271" s="501"/>
      <c r="L271" s="502"/>
      <c r="M271" s="502"/>
      <c r="N271" s="502"/>
      <c r="O271" s="569"/>
      <c r="P271" s="502"/>
      <c r="Q271" s="863">
        <v>0.6</v>
      </c>
      <c r="R271" s="873"/>
      <c r="S271" s="1138"/>
      <c r="T271" s="2074"/>
      <c r="U271" s="1944"/>
      <c r="V271" s="1944"/>
      <c r="W271" s="1944"/>
      <c r="X271" s="2503"/>
      <c r="Y271" s="1944"/>
      <c r="Z271" s="2499"/>
      <c r="AA271" s="3"/>
      <c r="AE271" s="2461"/>
      <c r="AF271" s="68"/>
    </row>
    <row r="272" spans="1:32" ht="30" x14ac:dyDescent="0.35">
      <c r="A272" s="347">
        <v>137</v>
      </c>
      <c r="B272" s="358">
        <v>10335</v>
      </c>
      <c r="C272" s="358"/>
      <c r="D272" s="358" t="s">
        <v>964</v>
      </c>
      <c r="E272" s="288" t="s">
        <v>2482</v>
      </c>
      <c r="F272" s="13">
        <v>5</v>
      </c>
      <c r="G272" s="13">
        <v>5</v>
      </c>
      <c r="H272" s="13">
        <v>6</v>
      </c>
      <c r="I272" s="501">
        <f t="shared" si="22"/>
        <v>3.97</v>
      </c>
      <c r="J272" s="501">
        <f t="shared" si="23"/>
        <v>3.97</v>
      </c>
      <c r="K272" s="501"/>
      <c r="L272" s="501"/>
      <c r="M272" s="501"/>
      <c r="N272" s="501"/>
      <c r="O272" s="568"/>
      <c r="P272" s="501"/>
      <c r="Q272" s="860">
        <v>3.97</v>
      </c>
      <c r="R272" s="870"/>
      <c r="S272" s="154"/>
      <c r="T272" s="260"/>
      <c r="U272" s="154"/>
      <c r="V272" s="154"/>
      <c r="W272" s="55">
        <v>7</v>
      </c>
      <c r="X272" s="2432">
        <v>116.2</v>
      </c>
      <c r="Y272" s="55"/>
      <c r="Z272" s="2433"/>
      <c r="AA272" s="3" t="s">
        <v>278</v>
      </c>
      <c r="AB272">
        <v>1</v>
      </c>
      <c r="AE272" s="2461"/>
      <c r="AF272" s="68"/>
    </row>
    <row r="273" spans="1:32" ht="30.5" x14ac:dyDescent="0.35">
      <c r="A273" s="347">
        <v>138</v>
      </c>
      <c r="B273" s="358">
        <v>10335</v>
      </c>
      <c r="C273" s="358" t="s">
        <v>1656</v>
      </c>
      <c r="D273" s="2464" t="s">
        <v>4513</v>
      </c>
      <c r="E273" s="511" t="s">
        <v>8330</v>
      </c>
      <c r="F273" s="14" t="s">
        <v>664</v>
      </c>
      <c r="G273" s="14">
        <v>5</v>
      </c>
      <c r="H273" s="14">
        <v>6</v>
      </c>
      <c r="I273" s="501">
        <f t="shared" si="22"/>
        <v>1.1000000000000001</v>
      </c>
      <c r="J273" s="501">
        <f t="shared" si="23"/>
        <v>1.1000000000000001</v>
      </c>
      <c r="K273" s="501"/>
      <c r="L273" s="501"/>
      <c r="M273" s="501"/>
      <c r="N273" s="501"/>
      <c r="O273" s="568"/>
      <c r="P273" s="501"/>
      <c r="Q273" s="1856"/>
      <c r="R273" s="1865">
        <v>1.1000000000000001</v>
      </c>
      <c r="S273" s="154"/>
      <c r="T273" s="260"/>
      <c r="U273" s="154"/>
      <c r="V273" s="154"/>
      <c r="W273" s="55"/>
      <c r="X273" s="2432"/>
      <c r="Y273" s="55"/>
      <c r="Z273" s="2433"/>
      <c r="AB273">
        <v>1</v>
      </c>
      <c r="AE273" s="2461"/>
      <c r="AF273" s="68"/>
    </row>
    <row r="274" spans="1:32" ht="30" x14ac:dyDescent="0.35">
      <c r="A274" s="347">
        <v>139</v>
      </c>
      <c r="B274" s="358">
        <v>10336</v>
      </c>
      <c r="C274" s="358"/>
      <c r="D274" s="358" t="s">
        <v>965</v>
      </c>
      <c r="E274" s="511" t="s">
        <v>603</v>
      </c>
      <c r="F274" s="13" t="s">
        <v>1490</v>
      </c>
      <c r="G274" s="13">
        <v>5</v>
      </c>
      <c r="H274" s="14">
        <v>6</v>
      </c>
      <c r="I274" s="501">
        <f t="shared" si="22"/>
        <v>2.2999999999999998</v>
      </c>
      <c r="J274" s="501">
        <f t="shared" si="23"/>
        <v>2.2999999999999998</v>
      </c>
      <c r="K274" s="501"/>
      <c r="L274" s="501"/>
      <c r="M274" s="501"/>
      <c r="N274" s="501"/>
      <c r="O274" s="568"/>
      <c r="P274" s="501"/>
      <c r="Q274" s="860"/>
      <c r="R274" s="870">
        <v>2.2999999999999998</v>
      </c>
      <c r="S274" s="154"/>
      <c r="T274" s="260"/>
      <c r="U274" s="154"/>
      <c r="V274" s="154"/>
      <c r="W274" s="55">
        <v>5</v>
      </c>
      <c r="X274" s="2432">
        <v>45.8</v>
      </c>
      <c r="Y274" s="55"/>
      <c r="Z274" s="2433"/>
      <c r="AA274" s="3"/>
      <c r="AB274">
        <v>1</v>
      </c>
      <c r="AC274" t="s">
        <v>2570</v>
      </c>
      <c r="AE274" s="2461"/>
      <c r="AF274" s="68"/>
    </row>
    <row r="275" spans="1:32" ht="30.5" x14ac:dyDescent="0.35">
      <c r="A275" s="347">
        <v>140</v>
      </c>
      <c r="B275" s="358">
        <v>10336</v>
      </c>
      <c r="C275" s="358" t="s">
        <v>1656</v>
      </c>
      <c r="D275" s="2464" t="s">
        <v>4514</v>
      </c>
      <c r="E275" s="511" t="s">
        <v>8331</v>
      </c>
      <c r="F275" s="14" t="s">
        <v>664</v>
      </c>
      <c r="G275" s="14">
        <v>5</v>
      </c>
      <c r="H275" s="14">
        <v>6</v>
      </c>
      <c r="I275" s="501">
        <f t="shared" si="22"/>
        <v>0.08</v>
      </c>
      <c r="J275" s="501">
        <f t="shared" si="23"/>
        <v>0.08</v>
      </c>
      <c r="K275" s="501"/>
      <c r="L275" s="501"/>
      <c r="M275" s="501"/>
      <c r="N275" s="501"/>
      <c r="O275" s="568"/>
      <c r="P275" s="501"/>
      <c r="Q275" s="1856"/>
      <c r="R275" s="1865">
        <v>0.08</v>
      </c>
      <c r="S275" s="154"/>
      <c r="T275" s="260"/>
      <c r="U275" s="154"/>
      <c r="V275" s="154"/>
      <c r="W275" s="55"/>
      <c r="X275" s="2432"/>
      <c r="Y275" s="55"/>
      <c r="Z275" s="2433"/>
      <c r="AA275" s="3"/>
      <c r="AB275">
        <v>1</v>
      </c>
      <c r="AE275" s="2461"/>
      <c r="AF275" s="68"/>
    </row>
    <row r="276" spans="1:32" ht="30" x14ac:dyDescent="0.35">
      <c r="A276" s="347">
        <v>141</v>
      </c>
      <c r="B276" s="358">
        <v>10337</v>
      </c>
      <c r="C276" s="358"/>
      <c r="D276" s="358" t="s">
        <v>598</v>
      </c>
      <c r="E276" s="511" t="s">
        <v>7062</v>
      </c>
      <c r="F276" s="13" t="s">
        <v>664</v>
      </c>
      <c r="G276" s="13">
        <v>5</v>
      </c>
      <c r="H276" s="14">
        <v>6</v>
      </c>
      <c r="I276" s="501">
        <f t="shared" si="22"/>
        <v>5.5</v>
      </c>
      <c r="J276" s="501">
        <f t="shared" si="23"/>
        <v>5.5</v>
      </c>
      <c r="K276" s="501"/>
      <c r="L276" s="501"/>
      <c r="M276" s="501"/>
      <c r="N276" s="501"/>
      <c r="O276" s="568"/>
      <c r="P276" s="501"/>
      <c r="Q276" s="860"/>
      <c r="R276" s="870">
        <v>5.5</v>
      </c>
      <c r="S276" s="154"/>
      <c r="T276" s="260"/>
      <c r="U276" s="154"/>
      <c r="V276" s="154"/>
      <c r="W276" s="154">
        <v>2</v>
      </c>
      <c r="X276" s="2501">
        <v>21.8</v>
      </c>
      <c r="Y276" s="154"/>
      <c r="Z276" s="2433"/>
      <c r="AA276" s="3"/>
      <c r="AB276">
        <v>1</v>
      </c>
      <c r="AE276" s="2461"/>
      <c r="AF276" s="68"/>
    </row>
    <row r="277" spans="1:32" ht="45.5" x14ac:dyDescent="0.35">
      <c r="A277" s="347">
        <v>142</v>
      </c>
      <c r="B277" s="358">
        <v>10337</v>
      </c>
      <c r="C277" s="358" t="s">
        <v>1656</v>
      </c>
      <c r="D277" s="2464" t="s">
        <v>4515</v>
      </c>
      <c r="E277" s="511" t="s">
        <v>8332</v>
      </c>
      <c r="F277" s="14" t="s">
        <v>664</v>
      </c>
      <c r="G277" s="14">
        <v>5</v>
      </c>
      <c r="H277" s="14">
        <v>6</v>
      </c>
      <c r="I277" s="501">
        <f t="shared" si="22"/>
        <v>0.9</v>
      </c>
      <c r="J277" s="501">
        <f t="shared" si="23"/>
        <v>0.9</v>
      </c>
      <c r="K277" s="501"/>
      <c r="L277" s="501"/>
      <c r="M277" s="501"/>
      <c r="N277" s="501"/>
      <c r="O277" s="568"/>
      <c r="P277" s="501"/>
      <c r="Q277" s="1856"/>
      <c r="R277" s="1865">
        <v>0.9</v>
      </c>
      <c r="S277" s="55"/>
      <c r="T277" s="1962"/>
      <c r="U277" s="154"/>
      <c r="V277" s="154"/>
      <c r="W277" s="55"/>
      <c r="X277" s="2432"/>
      <c r="Y277" s="55"/>
      <c r="Z277" s="2433"/>
      <c r="AA277" s="3"/>
      <c r="AB277">
        <v>1</v>
      </c>
      <c r="AE277" s="2461"/>
      <c r="AF277" s="68"/>
    </row>
    <row r="278" spans="1:32" ht="30" x14ac:dyDescent="0.35">
      <c r="A278" s="347">
        <v>143</v>
      </c>
      <c r="B278" s="358">
        <v>10338</v>
      </c>
      <c r="C278" s="358"/>
      <c r="D278" s="358" t="s">
        <v>599</v>
      </c>
      <c r="E278" s="288" t="s">
        <v>1563</v>
      </c>
      <c r="F278" s="14"/>
      <c r="G278" s="14" t="s">
        <v>191</v>
      </c>
      <c r="H278" s="13" t="s">
        <v>191</v>
      </c>
      <c r="I278" s="501">
        <f t="shared" si="22"/>
        <v>6.3599999999999994</v>
      </c>
      <c r="J278" s="501">
        <f t="shared" si="23"/>
        <v>6.3599999999999994</v>
      </c>
      <c r="K278" s="501"/>
      <c r="L278" s="501"/>
      <c r="M278" s="501"/>
      <c r="N278" s="2705">
        <f>SUM(N279:N283)</f>
        <v>2.0499999999999994</v>
      </c>
      <c r="O278" s="568"/>
      <c r="P278" s="501"/>
      <c r="Q278" s="860">
        <f>SUM(Q279:Q283)</f>
        <v>4.3100000000000005</v>
      </c>
      <c r="R278" s="870"/>
      <c r="S278" s="55">
        <v>1</v>
      </c>
      <c r="T278" s="1962">
        <v>12.8</v>
      </c>
      <c r="U278" s="55"/>
      <c r="V278" s="55"/>
      <c r="W278" s="154">
        <v>10</v>
      </c>
      <c r="X278" s="2501">
        <v>122.8</v>
      </c>
      <c r="Y278" s="154">
        <v>1</v>
      </c>
      <c r="Z278" s="2433">
        <v>10</v>
      </c>
      <c r="AA278" s="3"/>
      <c r="AB278">
        <v>1</v>
      </c>
      <c r="AE278" s="2461"/>
      <c r="AF278" s="68"/>
    </row>
    <row r="279" spans="1:32" s="2773" customFormat="1" ht="15.5" x14ac:dyDescent="0.35">
      <c r="A279" s="347"/>
      <c r="B279" s="358"/>
      <c r="C279" s="358"/>
      <c r="D279" s="358"/>
      <c r="E279" s="459" t="s">
        <v>1231</v>
      </c>
      <c r="F279" s="1138">
        <v>5</v>
      </c>
      <c r="G279" s="1138">
        <v>4</v>
      </c>
      <c r="H279" s="1138">
        <v>6</v>
      </c>
      <c r="I279" s="831"/>
      <c r="J279" s="831"/>
      <c r="K279" s="831"/>
      <c r="L279" s="831"/>
      <c r="M279" s="831"/>
      <c r="N279" s="831">
        <v>0.82</v>
      </c>
      <c r="O279" s="569"/>
      <c r="P279" s="502"/>
      <c r="Q279" s="1859"/>
      <c r="R279" s="1868"/>
      <c r="S279" s="55"/>
      <c r="T279" s="1962"/>
      <c r="U279" s="55"/>
      <c r="V279" s="55"/>
      <c r="W279" s="154"/>
      <c r="X279" s="2501"/>
      <c r="Y279" s="154"/>
      <c r="Z279" s="2433"/>
      <c r="AA279" s="3"/>
      <c r="AE279" s="2461"/>
      <c r="AF279" s="68"/>
    </row>
    <row r="280" spans="1:32" s="2773" customFormat="1" ht="15.5" x14ac:dyDescent="0.35">
      <c r="A280" s="347"/>
      <c r="B280" s="358"/>
      <c r="C280" s="358"/>
      <c r="D280" s="358"/>
      <c r="E280" s="884" t="s">
        <v>11568</v>
      </c>
      <c r="F280" s="13">
        <v>5</v>
      </c>
      <c r="G280" s="13">
        <v>4</v>
      </c>
      <c r="H280" s="13">
        <v>6</v>
      </c>
      <c r="I280" s="502"/>
      <c r="J280" s="502"/>
      <c r="K280" s="502"/>
      <c r="L280" s="502"/>
      <c r="M280" s="502"/>
      <c r="N280" s="831"/>
      <c r="O280" s="569"/>
      <c r="P280" s="502"/>
      <c r="Q280" s="1859">
        <f>4.12-0.82</f>
        <v>3.3000000000000003</v>
      </c>
      <c r="R280" s="1868"/>
      <c r="S280" s="55"/>
      <c r="T280" s="1962"/>
      <c r="U280" s="55"/>
      <c r="V280" s="55"/>
      <c r="W280" s="154"/>
      <c r="X280" s="2501"/>
      <c r="Y280" s="154"/>
      <c r="Z280" s="2433"/>
      <c r="AA280" s="3"/>
      <c r="AE280" s="2461"/>
      <c r="AF280" s="68"/>
    </row>
    <row r="281" spans="1:32" s="2935" customFormat="1" ht="15.5" x14ac:dyDescent="0.35">
      <c r="A281" s="347"/>
      <c r="B281" s="358"/>
      <c r="C281" s="358"/>
      <c r="D281" s="358"/>
      <c r="E281" s="2868" t="s">
        <v>11570</v>
      </c>
      <c r="F281" s="13">
        <v>5</v>
      </c>
      <c r="G281" s="13">
        <v>4</v>
      </c>
      <c r="H281" s="13">
        <v>6</v>
      </c>
      <c r="I281" s="502"/>
      <c r="J281" s="502"/>
      <c r="K281" s="502"/>
      <c r="L281" s="502"/>
      <c r="M281" s="502"/>
      <c r="N281" s="2608">
        <f>4.14-4.12</f>
        <v>1.9999999999999574E-2</v>
      </c>
      <c r="O281" s="569"/>
      <c r="P281" s="502"/>
      <c r="Q281" s="1859"/>
      <c r="R281" s="1868"/>
      <c r="S281" s="55"/>
      <c r="T281" s="1962"/>
      <c r="U281" s="55"/>
      <c r="V281" s="55"/>
      <c r="W281" s="154"/>
      <c r="X281" s="2501"/>
      <c r="Y281" s="154"/>
      <c r="Z281" s="2433"/>
      <c r="AA281" s="3"/>
      <c r="AE281" s="2461"/>
      <c r="AF281" s="68"/>
    </row>
    <row r="282" spans="1:32" s="2935" customFormat="1" ht="15.5" x14ac:dyDescent="0.35">
      <c r="A282" s="347"/>
      <c r="B282" s="358"/>
      <c r="C282" s="358"/>
      <c r="D282" s="358"/>
      <c r="E282" s="884" t="s">
        <v>11567</v>
      </c>
      <c r="F282" s="13">
        <v>5</v>
      </c>
      <c r="G282" s="13">
        <v>4</v>
      </c>
      <c r="H282" s="13">
        <v>6</v>
      </c>
      <c r="I282" s="502"/>
      <c r="J282" s="502"/>
      <c r="K282" s="502"/>
      <c r="L282" s="502"/>
      <c r="M282" s="502"/>
      <c r="N282" s="831"/>
      <c r="O282" s="569"/>
      <c r="P282" s="502"/>
      <c r="Q282" s="1859">
        <f>5.15-4.14</f>
        <v>1.0100000000000007</v>
      </c>
      <c r="R282" s="1868"/>
      <c r="S282" s="55"/>
      <c r="T282" s="1962"/>
      <c r="U282" s="55"/>
      <c r="V282" s="55"/>
      <c r="W282" s="154"/>
      <c r="X282" s="2501"/>
      <c r="Y282" s="154"/>
      <c r="Z282" s="2433"/>
      <c r="AA282" s="3"/>
      <c r="AE282" s="2461"/>
      <c r="AF282" s="68"/>
    </row>
    <row r="283" spans="1:32" s="2773" customFormat="1" ht="15.5" x14ac:dyDescent="0.35">
      <c r="A283" s="347"/>
      <c r="B283" s="358"/>
      <c r="C283" s="358"/>
      <c r="D283" s="358"/>
      <c r="E283" s="459" t="s">
        <v>11569</v>
      </c>
      <c r="F283" s="13">
        <v>5</v>
      </c>
      <c r="G283" s="13">
        <v>4</v>
      </c>
      <c r="H283" s="13">
        <v>6</v>
      </c>
      <c r="I283" s="502"/>
      <c r="J283" s="502"/>
      <c r="K283" s="502"/>
      <c r="L283" s="502"/>
      <c r="M283" s="502"/>
      <c r="N283" s="2608">
        <f>6.36-5.15</f>
        <v>1.21</v>
      </c>
      <c r="O283" s="569"/>
      <c r="P283" s="502"/>
      <c r="Q283" s="1859"/>
      <c r="R283" s="1868"/>
      <c r="S283" s="55"/>
      <c r="T283" s="1962"/>
      <c r="U283" s="55"/>
      <c r="V283" s="55"/>
      <c r="W283" s="154"/>
      <c r="X283" s="2501"/>
      <c r="Y283" s="154"/>
      <c r="Z283" s="2433"/>
      <c r="AA283" s="3"/>
      <c r="AE283" s="2461"/>
      <c r="AF283" s="68"/>
    </row>
    <row r="284" spans="1:32" ht="30" x14ac:dyDescent="0.35">
      <c r="A284" s="347">
        <v>144</v>
      </c>
      <c r="B284" s="358">
        <v>10339</v>
      </c>
      <c r="C284" s="358"/>
      <c r="D284" s="358" t="s">
        <v>1700</v>
      </c>
      <c r="E284" s="288" t="s">
        <v>2872</v>
      </c>
      <c r="F284" s="13"/>
      <c r="G284" s="13" t="s">
        <v>191</v>
      </c>
      <c r="H284" s="13" t="s">
        <v>191</v>
      </c>
      <c r="I284" s="501">
        <f>J284+K284+L284</f>
        <v>3.8</v>
      </c>
      <c r="J284" s="501">
        <f>SUM(M284:R284)</f>
        <v>3.8</v>
      </c>
      <c r="K284" s="501"/>
      <c r="L284" s="501"/>
      <c r="M284" s="501"/>
      <c r="N284" s="501">
        <f>SUM(N285:N286)</f>
        <v>2.8</v>
      </c>
      <c r="O284" s="568"/>
      <c r="P284" s="501"/>
      <c r="Q284" s="860"/>
      <c r="R284" s="870">
        <f>SUM(R285:R286)</f>
        <v>1</v>
      </c>
      <c r="S284" s="154"/>
      <c r="T284" s="260"/>
      <c r="U284" s="154"/>
      <c r="V284" s="154"/>
      <c r="W284" s="55">
        <v>6</v>
      </c>
      <c r="X284" s="2432">
        <v>62.3</v>
      </c>
      <c r="Y284" s="55"/>
      <c r="Z284" s="2433"/>
      <c r="AA284" s="3"/>
      <c r="AB284">
        <v>1</v>
      </c>
      <c r="AE284" s="2461"/>
      <c r="AF284" s="68"/>
    </row>
    <row r="285" spans="1:32" ht="15.5" x14ac:dyDescent="0.35">
      <c r="A285" s="363"/>
      <c r="B285" s="358">
        <v>10339</v>
      </c>
      <c r="C285" s="358"/>
      <c r="D285" s="364"/>
      <c r="E285" s="289" t="s">
        <v>815</v>
      </c>
      <c r="F285" s="13">
        <v>5</v>
      </c>
      <c r="G285" s="13">
        <v>5</v>
      </c>
      <c r="H285" s="13">
        <v>6</v>
      </c>
      <c r="I285" s="502" t="s">
        <v>1516</v>
      </c>
      <c r="J285" s="502" t="s">
        <v>1516</v>
      </c>
      <c r="K285" s="501"/>
      <c r="L285" s="502"/>
      <c r="M285" s="502"/>
      <c r="N285" s="502">
        <v>2.8</v>
      </c>
      <c r="O285" s="569"/>
      <c r="P285" s="502"/>
      <c r="Q285" s="863"/>
      <c r="R285" s="873"/>
      <c r="S285" s="1944"/>
      <c r="T285" s="2497"/>
      <c r="U285" s="1944"/>
      <c r="V285" s="1944"/>
      <c r="W285" s="1138"/>
      <c r="X285" s="2498"/>
      <c r="Y285" s="1138"/>
      <c r="Z285" s="2499"/>
      <c r="AA285" s="3"/>
      <c r="AE285" s="2461"/>
      <c r="AF285" s="68"/>
    </row>
    <row r="286" spans="1:32" ht="15.5" x14ac:dyDescent="0.35">
      <c r="A286" s="363"/>
      <c r="B286" s="358">
        <v>10339</v>
      </c>
      <c r="C286" s="358"/>
      <c r="D286" s="364"/>
      <c r="E286" s="838" t="s">
        <v>328</v>
      </c>
      <c r="F286" s="13" t="s">
        <v>664</v>
      </c>
      <c r="G286" s="13">
        <v>5</v>
      </c>
      <c r="H286" s="14">
        <v>6</v>
      </c>
      <c r="I286" s="502" t="s">
        <v>1516</v>
      </c>
      <c r="J286" s="502" t="s">
        <v>1516</v>
      </c>
      <c r="K286" s="501"/>
      <c r="L286" s="502"/>
      <c r="M286" s="502"/>
      <c r="N286" s="502"/>
      <c r="O286" s="569"/>
      <c r="P286" s="502"/>
      <c r="Q286" s="863"/>
      <c r="R286" s="873">
        <f>3.8-2.8</f>
        <v>1</v>
      </c>
      <c r="S286" s="1944"/>
      <c r="T286" s="2497"/>
      <c r="U286" s="1944"/>
      <c r="V286" s="1944"/>
      <c r="W286" s="1138"/>
      <c r="X286" s="2498"/>
      <c r="Y286" s="1138"/>
      <c r="Z286" s="2499"/>
      <c r="AA286" s="3"/>
      <c r="AE286" s="2461"/>
      <c r="AF286" s="68"/>
    </row>
    <row r="287" spans="1:32" ht="30.5" x14ac:dyDescent="0.35">
      <c r="A287" s="347">
        <v>145</v>
      </c>
      <c r="B287" s="358">
        <v>10339</v>
      </c>
      <c r="C287" s="358" t="s">
        <v>1656</v>
      </c>
      <c r="D287" s="2464" t="s">
        <v>4516</v>
      </c>
      <c r="E287" s="511" t="s">
        <v>8333</v>
      </c>
      <c r="F287" s="14" t="s">
        <v>664</v>
      </c>
      <c r="G287" s="14">
        <v>5</v>
      </c>
      <c r="H287" s="14">
        <v>6</v>
      </c>
      <c r="I287" s="501">
        <f>J287+K287+L287</f>
        <v>1.3</v>
      </c>
      <c r="J287" s="501">
        <f>SUM(M287:R287)</f>
        <v>1.3</v>
      </c>
      <c r="K287" s="501"/>
      <c r="L287" s="501"/>
      <c r="M287" s="501"/>
      <c r="N287" s="501"/>
      <c r="O287" s="568"/>
      <c r="P287" s="501"/>
      <c r="Q287" s="1856"/>
      <c r="R287" s="1865">
        <v>1.3</v>
      </c>
      <c r="S287" s="55"/>
      <c r="T287" s="1962"/>
      <c r="U287" s="154"/>
      <c r="V287" s="154"/>
      <c r="W287" s="55"/>
      <c r="X287" s="2432"/>
      <c r="Y287" s="55"/>
      <c r="Z287" s="2433"/>
      <c r="AA287" s="3"/>
      <c r="AB287">
        <v>1</v>
      </c>
      <c r="AE287" s="2461"/>
      <c r="AF287" s="68"/>
    </row>
    <row r="288" spans="1:32" ht="30.5" x14ac:dyDescent="0.35">
      <c r="A288" s="455">
        <v>146</v>
      </c>
      <c r="B288" s="358">
        <v>10340</v>
      </c>
      <c r="C288" s="358"/>
      <c r="D288" s="358" t="s">
        <v>3092</v>
      </c>
      <c r="E288" s="288" t="s">
        <v>7063</v>
      </c>
      <c r="F288" s="13"/>
      <c r="G288" s="13" t="s">
        <v>191</v>
      </c>
      <c r="H288" s="13" t="s">
        <v>191</v>
      </c>
      <c r="I288" s="501">
        <f>J288+K288+L288</f>
        <v>4.2</v>
      </c>
      <c r="J288" s="501">
        <f>SUM(M288:R288)</f>
        <v>4.2</v>
      </c>
      <c r="K288" s="501"/>
      <c r="L288" s="501"/>
      <c r="M288" s="501"/>
      <c r="N288" s="501">
        <f>SUM(N289:N290)</f>
        <v>2.31</v>
      </c>
      <c r="O288" s="568"/>
      <c r="P288" s="501"/>
      <c r="Q288" s="860"/>
      <c r="R288" s="870">
        <f>SUM(R289:R290)</f>
        <v>1.8900000000000001</v>
      </c>
      <c r="S288" s="55"/>
      <c r="T288" s="1962"/>
      <c r="U288" s="154"/>
      <c r="V288" s="154"/>
      <c r="W288" s="55">
        <v>4</v>
      </c>
      <c r="X288" s="2432">
        <v>47.8</v>
      </c>
      <c r="Y288" s="55"/>
      <c r="Z288" s="2433"/>
      <c r="AA288" s="3"/>
      <c r="AB288">
        <v>1</v>
      </c>
      <c r="AE288" s="2461"/>
      <c r="AF288" s="68"/>
    </row>
    <row r="289" spans="1:32" ht="15.5" x14ac:dyDescent="0.35">
      <c r="A289" s="456"/>
      <c r="B289" s="358">
        <v>10340</v>
      </c>
      <c r="C289" s="358"/>
      <c r="D289" s="364"/>
      <c r="E289" s="289" t="s">
        <v>2551</v>
      </c>
      <c r="F289" s="13">
        <v>5</v>
      </c>
      <c r="G289" s="13">
        <v>5</v>
      </c>
      <c r="H289" s="13">
        <v>6</v>
      </c>
      <c r="I289" s="502" t="s">
        <v>1516</v>
      </c>
      <c r="J289" s="502" t="s">
        <v>1516</v>
      </c>
      <c r="K289" s="501"/>
      <c r="L289" s="502"/>
      <c r="M289" s="502"/>
      <c r="N289" s="502">
        <v>2.31</v>
      </c>
      <c r="O289" s="569"/>
      <c r="P289" s="502"/>
      <c r="Q289" s="863"/>
      <c r="R289" s="873"/>
      <c r="S289" s="1138"/>
      <c r="T289" s="2074"/>
      <c r="U289" s="1944"/>
      <c r="V289" s="1944"/>
      <c r="W289" s="1138"/>
      <c r="X289" s="2498"/>
      <c r="Y289" s="1138"/>
      <c r="Z289" s="2499"/>
      <c r="AA289" s="3"/>
      <c r="AE289" s="2461"/>
      <c r="AF289" s="68"/>
    </row>
    <row r="290" spans="1:32" ht="15.5" x14ac:dyDescent="0.35">
      <c r="A290" s="456"/>
      <c r="B290" s="358">
        <v>10340</v>
      </c>
      <c r="C290" s="358"/>
      <c r="D290" s="364"/>
      <c r="E290" s="838" t="s">
        <v>7064</v>
      </c>
      <c r="F290" s="13" t="s">
        <v>827</v>
      </c>
      <c r="G290" s="13">
        <v>5</v>
      </c>
      <c r="H290" s="14">
        <v>6</v>
      </c>
      <c r="I290" s="502" t="s">
        <v>1516</v>
      </c>
      <c r="J290" s="502" t="s">
        <v>1516</v>
      </c>
      <c r="K290" s="501"/>
      <c r="L290" s="502"/>
      <c r="M290" s="502"/>
      <c r="N290" s="502"/>
      <c r="O290" s="569"/>
      <c r="P290" s="502"/>
      <c r="Q290" s="863"/>
      <c r="R290" s="873">
        <f>4.2-2.31</f>
        <v>1.8900000000000001</v>
      </c>
      <c r="S290" s="1138"/>
      <c r="T290" s="2074"/>
      <c r="U290" s="1944"/>
      <c r="V290" s="1944"/>
      <c r="W290" s="1138"/>
      <c r="X290" s="2498"/>
      <c r="Y290" s="1138"/>
      <c r="Z290" s="2499"/>
      <c r="AA290" s="3"/>
      <c r="AE290" s="2461"/>
      <c r="AF290" s="68"/>
    </row>
    <row r="291" spans="1:32" ht="45.5" x14ac:dyDescent="0.35">
      <c r="A291" s="347">
        <v>147</v>
      </c>
      <c r="B291" s="1024">
        <v>10340</v>
      </c>
      <c r="C291" s="358" t="s">
        <v>1656</v>
      </c>
      <c r="D291" s="2464" t="s">
        <v>4517</v>
      </c>
      <c r="E291" s="511" t="s">
        <v>8334</v>
      </c>
      <c r="F291" s="14" t="s">
        <v>664</v>
      </c>
      <c r="G291" s="14">
        <v>5</v>
      </c>
      <c r="H291" s="14">
        <v>6</v>
      </c>
      <c r="I291" s="501">
        <f t="shared" ref="I291:I298" si="24">J291+K291+L291</f>
        <v>1.4</v>
      </c>
      <c r="J291" s="501">
        <f t="shared" ref="J291:J298" si="25">SUM(M291:R291)</f>
        <v>1.4</v>
      </c>
      <c r="K291" s="501"/>
      <c r="L291" s="501"/>
      <c r="M291" s="501"/>
      <c r="N291" s="501"/>
      <c r="O291" s="568"/>
      <c r="P291" s="501"/>
      <c r="Q291" s="1856"/>
      <c r="R291" s="1865">
        <v>1.4</v>
      </c>
      <c r="S291" s="55"/>
      <c r="T291" s="1962"/>
      <c r="U291" s="154"/>
      <c r="V291" s="154"/>
      <c r="W291" s="55"/>
      <c r="X291" s="2432"/>
      <c r="Y291" s="55"/>
      <c r="Z291" s="2433"/>
      <c r="AA291" s="3"/>
      <c r="AB291">
        <v>1</v>
      </c>
      <c r="AE291" s="2461"/>
      <c r="AF291" s="68"/>
    </row>
    <row r="292" spans="1:32" ht="45.5" x14ac:dyDescent="0.35">
      <c r="A292" s="347">
        <v>148</v>
      </c>
      <c r="B292" s="1024">
        <v>10340</v>
      </c>
      <c r="C292" s="358" t="s">
        <v>1656</v>
      </c>
      <c r="D292" s="2464" t="s">
        <v>4519</v>
      </c>
      <c r="E292" s="511" t="s">
        <v>8335</v>
      </c>
      <c r="F292" s="14" t="s">
        <v>664</v>
      </c>
      <c r="G292" s="14">
        <v>5</v>
      </c>
      <c r="H292" s="14">
        <v>6</v>
      </c>
      <c r="I292" s="501">
        <f t="shared" si="24"/>
        <v>0.63</v>
      </c>
      <c r="J292" s="501">
        <f t="shared" si="25"/>
        <v>0.63</v>
      </c>
      <c r="K292" s="501"/>
      <c r="L292" s="501"/>
      <c r="M292" s="501"/>
      <c r="N292" s="501"/>
      <c r="O292" s="568"/>
      <c r="P292" s="501"/>
      <c r="Q292" s="1856"/>
      <c r="R292" s="1865">
        <v>0.63</v>
      </c>
      <c r="S292" s="154"/>
      <c r="T292" s="260"/>
      <c r="U292" s="154"/>
      <c r="V292" s="154"/>
      <c r="W292" s="154"/>
      <c r="X292" s="2501"/>
      <c r="Y292" s="154"/>
      <c r="Z292" s="2433"/>
      <c r="AA292" s="3"/>
      <c r="AB292">
        <v>1</v>
      </c>
      <c r="AE292" s="2461"/>
      <c r="AF292" s="68"/>
    </row>
    <row r="293" spans="1:32" ht="30" x14ac:dyDescent="0.35">
      <c r="A293" s="347">
        <v>149</v>
      </c>
      <c r="B293" s="1024">
        <v>10341</v>
      </c>
      <c r="C293" s="1024"/>
      <c r="D293" s="358" t="s">
        <v>3093</v>
      </c>
      <c r="E293" s="417" t="s">
        <v>9746</v>
      </c>
      <c r="F293" s="13">
        <v>5</v>
      </c>
      <c r="G293" s="13">
        <v>5</v>
      </c>
      <c r="H293" s="13">
        <v>6</v>
      </c>
      <c r="I293" s="501">
        <f t="shared" si="24"/>
        <v>1.1599999999999999</v>
      </c>
      <c r="J293" s="501">
        <f t="shared" si="25"/>
        <v>1.1599999999999999</v>
      </c>
      <c r="K293" s="501"/>
      <c r="L293" s="501"/>
      <c r="M293" s="501"/>
      <c r="N293" s="501"/>
      <c r="O293" s="568"/>
      <c r="P293" s="501"/>
      <c r="Q293" s="860">
        <v>1.1599999999999999</v>
      </c>
      <c r="R293" s="870"/>
      <c r="S293" s="154"/>
      <c r="T293" s="260"/>
      <c r="U293" s="154"/>
      <c r="V293" s="154"/>
      <c r="W293" s="55">
        <v>2</v>
      </c>
      <c r="X293" s="2432">
        <v>21.2</v>
      </c>
      <c r="Y293" s="55"/>
      <c r="Z293" s="2433"/>
      <c r="AA293" s="3"/>
      <c r="AB293">
        <v>1</v>
      </c>
      <c r="AE293" s="2461"/>
      <c r="AF293" s="68"/>
    </row>
    <row r="294" spans="1:32" ht="30" x14ac:dyDescent="0.35">
      <c r="A294" s="347">
        <v>150</v>
      </c>
      <c r="B294" s="1024">
        <v>10342</v>
      </c>
      <c r="C294" s="1024"/>
      <c r="D294" s="358" t="s">
        <v>3094</v>
      </c>
      <c r="E294" s="417" t="s">
        <v>208</v>
      </c>
      <c r="F294" s="13"/>
      <c r="G294" s="13" t="s">
        <v>191</v>
      </c>
      <c r="H294" s="13" t="s">
        <v>191</v>
      </c>
      <c r="I294" s="501">
        <f t="shared" si="24"/>
        <v>4.1900000000000004</v>
      </c>
      <c r="J294" s="501">
        <f t="shared" si="25"/>
        <v>4.1900000000000004</v>
      </c>
      <c r="K294" s="501"/>
      <c r="L294" s="501"/>
      <c r="M294" s="501"/>
      <c r="N294" s="501">
        <f>SUM(N295:N296)</f>
        <v>3.5</v>
      </c>
      <c r="O294" s="568"/>
      <c r="P294" s="501"/>
      <c r="Q294" s="860"/>
      <c r="R294" s="870">
        <f>SUM(R295:R296)</f>
        <v>0.69000000000000039</v>
      </c>
      <c r="S294" s="154"/>
      <c r="T294" s="260"/>
      <c r="U294" s="154"/>
      <c r="V294" s="154"/>
      <c r="W294" s="55">
        <v>6</v>
      </c>
      <c r="X294" s="2432">
        <v>63.9</v>
      </c>
      <c r="Y294" s="55"/>
      <c r="Z294" s="2433"/>
      <c r="AA294" s="3"/>
      <c r="AB294">
        <v>1</v>
      </c>
      <c r="AE294" s="2461"/>
      <c r="AF294" s="68"/>
    </row>
    <row r="295" spans="1:32" ht="15.5" x14ac:dyDescent="0.35">
      <c r="A295" s="347"/>
      <c r="B295" s="1024">
        <v>10342</v>
      </c>
      <c r="C295" s="1024"/>
      <c r="D295" s="358"/>
      <c r="E295" s="289" t="s">
        <v>2873</v>
      </c>
      <c r="F295" s="13">
        <v>5</v>
      </c>
      <c r="G295" s="13">
        <v>5</v>
      </c>
      <c r="H295" s="13">
        <v>6</v>
      </c>
      <c r="I295" s="501"/>
      <c r="J295" s="501"/>
      <c r="K295" s="501"/>
      <c r="L295" s="501"/>
      <c r="M295" s="501"/>
      <c r="N295" s="501">
        <v>3.5</v>
      </c>
      <c r="O295" s="568"/>
      <c r="P295" s="501"/>
      <c r="Q295" s="860"/>
      <c r="R295" s="870"/>
      <c r="S295" s="154"/>
      <c r="T295" s="260"/>
      <c r="U295" s="154"/>
      <c r="V295" s="154"/>
      <c r="W295" s="55"/>
      <c r="X295" s="2432"/>
      <c r="Y295" s="55"/>
      <c r="Z295" s="2433"/>
      <c r="AA295" s="3"/>
      <c r="AE295" s="2461"/>
      <c r="AF295" s="68"/>
    </row>
    <row r="296" spans="1:32" ht="15.5" x14ac:dyDescent="0.35">
      <c r="A296" s="347"/>
      <c r="B296" s="1024">
        <v>10342</v>
      </c>
      <c r="C296" s="1024"/>
      <c r="D296" s="358"/>
      <c r="E296" s="838" t="s">
        <v>2874</v>
      </c>
      <c r="F296" s="13" t="s">
        <v>664</v>
      </c>
      <c r="G296" s="13">
        <v>5</v>
      </c>
      <c r="H296" s="14">
        <v>6</v>
      </c>
      <c r="I296" s="501"/>
      <c r="J296" s="501"/>
      <c r="K296" s="501"/>
      <c r="L296" s="501"/>
      <c r="M296" s="501"/>
      <c r="N296" s="501"/>
      <c r="O296" s="568"/>
      <c r="P296" s="501"/>
      <c r="Q296" s="860"/>
      <c r="R296" s="870">
        <f>4.19-3.5</f>
        <v>0.69000000000000039</v>
      </c>
      <c r="S296" s="154"/>
      <c r="T296" s="260"/>
      <c r="U296" s="154"/>
      <c r="V296" s="154"/>
      <c r="W296" s="55"/>
      <c r="X296" s="2432"/>
      <c r="Y296" s="55"/>
      <c r="Z296" s="2433"/>
      <c r="AA296" s="3"/>
      <c r="AE296" s="2461"/>
      <c r="AF296" s="68"/>
    </row>
    <row r="297" spans="1:32" ht="30.5" x14ac:dyDescent="0.35">
      <c r="A297" s="347">
        <v>151</v>
      </c>
      <c r="B297" s="1024">
        <v>10342</v>
      </c>
      <c r="C297" s="358" t="s">
        <v>1656</v>
      </c>
      <c r="D297" s="2464" t="s">
        <v>4521</v>
      </c>
      <c r="E297" s="443" t="s">
        <v>8336</v>
      </c>
      <c r="F297" s="14" t="s">
        <v>664</v>
      </c>
      <c r="G297" s="14">
        <v>5</v>
      </c>
      <c r="H297" s="14">
        <v>6</v>
      </c>
      <c r="I297" s="501">
        <f t="shared" si="24"/>
        <v>0.15</v>
      </c>
      <c r="J297" s="501">
        <f t="shared" si="25"/>
        <v>0.15</v>
      </c>
      <c r="K297" s="501"/>
      <c r="L297" s="501"/>
      <c r="M297" s="501"/>
      <c r="N297" s="501"/>
      <c r="O297" s="568"/>
      <c r="P297" s="501"/>
      <c r="Q297" s="1856"/>
      <c r="R297" s="1865">
        <v>0.15</v>
      </c>
      <c r="S297" s="55"/>
      <c r="T297" s="1962"/>
      <c r="U297" s="154"/>
      <c r="V297" s="154"/>
      <c r="W297" s="154"/>
      <c r="X297" s="2501"/>
      <c r="Y297" s="154"/>
      <c r="Z297" s="2433"/>
      <c r="AA297" s="3"/>
      <c r="AB297">
        <v>1</v>
      </c>
      <c r="AE297" s="2461"/>
      <c r="AF297" s="68"/>
    </row>
    <row r="298" spans="1:32" ht="30" x14ac:dyDescent="0.35">
      <c r="A298" s="347">
        <v>152</v>
      </c>
      <c r="B298" s="1024">
        <v>10343</v>
      </c>
      <c r="C298" s="1024"/>
      <c r="D298" s="358" t="s">
        <v>2751</v>
      </c>
      <c r="E298" s="417" t="s">
        <v>7065</v>
      </c>
      <c r="F298" s="13"/>
      <c r="G298" s="13" t="s">
        <v>191</v>
      </c>
      <c r="H298" s="13" t="s">
        <v>191</v>
      </c>
      <c r="I298" s="501">
        <f t="shared" si="24"/>
        <v>2.9299999999999997</v>
      </c>
      <c r="J298" s="501">
        <f t="shared" si="25"/>
        <v>2.9299999999999997</v>
      </c>
      <c r="K298" s="501"/>
      <c r="L298" s="501"/>
      <c r="M298" s="501"/>
      <c r="N298" s="501"/>
      <c r="O298" s="568"/>
      <c r="P298" s="501"/>
      <c r="Q298" s="860">
        <f>SUM(Q299:Q300)</f>
        <v>1.43</v>
      </c>
      <c r="R298" s="870">
        <f>SUM(R299:R300)</f>
        <v>1.5</v>
      </c>
      <c r="S298" s="154"/>
      <c r="T298" s="260"/>
      <c r="U298" s="154"/>
      <c r="V298" s="154"/>
      <c r="W298" s="55">
        <v>4</v>
      </c>
      <c r="X298" s="2432">
        <v>50.1</v>
      </c>
      <c r="Y298" s="55"/>
      <c r="Z298" s="2433"/>
      <c r="AA298" s="3"/>
      <c r="AB298">
        <v>1</v>
      </c>
      <c r="AE298" s="2461"/>
      <c r="AF298" s="68"/>
    </row>
    <row r="299" spans="1:32" ht="15.5" x14ac:dyDescent="0.35">
      <c r="A299" s="363"/>
      <c r="B299" s="1024">
        <v>10343</v>
      </c>
      <c r="C299" s="1024"/>
      <c r="D299" s="364"/>
      <c r="E299" s="884" t="s">
        <v>1973</v>
      </c>
      <c r="F299" s="13">
        <v>5</v>
      </c>
      <c r="G299" s="13">
        <v>5</v>
      </c>
      <c r="H299" s="13">
        <v>6</v>
      </c>
      <c r="I299" s="502" t="s">
        <v>1516</v>
      </c>
      <c r="J299" s="502" t="s">
        <v>1516</v>
      </c>
      <c r="K299" s="501"/>
      <c r="L299" s="502"/>
      <c r="M299" s="502"/>
      <c r="N299" s="502"/>
      <c r="O299" s="569"/>
      <c r="P299" s="502"/>
      <c r="Q299" s="863">
        <v>1.43</v>
      </c>
      <c r="R299" s="873"/>
      <c r="S299" s="1944"/>
      <c r="T299" s="2497"/>
      <c r="U299" s="1944"/>
      <c r="V299" s="1944"/>
      <c r="W299" s="1138"/>
      <c r="X299" s="2498"/>
      <c r="Y299" s="1138"/>
      <c r="Z299" s="2499"/>
      <c r="AA299" s="3"/>
      <c r="AE299" s="2461"/>
      <c r="AF299" s="68"/>
    </row>
    <row r="300" spans="1:32" ht="15.5" x14ac:dyDescent="0.35">
      <c r="A300" s="363"/>
      <c r="B300" s="1024">
        <v>10343</v>
      </c>
      <c r="C300" s="1024"/>
      <c r="D300" s="364"/>
      <c r="E300" s="885" t="s">
        <v>1019</v>
      </c>
      <c r="F300" s="13" t="s">
        <v>827</v>
      </c>
      <c r="G300" s="13">
        <v>5</v>
      </c>
      <c r="H300" s="14">
        <v>6</v>
      </c>
      <c r="I300" s="502" t="s">
        <v>1516</v>
      </c>
      <c r="J300" s="502" t="s">
        <v>1516</v>
      </c>
      <c r="K300" s="501"/>
      <c r="L300" s="502"/>
      <c r="M300" s="502"/>
      <c r="N300" s="502"/>
      <c r="O300" s="569"/>
      <c r="P300" s="502"/>
      <c r="Q300" s="863"/>
      <c r="R300" s="873">
        <v>1.5</v>
      </c>
      <c r="S300" s="1944"/>
      <c r="T300" s="2497"/>
      <c r="U300" s="1944"/>
      <c r="V300" s="1944"/>
      <c r="W300" s="1138"/>
      <c r="X300" s="2498"/>
      <c r="Y300" s="1138"/>
      <c r="Z300" s="2499"/>
      <c r="AA300" s="3"/>
      <c r="AE300" s="2461"/>
      <c r="AF300" s="68"/>
    </row>
    <row r="301" spans="1:32" ht="45.5" x14ac:dyDescent="0.35">
      <c r="A301" s="347">
        <v>153</v>
      </c>
      <c r="B301" s="1024">
        <v>10343</v>
      </c>
      <c r="C301" s="358" t="s">
        <v>1656</v>
      </c>
      <c r="D301" s="2464" t="s">
        <v>4522</v>
      </c>
      <c r="E301" s="511" t="s">
        <v>8337</v>
      </c>
      <c r="F301" s="14" t="s">
        <v>664</v>
      </c>
      <c r="G301" s="14">
        <v>5</v>
      </c>
      <c r="H301" s="14">
        <v>6</v>
      </c>
      <c r="I301" s="501">
        <f>J301+K301+L301</f>
        <v>0.1</v>
      </c>
      <c r="J301" s="501">
        <f>SUM(M301:R301)</f>
        <v>0.1</v>
      </c>
      <c r="K301" s="501"/>
      <c r="L301" s="501"/>
      <c r="M301" s="501"/>
      <c r="N301" s="501"/>
      <c r="O301" s="568"/>
      <c r="P301" s="501"/>
      <c r="Q301" s="1856"/>
      <c r="R301" s="1865">
        <v>0.1</v>
      </c>
      <c r="S301" s="55"/>
      <c r="T301" s="1962"/>
      <c r="U301" s="154"/>
      <c r="V301" s="154"/>
      <c r="W301" s="154"/>
      <c r="X301" s="2501"/>
      <c r="Y301" s="154"/>
      <c r="Z301" s="2433"/>
      <c r="AA301" s="3"/>
      <c r="AB301">
        <v>1</v>
      </c>
      <c r="AE301" s="2461"/>
      <c r="AF301" s="68"/>
    </row>
    <row r="302" spans="1:32" ht="30" x14ac:dyDescent="0.35">
      <c r="A302" s="347">
        <v>154</v>
      </c>
      <c r="B302" s="1024">
        <v>10344</v>
      </c>
      <c r="C302" s="1024"/>
      <c r="D302" s="358" t="s">
        <v>1701</v>
      </c>
      <c r="E302" s="288" t="s">
        <v>394</v>
      </c>
      <c r="F302" s="13"/>
      <c r="G302" s="13" t="s">
        <v>191</v>
      </c>
      <c r="H302" s="13" t="s">
        <v>191</v>
      </c>
      <c r="I302" s="501">
        <f>J302+K302+L302</f>
        <v>1.96</v>
      </c>
      <c r="J302" s="501">
        <f>SUM(M302:R302)</f>
        <v>1.96</v>
      </c>
      <c r="K302" s="501"/>
      <c r="L302" s="503"/>
      <c r="M302" s="503"/>
      <c r="N302" s="503">
        <f>SUM(N303:N304)</f>
        <v>0.36</v>
      </c>
      <c r="O302" s="570"/>
      <c r="P302" s="503"/>
      <c r="Q302" s="864">
        <f>SUM(Q303:Q304)</f>
        <v>1.6</v>
      </c>
      <c r="R302" s="874"/>
      <c r="S302" s="154"/>
      <c r="T302" s="260"/>
      <c r="U302" s="154"/>
      <c r="V302" s="154"/>
      <c r="W302" s="55">
        <v>5</v>
      </c>
      <c r="X302" s="2432">
        <v>51.1</v>
      </c>
      <c r="Y302" s="55"/>
      <c r="Z302" s="2433"/>
      <c r="AA302" s="3"/>
      <c r="AB302">
        <v>1</v>
      </c>
      <c r="AE302" s="2461"/>
      <c r="AF302" s="68"/>
    </row>
    <row r="303" spans="1:32" ht="15.5" x14ac:dyDescent="0.35">
      <c r="A303" s="363"/>
      <c r="B303" s="1024">
        <v>10344</v>
      </c>
      <c r="C303" s="1024"/>
      <c r="D303" s="364"/>
      <c r="E303" s="289" t="s">
        <v>3222</v>
      </c>
      <c r="F303" s="13">
        <v>5</v>
      </c>
      <c r="G303" s="13">
        <v>5</v>
      </c>
      <c r="H303" s="13">
        <v>6</v>
      </c>
      <c r="I303" s="502" t="s">
        <v>1516</v>
      </c>
      <c r="J303" s="502" t="s">
        <v>1516</v>
      </c>
      <c r="K303" s="501"/>
      <c r="L303" s="504"/>
      <c r="M303" s="504"/>
      <c r="N303" s="504">
        <v>0.36</v>
      </c>
      <c r="O303" s="571"/>
      <c r="P303" s="504"/>
      <c r="Q303" s="863"/>
      <c r="R303" s="875"/>
      <c r="S303" s="1944"/>
      <c r="T303" s="2497"/>
      <c r="U303" s="1944"/>
      <c r="V303" s="1944"/>
      <c r="W303" s="1138"/>
      <c r="X303" s="2498"/>
      <c r="Y303" s="1138"/>
      <c r="Z303" s="2499"/>
      <c r="AA303" s="3"/>
      <c r="AE303" s="2461"/>
      <c r="AF303" s="68"/>
    </row>
    <row r="304" spans="1:32" ht="15.5" x14ac:dyDescent="0.35">
      <c r="A304" s="363"/>
      <c r="B304" s="1024">
        <v>10344</v>
      </c>
      <c r="C304" s="1024"/>
      <c r="D304" s="364"/>
      <c r="E304" s="837" t="s">
        <v>1190</v>
      </c>
      <c r="F304" s="13">
        <v>5</v>
      </c>
      <c r="G304" s="13">
        <v>5</v>
      </c>
      <c r="H304" s="13">
        <v>6</v>
      </c>
      <c r="I304" s="502" t="s">
        <v>1516</v>
      </c>
      <c r="J304" s="502" t="s">
        <v>1516</v>
      </c>
      <c r="K304" s="501"/>
      <c r="L304" s="504"/>
      <c r="M304" s="504"/>
      <c r="N304" s="504"/>
      <c r="O304" s="571"/>
      <c r="P304" s="504"/>
      <c r="Q304" s="863">
        <v>1.6</v>
      </c>
      <c r="R304" s="875"/>
      <c r="S304" s="1944"/>
      <c r="T304" s="2497"/>
      <c r="U304" s="1944"/>
      <c r="V304" s="1944"/>
      <c r="W304" s="1138"/>
      <c r="X304" s="2498"/>
      <c r="Y304" s="1138"/>
      <c r="Z304" s="2499"/>
      <c r="AA304" s="3"/>
      <c r="AE304" s="2461"/>
      <c r="AF304" s="68"/>
    </row>
    <row r="305" spans="1:32" ht="30.5" x14ac:dyDescent="0.35">
      <c r="A305" s="347">
        <v>155</v>
      </c>
      <c r="B305" s="1024">
        <v>10344</v>
      </c>
      <c r="C305" s="358" t="s">
        <v>1656</v>
      </c>
      <c r="D305" s="2464" t="s">
        <v>4523</v>
      </c>
      <c r="E305" s="511" t="s">
        <v>8338</v>
      </c>
      <c r="F305" s="14" t="s">
        <v>664</v>
      </c>
      <c r="G305" s="14">
        <v>5</v>
      </c>
      <c r="H305" s="14">
        <v>6</v>
      </c>
      <c r="I305" s="501">
        <f>J305+K305+L305</f>
        <v>0.2</v>
      </c>
      <c r="J305" s="501">
        <f>SUM(M305:R305)</f>
        <v>0.2</v>
      </c>
      <c r="K305" s="501"/>
      <c r="L305" s="501"/>
      <c r="M305" s="501"/>
      <c r="N305" s="501"/>
      <c r="O305" s="568"/>
      <c r="P305" s="501"/>
      <c r="Q305" s="1856"/>
      <c r="R305" s="1865">
        <v>0.2</v>
      </c>
      <c r="S305" s="154"/>
      <c r="T305" s="260"/>
      <c r="U305" s="154"/>
      <c r="V305" s="154"/>
      <c r="W305" s="55"/>
      <c r="X305" s="2432"/>
      <c r="Y305" s="55"/>
      <c r="Z305" s="2433"/>
      <c r="AA305" s="3"/>
      <c r="AB305">
        <v>1</v>
      </c>
      <c r="AE305" s="2461"/>
      <c r="AF305" s="68"/>
    </row>
    <row r="306" spans="1:32" ht="90.5" x14ac:dyDescent="0.35">
      <c r="A306" s="347">
        <v>156</v>
      </c>
      <c r="B306" s="1024">
        <v>10345</v>
      </c>
      <c r="C306" s="1024"/>
      <c r="D306" s="358" t="s">
        <v>2704</v>
      </c>
      <c r="E306" s="288" t="s">
        <v>9747</v>
      </c>
      <c r="F306" s="13">
        <v>4</v>
      </c>
      <c r="G306" s="13">
        <v>4</v>
      </c>
      <c r="H306" s="13">
        <v>6</v>
      </c>
      <c r="I306" s="501">
        <f>J306+K306+L306</f>
        <v>1.87</v>
      </c>
      <c r="J306" s="501">
        <f>SUM(M306:R306)</f>
        <v>1.87</v>
      </c>
      <c r="K306" s="501"/>
      <c r="L306" s="503"/>
      <c r="M306" s="503"/>
      <c r="N306" s="501">
        <v>1.87</v>
      </c>
      <c r="O306" s="570"/>
      <c r="P306" s="503"/>
      <c r="Q306" s="860"/>
      <c r="R306" s="874"/>
      <c r="S306" s="154"/>
      <c r="T306" s="260"/>
      <c r="U306" s="154"/>
      <c r="V306" s="154"/>
      <c r="W306" s="154">
        <v>4</v>
      </c>
      <c r="X306" s="2501">
        <v>40.799999999999997</v>
      </c>
      <c r="Y306" s="154"/>
      <c r="Z306" s="2433"/>
      <c r="AA306" s="3" t="s">
        <v>3139</v>
      </c>
      <c r="AB306">
        <v>1</v>
      </c>
      <c r="AE306" s="2461"/>
      <c r="AF306" s="68"/>
    </row>
    <row r="307" spans="1:32" ht="46.5" x14ac:dyDescent="0.35">
      <c r="A307" s="347"/>
      <c r="B307" s="1024">
        <v>10345</v>
      </c>
      <c r="C307" s="1024"/>
      <c r="D307" s="358"/>
      <c r="E307" s="289" t="s">
        <v>9973</v>
      </c>
      <c r="F307" s="13"/>
      <c r="G307" s="13" t="s">
        <v>191</v>
      </c>
      <c r="H307" s="13" t="s">
        <v>191</v>
      </c>
      <c r="I307" s="501"/>
      <c r="J307" s="501"/>
      <c r="K307" s="501"/>
      <c r="L307" s="503"/>
      <c r="M307" s="503"/>
      <c r="N307" s="501"/>
      <c r="O307" s="570"/>
      <c r="P307" s="503"/>
      <c r="Q307" s="864"/>
      <c r="R307" s="874"/>
      <c r="S307" s="154"/>
      <c r="T307" s="260"/>
      <c r="U307" s="154"/>
      <c r="V307" s="154"/>
      <c r="W307" s="154"/>
      <c r="X307" s="2501"/>
      <c r="Y307" s="154"/>
      <c r="Z307" s="2433"/>
      <c r="AA307" s="3"/>
      <c r="AE307" s="2461"/>
      <c r="AF307" s="68"/>
    </row>
    <row r="308" spans="1:32" ht="30" x14ac:dyDescent="0.35">
      <c r="A308" s="347">
        <v>157</v>
      </c>
      <c r="B308" s="1024">
        <v>10346</v>
      </c>
      <c r="C308" s="1024"/>
      <c r="D308" s="358" t="s">
        <v>2705</v>
      </c>
      <c r="E308" s="288" t="s">
        <v>1135</v>
      </c>
      <c r="F308" s="13"/>
      <c r="G308" s="13" t="s">
        <v>191</v>
      </c>
      <c r="H308" s="13" t="s">
        <v>191</v>
      </c>
      <c r="I308" s="501">
        <f>J308+K308+L308</f>
        <v>2.6</v>
      </c>
      <c r="J308" s="501">
        <f>SUM(M308:R308)</f>
        <v>2.6</v>
      </c>
      <c r="K308" s="501"/>
      <c r="L308" s="503"/>
      <c r="M308" s="503"/>
      <c r="N308" s="503">
        <f>SUM(N309:N310)</f>
        <v>0.85000000000000009</v>
      </c>
      <c r="O308" s="570"/>
      <c r="P308" s="503"/>
      <c r="Q308" s="860"/>
      <c r="R308" s="874">
        <f>SUM(R309:R310)</f>
        <v>1.75</v>
      </c>
      <c r="S308" s="154"/>
      <c r="T308" s="260"/>
      <c r="U308" s="154"/>
      <c r="V308" s="154"/>
      <c r="W308" s="154">
        <v>4</v>
      </c>
      <c r="X308" s="2501">
        <v>47.8</v>
      </c>
      <c r="Y308" s="154"/>
      <c r="Z308" s="2433"/>
      <c r="AA308" s="3"/>
      <c r="AB308">
        <v>1</v>
      </c>
      <c r="AE308" s="2461"/>
      <c r="AF308" s="68"/>
    </row>
    <row r="309" spans="1:32" ht="15.5" x14ac:dyDescent="0.35">
      <c r="A309" s="363"/>
      <c r="B309" s="1024">
        <v>10346</v>
      </c>
      <c r="C309" s="1024"/>
      <c r="D309" s="364"/>
      <c r="E309" s="838" t="s">
        <v>2394</v>
      </c>
      <c r="F309" s="13">
        <v>5</v>
      </c>
      <c r="G309" s="13">
        <v>5</v>
      </c>
      <c r="H309" s="14">
        <v>6</v>
      </c>
      <c r="I309" s="502" t="s">
        <v>1516</v>
      </c>
      <c r="J309" s="502" t="s">
        <v>1516</v>
      </c>
      <c r="K309" s="501"/>
      <c r="L309" s="504"/>
      <c r="M309" s="504"/>
      <c r="N309" s="504"/>
      <c r="O309" s="571"/>
      <c r="P309" s="504"/>
      <c r="Q309" s="863"/>
      <c r="R309" s="873">
        <f>1.75-0</f>
        <v>1.75</v>
      </c>
      <c r="S309" s="1944"/>
      <c r="T309" s="2497"/>
      <c r="U309" s="1944"/>
      <c r="V309" s="1944"/>
      <c r="W309" s="1944"/>
      <c r="X309" s="2503"/>
      <c r="Y309" s="1944"/>
      <c r="Z309" s="2499"/>
      <c r="AA309" s="3"/>
      <c r="AE309" s="2461"/>
      <c r="AF309" s="68"/>
    </row>
    <row r="310" spans="1:32" ht="15.5" x14ac:dyDescent="0.35">
      <c r="A310" s="363"/>
      <c r="B310" s="1024">
        <v>10346</v>
      </c>
      <c r="C310" s="1024"/>
      <c r="D310" s="364"/>
      <c r="E310" s="459" t="s">
        <v>10742</v>
      </c>
      <c r="F310" s="13">
        <v>5</v>
      </c>
      <c r="G310" s="13">
        <v>5</v>
      </c>
      <c r="H310" s="14">
        <v>6</v>
      </c>
      <c r="I310" s="502" t="s">
        <v>1516</v>
      </c>
      <c r="J310" s="502" t="s">
        <v>1516</v>
      </c>
      <c r="K310" s="501"/>
      <c r="L310" s="504"/>
      <c r="M310" s="504"/>
      <c r="N310" s="2739">
        <f>2.6-1.75</f>
        <v>0.85000000000000009</v>
      </c>
      <c r="O310" s="571"/>
      <c r="P310" s="504"/>
      <c r="Q310" s="863"/>
      <c r="R310" s="873"/>
      <c r="S310" s="1944"/>
      <c r="T310" s="2497"/>
      <c r="U310" s="1944"/>
      <c r="V310" s="1944"/>
      <c r="W310" s="1944"/>
      <c r="X310" s="2503"/>
      <c r="Y310" s="1944"/>
      <c r="Z310" s="2499"/>
      <c r="AA310" s="3"/>
      <c r="AE310" s="2461"/>
      <c r="AF310" s="68"/>
    </row>
    <row r="311" spans="1:32" ht="30.5" x14ac:dyDescent="0.35">
      <c r="A311" s="347">
        <v>158</v>
      </c>
      <c r="B311" s="1024">
        <v>10346</v>
      </c>
      <c r="C311" s="358" t="s">
        <v>1656</v>
      </c>
      <c r="D311" s="2464" t="s">
        <v>4524</v>
      </c>
      <c r="E311" s="511" t="s">
        <v>8339</v>
      </c>
      <c r="F311" s="14" t="s">
        <v>664</v>
      </c>
      <c r="G311" s="14">
        <v>5</v>
      </c>
      <c r="H311" s="14">
        <v>6</v>
      </c>
      <c r="I311" s="501">
        <f>J311+K311+L311</f>
        <v>0.2</v>
      </c>
      <c r="J311" s="501">
        <f>SUM(M311:R311)</f>
        <v>0.2</v>
      </c>
      <c r="K311" s="501"/>
      <c r="L311" s="501"/>
      <c r="M311" s="501"/>
      <c r="N311" s="501"/>
      <c r="O311" s="568"/>
      <c r="P311" s="501"/>
      <c r="Q311" s="1856"/>
      <c r="R311" s="1865">
        <v>0.2</v>
      </c>
      <c r="S311" s="55"/>
      <c r="T311" s="1962"/>
      <c r="U311" s="154"/>
      <c r="V311" s="154"/>
      <c r="W311" s="55"/>
      <c r="X311" s="2432"/>
      <c r="Y311" s="55"/>
      <c r="Z311" s="2433"/>
      <c r="AA311" s="3"/>
      <c r="AB311">
        <v>1</v>
      </c>
      <c r="AE311" s="2461"/>
      <c r="AF311" s="68"/>
    </row>
    <row r="312" spans="1:32" ht="30" x14ac:dyDescent="0.35">
      <c r="A312" s="347">
        <v>159</v>
      </c>
      <c r="B312" s="1024">
        <v>10347</v>
      </c>
      <c r="C312" s="1024"/>
      <c r="D312" s="358" t="s">
        <v>2706</v>
      </c>
      <c r="E312" s="288" t="s">
        <v>2646</v>
      </c>
      <c r="F312" s="13">
        <v>5</v>
      </c>
      <c r="G312" s="13">
        <v>4</v>
      </c>
      <c r="H312" s="13">
        <v>6</v>
      </c>
      <c r="I312" s="501">
        <f>J312+K312+L312</f>
        <v>1.9</v>
      </c>
      <c r="J312" s="501">
        <f>SUM(M312:R312)</f>
        <v>1.9</v>
      </c>
      <c r="K312" s="501"/>
      <c r="L312" s="503"/>
      <c r="M312" s="503"/>
      <c r="N312" s="501">
        <v>1.9</v>
      </c>
      <c r="O312" s="570"/>
      <c r="P312" s="503"/>
      <c r="Q312" s="864"/>
      <c r="R312" s="874"/>
      <c r="S312" s="154"/>
      <c r="T312" s="260"/>
      <c r="U312" s="154"/>
      <c r="V312" s="154"/>
      <c r="W312" s="154">
        <v>1</v>
      </c>
      <c r="X312" s="2501">
        <v>15.2</v>
      </c>
      <c r="Y312" s="154"/>
      <c r="Z312" s="2433"/>
      <c r="AA312" s="3"/>
      <c r="AB312">
        <v>1</v>
      </c>
      <c r="AE312" s="2461"/>
      <c r="AF312" s="68"/>
    </row>
    <row r="313" spans="1:32" ht="30" x14ac:dyDescent="0.35">
      <c r="A313" s="347">
        <v>160</v>
      </c>
      <c r="B313" s="1024">
        <v>10348</v>
      </c>
      <c r="C313" s="1024"/>
      <c r="D313" s="358" t="s">
        <v>2707</v>
      </c>
      <c r="E313" s="288" t="s">
        <v>1387</v>
      </c>
      <c r="F313" s="13">
        <v>5</v>
      </c>
      <c r="G313" s="13">
        <v>5</v>
      </c>
      <c r="H313" s="13">
        <v>6</v>
      </c>
      <c r="I313" s="501">
        <f>J313+K313+L313</f>
        <v>3.54</v>
      </c>
      <c r="J313" s="501">
        <f>SUM(M313:R313)</f>
        <v>3.54</v>
      </c>
      <c r="K313" s="501"/>
      <c r="L313" s="503"/>
      <c r="M313" s="503"/>
      <c r="N313" s="2705">
        <v>0</v>
      </c>
      <c r="O313" s="570"/>
      <c r="P313" s="503"/>
      <c r="Q313" s="864">
        <v>3.54</v>
      </c>
      <c r="R313" s="874"/>
      <c r="S313" s="154"/>
      <c r="T313" s="260"/>
      <c r="U313" s="154"/>
      <c r="V313" s="154"/>
      <c r="W313" s="154">
        <v>7</v>
      </c>
      <c r="X313" s="2501">
        <v>74.400000000000006</v>
      </c>
      <c r="Y313" s="154"/>
      <c r="Z313" s="2433"/>
      <c r="AA313" s="3"/>
      <c r="AB313">
        <v>1</v>
      </c>
      <c r="AE313" s="2461"/>
      <c r="AF313" s="68"/>
    </row>
    <row r="314" spans="1:32" ht="30" x14ac:dyDescent="0.35">
      <c r="A314" s="347">
        <v>161</v>
      </c>
      <c r="B314" s="1024">
        <v>10349</v>
      </c>
      <c r="C314" s="1024"/>
      <c r="D314" s="358" t="s">
        <v>2708</v>
      </c>
      <c r="E314" s="288" t="s">
        <v>1388</v>
      </c>
      <c r="F314" s="13"/>
      <c r="G314" s="13" t="s">
        <v>191</v>
      </c>
      <c r="H314" s="13" t="s">
        <v>191</v>
      </c>
      <c r="I314" s="501">
        <f>J314+K314+L314</f>
        <v>1.5</v>
      </c>
      <c r="J314" s="501">
        <f>SUM(M314:R314)</f>
        <v>1.5</v>
      </c>
      <c r="K314" s="501"/>
      <c r="L314" s="503"/>
      <c r="M314" s="503"/>
      <c r="N314" s="503"/>
      <c r="O314" s="570"/>
      <c r="P314" s="503"/>
      <c r="Q314" s="860">
        <f>SUM(Q315:Q316)</f>
        <v>0.8</v>
      </c>
      <c r="R314" s="870">
        <f>SUM(R315:R316)</f>
        <v>0.7</v>
      </c>
      <c r="S314" s="154"/>
      <c r="T314" s="260"/>
      <c r="U314" s="154"/>
      <c r="V314" s="154"/>
      <c r="W314" s="154">
        <v>2</v>
      </c>
      <c r="X314" s="2501">
        <v>20.3</v>
      </c>
      <c r="Y314" s="154"/>
      <c r="Z314" s="2433"/>
      <c r="AA314" s="3"/>
      <c r="AB314">
        <v>1</v>
      </c>
      <c r="AE314" s="2461"/>
      <c r="AF314" s="68"/>
    </row>
    <row r="315" spans="1:32" ht="15.5" x14ac:dyDescent="0.35">
      <c r="A315" s="363"/>
      <c r="B315" s="1024">
        <v>10349</v>
      </c>
      <c r="C315" s="1024"/>
      <c r="D315" s="364"/>
      <c r="E315" s="837" t="s">
        <v>1966</v>
      </c>
      <c r="F315" s="13" t="s">
        <v>827</v>
      </c>
      <c r="G315" s="13">
        <v>5</v>
      </c>
      <c r="H315" s="13">
        <v>6</v>
      </c>
      <c r="I315" s="502" t="s">
        <v>1516</v>
      </c>
      <c r="J315" s="502" t="s">
        <v>1516</v>
      </c>
      <c r="K315" s="501"/>
      <c r="L315" s="504"/>
      <c r="M315" s="504"/>
      <c r="N315" s="504"/>
      <c r="O315" s="571"/>
      <c r="P315" s="504"/>
      <c r="Q315" s="863">
        <v>0.8</v>
      </c>
      <c r="R315" s="873"/>
      <c r="S315" s="1944"/>
      <c r="T315" s="2497"/>
      <c r="U315" s="1944"/>
      <c r="V315" s="1944"/>
      <c r="W315" s="1944"/>
      <c r="X315" s="2503"/>
      <c r="Y315" s="1944"/>
      <c r="Z315" s="2499"/>
      <c r="AA315" s="3"/>
      <c r="AE315" s="2461"/>
      <c r="AF315" s="68"/>
    </row>
    <row r="316" spans="1:32" ht="15.5" x14ac:dyDescent="0.35">
      <c r="A316" s="363"/>
      <c r="B316" s="1024">
        <v>10349</v>
      </c>
      <c r="C316" s="1024"/>
      <c r="D316" s="364"/>
      <c r="E316" s="838" t="s">
        <v>2420</v>
      </c>
      <c r="F316" s="13" t="s">
        <v>827</v>
      </c>
      <c r="G316" s="13">
        <v>5</v>
      </c>
      <c r="H316" s="14">
        <v>6</v>
      </c>
      <c r="I316" s="502" t="s">
        <v>1516</v>
      </c>
      <c r="J316" s="502" t="s">
        <v>1516</v>
      </c>
      <c r="K316" s="501"/>
      <c r="L316" s="504"/>
      <c r="M316" s="504"/>
      <c r="N316" s="504"/>
      <c r="O316" s="571"/>
      <c r="P316" s="504"/>
      <c r="Q316" s="863"/>
      <c r="R316" s="873">
        <v>0.7</v>
      </c>
      <c r="S316" s="1944"/>
      <c r="T316" s="2497"/>
      <c r="U316" s="1944"/>
      <c r="V316" s="1944"/>
      <c r="W316" s="1944"/>
      <c r="X316" s="2503"/>
      <c r="Y316" s="1944"/>
      <c r="Z316" s="2499"/>
      <c r="AA316" s="3"/>
      <c r="AE316" s="2461"/>
      <c r="AF316" s="68"/>
    </row>
    <row r="317" spans="1:32" ht="30.5" x14ac:dyDescent="0.35">
      <c r="A317" s="347">
        <v>162</v>
      </c>
      <c r="B317" s="1025">
        <v>10349</v>
      </c>
      <c r="C317" s="358" t="s">
        <v>1656</v>
      </c>
      <c r="D317" s="2464" t="s">
        <v>4525</v>
      </c>
      <c r="E317" s="511" t="s">
        <v>8340</v>
      </c>
      <c r="F317" s="14" t="s">
        <v>664</v>
      </c>
      <c r="G317" s="14">
        <v>5</v>
      </c>
      <c r="H317" s="14">
        <v>6</v>
      </c>
      <c r="I317" s="501">
        <f>J317+K317+L317</f>
        <v>0.15</v>
      </c>
      <c r="J317" s="501">
        <f>SUM(M317:R317)</f>
        <v>0.15</v>
      </c>
      <c r="K317" s="501"/>
      <c r="L317" s="501"/>
      <c r="M317" s="501"/>
      <c r="N317" s="501"/>
      <c r="O317" s="568"/>
      <c r="P317" s="501"/>
      <c r="Q317" s="1856"/>
      <c r="R317" s="1865">
        <v>0.15</v>
      </c>
      <c r="S317" s="154"/>
      <c r="T317" s="260"/>
      <c r="U317" s="154"/>
      <c r="V317" s="154"/>
      <c r="W317" s="154"/>
      <c r="X317" s="2501"/>
      <c r="Y317" s="154"/>
      <c r="Z317" s="2433"/>
      <c r="AA317" s="3"/>
      <c r="AB317">
        <v>1</v>
      </c>
      <c r="AE317" s="2461"/>
      <c r="AF317" s="68"/>
    </row>
    <row r="318" spans="1:32" ht="30" x14ac:dyDescent="0.35">
      <c r="A318" s="347">
        <v>163</v>
      </c>
      <c r="B318" s="1024">
        <v>10350</v>
      </c>
      <c r="C318" s="1024"/>
      <c r="D318" s="358" t="s">
        <v>2709</v>
      </c>
      <c r="E318" s="288" t="s">
        <v>1751</v>
      </c>
      <c r="F318" s="13" t="s">
        <v>1490</v>
      </c>
      <c r="G318" s="13">
        <v>5</v>
      </c>
      <c r="H318" s="14">
        <v>6</v>
      </c>
      <c r="I318" s="501">
        <f>J318+K318+L318</f>
        <v>6.4</v>
      </c>
      <c r="J318" s="501">
        <f>SUM(M318:R318)</f>
        <v>6.4</v>
      </c>
      <c r="K318" s="501"/>
      <c r="L318" s="503"/>
      <c r="M318" s="503"/>
      <c r="N318" s="503"/>
      <c r="O318" s="570"/>
      <c r="P318" s="503"/>
      <c r="Q318" s="864"/>
      <c r="R318" s="870">
        <v>6.4</v>
      </c>
      <c r="S318" s="154">
        <v>1</v>
      </c>
      <c r="T318" s="260">
        <v>10</v>
      </c>
      <c r="U318" s="164">
        <v>1</v>
      </c>
      <c r="V318" s="260">
        <v>10</v>
      </c>
      <c r="W318" s="154">
        <v>3</v>
      </c>
      <c r="X318" s="2501">
        <v>40.5</v>
      </c>
      <c r="Y318" s="154"/>
      <c r="Z318" s="2433"/>
      <c r="AA318" s="3"/>
      <c r="AB318">
        <v>1</v>
      </c>
      <c r="AE318" s="2461"/>
      <c r="AF318" s="68"/>
    </row>
    <row r="319" spans="1:32" ht="30" x14ac:dyDescent="0.35">
      <c r="A319" s="347">
        <v>164</v>
      </c>
      <c r="B319" s="1024">
        <v>10350</v>
      </c>
      <c r="C319" s="1024"/>
      <c r="D319" s="2464" t="s">
        <v>4526</v>
      </c>
      <c r="E319" s="2068" t="s">
        <v>7589</v>
      </c>
      <c r="F319" s="13" t="s">
        <v>1490</v>
      </c>
      <c r="G319" s="13">
        <v>5</v>
      </c>
      <c r="H319" s="14">
        <v>6</v>
      </c>
      <c r="I319" s="501">
        <f>J319+K319+L319</f>
        <v>1.49</v>
      </c>
      <c r="J319" s="501">
        <f>SUM(M319:R319)</f>
        <v>1.49</v>
      </c>
      <c r="K319" s="501"/>
      <c r="L319" s="501"/>
      <c r="M319" s="501"/>
      <c r="N319" s="501"/>
      <c r="O319" s="568"/>
      <c r="P319" s="501"/>
      <c r="Q319" s="860"/>
      <c r="R319" s="870">
        <v>1.49</v>
      </c>
      <c r="S319" s="154"/>
      <c r="T319" s="260"/>
      <c r="U319" s="154"/>
      <c r="V319" s="154"/>
      <c r="W319" s="55"/>
      <c r="X319" s="2432"/>
      <c r="Y319" s="55"/>
      <c r="Z319" s="2433"/>
      <c r="AA319" s="3"/>
      <c r="AB319">
        <v>1</v>
      </c>
      <c r="AE319" s="2461"/>
      <c r="AF319" s="68"/>
    </row>
    <row r="320" spans="1:32" ht="30" x14ac:dyDescent="0.35">
      <c r="A320" s="347">
        <v>165</v>
      </c>
      <c r="B320" s="1024">
        <v>10351</v>
      </c>
      <c r="C320" s="1024"/>
      <c r="D320" s="358" t="s">
        <v>1702</v>
      </c>
      <c r="E320" s="288" t="s">
        <v>1752</v>
      </c>
      <c r="F320" s="13"/>
      <c r="G320" s="13" t="s">
        <v>191</v>
      </c>
      <c r="H320" s="13" t="s">
        <v>191</v>
      </c>
      <c r="I320" s="501">
        <f>J320+K320+L320</f>
        <v>9.6</v>
      </c>
      <c r="J320" s="501">
        <f>SUM(M320:R320)</f>
        <v>9.6</v>
      </c>
      <c r="K320" s="501"/>
      <c r="L320" s="503"/>
      <c r="M320" s="503"/>
      <c r="N320" s="501">
        <f>SUM(N321:N323)</f>
        <v>1.2</v>
      </c>
      <c r="O320" s="570"/>
      <c r="P320" s="503"/>
      <c r="Q320" s="860">
        <f>SUM(Q321:Q323)</f>
        <v>1.43</v>
      </c>
      <c r="R320" s="870">
        <f>SUM(R321:R323)</f>
        <v>6.97</v>
      </c>
      <c r="S320" s="154"/>
      <c r="T320" s="260"/>
      <c r="U320" s="154"/>
      <c r="V320" s="154"/>
      <c r="W320" s="154">
        <v>2</v>
      </c>
      <c r="X320" s="2501">
        <v>34.5</v>
      </c>
      <c r="Y320" s="154"/>
      <c r="Z320" s="2433"/>
      <c r="AA320" s="3"/>
      <c r="AB320">
        <v>1</v>
      </c>
      <c r="AE320" s="2461"/>
      <c r="AF320" s="68"/>
    </row>
    <row r="321" spans="1:32" ht="15.5" x14ac:dyDescent="0.35">
      <c r="A321" s="363"/>
      <c r="B321" s="1024">
        <v>10351</v>
      </c>
      <c r="C321" s="1024"/>
      <c r="D321" s="364"/>
      <c r="E321" s="289" t="s">
        <v>3428</v>
      </c>
      <c r="F321" s="13">
        <v>5</v>
      </c>
      <c r="G321" s="13">
        <v>5</v>
      </c>
      <c r="H321" s="13">
        <v>6</v>
      </c>
      <c r="I321" s="502" t="s">
        <v>1516</v>
      </c>
      <c r="J321" s="502" t="s">
        <v>1516</v>
      </c>
      <c r="K321" s="501"/>
      <c r="L321" s="504"/>
      <c r="M321" s="504"/>
      <c r="N321" s="502">
        <v>1.2</v>
      </c>
      <c r="O321" s="571"/>
      <c r="P321" s="504"/>
      <c r="Q321" s="863"/>
      <c r="R321" s="873"/>
      <c r="S321" s="1944"/>
      <c r="T321" s="2497"/>
      <c r="U321" s="1944"/>
      <c r="V321" s="1944"/>
      <c r="W321" s="1944"/>
      <c r="X321" s="2503"/>
      <c r="Y321" s="1944"/>
      <c r="Z321" s="2499"/>
      <c r="AA321" s="3"/>
      <c r="AE321" s="2461"/>
      <c r="AF321" s="68"/>
    </row>
    <row r="322" spans="1:32" ht="15.5" x14ac:dyDescent="0.35">
      <c r="A322" s="363"/>
      <c r="B322" s="1024">
        <v>10351</v>
      </c>
      <c r="C322" s="1024"/>
      <c r="D322" s="364"/>
      <c r="E322" s="837" t="s">
        <v>499</v>
      </c>
      <c r="F322" s="13">
        <v>5</v>
      </c>
      <c r="G322" s="13">
        <v>5</v>
      </c>
      <c r="H322" s="13">
        <v>6</v>
      </c>
      <c r="I322" s="502" t="s">
        <v>1516</v>
      </c>
      <c r="J322" s="502" t="s">
        <v>1516</v>
      </c>
      <c r="K322" s="501"/>
      <c r="L322" s="504"/>
      <c r="M322" s="504"/>
      <c r="N322" s="502"/>
      <c r="O322" s="571"/>
      <c r="P322" s="504"/>
      <c r="Q322" s="863">
        <v>1.43</v>
      </c>
      <c r="R322" s="873"/>
      <c r="S322" s="1944"/>
      <c r="T322" s="2497"/>
      <c r="U322" s="1944"/>
      <c r="V322" s="1944"/>
      <c r="W322" s="1944"/>
      <c r="X322" s="2503"/>
      <c r="Y322" s="1944"/>
      <c r="Z322" s="2499"/>
      <c r="AA322" s="3"/>
      <c r="AE322" s="2461"/>
      <c r="AF322" s="68"/>
    </row>
    <row r="323" spans="1:32" ht="15.5" x14ac:dyDescent="0.35">
      <c r="A323" s="363"/>
      <c r="B323" s="1024">
        <v>10351</v>
      </c>
      <c r="C323" s="1024"/>
      <c r="D323" s="364"/>
      <c r="E323" s="838" t="s">
        <v>500</v>
      </c>
      <c r="F323" s="13" t="s">
        <v>664</v>
      </c>
      <c r="G323" s="13">
        <v>5</v>
      </c>
      <c r="H323" s="14">
        <v>6</v>
      </c>
      <c r="I323" s="502" t="s">
        <v>1516</v>
      </c>
      <c r="J323" s="502" t="s">
        <v>1516</v>
      </c>
      <c r="K323" s="501"/>
      <c r="L323" s="504"/>
      <c r="M323" s="504"/>
      <c r="N323" s="502"/>
      <c r="O323" s="571"/>
      <c r="P323" s="504"/>
      <c r="Q323" s="863"/>
      <c r="R323" s="873">
        <v>6.97</v>
      </c>
      <c r="S323" s="1944"/>
      <c r="T323" s="2497"/>
      <c r="U323" s="1944"/>
      <c r="V323" s="1944"/>
      <c r="W323" s="1944"/>
      <c r="X323" s="2503"/>
      <c r="Y323" s="1944"/>
      <c r="Z323" s="2499"/>
      <c r="AA323" s="3"/>
      <c r="AE323" s="2461"/>
      <c r="AF323" s="68"/>
    </row>
    <row r="324" spans="1:32" ht="30" x14ac:dyDescent="0.35">
      <c r="A324" s="347">
        <v>166</v>
      </c>
      <c r="B324" s="1024">
        <v>10352</v>
      </c>
      <c r="C324" s="1024"/>
      <c r="D324" s="358" t="s">
        <v>2710</v>
      </c>
      <c r="E324" s="288" t="s">
        <v>501</v>
      </c>
      <c r="F324" s="13">
        <v>5</v>
      </c>
      <c r="G324" s="13">
        <v>5</v>
      </c>
      <c r="H324" s="13">
        <v>6</v>
      </c>
      <c r="I324" s="501">
        <f>J324+K324+L324</f>
        <v>1.5</v>
      </c>
      <c r="J324" s="501">
        <f>SUM(M324:R324)</f>
        <v>1.5</v>
      </c>
      <c r="K324" s="501"/>
      <c r="L324" s="501"/>
      <c r="M324" s="501"/>
      <c r="N324" s="501"/>
      <c r="O324" s="568"/>
      <c r="P324" s="501"/>
      <c r="Q324" s="860">
        <v>1.5</v>
      </c>
      <c r="R324" s="870"/>
      <c r="S324" s="55">
        <v>1</v>
      </c>
      <c r="T324" s="1962">
        <v>36.799999999999997</v>
      </c>
      <c r="U324" s="154"/>
      <c r="V324" s="154"/>
      <c r="W324" s="2504">
        <v>4</v>
      </c>
      <c r="X324" s="2432">
        <v>44.9</v>
      </c>
      <c r="Y324" s="2504">
        <v>2</v>
      </c>
      <c r="Z324" s="2433">
        <v>20</v>
      </c>
      <c r="AA324" s="3"/>
      <c r="AB324">
        <v>1</v>
      </c>
      <c r="AE324" s="2461"/>
      <c r="AF324" s="68"/>
    </row>
    <row r="325" spans="1:32" ht="30.5" x14ac:dyDescent="0.35">
      <c r="A325" s="347">
        <v>167</v>
      </c>
      <c r="B325" s="1024">
        <v>10352</v>
      </c>
      <c r="C325" s="358" t="s">
        <v>1656</v>
      </c>
      <c r="D325" s="2464" t="s">
        <v>4527</v>
      </c>
      <c r="E325" s="511" t="s">
        <v>8341</v>
      </c>
      <c r="F325" s="14" t="s">
        <v>664</v>
      </c>
      <c r="G325" s="14">
        <v>5</v>
      </c>
      <c r="H325" s="14">
        <v>6</v>
      </c>
      <c r="I325" s="501">
        <f t="shared" ref="I325:I330" si="26">J325+K325+L325</f>
        <v>0.8</v>
      </c>
      <c r="J325" s="501">
        <f t="shared" ref="J325:J330" si="27">SUM(M325:R325)</f>
        <v>0.8</v>
      </c>
      <c r="K325" s="501"/>
      <c r="L325" s="501"/>
      <c r="M325" s="501"/>
      <c r="N325" s="501"/>
      <c r="O325" s="568"/>
      <c r="P325" s="501"/>
      <c r="Q325" s="1856"/>
      <c r="R325" s="1865">
        <v>0.8</v>
      </c>
      <c r="S325" s="154"/>
      <c r="T325" s="260"/>
      <c r="U325" s="154"/>
      <c r="V325" s="154"/>
      <c r="W325" s="55"/>
      <c r="X325" s="2432"/>
      <c r="Y325" s="55"/>
      <c r="Z325" s="2433"/>
      <c r="AA325" s="3" t="s">
        <v>1816</v>
      </c>
      <c r="AB325">
        <v>1</v>
      </c>
      <c r="AE325" s="2461"/>
      <c r="AF325" s="68"/>
    </row>
    <row r="326" spans="1:32" ht="30" x14ac:dyDescent="0.35">
      <c r="A326" s="347">
        <v>168</v>
      </c>
      <c r="B326" s="1024">
        <v>10353</v>
      </c>
      <c r="C326" s="1024"/>
      <c r="D326" s="358" t="s">
        <v>568</v>
      </c>
      <c r="E326" s="288" t="s">
        <v>677</v>
      </c>
      <c r="F326" s="13">
        <v>5</v>
      </c>
      <c r="G326" s="13">
        <v>5</v>
      </c>
      <c r="H326" s="13">
        <v>6</v>
      </c>
      <c r="I326" s="501">
        <f t="shared" si="26"/>
        <v>4.76</v>
      </c>
      <c r="J326" s="501">
        <f t="shared" si="27"/>
        <v>4.76</v>
      </c>
      <c r="K326" s="501"/>
      <c r="L326" s="501"/>
      <c r="M326" s="501"/>
      <c r="N326" s="501"/>
      <c r="O326" s="568"/>
      <c r="P326" s="501"/>
      <c r="Q326" s="860">
        <v>4.76</v>
      </c>
      <c r="R326" s="870"/>
      <c r="S326" s="154"/>
      <c r="T326" s="260"/>
      <c r="U326" s="154"/>
      <c r="V326" s="154"/>
      <c r="W326" s="55">
        <v>10</v>
      </c>
      <c r="X326" s="2432">
        <v>122.6</v>
      </c>
      <c r="Y326" s="55"/>
      <c r="Z326" s="2433"/>
      <c r="AA326" s="3"/>
      <c r="AB326">
        <v>1</v>
      </c>
      <c r="AE326" s="2461"/>
      <c r="AF326" s="68"/>
    </row>
    <row r="327" spans="1:32" ht="30.5" x14ac:dyDescent="0.35">
      <c r="A327" s="347">
        <v>169</v>
      </c>
      <c r="B327" s="1024">
        <v>10353</v>
      </c>
      <c r="C327" s="1024"/>
      <c r="D327" s="2464" t="s">
        <v>4528</v>
      </c>
      <c r="E327" s="288" t="s">
        <v>7590</v>
      </c>
      <c r="F327" s="13">
        <v>5</v>
      </c>
      <c r="G327" s="13">
        <v>5</v>
      </c>
      <c r="H327" s="13">
        <v>6</v>
      </c>
      <c r="I327" s="501">
        <f t="shared" si="26"/>
        <v>1.6</v>
      </c>
      <c r="J327" s="501">
        <f t="shared" si="27"/>
        <v>1.6</v>
      </c>
      <c r="K327" s="501"/>
      <c r="L327" s="501"/>
      <c r="M327" s="501"/>
      <c r="N327" s="501"/>
      <c r="O327" s="568"/>
      <c r="P327" s="501"/>
      <c r="Q327" s="860">
        <v>1.6</v>
      </c>
      <c r="R327" s="870"/>
      <c r="S327" s="154"/>
      <c r="T327" s="260"/>
      <c r="U327" s="154"/>
      <c r="V327" s="154"/>
      <c r="W327" s="55">
        <v>2</v>
      </c>
      <c r="X327" s="2432">
        <v>30.5</v>
      </c>
      <c r="Y327" s="55"/>
      <c r="Z327" s="2433"/>
      <c r="AA327" s="3"/>
      <c r="AB327">
        <v>1</v>
      </c>
      <c r="AE327" s="2461"/>
      <c r="AF327" s="68"/>
    </row>
    <row r="328" spans="1:32" ht="30" x14ac:dyDescent="0.35">
      <c r="A328" s="347">
        <v>170</v>
      </c>
      <c r="B328" s="1024">
        <v>10354</v>
      </c>
      <c r="C328" s="1024"/>
      <c r="D328" s="358" t="s">
        <v>1804</v>
      </c>
      <c r="E328" s="288" t="s">
        <v>10459</v>
      </c>
      <c r="F328" s="13">
        <v>5</v>
      </c>
      <c r="G328" s="13">
        <v>5</v>
      </c>
      <c r="H328" s="13">
        <v>6</v>
      </c>
      <c r="I328" s="501">
        <f t="shared" si="26"/>
        <v>1</v>
      </c>
      <c r="J328" s="501">
        <f t="shared" si="27"/>
        <v>1</v>
      </c>
      <c r="K328" s="501"/>
      <c r="L328" s="501"/>
      <c r="M328" s="501"/>
      <c r="N328" s="501"/>
      <c r="O328" s="568"/>
      <c r="P328" s="501"/>
      <c r="Q328" s="860">
        <v>1</v>
      </c>
      <c r="R328" s="870" t="s">
        <v>1516</v>
      </c>
      <c r="S328" s="154"/>
      <c r="T328" s="260"/>
      <c r="U328" s="154"/>
      <c r="V328" s="154"/>
      <c r="W328" s="55"/>
      <c r="X328" s="2432"/>
      <c r="Y328" s="55"/>
      <c r="Z328" s="2506"/>
      <c r="AA328" s="3"/>
      <c r="AB328">
        <v>1</v>
      </c>
      <c r="AE328" s="2461"/>
      <c r="AF328" s="68"/>
    </row>
    <row r="329" spans="1:32" ht="75.5" x14ac:dyDescent="0.35">
      <c r="A329" s="347">
        <v>171</v>
      </c>
      <c r="B329" s="1024">
        <v>10355</v>
      </c>
      <c r="C329" s="1024"/>
      <c r="D329" s="358" t="s">
        <v>2297</v>
      </c>
      <c r="E329" s="288" t="s">
        <v>9748</v>
      </c>
      <c r="F329" s="13">
        <v>5</v>
      </c>
      <c r="G329" s="13">
        <v>5</v>
      </c>
      <c r="H329" s="13">
        <v>6</v>
      </c>
      <c r="I329" s="501">
        <f t="shared" si="26"/>
        <v>2.6</v>
      </c>
      <c r="J329" s="501">
        <f t="shared" si="27"/>
        <v>2.6</v>
      </c>
      <c r="K329" s="501"/>
      <c r="L329" s="501"/>
      <c r="M329" s="501"/>
      <c r="N329" s="501"/>
      <c r="O329" s="568"/>
      <c r="P329" s="501"/>
      <c r="Q329" s="860">
        <v>2.6</v>
      </c>
      <c r="R329" s="870"/>
      <c r="S329" s="154"/>
      <c r="T329" s="260"/>
      <c r="U329" s="154"/>
      <c r="V329" s="154"/>
      <c r="W329" s="55"/>
      <c r="X329" s="2432"/>
      <c r="Y329" s="55"/>
      <c r="Z329" s="2433"/>
      <c r="AA329" s="3"/>
      <c r="AB329">
        <v>1</v>
      </c>
      <c r="AE329" s="2461"/>
      <c r="AF329" s="68"/>
    </row>
    <row r="330" spans="1:32" ht="30" x14ac:dyDescent="0.35">
      <c r="A330" s="347">
        <v>172</v>
      </c>
      <c r="B330" s="1024">
        <v>10356</v>
      </c>
      <c r="C330" s="1024"/>
      <c r="D330" s="358" t="s">
        <v>2298</v>
      </c>
      <c r="E330" s="288" t="s">
        <v>7066</v>
      </c>
      <c r="F330" s="13"/>
      <c r="G330" s="13" t="s">
        <v>191</v>
      </c>
      <c r="H330" s="13" t="s">
        <v>191</v>
      </c>
      <c r="I330" s="501">
        <f t="shared" si="26"/>
        <v>2.5</v>
      </c>
      <c r="J330" s="501">
        <f t="shared" si="27"/>
        <v>2.5</v>
      </c>
      <c r="K330" s="501"/>
      <c r="L330" s="501"/>
      <c r="M330" s="501"/>
      <c r="N330" s="501">
        <f>SUM(N331:N332)</f>
        <v>0.7</v>
      </c>
      <c r="O330" s="568"/>
      <c r="P330" s="501"/>
      <c r="Q330" s="860"/>
      <c r="R330" s="870">
        <f>SUM(R331:R332)</f>
        <v>1.8</v>
      </c>
      <c r="S330" s="154"/>
      <c r="T330" s="260"/>
      <c r="U330" s="154"/>
      <c r="V330" s="154"/>
      <c r="W330" s="55">
        <v>1</v>
      </c>
      <c r="X330" s="2432">
        <v>13.2</v>
      </c>
      <c r="Y330" s="55"/>
      <c r="Z330" s="2433"/>
      <c r="AA330" s="3"/>
      <c r="AB330">
        <v>1</v>
      </c>
      <c r="AE330" s="2461"/>
      <c r="AF330" s="68"/>
    </row>
    <row r="331" spans="1:32" ht="15.5" x14ac:dyDescent="0.35">
      <c r="A331" s="347"/>
      <c r="B331" s="1024">
        <v>10356</v>
      </c>
      <c r="C331" s="1024"/>
      <c r="D331" s="358"/>
      <c r="E331" s="291" t="s">
        <v>2585</v>
      </c>
      <c r="F331" s="13">
        <v>5</v>
      </c>
      <c r="G331" s="13">
        <v>5</v>
      </c>
      <c r="H331" s="13">
        <v>6</v>
      </c>
      <c r="I331" s="501"/>
      <c r="J331" s="501"/>
      <c r="K331" s="501"/>
      <c r="L331" s="501"/>
      <c r="M331" s="501"/>
      <c r="N331" s="502">
        <v>0.7</v>
      </c>
      <c r="O331" s="568"/>
      <c r="P331" s="501"/>
      <c r="Q331" s="860"/>
      <c r="R331" s="870"/>
      <c r="S331" s="154"/>
      <c r="T331" s="260"/>
      <c r="U331" s="154"/>
      <c r="V331" s="154"/>
      <c r="W331" s="55"/>
      <c r="X331" s="2432"/>
      <c r="Y331" s="55"/>
      <c r="Z331" s="2433"/>
      <c r="AA331" s="3"/>
      <c r="AE331" s="2461"/>
      <c r="AF331" s="68"/>
    </row>
    <row r="332" spans="1:32" ht="15.5" x14ac:dyDescent="0.35">
      <c r="A332" s="347"/>
      <c r="B332" s="1024">
        <v>10356</v>
      </c>
      <c r="C332" s="1024"/>
      <c r="D332" s="358"/>
      <c r="E332" s="838" t="s">
        <v>1163</v>
      </c>
      <c r="F332" s="13" t="s">
        <v>664</v>
      </c>
      <c r="G332" s="13">
        <v>5</v>
      </c>
      <c r="H332" s="14">
        <v>6</v>
      </c>
      <c r="I332" s="501"/>
      <c r="J332" s="501"/>
      <c r="K332" s="501"/>
      <c r="L332" s="501"/>
      <c r="M332" s="501"/>
      <c r="N332" s="501"/>
      <c r="O332" s="568"/>
      <c r="P332" s="501"/>
      <c r="Q332" s="860"/>
      <c r="R332" s="873">
        <v>1.8</v>
      </c>
      <c r="S332" s="154"/>
      <c r="T332" s="260"/>
      <c r="U332" s="154"/>
      <c r="V332" s="154"/>
      <c r="W332" s="55"/>
      <c r="X332" s="2432"/>
      <c r="Y332" s="55"/>
      <c r="Z332" s="2433"/>
      <c r="AA332" s="3"/>
      <c r="AE332" s="2461"/>
      <c r="AF332" s="68"/>
    </row>
    <row r="333" spans="1:32" ht="30.5" x14ac:dyDescent="0.35">
      <c r="A333" s="347">
        <v>173</v>
      </c>
      <c r="B333" s="1025">
        <v>10356</v>
      </c>
      <c r="C333" s="358" t="s">
        <v>1656</v>
      </c>
      <c r="D333" s="2464" t="s">
        <v>4529</v>
      </c>
      <c r="E333" s="511" t="s">
        <v>8342</v>
      </c>
      <c r="F333" s="14" t="s">
        <v>664</v>
      </c>
      <c r="G333" s="14">
        <v>5</v>
      </c>
      <c r="H333" s="14">
        <v>6</v>
      </c>
      <c r="I333" s="501">
        <f t="shared" ref="I333:I349" si="28">J333+K333+L333</f>
        <v>0.3</v>
      </c>
      <c r="J333" s="501">
        <f t="shared" ref="J333:J349" si="29">SUM(M333:R333)</f>
        <v>0.3</v>
      </c>
      <c r="K333" s="501"/>
      <c r="L333" s="501"/>
      <c r="M333" s="501"/>
      <c r="N333" s="501"/>
      <c r="O333" s="568"/>
      <c r="P333" s="501"/>
      <c r="Q333" s="1856"/>
      <c r="R333" s="1865">
        <v>0.3</v>
      </c>
      <c r="S333" s="2504"/>
      <c r="T333" s="1962"/>
      <c r="U333" s="154"/>
      <c r="V333" s="154"/>
      <c r="W333" s="55"/>
      <c r="X333" s="2432"/>
      <c r="Y333" s="55"/>
      <c r="Z333" s="2433"/>
      <c r="AA333" s="3"/>
      <c r="AB333">
        <v>1</v>
      </c>
      <c r="AE333" s="2461"/>
      <c r="AF333" s="68"/>
    </row>
    <row r="334" spans="1:32" ht="30.5" x14ac:dyDescent="0.35">
      <c r="A334" s="347">
        <v>174</v>
      </c>
      <c r="B334" s="1025">
        <v>10356</v>
      </c>
      <c r="C334" s="358" t="s">
        <v>1656</v>
      </c>
      <c r="D334" s="2464" t="s">
        <v>4530</v>
      </c>
      <c r="E334" s="511" t="s">
        <v>8343</v>
      </c>
      <c r="F334" s="14" t="s">
        <v>664</v>
      </c>
      <c r="G334" s="14">
        <v>5</v>
      </c>
      <c r="H334" s="14">
        <v>6</v>
      </c>
      <c r="I334" s="501">
        <f t="shared" si="28"/>
        <v>1.5</v>
      </c>
      <c r="J334" s="501">
        <f t="shared" si="29"/>
        <v>1.5</v>
      </c>
      <c r="K334" s="501"/>
      <c r="L334" s="501"/>
      <c r="M334" s="501"/>
      <c r="N334" s="501"/>
      <c r="O334" s="568"/>
      <c r="P334" s="501"/>
      <c r="Q334" s="1856"/>
      <c r="R334" s="1865">
        <v>1.5</v>
      </c>
      <c r="S334" s="2500"/>
      <c r="T334" s="1962"/>
      <c r="U334" s="154"/>
      <c r="V334" s="154"/>
      <c r="W334" s="55"/>
      <c r="X334" s="2432"/>
      <c r="Y334" s="55"/>
      <c r="Z334" s="2433"/>
      <c r="AA334" s="3"/>
      <c r="AB334">
        <v>1</v>
      </c>
      <c r="AE334" s="2461"/>
      <c r="AF334" s="68"/>
    </row>
    <row r="335" spans="1:32" ht="30" x14ac:dyDescent="0.35">
      <c r="A335" s="347">
        <v>175</v>
      </c>
      <c r="B335" s="1024">
        <v>10357</v>
      </c>
      <c r="C335" s="1024"/>
      <c r="D335" s="358" t="s">
        <v>2299</v>
      </c>
      <c r="E335" s="288" t="s">
        <v>7068</v>
      </c>
      <c r="F335" s="13"/>
      <c r="G335" s="13" t="s">
        <v>191</v>
      </c>
      <c r="H335" s="14" t="s">
        <v>191</v>
      </c>
      <c r="I335" s="501">
        <f t="shared" si="28"/>
        <v>2.37</v>
      </c>
      <c r="J335" s="501">
        <f t="shared" si="29"/>
        <v>2.1</v>
      </c>
      <c r="K335" s="501"/>
      <c r="L335" s="501">
        <f>SUM(L336:L338)</f>
        <v>0.27</v>
      </c>
      <c r="M335" s="501"/>
      <c r="N335" s="501"/>
      <c r="O335" s="568"/>
      <c r="P335" s="501"/>
      <c r="Q335" s="860"/>
      <c r="R335" s="870">
        <f>SUM(R336:R338)</f>
        <v>2.1</v>
      </c>
      <c r="S335" s="154"/>
      <c r="T335" s="260"/>
      <c r="U335" s="154"/>
      <c r="V335" s="154"/>
      <c r="W335" s="55"/>
      <c r="X335" s="2432"/>
      <c r="Y335" s="55"/>
      <c r="Z335" s="2433"/>
      <c r="AA335" s="3"/>
      <c r="AB335">
        <v>1</v>
      </c>
      <c r="AE335" s="2461"/>
      <c r="AF335" s="68"/>
    </row>
    <row r="336" spans="1:32" ht="15.5" x14ac:dyDescent="0.35">
      <c r="A336" s="347"/>
      <c r="B336" s="1024"/>
      <c r="C336" s="1024"/>
      <c r="D336" s="358"/>
      <c r="E336" s="838" t="s">
        <v>2376</v>
      </c>
      <c r="F336" s="13" t="s">
        <v>1490</v>
      </c>
      <c r="G336" s="13">
        <v>5</v>
      </c>
      <c r="H336" s="14">
        <v>6</v>
      </c>
      <c r="I336" s="502"/>
      <c r="J336" s="502"/>
      <c r="K336" s="502"/>
      <c r="L336" s="502"/>
      <c r="M336" s="502"/>
      <c r="N336" s="502"/>
      <c r="O336" s="569"/>
      <c r="P336" s="502"/>
      <c r="Q336" s="1859"/>
      <c r="R336" s="1868">
        <v>1.02</v>
      </c>
      <c r="S336" s="154"/>
      <c r="T336" s="260"/>
      <c r="U336" s="154"/>
      <c r="V336" s="154"/>
      <c r="W336" s="55"/>
      <c r="X336" s="2432"/>
      <c r="Y336" s="55"/>
      <c r="Z336" s="2433"/>
      <c r="AA336" s="3"/>
      <c r="AE336" s="2461"/>
      <c r="AF336" s="68"/>
    </row>
    <row r="337" spans="1:32" ht="31" x14ac:dyDescent="0.35">
      <c r="A337" s="347"/>
      <c r="B337" s="1024"/>
      <c r="C337" s="1024"/>
      <c r="D337" s="358"/>
      <c r="E337" s="289" t="s">
        <v>9764</v>
      </c>
      <c r="F337" s="13" t="s">
        <v>1490</v>
      </c>
      <c r="G337" s="13">
        <v>5</v>
      </c>
      <c r="H337" s="14">
        <v>6</v>
      </c>
      <c r="I337" s="502"/>
      <c r="J337" s="502"/>
      <c r="K337" s="502"/>
      <c r="L337" s="502">
        <f>1.29-1.02</f>
        <v>0.27</v>
      </c>
      <c r="M337" s="502"/>
      <c r="N337" s="502"/>
      <c r="O337" s="569"/>
      <c r="P337" s="502"/>
      <c r="Q337" s="1859"/>
      <c r="R337" s="1868"/>
      <c r="S337" s="154"/>
      <c r="T337" s="260"/>
      <c r="U337" s="154"/>
      <c r="V337" s="154"/>
      <c r="W337" s="55"/>
      <c r="X337" s="2432"/>
      <c r="Y337" s="55"/>
      <c r="Z337" s="2433"/>
      <c r="AA337" s="3"/>
      <c r="AE337" s="2461"/>
      <c r="AF337" s="68"/>
    </row>
    <row r="338" spans="1:32" ht="15.5" x14ac:dyDescent="0.35">
      <c r="A338" s="347"/>
      <c r="B338" s="1024"/>
      <c r="C338" s="1024"/>
      <c r="D338" s="358"/>
      <c r="E338" s="838" t="s">
        <v>7067</v>
      </c>
      <c r="F338" s="13" t="s">
        <v>1490</v>
      </c>
      <c r="G338" s="13">
        <v>5</v>
      </c>
      <c r="H338" s="14">
        <v>6</v>
      </c>
      <c r="I338" s="502"/>
      <c r="J338" s="502"/>
      <c r="K338" s="502"/>
      <c r="L338" s="502"/>
      <c r="M338" s="502"/>
      <c r="N338" s="502"/>
      <c r="O338" s="569"/>
      <c r="P338" s="502"/>
      <c r="Q338" s="1859"/>
      <c r="R338" s="1868">
        <f>2.37-1.29</f>
        <v>1.08</v>
      </c>
      <c r="S338" s="154"/>
      <c r="T338" s="260"/>
      <c r="U338" s="154"/>
      <c r="V338" s="154"/>
      <c r="W338" s="55"/>
      <c r="X338" s="2432"/>
      <c r="Y338" s="55"/>
      <c r="Z338" s="2433"/>
      <c r="AA338" s="3"/>
      <c r="AE338" s="2461"/>
      <c r="AF338" s="68"/>
    </row>
    <row r="339" spans="1:32" ht="30.5" x14ac:dyDescent="0.35">
      <c r="A339" s="347">
        <v>176</v>
      </c>
      <c r="B339" s="1024">
        <v>10358</v>
      </c>
      <c r="C339" s="1024"/>
      <c r="D339" s="358" t="s">
        <v>1891</v>
      </c>
      <c r="E339" s="288" t="s">
        <v>2488</v>
      </c>
      <c r="F339" s="13">
        <v>5</v>
      </c>
      <c r="G339" s="13">
        <v>5</v>
      </c>
      <c r="H339" s="13">
        <v>6</v>
      </c>
      <c r="I339" s="501">
        <f t="shared" si="28"/>
        <v>2.2000000000000002</v>
      </c>
      <c r="J339" s="501">
        <f t="shared" si="29"/>
        <v>2.2000000000000002</v>
      </c>
      <c r="K339" s="501"/>
      <c r="L339" s="501"/>
      <c r="M339" s="501"/>
      <c r="N339" s="501">
        <v>2.2000000000000002</v>
      </c>
      <c r="O339" s="568"/>
      <c r="P339" s="501"/>
      <c r="Q339" s="860"/>
      <c r="R339" s="870"/>
      <c r="S339" s="154"/>
      <c r="T339" s="260"/>
      <c r="U339" s="154"/>
      <c r="V339" s="154"/>
      <c r="W339" s="55"/>
      <c r="X339" s="2432"/>
      <c r="Y339" s="55"/>
      <c r="Z339" s="2433"/>
      <c r="AA339" s="3"/>
      <c r="AB339">
        <v>1</v>
      </c>
      <c r="AE339" s="2461"/>
      <c r="AF339" s="68"/>
    </row>
    <row r="340" spans="1:32" ht="30.5" x14ac:dyDescent="0.35">
      <c r="A340" s="347">
        <v>177</v>
      </c>
      <c r="B340" s="1024">
        <v>10359</v>
      </c>
      <c r="C340" s="1024"/>
      <c r="D340" s="358" t="s">
        <v>1892</v>
      </c>
      <c r="E340" s="288" t="s">
        <v>7069</v>
      </c>
      <c r="F340" s="13" t="s">
        <v>664</v>
      </c>
      <c r="G340" s="13">
        <v>5</v>
      </c>
      <c r="H340" s="14">
        <v>6</v>
      </c>
      <c r="I340" s="501">
        <f t="shared" si="28"/>
        <v>1.3</v>
      </c>
      <c r="J340" s="501">
        <f t="shared" si="29"/>
        <v>1.3</v>
      </c>
      <c r="K340" s="501"/>
      <c r="L340" s="501"/>
      <c r="M340" s="501"/>
      <c r="N340" s="501"/>
      <c r="O340" s="568"/>
      <c r="P340" s="501"/>
      <c r="Q340" s="860"/>
      <c r="R340" s="870">
        <v>1.3</v>
      </c>
      <c r="S340" s="154"/>
      <c r="T340" s="260"/>
      <c r="U340" s="154"/>
      <c r="V340" s="154"/>
      <c r="W340" s="55"/>
      <c r="X340" s="2432"/>
      <c r="Y340" s="55"/>
      <c r="Z340" s="2433"/>
      <c r="AA340" s="3"/>
      <c r="AB340">
        <v>1</v>
      </c>
      <c r="AC340" s="62" t="s">
        <v>3388</v>
      </c>
      <c r="AD340" s="353" t="s">
        <v>3389</v>
      </c>
      <c r="AE340" s="2461"/>
      <c r="AF340" s="68"/>
    </row>
    <row r="341" spans="1:32" ht="30" x14ac:dyDescent="0.35">
      <c r="A341" s="347">
        <v>178</v>
      </c>
      <c r="B341" s="1024">
        <v>10360</v>
      </c>
      <c r="C341" s="1024"/>
      <c r="D341" s="358" t="s">
        <v>2300</v>
      </c>
      <c r="E341" s="288" t="s">
        <v>7070</v>
      </c>
      <c r="F341" s="13"/>
      <c r="G341" s="13" t="s">
        <v>191</v>
      </c>
      <c r="H341" s="13" t="s">
        <v>191</v>
      </c>
      <c r="I341" s="501">
        <f t="shared" si="28"/>
        <v>4.2610000000000001</v>
      </c>
      <c r="J341" s="501">
        <f t="shared" si="29"/>
        <v>4.2610000000000001</v>
      </c>
      <c r="K341" s="501"/>
      <c r="L341" s="501"/>
      <c r="M341" s="501"/>
      <c r="N341" s="501">
        <f>SUM(N342:N346)</f>
        <v>0.48299999999999987</v>
      </c>
      <c r="O341" s="568"/>
      <c r="P341" s="501"/>
      <c r="Q341" s="860"/>
      <c r="R341" s="870">
        <f>SUM(R342:R346)</f>
        <v>3.7780000000000005</v>
      </c>
      <c r="S341" s="154"/>
      <c r="T341" s="260"/>
      <c r="U341" s="154"/>
      <c r="V341" s="154"/>
      <c r="W341" s="55">
        <v>9</v>
      </c>
      <c r="X341" s="2432">
        <v>115</v>
      </c>
      <c r="Y341" s="55"/>
      <c r="Z341" s="2433"/>
      <c r="AA341" s="3"/>
      <c r="AB341">
        <v>1</v>
      </c>
      <c r="AE341" s="2461"/>
      <c r="AF341" s="68"/>
    </row>
    <row r="342" spans="1:32" ht="15.5" x14ac:dyDescent="0.35">
      <c r="A342" s="347"/>
      <c r="B342" s="1024"/>
      <c r="C342" s="1024"/>
      <c r="D342" s="358"/>
      <c r="E342" s="838" t="s">
        <v>3316</v>
      </c>
      <c r="F342" s="13" t="s">
        <v>1490</v>
      </c>
      <c r="G342" s="13">
        <v>5</v>
      </c>
      <c r="H342" s="14">
        <v>6</v>
      </c>
      <c r="I342" s="502"/>
      <c r="J342" s="502"/>
      <c r="K342" s="502"/>
      <c r="L342" s="502"/>
      <c r="M342" s="502"/>
      <c r="N342" s="502"/>
      <c r="O342" s="569"/>
      <c r="P342" s="502"/>
      <c r="Q342" s="1859"/>
      <c r="R342" s="1868">
        <v>1.18</v>
      </c>
      <c r="S342" s="154"/>
      <c r="T342" s="260"/>
      <c r="U342" s="154"/>
      <c r="V342" s="154"/>
      <c r="W342" s="55"/>
      <c r="X342" s="2432"/>
      <c r="Y342" s="55"/>
      <c r="Z342" s="2433"/>
      <c r="AA342" s="3"/>
      <c r="AE342" s="2461"/>
      <c r="AF342" s="68"/>
    </row>
    <row r="343" spans="1:32" ht="15.5" x14ac:dyDescent="0.35">
      <c r="A343" s="347"/>
      <c r="B343" s="1024"/>
      <c r="C343" s="1024"/>
      <c r="D343" s="358"/>
      <c r="E343" s="838" t="s">
        <v>3317</v>
      </c>
      <c r="F343" s="13">
        <v>5</v>
      </c>
      <c r="G343" s="13">
        <v>5</v>
      </c>
      <c r="H343" s="14">
        <v>6</v>
      </c>
      <c r="I343" s="502"/>
      <c r="J343" s="502"/>
      <c r="K343" s="502"/>
      <c r="L343" s="502"/>
      <c r="M343" s="502"/>
      <c r="N343" s="502"/>
      <c r="O343" s="569"/>
      <c r="P343" s="502"/>
      <c r="Q343" s="1859"/>
      <c r="R343" s="1868">
        <f>1.602-1.18</f>
        <v>0.42200000000000015</v>
      </c>
      <c r="S343" s="154"/>
      <c r="T343" s="260"/>
      <c r="U343" s="154"/>
      <c r="V343" s="154"/>
      <c r="W343" s="55"/>
      <c r="X343" s="2432"/>
      <c r="Y343" s="55"/>
      <c r="Z343" s="2433"/>
      <c r="AA343" s="3"/>
      <c r="AE343" s="2461"/>
      <c r="AF343" s="68"/>
    </row>
    <row r="344" spans="1:32" ht="15.5" x14ac:dyDescent="0.35">
      <c r="A344" s="347"/>
      <c r="B344" s="1024"/>
      <c r="C344" s="1024"/>
      <c r="D344" s="358"/>
      <c r="E344" s="289" t="s">
        <v>3315</v>
      </c>
      <c r="F344" s="13">
        <v>5</v>
      </c>
      <c r="G344" s="13">
        <v>5</v>
      </c>
      <c r="H344" s="14">
        <v>6</v>
      </c>
      <c r="I344" s="502"/>
      <c r="J344" s="502"/>
      <c r="K344" s="502"/>
      <c r="L344" s="502"/>
      <c r="M344" s="502"/>
      <c r="N344" s="502">
        <f>2.085-1.602</f>
        <v>0.48299999999999987</v>
      </c>
      <c r="O344" s="569"/>
      <c r="P344" s="502"/>
      <c r="Q344" s="1859"/>
      <c r="R344" s="1868"/>
      <c r="S344" s="154"/>
      <c r="T344" s="260"/>
      <c r="U344" s="154"/>
      <c r="V344" s="154"/>
      <c r="W344" s="55"/>
      <c r="X344" s="2432"/>
      <c r="Y344" s="55"/>
      <c r="Z344" s="2433"/>
      <c r="AA344" s="3"/>
      <c r="AE344" s="2461"/>
      <c r="AF344" s="68"/>
    </row>
    <row r="345" spans="1:32" ht="15.5" x14ac:dyDescent="0.35">
      <c r="A345" s="347"/>
      <c r="B345" s="1024"/>
      <c r="C345" s="1024"/>
      <c r="D345" s="358"/>
      <c r="E345" s="838" t="s">
        <v>3318</v>
      </c>
      <c r="F345" s="13">
        <v>5</v>
      </c>
      <c r="G345" s="13">
        <v>5</v>
      </c>
      <c r="H345" s="14">
        <v>6</v>
      </c>
      <c r="I345" s="502"/>
      <c r="J345" s="502"/>
      <c r="K345" s="502"/>
      <c r="L345" s="502"/>
      <c r="M345" s="502"/>
      <c r="N345" s="502"/>
      <c r="O345" s="569"/>
      <c r="P345" s="502"/>
      <c r="Q345" s="1859"/>
      <c r="R345" s="1868">
        <f>2.752-2.085</f>
        <v>0.66699999999999982</v>
      </c>
      <c r="S345" s="154"/>
      <c r="T345" s="260"/>
      <c r="U345" s="154"/>
      <c r="V345" s="154"/>
      <c r="W345" s="55"/>
      <c r="X345" s="2432"/>
      <c r="Y345" s="55"/>
      <c r="Z345" s="2433"/>
      <c r="AA345" s="3"/>
      <c r="AE345" s="2461"/>
      <c r="AF345" s="68"/>
    </row>
    <row r="346" spans="1:32" ht="15.5" x14ac:dyDescent="0.35">
      <c r="A346" s="347"/>
      <c r="B346" s="1024"/>
      <c r="C346" s="1024"/>
      <c r="D346" s="358"/>
      <c r="E346" s="838" t="s">
        <v>3319</v>
      </c>
      <c r="F346" s="13" t="s">
        <v>1490</v>
      </c>
      <c r="G346" s="13">
        <v>5</v>
      </c>
      <c r="H346" s="14">
        <v>6</v>
      </c>
      <c r="I346" s="502"/>
      <c r="J346" s="502"/>
      <c r="K346" s="502"/>
      <c r="L346" s="502"/>
      <c r="M346" s="502"/>
      <c r="N346" s="502"/>
      <c r="O346" s="569"/>
      <c r="P346" s="502"/>
      <c r="Q346" s="1859"/>
      <c r="R346" s="1868">
        <f>4.261-2.752</f>
        <v>1.5090000000000003</v>
      </c>
      <c r="S346" s="154"/>
      <c r="T346" s="260"/>
      <c r="U346" s="154"/>
      <c r="V346" s="154"/>
      <c r="W346" s="55"/>
      <c r="X346" s="2432"/>
      <c r="Y346" s="55"/>
      <c r="Z346" s="2433"/>
      <c r="AA346" s="3"/>
      <c r="AE346" s="2461"/>
      <c r="AF346" s="68"/>
    </row>
    <row r="347" spans="1:32" ht="30.5" x14ac:dyDescent="0.35">
      <c r="A347" s="347">
        <v>179</v>
      </c>
      <c r="B347" s="1024">
        <v>10360</v>
      </c>
      <c r="C347" s="358" t="s">
        <v>1656</v>
      </c>
      <c r="D347" s="2464" t="s">
        <v>4531</v>
      </c>
      <c r="E347" s="511" t="s">
        <v>8344</v>
      </c>
      <c r="F347" s="14" t="s">
        <v>664</v>
      </c>
      <c r="G347" s="14">
        <v>5</v>
      </c>
      <c r="H347" s="14">
        <v>6</v>
      </c>
      <c r="I347" s="501">
        <f t="shared" si="28"/>
        <v>0.05</v>
      </c>
      <c r="J347" s="501">
        <f t="shared" si="29"/>
        <v>0.05</v>
      </c>
      <c r="K347" s="501"/>
      <c r="L347" s="501"/>
      <c r="M347" s="501"/>
      <c r="N347" s="501"/>
      <c r="O347" s="568"/>
      <c r="P347" s="501"/>
      <c r="Q347" s="1856"/>
      <c r="R347" s="1865">
        <v>0.05</v>
      </c>
      <c r="S347" s="154"/>
      <c r="T347" s="260"/>
      <c r="U347" s="154"/>
      <c r="V347" s="154"/>
      <c r="W347" s="55"/>
      <c r="X347" s="2432"/>
      <c r="Y347" s="55"/>
      <c r="Z347" s="2433"/>
      <c r="AA347" s="3"/>
      <c r="AB347">
        <v>1</v>
      </c>
      <c r="AE347" s="2461"/>
      <c r="AF347" s="68"/>
    </row>
    <row r="348" spans="1:32" ht="30.5" x14ac:dyDescent="0.35">
      <c r="A348" s="347">
        <v>180</v>
      </c>
      <c r="B348" s="1024">
        <v>10360</v>
      </c>
      <c r="C348" s="358" t="s">
        <v>1656</v>
      </c>
      <c r="D348" s="2464" t="s">
        <v>4532</v>
      </c>
      <c r="E348" s="511" t="s">
        <v>8345</v>
      </c>
      <c r="F348" s="14" t="s">
        <v>664</v>
      </c>
      <c r="G348" s="14">
        <v>5</v>
      </c>
      <c r="H348" s="14">
        <v>6</v>
      </c>
      <c r="I348" s="501">
        <f t="shared" si="28"/>
        <v>0.45</v>
      </c>
      <c r="J348" s="501">
        <f t="shared" si="29"/>
        <v>0.45</v>
      </c>
      <c r="K348" s="501"/>
      <c r="L348" s="501"/>
      <c r="M348" s="501"/>
      <c r="N348" s="501"/>
      <c r="O348" s="568"/>
      <c r="P348" s="501"/>
      <c r="Q348" s="1856"/>
      <c r="R348" s="1865">
        <v>0.45</v>
      </c>
      <c r="S348" s="154"/>
      <c r="T348" s="260"/>
      <c r="U348" s="154"/>
      <c r="V348" s="154"/>
      <c r="W348" s="55"/>
      <c r="X348" s="2432"/>
      <c r="Y348" s="55"/>
      <c r="Z348" s="2433"/>
      <c r="AA348" s="3"/>
      <c r="AB348">
        <v>1</v>
      </c>
      <c r="AE348" s="2461"/>
      <c r="AF348" s="68"/>
    </row>
    <row r="349" spans="1:32" ht="30.5" x14ac:dyDescent="0.35">
      <c r="A349" s="347">
        <v>181</v>
      </c>
      <c r="B349" s="1024">
        <v>10360</v>
      </c>
      <c r="C349" s="358" t="s">
        <v>1656</v>
      </c>
      <c r="D349" s="2464" t="s">
        <v>4534</v>
      </c>
      <c r="E349" s="511" t="s">
        <v>9749</v>
      </c>
      <c r="F349" s="14" t="s">
        <v>664</v>
      </c>
      <c r="G349" s="14">
        <v>5</v>
      </c>
      <c r="H349" s="14">
        <v>6</v>
      </c>
      <c r="I349" s="501">
        <f t="shared" si="28"/>
        <v>1.5</v>
      </c>
      <c r="J349" s="501">
        <f t="shared" si="29"/>
        <v>1.5</v>
      </c>
      <c r="K349" s="501"/>
      <c r="L349" s="501"/>
      <c r="M349" s="501"/>
      <c r="N349" s="501"/>
      <c r="O349" s="568"/>
      <c r="P349" s="501"/>
      <c r="Q349" s="1856"/>
      <c r="R349" s="1865">
        <v>1.5</v>
      </c>
      <c r="S349" s="55"/>
      <c r="T349" s="1962"/>
      <c r="U349" s="154"/>
      <c r="V349" s="154"/>
      <c r="W349" s="55"/>
      <c r="X349" s="2432"/>
      <c r="Y349" s="55"/>
      <c r="Z349" s="2433"/>
      <c r="AA349" s="3"/>
      <c r="AB349">
        <v>1</v>
      </c>
      <c r="AE349" s="2461"/>
      <c r="AF349" s="68"/>
    </row>
    <row r="350" spans="1:32" ht="30" x14ac:dyDescent="0.35">
      <c r="A350" s="347">
        <v>182</v>
      </c>
      <c r="B350" s="1024">
        <v>10362</v>
      </c>
      <c r="C350" s="1024"/>
      <c r="D350" s="358" t="s">
        <v>912</v>
      </c>
      <c r="E350" s="288" t="s">
        <v>2746</v>
      </c>
      <c r="F350" s="13"/>
      <c r="G350" s="13" t="s">
        <v>191</v>
      </c>
      <c r="H350" s="13" t="s">
        <v>191</v>
      </c>
      <c r="I350" s="501">
        <f>J350+K350+L350</f>
        <v>11.224000000000002</v>
      </c>
      <c r="J350" s="501">
        <f>SUM(M350:R350)</f>
        <v>11.189000000000002</v>
      </c>
      <c r="K350" s="501"/>
      <c r="L350" s="501">
        <f>SUM(L351:L357)</f>
        <v>3.499999999999992E-2</v>
      </c>
      <c r="M350" s="501"/>
      <c r="N350" s="501">
        <f>SUM(N351:N357)</f>
        <v>2.9289999999999998</v>
      </c>
      <c r="O350" s="568"/>
      <c r="P350" s="501"/>
      <c r="Q350" s="860">
        <f>SUM(Q351:Q357)</f>
        <v>8.0360000000000014</v>
      </c>
      <c r="R350" s="870">
        <f>SUM(R351:R357)</f>
        <v>0.2240000000000002</v>
      </c>
      <c r="S350" s="154"/>
      <c r="T350" s="260"/>
      <c r="U350" s="154"/>
      <c r="V350" s="154"/>
      <c r="W350" s="55">
        <v>15</v>
      </c>
      <c r="X350" s="2432">
        <v>189.58</v>
      </c>
      <c r="Y350" s="55"/>
      <c r="Z350" s="2433"/>
      <c r="AA350" s="3"/>
      <c r="AB350">
        <v>1</v>
      </c>
      <c r="AE350" s="2461"/>
      <c r="AF350" s="68"/>
    </row>
    <row r="351" spans="1:32" ht="15.5" x14ac:dyDescent="0.35">
      <c r="A351" s="363"/>
      <c r="B351" s="1024">
        <v>10362</v>
      </c>
      <c r="C351" s="1024"/>
      <c r="D351" s="364"/>
      <c r="E351" s="837" t="s">
        <v>282</v>
      </c>
      <c r="F351" s="13" t="s">
        <v>827</v>
      </c>
      <c r="G351" s="13">
        <v>5</v>
      </c>
      <c r="H351" s="13">
        <v>6</v>
      </c>
      <c r="I351" s="502" t="s">
        <v>1516</v>
      </c>
      <c r="J351" s="502" t="s">
        <v>1516</v>
      </c>
      <c r="K351" s="501"/>
      <c r="L351" s="502"/>
      <c r="M351" s="502"/>
      <c r="N351" s="502"/>
      <c r="O351" s="569"/>
      <c r="P351" s="502"/>
      <c r="Q351" s="863">
        <v>0.9</v>
      </c>
      <c r="R351" s="873"/>
      <c r="S351" s="1944"/>
      <c r="T351" s="2497"/>
      <c r="U351" s="1944"/>
      <c r="V351" s="1944"/>
      <c r="W351" s="1138"/>
      <c r="X351" s="2498"/>
      <c r="Y351" s="1138"/>
      <c r="Z351" s="2499"/>
      <c r="AA351" s="3"/>
      <c r="AE351" s="2461"/>
      <c r="AF351" s="68"/>
    </row>
    <row r="352" spans="1:32" ht="15.5" x14ac:dyDescent="0.35">
      <c r="A352" s="363"/>
      <c r="B352" s="1024">
        <v>10362</v>
      </c>
      <c r="C352" s="1024"/>
      <c r="D352" s="364"/>
      <c r="E352" s="289" t="s">
        <v>2747</v>
      </c>
      <c r="F352" s="13" t="s">
        <v>827</v>
      </c>
      <c r="G352" s="13">
        <v>5</v>
      </c>
      <c r="H352" s="13">
        <v>6</v>
      </c>
      <c r="I352" s="502" t="s">
        <v>1516</v>
      </c>
      <c r="J352" s="502" t="s">
        <v>1516</v>
      </c>
      <c r="K352" s="501"/>
      <c r="L352" s="502"/>
      <c r="M352" s="502"/>
      <c r="N352" s="502">
        <f>0.928-0.9</f>
        <v>2.8000000000000025E-2</v>
      </c>
      <c r="O352" s="569"/>
      <c r="P352" s="502"/>
      <c r="Q352" s="863"/>
      <c r="R352" s="873"/>
      <c r="S352" s="1944"/>
      <c r="T352" s="2497"/>
      <c r="U352" s="1944"/>
      <c r="V352" s="1944"/>
      <c r="W352" s="1138"/>
      <c r="X352" s="2498"/>
      <c r="Y352" s="1138"/>
      <c r="Z352" s="2499"/>
      <c r="AA352" s="3"/>
      <c r="AE352" s="2461"/>
      <c r="AF352" s="68"/>
    </row>
    <row r="353" spans="1:32" ht="46.5" x14ac:dyDescent="0.35">
      <c r="A353" s="363"/>
      <c r="B353" s="1024">
        <v>10362</v>
      </c>
      <c r="C353" s="1024"/>
      <c r="D353" s="364"/>
      <c r="E353" s="459" t="s">
        <v>9765</v>
      </c>
      <c r="F353" s="13" t="s">
        <v>827</v>
      </c>
      <c r="G353" s="13">
        <v>5</v>
      </c>
      <c r="H353" s="13" t="s">
        <v>191</v>
      </c>
      <c r="I353" s="502"/>
      <c r="J353" s="502"/>
      <c r="K353" s="501"/>
      <c r="L353" s="502">
        <f>0.963-0.928</f>
        <v>3.499999999999992E-2</v>
      </c>
      <c r="M353" s="502"/>
      <c r="N353" s="502"/>
      <c r="O353" s="569"/>
      <c r="P353" s="502"/>
      <c r="Q353" s="863"/>
      <c r="R353" s="873"/>
      <c r="S353" s="1944"/>
      <c r="T353" s="2497"/>
      <c r="U353" s="1944"/>
      <c r="V353" s="1944"/>
      <c r="W353" s="1138"/>
      <c r="X353" s="2498"/>
      <c r="Y353" s="1138"/>
      <c r="Z353" s="2499"/>
      <c r="AA353" s="3"/>
      <c r="AE353" s="2461"/>
      <c r="AF353" s="68"/>
    </row>
    <row r="354" spans="1:32" ht="15.5" x14ac:dyDescent="0.35">
      <c r="A354" s="363"/>
      <c r="B354" s="1024">
        <v>10362</v>
      </c>
      <c r="C354" s="1024"/>
      <c r="D354" s="364"/>
      <c r="E354" s="289" t="s">
        <v>2748</v>
      </c>
      <c r="F354" s="13" t="s">
        <v>827</v>
      </c>
      <c r="G354" s="13">
        <v>5</v>
      </c>
      <c r="H354" s="13">
        <v>6</v>
      </c>
      <c r="I354" s="502"/>
      <c r="J354" s="502"/>
      <c r="K354" s="501"/>
      <c r="L354" s="502"/>
      <c r="M354" s="502"/>
      <c r="N354" s="502">
        <f>3.864-0.963</f>
        <v>2.9009999999999998</v>
      </c>
      <c r="O354" s="569"/>
      <c r="P354" s="502"/>
      <c r="Q354" s="863"/>
      <c r="R354" s="873"/>
      <c r="S354" s="1944"/>
      <c r="T354" s="2497"/>
      <c r="U354" s="1944"/>
      <c r="V354" s="1944"/>
      <c r="W354" s="1138"/>
      <c r="X354" s="2498"/>
      <c r="Y354" s="1138"/>
      <c r="Z354" s="2499"/>
      <c r="AA354" s="3"/>
      <c r="AE354" s="2461"/>
      <c r="AF354" s="68"/>
    </row>
    <row r="355" spans="1:32" ht="15.5" x14ac:dyDescent="0.35">
      <c r="A355" s="363"/>
      <c r="B355" s="1024">
        <v>10362</v>
      </c>
      <c r="C355" s="1024"/>
      <c r="D355" s="364"/>
      <c r="E355" s="837" t="s">
        <v>11315</v>
      </c>
      <c r="F355" s="1138">
        <v>5</v>
      </c>
      <c r="G355" s="13">
        <v>5</v>
      </c>
      <c r="H355" s="13">
        <v>6</v>
      </c>
      <c r="I355" s="502" t="s">
        <v>1516</v>
      </c>
      <c r="J355" s="502" t="s">
        <v>1516</v>
      </c>
      <c r="K355" s="501"/>
      <c r="L355" s="502"/>
      <c r="M355" s="502"/>
      <c r="N355" s="502"/>
      <c r="O355" s="569"/>
      <c r="P355" s="502"/>
      <c r="Q355" s="863">
        <f>10.041-3.864</f>
        <v>6.1770000000000005</v>
      </c>
      <c r="R355" s="873"/>
      <c r="S355" s="1944"/>
      <c r="T355" s="2497"/>
      <c r="U355" s="1944"/>
      <c r="V355" s="1944"/>
      <c r="W355" s="1138"/>
      <c r="X355" s="2498"/>
      <c r="Y355" s="1138"/>
      <c r="Z355" s="2499"/>
      <c r="AA355" s="3"/>
      <c r="AE355" s="2461"/>
      <c r="AF355" s="68"/>
    </row>
    <row r="356" spans="1:32" s="2852" customFormat="1" ht="15.5" x14ac:dyDescent="0.35">
      <c r="A356" s="363"/>
      <c r="B356" s="1024">
        <v>10362</v>
      </c>
      <c r="C356" s="1024"/>
      <c r="D356" s="364"/>
      <c r="E356" s="837" t="s">
        <v>11316</v>
      </c>
      <c r="F356" s="1138" t="s">
        <v>1490</v>
      </c>
      <c r="G356" s="13">
        <v>5</v>
      </c>
      <c r="H356" s="13">
        <v>6</v>
      </c>
      <c r="I356" s="502" t="s">
        <v>1516</v>
      </c>
      <c r="J356" s="502" t="s">
        <v>1516</v>
      </c>
      <c r="K356" s="501"/>
      <c r="L356" s="502"/>
      <c r="M356" s="502"/>
      <c r="N356" s="502"/>
      <c r="O356" s="569"/>
      <c r="P356" s="502"/>
      <c r="Q356" s="863">
        <f>11-10.041</f>
        <v>0.95899999999999963</v>
      </c>
      <c r="R356" s="873"/>
      <c r="S356" s="1944"/>
      <c r="T356" s="2497"/>
      <c r="U356" s="1944"/>
      <c r="V356" s="1944"/>
      <c r="W356" s="1138"/>
      <c r="X356" s="2498"/>
      <c r="Y356" s="1138"/>
      <c r="Z356" s="2499"/>
      <c r="AA356" s="3"/>
      <c r="AE356" s="2461"/>
      <c r="AF356" s="68"/>
    </row>
    <row r="357" spans="1:32" ht="15.5" x14ac:dyDescent="0.35">
      <c r="A357" s="363"/>
      <c r="B357" s="1024">
        <v>10362</v>
      </c>
      <c r="C357" s="1024"/>
      <c r="D357" s="364"/>
      <c r="E357" s="838" t="s">
        <v>2745</v>
      </c>
      <c r="F357" s="1138" t="s">
        <v>1490</v>
      </c>
      <c r="G357" s="13">
        <v>5</v>
      </c>
      <c r="H357" s="14">
        <v>6</v>
      </c>
      <c r="I357" s="502" t="s">
        <v>1516</v>
      </c>
      <c r="J357" s="502" t="s">
        <v>1516</v>
      </c>
      <c r="K357" s="501"/>
      <c r="L357" s="502"/>
      <c r="M357" s="502"/>
      <c r="N357" s="502"/>
      <c r="O357" s="569"/>
      <c r="P357" s="502"/>
      <c r="Q357" s="863"/>
      <c r="R357" s="873">
        <f>11.224-11</f>
        <v>0.2240000000000002</v>
      </c>
      <c r="S357" s="1944"/>
      <c r="T357" s="2497"/>
      <c r="U357" s="1944"/>
      <c r="V357" s="1944"/>
      <c r="W357" s="1138"/>
      <c r="X357" s="2498"/>
      <c r="Y357" s="1138"/>
      <c r="Z357" s="2499"/>
      <c r="AA357" s="3"/>
      <c r="AE357" s="2461"/>
      <c r="AF357" s="68"/>
    </row>
    <row r="358" spans="1:32" ht="45.5" x14ac:dyDescent="0.35">
      <c r="A358" s="347">
        <v>183</v>
      </c>
      <c r="B358" s="1024">
        <v>10362</v>
      </c>
      <c r="C358" s="358" t="s">
        <v>1656</v>
      </c>
      <c r="D358" s="2464" t="s">
        <v>4535</v>
      </c>
      <c r="E358" s="511" t="s">
        <v>8346</v>
      </c>
      <c r="F358" s="14" t="s">
        <v>664</v>
      </c>
      <c r="G358" s="14">
        <v>5</v>
      </c>
      <c r="H358" s="14">
        <v>6</v>
      </c>
      <c r="I358" s="501">
        <f t="shared" ref="I358:I368" si="30">J358+K358+L358</f>
        <v>0.3</v>
      </c>
      <c r="J358" s="501">
        <f t="shared" ref="J358:J365" si="31">SUM(M358:R358)</f>
        <v>0.3</v>
      </c>
      <c r="K358" s="501"/>
      <c r="L358" s="501"/>
      <c r="M358" s="501"/>
      <c r="N358" s="501"/>
      <c r="O358" s="568"/>
      <c r="P358" s="501"/>
      <c r="Q358" s="1856"/>
      <c r="R358" s="1865">
        <v>0.3</v>
      </c>
      <c r="S358" s="154"/>
      <c r="T358" s="260"/>
      <c r="U358" s="154"/>
      <c r="V358" s="154"/>
      <c r="W358" s="55"/>
      <c r="X358" s="2432"/>
      <c r="Y358" s="55"/>
      <c r="Z358" s="2433"/>
      <c r="AA358" s="3"/>
      <c r="AB358">
        <v>1</v>
      </c>
      <c r="AE358" s="2461"/>
      <c r="AF358" s="68"/>
    </row>
    <row r="359" spans="1:32" ht="30.5" x14ac:dyDescent="0.35">
      <c r="A359" s="347">
        <v>184</v>
      </c>
      <c r="B359" s="1024">
        <v>10362</v>
      </c>
      <c r="C359" s="358" t="s">
        <v>1656</v>
      </c>
      <c r="D359" s="2464" t="s">
        <v>4536</v>
      </c>
      <c r="E359" s="511" t="s">
        <v>8347</v>
      </c>
      <c r="F359" s="14" t="s">
        <v>664</v>
      </c>
      <c r="G359" s="14">
        <v>5</v>
      </c>
      <c r="H359" s="14">
        <v>6</v>
      </c>
      <c r="I359" s="501">
        <f t="shared" si="30"/>
        <v>0.1</v>
      </c>
      <c r="J359" s="501">
        <f t="shared" si="31"/>
        <v>0.1</v>
      </c>
      <c r="K359" s="501"/>
      <c r="L359" s="501"/>
      <c r="M359" s="501"/>
      <c r="N359" s="501"/>
      <c r="O359" s="568"/>
      <c r="P359" s="501"/>
      <c r="Q359" s="1856"/>
      <c r="R359" s="1865">
        <v>0.1</v>
      </c>
      <c r="S359" s="154"/>
      <c r="T359" s="260"/>
      <c r="U359" s="154"/>
      <c r="V359" s="154"/>
      <c r="W359" s="55"/>
      <c r="X359" s="2432"/>
      <c r="Y359" s="55"/>
      <c r="Z359" s="2433"/>
      <c r="AA359" s="3"/>
      <c r="AB359">
        <v>1</v>
      </c>
      <c r="AE359" s="2461"/>
      <c r="AF359" s="68"/>
    </row>
    <row r="360" spans="1:32" ht="30" x14ac:dyDescent="0.35">
      <c r="A360" s="347">
        <v>185</v>
      </c>
      <c r="B360" s="1025">
        <v>10363</v>
      </c>
      <c r="C360" s="1025"/>
      <c r="D360" s="405" t="s">
        <v>1625</v>
      </c>
      <c r="E360" s="288" t="s">
        <v>1033</v>
      </c>
      <c r="F360" s="13" t="s">
        <v>664</v>
      </c>
      <c r="G360" s="13">
        <v>5</v>
      </c>
      <c r="H360" s="14">
        <v>6</v>
      </c>
      <c r="I360" s="501">
        <f t="shared" si="30"/>
        <v>1.3</v>
      </c>
      <c r="J360" s="501">
        <f t="shared" si="31"/>
        <v>1.3</v>
      </c>
      <c r="K360" s="501"/>
      <c r="L360" s="501"/>
      <c r="M360" s="501"/>
      <c r="N360" s="501"/>
      <c r="O360" s="568"/>
      <c r="P360" s="501"/>
      <c r="Q360" s="860"/>
      <c r="R360" s="870">
        <v>1.3</v>
      </c>
      <c r="S360" s="154"/>
      <c r="T360" s="260"/>
      <c r="U360" s="154"/>
      <c r="V360" s="154"/>
      <c r="W360" s="154"/>
      <c r="X360" s="2501"/>
      <c r="Y360" s="154"/>
      <c r="Z360" s="2433"/>
      <c r="AA360" s="3"/>
      <c r="AB360">
        <v>1</v>
      </c>
      <c r="AE360" s="2461"/>
      <c r="AF360" s="68"/>
    </row>
    <row r="361" spans="1:32" ht="30" x14ac:dyDescent="0.35">
      <c r="A361" s="347">
        <v>186</v>
      </c>
      <c r="B361" s="1025">
        <v>10364</v>
      </c>
      <c r="C361" s="1025"/>
      <c r="D361" s="405" t="s">
        <v>1833</v>
      </c>
      <c r="E361" s="288" t="s">
        <v>1145</v>
      </c>
      <c r="F361" s="13" t="s">
        <v>1490</v>
      </c>
      <c r="G361" s="13">
        <v>5</v>
      </c>
      <c r="H361" s="14">
        <v>6</v>
      </c>
      <c r="I361" s="501">
        <f t="shared" si="30"/>
        <v>1</v>
      </c>
      <c r="J361" s="501">
        <f t="shared" si="31"/>
        <v>1</v>
      </c>
      <c r="K361" s="501"/>
      <c r="L361" s="501"/>
      <c r="M361" s="501"/>
      <c r="N361" s="501"/>
      <c r="O361" s="568"/>
      <c r="P361" s="501"/>
      <c r="Q361" s="860"/>
      <c r="R361" s="870">
        <v>1</v>
      </c>
      <c r="S361" s="154"/>
      <c r="T361" s="260"/>
      <c r="U361" s="154"/>
      <c r="V361" s="154"/>
      <c r="W361" s="154"/>
      <c r="X361" s="2501"/>
      <c r="Y361" s="154"/>
      <c r="Z361" s="2433"/>
      <c r="AA361" s="3"/>
      <c r="AB361">
        <v>1</v>
      </c>
      <c r="AE361" s="2461"/>
      <c r="AF361" s="68"/>
    </row>
    <row r="362" spans="1:32" ht="30.5" x14ac:dyDescent="0.35">
      <c r="A362" s="347">
        <v>187</v>
      </c>
      <c r="B362" s="1025">
        <v>10365</v>
      </c>
      <c r="C362" s="1025"/>
      <c r="D362" s="405" t="s">
        <v>1626</v>
      </c>
      <c r="E362" s="288" t="s">
        <v>2693</v>
      </c>
      <c r="F362" s="13">
        <v>5</v>
      </c>
      <c r="G362" s="13">
        <v>5</v>
      </c>
      <c r="H362" s="13">
        <v>6</v>
      </c>
      <c r="I362" s="501">
        <f t="shared" si="30"/>
        <v>1</v>
      </c>
      <c r="J362" s="501">
        <f t="shared" si="31"/>
        <v>1</v>
      </c>
      <c r="K362" s="501"/>
      <c r="L362" s="501"/>
      <c r="M362" s="501"/>
      <c r="N362" s="501">
        <v>1</v>
      </c>
      <c r="O362" s="568"/>
      <c r="P362" s="501"/>
      <c r="Q362" s="860"/>
      <c r="R362" s="870"/>
      <c r="S362" s="154"/>
      <c r="T362" s="260"/>
      <c r="U362" s="154"/>
      <c r="V362" s="154"/>
      <c r="W362" s="154"/>
      <c r="X362" s="2501"/>
      <c r="Y362" s="154"/>
      <c r="Z362" s="2433"/>
      <c r="AA362" s="3"/>
      <c r="AB362">
        <v>1</v>
      </c>
      <c r="AE362" s="2461"/>
      <c r="AF362" s="68"/>
    </row>
    <row r="363" spans="1:32" ht="30" x14ac:dyDescent="0.4">
      <c r="A363" s="347">
        <v>188</v>
      </c>
      <c r="B363" s="1025">
        <v>10366</v>
      </c>
      <c r="C363" s="1025"/>
      <c r="D363" s="405" t="s">
        <v>3263</v>
      </c>
      <c r="E363" s="511" t="s">
        <v>1815</v>
      </c>
      <c r="F363" s="1138" t="s">
        <v>827</v>
      </c>
      <c r="G363" s="13">
        <v>5</v>
      </c>
      <c r="H363" s="14">
        <v>6</v>
      </c>
      <c r="I363" s="501">
        <f t="shared" si="30"/>
        <v>1.4</v>
      </c>
      <c r="J363" s="501">
        <f t="shared" si="31"/>
        <v>1.4</v>
      </c>
      <c r="K363" s="501"/>
      <c r="L363" s="501"/>
      <c r="M363" s="501"/>
      <c r="N363" s="501"/>
      <c r="O363" s="568"/>
      <c r="P363" s="501"/>
      <c r="Q363" s="860"/>
      <c r="R363" s="870">
        <v>1.4</v>
      </c>
      <c r="S363" s="154"/>
      <c r="T363" s="260"/>
      <c r="U363" s="154"/>
      <c r="V363" s="154"/>
      <c r="W363" s="154">
        <v>2</v>
      </c>
      <c r="X363" s="2501">
        <v>17.5</v>
      </c>
      <c r="Y363" s="154"/>
      <c r="Z363" s="2433"/>
      <c r="AA363" s="3"/>
      <c r="AB363">
        <v>1</v>
      </c>
      <c r="AC363" s="63" t="s">
        <v>2570</v>
      </c>
      <c r="AE363" s="2461"/>
      <c r="AF363" s="68"/>
    </row>
    <row r="364" spans="1:32" ht="30.5" x14ac:dyDescent="0.35">
      <c r="A364" s="347">
        <v>189</v>
      </c>
      <c r="B364" s="1024">
        <v>10366</v>
      </c>
      <c r="C364" s="358" t="s">
        <v>1656</v>
      </c>
      <c r="D364" s="2464" t="s">
        <v>10380</v>
      </c>
      <c r="E364" s="511" t="s">
        <v>10968</v>
      </c>
      <c r="F364" s="1944" t="s">
        <v>664</v>
      </c>
      <c r="G364" s="14">
        <v>5</v>
      </c>
      <c r="H364" s="14">
        <v>6</v>
      </c>
      <c r="I364" s="501">
        <f t="shared" si="30"/>
        <v>1.1000000000000001</v>
      </c>
      <c r="J364" s="501">
        <f t="shared" si="31"/>
        <v>1.1000000000000001</v>
      </c>
      <c r="K364" s="501"/>
      <c r="L364" s="501"/>
      <c r="M364" s="501"/>
      <c r="N364" s="501"/>
      <c r="O364" s="568"/>
      <c r="P364" s="501"/>
      <c r="Q364" s="1856"/>
      <c r="R364" s="1865">
        <v>1.1000000000000001</v>
      </c>
      <c r="S364" s="154"/>
      <c r="T364" s="260"/>
      <c r="U364" s="154"/>
      <c r="V364" s="154"/>
      <c r="W364" s="55"/>
      <c r="X364" s="2432"/>
      <c r="Y364" s="55"/>
      <c r="Z364" s="2433"/>
      <c r="AA364" s="3"/>
      <c r="AB364">
        <v>1</v>
      </c>
      <c r="AE364" s="2461"/>
      <c r="AF364" s="68"/>
    </row>
    <row r="365" spans="1:32" ht="30" x14ac:dyDescent="0.35">
      <c r="A365" s="347">
        <v>190</v>
      </c>
      <c r="B365" s="1025">
        <v>10368</v>
      </c>
      <c r="C365" s="1025"/>
      <c r="D365" s="405" t="s">
        <v>3250</v>
      </c>
      <c r="E365" s="511" t="s">
        <v>1467</v>
      </c>
      <c r="F365" s="13" t="s">
        <v>827</v>
      </c>
      <c r="G365" s="13">
        <v>5</v>
      </c>
      <c r="H365" s="14">
        <v>6</v>
      </c>
      <c r="I365" s="501">
        <f t="shared" si="30"/>
        <v>2</v>
      </c>
      <c r="J365" s="501">
        <f t="shared" si="31"/>
        <v>2</v>
      </c>
      <c r="K365" s="501"/>
      <c r="L365" s="501"/>
      <c r="M365" s="501"/>
      <c r="N365" s="501"/>
      <c r="O365" s="568"/>
      <c r="P365" s="501"/>
      <c r="Q365" s="860"/>
      <c r="R365" s="870">
        <v>2</v>
      </c>
      <c r="S365" s="154"/>
      <c r="T365" s="260"/>
      <c r="U365" s="154"/>
      <c r="V365" s="154"/>
      <c r="W365" s="154"/>
      <c r="X365" s="2501"/>
      <c r="Y365" s="154"/>
      <c r="Z365" s="2433"/>
      <c r="AA365" s="3"/>
      <c r="AB365">
        <v>1</v>
      </c>
      <c r="AE365" s="2461"/>
      <c r="AF365" s="68"/>
    </row>
    <row r="366" spans="1:32" ht="30.5" x14ac:dyDescent="0.35">
      <c r="A366" s="347">
        <v>191</v>
      </c>
      <c r="B366" s="358">
        <v>10340</v>
      </c>
      <c r="C366" s="358" t="s">
        <v>1656</v>
      </c>
      <c r="D366" s="2464" t="s">
        <v>4518</v>
      </c>
      <c r="E366" s="511" t="s">
        <v>8348</v>
      </c>
      <c r="F366" s="14" t="s">
        <v>664</v>
      </c>
      <c r="G366" s="14">
        <v>5</v>
      </c>
      <c r="H366" s="14">
        <v>6</v>
      </c>
      <c r="I366" s="501">
        <f>J366+K366+L366</f>
        <v>0.1</v>
      </c>
      <c r="J366" s="501">
        <f>SUM(M366:R366)</f>
        <v>0.1</v>
      </c>
      <c r="K366" s="501"/>
      <c r="L366" s="501"/>
      <c r="M366" s="501"/>
      <c r="N366" s="501"/>
      <c r="O366" s="568"/>
      <c r="P366" s="501"/>
      <c r="Q366" s="1856"/>
      <c r="R366" s="1865">
        <v>0.1</v>
      </c>
      <c r="S366" s="154"/>
      <c r="T366" s="260"/>
      <c r="U366" s="154"/>
      <c r="V366" s="154"/>
      <c r="W366" s="154"/>
      <c r="X366" s="2501"/>
      <c r="Y366" s="154"/>
      <c r="Z366" s="2433"/>
      <c r="AA366" s="3"/>
      <c r="AB366">
        <v>1</v>
      </c>
      <c r="AE366" s="2461"/>
      <c r="AF366" s="68"/>
    </row>
    <row r="367" spans="1:32" ht="30" x14ac:dyDescent="0.35">
      <c r="A367" s="347">
        <v>192</v>
      </c>
      <c r="B367" s="358">
        <v>10369</v>
      </c>
      <c r="C367" s="358"/>
      <c r="D367" s="358" t="s">
        <v>1039</v>
      </c>
      <c r="E367" s="511" t="s">
        <v>506</v>
      </c>
      <c r="F367" s="14" t="s">
        <v>827</v>
      </c>
      <c r="G367" s="1944">
        <v>5</v>
      </c>
      <c r="H367" s="13">
        <v>6</v>
      </c>
      <c r="I367" s="297">
        <f t="shared" si="30"/>
        <v>5.24</v>
      </c>
      <c r="J367" s="297">
        <f>SUM(M367:R367)</f>
        <v>5.24</v>
      </c>
      <c r="K367" s="501"/>
      <c r="L367" s="501"/>
      <c r="M367" s="501"/>
      <c r="N367" s="501"/>
      <c r="O367" s="568"/>
      <c r="P367" s="501"/>
      <c r="Q367" s="860">
        <v>5.24</v>
      </c>
      <c r="R367" s="870"/>
      <c r="S367" s="154"/>
      <c r="T367" s="260"/>
      <c r="U367" s="154"/>
      <c r="V367" s="154"/>
      <c r="W367" s="55">
        <v>10</v>
      </c>
      <c r="X367" s="2432">
        <v>111</v>
      </c>
      <c r="Y367" s="55">
        <v>4</v>
      </c>
      <c r="Z367" s="2433">
        <v>40</v>
      </c>
      <c r="AA367" s="3"/>
      <c r="AB367">
        <v>1</v>
      </c>
      <c r="AE367" s="2461"/>
      <c r="AF367" s="68"/>
    </row>
    <row r="368" spans="1:32" ht="30" x14ac:dyDescent="0.35">
      <c r="A368" s="347">
        <v>193</v>
      </c>
      <c r="B368" s="358">
        <v>10370</v>
      </c>
      <c r="C368" s="358"/>
      <c r="D368" s="358" t="s">
        <v>507</v>
      </c>
      <c r="E368" s="511" t="s">
        <v>715</v>
      </c>
      <c r="F368" s="14" t="s">
        <v>827</v>
      </c>
      <c r="G368" s="1944">
        <v>5</v>
      </c>
      <c r="H368" s="13">
        <v>6</v>
      </c>
      <c r="I368" s="297">
        <f t="shared" si="30"/>
        <v>3.87</v>
      </c>
      <c r="J368" s="297">
        <f>SUM(M368:R368)</f>
        <v>3.87</v>
      </c>
      <c r="K368" s="501"/>
      <c r="L368" s="501"/>
      <c r="M368" s="501"/>
      <c r="N368" s="501"/>
      <c r="O368" s="568"/>
      <c r="P368" s="501"/>
      <c r="Q368" s="1856">
        <v>3.87</v>
      </c>
      <c r="R368" s="1865"/>
      <c r="S368" s="55"/>
      <c r="T368" s="1962"/>
      <c r="U368" s="154"/>
      <c r="V368" s="154"/>
      <c r="W368" s="55">
        <v>12</v>
      </c>
      <c r="X368" s="2432">
        <v>160.6</v>
      </c>
      <c r="Y368" s="55">
        <v>5</v>
      </c>
      <c r="Z368" s="2433">
        <v>51.9</v>
      </c>
      <c r="AB368">
        <v>1</v>
      </c>
      <c r="AE368" s="2461"/>
      <c r="AF368" s="68"/>
    </row>
    <row r="369" spans="1:32" ht="30.5" x14ac:dyDescent="0.35">
      <c r="A369" s="347">
        <v>194</v>
      </c>
      <c r="B369" s="1025">
        <v>10376</v>
      </c>
      <c r="C369" s="1024"/>
      <c r="D369" s="828" t="s">
        <v>3269</v>
      </c>
      <c r="E369" s="511" t="s">
        <v>585</v>
      </c>
      <c r="F369" s="14"/>
      <c r="G369" s="14" t="s">
        <v>191</v>
      </c>
      <c r="H369" s="13" t="s">
        <v>191</v>
      </c>
      <c r="I369" s="501">
        <f>J369+K369+L369</f>
        <v>3.5999999999999979</v>
      </c>
      <c r="J369" s="501">
        <f>SUM(M369:R369)</f>
        <v>3.5999999999999979</v>
      </c>
      <c r="K369" s="501"/>
      <c r="L369" s="501"/>
      <c r="M369" s="501"/>
      <c r="N369" s="501">
        <f>SUM(N370:N371)</f>
        <v>2</v>
      </c>
      <c r="O369" s="568"/>
      <c r="P369" s="501"/>
      <c r="Q369" s="1856">
        <f>SUM(Q370:Q371)</f>
        <v>1.5999999999999979</v>
      </c>
      <c r="R369" s="1865"/>
      <c r="S369" s="154">
        <v>1</v>
      </c>
      <c r="T369" s="260">
        <v>68.8</v>
      </c>
      <c r="U369" s="154"/>
      <c r="V369" s="154"/>
      <c r="W369" s="154">
        <v>2</v>
      </c>
      <c r="X369" s="2501">
        <v>33.299999999999997</v>
      </c>
      <c r="Y369" s="154"/>
      <c r="Z369" s="2433"/>
      <c r="AA369" s="3"/>
      <c r="AB369">
        <v>1</v>
      </c>
      <c r="AE369" s="2461"/>
      <c r="AF369" s="68"/>
    </row>
    <row r="370" spans="1:32" ht="15.5" x14ac:dyDescent="0.35">
      <c r="A370" s="347"/>
      <c r="B370" s="1025">
        <v>10376</v>
      </c>
      <c r="C370" s="1024"/>
      <c r="D370" s="828"/>
      <c r="E370" s="1866" t="s">
        <v>657</v>
      </c>
      <c r="F370" s="14">
        <v>4</v>
      </c>
      <c r="G370" s="14">
        <v>4</v>
      </c>
      <c r="H370" s="13">
        <v>6</v>
      </c>
      <c r="I370" s="501"/>
      <c r="J370" s="501"/>
      <c r="K370" s="501"/>
      <c r="L370" s="501"/>
      <c r="M370" s="501"/>
      <c r="N370" s="502"/>
      <c r="O370" s="568"/>
      <c r="P370" s="501"/>
      <c r="Q370" s="1859">
        <f>19.04-17.44</f>
        <v>1.5999999999999979</v>
      </c>
      <c r="R370" s="1865"/>
      <c r="S370" s="154"/>
      <c r="T370" s="260"/>
      <c r="U370" s="154"/>
      <c r="V370" s="154"/>
      <c r="W370" s="154"/>
      <c r="X370" s="2501"/>
      <c r="Y370" s="154"/>
      <c r="Z370" s="2433"/>
      <c r="AA370" s="3"/>
      <c r="AE370" s="2461"/>
      <c r="AF370" s="68"/>
    </row>
    <row r="371" spans="1:32" ht="15.5" x14ac:dyDescent="0.35">
      <c r="A371" s="347"/>
      <c r="B371" s="1025">
        <v>10376</v>
      </c>
      <c r="C371" s="1024"/>
      <c r="D371" s="828"/>
      <c r="E371" s="1867" t="s">
        <v>658</v>
      </c>
      <c r="F371" s="14">
        <v>4</v>
      </c>
      <c r="G371" s="14">
        <v>4</v>
      </c>
      <c r="H371" s="13">
        <v>6</v>
      </c>
      <c r="I371" s="501"/>
      <c r="J371" s="501"/>
      <c r="K371" s="501"/>
      <c r="L371" s="501"/>
      <c r="M371" s="501"/>
      <c r="N371" s="502">
        <f>21.04-19.04</f>
        <v>2</v>
      </c>
      <c r="O371" s="568"/>
      <c r="P371" s="501"/>
      <c r="Q371" s="1859"/>
      <c r="R371" s="1865"/>
      <c r="S371" s="154"/>
      <c r="T371" s="260"/>
      <c r="U371" s="154"/>
      <c r="V371" s="154"/>
      <c r="W371" s="154"/>
      <c r="X371" s="2501"/>
      <c r="Y371" s="154"/>
      <c r="Z371" s="2433"/>
      <c r="AA371" s="3"/>
      <c r="AE371" s="2461"/>
      <c r="AF371" s="68"/>
    </row>
    <row r="372" spans="1:32" ht="45.5" x14ac:dyDescent="0.35">
      <c r="A372" s="347">
        <v>195</v>
      </c>
      <c r="B372" s="1024">
        <v>10342</v>
      </c>
      <c r="C372" s="358" t="s">
        <v>1656</v>
      </c>
      <c r="D372" s="2464" t="s">
        <v>4520</v>
      </c>
      <c r="E372" s="511" t="s">
        <v>9239</v>
      </c>
      <c r="F372" s="14" t="s">
        <v>664</v>
      </c>
      <c r="G372" s="14">
        <v>5</v>
      </c>
      <c r="H372" s="14">
        <v>6</v>
      </c>
      <c r="I372" s="501">
        <f>J372+K372+L372</f>
        <v>0.1</v>
      </c>
      <c r="J372" s="501">
        <f>SUM(M372:R372)</f>
        <v>0.1</v>
      </c>
      <c r="K372" s="501"/>
      <c r="L372" s="501"/>
      <c r="M372" s="501"/>
      <c r="N372" s="501"/>
      <c r="O372" s="568"/>
      <c r="P372" s="501"/>
      <c r="Q372" s="1856"/>
      <c r="R372" s="1865">
        <v>0.1</v>
      </c>
      <c r="S372" s="55"/>
      <c r="T372" s="1962"/>
      <c r="U372" s="154"/>
      <c r="V372" s="154"/>
      <c r="W372" s="154"/>
      <c r="X372" s="2501"/>
      <c r="Y372" s="154"/>
      <c r="Z372" s="2433"/>
      <c r="AA372" s="3"/>
      <c r="AB372">
        <v>1</v>
      </c>
      <c r="AE372" s="2461"/>
      <c r="AF372" s="68"/>
    </row>
    <row r="373" spans="1:32" ht="45.5" x14ac:dyDescent="0.35">
      <c r="A373" s="349"/>
      <c r="B373" s="1024" t="s">
        <v>2893</v>
      </c>
      <c r="C373" s="1024"/>
      <c r="D373" s="405"/>
      <c r="E373" s="1596" t="s">
        <v>11320</v>
      </c>
      <c r="F373" s="13"/>
      <c r="G373" s="13"/>
      <c r="H373" s="13"/>
      <c r="I373" s="501"/>
      <c r="J373" s="501"/>
      <c r="K373" s="501"/>
      <c r="L373" s="501"/>
      <c r="M373" s="501"/>
      <c r="N373" s="501"/>
      <c r="O373" s="568"/>
      <c r="P373" s="501"/>
      <c r="Q373" s="860"/>
      <c r="R373" s="870"/>
      <c r="S373" s="154"/>
      <c r="T373" s="260"/>
      <c r="U373" s="154"/>
      <c r="V373" s="154"/>
      <c r="W373" s="154"/>
      <c r="X373" s="2501"/>
      <c r="Y373" s="154"/>
      <c r="Z373" s="2433"/>
      <c r="AE373" s="2461"/>
      <c r="AF373" s="68"/>
    </row>
    <row r="374" spans="1:32" ht="34.5" customHeight="1" x14ac:dyDescent="0.35">
      <c r="A374" s="347">
        <v>196</v>
      </c>
      <c r="B374" s="1024" t="s">
        <v>2893</v>
      </c>
      <c r="C374" s="1024"/>
      <c r="D374" s="2464" t="s">
        <v>4537</v>
      </c>
      <c r="E374" s="2070" t="s">
        <v>11358</v>
      </c>
      <c r="F374" s="13"/>
      <c r="G374" s="13" t="s">
        <v>191</v>
      </c>
      <c r="H374" s="13" t="s">
        <v>191</v>
      </c>
      <c r="I374" s="501">
        <f>J374+K374+L374</f>
        <v>1.74</v>
      </c>
      <c r="J374" s="501">
        <f>SUM(M374:R374)</f>
        <v>1.74</v>
      </c>
      <c r="K374" s="501"/>
      <c r="L374" s="501"/>
      <c r="M374" s="501"/>
      <c r="N374" s="501">
        <f>SUM(N375:N376)</f>
        <v>0.84</v>
      </c>
      <c r="O374" s="568"/>
      <c r="P374" s="501"/>
      <c r="Q374" s="860">
        <f>SUM(Q375:Q376)</f>
        <v>0.9</v>
      </c>
      <c r="R374" s="870" t="s">
        <v>1516</v>
      </c>
      <c r="S374" s="154"/>
      <c r="T374" s="260"/>
      <c r="U374" s="154"/>
      <c r="V374" s="154"/>
      <c r="W374" s="55">
        <v>1</v>
      </c>
      <c r="X374" s="2432">
        <v>12.5</v>
      </c>
      <c r="Y374" s="55"/>
      <c r="Z374" s="2433"/>
      <c r="AA374" s="3" t="s">
        <v>2073</v>
      </c>
      <c r="AB374">
        <v>1</v>
      </c>
      <c r="AE374" s="2461"/>
      <c r="AF374" s="68"/>
    </row>
    <row r="375" spans="1:32" ht="15.5" x14ac:dyDescent="0.35">
      <c r="A375" s="347"/>
      <c r="B375" s="1024" t="s">
        <v>2893</v>
      </c>
      <c r="C375" s="1024"/>
      <c r="D375" s="358"/>
      <c r="E375" s="1866" t="s">
        <v>282</v>
      </c>
      <c r="F375" s="13">
        <v>5</v>
      </c>
      <c r="G375" s="13">
        <v>5</v>
      </c>
      <c r="H375" s="13">
        <v>6</v>
      </c>
      <c r="I375" s="502"/>
      <c r="J375" s="502"/>
      <c r="K375" s="502"/>
      <c r="L375" s="502"/>
      <c r="M375" s="502"/>
      <c r="N375" s="502"/>
      <c r="O375" s="569"/>
      <c r="P375" s="502"/>
      <c r="Q375" s="1859">
        <v>0.9</v>
      </c>
      <c r="R375" s="870"/>
      <c r="S375" s="154"/>
      <c r="T375" s="260"/>
      <c r="U375" s="154"/>
      <c r="V375" s="154"/>
      <c r="W375" s="55"/>
      <c r="X375" s="2432"/>
      <c r="Y375" s="55"/>
      <c r="Z375" s="2433"/>
      <c r="AA375" s="3" t="s">
        <v>3162</v>
      </c>
      <c r="AE375" s="2461"/>
      <c r="AF375" s="68"/>
    </row>
    <row r="376" spans="1:32" ht="15.5" x14ac:dyDescent="0.35">
      <c r="A376" s="347"/>
      <c r="B376" s="1024" t="s">
        <v>2893</v>
      </c>
      <c r="C376" s="1024"/>
      <c r="D376" s="358"/>
      <c r="E376" s="1867" t="s">
        <v>283</v>
      </c>
      <c r="F376" s="13">
        <v>5</v>
      </c>
      <c r="G376" s="13">
        <v>5</v>
      </c>
      <c r="H376" s="13">
        <v>6</v>
      </c>
      <c r="I376" s="502"/>
      <c r="J376" s="502"/>
      <c r="K376" s="502"/>
      <c r="L376" s="502"/>
      <c r="M376" s="502"/>
      <c r="N376" s="502">
        <f>1.74-0.9</f>
        <v>0.84</v>
      </c>
      <c r="O376" s="569"/>
      <c r="P376" s="502"/>
      <c r="Q376" s="1859"/>
      <c r="R376" s="870"/>
      <c r="S376" s="154"/>
      <c r="T376" s="260"/>
      <c r="U376" s="154"/>
      <c r="V376" s="154"/>
      <c r="W376" s="55"/>
      <c r="X376" s="2432"/>
      <c r="Y376" s="55"/>
      <c r="Z376" s="2433"/>
      <c r="AA376" s="3"/>
      <c r="AE376" s="2461"/>
      <c r="AF376" s="68"/>
    </row>
    <row r="377" spans="1:32" ht="45.5" x14ac:dyDescent="0.35">
      <c r="A377" s="349">
        <v>197</v>
      </c>
      <c r="B377" s="1025" t="s">
        <v>2893</v>
      </c>
      <c r="C377" s="1025"/>
      <c r="D377" s="2464" t="s">
        <v>4538</v>
      </c>
      <c r="E377" s="511" t="s">
        <v>11359</v>
      </c>
      <c r="F377" s="13"/>
      <c r="G377" s="13" t="s">
        <v>191</v>
      </c>
      <c r="H377" s="13" t="s">
        <v>191</v>
      </c>
      <c r="I377" s="501">
        <f>J377+K377+L377</f>
        <v>3.55</v>
      </c>
      <c r="J377" s="501">
        <f>SUM(M377:R377)</f>
        <v>3.55</v>
      </c>
      <c r="K377" s="501"/>
      <c r="L377" s="501"/>
      <c r="M377" s="501"/>
      <c r="N377" s="501">
        <f>SUM(N378:N381)</f>
        <v>1.4299999999999997</v>
      </c>
      <c r="O377" s="568"/>
      <c r="P377" s="501"/>
      <c r="Q377" s="860">
        <f>SUM(Q378:Q381)</f>
        <v>2.12</v>
      </c>
      <c r="R377" s="870"/>
      <c r="S377" s="55">
        <v>1</v>
      </c>
      <c r="T377" s="1962">
        <v>72.599999999999994</v>
      </c>
      <c r="U377" s="154"/>
      <c r="V377" s="154"/>
      <c r="W377" s="55">
        <v>5</v>
      </c>
      <c r="X377" s="2432">
        <v>74</v>
      </c>
      <c r="Y377" s="55">
        <v>2</v>
      </c>
      <c r="Z377" s="2433">
        <v>20</v>
      </c>
      <c r="AA377" s="3"/>
      <c r="AB377">
        <v>1</v>
      </c>
      <c r="AE377" s="2461"/>
      <c r="AF377" s="68"/>
    </row>
    <row r="378" spans="1:32" ht="15.5" x14ac:dyDescent="0.35">
      <c r="A378" s="349"/>
      <c r="B378" s="1025" t="s">
        <v>2893</v>
      </c>
      <c r="C378" s="1025"/>
      <c r="D378" s="405"/>
      <c r="E378" s="2495" t="s">
        <v>6830</v>
      </c>
      <c r="F378" s="13">
        <v>5</v>
      </c>
      <c r="G378" s="13">
        <v>4</v>
      </c>
      <c r="H378" s="13">
        <v>6</v>
      </c>
      <c r="I378" s="2492"/>
      <c r="J378" s="2492"/>
      <c r="K378" s="2492"/>
      <c r="L378" s="2492"/>
      <c r="M378" s="2492"/>
      <c r="N378" s="2492"/>
      <c r="O378" s="2493"/>
      <c r="P378" s="2492"/>
      <c r="Q378" s="2494">
        <v>0.92</v>
      </c>
      <c r="R378" s="1868"/>
      <c r="S378" s="55"/>
      <c r="T378" s="1962"/>
      <c r="U378" s="154"/>
      <c r="V378" s="154"/>
      <c r="W378" s="55"/>
      <c r="X378" s="2432"/>
      <c r="Y378" s="55"/>
      <c r="Z378" s="2433"/>
      <c r="AA378" s="3"/>
      <c r="AE378" s="2461"/>
      <c r="AF378" s="68"/>
    </row>
    <row r="379" spans="1:32" ht="15.5" x14ac:dyDescent="0.35">
      <c r="A379" s="349"/>
      <c r="B379" s="1025"/>
      <c r="C379" s="1025"/>
      <c r="D379" s="405"/>
      <c r="E379" s="2496" t="s">
        <v>6831</v>
      </c>
      <c r="F379" s="13">
        <v>5</v>
      </c>
      <c r="G379" s="13">
        <v>4</v>
      </c>
      <c r="H379" s="13">
        <v>6</v>
      </c>
      <c r="I379" s="2492"/>
      <c r="J379" s="2492"/>
      <c r="K379" s="2492"/>
      <c r="L379" s="2492"/>
      <c r="M379" s="2492"/>
      <c r="N379" s="2492">
        <v>0.38</v>
      </c>
      <c r="O379" s="2493"/>
      <c r="P379" s="2492"/>
      <c r="Q379" s="2494"/>
      <c r="R379" s="1868"/>
      <c r="S379" s="55"/>
      <c r="T379" s="1962"/>
      <c r="U379" s="154"/>
      <c r="V379" s="154"/>
      <c r="W379" s="55"/>
      <c r="X379" s="2432"/>
      <c r="Y379" s="55"/>
      <c r="Z379" s="2433"/>
      <c r="AA379" s="3"/>
      <c r="AE379" s="2461"/>
      <c r="AF379" s="68"/>
    </row>
    <row r="380" spans="1:32" ht="15.5" x14ac:dyDescent="0.35">
      <c r="A380" s="349"/>
      <c r="B380" s="1025"/>
      <c r="C380" s="1025"/>
      <c r="D380" s="405"/>
      <c r="E380" s="2495" t="s">
        <v>6832</v>
      </c>
      <c r="F380" s="13">
        <v>5</v>
      </c>
      <c r="G380" s="13">
        <v>4</v>
      </c>
      <c r="H380" s="13">
        <v>6</v>
      </c>
      <c r="I380" s="2492"/>
      <c r="J380" s="2492"/>
      <c r="K380" s="2492"/>
      <c r="L380" s="2492"/>
      <c r="M380" s="2492"/>
      <c r="N380" s="2492"/>
      <c r="O380" s="2493"/>
      <c r="P380" s="2492"/>
      <c r="Q380" s="2494">
        <v>1.2</v>
      </c>
      <c r="R380" s="1868"/>
      <c r="S380" s="55"/>
      <c r="T380" s="1962"/>
      <c r="U380" s="154"/>
      <c r="V380" s="154"/>
      <c r="W380" s="55"/>
      <c r="X380" s="2432"/>
      <c r="Y380" s="55"/>
      <c r="Z380" s="2433"/>
      <c r="AA380" s="3"/>
      <c r="AE380" s="2461"/>
      <c r="AF380" s="68"/>
    </row>
    <row r="381" spans="1:32" ht="15.5" x14ac:dyDescent="0.35">
      <c r="A381" s="349"/>
      <c r="B381" s="1025" t="s">
        <v>2893</v>
      </c>
      <c r="C381" s="1025"/>
      <c r="D381" s="405"/>
      <c r="E381" s="2496" t="s">
        <v>6833</v>
      </c>
      <c r="F381" s="13">
        <v>5</v>
      </c>
      <c r="G381" s="13">
        <v>4</v>
      </c>
      <c r="H381" s="13">
        <v>6</v>
      </c>
      <c r="I381" s="2492"/>
      <c r="J381" s="2492"/>
      <c r="K381" s="2492"/>
      <c r="L381" s="2492"/>
      <c r="M381" s="2492"/>
      <c r="N381" s="2492">
        <v>1.0499999999999998</v>
      </c>
      <c r="O381" s="2493"/>
      <c r="P381" s="2492"/>
      <c r="Q381" s="2494"/>
      <c r="R381" s="1868"/>
      <c r="S381" s="55"/>
      <c r="T381" s="1962"/>
      <c r="U381" s="154"/>
      <c r="V381" s="154"/>
      <c r="W381" s="55"/>
      <c r="X381" s="2432"/>
      <c r="Y381" s="55"/>
      <c r="Z381" s="2433"/>
      <c r="AA381" s="3"/>
      <c r="AE381" s="2461"/>
      <c r="AF381" s="68"/>
    </row>
    <row r="382" spans="1:32" ht="60.5" x14ac:dyDescent="0.35">
      <c r="A382" s="347">
        <v>198</v>
      </c>
      <c r="B382" s="358" t="s">
        <v>2893</v>
      </c>
      <c r="C382" s="358" t="s">
        <v>1656</v>
      </c>
      <c r="D382" s="2464" t="s">
        <v>4539</v>
      </c>
      <c r="E382" s="511" t="s">
        <v>11360</v>
      </c>
      <c r="F382" s="14"/>
      <c r="G382" s="14" t="s">
        <v>191</v>
      </c>
      <c r="H382" s="14" t="s">
        <v>191</v>
      </c>
      <c r="I382" s="501">
        <f>J382+K382+L382</f>
        <v>0.27</v>
      </c>
      <c r="J382" s="501">
        <f>SUM(M382:R382)</f>
        <v>0.27</v>
      </c>
      <c r="K382" s="501"/>
      <c r="L382" s="501"/>
      <c r="M382" s="501"/>
      <c r="N382" s="501">
        <f>SUM(N383:N384)</f>
        <v>0.17</v>
      </c>
      <c r="O382" s="568"/>
      <c r="P382" s="501"/>
      <c r="Q382" s="1856"/>
      <c r="R382" s="1865">
        <f>SUM(R383:R384)</f>
        <v>0.1</v>
      </c>
      <c r="S382" s="154"/>
      <c r="T382" s="260"/>
      <c r="U382" s="154"/>
      <c r="V382" s="154"/>
      <c r="W382" s="55"/>
      <c r="X382" s="2432"/>
      <c r="Y382" s="55"/>
      <c r="Z382" s="2433"/>
      <c r="AB382">
        <v>1</v>
      </c>
      <c r="AE382" s="2461"/>
      <c r="AF382" s="68"/>
    </row>
    <row r="383" spans="1:32" ht="15.5" x14ac:dyDescent="0.35">
      <c r="A383" s="347"/>
      <c r="B383" s="1024"/>
      <c r="C383" s="1024"/>
      <c r="D383" s="2464"/>
      <c r="E383" s="2496" t="s">
        <v>7071</v>
      </c>
      <c r="F383" s="14" t="s">
        <v>664</v>
      </c>
      <c r="G383" s="14">
        <v>5</v>
      </c>
      <c r="H383" s="14">
        <v>6</v>
      </c>
      <c r="I383" s="502"/>
      <c r="J383" s="502"/>
      <c r="K383" s="502"/>
      <c r="L383" s="502"/>
      <c r="M383" s="502"/>
      <c r="N383" s="502">
        <v>0.17</v>
      </c>
      <c r="O383" s="569"/>
      <c r="P383" s="502"/>
      <c r="Q383" s="1859"/>
      <c r="R383" s="1868"/>
      <c r="S383" s="154"/>
      <c r="T383" s="260"/>
      <c r="U383" s="154"/>
      <c r="V383" s="154"/>
      <c r="W383" s="55"/>
      <c r="X383" s="2432"/>
      <c r="Y383" s="55"/>
      <c r="Z383" s="2433"/>
      <c r="AE383" s="2461"/>
      <c r="AF383" s="68"/>
    </row>
    <row r="384" spans="1:32" ht="15.5" x14ac:dyDescent="0.35">
      <c r="A384" s="347"/>
      <c r="B384" s="1024"/>
      <c r="C384" s="1024"/>
      <c r="D384" s="2464"/>
      <c r="E384" s="838" t="s">
        <v>7072</v>
      </c>
      <c r="F384" s="14" t="s">
        <v>664</v>
      </c>
      <c r="G384" s="14">
        <v>5</v>
      </c>
      <c r="H384" s="14">
        <v>6</v>
      </c>
      <c r="I384" s="502"/>
      <c r="J384" s="502"/>
      <c r="K384" s="502"/>
      <c r="L384" s="502"/>
      <c r="M384" s="502"/>
      <c r="N384" s="502"/>
      <c r="O384" s="569"/>
      <c r="P384" s="502"/>
      <c r="Q384" s="1859"/>
      <c r="R384" s="1868">
        <f>0.27-0.17</f>
        <v>0.1</v>
      </c>
      <c r="S384" s="154"/>
      <c r="T384" s="260"/>
      <c r="U384" s="154"/>
      <c r="V384" s="154"/>
      <c r="W384" s="55"/>
      <c r="X384" s="2432"/>
      <c r="Y384" s="55"/>
      <c r="Z384" s="2433"/>
      <c r="AE384" s="2461"/>
      <c r="AF384" s="68"/>
    </row>
    <row r="385" spans="1:32" ht="45.5" x14ac:dyDescent="0.35">
      <c r="A385" s="347">
        <v>199</v>
      </c>
      <c r="B385" s="1024" t="s">
        <v>2893</v>
      </c>
      <c r="C385" s="1024"/>
      <c r="D385" s="2464" t="s">
        <v>4540</v>
      </c>
      <c r="E385" s="511" t="s">
        <v>11361</v>
      </c>
      <c r="F385" s="13"/>
      <c r="G385" s="13" t="s">
        <v>191</v>
      </c>
      <c r="H385" s="13" t="s">
        <v>191</v>
      </c>
      <c r="I385" s="501">
        <f>J385+K385+L385</f>
        <v>3.53</v>
      </c>
      <c r="J385" s="501">
        <f>SUM(M385:R385)</f>
        <v>3.53</v>
      </c>
      <c r="K385" s="501"/>
      <c r="L385" s="501"/>
      <c r="M385" s="501"/>
      <c r="N385" s="501">
        <f>SUM(N386:N387)</f>
        <v>0.5</v>
      </c>
      <c r="O385" s="568"/>
      <c r="P385" s="501"/>
      <c r="Q385" s="860">
        <f>SUM(Q386:Q387)</f>
        <v>3.03</v>
      </c>
      <c r="R385" s="870"/>
      <c r="S385" s="154"/>
      <c r="T385" s="260"/>
      <c r="U385" s="154"/>
      <c r="V385" s="154"/>
      <c r="W385" s="55">
        <v>7</v>
      </c>
      <c r="X385" s="2432">
        <v>77.099999999999994</v>
      </c>
      <c r="Y385" s="55"/>
      <c r="Z385" s="2433"/>
      <c r="AA385" s="3"/>
      <c r="AB385">
        <v>1</v>
      </c>
      <c r="AE385" s="2461"/>
      <c r="AF385" s="68"/>
    </row>
    <row r="386" spans="1:32" ht="15.5" x14ac:dyDescent="0.35">
      <c r="A386" s="363"/>
      <c r="B386" s="1024" t="s">
        <v>2893</v>
      </c>
      <c r="C386" s="1024"/>
      <c r="D386" s="364"/>
      <c r="E386" s="289" t="s">
        <v>2490</v>
      </c>
      <c r="F386" s="13">
        <v>5</v>
      </c>
      <c r="G386" s="13">
        <v>5</v>
      </c>
      <c r="H386" s="13">
        <v>6</v>
      </c>
      <c r="I386" s="502" t="s">
        <v>1516</v>
      </c>
      <c r="J386" s="502" t="s">
        <v>1516</v>
      </c>
      <c r="K386" s="501"/>
      <c r="L386" s="502"/>
      <c r="M386" s="502"/>
      <c r="N386" s="502">
        <v>0.5</v>
      </c>
      <c r="O386" s="569"/>
      <c r="P386" s="502"/>
      <c r="Q386" s="863"/>
      <c r="R386" s="873"/>
      <c r="S386" s="1944"/>
      <c r="T386" s="2497"/>
      <c r="U386" s="1944"/>
      <c r="V386" s="1944"/>
      <c r="W386" s="1138"/>
      <c r="X386" s="2498"/>
      <c r="Y386" s="1138"/>
      <c r="Z386" s="2499"/>
      <c r="AA386" s="3"/>
      <c r="AE386" s="2461"/>
      <c r="AF386" s="68"/>
    </row>
    <row r="387" spans="1:32" ht="15.5" x14ac:dyDescent="0.35">
      <c r="A387" s="363"/>
      <c r="B387" s="1024" t="s">
        <v>2893</v>
      </c>
      <c r="C387" s="1024"/>
      <c r="D387" s="364"/>
      <c r="E387" s="837" t="s">
        <v>2011</v>
      </c>
      <c r="F387" s="13">
        <v>5</v>
      </c>
      <c r="G387" s="13">
        <v>5</v>
      </c>
      <c r="H387" s="13">
        <v>6</v>
      </c>
      <c r="I387" s="502" t="s">
        <v>1516</v>
      </c>
      <c r="J387" s="502" t="s">
        <v>1516</v>
      </c>
      <c r="K387" s="501"/>
      <c r="L387" s="502"/>
      <c r="M387" s="502"/>
      <c r="N387" s="502"/>
      <c r="O387" s="569"/>
      <c r="P387" s="502"/>
      <c r="Q387" s="863">
        <v>3.03</v>
      </c>
      <c r="R387" s="873"/>
      <c r="S387" s="1944"/>
      <c r="T387" s="2497"/>
      <c r="U387" s="1944"/>
      <c r="V387" s="1944"/>
      <c r="W387" s="1138"/>
      <c r="X387" s="2498"/>
      <c r="Y387" s="1138"/>
      <c r="Z387" s="2499"/>
      <c r="AA387" s="3"/>
      <c r="AE387" s="2461"/>
      <c r="AF387" s="68"/>
    </row>
    <row r="388" spans="1:32" ht="45.5" x14ac:dyDescent="0.35">
      <c r="A388" s="347">
        <v>200</v>
      </c>
      <c r="B388" s="358" t="s">
        <v>2893</v>
      </c>
      <c r="C388" s="358" t="s">
        <v>1656</v>
      </c>
      <c r="D388" s="2464" t="s">
        <v>4541</v>
      </c>
      <c r="E388" s="511" t="s">
        <v>11362</v>
      </c>
      <c r="F388" s="14" t="s">
        <v>664</v>
      </c>
      <c r="G388" s="1944">
        <v>5</v>
      </c>
      <c r="H388" s="14">
        <v>6</v>
      </c>
      <c r="I388" s="297">
        <f>J388+K388+L388</f>
        <v>0.35</v>
      </c>
      <c r="J388" s="297">
        <f>SUM(M388:R388)</f>
        <v>0.35</v>
      </c>
      <c r="K388" s="501"/>
      <c r="L388" s="502"/>
      <c r="M388" s="502"/>
      <c r="N388" s="502"/>
      <c r="O388" s="569"/>
      <c r="P388" s="502"/>
      <c r="Q388" s="863"/>
      <c r="R388" s="1865">
        <v>0.35</v>
      </c>
      <c r="S388" s="1944"/>
      <c r="T388" s="2497"/>
      <c r="U388" s="1944"/>
      <c r="V388" s="1944"/>
      <c r="W388" s="1138"/>
      <c r="X388" s="2498"/>
      <c r="Y388" s="1138"/>
      <c r="Z388" s="2499"/>
      <c r="AA388" s="3"/>
      <c r="AB388">
        <v>1</v>
      </c>
      <c r="AE388" s="2461"/>
      <c r="AF388" s="68"/>
    </row>
    <row r="389" spans="1:32" ht="30.5" x14ac:dyDescent="0.35">
      <c r="A389" s="363"/>
      <c r="B389" s="1024" t="s">
        <v>2894</v>
      </c>
      <c r="C389" s="1024"/>
      <c r="D389" s="364"/>
      <c r="E389" s="1596" t="s">
        <v>2070</v>
      </c>
      <c r="F389" s="13"/>
      <c r="G389" s="13"/>
      <c r="H389" s="13"/>
      <c r="I389" s="502"/>
      <c r="J389" s="502"/>
      <c r="K389" s="501"/>
      <c r="L389" s="502"/>
      <c r="M389" s="502"/>
      <c r="N389" s="502"/>
      <c r="O389" s="569"/>
      <c r="P389" s="502"/>
      <c r="Q389" s="863"/>
      <c r="R389" s="873"/>
      <c r="S389" s="1944"/>
      <c r="T389" s="2497"/>
      <c r="U389" s="1944"/>
      <c r="V389" s="1944"/>
      <c r="W389" s="1138"/>
      <c r="X389" s="2498"/>
      <c r="Y389" s="1138"/>
      <c r="Z389" s="2499"/>
      <c r="AE389" s="2461"/>
      <c r="AF389" s="68"/>
    </row>
    <row r="390" spans="1:32" ht="30.5" x14ac:dyDescent="0.35">
      <c r="A390" s="347">
        <v>201</v>
      </c>
      <c r="B390" s="1024" t="s">
        <v>2894</v>
      </c>
      <c r="C390" s="1024"/>
      <c r="D390" s="2464" t="s">
        <v>4542</v>
      </c>
      <c r="E390" s="288" t="s">
        <v>9351</v>
      </c>
      <c r="F390" s="13">
        <v>5</v>
      </c>
      <c r="G390" s="13">
        <v>5</v>
      </c>
      <c r="H390" s="13">
        <v>6</v>
      </c>
      <c r="I390" s="501">
        <f>J390+K390+L390</f>
        <v>0.9</v>
      </c>
      <c r="J390" s="501">
        <f>SUM(M390:R390)</f>
        <v>0.9</v>
      </c>
      <c r="K390" s="501"/>
      <c r="L390" s="501"/>
      <c r="M390" s="501"/>
      <c r="N390" s="501">
        <v>0.9</v>
      </c>
      <c r="O390" s="568"/>
      <c r="P390" s="501"/>
      <c r="Q390" s="860"/>
      <c r="R390" s="870"/>
      <c r="S390" s="154"/>
      <c r="T390" s="260"/>
      <c r="U390" s="154"/>
      <c r="V390" s="154"/>
      <c r="W390" s="55">
        <v>1</v>
      </c>
      <c r="X390" s="2432">
        <v>15</v>
      </c>
      <c r="Y390" s="55"/>
      <c r="Z390" s="2433"/>
      <c r="AA390" s="3"/>
      <c r="AB390">
        <v>1</v>
      </c>
      <c r="AE390" s="2461"/>
      <c r="AF390" s="68"/>
    </row>
    <row r="391" spans="1:32" ht="30.5" x14ac:dyDescent="0.35">
      <c r="A391" s="347">
        <v>202</v>
      </c>
      <c r="B391" s="358" t="s">
        <v>2894</v>
      </c>
      <c r="C391" s="358" t="s">
        <v>1656</v>
      </c>
      <c r="D391" s="2464" t="s">
        <v>4543</v>
      </c>
      <c r="E391" s="511" t="s">
        <v>9240</v>
      </c>
      <c r="F391" s="14" t="s">
        <v>664</v>
      </c>
      <c r="G391" s="14">
        <v>5</v>
      </c>
      <c r="H391" s="14">
        <v>6</v>
      </c>
      <c r="I391" s="501">
        <f t="shared" ref="I391:I399" si="32">J391+K391+L391</f>
        <v>0.2</v>
      </c>
      <c r="J391" s="501">
        <f t="shared" ref="J391:J399" si="33">SUM(M391:R391)</f>
        <v>0.2</v>
      </c>
      <c r="K391" s="501"/>
      <c r="L391" s="501"/>
      <c r="M391" s="501"/>
      <c r="N391" s="501"/>
      <c r="O391" s="568"/>
      <c r="P391" s="501"/>
      <c r="Q391" s="1856"/>
      <c r="R391" s="1865">
        <v>0.2</v>
      </c>
      <c r="S391" s="154"/>
      <c r="T391" s="260"/>
      <c r="U391" s="154"/>
      <c r="V391" s="154"/>
      <c r="W391" s="55"/>
      <c r="X391" s="2432"/>
      <c r="Y391" s="55"/>
      <c r="Z391" s="2433"/>
      <c r="AB391">
        <v>1</v>
      </c>
      <c r="AE391" s="2461"/>
      <c r="AF391" s="68"/>
    </row>
    <row r="392" spans="1:32" ht="30.5" x14ac:dyDescent="0.35">
      <c r="A392" s="347">
        <v>203</v>
      </c>
      <c r="B392" s="1024" t="s">
        <v>2894</v>
      </c>
      <c r="C392" s="1024"/>
      <c r="D392" s="2464" t="s">
        <v>4544</v>
      </c>
      <c r="E392" s="288" t="s">
        <v>7591</v>
      </c>
      <c r="F392" s="13" t="s">
        <v>1490</v>
      </c>
      <c r="G392" s="13">
        <v>5</v>
      </c>
      <c r="H392" s="14">
        <v>6</v>
      </c>
      <c r="I392" s="501">
        <f t="shared" si="32"/>
        <v>1.1000000000000001</v>
      </c>
      <c r="J392" s="501">
        <f t="shared" si="33"/>
        <v>1.1000000000000001</v>
      </c>
      <c r="K392" s="501"/>
      <c r="L392" s="501"/>
      <c r="M392" s="501"/>
      <c r="N392" s="501"/>
      <c r="O392" s="568"/>
      <c r="P392" s="501"/>
      <c r="Q392" s="860"/>
      <c r="R392" s="870">
        <v>1.1000000000000001</v>
      </c>
      <c r="S392" s="154"/>
      <c r="T392" s="260"/>
      <c r="U392" s="154"/>
      <c r="V392" s="154"/>
      <c r="W392" s="55"/>
      <c r="X392" s="2432"/>
      <c r="Y392" s="55"/>
      <c r="Z392" s="2433"/>
      <c r="AA392" s="3"/>
      <c r="AB392">
        <v>1</v>
      </c>
      <c r="AE392" s="2461"/>
      <c r="AF392" s="68"/>
    </row>
    <row r="393" spans="1:32" s="63" customFormat="1" ht="31" x14ac:dyDescent="0.4">
      <c r="A393" s="347">
        <v>204</v>
      </c>
      <c r="B393" s="358" t="s">
        <v>2894</v>
      </c>
      <c r="C393" s="358"/>
      <c r="D393" s="2464" t="s">
        <v>4545</v>
      </c>
      <c r="E393" s="288" t="s">
        <v>7592</v>
      </c>
      <c r="F393" s="13">
        <v>5</v>
      </c>
      <c r="G393" s="13">
        <v>5</v>
      </c>
      <c r="H393" s="13">
        <v>6</v>
      </c>
      <c r="I393" s="501">
        <f t="shared" si="32"/>
        <v>0.4</v>
      </c>
      <c r="J393" s="501">
        <f t="shared" si="33"/>
        <v>0.4</v>
      </c>
      <c r="K393" s="501"/>
      <c r="L393" s="501"/>
      <c r="M393" s="501"/>
      <c r="N393" s="501">
        <v>0.4</v>
      </c>
      <c r="O393" s="568"/>
      <c r="P393" s="501"/>
      <c r="Q393" s="860"/>
      <c r="R393" s="870"/>
      <c r="S393" s="154"/>
      <c r="T393" s="260"/>
      <c r="U393" s="154"/>
      <c r="V393" s="154"/>
      <c r="W393" s="55"/>
      <c r="X393" s="2432"/>
      <c r="Y393" s="55"/>
      <c r="Z393" s="2433"/>
      <c r="AA393" s="3"/>
      <c r="AB393">
        <v>1</v>
      </c>
      <c r="AE393" s="2461"/>
      <c r="AF393" s="68"/>
    </row>
    <row r="394" spans="1:32" ht="30.5" x14ac:dyDescent="0.35">
      <c r="A394" s="347">
        <v>205</v>
      </c>
      <c r="B394" s="358" t="s">
        <v>2894</v>
      </c>
      <c r="C394" s="358" t="s">
        <v>1656</v>
      </c>
      <c r="D394" s="2464" t="s">
        <v>4546</v>
      </c>
      <c r="E394" s="511" t="s">
        <v>8349</v>
      </c>
      <c r="F394" s="14" t="s">
        <v>664</v>
      </c>
      <c r="G394" s="14">
        <v>5</v>
      </c>
      <c r="H394" s="14">
        <v>6</v>
      </c>
      <c r="I394" s="501">
        <f t="shared" si="32"/>
        <v>0.1</v>
      </c>
      <c r="J394" s="501">
        <f t="shared" si="33"/>
        <v>0.1</v>
      </c>
      <c r="K394" s="501"/>
      <c r="L394" s="503"/>
      <c r="M394" s="503"/>
      <c r="N394" s="503"/>
      <c r="O394" s="570"/>
      <c r="P394" s="503"/>
      <c r="Q394" s="2099"/>
      <c r="R394" s="1865">
        <v>0.1</v>
      </c>
      <c r="S394" s="154"/>
      <c r="T394" s="260"/>
      <c r="U394" s="154"/>
      <c r="V394" s="154"/>
      <c r="W394" s="154"/>
      <c r="X394" s="2501"/>
      <c r="Y394" s="154"/>
      <c r="Z394" s="2433"/>
      <c r="AB394">
        <v>1</v>
      </c>
      <c r="AE394" s="2461"/>
      <c r="AF394" s="68"/>
    </row>
    <row r="395" spans="1:32" s="63" customFormat="1" ht="31" x14ac:dyDescent="0.4">
      <c r="A395" s="347">
        <v>206</v>
      </c>
      <c r="B395" s="1024" t="s">
        <v>2894</v>
      </c>
      <c r="C395" s="1024"/>
      <c r="D395" s="2464" t="s">
        <v>4547</v>
      </c>
      <c r="E395" s="511" t="s">
        <v>9352</v>
      </c>
      <c r="F395" s="13">
        <v>5</v>
      </c>
      <c r="G395" s="13">
        <v>5</v>
      </c>
      <c r="H395" s="13">
        <v>6</v>
      </c>
      <c r="I395" s="501">
        <f t="shared" si="32"/>
        <v>0.79</v>
      </c>
      <c r="J395" s="501">
        <f t="shared" si="33"/>
        <v>0.79</v>
      </c>
      <c r="K395" s="501"/>
      <c r="L395" s="501"/>
      <c r="M395" s="501"/>
      <c r="N395" s="501">
        <v>0.79</v>
      </c>
      <c r="O395" s="568"/>
      <c r="P395" s="501"/>
      <c r="Q395" s="860"/>
      <c r="R395" s="870"/>
      <c r="S395" s="154"/>
      <c r="T395" s="260"/>
      <c r="U395" s="154"/>
      <c r="V395" s="154"/>
      <c r="W395" s="55"/>
      <c r="X395" s="2432"/>
      <c r="Y395" s="55"/>
      <c r="Z395" s="2433"/>
      <c r="AA395" s="3"/>
      <c r="AB395">
        <v>1</v>
      </c>
      <c r="AE395" s="2461"/>
      <c r="AF395" s="68"/>
    </row>
    <row r="396" spans="1:32" ht="60" x14ac:dyDescent="0.35">
      <c r="A396" s="347">
        <v>207</v>
      </c>
      <c r="B396" s="1024" t="s">
        <v>2894</v>
      </c>
      <c r="C396" s="358" t="s">
        <v>1657</v>
      </c>
      <c r="D396" s="2464" t="s">
        <v>4548</v>
      </c>
      <c r="E396" s="2068" t="s">
        <v>9750</v>
      </c>
      <c r="F396" s="13">
        <v>5</v>
      </c>
      <c r="G396" s="13">
        <v>5</v>
      </c>
      <c r="H396" s="13">
        <v>6</v>
      </c>
      <c r="I396" s="501">
        <f>J396+K396+L396</f>
        <v>0.65</v>
      </c>
      <c r="J396" s="501">
        <f>SUM(M396:R396)</f>
        <v>0.65</v>
      </c>
      <c r="K396" s="501"/>
      <c r="L396" s="501"/>
      <c r="M396" s="501"/>
      <c r="N396" s="501"/>
      <c r="O396" s="568"/>
      <c r="P396" s="501"/>
      <c r="Q396" s="860">
        <v>0.65</v>
      </c>
      <c r="R396" s="870"/>
      <c r="S396" s="154"/>
      <c r="T396" s="260"/>
      <c r="U396" s="154"/>
      <c r="V396" s="154"/>
      <c r="W396" s="55"/>
      <c r="X396" s="2432"/>
      <c r="Y396" s="55"/>
      <c r="Z396" s="2433"/>
      <c r="AA396" s="3"/>
      <c r="AB396">
        <v>1</v>
      </c>
      <c r="AE396" s="2461"/>
      <c r="AF396" s="68"/>
    </row>
    <row r="397" spans="1:32" ht="30.5" x14ac:dyDescent="0.35">
      <c r="A397" s="347">
        <v>208</v>
      </c>
      <c r="B397" s="1024" t="s">
        <v>2894</v>
      </c>
      <c r="C397" s="1024"/>
      <c r="D397" s="2464" t="s">
        <v>4549</v>
      </c>
      <c r="E397" s="511" t="s">
        <v>7593</v>
      </c>
      <c r="F397" s="13" t="s">
        <v>1490</v>
      </c>
      <c r="G397" s="13">
        <v>5</v>
      </c>
      <c r="H397" s="14">
        <v>6</v>
      </c>
      <c r="I397" s="501">
        <f t="shared" si="32"/>
        <v>1.6</v>
      </c>
      <c r="J397" s="501">
        <f t="shared" si="33"/>
        <v>1.6</v>
      </c>
      <c r="K397" s="501"/>
      <c r="L397" s="501"/>
      <c r="M397" s="501"/>
      <c r="N397" s="501"/>
      <c r="O397" s="568"/>
      <c r="P397" s="501"/>
      <c r="Q397" s="860"/>
      <c r="R397" s="870">
        <v>1.6</v>
      </c>
      <c r="S397" s="154"/>
      <c r="T397" s="260"/>
      <c r="U397" s="154"/>
      <c r="V397" s="154"/>
      <c r="W397" s="55">
        <v>1</v>
      </c>
      <c r="X397" s="2432">
        <v>7.5</v>
      </c>
      <c r="Y397" s="55"/>
      <c r="Z397" s="2433"/>
      <c r="AA397" s="3"/>
      <c r="AB397">
        <v>1</v>
      </c>
      <c r="AC397" t="s">
        <v>2570</v>
      </c>
      <c r="AE397" s="2461"/>
      <c r="AF397" s="68"/>
    </row>
    <row r="398" spans="1:32" ht="30.5" x14ac:dyDescent="0.35">
      <c r="A398" s="347">
        <v>209</v>
      </c>
      <c r="B398" s="358" t="s">
        <v>2894</v>
      </c>
      <c r="C398" s="358" t="s">
        <v>1656</v>
      </c>
      <c r="D398" s="2464" t="s">
        <v>4550</v>
      </c>
      <c r="E398" s="511" t="s">
        <v>8350</v>
      </c>
      <c r="F398" s="14" t="s">
        <v>664</v>
      </c>
      <c r="G398" s="14">
        <v>5</v>
      </c>
      <c r="H398" s="14">
        <v>6</v>
      </c>
      <c r="I398" s="501">
        <f t="shared" si="32"/>
        <v>0.6</v>
      </c>
      <c r="J398" s="501">
        <f t="shared" si="33"/>
        <v>0.6</v>
      </c>
      <c r="K398" s="501"/>
      <c r="L398" s="501"/>
      <c r="M398" s="501"/>
      <c r="N398" s="501"/>
      <c r="O398" s="568"/>
      <c r="P398" s="501"/>
      <c r="Q398" s="1856"/>
      <c r="R398" s="1865">
        <v>0.6</v>
      </c>
      <c r="S398" s="154"/>
      <c r="T398" s="260"/>
      <c r="U398" s="154"/>
      <c r="V398" s="154"/>
      <c r="W398" s="55"/>
      <c r="X398" s="2432"/>
      <c r="Y398" s="55"/>
      <c r="Z398" s="2433"/>
      <c r="AB398">
        <v>1</v>
      </c>
      <c r="AE398" s="2461"/>
      <c r="AF398" s="68"/>
    </row>
    <row r="399" spans="1:32" ht="45.5" x14ac:dyDescent="0.35">
      <c r="A399" s="347">
        <v>210</v>
      </c>
      <c r="B399" s="1024" t="s">
        <v>2894</v>
      </c>
      <c r="C399" s="358" t="s">
        <v>1657</v>
      </c>
      <c r="D399" s="2464" t="s">
        <v>4551</v>
      </c>
      <c r="E399" s="288" t="s">
        <v>9751</v>
      </c>
      <c r="F399" s="13">
        <v>5</v>
      </c>
      <c r="G399" s="13">
        <v>5</v>
      </c>
      <c r="H399" s="13">
        <v>6</v>
      </c>
      <c r="I399" s="501">
        <f t="shared" si="32"/>
        <v>0.4</v>
      </c>
      <c r="J399" s="501">
        <f t="shared" si="33"/>
        <v>0.4</v>
      </c>
      <c r="K399" s="501"/>
      <c r="L399" s="501"/>
      <c r="M399" s="501"/>
      <c r="N399" s="501">
        <v>0.4</v>
      </c>
      <c r="O399" s="568"/>
      <c r="P399" s="501"/>
      <c r="Q399" s="860"/>
      <c r="R399" s="870"/>
      <c r="S399" s="154"/>
      <c r="T399" s="260"/>
      <c r="U399" s="154"/>
      <c r="V399" s="154"/>
      <c r="W399" s="55"/>
      <c r="X399" s="2432"/>
      <c r="Y399" s="55"/>
      <c r="Z399" s="2433"/>
      <c r="AA399" s="3"/>
      <c r="AB399">
        <v>1</v>
      </c>
      <c r="AE399" s="2461"/>
      <c r="AF399" s="68"/>
    </row>
    <row r="400" spans="1:32" ht="75.5" x14ac:dyDescent="0.35">
      <c r="A400" s="347">
        <v>211</v>
      </c>
      <c r="B400" s="1024" t="s">
        <v>2894</v>
      </c>
      <c r="C400" s="358" t="s">
        <v>1657</v>
      </c>
      <c r="D400" s="2464" t="s">
        <v>7073</v>
      </c>
      <c r="E400" s="288" t="s">
        <v>9752</v>
      </c>
      <c r="F400" s="13">
        <v>5</v>
      </c>
      <c r="G400" s="13">
        <v>5</v>
      </c>
      <c r="H400" s="13">
        <v>6</v>
      </c>
      <c r="I400" s="501">
        <f>J400+K400+L400</f>
        <v>0.4</v>
      </c>
      <c r="J400" s="501">
        <f>SUM(M400:R400)</f>
        <v>0.4</v>
      </c>
      <c r="K400" s="501"/>
      <c r="L400" s="501"/>
      <c r="M400" s="501"/>
      <c r="N400" s="501">
        <v>0.4</v>
      </c>
      <c r="O400" s="568"/>
      <c r="P400" s="501"/>
      <c r="Q400" s="860"/>
      <c r="R400" s="870"/>
      <c r="S400" s="154"/>
      <c r="T400" s="260"/>
      <c r="U400" s="154"/>
      <c r="V400" s="154"/>
      <c r="W400" s="55"/>
      <c r="X400" s="2432"/>
      <c r="Y400" s="55"/>
      <c r="Z400" s="2433"/>
      <c r="AA400" s="3"/>
      <c r="AB400">
        <v>1</v>
      </c>
      <c r="AE400" s="2461"/>
      <c r="AF400" s="68"/>
    </row>
    <row r="401" spans="1:32" ht="30.5" x14ac:dyDescent="0.35">
      <c r="A401" s="347">
        <v>212</v>
      </c>
      <c r="B401" s="1024" t="s">
        <v>2894</v>
      </c>
      <c r="C401" s="1024"/>
      <c r="D401" s="2464" t="s">
        <v>4552</v>
      </c>
      <c r="E401" s="288" t="s">
        <v>7594</v>
      </c>
      <c r="F401" s="13"/>
      <c r="G401" s="13" t="s">
        <v>191</v>
      </c>
      <c r="H401" s="13" t="s">
        <v>191</v>
      </c>
      <c r="I401" s="501">
        <f>J401+K401+L401</f>
        <v>2.2999999999999998</v>
      </c>
      <c r="J401" s="501">
        <f>SUM(M401:R401)</f>
        <v>2.2999999999999998</v>
      </c>
      <c r="K401" s="501"/>
      <c r="L401" s="501"/>
      <c r="M401" s="501"/>
      <c r="N401" s="2705">
        <f>SUM(N402:N403)</f>
        <v>0</v>
      </c>
      <c r="O401" s="568"/>
      <c r="P401" s="501"/>
      <c r="Q401" s="860">
        <f>SUM(Q402:Q403)</f>
        <v>1.4</v>
      </c>
      <c r="R401" s="870">
        <f>SUM(R402:R403)</f>
        <v>0.9</v>
      </c>
      <c r="S401" s="154"/>
      <c r="T401" s="260"/>
      <c r="U401" s="154"/>
      <c r="V401" s="154"/>
      <c r="W401" s="55"/>
      <c r="X401" s="2432"/>
      <c r="Y401" s="55"/>
      <c r="Z401" s="2433"/>
      <c r="AA401" s="3"/>
      <c r="AB401">
        <v>1</v>
      </c>
      <c r="AE401" s="2461"/>
      <c r="AF401" s="68"/>
    </row>
    <row r="402" spans="1:32" ht="15.5" x14ac:dyDescent="0.35">
      <c r="A402" s="363"/>
      <c r="B402" s="358" t="s">
        <v>2894</v>
      </c>
      <c r="C402" s="358"/>
      <c r="D402" s="364"/>
      <c r="E402" s="837" t="s">
        <v>1844</v>
      </c>
      <c r="F402" s="13" t="s">
        <v>827</v>
      </c>
      <c r="G402" s="13">
        <v>5</v>
      </c>
      <c r="H402" s="13">
        <v>6</v>
      </c>
      <c r="I402" s="502" t="s">
        <v>1516</v>
      </c>
      <c r="J402" s="502" t="s">
        <v>1516</v>
      </c>
      <c r="K402" s="501"/>
      <c r="L402" s="502"/>
      <c r="M402" s="502"/>
      <c r="N402" s="2608">
        <v>0</v>
      </c>
      <c r="O402" s="569"/>
      <c r="P402" s="502"/>
      <c r="Q402" s="863">
        <v>1.4</v>
      </c>
      <c r="R402" s="873"/>
      <c r="S402" s="1944"/>
      <c r="T402" s="2497"/>
      <c r="U402" s="1944"/>
      <c r="V402" s="1944"/>
      <c r="W402" s="1138"/>
      <c r="X402" s="2498"/>
      <c r="Y402" s="1138"/>
      <c r="Z402" s="2499"/>
      <c r="AA402" s="3"/>
      <c r="AE402" s="2461"/>
      <c r="AF402" s="68"/>
    </row>
    <row r="403" spans="1:32" ht="15.5" x14ac:dyDescent="0.35">
      <c r="A403" s="363"/>
      <c r="B403" s="358" t="s">
        <v>2894</v>
      </c>
      <c r="C403" s="358"/>
      <c r="D403" s="364"/>
      <c r="E403" s="838" t="s">
        <v>2588</v>
      </c>
      <c r="F403" s="13" t="s">
        <v>664</v>
      </c>
      <c r="G403" s="13">
        <v>5</v>
      </c>
      <c r="H403" s="14">
        <v>6</v>
      </c>
      <c r="I403" s="502" t="s">
        <v>1516</v>
      </c>
      <c r="J403" s="502" t="s">
        <v>1516</v>
      </c>
      <c r="K403" s="501"/>
      <c r="L403" s="502"/>
      <c r="M403" s="502"/>
      <c r="N403" s="502"/>
      <c r="O403" s="569"/>
      <c r="P403" s="502"/>
      <c r="Q403" s="863"/>
      <c r="R403" s="873">
        <v>0.9</v>
      </c>
      <c r="S403" s="1944"/>
      <c r="T403" s="2497"/>
      <c r="U403" s="1944"/>
      <c r="V403" s="1944"/>
      <c r="W403" s="1138"/>
      <c r="X403" s="2498"/>
      <c r="Y403" s="1138"/>
      <c r="Z403" s="2499"/>
      <c r="AE403" s="2461"/>
      <c r="AF403" s="68"/>
    </row>
    <row r="404" spans="1:32" ht="30.5" x14ac:dyDescent="0.35">
      <c r="A404" s="349">
        <v>213</v>
      </c>
      <c r="B404" s="405" t="s">
        <v>2894</v>
      </c>
      <c r="C404" s="405"/>
      <c r="D404" s="2464" t="s">
        <v>4553</v>
      </c>
      <c r="E404" s="288" t="s">
        <v>7595</v>
      </c>
      <c r="F404" s="13"/>
      <c r="G404" s="13" t="s">
        <v>191</v>
      </c>
      <c r="H404" s="13" t="s">
        <v>191</v>
      </c>
      <c r="I404" s="501">
        <f t="shared" ref="I404:I418" si="34">J404+K404+L404</f>
        <v>2.97</v>
      </c>
      <c r="J404" s="501">
        <f t="shared" ref="J404:J418" si="35">SUM(M404:R404)</f>
        <v>2.97</v>
      </c>
      <c r="K404" s="501"/>
      <c r="L404" s="501"/>
      <c r="M404" s="501"/>
      <c r="N404" s="501">
        <f>SUM(N405:N406)</f>
        <v>1.8</v>
      </c>
      <c r="O404" s="568"/>
      <c r="P404" s="501"/>
      <c r="Q404" s="860"/>
      <c r="R404" s="870">
        <f>SUM(R405:R406)</f>
        <v>1.1700000000000002</v>
      </c>
      <c r="S404" s="154"/>
      <c r="T404" s="260"/>
      <c r="U404" s="154"/>
      <c r="V404" s="154"/>
      <c r="W404" s="55">
        <v>2</v>
      </c>
      <c r="X404" s="2432">
        <v>26.8</v>
      </c>
      <c r="Y404" s="55"/>
      <c r="Z404" s="2433"/>
      <c r="AB404">
        <v>1</v>
      </c>
      <c r="AE404" s="2461"/>
      <c r="AF404" s="68"/>
    </row>
    <row r="405" spans="1:32" ht="15.5" x14ac:dyDescent="0.35">
      <c r="A405" s="349"/>
      <c r="B405" s="405" t="s">
        <v>2894</v>
      </c>
      <c r="C405" s="405"/>
      <c r="D405" s="405"/>
      <c r="E405" s="289" t="s">
        <v>3437</v>
      </c>
      <c r="F405" s="13" t="s">
        <v>1490</v>
      </c>
      <c r="G405" s="13">
        <v>5</v>
      </c>
      <c r="H405" s="13">
        <v>6</v>
      </c>
      <c r="I405" s="501"/>
      <c r="J405" s="501"/>
      <c r="K405" s="501"/>
      <c r="L405" s="501"/>
      <c r="M405" s="501"/>
      <c r="N405" s="501">
        <v>1.8</v>
      </c>
      <c r="O405" s="568"/>
      <c r="P405" s="501"/>
      <c r="Q405" s="860"/>
      <c r="R405" s="870"/>
      <c r="S405" s="154"/>
      <c r="T405" s="260"/>
      <c r="U405" s="154"/>
      <c r="V405" s="154"/>
      <c r="W405" s="55"/>
      <c r="X405" s="2432"/>
      <c r="Y405" s="55"/>
      <c r="Z405" s="2433"/>
      <c r="AE405" s="2461"/>
      <c r="AF405" s="68"/>
    </row>
    <row r="406" spans="1:32" ht="15.5" x14ac:dyDescent="0.35">
      <c r="A406" s="349"/>
      <c r="B406" s="405" t="s">
        <v>2894</v>
      </c>
      <c r="C406" s="405"/>
      <c r="D406" s="405"/>
      <c r="E406" s="838" t="s">
        <v>1838</v>
      </c>
      <c r="F406" s="13" t="s">
        <v>1490</v>
      </c>
      <c r="G406" s="13">
        <v>5</v>
      </c>
      <c r="H406" s="14">
        <v>6</v>
      </c>
      <c r="I406" s="501"/>
      <c r="J406" s="501"/>
      <c r="K406" s="501"/>
      <c r="L406" s="501"/>
      <c r="M406" s="501"/>
      <c r="N406" s="501"/>
      <c r="O406" s="568"/>
      <c r="P406" s="501"/>
      <c r="Q406" s="860"/>
      <c r="R406" s="870">
        <f>2.97-1.8</f>
        <v>1.1700000000000002</v>
      </c>
      <c r="S406" s="154"/>
      <c r="T406" s="260"/>
      <c r="U406" s="154"/>
      <c r="V406" s="154"/>
      <c r="W406" s="55"/>
      <c r="X406" s="2432"/>
      <c r="Y406" s="55"/>
      <c r="Z406" s="2433"/>
      <c r="AE406" s="2461"/>
      <c r="AF406" s="68"/>
    </row>
    <row r="407" spans="1:32" ht="30.5" x14ac:dyDescent="0.35">
      <c r="A407" s="347">
        <v>214</v>
      </c>
      <c r="B407" s="405" t="s">
        <v>2894</v>
      </c>
      <c r="C407" s="405"/>
      <c r="D407" s="2464" t="s">
        <v>4554</v>
      </c>
      <c r="E407" s="288" t="s">
        <v>7596</v>
      </c>
      <c r="F407" s="13">
        <v>4</v>
      </c>
      <c r="G407" s="13">
        <v>4</v>
      </c>
      <c r="H407" s="13">
        <v>6</v>
      </c>
      <c r="I407" s="501">
        <f t="shared" si="34"/>
        <v>4.97</v>
      </c>
      <c r="J407" s="501">
        <f t="shared" si="35"/>
        <v>4.97</v>
      </c>
      <c r="K407" s="501"/>
      <c r="L407" s="501"/>
      <c r="M407" s="501"/>
      <c r="N407" s="501">
        <v>4.97</v>
      </c>
      <c r="O407" s="568"/>
      <c r="P407" s="501"/>
      <c r="Q407" s="860"/>
      <c r="R407" s="870"/>
      <c r="S407" s="154"/>
      <c r="T407" s="260"/>
      <c r="U407" s="154"/>
      <c r="V407" s="154"/>
      <c r="W407" s="55">
        <v>12</v>
      </c>
      <c r="X407" s="2432">
        <v>182</v>
      </c>
      <c r="Y407" s="55">
        <v>4</v>
      </c>
      <c r="Z407" s="2433">
        <v>50</v>
      </c>
      <c r="AB407">
        <v>1</v>
      </c>
      <c r="AE407" s="2461"/>
      <c r="AF407" s="68"/>
    </row>
    <row r="408" spans="1:32" ht="45.5" x14ac:dyDescent="0.35">
      <c r="A408" s="349">
        <v>215</v>
      </c>
      <c r="B408" s="358" t="s">
        <v>2894</v>
      </c>
      <c r="C408" s="358" t="s">
        <v>1656</v>
      </c>
      <c r="D408" s="2464" t="s">
        <v>4555</v>
      </c>
      <c r="E408" s="511" t="s">
        <v>8351</v>
      </c>
      <c r="F408" s="14" t="s">
        <v>664</v>
      </c>
      <c r="G408" s="14">
        <v>5</v>
      </c>
      <c r="H408" s="14">
        <v>6</v>
      </c>
      <c r="I408" s="501">
        <f t="shared" si="34"/>
        <v>0.1</v>
      </c>
      <c r="J408" s="501">
        <f t="shared" si="35"/>
        <v>0.1</v>
      </c>
      <c r="K408" s="501"/>
      <c r="L408" s="501"/>
      <c r="M408" s="501"/>
      <c r="N408" s="501"/>
      <c r="O408" s="568"/>
      <c r="P408" s="501"/>
      <c r="Q408" s="1856"/>
      <c r="R408" s="1865">
        <v>0.1</v>
      </c>
      <c r="S408" s="154"/>
      <c r="T408" s="260"/>
      <c r="U408" s="154"/>
      <c r="V408" s="154"/>
      <c r="W408" s="55"/>
      <c r="X408" s="2432"/>
      <c r="Y408" s="55"/>
      <c r="Z408" s="2433"/>
      <c r="AB408">
        <v>1</v>
      </c>
      <c r="AE408" s="2461"/>
      <c r="AF408" s="68"/>
    </row>
    <row r="409" spans="1:32" ht="30.5" x14ac:dyDescent="0.35">
      <c r="A409" s="347">
        <v>216</v>
      </c>
      <c r="B409" s="358" t="s">
        <v>2894</v>
      </c>
      <c r="C409" s="358"/>
      <c r="D409" s="2464" t="s">
        <v>4556</v>
      </c>
      <c r="E409" s="511" t="s">
        <v>7597</v>
      </c>
      <c r="F409" s="13">
        <v>5</v>
      </c>
      <c r="G409" s="13">
        <v>5</v>
      </c>
      <c r="H409" s="13">
        <v>6</v>
      </c>
      <c r="I409" s="501">
        <f t="shared" si="34"/>
        <v>5.08</v>
      </c>
      <c r="J409" s="501">
        <f t="shared" si="35"/>
        <v>5.08</v>
      </c>
      <c r="K409" s="501"/>
      <c r="L409" s="501"/>
      <c r="M409" s="501"/>
      <c r="N409" s="501"/>
      <c r="O409" s="568"/>
      <c r="P409" s="501"/>
      <c r="Q409" s="860">
        <v>5.08</v>
      </c>
      <c r="R409" s="870"/>
      <c r="S409" s="55"/>
      <c r="T409" s="1962"/>
      <c r="U409" s="154"/>
      <c r="V409" s="154"/>
      <c r="W409" s="55">
        <v>7</v>
      </c>
      <c r="X409" s="2432">
        <v>92.4</v>
      </c>
      <c r="Y409" s="55"/>
      <c r="Z409" s="2433"/>
      <c r="AB409">
        <v>1</v>
      </c>
      <c r="AE409" s="2461"/>
      <c r="AF409" s="68"/>
    </row>
    <row r="410" spans="1:32" ht="45.5" x14ac:dyDescent="0.35">
      <c r="A410" s="349">
        <v>217</v>
      </c>
      <c r="B410" s="405" t="s">
        <v>2894</v>
      </c>
      <c r="C410" s="358" t="s">
        <v>1656</v>
      </c>
      <c r="D410" s="2464" t="s">
        <v>4557</v>
      </c>
      <c r="E410" s="511" t="s">
        <v>9753</v>
      </c>
      <c r="F410" s="14" t="s">
        <v>664</v>
      </c>
      <c r="G410" s="14">
        <v>5</v>
      </c>
      <c r="H410" s="14">
        <v>6</v>
      </c>
      <c r="I410" s="501">
        <f t="shared" si="34"/>
        <v>0.3</v>
      </c>
      <c r="J410" s="501">
        <f t="shared" si="35"/>
        <v>0.3</v>
      </c>
      <c r="K410" s="501"/>
      <c r="L410" s="501"/>
      <c r="M410" s="501"/>
      <c r="N410" s="501"/>
      <c r="O410" s="568"/>
      <c r="P410" s="501"/>
      <c r="Q410" s="1856"/>
      <c r="R410" s="1865">
        <v>0.3</v>
      </c>
      <c r="S410" s="154"/>
      <c r="T410" s="260"/>
      <c r="U410" s="154"/>
      <c r="V410" s="154"/>
      <c r="W410" s="154"/>
      <c r="X410" s="2501"/>
      <c r="Y410" s="154"/>
      <c r="Z410" s="2433"/>
      <c r="AB410">
        <v>1</v>
      </c>
      <c r="AE410" s="2461"/>
      <c r="AF410" s="68"/>
    </row>
    <row r="411" spans="1:32" ht="45.5" x14ac:dyDescent="0.35">
      <c r="A411" s="347">
        <v>218</v>
      </c>
      <c r="B411" s="405" t="s">
        <v>2894</v>
      </c>
      <c r="C411" s="358" t="s">
        <v>1656</v>
      </c>
      <c r="D411" s="2464" t="s">
        <v>4558</v>
      </c>
      <c r="E411" s="511" t="s">
        <v>8352</v>
      </c>
      <c r="F411" s="14" t="s">
        <v>664</v>
      </c>
      <c r="G411" s="14">
        <v>5</v>
      </c>
      <c r="H411" s="14">
        <v>6</v>
      </c>
      <c r="I411" s="501">
        <f t="shared" si="34"/>
        <v>0.9</v>
      </c>
      <c r="J411" s="501">
        <f t="shared" si="35"/>
        <v>0.9</v>
      </c>
      <c r="K411" s="501"/>
      <c r="L411" s="501"/>
      <c r="M411" s="501"/>
      <c r="N411" s="501"/>
      <c r="O411" s="568"/>
      <c r="P411" s="501"/>
      <c r="Q411" s="1856"/>
      <c r="R411" s="1865">
        <v>0.9</v>
      </c>
      <c r="S411" s="55"/>
      <c r="T411" s="1962"/>
      <c r="U411" s="154"/>
      <c r="V411" s="154"/>
      <c r="W411" s="55"/>
      <c r="X411" s="2432"/>
      <c r="Y411" s="55"/>
      <c r="Z411" s="2433"/>
      <c r="AB411">
        <v>1</v>
      </c>
      <c r="AE411" s="2461"/>
      <c r="AF411" s="68"/>
    </row>
    <row r="412" spans="1:32" ht="30.5" x14ac:dyDescent="0.35">
      <c r="A412" s="349">
        <v>219</v>
      </c>
      <c r="B412" s="358" t="s">
        <v>2894</v>
      </c>
      <c r="C412" s="358"/>
      <c r="D412" s="2464" t="s">
        <v>4559</v>
      </c>
      <c r="E412" s="288" t="s">
        <v>7598</v>
      </c>
      <c r="F412" s="13">
        <v>5</v>
      </c>
      <c r="G412" s="13">
        <v>5</v>
      </c>
      <c r="H412" s="13">
        <v>6</v>
      </c>
      <c r="I412" s="501">
        <f t="shared" si="34"/>
        <v>1.5</v>
      </c>
      <c r="J412" s="501">
        <f t="shared" si="35"/>
        <v>1.5</v>
      </c>
      <c r="K412" s="501"/>
      <c r="L412" s="501"/>
      <c r="M412" s="501"/>
      <c r="N412" s="501">
        <v>1.5</v>
      </c>
      <c r="O412" s="568"/>
      <c r="P412" s="501"/>
      <c r="Q412" s="860"/>
      <c r="R412" s="870"/>
      <c r="S412" s="154"/>
      <c r="T412" s="260"/>
      <c r="U412" s="154"/>
      <c r="V412" s="154"/>
      <c r="W412" s="55">
        <v>1</v>
      </c>
      <c r="X412" s="2432">
        <v>9.1</v>
      </c>
      <c r="Y412" s="55"/>
      <c r="Z412" s="2433"/>
      <c r="AB412">
        <v>1</v>
      </c>
      <c r="AE412" s="2461"/>
      <c r="AF412" s="68"/>
    </row>
    <row r="413" spans="1:32" ht="30.5" x14ac:dyDescent="0.35">
      <c r="A413" s="347">
        <v>220</v>
      </c>
      <c r="B413" s="358" t="s">
        <v>2894</v>
      </c>
      <c r="C413" s="358"/>
      <c r="D413" s="2464" t="s">
        <v>4560</v>
      </c>
      <c r="E413" s="288" t="s">
        <v>7599</v>
      </c>
      <c r="F413" s="13">
        <v>5</v>
      </c>
      <c r="G413" s="13">
        <v>5</v>
      </c>
      <c r="H413" s="13">
        <v>6</v>
      </c>
      <c r="I413" s="501">
        <f t="shared" si="34"/>
        <v>1.58</v>
      </c>
      <c r="J413" s="501">
        <f t="shared" si="35"/>
        <v>1.58</v>
      </c>
      <c r="K413" s="501"/>
      <c r="L413" s="501"/>
      <c r="M413" s="501"/>
      <c r="N413" s="501">
        <v>1.58</v>
      </c>
      <c r="O413" s="568"/>
      <c r="P413" s="501"/>
      <c r="Q413" s="860"/>
      <c r="R413" s="870"/>
      <c r="S413" s="154"/>
      <c r="T413" s="260"/>
      <c r="U413" s="154"/>
      <c r="V413" s="154"/>
      <c r="W413" s="154"/>
      <c r="X413" s="2501"/>
      <c r="Y413" s="154"/>
      <c r="Z413" s="2433"/>
      <c r="AB413">
        <v>1</v>
      </c>
      <c r="AE413" s="2461"/>
      <c r="AF413" s="68"/>
    </row>
    <row r="414" spans="1:32" ht="45.5" x14ac:dyDescent="0.35">
      <c r="A414" s="349">
        <v>221</v>
      </c>
      <c r="B414" s="358" t="s">
        <v>2894</v>
      </c>
      <c r="C414" s="358" t="s">
        <v>1656</v>
      </c>
      <c r="D414" s="2464" t="s">
        <v>4561</v>
      </c>
      <c r="E414" s="511" t="s">
        <v>8353</v>
      </c>
      <c r="F414" s="14" t="s">
        <v>664</v>
      </c>
      <c r="G414" s="14">
        <v>5</v>
      </c>
      <c r="H414" s="14">
        <v>6</v>
      </c>
      <c r="I414" s="501">
        <f t="shared" si="34"/>
        <v>0.05</v>
      </c>
      <c r="J414" s="501">
        <f t="shared" si="35"/>
        <v>0.05</v>
      </c>
      <c r="K414" s="501"/>
      <c r="L414" s="501"/>
      <c r="M414" s="501"/>
      <c r="N414" s="501"/>
      <c r="O414" s="568"/>
      <c r="P414" s="501"/>
      <c r="Q414" s="1856"/>
      <c r="R414" s="1865">
        <v>0.05</v>
      </c>
      <c r="S414" s="154"/>
      <c r="T414" s="260"/>
      <c r="U414" s="154"/>
      <c r="V414" s="154"/>
      <c r="W414" s="55"/>
      <c r="X414" s="2432"/>
      <c r="Y414" s="55"/>
      <c r="Z414" s="2433"/>
      <c r="AB414">
        <v>1</v>
      </c>
      <c r="AE414" s="2461"/>
      <c r="AF414" s="68"/>
    </row>
    <row r="415" spans="1:32" ht="30.5" x14ac:dyDescent="0.35">
      <c r="A415" s="347">
        <v>222</v>
      </c>
      <c r="B415" s="405" t="s">
        <v>2894</v>
      </c>
      <c r="C415" s="405"/>
      <c r="D415" s="2464" t="s">
        <v>4562</v>
      </c>
      <c r="E415" s="511" t="s">
        <v>7600</v>
      </c>
      <c r="F415" s="13" t="s">
        <v>1490</v>
      </c>
      <c r="G415" s="13">
        <v>5</v>
      </c>
      <c r="H415" s="14">
        <v>6</v>
      </c>
      <c r="I415" s="501">
        <f t="shared" si="34"/>
        <v>0.5</v>
      </c>
      <c r="J415" s="501">
        <f t="shared" si="35"/>
        <v>0.5</v>
      </c>
      <c r="K415" s="501"/>
      <c r="L415" s="501"/>
      <c r="M415" s="501"/>
      <c r="N415" s="501"/>
      <c r="O415" s="568"/>
      <c r="P415" s="501"/>
      <c r="Q415" s="860"/>
      <c r="R415" s="870">
        <v>0.5</v>
      </c>
      <c r="S415" s="154"/>
      <c r="T415" s="260"/>
      <c r="U415" s="154"/>
      <c r="V415" s="154"/>
      <c r="W415" s="154"/>
      <c r="X415" s="2501"/>
      <c r="Y415" s="154"/>
      <c r="Z415" s="2433"/>
      <c r="AB415">
        <v>1</v>
      </c>
      <c r="AE415" s="2461"/>
      <c r="AF415" s="68"/>
    </row>
    <row r="416" spans="1:32" ht="30.5" x14ac:dyDescent="0.35">
      <c r="A416" s="347">
        <v>223</v>
      </c>
      <c r="B416" s="405" t="s">
        <v>2894</v>
      </c>
      <c r="C416" s="405"/>
      <c r="D416" s="2464" t="s">
        <v>4563</v>
      </c>
      <c r="E416" s="511" t="s">
        <v>7601</v>
      </c>
      <c r="F416" s="13" t="s">
        <v>1490</v>
      </c>
      <c r="G416" s="13">
        <v>5</v>
      </c>
      <c r="H416" s="13">
        <v>6</v>
      </c>
      <c r="I416" s="501">
        <f t="shared" si="34"/>
        <v>1.5</v>
      </c>
      <c r="J416" s="501">
        <f t="shared" si="35"/>
        <v>1.5</v>
      </c>
      <c r="K416" s="501"/>
      <c r="L416" s="501"/>
      <c r="M416" s="501"/>
      <c r="N416" s="501">
        <v>1.5</v>
      </c>
      <c r="O416" s="568"/>
      <c r="P416" s="501"/>
      <c r="Q416" s="860"/>
      <c r="R416" s="870"/>
      <c r="S416" s="154"/>
      <c r="T416" s="260"/>
      <c r="U416" s="154"/>
      <c r="V416" s="154"/>
      <c r="W416" s="154"/>
      <c r="X416" s="2501"/>
      <c r="Y416" s="154"/>
      <c r="Z416" s="2433"/>
      <c r="AB416">
        <v>1</v>
      </c>
      <c r="AE416" s="2461"/>
      <c r="AF416" s="68"/>
    </row>
    <row r="417" spans="1:32" ht="30.5" x14ac:dyDescent="0.35">
      <c r="A417" s="349">
        <v>224</v>
      </c>
      <c r="B417" s="358" t="s">
        <v>2894</v>
      </c>
      <c r="C417" s="358" t="s">
        <v>1656</v>
      </c>
      <c r="D417" s="2464" t="s">
        <v>4564</v>
      </c>
      <c r="E417" s="511" t="s">
        <v>8354</v>
      </c>
      <c r="F417" s="14" t="s">
        <v>664</v>
      </c>
      <c r="G417" s="14">
        <v>5</v>
      </c>
      <c r="H417" s="14">
        <v>6</v>
      </c>
      <c r="I417" s="501">
        <f t="shared" si="34"/>
        <v>0.2</v>
      </c>
      <c r="J417" s="501">
        <f t="shared" si="35"/>
        <v>0.2</v>
      </c>
      <c r="K417" s="501"/>
      <c r="L417" s="501"/>
      <c r="M417" s="501"/>
      <c r="N417" s="501"/>
      <c r="O417" s="568"/>
      <c r="P417" s="501"/>
      <c r="Q417" s="1856"/>
      <c r="R417" s="1865">
        <v>0.2</v>
      </c>
      <c r="S417" s="154"/>
      <c r="T417" s="260"/>
      <c r="U417" s="154"/>
      <c r="V417" s="154"/>
      <c r="W417" s="55"/>
      <c r="X417" s="2432"/>
      <c r="Y417" s="55"/>
      <c r="Z417" s="2433"/>
      <c r="AB417">
        <v>1</v>
      </c>
      <c r="AE417" s="2461"/>
      <c r="AF417" s="68"/>
    </row>
    <row r="418" spans="1:32" ht="30.5" x14ac:dyDescent="0.35">
      <c r="A418" s="347">
        <v>225</v>
      </c>
      <c r="B418" s="358" t="s">
        <v>2894</v>
      </c>
      <c r="C418" s="358" t="s">
        <v>1656</v>
      </c>
      <c r="D418" s="2464" t="s">
        <v>4565</v>
      </c>
      <c r="E418" s="511" t="s">
        <v>9241</v>
      </c>
      <c r="F418" s="14" t="s">
        <v>664</v>
      </c>
      <c r="G418" s="14">
        <v>5</v>
      </c>
      <c r="H418" s="14">
        <v>6</v>
      </c>
      <c r="I418" s="501">
        <f t="shared" si="34"/>
        <v>0.45</v>
      </c>
      <c r="J418" s="501">
        <f t="shared" si="35"/>
        <v>0.45</v>
      </c>
      <c r="K418" s="501"/>
      <c r="L418" s="501"/>
      <c r="M418" s="501"/>
      <c r="N418" s="501"/>
      <c r="O418" s="568"/>
      <c r="P418" s="501"/>
      <c r="Q418" s="1856"/>
      <c r="R418" s="1865">
        <v>0.45</v>
      </c>
      <c r="S418" s="154"/>
      <c r="T418" s="260"/>
      <c r="U418" s="154"/>
      <c r="V418" s="154"/>
      <c r="W418" s="55"/>
      <c r="X418" s="2432"/>
      <c r="Y418" s="55"/>
      <c r="Z418" s="2433"/>
      <c r="AB418">
        <v>1</v>
      </c>
      <c r="AE418" s="2461"/>
      <c r="AF418" s="68"/>
    </row>
    <row r="419" spans="1:32" ht="30.5" x14ac:dyDescent="0.35">
      <c r="A419" s="349">
        <v>226</v>
      </c>
      <c r="B419" s="358" t="s">
        <v>2894</v>
      </c>
      <c r="C419" s="358"/>
      <c r="D419" s="2464" t="s">
        <v>4566</v>
      </c>
      <c r="E419" s="288" t="s">
        <v>9754</v>
      </c>
      <c r="F419" s="14">
        <v>5</v>
      </c>
      <c r="G419" s="14">
        <v>5</v>
      </c>
      <c r="H419" s="13">
        <v>6</v>
      </c>
      <c r="I419" s="501">
        <f>J419+K419+L419</f>
        <v>1.0900000000000001</v>
      </c>
      <c r="J419" s="501">
        <f>SUM(M419:R419)</f>
        <v>1.0900000000000001</v>
      </c>
      <c r="K419" s="501"/>
      <c r="L419" s="501"/>
      <c r="M419" s="501"/>
      <c r="N419" s="501">
        <v>1.0900000000000001</v>
      </c>
      <c r="O419" s="568"/>
      <c r="P419" s="501"/>
      <c r="Q419" s="1856"/>
      <c r="R419" s="1865"/>
      <c r="S419" s="154"/>
      <c r="T419" s="260"/>
      <c r="U419" s="154"/>
      <c r="V419" s="154"/>
      <c r="W419" s="55">
        <v>2</v>
      </c>
      <c r="X419" s="2980">
        <v>30.2</v>
      </c>
      <c r="Y419" s="55"/>
      <c r="Z419" s="2433"/>
      <c r="AB419">
        <v>1</v>
      </c>
      <c r="AE419" s="2461"/>
      <c r="AF419" s="68"/>
    </row>
    <row r="420" spans="1:32" ht="45.5" x14ac:dyDescent="0.35">
      <c r="A420" s="347">
        <v>227</v>
      </c>
      <c r="B420" s="358">
        <v>10328</v>
      </c>
      <c r="C420" s="358" t="s">
        <v>1656</v>
      </c>
      <c r="D420" s="2464" t="s">
        <v>4567</v>
      </c>
      <c r="E420" s="511" t="s">
        <v>8355</v>
      </c>
      <c r="F420" s="14" t="s">
        <v>1490</v>
      </c>
      <c r="G420" s="14">
        <v>5</v>
      </c>
      <c r="H420" s="14">
        <v>6</v>
      </c>
      <c r="I420" s="501">
        <f>J420+K420+L420</f>
        <v>0.65500000000000003</v>
      </c>
      <c r="J420" s="501">
        <f>SUM(M420:R420)</f>
        <v>0.65500000000000003</v>
      </c>
      <c r="K420" s="501"/>
      <c r="L420" s="501"/>
      <c r="M420" s="501"/>
      <c r="N420" s="501"/>
      <c r="O420" s="568"/>
      <c r="P420" s="501"/>
      <c r="Q420" s="1856"/>
      <c r="R420" s="1865">
        <v>0.65500000000000003</v>
      </c>
      <c r="S420" s="154"/>
      <c r="T420" s="260"/>
      <c r="U420" s="154"/>
      <c r="V420" s="154"/>
      <c r="W420" s="55">
        <v>1</v>
      </c>
      <c r="X420" s="2432">
        <v>7.5</v>
      </c>
      <c r="Y420" s="55"/>
      <c r="Z420" s="2433"/>
      <c r="AB420">
        <v>1</v>
      </c>
      <c r="AC420" t="s">
        <v>2570</v>
      </c>
      <c r="AE420" s="2461"/>
      <c r="AF420" s="68"/>
    </row>
    <row r="421" spans="1:32" ht="30.5" x14ac:dyDescent="0.35">
      <c r="A421" s="347"/>
      <c r="B421" s="358"/>
      <c r="C421" s="358"/>
      <c r="D421" s="358"/>
      <c r="E421" s="1596" t="s">
        <v>7223</v>
      </c>
      <c r="F421" s="14"/>
      <c r="G421" s="14"/>
      <c r="H421" s="14"/>
      <c r="I421" s="501"/>
      <c r="J421" s="501"/>
      <c r="K421" s="501"/>
      <c r="L421" s="501"/>
      <c r="M421" s="501"/>
      <c r="N421" s="501"/>
      <c r="O421" s="568"/>
      <c r="P421" s="501"/>
      <c r="Q421" s="1856"/>
      <c r="R421" s="1865"/>
      <c r="S421" s="154"/>
      <c r="T421" s="260"/>
      <c r="U421" s="154"/>
      <c r="V421" s="154"/>
      <c r="W421" s="55"/>
      <c r="X421" s="2432"/>
      <c r="Y421" s="55"/>
      <c r="Z421" s="2433"/>
      <c r="AE421" s="2461"/>
      <c r="AF421" s="68"/>
    </row>
    <row r="422" spans="1:32" ht="45.5" x14ac:dyDescent="0.35">
      <c r="A422" s="349">
        <v>228</v>
      </c>
      <c r="B422" s="405" t="s">
        <v>2894</v>
      </c>
      <c r="C422" s="405" t="s">
        <v>1655</v>
      </c>
      <c r="D422" s="2464" t="s">
        <v>4568</v>
      </c>
      <c r="E422" s="288" t="s">
        <v>7321</v>
      </c>
      <c r="F422" s="13" t="s">
        <v>1490</v>
      </c>
      <c r="G422" s="13">
        <v>5</v>
      </c>
      <c r="H422" s="13">
        <v>6</v>
      </c>
      <c r="I422" s="501">
        <f>J422+K422+L422</f>
        <v>0.92</v>
      </c>
      <c r="J422" s="501">
        <f>SUM(M422:R422)</f>
        <v>0.92</v>
      </c>
      <c r="K422" s="501"/>
      <c r="L422" s="501"/>
      <c r="M422" s="501"/>
      <c r="N422" s="501"/>
      <c r="O422" s="568"/>
      <c r="P422" s="501"/>
      <c r="Q422" s="860">
        <v>0.92</v>
      </c>
      <c r="R422" s="870"/>
      <c r="S422" s="154"/>
      <c r="T422" s="260"/>
      <c r="U422" s="154"/>
      <c r="V422" s="154"/>
      <c r="W422" s="55"/>
      <c r="X422" s="2432"/>
      <c r="Y422" s="55"/>
      <c r="Z422" s="2433"/>
      <c r="AB422">
        <v>1</v>
      </c>
      <c r="AE422" s="2461"/>
      <c r="AF422" s="68"/>
    </row>
    <row r="423" spans="1:32" ht="45.5" x14ac:dyDescent="0.35">
      <c r="A423" s="349"/>
      <c r="B423" s="358" t="s">
        <v>1117</v>
      </c>
      <c r="C423" s="358"/>
      <c r="D423" s="405"/>
      <c r="E423" s="1596" t="s">
        <v>1465</v>
      </c>
      <c r="F423" s="13"/>
      <c r="G423" s="13"/>
      <c r="H423" s="13"/>
      <c r="I423" s="501"/>
      <c r="J423" s="501"/>
      <c r="K423" s="501"/>
      <c r="L423" s="501"/>
      <c r="M423" s="501"/>
      <c r="N423" s="501"/>
      <c r="O423" s="568"/>
      <c r="P423" s="501"/>
      <c r="Q423" s="860"/>
      <c r="R423" s="870"/>
      <c r="S423" s="154"/>
      <c r="T423" s="260"/>
      <c r="U423" s="154"/>
      <c r="V423" s="154"/>
      <c r="W423" s="154"/>
      <c r="X423" s="2501"/>
      <c r="Y423" s="154"/>
      <c r="Z423" s="2433"/>
      <c r="AE423" s="2461"/>
      <c r="AF423" s="68"/>
    </row>
    <row r="424" spans="1:32" ht="60.5" x14ac:dyDescent="0.35">
      <c r="A424" s="347">
        <v>229</v>
      </c>
      <c r="B424" s="358" t="s">
        <v>1117</v>
      </c>
      <c r="C424" s="358"/>
      <c r="D424" s="2464" t="s">
        <v>4569</v>
      </c>
      <c r="E424" s="288" t="s">
        <v>7602</v>
      </c>
      <c r="F424" s="13">
        <v>5</v>
      </c>
      <c r="G424" s="13">
        <v>5</v>
      </c>
      <c r="H424" s="13">
        <v>6</v>
      </c>
      <c r="I424" s="501">
        <f t="shared" ref="I424:I432" si="36">J424+K424+L424</f>
        <v>0.95899999999999996</v>
      </c>
      <c r="J424" s="501">
        <f t="shared" ref="J424:J432" si="37">SUM(M424:R424)</f>
        <v>0.95899999999999996</v>
      </c>
      <c r="K424" s="501"/>
      <c r="L424" s="501"/>
      <c r="M424" s="501"/>
      <c r="N424" s="501">
        <v>0.95899999999999996</v>
      </c>
      <c r="O424" s="568"/>
      <c r="P424" s="501"/>
      <c r="Q424" s="860"/>
      <c r="R424" s="870"/>
      <c r="S424" s="154"/>
      <c r="T424" s="260"/>
      <c r="U424" s="154"/>
      <c r="V424" s="154"/>
      <c r="W424" s="55">
        <v>2</v>
      </c>
      <c r="X424" s="2432">
        <v>20.399999999999999</v>
      </c>
      <c r="Y424" s="55"/>
      <c r="Z424" s="2433"/>
      <c r="AB424">
        <v>1</v>
      </c>
      <c r="AE424" s="2461"/>
      <c r="AF424" s="68"/>
    </row>
    <row r="425" spans="1:32" ht="75.5" x14ac:dyDescent="0.35">
      <c r="A425" s="347">
        <v>230</v>
      </c>
      <c r="B425" s="358" t="s">
        <v>1117</v>
      </c>
      <c r="C425" s="358"/>
      <c r="D425" s="2464" t="s">
        <v>7074</v>
      </c>
      <c r="E425" s="288" t="s">
        <v>7603</v>
      </c>
      <c r="F425" s="13">
        <v>5</v>
      </c>
      <c r="G425" s="13">
        <v>5</v>
      </c>
      <c r="H425" s="13">
        <v>6</v>
      </c>
      <c r="I425" s="501">
        <f>J425+K425+L425</f>
        <v>0.63800000000000001</v>
      </c>
      <c r="J425" s="501">
        <f>SUM(M425:R425)</f>
        <v>0.63800000000000001</v>
      </c>
      <c r="K425" s="501"/>
      <c r="L425" s="501"/>
      <c r="M425" s="501"/>
      <c r="N425" s="501">
        <v>0.63800000000000001</v>
      </c>
      <c r="O425" s="568"/>
      <c r="P425" s="501"/>
      <c r="Q425" s="860"/>
      <c r="R425" s="870"/>
      <c r="S425" s="154"/>
      <c r="T425" s="260"/>
      <c r="U425" s="154"/>
      <c r="V425" s="154"/>
      <c r="W425" s="55"/>
      <c r="X425" s="2432"/>
      <c r="Y425" s="55"/>
      <c r="Z425" s="2433"/>
      <c r="AB425">
        <v>1</v>
      </c>
      <c r="AE425" s="2461"/>
      <c r="AF425" s="68"/>
    </row>
    <row r="426" spans="1:32" ht="45.5" x14ac:dyDescent="0.35">
      <c r="A426" s="347">
        <v>231</v>
      </c>
      <c r="B426" s="405" t="s">
        <v>1117</v>
      </c>
      <c r="C426" s="405"/>
      <c r="D426" s="2464" t="s">
        <v>4570</v>
      </c>
      <c r="E426" s="288" t="s">
        <v>7604</v>
      </c>
      <c r="F426" s="13">
        <v>5</v>
      </c>
      <c r="G426" s="13">
        <v>5</v>
      </c>
      <c r="H426" s="13">
        <v>6</v>
      </c>
      <c r="I426" s="501">
        <f t="shared" si="36"/>
        <v>2.12</v>
      </c>
      <c r="J426" s="501">
        <f t="shared" si="37"/>
        <v>2.12</v>
      </c>
      <c r="K426" s="501"/>
      <c r="L426" s="501"/>
      <c r="M426" s="501"/>
      <c r="N426" s="501">
        <v>2.12</v>
      </c>
      <c r="O426" s="568"/>
      <c r="P426" s="501"/>
      <c r="Q426" s="860"/>
      <c r="R426" s="870"/>
      <c r="S426" s="154"/>
      <c r="T426" s="260"/>
      <c r="U426" s="154"/>
      <c r="V426" s="154"/>
      <c r="W426" s="55">
        <v>1</v>
      </c>
      <c r="X426" s="2432">
        <v>16</v>
      </c>
      <c r="Y426" s="55"/>
      <c r="Z426" s="2433"/>
      <c r="AB426">
        <v>1</v>
      </c>
      <c r="AE426" s="2461"/>
      <c r="AF426" s="68"/>
    </row>
    <row r="427" spans="1:32" ht="75.5" x14ac:dyDescent="0.35">
      <c r="A427" s="347">
        <v>232</v>
      </c>
      <c r="B427" s="358" t="s">
        <v>1117</v>
      </c>
      <c r="C427" s="358" t="s">
        <v>1656</v>
      </c>
      <c r="D427" s="2464" t="s">
        <v>4571</v>
      </c>
      <c r="E427" s="511" t="s">
        <v>8356</v>
      </c>
      <c r="F427" s="14" t="s">
        <v>664</v>
      </c>
      <c r="G427" s="14">
        <v>5</v>
      </c>
      <c r="H427" s="14">
        <v>6</v>
      </c>
      <c r="I427" s="501">
        <f t="shared" si="36"/>
        <v>0.3</v>
      </c>
      <c r="J427" s="501">
        <f t="shared" si="37"/>
        <v>0.3</v>
      </c>
      <c r="K427" s="501"/>
      <c r="L427" s="501"/>
      <c r="M427" s="501"/>
      <c r="N427" s="501"/>
      <c r="O427" s="568"/>
      <c r="P427" s="501"/>
      <c r="Q427" s="1856"/>
      <c r="R427" s="1865">
        <v>0.3</v>
      </c>
      <c r="S427" s="154"/>
      <c r="T427" s="260"/>
      <c r="U427" s="154"/>
      <c r="V427" s="154"/>
      <c r="W427" s="55"/>
      <c r="X427" s="2432"/>
      <c r="Y427" s="55"/>
      <c r="Z427" s="2433"/>
      <c r="AB427">
        <v>1</v>
      </c>
      <c r="AE427" s="2461"/>
      <c r="AF427" s="68"/>
    </row>
    <row r="428" spans="1:32" ht="45.5" x14ac:dyDescent="0.35">
      <c r="A428" s="347">
        <v>233</v>
      </c>
      <c r="B428" s="405" t="s">
        <v>1117</v>
      </c>
      <c r="C428" s="405"/>
      <c r="D428" s="2464" t="s">
        <v>4572</v>
      </c>
      <c r="E428" s="511" t="s">
        <v>7605</v>
      </c>
      <c r="F428" s="13">
        <v>5</v>
      </c>
      <c r="G428" s="13">
        <v>5</v>
      </c>
      <c r="H428" s="13">
        <v>6</v>
      </c>
      <c r="I428" s="501">
        <f t="shared" si="36"/>
        <v>0.65</v>
      </c>
      <c r="J428" s="501">
        <f t="shared" si="37"/>
        <v>0.65</v>
      </c>
      <c r="K428" s="501"/>
      <c r="L428" s="501"/>
      <c r="M428" s="501"/>
      <c r="N428" s="501">
        <v>0.65</v>
      </c>
      <c r="O428" s="568"/>
      <c r="P428" s="501"/>
      <c r="Q428" s="860"/>
      <c r="R428" s="870"/>
      <c r="S428" s="154"/>
      <c r="T428" s="260"/>
      <c r="U428" s="154"/>
      <c r="V428" s="154"/>
      <c r="W428" s="154"/>
      <c r="X428" s="2501"/>
      <c r="Y428" s="154"/>
      <c r="Z428" s="2433"/>
      <c r="AB428">
        <v>1</v>
      </c>
      <c r="AE428" s="2461"/>
      <c r="AF428" s="68"/>
    </row>
    <row r="429" spans="1:32" ht="135.5" x14ac:dyDescent="0.35">
      <c r="A429" s="347">
        <v>234</v>
      </c>
      <c r="B429" s="405" t="s">
        <v>1117</v>
      </c>
      <c r="C429" s="405"/>
      <c r="D429" s="2464" t="s">
        <v>4573</v>
      </c>
      <c r="E429" s="511" t="s">
        <v>9755</v>
      </c>
      <c r="F429" s="13">
        <v>4</v>
      </c>
      <c r="G429" s="13">
        <v>5</v>
      </c>
      <c r="H429" s="13">
        <v>6</v>
      </c>
      <c r="I429" s="501">
        <f t="shared" si="36"/>
        <v>5.2329999999999997</v>
      </c>
      <c r="J429" s="501">
        <f t="shared" si="37"/>
        <v>5.2329999999999997</v>
      </c>
      <c r="K429" s="501"/>
      <c r="L429" s="501"/>
      <c r="M429" s="501"/>
      <c r="N429" s="501">
        <v>5.2329999999999997</v>
      </c>
      <c r="O429" s="568"/>
      <c r="P429" s="501"/>
      <c r="Q429" s="860"/>
      <c r="R429" s="870"/>
      <c r="S429" s="55">
        <v>1</v>
      </c>
      <c r="T429" s="1962">
        <v>9</v>
      </c>
      <c r="U429" s="154"/>
      <c r="V429" s="154"/>
      <c r="W429" s="55">
        <v>17</v>
      </c>
      <c r="X429" s="2432">
        <v>252.8</v>
      </c>
      <c r="Y429" s="55">
        <v>7</v>
      </c>
      <c r="Z429" s="2433">
        <v>67.5</v>
      </c>
      <c r="AB429">
        <v>1</v>
      </c>
      <c r="AE429" s="2461"/>
      <c r="AF429" s="68"/>
    </row>
    <row r="430" spans="1:32" ht="46.5" x14ac:dyDescent="0.35">
      <c r="A430" s="347"/>
      <c r="B430" s="405" t="s">
        <v>1117</v>
      </c>
      <c r="C430" s="405"/>
      <c r="D430" s="358"/>
      <c r="E430" s="289" t="s">
        <v>9974</v>
      </c>
      <c r="F430" s="13"/>
      <c r="G430" s="13" t="s">
        <v>191</v>
      </c>
      <c r="H430" s="13" t="s">
        <v>191</v>
      </c>
      <c r="I430" s="501"/>
      <c r="J430" s="501"/>
      <c r="K430" s="501"/>
      <c r="L430" s="501"/>
      <c r="M430" s="501"/>
      <c r="N430" s="501"/>
      <c r="O430" s="568"/>
      <c r="P430" s="501"/>
      <c r="Q430" s="860"/>
      <c r="R430" s="870"/>
      <c r="S430" s="55"/>
      <c r="T430" s="1962"/>
      <c r="U430" s="154"/>
      <c r="V430" s="154"/>
      <c r="W430" s="55"/>
      <c r="X430" s="2432"/>
      <c r="Y430" s="55"/>
      <c r="Z430" s="2433"/>
      <c r="AE430" s="2461"/>
      <c r="AF430" s="68"/>
    </row>
    <row r="431" spans="1:32" ht="60.5" x14ac:dyDescent="0.35">
      <c r="A431" s="349">
        <v>235</v>
      </c>
      <c r="B431" s="358" t="s">
        <v>1117</v>
      </c>
      <c r="C431" s="358"/>
      <c r="D431" s="2464" t="s">
        <v>4574</v>
      </c>
      <c r="E431" s="511" t="s">
        <v>7606</v>
      </c>
      <c r="F431" s="13">
        <v>5</v>
      </c>
      <c r="G431" s="13">
        <v>5</v>
      </c>
      <c r="H431" s="13">
        <v>6</v>
      </c>
      <c r="I431" s="501">
        <f t="shared" si="36"/>
        <v>2.84</v>
      </c>
      <c r="J431" s="501">
        <f t="shared" si="37"/>
        <v>2.84</v>
      </c>
      <c r="K431" s="501"/>
      <c r="L431" s="501"/>
      <c r="M431" s="501"/>
      <c r="N431" s="501"/>
      <c r="O431" s="568"/>
      <c r="P431" s="501"/>
      <c r="Q431" s="860">
        <v>2.84</v>
      </c>
      <c r="R431" s="870"/>
      <c r="S431" s="154"/>
      <c r="T431" s="260"/>
      <c r="U431" s="154"/>
      <c r="V431" s="154"/>
      <c r="W431" s="55">
        <v>5</v>
      </c>
      <c r="X431" s="2432">
        <v>78.400000000000006</v>
      </c>
      <c r="Y431" s="55"/>
      <c r="Z431" s="2433"/>
      <c r="AB431">
        <v>1</v>
      </c>
      <c r="AE431" s="2461"/>
      <c r="AF431" s="68"/>
    </row>
    <row r="432" spans="1:32" ht="75.5" x14ac:dyDescent="0.35">
      <c r="A432" s="347">
        <v>236</v>
      </c>
      <c r="B432" s="358" t="s">
        <v>1117</v>
      </c>
      <c r="C432" s="358" t="s">
        <v>1656</v>
      </c>
      <c r="D432" s="2464" t="s">
        <v>4575</v>
      </c>
      <c r="E432" s="511" t="s">
        <v>8357</v>
      </c>
      <c r="F432" s="14" t="s">
        <v>664</v>
      </c>
      <c r="G432" s="14">
        <v>5</v>
      </c>
      <c r="H432" s="14">
        <v>6</v>
      </c>
      <c r="I432" s="501">
        <f t="shared" si="36"/>
        <v>0.25</v>
      </c>
      <c r="J432" s="501">
        <f t="shared" si="37"/>
        <v>0.25</v>
      </c>
      <c r="K432" s="501"/>
      <c r="L432" s="501"/>
      <c r="M432" s="501"/>
      <c r="N432" s="501"/>
      <c r="O432" s="568"/>
      <c r="P432" s="501"/>
      <c r="Q432" s="1856"/>
      <c r="R432" s="1865">
        <v>0.25</v>
      </c>
      <c r="S432" s="55"/>
      <c r="T432" s="1962"/>
      <c r="U432" s="154"/>
      <c r="V432" s="154"/>
      <c r="W432" s="55"/>
      <c r="X432" s="2432"/>
      <c r="Y432" s="55"/>
      <c r="Z432" s="2433"/>
      <c r="AB432">
        <v>1</v>
      </c>
      <c r="AE432" s="2461"/>
      <c r="AF432" s="68"/>
    </row>
    <row r="433" spans="1:32" ht="45.5" x14ac:dyDescent="0.35">
      <c r="A433" s="349">
        <v>237</v>
      </c>
      <c r="B433" s="358" t="s">
        <v>1117</v>
      </c>
      <c r="C433" s="358"/>
      <c r="D433" s="2464" t="s">
        <v>4576</v>
      </c>
      <c r="E433" s="288" t="s">
        <v>7607</v>
      </c>
      <c r="F433" s="13">
        <v>5</v>
      </c>
      <c r="G433" s="13">
        <v>5</v>
      </c>
      <c r="H433" s="13">
        <v>6</v>
      </c>
      <c r="I433" s="501">
        <v>2.02</v>
      </c>
      <c r="J433" s="501">
        <v>2.02</v>
      </c>
      <c r="K433" s="501"/>
      <c r="L433" s="501"/>
      <c r="M433" s="501"/>
      <c r="N433" s="501">
        <v>2.02</v>
      </c>
      <c r="O433" s="568"/>
      <c r="P433" s="501"/>
      <c r="Q433" s="860"/>
      <c r="R433" s="870"/>
      <c r="S433" s="154"/>
      <c r="T433" s="260"/>
      <c r="U433" s="154"/>
      <c r="V433" s="154"/>
      <c r="W433" s="55">
        <v>9</v>
      </c>
      <c r="X433" s="2432">
        <v>121.2</v>
      </c>
      <c r="Y433" s="55"/>
      <c r="Z433" s="2433"/>
      <c r="AB433">
        <v>1</v>
      </c>
      <c r="AE433" s="2461"/>
      <c r="AF433" s="68"/>
    </row>
    <row r="434" spans="1:32" ht="60.5" x14ac:dyDescent="0.35">
      <c r="A434" s="347">
        <v>238</v>
      </c>
      <c r="B434" s="405" t="s">
        <v>1117</v>
      </c>
      <c r="C434" s="405"/>
      <c r="D434" s="2464" t="s">
        <v>4577</v>
      </c>
      <c r="E434" s="288" t="s">
        <v>9183</v>
      </c>
      <c r="F434" s="13" t="s">
        <v>1490</v>
      </c>
      <c r="G434" s="13">
        <v>5</v>
      </c>
      <c r="H434" s="14">
        <v>6</v>
      </c>
      <c r="I434" s="501">
        <f>J434+K434+L434</f>
        <v>0.6</v>
      </c>
      <c r="J434" s="501">
        <f>SUM(M434:R434)</f>
        <v>0.6</v>
      </c>
      <c r="K434" s="501"/>
      <c r="L434" s="501"/>
      <c r="M434" s="501"/>
      <c r="N434" s="501"/>
      <c r="O434" s="568"/>
      <c r="P434" s="501"/>
      <c r="Q434" s="860"/>
      <c r="R434" s="870">
        <v>0.6</v>
      </c>
      <c r="S434" s="154"/>
      <c r="T434" s="260"/>
      <c r="U434" s="154"/>
      <c r="V434" s="154"/>
      <c r="W434" s="154"/>
      <c r="X434" s="2501"/>
      <c r="Y434" s="154"/>
      <c r="Z434" s="2433"/>
      <c r="AB434">
        <v>1</v>
      </c>
      <c r="AE434" s="2461"/>
      <c r="AF434" s="68"/>
    </row>
    <row r="435" spans="1:32" ht="45.5" x14ac:dyDescent="0.35">
      <c r="A435" s="349">
        <v>239</v>
      </c>
      <c r="B435" s="405" t="s">
        <v>1117</v>
      </c>
      <c r="C435" s="405"/>
      <c r="D435" s="2464" t="s">
        <v>4578</v>
      </c>
      <c r="E435" s="288" t="s">
        <v>7608</v>
      </c>
      <c r="F435" s="13"/>
      <c r="G435" s="13" t="s">
        <v>191</v>
      </c>
      <c r="H435" s="13" t="s">
        <v>191</v>
      </c>
      <c r="I435" s="501">
        <f>J435+K435+L435</f>
        <v>1.6</v>
      </c>
      <c r="J435" s="501">
        <f>SUM(M435:R435)</f>
        <v>1.6</v>
      </c>
      <c r="K435" s="501"/>
      <c r="L435" s="501"/>
      <c r="M435" s="501"/>
      <c r="N435" s="501">
        <f>SUM(N436:N437)</f>
        <v>0.3</v>
      </c>
      <c r="O435" s="568"/>
      <c r="P435" s="501"/>
      <c r="Q435" s="860"/>
      <c r="R435" s="870">
        <f>SUM(R436:R437)</f>
        <v>1.3</v>
      </c>
      <c r="S435" s="154"/>
      <c r="T435" s="260"/>
      <c r="U435" s="154"/>
      <c r="V435" s="154"/>
      <c r="W435" s="154"/>
      <c r="X435" s="2501"/>
      <c r="Y435" s="154"/>
      <c r="Z435" s="2433"/>
      <c r="AB435">
        <v>1</v>
      </c>
      <c r="AE435" s="2461"/>
      <c r="AF435" s="68"/>
    </row>
    <row r="436" spans="1:32" ht="15.5" x14ac:dyDescent="0.35">
      <c r="A436" s="349"/>
      <c r="B436" s="405" t="s">
        <v>1117</v>
      </c>
      <c r="C436" s="405"/>
      <c r="D436" s="405"/>
      <c r="E436" s="289" t="s">
        <v>880</v>
      </c>
      <c r="F436" s="13" t="s">
        <v>1490</v>
      </c>
      <c r="G436" s="13">
        <v>5</v>
      </c>
      <c r="H436" s="13">
        <v>6</v>
      </c>
      <c r="I436" s="502"/>
      <c r="J436" s="502"/>
      <c r="K436" s="502"/>
      <c r="L436" s="502"/>
      <c r="M436" s="502"/>
      <c r="N436" s="502">
        <v>0.3</v>
      </c>
      <c r="O436" s="569"/>
      <c r="P436" s="502"/>
      <c r="Q436" s="863"/>
      <c r="R436" s="873"/>
      <c r="S436" s="154"/>
      <c r="T436" s="260"/>
      <c r="U436" s="154"/>
      <c r="V436" s="154"/>
      <c r="W436" s="154"/>
      <c r="X436" s="2501"/>
      <c r="Y436" s="154"/>
      <c r="Z436" s="2433"/>
      <c r="AE436" s="2461"/>
      <c r="AF436" s="68"/>
    </row>
    <row r="437" spans="1:32" ht="15.5" x14ac:dyDescent="0.35">
      <c r="A437" s="349"/>
      <c r="B437" s="405" t="s">
        <v>1117</v>
      </c>
      <c r="C437" s="405"/>
      <c r="D437" s="405"/>
      <c r="E437" s="838" t="s">
        <v>474</v>
      </c>
      <c r="F437" s="13" t="s">
        <v>1490</v>
      </c>
      <c r="G437" s="13">
        <v>5</v>
      </c>
      <c r="H437" s="14">
        <v>6</v>
      </c>
      <c r="I437" s="502"/>
      <c r="J437" s="502"/>
      <c r="K437" s="502"/>
      <c r="L437" s="502"/>
      <c r="M437" s="502"/>
      <c r="N437" s="502"/>
      <c r="O437" s="569"/>
      <c r="P437" s="502"/>
      <c r="Q437" s="863"/>
      <c r="R437" s="873">
        <v>1.3</v>
      </c>
      <c r="S437" s="154"/>
      <c r="T437" s="260"/>
      <c r="U437" s="154"/>
      <c r="V437" s="154"/>
      <c r="W437" s="154"/>
      <c r="X437" s="2501"/>
      <c r="Y437" s="154"/>
      <c r="Z437" s="2433"/>
      <c r="AE437" s="2461"/>
      <c r="AF437" s="68"/>
    </row>
    <row r="438" spans="1:32" ht="75.5" x14ac:dyDescent="0.35">
      <c r="A438" s="347">
        <v>240</v>
      </c>
      <c r="B438" s="358" t="s">
        <v>1117</v>
      </c>
      <c r="C438" s="358" t="s">
        <v>1656</v>
      </c>
      <c r="D438" s="2464" t="s">
        <v>4579</v>
      </c>
      <c r="E438" s="511" t="s">
        <v>8358</v>
      </c>
      <c r="F438" s="14" t="s">
        <v>664</v>
      </c>
      <c r="G438" s="14">
        <v>5</v>
      </c>
      <c r="H438" s="14">
        <v>6</v>
      </c>
      <c r="I438" s="501">
        <f>J438+K438+L438</f>
        <v>0.05</v>
      </c>
      <c r="J438" s="501">
        <f>SUM(M438:R438)</f>
        <v>0.05</v>
      </c>
      <c r="K438" s="501"/>
      <c r="L438" s="501"/>
      <c r="M438" s="501"/>
      <c r="N438" s="501"/>
      <c r="O438" s="568"/>
      <c r="P438" s="501"/>
      <c r="Q438" s="1856"/>
      <c r="R438" s="1865">
        <v>0.05</v>
      </c>
      <c r="S438" s="55"/>
      <c r="T438" s="1962"/>
      <c r="U438" s="154"/>
      <c r="V438" s="154"/>
      <c r="W438" s="55"/>
      <c r="X438" s="2432"/>
      <c r="Y438" s="55"/>
      <c r="Z438" s="2433"/>
      <c r="AB438">
        <v>1</v>
      </c>
      <c r="AE438" s="2461"/>
      <c r="AF438" s="68"/>
    </row>
    <row r="439" spans="1:32" ht="60.5" x14ac:dyDescent="0.35">
      <c r="A439" s="347">
        <v>241</v>
      </c>
      <c r="B439" s="405" t="s">
        <v>1117</v>
      </c>
      <c r="C439" s="405"/>
      <c r="D439" s="2464" t="s">
        <v>4580</v>
      </c>
      <c r="E439" s="473" t="s">
        <v>7322</v>
      </c>
      <c r="F439" s="13">
        <v>5</v>
      </c>
      <c r="G439" s="13">
        <v>5</v>
      </c>
      <c r="H439" s="13">
        <v>6</v>
      </c>
      <c r="I439" s="501">
        <f>J439+K439+L439</f>
        <v>0.2</v>
      </c>
      <c r="J439" s="501">
        <f>SUM(M439:R439)</f>
        <v>0.2</v>
      </c>
      <c r="K439" s="501"/>
      <c r="L439" s="501"/>
      <c r="M439" s="501"/>
      <c r="N439" s="501">
        <v>0.2</v>
      </c>
      <c r="O439" s="568"/>
      <c r="P439" s="501"/>
      <c r="Q439" s="860"/>
      <c r="R439" s="870"/>
      <c r="S439" s="154"/>
      <c r="T439" s="260"/>
      <c r="U439" s="154"/>
      <c r="V439" s="154"/>
      <c r="W439" s="154"/>
      <c r="X439" s="2501"/>
      <c r="Y439" s="154"/>
      <c r="Z439" s="2433"/>
      <c r="AB439">
        <v>1</v>
      </c>
      <c r="AE439" s="2461"/>
      <c r="AF439" s="68"/>
    </row>
    <row r="440" spans="1:32" ht="105.5" x14ac:dyDescent="0.35">
      <c r="A440" s="347">
        <v>242</v>
      </c>
      <c r="B440" s="358" t="s">
        <v>1117</v>
      </c>
      <c r="C440" s="358"/>
      <c r="D440" s="2464" t="s">
        <v>4581</v>
      </c>
      <c r="E440" s="511" t="s">
        <v>9756</v>
      </c>
      <c r="F440" s="14">
        <v>5</v>
      </c>
      <c r="G440" s="14">
        <v>5</v>
      </c>
      <c r="H440" s="13">
        <v>6</v>
      </c>
      <c r="I440" s="501">
        <v>1.94</v>
      </c>
      <c r="J440" s="501">
        <v>1.94</v>
      </c>
      <c r="K440" s="501"/>
      <c r="L440" s="502"/>
      <c r="M440" s="502"/>
      <c r="N440" s="502"/>
      <c r="O440" s="569"/>
      <c r="P440" s="502"/>
      <c r="Q440" s="1856">
        <v>1.94</v>
      </c>
      <c r="R440" s="873"/>
      <c r="S440" s="1944"/>
      <c r="T440" s="2497"/>
      <c r="U440" s="1944"/>
      <c r="V440" s="1944"/>
      <c r="W440" s="154">
        <v>4</v>
      </c>
      <c r="X440" s="2501">
        <v>62.6</v>
      </c>
      <c r="Y440" s="1944"/>
      <c r="Z440" s="2499"/>
      <c r="AB440">
        <v>1</v>
      </c>
      <c r="AE440" s="2461"/>
      <c r="AF440" s="68"/>
    </row>
    <row r="441" spans="1:32" ht="60.5" x14ac:dyDescent="0.35">
      <c r="A441" s="347">
        <v>243</v>
      </c>
      <c r="B441" s="358" t="s">
        <v>1117</v>
      </c>
      <c r="C441" s="358" t="s">
        <v>1656</v>
      </c>
      <c r="D441" s="2464" t="s">
        <v>4582</v>
      </c>
      <c r="E441" s="511" t="s">
        <v>8359</v>
      </c>
      <c r="F441" s="14" t="s">
        <v>664</v>
      </c>
      <c r="G441" s="14">
        <v>5</v>
      </c>
      <c r="H441" s="14">
        <v>6</v>
      </c>
      <c r="I441" s="501">
        <f t="shared" ref="I441:I446" si="38">J441+K441+L441</f>
        <v>0.2</v>
      </c>
      <c r="J441" s="501">
        <f t="shared" ref="J441:J446" si="39">SUM(M441:R441)</f>
        <v>0.2</v>
      </c>
      <c r="K441" s="501"/>
      <c r="L441" s="501"/>
      <c r="M441" s="501"/>
      <c r="N441" s="501"/>
      <c r="O441" s="568"/>
      <c r="P441" s="501"/>
      <c r="Q441" s="1856"/>
      <c r="R441" s="1865">
        <v>0.2</v>
      </c>
      <c r="S441" s="154"/>
      <c r="T441" s="260"/>
      <c r="U441" s="154"/>
      <c r="V441" s="154"/>
      <c r="W441" s="55"/>
      <c r="X441" s="2432"/>
      <c r="Y441" s="55"/>
      <c r="Z441" s="2433"/>
      <c r="AB441">
        <v>1</v>
      </c>
      <c r="AE441" s="2461"/>
      <c r="AF441" s="68"/>
    </row>
    <row r="442" spans="1:32" ht="60.5" x14ac:dyDescent="0.35">
      <c r="A442" s="347">
        <v>244</v>
      </c>
      <c r="B442" s="358" t="s">
        <v>1117</v>
      </c>
      <c r="C442" s="358" t="s">
        <v>1656</v>
      </c>
      <c r="D442" s="2464" t="s">
        <v>4583</v>
      </c>
      <c r="E442" s="511" t="s">
        <v>8360</v>
      </c>
      <c r="F442" s="14" t="s">
        <v>664</v>
      </c>
      <c r="G442" s="14">
        <v>5</v>
      </c>
      <c r="H442" s="14">
        <v>6</v>
      </c>
      <c r="I442" s="501">
        <f t="shared" si="38"/>
        <v>1.53</v>
      </c>
      <c r="J442" s="501">
        <f t="shared" si="39"/>
        <v>1.53</v>
      </c>
      <c r="K442" s="501"/>
      <c r="L442" s="501"/>
      <c r="M442" s="501"/>
      <c r="N442" s="501"/>
      <c r="O442" s="568"/>
      <c r="P442" s="501"/>
      <c r="Q442" s="1856"/>
      <c r="R442" s="1865">
        <v>1.53</v>
      </c>
      <c r="S442" s="154"/>
      <c r="T442" s="260"/>
      <c r="U442" s="154"/>
      <c r="V442" s="154"/>
      <c r="W442" s="154"/>
      <c r="X442" s="2501"/>
      <c r="Y442" s="154"/>
      <c r="Z442" s="2433"/>
      <c r="AB442">
        <v>1</v>
      </c>
      <c r="AE442" s="2461"/>
      <c r="AF442" s="68"/>
    </row>
    <row r="443" spans="1:32" ht="45.5" x14ac:dyDescent="0.35">
      <c r="A443" s="347">
        <v>245</v>
      </c>
      <c r="B443" s="358" t="s">
        <v>1117</v>
      </c>
      <c r="C443" s="358"/>
      <c r="D443" s="2464" t="s">
        <v>4584</v>
      </c>
      <c r="E443" s="511" t="s">
        <v>7609</v>
      </c>
      <c r="F443" s="14" t="s">
        <v>664</v>
      </c>
      <c r="G443" s="14">
        <v>5</v>
      </c>
      <c r="H443" s="14">
        <v>6</v>
      </c>
      <c r="I443" s="501">
        <f t="shared" si="38"/>
        <v>1.8</v>
      </c>
      <c r="J443" s="501">
        <f t="shared" si="39"/>
        <v>1.8</v>
      </c>
      <c r="K443" s="501"/>
      <c r="L443" s="501"/>
      <c r="M443" s="501"/>
      <c r="N443" s="501"/>
      <c r="O443" s="568"/>
      <c r="P443" s="501"/>
      <c r="Q443" s="1856"/>
      <c r="R443" s="1865">
        <v>1.8</v>
      </c>
      <c r="S443" s="154"/>
      <c r="T443" s="260"/>
      <c r="U443" s="154"/>
      <c r="V443" s="154"/>
      <c r="W443" s="154"/>
      <c r="X443" s="2501"/>
      <c r="Y443" s="154"/>
      <c r="Z443" s="2433"/>
      <c r="AB443">
        <v>1</v>
      </c>
      <c r="AE443" s="2461"/>
      <c r="AF443" s="68"/>
    </row>
    <row r="444" spans="1:32" ht="60.5" x14ac:dyDescent="0.35">
      <c r="A444" s="347">
        <v>246</v>
      </c>
      <c r="B444" s="358">
        <v>10325</v>
      </c>
      <c r="C444" s="358" t="s">
        <v>1656</v>
      </c>
      <c r="D444" s="2464" t="s">
        <v>4585</v>
      </c>
      <c r="E444" s="511" t="s">
        <v>8361</v>
      </c>
      <c r="F444" s="14" t="s">
        <v>664</v>
      </c>
      <c r="G444" s="14">
        <v>5</v>
      </c>
      <c r="H444" s="14">
        <v>6</v>
      </c>
      <c r="I444" s="501">
        <f t="shared" si="38"/>
        <v>0.85</v>
      </c>
      <c r="J444" s="501">
        <f t="shared" si="39"/>
        <v>0.85</v>
      </c>
      <c r="K444" s="501"/>
      <c r="L444" s="501"/>
      <c r="M444" s="501"/>
      <c r="N444" s="501"/>
      <c r="O444" s="568"/>
      <c r="P444" s="501"/>
      <c r="Q444" s="1856"/>
      <c r="R444" s="1865">
        <v>0.85</v>
      </c>
      <c r="S444" s="55"/>
      <c r="T444" s="1962"/>
      <c r="U444" s="154"/>
      <c r="V444" s="154"/>
      <c r="W444" s="2504"/>
      <c r="X444" s="2432"/>
      <c r="Y444" s="2500"/>
      <c r="Z444" s="2433"/>
      <c r="AB444">
        <v>1</v>
      </c>
      <c r="AE444" s="2461"/>
      <c r="AF444" s="68"/>
    </row>
    <row r="445" spans="1:32" ht="60.5" x14ac:dyDescent="0.35">
      <c r="A445" s="347">
        <v>247</v>
      </c>
      <c r="B445" s="358">
        <v>10325</v>
      </c>
      <c r="C445" s="358" t="s">
        <v>1656</v>
      </c>
      <c r="D445" s="2464" t="s">
        <v>4586</v>
      </c>
      <c r="E445" s="511" t="s">
        <v>8362</v>
      </c>
      <c r="F445" s="14" t="s">
        <v>664</v>
      </c>
      <c r="G445" s="14">
        <v>5</v>
      </c>
      <c r="H445" s="14">
        <v>6</v>
      </c>
      <c r="I445" s="501">
        <f t="shared" si="38"/>
        <v>0.5</v>
      </c>
      <c r="J445" s="501">
        <f t="shared" si="39"/>
        <v>0.5</v>
      </c>
      <c r="K445" s="501"/>
      <c r="L445" s="501"/>
      <c r="M445" s="501"/>
      <c r="N445" s="501"/>
      <c r="O445" s="568"/>
      <c r="P445" s="501"/>
      <c r="Q445" s="1856"/>
      <c r="R445" s="1865">
        <v>0.5</v>
      </c>
      <c r="S445" s="154"/>
      <c r="T445" s="260"/>
      <c r="U445" s="154"/>
      <c r="V445" s="154"/>
      <c r="W445" s="55"/>
      <c r="X445" s="2432"/>
      <c r="Y445" s="55"/>
      <c r="Z445" s="2433"/>
      <c r="AB445">
        <v>1</v>
      </c>
      <c r="AE445" s="2461"/>
      <c r="AF445" s="68"/>
    </row>
    <row r="446" spans="1:32" ht="60.5" x14ac:dyDescent="0.35">
      <c r="A446" s="347">
        <v>248</v>
      </c>
      <c r="B446" s="358">
        <v>10312</v>
      </c>
      <c r="C446" s="358" t="s">
        <v>1656</v>
      </c>
      <c r="D446" s="2464" t="s">
        <v>4470</v>
      </c>
      <c r="E446" s="511" t="s">
        <v>8363</v>
      </c>
      <c r="F446" s="14" t="s">
        <v>664</v>
      </c>
      <c r="G446" s="14">
        <v>5</v>
      </c>
      <c r="H446" s="14">
        <v>6</v>
      </c>
      <c r="I446" s="501">
        <f t="shared" si="38"/>
        <v>0.8</v>
      </c>
      <c r="J446" s="501">
        <f t="shared" si="39"/>
        <v>0.8</v>
      </c>
      <c r="K446" s="501"/>
      <c r="L446" s="501"/>
      <c r="M446" s="501"/>
      <c r="N446" s="501"/>
      <c r="O446" s="568"/>
      <c r="P446" s="501"/>
      <c r="Q446" s="1856"/>
      <c r="R446" s="1865">
        <v>0.8</v>
      </c>
      <c r="S446" s="154"/>
      <c r="T446" s="260"/>
      <c r="U446" s="154"/>
      <c r="V446" s="154"/>
      <c r="W446" s="154"/>
      <c r="X446" s="2501"/>
      <c r="Y446" s="154"/>
      <c r="Z446" s="2433"/>
      <c r="AB446">
        <v>1</v>
      </c>
      <c r="AE446" s="2461"/>
      <c r="AF446" s="68"/>
    </row>
    <row r="447" spans="1:32" ht="30" x14ac:dyDescent="0.35">
      <c r="A447" s="349"/>
      <c r="B447" s="358" t="s">
        <v>2325</v>
      </c>
      <c r="C447" s="358"/>
      <c r="D447" s="405"/>
      <c r="E447" s="1596" t="s">
        <v>1741</v>
      </c>
      <c r="F447" s="13"/>
      <c r="G447" s="13"/>
      <c r="H447" s="13"/>
      <c r="I447" s="501"/>
      <c r="J447" s="501"/>
      <c r="K447" s="501"/>
      <c r="L447" s="501"/>
      <c r="M447" s="501"/>
      <c r="N447" s="501"/>
      <c r="O447" s="568"/>
      <c r="P447" s="501"/>
      <c r="Q447" s="860"/>
      <c r="R447" s="870"/>
      <c r="S447" s="154"/>
      <c r="T447" s="260"/>
      <c r="U447" s="154"/>
      <c r="V447" s="154"/>
      <c r="W447" s="154"/>
      <c r="X447" s="2501"/>
      <c r="Y447" s="154"/>
      <c r="Z447" s="2433"/>
      <c r="AE447" s="2461"/>
      <c r="AF447" s="68"/>
    </row>
    <row r="448" spans="1:32" ht="30.5" x14ac:dyDescent="0.35">
      <c r="A448" s="349">
        <v>249</v>
      </c>
      <c r="B448" s="358" t="s">
        <v>2325</v>
      </c>
      <c r="C448" s="405" t="s">
        <v>1655</v>
      </c>
      <c r="D448" s="2464" t="s">
        <v>4587</v>
      </c>
      <c r="E448" s="288" t="s">
        <v>9975</v>
      </c>
      <c r="F448" s="13"/>
      <c r="G448" s="13" t="s">
        <v>191</v>
      </c>
      <c r="H448" s="14" t="s">
        <v>191</v>
      </c>
      <c r="I448" s="501">
        <f>J448+K448+L448</f>
        <v>2.02</v>
      </c>
      <c r="J448" s="501">
        <f>SUM(M448:R448)</f>
        <v>2.02</v>
      </c>
      <c r="K448" s="501"/>
      <c r="L448" s="501"/>
      <c r="M448" s="501"/>
      <c r="N448" s="501">
        <f>SUM(N449:N450)</f>
        <v>1.7000000000000001E-2</v>
      </c>
      <c r="O448" s="568"/>
      <c r="P448" s="501"/>
      <c r="Q448" s="860"/>
      <c r="R448" s="870">
        <f>SUM(R449:R450)</f>
        <v>2.0030000000000001</v>
      </c>
      <c r="S448" s="154"/>
      <c r="T448" s="260"/>
      <c r="U448" s="154"/>
      <c r="V448" s="154"/>
      <c r="W448" s="55">
        <v>9</v>
      </c>
      <c r="X448" s="2432">
        <v>67</v>
      </c>
      <c r="Y448" s="55">
        <v>6</v>
      </c>
      <c r="Z448" s="2433">
        <v>37</v>
      </c>
      <c r="AA448" s="3"/>
      <c r="AB448">
        <v>1</v>
      </c>
      <c r="AC448" t="s">
        <v>2570</v>
      </c>
      <c r="AE448" s="2461"/>
      <c r="AF448" s="68"/>
    </row>
    <row r="449" spans="1:32" ht="15.5" x14ac:dyDescent="0.35">
      <c r="A449" s="349"/>
      <c r="B449" s="358"/>
      <c r="C449" s="405"/>
      <c r="D449" s="405"/>
      <c r="E449" s="289" t="s">
        <v>3616</v>
      </c>
      <c r="F449" s="13">
        <v>5</v>
      </c>
      <c r="G449" s="13">
        <v>5</v>
      </c>
      <c r="H449" s="14">
        <v>6</v>
      </c>
      <c r="I449" s="502"/>
      <c r="J449" s="502"/>
      <c r="K449" s="502"/>
      <c r="L449" s="502"/>
      <c r="M449" s="502"/>
      <c r="N449" s="502">
        <v>1.7000000000000001E-2</v>
      </c>
      <c r="O449" s="569"/>
      <c r="P449" s="502"/>
      <c r="Q449" s="1859"/>
      <c r="R449" s="1868"/>
      <c r="S449" s="154"/>
      <c r="T449" s="260"/>
      <c r="U449" s="154"/>
      <c r="V449" s="154"/>
      <c r="W449" s="55"/>
      <c r="X449" s="2432"/>
      <c r="Y449" s="55"/>
      <c r="Z449" s="2433"/>
      <c r="AA449" s="3"/>
      <c r="AE449" s="2461"/>
      <c r="AF449" s="68"/>
    </row>
    <row r="450" spans="1:32" ht="15.5" x14ac:dyDescent="0.35">
      <c r="A450" s="349"/>
      <c r="B450" s="358"/>
      <c r="C450" s="405"/>
      <c r="D450" s="405"/>
      <c r="E450" s="838" t="s">
        <v>3617</v>
      </c>
      <c r="F450" s="13">
        <v>5</v>
      </c>
      <c r="G450" s="13">
        <v>5</v>
      </c>
      <c r="H450" s="14">
        <v>6</v>
      </c>
      <c r="I450" s="502"/>
      <c r="J450" s="502"/>
      <c r="K450" s="502"/>
      <c r="L450" s="502"/>
      <c r="M450" s="502"/>
      <c r="N450" s="502"/>
      <c r="O450" s="569"/>
      <c r="P450" s="502"/>
      <c r="Q450" s="1859"/>
      <c r="R450" s="1868">
        <f>2.02-0.017</f>
        <v>2.0030000000000001</v>
      </c>
      <c r="S450" s="154"/>
      <c r="T450" s="260"/>
      <c r="U450" s="154"/>
      <c r="V450" s="154"/>
      <c r="W450" s="55"/>
      <c r="X450" s="2432"/>
      <c r="Y450" s="55"/>
      <c r="Z450" s="2433"/>
      <c r="AA450" s="3"/>
      <c r="AE450" s="2461"/>
      <c r="AF450" s="68"/>
    </row>
    <row r="451" spans="1:32" ht="30" x14ac:dyDescent="0.35">
      <c r="A451" s="347">
        <v>250</v>
      </c>
      <c r="B451" s="358" t="s">
        <v>2325</v>
      </c>
      <c r="C451" s="358"/>
      <c r="D451" s="2464" t="s">
        <v>4588</v>
      </c>
      <c r="E451" s="288" t="s">
        <v>9976</v>
      </c>
      <c r="F451" s="13"/>
      <c r="G451" s="13" t="s">
        <v>191</v>
      </c>
      <c r="H451" s="13" t="s">
        <v>191</v>
      </c>
      <c r="I451" s="501">
        <f>J451+K451+L451</f>
        <v>2</v>
      </c>
      <c r="J451" s="501">
        <f>SUM(M451:R451)</f>
        <v>2</v>
      </c>
      <c r="K451" s="501"/>
      <c r="L451" s="501"/>
      <c r="M451" s="501"/>
      <c r="N451" s="501">
        <f>SUM(N452:N455)</f>
        <v>1.028</v>
      </c>
      <c r="O451" s="568"/>
      <c r="P451" s="501"/>
      <c r="Q451" s="860">
        <f>SUM(Q452:Q455)</f>
        <v>0.97199999999999998</v>
      </c>
      <c r="R451" s="870"/>
      <c r="S451" s="154"/>
      <c r="T451" s="260"/>
      <c r="U451" s="154"/>
      <c r="V451" s="154"/>
      <c r="W451" s="55">
        <v>5</v>
      </c>
      <c r="X451" s="2432">
        <v>58.03</v>
      </c>
      <c r="Y451" s="55">
        <v>1</v>
      </c>
      <c r="Z451" s="2433">
        <v>10</v>
      </c>
      <c r="AB451">
        <v>1</v>
      </c>
      <c r="AE451" s="2461"/>
      <c r="AF451" s="68"/>
    </row>
    <row r="452" spans="1:32" ht="46.5" x14ac:dyDescent="0.35">
      <c r="A452" s="347"/>
      <c r="B452" s="358" t="s">
        <v>2325</v>
      </c>
      <c r="C452" s="405"/>
      <c r="D452" s="358"/>
      <c r="E452" s="289" t="s">
        <v>9977</v>
      </c>
      <c r="F452" s="13"/>
      <c r="G452" s="13" t="s">
        <v>191</v>
      </c>
      <c r="H452" s="13" t="s">
        <v>191</v>
      </c>
      <c r="I452" s="501"/>
      <c r="J452" s="501"/>
      <c r="K452" s="501"/>
      <c r="L452" s="501"/>
      <c r="M452" s="501"/>
      <c r="N452" s="501"/>
      <c r="O452" s="568"/>
      <c r="P452" s="501"/>
      <c r="Q452" s="860"/>
      <c r="R452" s="870"/>
      <c r="S452" s="55"/>
      <c r="T452" s="1962"/>
      <c r="U452" s="154"/>
      <c r="V452" s="154"/>
      <c r="W452" s="55"/>
      <c r="X452" s="2432"/>
      <c r="Y452" s="55"/>
      <c r="Z452" s="2433"/>
    </row>
    <row r="453" spans="1:32" ht="30" x14ac:dyDescent="0.35">
      <c r="A453" s="363"/>
      <c r="B453" s="358" t="s">
        <v>2325</v>
      </c>
      <c r="C453" s="1024"/>
      <c r="D453" s="364"/>
      <c r="E453" s="289" t="s">
        <v>1737</v>
      </c>
      <c r="F453" s="13">
        <v>5</v>
      </c>
      <c r="G453" s="13">
        <v>5</v>
      </c>
      <c r="H453" s="13">
        <v>6</v>
      </c>
      <c r="I453" s="502" t="s">
        <v>1516</v>
      </c>
      <c r="J453" s="502" t="s">
        <v>1516</v>
      </c>
      <c r="K453" s="501"/>
      <c r="L453" s="502"/>
      <c r="M453" s="502"/>
      <c r="N453" s="502">
        <v>0.47199999999999998</v>
      </c>
      <c r="O453" s="569"/>
      <c r="P453" s="502"/>
      <c r="Q453" s="863"/>
      <c r="R453" s="873"/>
      <c r="S453" s="1944"/>
      <c r="T453" s="2497"/>
      <c r="U453" s="1944"/>
      <c r="V453" s="1944"/>
      <c r="W453" s="1138"/>
      <c r="X453" s="2498"/>
      <c r="Y453" s="1138"/>
      <c r="Z453" s="2499"/>
      <c r="AA453" s="3"/>
    </row>
    <row r="454" spans="1:32" ht="15.5" x14ac:dyDescent="0.35">
      <c r="A454" s="363"/>
      <c r="B454" s="358"/>
      <c r="C454" s="1024"/>
      <c r="D454" s="364"/>
      <c r="E454" s="289" t="s">
        <v>3176</v>
      </c>
      <c r="F454" s="13" t="s">
        <v>1490</v>
      </c>
      <c r="G454" s="13">
        <v>5</v>
      </c>
      <c r="H454" s="13">
        <v>6</v>
      </c>
      <c r="I454" s="502"/>
      <c r="J454" s="502"/>
      <c r="K454" s="501"/>
      <c r="L454" s="502"/>
      <c r="M454" s="502"/>
      <c r="N454" s="502">
        <f>1.028-0.472</f>
        <v>0.55600000000000005</v>
      </c>
      <c r="O454" s="569"/>
      <c r="P454" s="502"/>
      <c r="Q454" s="863"/>
      <c r="R454" s="873"/>
      <c r="S454" s="1944"/>
      <c r="T454" s="2497"/>
      <c r="U454" s="1944"/>
      <c r="V454" s="1944"/>
      <c r="W454" s="1138"/>
      <c r="X454" s="2498"/>
      <c r="Y454" s="1138"/>
      <c r="Z454" s="2499"/>
      <c r="AA454" s="3"/>
    </row>
    <row r="455" spans="1:32" ht="30" x14ac:dyDescent="0.35">
      <c r="A455" s="363"/>
      <c r="B455" s="358" t="s">
        <v>2325</v>
      </c>
      <c r="C455" s="1024"/>
      <c r="D455" s="364"/>
      <c r="E455" s="837" t="s">
        <v>2749</v>
      </c>
      <c r="F455" s="13">
        <v>5</v>
      </c>
      <c r="G455" s="13">
        <v>5</v>
      </c>
      <c r="H455" s="13">
        <v>6</v>
      </c>
      <c r="I455" s="502" t="s">
        <v>1516</v>
      </c>
      <c r="J455" s="502" t="s">
        <v>1516</v>
      </c>
      <c r="K455" s="501"/>
      <c r="L455" s="502"/>
      <c r="M455" s="502"/>
      <c r="N455" s="502"/>
      <c r="O455" s="569"/>
      <c r="P455" s="502"/>
      <c r="Q455" s="863">
        <f>2-1.028</f>
        <v>0.97199999999999998</v>
      </c>
      <c r="R455" s="873"/>
      <c r="S455" s="1944"/>
      <c r="T455" s="2497"/>
      <c r="U455" s="1944"/>
      <c r="V455" s="1944"/>
      <c r="W455" s="1138"/>
      <c r="X455" s="2498"/>
      <c r="Y455" s="1138"/>
      <c r="Z455" s="2499"/>
      <c r="AA455" s="3"/>
    </row>
  </sheetData>
  <autoFilter ref="A29:AB455"/>
  <mergeCells count="35">
    <mergeCell ref="A2:Z2"/>
    <mergeCell ref="A3:Z3"/>
    <mergeCell ref="A5:A8"/>
    <mergeCell ref="D5:D8"/>
    <mergeCell ref="E5:E8"/>
    <mergeCell ref="G5:G8"/>
    <mergeCell ref="W5:Z5"/>
    <mergeCell ref="I6:I8"/>
    <mergeCell ref="J6:J8"/>
    <mergeCell ref="K6:K8"/>
    <mergeCell ref="L6:L8"/>
    <mergeCell ref="M6:M8"/>
    <mergeCell ref="N6:N8"/>
    <mergeCell ref="O6:O8"/>
    <mergeCell ref="P6:P8"/>
    <mergeCell ref="Q6:Q8"/>
    <mergeCell ref="Y6:Z6"/>
    <mergeCell ref="Y7:Y8"/>
    <mergeCell ref="Z7:Z8"/>
    <mergeCell ref="I5:L5"/>
    <mergeCell ref="M5:R5"/>
    <mergeCell ref="W7:W8"/>
    <mergeCell ref="X7:X8"/>
    <mergeCell ref="S7:S8"/>
    <mergeCell ref="T7:T8"/>
    <mergeCell ref="S5:V5"/>
    <mergeCell ref="U6:V6"/>
    <mergeCell ref="U7:U8"/>
    <mergeCell ref="R6:R8"/>
    <mergeCell ref="S6:T6"/>
    <mergeCell ref="W6:X6"/>
    <mergeCell ref="V7:V8"/>
    <mergeCell ref="B5:B8"/>
    <mergeCell ref="F5:F8"/>
    <mergeCell ref="H5:H8"/>
  </mergeCells>
  <phoneticPr fontId="0" type="noConversion"/>
  <printOptions horizontalCentered="1"/>
  <pageMargins left="0.19685039370078741" right="0.19685039370078741" top="0.78740157480314965" bottom="0.39370078740157483" header="0.51181102362204722" footer="0.19685039370078741"/>
  <pageSetup paperSize="9" scale="58" fitToHeight="0" orientation="landscape" r:id="rId1"/>
  <headerFooter alignWithMargins="0">
    <oddFooter>&amp;L&amp;"Times New Roman,обычный"&amp;10Горецкое ДРСУ-127&amp;R&amp;"Times New Roman,обычный"&amp;10&amp;P</oddFooter>
  </headerFooter>
  <rowBreaks count="6" manualBreakCount="6">
    <brk id="83" max="24" man="1"/>
    <brk id="122" max="24" man="1"/>
    <brk id="155" max="24" man="1"/>
    <brk id="247" max="24" man="1"/>
    <brk id="363" max="24" man="1"/>
    <brk id="398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M270"/>
  <sheetViews>
    <sheetView workbookViewId="0">
      <pane xSplit="5" ySplit="10" topLeftCell="F18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8.9140625" defaultRowHeight="15.5" x14ac:dyDescent="0.35"/>
  <cols>
    <col min="1" max="1" width="4.4140625" style="12" customWidth="1"/>
    <col min="2" max="3" width="7.25" style="12" hidden="1" customWidth="1"/>
    <col min="4" max="4" width="7.33203125" style="12" customWidth="1"/>
    <col min="5" max="5" width="43.4140625" style="2" customWidth="1"/>
    <col min="6" max="6" width="6.75" style="2" customWidth="1"/>
    <col min="7" max="8" width="7.25" style="2" customWidth="1"/>
    <col min="9" max="9" width="6.58203125" style="2" customWidth="1"/>
    <col min="10" max="10" width="7.08203125" style="2" customWidth="1"/>
    <col min="11" max="13" width="6.6640625" style="2" customWidth="1"/>
    <col min="14" max="14" width="6.6640625" style="12" customWidth="1"/>
    <col min="15" max="15" width="6.75" style="2" customWidth="1"/>
    <col min="16" max="17" width="6.6640625" style="2" customWidth="1"/>
    <col min="18" max="18" width="6.6640625" style="12" customWidth="1"/>
    <col min="19" max="19" width="4.4140625" style="114" customWidth="1"/>
    <col min="20" max="20" width="7.25" style="2" customWidth="1"/>
    <col min="21" max="21" width="4.4140625" style="2" customWidth="1"/>
    <col min="22" max="22" width="5.58203125" style="2" customWidth="1"/>
    <col min="23" max="23" width="4.4140625" style="2" customWidth="1"/>
    <col min="24" max="24" width="7.6640625" style="2" customWidth="1"/>
    <col min="25" max="25" width="4.33203125" style="2" customWidth="1"/>
    <col min="26" max="26" width="7.6640625" style="2" customWidth="1"/>
    <col min="27" max="36" width="8.9140625" style="2"/>
    <col min="37" max="37" width="20" style="2" customWidth="1"/>
    <col min="38" max="16384" width="8.9140625" style="2"/>
  </cols>
  <sheetData>
    <row r="1" spans="1:3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111"/>
      <c r="T1" s="7"/>
      <c r="U1" s="7"/>
      <c r="V1" s="7"/>
      <c r="W1" s="7"/>
      <c r="X1" s="7"/>
      <c r="Y1" s="7"/>
      <c r="Z1" s="7"/>
    </row>
    <row r="2" spans="1:39" ht="20" x14ac:dyDescent="0.4">
      <c r="A2" s="3099" t="s">
        <v>10621</v>
      </c>
      <c r="B2" s="3099"/>
      <c r="C2" s="3099"/>
      <c r="D2" s="3099"/>
      <c r="E2" s="3099"/>
      <c r="F2" s="3099"/>
      <c r="G2" s="3099"/>
      <c r="H2" s="3099"/>
      <c r="I2" s="3099"/>
      <c r="J2" s="3099"/>
      <c r="K2" s="3099"/>
      <c r="L2" s="3099"/>
      <c r="M2" s="3099"/>
      <c r="N2" s="3099"/>
      <c r="O2" s="3099"/>
      <c r="P2" s="3099"/>
      <c r="Q2" s="3099"/>
      <c r="R2" s="3099"/>
      <c r="S2" s="3099"/>
      <c r="T2" s="3099"/>
      <c r="U2" s="3099"/>
      <c r="V2" s="3099"/>
      <c r="W2" s="3099"/>
      <c r="X2" s="3099"/>
      <c r="Y2" s="3099"/>
      <c r="Z2" s="3099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" thickBot="1" x14ac:dyDescent="0.4">
      <c r="A4" s="5"/>
      <c r="B4" s="5"/>
      <c r="C4" s="5"/>
      <c r="D4" s="5"/>
      <c r="E4" s="3"/>
      <c r="F4" s="3"/>
      <c r="G4" s="3"/>
      <c r="H4" s="3"/>
      <c r="I4" s="3"/>
      <c r="J4" s="1798"/>
      <c r="K4" s="3"/>
      <c r="L4" s="3"/>
      <c r="M4" s="3"/>
      <c r="N4" s="5"/>
      <c r="O4" s="3"/>
      <c r="P4" s="3"/>
      <c r="Q4" s="3"/>
      <c r="R4" s="2314"/>
      <c r="S4" s="68"/>
      <c r="T4" s="3"/>
      <c r="U4" s="3"/>
      <c r="V4" s="3"/>
      <c r="W4" s="3"/>
      <c r="X4" s="3"/>
      <c r="Y4" s="3"/>
      <c r="Z4" s="3"/>
    </row>
    <row r="5" spans="1:39" ht="16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  <c r="AA5" s="2252"/>
    </row>
    <row r="6" spans="1:39" ht="33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  <c r="AA6" s="2252"/>
    </row>
    <row r="7" spans="1:39" ht="16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  <c r="AA7" s="2252"/>
    </row>
    <row r="8" spans="1:39" ht="16" customHeight="1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  <c r="AA8" s="2252"/>
    </row>
    <row r="9" spans="1:39" ht="16" customHeight="1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  <c r="AA9" s="2253"/>
    </row>
    <row r="10" spans="1:39" ht="16" customHeight="1" thickBot="1" x14ac:dyDescent="0.4">
      <c r="A10" s="450"/>
      <c r="B10" s="1267"/>
      <c r="C10" s="1267"/>
      <c r="D10" s="462"/>
      <c r="E10" s="472" t="s">
        <v>2392</v>
      </c>
      <c r="F10" s="451"/>
      <c r="G10" s="451"/>
      <c r="H10" s="451"/>
      <c r="I10" s="803">
        <f>J10+K10+L10</f>
        <v>317.33299999999997</v>
      </c>
      <c r="J10" s="803">
        <f>M10+N10+O10+P10+Q10+R10</f>
        <v>311.56799999999998</v>
      </c>
      <c r="K10" s="803">
        <f t="shared" ref="K10:R10" si="0">K11+K12+K13+K14</f>
        <v>2</v>
      </c>
      <c r="L10" s="803">
        <f t="shared" si="0"/>
        <v>3.7650000000000006</v>
      </c>
      <c r="M10" s="803">
        <f t="shared" si="0"/>
        <v>0</v>
      </c>
      <c r="N10" s="803">
        <f t="shared" si="0"/>
        <v>112.43799999999997</v>
      </c>
      <c r="O10" s="613">
        <f t="shared" si="0"/>
        <v>0</v>
      </c>
      <c r="P10" s="803">
        <f t="shared" si="0"/>
        <v>0</v>
      </c>
      <c r="Q10" s="930">
        <f t="shared" si="0"/>
        <v>74.189000000000021</v>
      </c>
      <c r="R10" s="923">
        <f t="shared" si="0"/>
        <v>124.94099999999997</v>
      </c>
      <c r="S10" s="1268">
        <f>SUM(S30:S934)</f>
        <v>10</v>
      </c>
      <c r="T10" s="1208">
        <f t="shared" ref="T10:Z10" si="1">SUM(T30:T934)</f>
        <v>253.79999999999998</v>
      </c>
      <c r="U10" s="1268">
        <f t="shared" si="1"/>
        <v>2</v>
      </c>
      <c r="V10" s="1208">
        <f t="shared" si="1"/>
        <v>18</v>
      </c>
      <c r="W10" s="1268">
        <f t="shared" si="1"/>
        <v>332</v>
      </c>
      <c r="X10" s="1208">
        <f t="shared" si="1"/>
        <v>4456.09</v>
      </c>
      <c r="Y10" s="1268">
        <f t="shared" si="1"/>
        <v>99</v>
      </c>
      <c r="Z10" s="1595">
        <f t="shared" si="1"/>
        <v>1083.7</v>
      </c>
      <c r="AA10" s="2254"/>
      <c r="AB10" s="1268">
        <f>SUM(AB30:AB933)</f>
        <v>144</v>
      </c>
      <c r="AK10" s="2150" t="s">
        <v>11226</v>
      </c>
      <c r="AL10" s="43"/>
      <c r="AM10" s="2812" t="s">
        <v>11227</v>
      </c>
    </row>
    <row r="11" spans="1:39" x14ac:dyDescent="0.35">
      <c r="A11" s="182"/>
      <c r="B11" s="992"/>
      <c r="C11" s="992"/>
      <c r="D11" s="183"/>
      <c r="E11" s="1264" t="s">
        <v>909</v>
      </c>
      <c r="F11" s="1245">
        <v>3</v>
      </c>
      <c r="G11" s="1245"/>
      <c r="H11" s="1245"/>
      <c r="I11" s="1246"/>
      <c r="J11" s="1246"/>
      <c r="K11" s="1246"/>
      <c r="L11" s="1246"/>
      <c r="M11" s="1246"/>
      <c r="N11" s="1246"/>
      <c r="O11" s="1247"/>
      <c r="P11" s="1246"/>
      <c r="Q11" s="1248"/>
      <c r="R11" s="1255"/>
      <c r="S11" s="188"/>
      <c r="T11" s="271"/>
      <c r="U11" s="186"/>
      <c r="V11" s="186"/>
      <c r="W11" s="188"/>
      <c r="X11" s="271"/>
      <c r="Y11" s="188"/>
      <c r="Z11" s="272"/>
      <c r="AA11" s="2255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250">
        <f t="shared" ref="I12:I20" si="2">J12+K12+L12</f>
        <v>133.99599999999998</v>
      </c>
      <c r="J12" s="1250">
        <f t="shared" ref="J12:J20" si="3">R12+Q12+P12+O12+N12+M12</f>
        <v>128.23099999999999</v>
      </c>
      <c r="K12" s="1250">
        <f>SUMIF(F30:F864,4,K30:K864)</f>
        <v>2</v>
      </c>
      <c r="L12" s="1250">
        <f>SUMIF(F30:F864,4,L30:L864)</f>
        <v>3.7650000000000006</v>
      </c>
      <c r="M12" s="1250">
        <f>SUMIF(F30:F864,4,M30:M864)</f>
        <v>0</v>
      </c>
      <c r="N12" s="1250">
        <f>SUMIF(F30:F864,4,N30:N864)</f>
        <v>84.09699999999998</v>
      </c>
      <c r="O12" s="1251">
        <f>SUMIF(F30:F864,4,O30:O864)</f>
        <v>0</v>
      </c>
      <c r="P12" s="1250">
        <f>SUMIF(F30:F864,4,P30:P864)</f>
        <v>0</v>
      </c>
      <c r="Q12" s="1252">
        <f>SUMIF(F30:F864,4,Q30:Q864)</f>
        <v>44.134000000000007</v>
      </c>
      <c r="R12" s="1256">
        <f>SUMIF(F30:F864,4,R30:R864)</f>
        <v>0</v>
      </c>
      <c r="S12" s="228"/>
      <c r="T12" s="275"/>
      <c r="U12" s="286"/>
      <c r="V12" s="286"/>
      <c r="W12" s="228"/>
      <c r="X12" s="136"/>
      <c r="Y12" s="228"/>
      <c r="Z12" s="276"/>
      <c r="AA12" s="2255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x14ac:dyDescent="0.35">
      <c r="A13" s="285"/>
      <c r="B13" s="993"/>
      <c r="C13" s="993"/>
      <c r="D13" s="274"/>
      <c r="E13" s="640"/>
      <c r="F13" s="1249">
        <v>5</v>
      </c>
      <c r="G13" s="1249"/>
      <c r="H13" s="1249"/>
      <c r="I13" s="1250">
        <f t="shared" si="2"/>
        <v>83.524000000000001</v>
      </c>
      <c r="J13" s="1250">
        <f t="shared" si="3"/>
        <v>83.524000000000001</v>
      </c>
      <c r="K13" s="1250">
        <f>SUMIF(F30:F864,5,K30:K864)</f>
        <v>0</v>
      </c>
      <c r="L13" s="1250">
        <f>SUMIF(F30:F864,5,L30:L864)</f>
        <v>0</v>
      </c>
      <c r="M13" s="1250">
        <f>SUMIF(F30:F864,5,M30:M864)</f>
        <v>0</v>
      </c>
      <c r="N13" s="1250">
        <f>SUMIF(F30:F864,5,N30:N864)</f>
        <v>24.677</v>
      </c>
      <c r="O13" s="1251">
        <f>SUMIF(F30:F864,5,O30:O864)</f>
        <v>0</v>
      </c>
      <c r="P13" s="1250">
        <f>SUMIF(F30:F864,5,P30:P864)</f>
        <v>0</v>
      </c>
      <c r="Q13" s="1252">
        <f>SUMIF(F30:F864,5,Q30:Q864)</f>
        <v>27.613</v>
      </c>
      <c r="R13" s="1256">
        <f>SUMIF(F30:F864,5,R30:R864)</f>
        <v>31.234000000000002</v>
      </c>
      <c r="S13" s="228"/>
      <c r="T13" s="275"/>
      <c r="U13" s="286"/>
      <c r="V13" s="286"/>
      <c r="W13" s="228"/>
      <c r="X13" s="136"/>
      <c r="Y13" s="228"/>
      <c r="Z13" s="276"/>
      <c r="AA13" s="2255"/>
      <c r="AD13" s="2777" t="s">
        <v>11126</v>
      </c>
      <c r="AE13" s="2776"/>
      <c r="AF13" s="2778">
        <v>79</v>
      </c>
      <c r="AG13" s="2783">
        <f>M12+N12+O12</f>
        <v>84.09699999999998</v>
      </c>
      <c r="AH13" s="2783">
        <f>M13+N13+O13</f>
        <v>24.677</v>
      </c>
      <c r="AI13" s="2784">
        <f>M14+N14+O14</f>
        <v>3.6639999999999997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 t="shared" si="2"/>
        <v>99.812999999999974</v>
      </c>
      <c r="J14" s="1250">
        <f t="shared" si="3"/>
        <v>99.812999999999974</v>
      </c>
      <c r="K14" s="1250">
        <f>K15+K16+K17</f>
        <v>0</v>
      </c>
      <c r="L14" s="1250">
        <f>L15+L16+L17</f>
        <v>0</v>
      </c>
      <c r="M14" s="1250">
        <f t="shared" ref="M14:R14" si="4">M15+M16+M17</f>
        <v>0</v>
      </c>
      <c r="N14" s="1250">
        <f t="shared" si="4"/>
        <v>3.6639999999999997</v>
      </c>
      <c r="O14" s="1251">
        <f t="shared" si="4"/>
        <v>0</v>
      </c>
      <c r="P14" s="1317">
        <f t="shared" si="4"/>
        <v>0</v>
      </c>
      <c r="Q14" s="1252">
        <f t="shared" si="4"/>
        <v>2.4420000000000002</v>
      </c>
      <c r="R14" s="1256">
        <f t="shared" si="4"/>
        <v>93.706999999999965</v>
      </c>
      <c r="S14" s="228"/>
      <c r="T14" s="275"/>
      <c r="U14" s="286"/>
      <c r="V14" s="286"/>
      <c r="W14" s="228"/>
      <c r="X14" s="136"/>
      <c r="Y14" s="228"/>
      <c r="Z14" s="276"/>
      <c r="AA14" s="2255"/>
      <c r="AD14" s="2777" t="s">
        <v>11127</v>
      </c>
      <c r="AE14" s="2776"/>
      <c r="AF14" s="2778">
        <v>80</v>
      </c>
      <c r="AG14" s="2785">
        <f>P12+Q12</f>
        <v>44.134000000000007</v>
      </c>
      <c r="AH14" s="2785">
        <f>P13+Q13</f>
        <v>27.613</v>
      </c>
      <c r="AI14" s="2786">
        <f>P14+Q14</f>
        <v>2.4420000000000002</v>
      </c>
      <c r="AK14" s="2815" t="s">
        <v>11230</v>
      </c>
      <c r="AL14" s="2579">
        <f>SUMIFS(M30:M949,F30:F949,4,G30:G949,3)</f>
        <v>0</v>
      </c>
      <c r="AM14" s="2817"/>
    </row>
    <row r="15" spans="1:39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 t="shared" si="2"/>
        <v>15.055999999999997</v>
      </c>
      <c r="J15" s="1318">
        <f t="shared" si="3"/>
        <v>15.055999999999997</v>
      </c>
      <c r="K15" s="1318">
        <f>SUMIF(F30:F937,"=6а",K30:K937)</f>
        <v>0</v>
      </c>
      <c r="L15" s="1318">
        <f>SUMIF(F30:F937,"=6а",L30:L937)</f>
        <v>0</v>
      </c>
      <c r="M15" s="1318">
        <f>SUMIF(F30:F937,"=6а",M30:M937)</f>
        <v>0</v>
      </c>
      <c r="N15" s="1318">
        <f>SUMIF(F30:F937,"=6а",N30:N937)</f>
        <v>2.7639999999999998</v>
      </c>
      <c r="O15" s="1319">
        <f>SUMIF(F30:F937,"=6а",O30:O937)</f>
        <v>0</v>
      </c>
      <c r="P15" s="1320">
        <f>SUMIF(F30:F937,"=6а",P30:P937)</f>
        <v>0</v>
      </c>
      <c r="Q15" s="1321">
        <f>SUMIF(F30:F937,"=6а",Q30:Q937)</f>
        <v>2.0420000000000003</v>
      </c>
      <c r="R15" s="1322">
        <f>SUMIF(F30:F937,"=6а",R30:R937)</f>
        <v>10.249999999999998</v>
      </c>
      <c r="S15" s="228"/>
      <c r="T15" s="136"/>
      <c r="U15" s="286"/>
      <c r="V15" s="286"/>
      <c r="W15" s="228"/>
      <c r="X15" s="136"/>
      <c r="Y15" s="228"/>
      <c r="Z15" s="276"/>
      <c r="AA15" s="2255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31.234000000000002</v>
      </c>
      <c r="AI15" s="2788">
        <f>R14</f>
        <v>93.706999999999965</v>
      </c>
      <c r="AK15" s="2815" t="s">
        <v>11231</v>
      </c>
      <c r="AL15" s="2579">
        <f>SUMIFS(N30:N949,F30:F949,4,G30:G949,3)</f>
        <v>0</v>
      </c>
      <c r="AM15" s="2817"/>
    </row>
    <row r="16" spans="1:39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 t="shared" si="2"/>
        <v>14.162000000000001</v>
      </c>
      <c r="J16" s="1318">
        <f t="shared" si="3"/>
        <v>14.162000000000001</v>
      </c>
      <c r="K16" s="1318">
        <f>SUMIF(F30:F938,"=6б",K30:K938)</f>
        <v>0</v>
      </c>
      <c r="L16" s="1318">
        <f>SUMIF(F30:F938,"=6б",L30:L938)</f>
        <v>0</v>
      </c>
      <c r="M16" s="1318">
        <f>SUMIF(F30:F938,"=6б",M30:M938)</f>
        <v>0</v>
      </c>
      <c r="N16" s="1318">
        <f>SUMIF(F30:F938,"=6б",N30:N938)</f>
        <v>0.9</v>
      </c>
      <c r="O16" s="1319">
        <f>SUMIF(F30:F938,"=6б",O30:O938)</f>
        <v>0</v>
      </c>
      <c r="P16" s="1320">
        <f>SUMIF(F30:F938,"=6б",P30:P938)</f>
        <v>0</v>
      </c>
      <c r="Q16" s="1321">
        <f>SUMIF(F30:F938,"=6б",Q30:Q938)</f>
        <v>0.4</v>
      </c>
      <c r="R16" s="1322">
        <f>SUMIF(F30:F938,"=6б",R30:R938)</f>
        <v>12.862</v>
      </c>
      <c r="S16" s="228"/>
      <c r="T16" s="136"/>
      <c r="U16" s="286"/>
      <c r="V16" s="286"/>
      <c r="W16" s="228"/>
      <c r="X16" s="136"/>
      <c r="Y16" s="228"/>
      <c r="Z16" s="276"/>
      <c r="AA16" s="2255"/>
      <c r="AK16" s="2815" t="s">
        <v>11232</v>
      </c>
      <c r="AL16" s="2579">
        <f>SUMIFS(O30:O949,F30:F949,4,G30:G949,3)</f>
        <v>0</v>
      </c>
      <c r="AM16" s="2817"/>
    </row>
    <row r="17" spans="1:39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72">
        <f t="shared" si="2"/>
        <v>70.59499999999997</v>
      </c>
      <c r="J17" s="2272">
        <f t="shared" si="3"/>
        <v>70.59499999999997</v>
      </c>
      <c r="K17" s="2272">
        <f>SUMIF(F30:F939,"=б/к",K30:K939)</f>
        <v>0</v>
      </c>
      <c r="L17" s="2272">
        <f>SUMIF(F30:F939,"=б/к",L30:L939)</f>
        <v>0</v>
      </c>
      <c r="M17" s="2272">
        <f>SUMIF(F30:F939,"=б/к",M30:M939)</f>
        <v>0</v>
      </c>
      <c r="N17" s="2272">
        <f>SUMIF(F30:F939,"=б/к",N30:N939)</f>
        <v>0</v>
      </c>
      <c r="O17" s="2272">
        <f>SUMIF(F30:F939,"=б/к",O30:O939)</f>
        <v>0</v>
      </c>
      <c r="P17" s="2272">
        <f>SUMIF(F30:F939,"=б/к",P30:P939)</f>
        <v>0</v>
      </c>
      <c r="Q17" s="2273">
        <f>SUMIF(F30:F939,"=б/к",Q30:Q939)</f>
        <v>0</v>
      </c>
      <c r="R17" s="2274">
        <f>SUMIF(F30:F939,"=б/к",R30:R939)</f>
        <v>70.59499999999997</v>
      </c>
      <c r="S17" s="228"/>
      <c r="T17" s="136"/>
      <c r="U17" s="286"/>
      <c r="V17" s="286"/>
      <c r="W17" s="228"/>
      <c r="X17" s="136"/>
      <c r="Y17" s="228"/>
      <c r="Z17" s="276"/>
      <c r="AA17" s="2255"/>
      <c r="AK17" s="2815" t="s">
        <v>11233</v>
      </c>
      <c r="AL17" s="2579">
        <f>SUMIFS(P30:P949,F30:F949,4,G30:G949,3)+SUMIFS(Q30:Q949,F30:F949,4,G30:G949,3)</f>
        <v>0</v>
      </c>
      <c r="AM17" s="2817"/>
    </row>
    <row r="18" spans="1:39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242">
        <f t="shared" si="2"/>
        <v>0</v>
      </c>
      <c r="J18" s="1242">
        <f t="shared" si="3"/>
        <v>0</v>
      </c>
      <c r="K18" s="1242">
        <f>SUMIF(G30:G864,3,K30:K864)</f>
        <v>0</v>
      </c>
      <c r="L18" s="1242">
        <f>SUMIF(G30:G864,3,L30:L864)</f>
        <v>0</v>
      </c>
      <c r="M18" s="1242">
        <f>SUMIF(G30:G864,3,M30:M864)</f>
        <v>0</v>
      </c>
      <c r="N18" s="1242">
        <f>SUMIF(G30:G864,3,N30:N864)</f>
        <v>0</v>
      </c>
      <c r="O18" s="1243">
        <f>SUMIF(G30:G864,3,O30:O864)</f>
        <v>0</v>
      </c>
      <c r="P18" s="1242">
        <f>SUMIF(G30:G864,3,P30:P864)</f>
        <v>0</v>
      </c>
      <c r="Q18" s="1244">
        <f>SUMIF(G30:G864,3,Q30:Q864)</f>
        <v>0</v>
      </c>
      <c r="R18" s="1257">
        <f>SUMIF(G30:G864,3,R30:R864)</f>
        <v>0</v>
      </c>
      <c r="S18" s="228"/>
      <c r="T18" s="136"/>
      <c r="U18" s="286"/>
      <c r="V18" s="286"/>
      <c r="W18" s="228"/>
      <c r="X18" s="136"/>
      <c r="Y18" s="228"/>
      <c r="Z18" s="276"/>
      <c r="AA18" s="2256"/>
      <c r="AK18" s="2815" t="s">
        <v>910</v>
      </c>
      <c r="AL18" s="2579">
        <f>SUMIFS(R30:R949,F30:F949,4,G30:G949,3)</f>
        <v>0</v>
      </c>
      <c r="AM18" s="2817"/>
    </row>
    <row r="19" spans="1:39" x14ac:dyDescent="0.35">
      <c r="A19" s="285"/>
      <c r="B19" s="993"/>
      <c r="C19" s="993"/>
      <c r="D19" s="274"/>
      <c r="E19" s="98"/>
      <c r="F19" s="1240"/>
      <c r="G19" s="1241">
        <v>4</v>
      </c>
      <c r="H19" s="1241"/>
      <c r="I19" s="1242">
        <f t="shared" si="2"/>
        <v>76.069000000000003</v>
      </c>
      <c r="J19" s="1242">
        <f t="shared" si="3"/>
        <v>71.438000000000002</v>
      </c>
      <c r="K19" s="1242">
        <f>SUMIF(G30:G864,4,K30:K864)</f>
        <v>2</v>
      </c>
      <c r="L19" s="1242">
        <f>SUMIF(G30:G864,4,L30:L864)</f>
        <v>2.6310000000000002</v>
      </c>
      <c r="M19" s="1242">
        <f>SUMIF(G30:G864,4,M30:M864)</f>
        <v>0</v>
      </c>
      <c r="N19" s="1242">
        <f>SUMIF(G30:G864,4,N30:N864)</f>
        <v>64.335999999999999</v>
      </c>
      <c r="O19" s="1243">
        <f>SUMIF(G30:G864,4,O30:O864)</f>
        <v>0</v>
      </c>
      <c r="P19" s="1242">
        <f>SUMIF(G30:G864,4,P30:P864)</f>
        <v>0</v>
      </c>
      <c r="Q19" s="1244">
        <f>SUMIF(G30:G864,4,Q30:Q864)</f>
        <v>7.1020000000000021</v>
      </c>
      <c r="R19" s="1257">
        <f>SUMIF(G30:G864,4,R30:R864)</f>
        <v>0</v>
      </c>
      <c r="S19" s="228"/>
      <c r="T19" s="136"/>
      <c r="U19" s="286"/>
      <c r="V19" s="286"/>
      <c r="W19" s="228"/>
      <c r="X19" s="136"/>
      <c r="Y19" s="228"/>
      <c r="Z19" s="276"/>
      <c r="AA19" s="2256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x14ac:dyDescent="0.35">
      <c r="A20" s="285"/>
      <c r="B20" s="993"/>
      <c r="C20" s="993"/>
      <c r="D20" s="274"/>
      <c r="E20" s="98"/>
      <c r="F20" s="1240"/>
      <c r="G20" s="1241">
        <v>5</v>
      </c>
      <c r="H20" s="1241"/>
      <c r="I20" s="1242">
        <f t="shared" si="2"/>
        <v>241.26399999999995</v>
      </c>
      <c r="J20" s="1242">
        <f t="shared" si="3"/>
        <v>240.12999999999997</v>
      </c>
      <c r="K20" s="1242">
        <f>SUMIF(G30:G864,5,K30:K864)</f>
        <v>0</v>
      </c>
      <c r="L20" s="1242">
        <f>SUMIF(G30:G864,5,L30:L864)</f>
        <v>1.1340000000000003</v>
      </c>
      <c r="M20" s="1242">
        <f>SUMIF(G30:G864,5,M30:M864)</f>
        <v>0</v>
      </c>
      <c r="N20" s="1242">
        <f>SUMIF(G30:G864,5,N30:N864)</f>
        <v>48.102000000000011</v>
      </c>
      <c r="O20" s="1243">
        <f>SUMIF(G30:G864,5,O30:O864)</f>
        <v>0</v>
      </c>
      <c r="P20" s="1242">
        <f>SUMIF(G30:G864,5,P30:P864)</f>
        <v>0</v>
      </c>
      <c r="Q20" s="1244">
        <f>SUMIF(G30:G864,5,Q30:Q864)</f>
        <v>67.086999999999989</v>
      </c>
      <c r="R20" s="1257">
        <f>SUMIF(G30:G864,5,R30:R864)</f>
        <v>124.94099999999996</v>
      </c>
      <c r="S20" s="228"/>
      <c r="T20" s="136"/>
      <c r="U20" s="286"/>
      <c r="V20" s="286"/>
      <c r="W20" s="228"/>
      <c r="X20" s="136"/>
      <c r="Y20" s="228"/>
      <c r="Z20" s="276"/>
      <c r="AA20" s="2256"/>
      <c r="AK20" s="2815" t="s">
        <v>11230</v>
      </c>
      <c r="AL20" s="2579">
        <f>SUMIFS(M30:M949,F30:F949,5,G30:G949,3)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2256"/>
      <c r="AB21" s="3"/>
      <c r="AC21" s="3"/>
      <c r="AK21" s="2815" t="s">
        <v>11231</v>
      </c>
      <c r="AL21" s="2579">
        <f>SUMIFS(N30:N949,F30:F949,5,G30:G949,3)</f>
        <v>0</v>
      </c>
      <c r="AM21" s="2817"/>
    </row>
    <row r="22" spans="1:39" customFormat="1" x14ac:dyDescent="0.35">
      <c r="A22" s="285"/>
      <c r="B22" s="993"/>
      <c r="C22" s="993"/>
      <c r="D22" s="538">
        <f>SUMIF(C30:C869,"=сад",AB30:AB869)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SUMIF(C30:C869,"=сад",K30:K869)</f>
        <v>0</v>
      </c>
      <c r="L22" s="2247">
        <f>SUMIF(C30:C869,"=сад",L30:L869)</f>
        <v>0</v>
      </c>
      <c r="M22" s="2247">
        <f>SUMIF(C30:C869,"=сад",M30:M869)</f>
        <v>0</v>
      </c>
      <c r="N22" s="2247">
        <f>SUMIF(C30:C869,"=сад",N30:N869)</f>
        <v>0</v>
      </c>
      <c r="O22" s="2248">
        <f>SUMIF(C30:C869,"=сад",O30:O869)</f>
        <v>0</v>
      </c>
      <c r="P22" s="2247">
        <f>SUMIF(C30:C869,"=сад",P30:P869)</f>
        <v>0</v>
      </c>
      <c r="Q22" s="2249">
        <f>SUMIF(C30:C869,"=сад",Q30:Q869)</f>
        <v>0</v>
      </c>
      <c r="R22" s="2250">
        <f>SUMIF(C30:C869,"=сад",R30:R869)</f>
        <v>0</v>
      </c>
      <c r="S22" s="275"/>
      <c r="T22" s="275"/>
      <c r="U22" s="275"/>
      <c r="V22" s="275"/>
      <c r="W22" s="275"/>
      <c r="X22" s="275"/>
      <c r="Y22" s="275"/>
      <c r="Z22" s="412"/>
      <c r="AA22" s="2256"/>
      <c r="AB22" s="3"/>
      <c r="AC22" s="3"/>
      <c r="AK22" s="2815" t="s">
        <v>11232</v>
      </c>
      <c r="AL22" s="2579">
        <f>SUMIFS(O30:O949,F30:F949,5,G30:G949,3)</f>
        <v>0</v>
      </c>
      <c r="AM22" s="2817"/>
    </row>
    <row r="23" spans="1:39" customFormat="1" x14ac:dyDescent="0.35">
      <c r="A23" s="285"/>
      <c r="B23" s="993"/>
      <c r="C23" s="993"/>
      <c r="D23" s="538">
        <f>SUMIF(C30:C870,"=индив",AB30:AB870)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SUMIF(C30:C870,"=индив",K30:K870)</f>
        <v>0</v>
      </c>
      <c r="L23" s="2247">
        <f>SUMIF(C30:C870,"=индив",L30:L870)</f>
        <v>0</v>
      </c>
      <c r="M23" s="2247">
        <f>SUMIF(C30:C870,"=индив",M30:M870)</f>
        <v>0</v>
      </c>
      <c r="N23" s="2247">
        <f>SUMIF(C30:C870,"=индив",N30:N870)</f>
        <v>0</v>
      </c>
      <c r="O23" s="2248">
        <f>SUMIF(C30:C870,"=индив",O30:O870)</f>
        <v>0</v>
      </c>
      <c r="P23" s="2247">
        <f>SUMIF(C30:C870,"=индив",P30:P870)</f>
        <v>0</v>
      </c>
      <c r="Q23" s="2249">
        <f>SUMIF(C30:C870,"=индив",Q30:Q870)</f>
        <v>0</v>
      </c>
      <c r="R23" s="2250">
        <f>SUMIF(C30:C870,"=индив",R30:R870)</f>
        <v>0</v>
      </c>
      <c r="S23" s="275"/>
      <c r="T23" s="275"/>
      <c r="U23" s="275"/>
      <c r="V23" s="275"/>
      <c r="W23" s="275"/>
      <c r="X23" s="275"/>
      <c r="Y23" s="275"/>
      <c r="Z23" s="412"/>
      <c r="AA23" s="2256"/>
      <c r="AB23" s="3"/>
      <c r="AC23" s="3"/>
      <c r="AK23" s="2815" t="s">
        <v>11233</v>
      </c>
      <c r="AL23" s="2579">
        <f>SUMIFS(P30:P949,F30:F949,5,G30:G949,3)+SUMIFS(Q30:Q949,F30:F949,5,G30:G949,3)</f>
        <v>0</v>
      </c>
      <c r="AM23" s="2817"/>
    </row>
    <row r="24" spans="1:39" customFormat="1" x14ac:dyDescent="0.35">
      <c r="A24" s="285"/>
      <c r="B24" s="993"/>
      <c r="C24" s="993"/>
      <c r="D24" s="538">
        <f>SUMIF(C30:C871,"=кладб",AB30:AB871)</f>
        <v>45</v>
      </c>
      <c r="E24" s="2241" t="s">
        <v>2761</v>
      </c>
      <c r="F24" s="98"/>
      <c r="G24" s="226"/>
      <c r="H24" s="226"/>
      <c r="I24" s="2247">
        <f>J24+K24+L24</f>
        <v>24.645000000000003</v>
      </c>
      <c r="J24" s="2247">
        <f>R24+Q24+P24+O24+N24+M24</f>
        <v>24.645000000000003</v>
      </c>
      <c r="K24" s="2247">
        <f>SUMIF(C30:C871,"=кладб",K30:K871)</f>
        <v>0</v>
      </c>
      <c r="L24" s="2247">
        <f>SUMIF(C30:C871,"=кладб",L30:L871)</f>
        <v>0</v>
      </c>
      <c r="M24" s="2247">
        <f>SUMIF(C30:C871,"=кладб",M30:M871)</f>
        <v>0</v>
      </c>
      <c r="N24" s="2247">
        <f>SUMIF(C30:C871,"=кладб",N30:N871)</f>
        <v>1</v>
      </c>
      <c r="O24" s="2248">
        <f>SUMIF(C30:C871,"=кладб",O30:O871)</f>
        <v>0</v>
      </c>
      <c r="P24" s="2247">
        <f>SUMIF(C30:C871,"=кладб",P30:P871)</f>
        <v>0</v>
      </c>
      <c r="Q24" s="2249">
        <f>SUMIF(C30:C871,"=кладб",Q30:Q871)</f>
        <v>0</v>
      </c>
      <c r="R24" s="2250">
        <f>SUMIF(C30:C871,"=кладб",R30:R871)</f>
        <v>23.645000000000003</v>
      </c>
      <c r="S24" s="275"/>
      <c r="T24" s="275"/>
      <c r="U24" s="275"/>
      <c r="V24" s="275"/>
      <c r="W24" s="275"/>
      <c r="X24" s="275"/>
      <c r="Y24" s="275"/>
      <c r="Z24" s="412"/>
      <c r="AA24" s="2256"/>
      <c r="AB24" s="3"/>
      <c r="AC24" s="3"/>
      <c r="AK24" s="2815" t="s">
        <v>910</v>
      </c>
      <c r="AL24" s="2579">
        <f>SUMIFS(R30:R949,F30:F949,5,G30:G949,3)</f>
        <v>0</v>
      </c>
      <c r="AM24" s="2817"/>
    </row>
    <row r="25" spans="1:39" customFormat="1" x14ac:dyDescent="0.35">
      <c r="A25" s="387"/>
      <c r="B25" s="994"/>
      <c r="C25" s="994"/>
      <c r="D25" s="538">
        <f>SUMIF(C30:C872,"=прир",AB30:AB872)</f>
        <v>2</v>
      </c>
      <c r="E25" s="2241" t="s">
        <v>2760</v>
      </c>
      <c r="F25" s="319"/>
      <c r="G25" s="2258"/>
      <c r="H25" s="2258"/>
      <c r="I25" s="2259">
        <f>J25+K25+L25</f>
        <v>0.7</v>
      </c>
      <c r="J25" s="2259">
        <f>R25+Q25+P25+O25+N25+M25</f>
        <v>0.7</v>
      </c>
      <c r="K25" s="2259">
        <f>SUMIF(C30:C872,"=прир",K30:K872)</f>
        <v>0</v>
      </c>
      <c r="L25" s="2259">
        <f>SUMIF(C30:C872,"=прир",L30:L872)</f>
        <v>0</v>
      </c>
      <c r="M25" s="2259">
        <f>SUMIF(C30:C872,"=прир",M30:M872)</f>
        <v>0</v>
      </c>
      <c r="N25" s="2259">
        <f>SUMIF(C30:C872,"=прир",N30:N872)</f>
        <v>0</v>
      </c>
      <c r="O25" s="2260">
        <f>SUMIF(C30:C872,"=прир",O30:O872)</f>
        <v>0</v>
      </c>
      <c r="P25" s="2259">
        <f>SUMIF(C30:C872,"=прир",P30:P872)</f>
        <v>0</v>
      </c>
      <c r="Q25" s="2261">
        <f>SUMIF(C30:C872,"=прир",Q30:Q872)</f>
        <v>0</v>
      </c>
      <c r="R25" s="2262">
        <f>SUMIF(C30:C872,"=прир",R30:R872)</f>
        <v>0.7</v>
      </c>
      <c r="S25" s="404"/>
      <c r="T25" s="404"/>
      <c r="U25" s="404"/>
      <c r="V25" s="404"/>
      <c r="W25" s="404"/>
      <c r="X25" s="404"/>
      <c r="Y25" s="404"/>
      <c r="Z25" s="1610"/>
      <c r="AA25" s="2256"/>
      <c r="AB25" s="3"/>
      <c r="AC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SUMIF(C30:C873,"=ист",AB30:AB873)</f>
        <v>1</v>
      </c>
      <c r="E26" s="2241" t="s">
        <v>1628</v>
      </c>
      <c r="F26" s="319"/>
      <c r="G26" s="2258"/>
      <c r="H26" s="2258"/>
      <c r="I26" s="2259">
        <f>J26+K26+L26</f>
        <v>0.55000000000000004</v>
      </c>
      <c r="J26" s="2259">
        <f>R26+Q26+P26+O26+N26+M26</f>
        <v>0.55000000000000004</v>
      </c>
      <c r="K26" s="2259">
        <f>SUMIF(C30:C873,"=ист",K30:K873)</f>
        <v>0</v>
      </c>
      <c r="L26" s="2259">
        <f>SUMIF(C30:C873,"=ист",L30:L873)</f>
        <v>0</v>
      </c>
      <c r="M26" s="2259">
        <f>SUMIF(C30:C873,"=ист",M30:M873)</f>
        <v>0</v>
      </c>
      <c r="N26" s="2259">
        <f>SUMIF(C30:C873,"=ист",N30:N873)</f>
        <v>0.55000000000000004</v>
      </c>
      <c r="O26" s="2260">
        <f>SUMIF(C30:C873,"=ист",O30:O873)</f>
        <v>0</v>
      </c>
      <c r="P26" s="2259">
        <f>SUMIF(C30:C873,"=ист",P30:P873)</f>
        <v>0</v>
      </c>
      <c r="Q26" s="2261">
        <f>SUMIF(C30:C873,"=ист",Q30:Q873)</f>
        <v>0</v>
      </c>
      <c r="R26" s="2262">
        <f>SUMIF(C30:C873,"=ист",R30:R873)</f>
        <v>0</v>
      </c>
      <c r="S26" s="404"/>
      <c r="T26" s="404"/>
      <c r="U26" s="404"/>
      <c r="V26" s="404"/>
      <c r="W26" s="404"/>
      <c r="X26" s="404"/>
      <c r="Y26" s="404"/>
      <c r="Z26" s="1610"/>
      <c r="AA26" s="2256"/>
      <c r="AB26" s="3"/>
      <c r="AC26" s="3"/>
      <c r="AK26" s="2815" t="s">
        <v>11230</v>
      </c>
      <c r="AL26" s="2579">
        <f>SUMIFS(M30:M949,F30:F949,"6а",G30:G949,3)+SUMIFS(M30:M949,F30:F949,"6б",G30:G949,3)+SUMIFS(M30:M949,F30:F949,"б/к",G30:G949,3)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2256"/>
      <c r="AB27" s="3"/>
      <c r="AC27" s="3"/>
      <c r="AK27" s="2815" t="s">
        <v>11231</v>
      </c>
      <c r="AL27" s="2579">
        <f>SUMIFS(N30:N949,F30:F949,"6а",G30:G949,3)+SUMIFS(N30:N949,F30:F949,"6б",G30:G949,3)+SUMIFS(N30:N949,F30:F949,"б/к",G30:G949,3)</f>
        <v>0</v>
      </c>
      <c r="AM27" s="2817"/>
    </row>
    <row r="28" spans="1:39" ht="16" thickBot="1" x14ac:dyDescent="0.4">
      <c r="A28" s="450"/>
      <c r="B28" s="1267"/>
      <c r="C28" s="1267"/>
      <c r="D28" s="462"/>
      <c r="E28" s="451"/>
      <c r="F28" s="451"/>
      <c r="G28" s="451"/>
      <c r="H28" s="451"/>
      <c r="I28" s="2324">
        <f t="shared" ref="I28:R28" si="5">SUBTOTAL(9,I30:I377)</f>
        <v>317.33300000000003</v>
      </c>
      <c r="J28" s="2324">
        <f t="shared" si="5"/>
        <v>311.56800000000004</v>
      </c>
      <c r="K28" s="2324">
        <f t="shared" si="5"/>
        <v>4</v>
      </c>
      <c r="L28" s="2324">
        <f t="shared" si="5"/>
        <v>7.5300000000000011</v>
      </c>
      <c r="M28" s="2324">
        <f t="shared" si="5"/>
        <v>0</v>
      </c>
      <c r="N28" s="2324">
        <f t="shared" si="5"/>
        <v>189.08299999999991</v>
      </c>
      <c r="O28" s="2324">
        <f t="shared" si="5"/>
        <v>0</v>
      </c>
      <c r="P28" s="2324">
        <f t="shared" si="5"/>
        <v>0</v>
      </c>
      <c r="Q28" s="2324">
        <f t="shared" si="5"/>
        <v>132.27300000000005</v>
      </c>
      <c r="R28" s="2324">
        <f t="shared" si="5"/>
        <v>157.80700000000002</v>
      </c>
      <c r="S28" s="453"/>
      <c r="T28" s="614"/>
      <c r="U28" s="480"/>
      <c r="V28" s="480"/>
      <c r="W28" s="453"/>
      <c r="X28" s="614"/>
      <c r="Y28" s="453"/>
      <c r="Z28" s="1673"/>
      <c r="AA28" s="451"/>
      <c r="AB28" s="2334">
        <f>SUBTOTAL(9,AB30:AB377)</f>
        <v>144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SUMIFS(O30:O949,F30:F949,"6а",G30:G949,3)+SUMIFS(O30:O949,F30:F949,"6б",G30:G949,3)+SUMIFS(O30:O949,F30:F949,"б/к",G30:G949,3)</f>
        <v>0</v>
      </c>
      <c r="AM28" s="2817"/>
    </row>
    <row r="29" spans="1:39" x14ac:dyDescent="0.35">
      <c r="A29" s="180"/>
      <c r="B29" s="1032"/>
      <c r="C29" s="1032"/>
      <c r="D29" s="181"/>
      <c r="E29" s="476" t="s">
        <v>2871</v>
      </c>
      <c r="F29" s="104"/>
      <c r="G29" s="112"/>
      <c r="H29" s="112"/>
      <c r="I29" s="574"/>
      <c r="J29" s="574"/>
      <c r="K29" s="574"/>
      <c r="L29" s="574"/>
      <c r="M29" s="574"/>
      <c r="N29" s="574"/>
      <c r="O29" s="893"/>
      <c r="P29" s="574"/>
      <c r="Q29" s="889"/>
      <c r="R29" s="887"/>
      <c r="S29" s="112"/>
      <c r="T29" s="251"/>
      <c r="U29" s="251"/>
      <c r="V29" s="251"/>
      <c r="W29" s="112"/>
      <c r="X29" s="251"/>
      <c r="Y29" s="112"/>
      <c r="Z29" s="305"/>
      <c r="AD29" s="2578" t="s">
        <v>7180</v>
      </c>
      <c r="AE29" s="2579">
        <f>SUMIFS(M30:M889,F30:F889,3,G30:G889,3)+SUMIFS(N30:N889,F30:F889,3,G30:G889,3)+SUMIFS(O30:O889,F30:F889,3,G30:G889,3)+SUMIFS(P30:P889,F30:F889,3,G30:G889,3)+SUMIFS(Q30:Q889,F30:F889,3,G30:G889,3)+SUMIFS(R30:R889,F30:F889,3,G30:G889,3)</f>
        <v>0</v>
      </c>
      <c r="AF29" s="2579">
        <f>SUMIFS(M30:M889,F30:F889,4,G30:G889,3)+SUMIFS(N30:N889,F30:F889,4,G30:G889,3)+SUMIFS(O30:O889,F30:F889,4,G30:G889,3)+SUMIFS(P30:P889,F30:F889,4,G30:G889,3)+SUMIFS(Q30:Q889,F30:F889,4,G30:G889,3)+SUMIFS(R30:R889,F30:F889,4,G30:G889,3)</f>
        <v>0</v>
      </c>
      <c r="AG29" s="2579">
        <f>SUMIFS(M30:M889,F30:F889,5,G30:G889,3)+SUMIFS(N30:N889,F30:F889,5,G30:G889,3)+SUMIFS(O30:O889,F30:F889,5,G30:G889,3)+SUMIFS(P30:P889,F30:F889,5,G30:G889,3)+SUMIFS(Q30:Q889,F30:F889,5,G30:G889,3)+SUMIFS(R30:R889,F30:F889,5,G30:G889,3)</f>
        <v>0</v>
      </c>
      <c r="AH29" s="2579">
        <f>SUMIFS(M30:M889,F30:F889,"6а",G30:G889,3)+SUMIFS(N30:N889,F30:F889,"6а",G30:G889,3)+SUMIFS(O30:O889,F30:F889,"6а",G30:G889,3)+SUMIFS(P30:P889,F30:F889,"6а",G30:G889,3)+SUMIFS(Q30:Q889,F30:F889,"6а",G30:G889,3)+SUMIFS(R30:R889,F30:F889,"6а",G30:G889,3)</f>
        <v>0</v>
      </c>
      <c r="AI29" s="2579">
        <f>SUMIFS(M30:M889,F30:F889,"6б",G30:G889,3)+SUMIFS(N30:N889,F30:F889,"6б",G30:G889,3)+SUMIFS(O30:O889,F30:F889,"6б",G30:G889,3)+SUMIFS(P30:P889,F30:F889,"6б",G30:G889,3)+SUMIFS(Q30:Q889,F30:F889,"6б",G30:G889,3)+SUMIFS(R30:R889,F30:F889,"6б",G30:G889,3)</f>
        <v>0</v>
      </c>
      <c r="AJ29" s="2580">
        <f>SUMIFS(M30:M889,F30:F889,"б/к",G30:G889,3)+SUMIFS(N30:N889,F30:F889,"б/к",G30:G889,3)+SUMIFS(O30:O889,F30:F889,"б/к",G30:G889,3)+SUMIFS(P30:P889,F30:F889,"б/к",G30:G889,3)+SUMIFS(Q30:Q889,F30:F889,"б/к",G30:G889,3)+SUMIFS(R30:R889,F30:F889,"б/к",G30:G889,3)</f>
        <v>0</v>
      </c>
      <c r="AK29" s="2815" t="s">
        <v>11233</v>
      </c>
      <c r="AL29" s="2579">
        <f>SUMIFS(P30:P949,F30:F949,"6а",G30:G949,3)+SUMIFS(Q30:Q949,F30:F949,"6а",G30:G949,3)+SUMIFS(P30:P949,F30:F949,"6б",G30:G949,3)+SUMIFS(Q30:Q949,F30:F949,"6б",G30:G949,3)+SUMIFS(P30:P949,F30:F949,"б/к",G30:G949,3)+SUMIFS(Q30:Q949,F30:F949,"б/к",G30:G949,3)</f>
        <v>0</v>
      </c>
      <c r="AM29" s="2817"/>
    </row>
    <row r="30" spans="1:39" ht="30" x14ac:dyDescent="0.35">
      <c r="A30" s="1593">
        <v>1</v>
      </c>
      <c r="B30" s="1594">
        <v>10376</v>
      </c>
      <c r="C30" s="1594"/>
      <c r="D30" s="1594" t="s">
        <v>3269</v>
      </c>
      <c r="E30" s="308" t="s">
        <v>3347</v>
      </c>
      <c r="F30" s="2568"/>
      <c r="G30" s="2414" t="s">
        <v>191</v>
      </c>
      <c r="H30" s="2414" t="s">
        <v>191</v>
      </c>
      <c r="I30" s="575">
        <f>J30+K30+L30</f>
        <v>17.440000000000001</v>
      </c>
      <c r="J30" s="575">
        <f>SUM(M30:R30)</f>
        <v>15.440000000000001</v>
      </c>
      <c r="K30" s="575">
        <f>SUM(K31:K33)</f>
        <v>2</v>
      </c>
      <c r="L30" s="575"/>
      <c r="M30" s="575"/>
      <c r="N30" s="575">
        <f>SUM(N31:N33)</f>
        <v>8.3379999999999992</v>
      </c>
      <c r="O30" s="894"/>
      <c r="P30" s="575"/>
      <c r="Q30" s="890">
        <f>SUM(Q31:Q33)</f>
        <v>7.1020000000000021</v>
      </c>
      <c r="R30" s="1801"/>
      <c r="S30" s="113"/>
      <c r="T30" s="253"/>
      <c r="U30" s="253"/>
      <c r="V30" s="253"/>
      <c r="W30" s="113">
        <v>20</v>
      </c>
      <c r="X30" s="253">
        <v>281.3</v>
      </c>
      <c r="Y30" s="113">
        <v>1</v>
      </c>
      <c r="Z30" s="311">
        <v>12</v>
      </c>
      <c r="AB30" s="2">
        <v>1</v>
      </c>
      <c r="AD30" s="2578" t="s">
        <v>7181</v>
      </c>
      <c r="AE30" s="2579">
        <f>SUMIFS(M30:M889,F30:F889,3,G30:G889,4)+SUMIFS(N30:N889,F30:F889,3,G30:G889,4)+SUMIFS(O30:O889,F30:F889,3,G30:G889,4)+SUMIFS(P30:P889,F30:F889,3,G30:G889,4)+SUMIFS(Q30:Q889,F30:F889,3,G30:G889,4)+SUMIFS(R30:R889,F30:F889,3,G30:G889,4)</f>
        <v>0</v>
      </c>
      <c r="AF30" s="2579">
        <f>SUMIFS(M30:M889,F30:F889,4,G30:G889,4)+SUMIFS(N30:N889,F30:F889,4,G30:G889,4)+SUMIFS(O30:O889,F30:F889,4,G30:G889,4)+SUMIFS(P30:P889,F30:F889,4,G30:G889,4)+SUMIFS(Q30:Q889,F30:F889,4,G30:G889,4)+SUMIFS(R30:R889,F30:F889,4,G30:G889,4)</f>
        <v>71.438000000000002</v>
      </c>
      <c r="AG30" s="2579">
        <f>SUMIFS(M30:M889,F30:F889,5,G30:G889,4)+SUMIFS(N30:N889,F30:F889,5,G30:G889,4)+SUMIFS(O30:O889,F30:F889,5,G30:G889,4)+SUMIFS(P30:P889,F30:F889,5,G30:G889,4)+SUMIFS(Q30:Q889,F30:F889,5,G30:G889,4)+SUMIFS(R30:R889,F30:F889,5,G30:G889,4)</f>
        <v>0</v>
      </c>
      <c r="AH30" s="2579">
        <f>SUMIFS(M30:M889,F30:F889,"6а",G30:G889,4)+SUMIFS(N30:N889,F30:F889,"6а",G30:G889,4)+SUMIFS(O30:O889,F30:F889,"6а",G30:G889,4)+SUMIFS(P30:P889,F30:F889,"6а",G30:G889,4)+SUMIFS(Q30:Q889,F30:F889,"6а",G30:G889,4)+SUMIFS(R30:R889,F30:F889,"6а",G30:G889,4)</f>
        <v>0</v>
      </c>
      <c r="AI30" s="2579">
        <f>SUMIFS(M30:M889,F30:F889,"6б",G30:G889,4)+SUMIFS(N30:N889,F30:F889,"6б",G30:G889,4)+SUMIFS(O30:O889,F30:F889,"6б",G30:G889,4)+SUMIFS(P30:P889,F30:F889,"6б",G30:G889,4)+SUMIFS(Q30:Q889,F30:F889,"6б",G30:G889,4)+SUMIFS(R30:R889,F30:F889,"6б",G30:G889,4)</f>
        <v>0</v>
      </c>
      <c r="AJ30" s="2580">
        <f>SUMIFS(M30:M889,F30:F889,"б/к",G30:G889,4)+SUMIFS(N30:N889,F30:F889,"б/к",G30:G889,4)+SUMIFS(O30:O889,F30:F889,"б/к",G30:G889,4)+SUMIFS(P30:P889,F30:F889,"б/к",G30:G889,4)+SUMIFS(Q30:Q889,F30:F889,"б/к",G30:G889,4)+SUMIFS(R30:R889,F30:F889,"б/к",G30:G889,4)</f>
        <v>0</v>
      </c>
      <c r="AK30" s="2815" t="s">
        <v>910</v>
      </c>
      <c r="AL30" s="2579">
        <f>SUMIFS(R30:R949,F30:F949,"6а",G30:G949,3)+SUMIFS(R30:R949,F30:F949,"6б",G30:G949,3)+SUMIFS(R30:R949,F30:F949,"б/к",G30:G949,3)</f>
        <v>0</v>
      </c>
      <c r="AM30" s="2817"/>
    </row>
    <row r="31" spans="1:39" ht="46.5" x14ac:dyDescent="0.35">
      <c r="A31" s="1580"/>
      <c r="B31" s="1594">
        <v>10376</v>
      </c>
      <c r="C31" s="1594"/>
      <c r="D31" s="368"/>
      <c r="E31" s="270" t="s">
        <v>9882</v>
      </c>
      <c r="F31" s="93">
        <v>4</v>
      </c>
      <c r="G31" s="2195">
        <v>4</v>
      </c>
      <c r="H31" s="2195" t="s">
        <v>191</v>
      </c>
      <c r="I31" s="576"/>
      <c r="J31" s="576"/>
      <c r="K31" s="576">
        <v>2</v>
      </c>
      <c r="L31" s="576"/>
      <c r="M31" s="576"/>
      <c r="N31" s="576"/>
      <c r="O31" s="895"/>
      <c r="P31" s="576"/>
      <c r="Q31" s="891"/>
      <c r="R31" s="1802"/>
      <c r="S31" s="113"/>
      <c r="T31" s="253"/>
      <c r="U31" s="253"/>
      <c r="V31" s="253"/>
      <c r="W31" s="113"/>
      <c r="X31" s="253"/>
      <c r="Y31" s="113"/>
      <c r="Z31" s="311"/>
      <c r="AD31" s="2581" t="s">
        <v>7182</v>
      </c>
      <c r="AE31" s="2582">
        <f>SUMIFS(M30:M889,F30:F889,3,G30:G889,5)+SUMIFS(N30:N889,F30:F889,3,G30:G889,5)+SUMIFS(O30:O889,F30:F889,3,G30:G889,5)+SUMIFS(P30:P889,F30:F889,3,G30:G889,5)+SUMIFS(Q30:Q889,F30:F889,3,G30:G889,5)+SUMIFS(R30:R889,F30:F889,3,G30:G889,5)</f>
        <v>0</v>
      </c>
      <c r="AF31" s="2582">
        <f>SUMIFS(M30:M889,F30:F889,4,G30:G889,5)+SUMIFS(N30:N889,F30:F889,4,G30:G889,5)+SUMIFS(O30:O889,F30:F889,4,G30:G889,5)+SUMIFS(P30:P889,F30:F889,4,G30:G889,5)+SUMIFS(Q30:Q889,F30:F889,4,G30:G889,5)+SUMIFS(R30:R889,F30:F889,4,G30:G889,5)</f>
        <v>56.793000000000006</v>
      </c>
      <c r="AG31" s="2582">
        <f>SUMIFS(M30:M889,F30:F889,5,G30:G889,5)+SUMIFS(N30:N889,F30:F889,5,G30:G889,5)+SUMIFS(O30:O889,F30:F889,5,G30:G889,5)+SUMIFS(P30:P889,F30:F889,5,G30:G889,5)+SUMIFS(Q30:Q889,F30:F889,5,G30:G889,5)+SUMIFS(R30:R889,F30:F889,5,G30:G889,5)</f>
        <v>83.524000000000001</v>
      </c>
      <c r="AH31" s="2582">
        <f>SUMIFS(M30:M889,F30:F889,"6а",G30:G889,5)+SUMIFS(N30:N889,F30:F889,"6а",G30:G889,5)+SUMIFS(O30:O889,F30:F889,"6а",G30:G889,5)+SUMIFS(P30:P889,F30:F889,"6а",G30:G889,5)+SUMIFS(Q30:Q889,F30:F889,"6а",G30:G889,5)+SUMIFS(R30:R889,F30:F889,"6а",G30:G889,5)</f>
        <v>15.055999999999997</v>
      </c>
      <c r="AI31" s="2582">
        <f>SUMIFS(M30:M889,F30:F889,"6б",G30:G889,5)+SUMIFS(N30:N889,F30:F889,"6б",G30:G889,5)+SUMIFS(O30:O889,F30:F889,"6б",G30:G889,5)+SUMIFS(P30:P889,F30:F889,"6б",G30:G889,5)+SUMIFS(Q30:Q889,F30:F889,"6б",G30:G889,5)+SUMIFS(R30:R889,F30:F889,"6б",G30:G889,5)</f>
        <v>14.162000000000001</v>
      </c>
      <c r="AJ31" s="2583">
        <f>SUMIFS(M30:M889,F30:F889,"б/к",G30:G889,5)+SUMIFS(N30:N889,F30:F889,"б/к",G30:G889,5)+SUMIFS(O30:O889,F30:F889,"б/к",G30:G889,5)+SUMIFS(P30:P889,F30:F889,"б/к",G30:G889,5)+SUMIFS(Q30:Q889,F30:F889,"б/к",G30:G889,5)+SUMIFS(R30:R889,F30:F889,"б/к",G30:G889,5)</f>
        <v>70.59499999999997</v>
      </c>
      <c r="AK31" s="2815"/>
      <c r="AL31" s="2579"/>
      <c r="AM31" s="2817"/>
    </row>
    <row r="32" spans="1:39" x14ac:dyDescent="0.35">
      <c r="A32" s="1580"/>
      <c r="B32" s="1594">
        <v>10376</v>
      </c>
      <c r="C32" s="1594"/>
      <c r="D32" s="368"/>
      <c r="E32" s="270" t="s">
        <v>3345</v>
      </c>
      <c r="F32" s="2568">
        <v>4</v>
      </c>
      <c r="G32" s="2414">
        <v>4</v>
      </c>
      <c r="H32" s="2414">
        <v>6</v>
      </c>
      <c r="I32" s="576"/>
      <c r="J32" s="576"/>
      <c r="K32" s="576"/>
      <c r="L32" s="576"/>
      <c r="M32" s="576"/>
      <c r="N32" s="576">
        <f>10.338-2</f>
        <v>8.3379999999999992</v>
      </c>
      <c r="O32" s="895"/>
      <c r="P32" s="576"/>
      <c r="Q32" s="891"/>
      <c r="R32" s="1802"/>
      <c r="S32" s="113"/>
      <c r="T32" s="253"/>
      <c r="U32" s="253"/>
      <c r="V32" s="253"/>
      <c r="W32" s="113"/>
      <c r="X32" s="253"/>
      <c r="Y32" s="113"/>
      <c r="Z32" s="311"/>
      <c r="AD32"/>
      <c r="AE32" s="1572"/>
      <c r="AF32"/>
      <c r="AG32"/>
      <c r="AH32"/>
      <c r="AI32" s="2584" t="s">
        <v>7183</v>
      </c>
      <c r="AJ32" s="2585">
        <f>SUMIF(AB30:AB889,"=1",J30:J889)</f>
        <v>311.56800000000004</v>
      </c>
      <c r="AK32" s="2818" t="s">
        <v>11235</v>
      </c>
      <c r="AL32" s="2821">
        <f>AL34+AL40+AL46</f>
        <v>71.438000000000002</v>
      </c>
      <c r="AM32" s="2820">
        <f>AL32-J19</f>
        <v>0</v>
      </c>
    </row>
    <row r="33" spans="1:39" x14ac:dyDescent="0.35">
      <c r="A33" s="1580"/>
      <c r="B33" s="1594">
        <v>10376</v>
      </c>
      <c r="C33" s="1594"/>
      <c r="D33" s="368"/>
      <c r="E33" s="900" t="s">
        <v>3346</v>
      </c>
      <c r="F33" s="2568">
        <v>4</v>
      </c>
      <c r="G33" s="2414">
        <v>4</v>
      </c>
      <c r="H33" s="2414">
        <v>6</v>
      </c>
      <c r="I33" s="576"/>
      <c r="J33" s="576"/>
      <c r="K33" s="576"/>
      <c r="L33" s="576"/>
      <c r="M33" s="576"/>
      <c r="N33" s="576"/>
      <c r="O33" s="895"/>
      <c r="P33" s="576"/>
      <c r="Q33" s="891">
        <f>17.44-10.338</f>
        <v>7.1020000000000021</v>
      </c>
      <c r="R33" s="1802"/>
      <c r="S33" s="113"/>
      <c r="T33" s="253"/>
      <c r="U33" s="253"/>
      <c r="V33" s="253"/>
      <c r="W33" s="113"/>
      <c r="X33" s="253"/>
      <c r="Y33" s="113"/>
      <c r="Z33" s="311"/>
      <c r="AA33" s="2" t="s">
        <v>2016</v>
      </c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ht="30.5" x14ac:dyDescent="0.35">
      <c r="A34" s="370">
        <v>2</v>
      </c>
      <c r="B34" s="365">
        <v>10376</v>
      </c>
      <c r="C34" s="365"/>
      <c r="D34" s="2463" t="s">
        <v>4212</v>
      </c>
      <c r="E34" s="269" t="s">
        <v>7610</v>
      </c>
      <c r="F34" s="93">
        <v>5</v>
      </c>
      <c r="G34" s="2195">
        <v>5</v>
      </c>
      <c r="H34" s="2414">
        <v>6</v>
      </c>
      <c r="I34" s="575">
        <f>J34+K34+L34</f>
        <v>0.9</v>
      </c>
      <c r="J34" s="575">
        <f>SUM(M34:R34)</f>
        <v>0.9</v>
      </c>
      <c r="K34" s="577"/>
      <c r="L34" s="577"/>
      <c r="M34" s="577"/>
      <c r="N34" s="577"/>
      <c r="O34" s="896"/>
      <c r="P34" s="577"/>
      <c r="Q34" s="891">
        <v>0.9</v>
      </c>
      <c r="R34" s="1802"/>
      <c r="S34" s="113"/>
      <c r="T34" s="253"/>
      <c r="U34" s="253"/>
      <c r="V34" s="253"/>
      <c r="W34" s="113"/>
      <c r="X34" s="253"/>
      <c r="Y34" s="113"/>
      <c r="Z34" s="311"/>
      <c r="AB34" s="2">
        <v>1</v>
      </c>
      <c r="AG34" s="2461"/>
      <c r="AH34" s="2462"/>
      <c r="AK34" s="2818" t="s">
        <v>7184</v>
      </c>
      <c r="AL34" s="2821">
        <f>AL35+AL36+AL37+AL38+AL39</f>
        <v>71.438000000000002</v>
      </c>
      <c r="AM34" s="2820">
        <f>AL34-AF30</f>
        <v>0</v>
      </c>
    </row>
    <row r="35" spans="1:39" ht="30.5" x14ac:dyDescent="0.35">
      <c r="A35" s="370">
        <v>3</v>
      </c>
      <c r="B35" s="365">
        <v>10376</v>
      </c>
      <c r="C35" s="365"/>
      <c r="D35" s="2463" t="s">
        <v>4213</v>
      </c>
      <c r="E35" s="269" t="s">
        <v>9184</v>
      </c>
      <c r="F35" s="93">
        <v>5</v>
      </c>
      <c r="G35" s="2195">
        <v>5</v>
      </c>
      <c r="H35" s="2195">
        <v>6</v>
      </c>
      <c r="I35" s="577">
        <f>J35+K35+L35</f>
        <v>0.7</v>
      </c>
      <c r="J35" s="577">
        <f>SUM(M35:R35)</f>
        <v>0.7</v>
      </c>
      <c r="K35" s="577"/>
      <c r="L35" s="577"/>
      <c r="M35" s="577"/>
      <c r="N35" s="577">
        <v>0.7</v>
      </c>
      <c r="O35" s="896"/>
      <c r="P35" s="577"/>
      <c r="Q35" s="891"/>
      <c r="R35" s="1802"/>
      <c r="S35" s="113"/>
      <c r="T35" s="253"/>
      <c r="U35" s="253"/>
      <c r="V35" s="253"/>
      <c r="W35" s="113"/>
      <c r="X35" s="253"/>
      <c r="Y35" s="113"/>
      <c r="Z35" s="311"/>
      <c r="AB35" s="2">
        <v>1</v>
      </c>
      <c r="AG35" s="2461"/>
      <c r="AH35" s="68"/>
      <c r="AK35" s="2815" t="s">
        <v>11230</v>
      </c>
      <c r="AL35" s="2579">
        <f>SUMIFS(M30:M949,F30:F949,4,G30:G949,4)</f>
        <v>0</v>
      </c>
      <c r="AM35" s="2817"/>
    </row>
    <row r="36" spans="1:39" ht="45.5" x14ac:dyDescent="0.35">
      <c r="A36" s="370">
        <v>4</v>
      </c>
      <c r="B36" s="365">
        <v>10376</v>
      </c>
      <c r="C36" s="365"/>
      <c r="D36" s="2463" t="s">
        <v>4214</v>
      </c>
      <c r="E36" s="269" t="s">
        <v>11363</v>
      </c>
      <c r="F36" s="93">
        <v>5</v>
      </c>
      <c r="G36" s="2195">
        <v>5</v>
      </c>
      <c r="H36" s="2195">
        <v>6</v>
      </c>
      <c r="I36" s="577">
        <f>J36+K36+L36</f>
        <v>1</v>
      </c>
      <c r="J36" s="577">
        <f>SUM(M36:R36)</f>
        <v>1</v>
      </c>
      <c r="K36" s="577"/>
      <c r="L36" s="577"/>
      <c r="M36" s="577"/>
      <c r="N36" s="577">
        <v>1</v>
      </c>
      <c r="O36" s="896"/>
      <c r="P36" s="577"/>
      <c r="Q36" s="891"/>
      <c r="R36" s="1802"/>
      <c r="S36" s="113"/>
      <c r="T36" s="253"/>
      <c r="U36" s="253"/>
      <c r="V36" s="253"/>
      <c r="W36" s="113"/>
      <c r="X36" s="253"/>
      <c r="Y36" s="113"/>
      <c r="Z36" s="311"/>
      <c r="AB36" s="2">
        <v>1</v>
      </c>
      <c r="AG36" s="2461"/>
      <c r="AH36" s="68"/>
      <c r="AK36" s="2815" t="s">
        <v>11231</v>
      </c>
      <c r="AL36" s="2579">
        <f>SUMIFS(N30:N949,F30:F949,4,G30:G949,4)</f>
        <v>64.335999999999999</v>
      </c>
      <c r="AM36" s="2817"/>
    </row>
    <row r="37" spans="1:39" ht="30" x14ac:dyDescent="0.35">
      <c r="A37" s="370">
        <v>5</v>
      </c>
      <c r="B37" s="365">
        <v>10377</v>
      </c>
      <c r="C37" s="365"/>
      <c r="D37" s="365" t="s">
        <v>218</v>
      </c>
      <c r="E37" s="269" t="s">
        <v>7105</v>
      </c>
      <c r="F37" s="93"/>
      <c r="G37" s="2195" t="s">
        <v>191</v>
      </c>
      <c r="H37" s="2195" t="s">
        <v>191</v>
      </c>
      <c r="I37" s="575">
        <f>J37+K37+L37</f>
        <v>19.452000000000002</v>
      </c>
      <c r="J37" s="575">
        <f>SUM(M37:R37)</f>
        <v>17.915000000000003</v>
      </c>
      <c r="K37" s="577"/>
      <c r="L37" s="577">
        <f>SUM(L38:L40)</f>
        <v>1.536999999999999</v>
      </c>
      <c r="M37" s="577"/>
      <c r="N37" s="577">
        <f>SUM(N38:N40)</f>
        <v>17.915000000000003</v>
      </c>
      <c r="O37" s="896"/>
      <c r="P37" s="577"/>
      <c r="Q37" s="891"/>
      <c r="R37" s="1802"/>
      <c r="S37" s="113">
        <v>2</v>
      </c>
      <c r="T37" s="253">
        <f>75.7+45.4</f>
        <v>121.1</v>
      </c>
      <c r="U37" s="253"/>
      <c r="V37" s="253"/>
      <c r="W37" s="113">
        <v>34</v>
      </c>
      <c r="X37" s="253">
        <v>473.21</v>
      </c>
      <c r="Y37" s="113">
        <v>7</v>
      </c>
      <c r="Z37" s="311">
        <v>81</v>
      </c>
      <c r="AB37" s="2">
        <v>1</v>
      </c>
      <c r="AG37" s="2461"/>
      <c r="AH37" s="68"/>
      <c r="AK37" s="2815" t="s">
        <v>11232</v>
      </c>
      <c r="AL37" s="2579">
        <f>SUMIFS(O30:O949,F30:F949,4,G30:G949,4)</f>
        <v>0</v>
      </c>
      <c r="AM37" s="2817"/>
    </row>
    <row r="38" spans="1:39" x14ac:dyDescent="0.35">
      <c r="A38" s="1580"/>
      <c r="B38" s="365">
        <v>10377</v>
      </c>
      <c r="C38" s="365"/>
      <c r="D38" s="368"/>
      <c r="E38" s="270" t="s">
        <v>3348</v>
      </c>
      <c r="F38" s="93">
        <v>4</v>
      </c>
      <c r="G38" s="2195">
        <v>4</v>
      </c>
      <c r="H38" s="2195">
        <v>6</v>
      </c>
      <c r="I38" s="1097"/>
      <c r="J38" s="1097"/>
      <c r="K38" s="576"/>
      <c r="L38" s="576"/>
      <c r="M38" s="576"/>
      <c r="N38" s="576">
        <v>15.888999999999999</v>
      </c>
      <c r="O38" s="895"/>
      <c r="P38" s="576"/>
      <c r="Q38" s="891"/>
      <c r="R38" s="1802"/>
      <c r="S38" s="113"/>
      <c r="T38" s="253"/>
      <c r="U38" s="253"/>
      <c r="V38" s="253"/>
      <c r="W38" s="113"/>
      <c r="X38" s="253"/>
      <c r="Y38" s="113"/>
      <c r="Z38" s="311"/>
      <c r="AA38" s="2" t="s">
        <v>721</v>
      </c>
      <c r="AG38" s="2461"/>
      <c r="AH38" s="68"/>
      <c r="AK38" s="2815" t="s">
        <v>11233</v>
      </c>
      <c r="AL38" s="2579">
        <f>SUMIFS(P30:P949,F30:F949,4,G30:G949,4)+SUMIFS(Q30:Q949,F30:F949,4,G30:G949,4)</f>
        <v>7.1020000000000021</v>
      </c>
      <c r="AM38" s="2817"/>
    </row>
    <row r="39" spans="1:39" ht="31" x14ac:dyDescent="0.35">
      <c r="A39" s="1580"/>
      <c r="B39" s="365">
        <v>10377</v>
      </c>
      <c r="C39" s="365"/>
      <c r="D39" s="368"/>
      <c r="E39" s="270" t="s">
        <v>11364</v>
      </c>
      <c r="F39" s="93">
        <v>4</v>
      </c>
      <c r="G39" s="2195">
        <v>4</v>
      </c>
      <c r="H39" s="2195" t="s">
        <v>191</v>
      </c>
      <c r="I39" s="576"/>
      <c r="J39" s="576"/>
      <c r="K39" s="576"/>
      <c r="L39" s="576">
        <f>17.426-15.889</f>
        <v>1.536999999999999</v>
      </c>
      <c r="M39" s="576"/>
      <c r="N39" s="576"/>
      <c r="O39" s="895"/>
      <c r="P39" s="576"/>
      <c r="Q39" s="891"/>
      <c r="R39" s="1802"/>
      <c r="S39" s="113"/>
      <c r="T39" s="253"/>
      <c r="U39" s="253"/>
      <c r="V39" s="253"/>
      <c r="W39" s="113"/>
      <c r="X39" s="253"/>
      <c r="Y39" s="113"/>
      <c r="Z39" s="311"/>
      <c r="AG39" s="2461"/>
      <c r="AH39" s="68"/>
      <c r="AK39" s="2815" t="s">
        <v>910</v>
      </c>
      <c r="AL39" s="2579">
        <f>SUMIFS(R30:R949,F30:F949,4,G30:G949,4)</f>
        <v>0</v>
      </c>
      <c r="AM39" s="2817"/>
    </row>
    <row r="40" spans="1:39" x14ac:dyDescent="0.35">
      <c r="A40" s="1580"/>
      <c r="B40" s="365">
        <v>10377</v>
      </c>
      <c r="C40" s="365"/>
      <c r="D40" s="368"/>
      <c r="E40" s="270" t="s">
        <v>3349</v>
      </c>
      <c r="F40" s="93">
        <v>4</v>
      </c>
      <c r="G40" s="2195">
        <v>4</v>
      </c>
      <c r="H40" s="2195">
        <v>6</v>
      </c>
      <c r="I40" s="576"/>
      <c r="J40" s="576"/>
      <c r="K40" s="576"/>
      <c r="L40" s="576"/>
      <c r="M40" s="576"/>
      <c r="N40" s="576">
        <f>19.452-17.426</f>
        <v>2.0260000000000034</v>
      </c>
      <c r="O40" s="895"/>
      <c r="P40" s="576"/>
      <c r="Q40" s="891"/>
      <c r="R40" s="1802"/>
      <c r="S40" s="113"/>
      <c r="T40" s="253"/>
      <c r="U40" s="253"/>
      <c r="V40" s="253"/>
      <c r="W40" s="113"/>
      <c r="X40" s="253"/>
      <c r="Y40" s="113"/>
      <c r="Z40" s="311"/>
      <c r="AG40" s="2461"/>
      <c r="AH40" s="68"/>
      <c r="AK40" s="2818" t="s">
        <v>7185</v>
      </c>
      <c r="AL40" s="2821">
        <f>AL41+AL42+AL43+AL44+AL45</f>
        <v>0</v>
      </c>
      <c r="AM40" s="2820">
        <f>AL40-AG30</f>
        <v>0</v>
      </c>
    </row>
    <row r="41" spans="1:39" ht="30.5" x14ac:dyDescent="0.35">
      <c r="A41" s="370">
        <v>6</v>
      </c>
      <c r="B41" s="365">
        <v>10377</v>
      </c>
      <c r="C41" s="365"/>
      <c r="D41" s="2463" t="s">
        <v>4215</v>
      </c>
      <c r="E41" s="269" t="s">
        <v>11187</v>
      </c>
      <c r="F41" s="93">
        <v>4</v>
      </c>
      <c r="G41" s="2195">
        <v>5</v>
      </c>
      <c r="H41" s="2414">
        <v>6</v>
      </c>
      <c r="I41" s="577">
        <f>J41+K41+L41</f>
        <v>2.5579999999999998</v>
      </c>
      <c r="J41" s="577">
        <f>SUM(M41:R41)</f>
        <v>2.5579999999999998</v>
      </c>
      <c r="K41" s="577"/>
      <c r="L41" s="577"/>
      <c r="M41" s="577"/>
      <c r="N41" s="577"/>
      <c r="O41" s="896"/>
      <c r="P41" s="577"/>
      <c r="Q41" s="891">
        <v>2.5579999999999998</v>
      </c>
      <c r="R41" s="1802"/>
      <c r="S41" s="113"/>
      <c r="T41" s="253"/>
      <c r="U41" s="253"/>
      <c r="V41" s="253"/>
      <c r="W41" s="113">
        <v>2</v>
      </c>
      <c r="X41" s="253">
        <v>30.05</v>
      </c>
      <c r="Y41" s="2678"/>
      <c r="Z41" s="2679"/>
      <c r="AB41" s="2">
        <v>1</v>
      </c>
      <c r="AG41" s="2461"/>
      <c r="AH41" s="68"/>
      <c r="AK41" s="2815" t="s">
        <v>11230</v>
      </c>
      <c r="AL41" s="2579">
        <f>SUMIFS(M30:M949,F30:F949,5,G30:G949,4)</f>
        <v>0</v>
      </c>
      <c r="AM41" s="2817"/>
    </row>
    <row r="42" spans="1:39" ht="45.5" x14ac:dyDescent="0.35">
      <c r="A42" s="370">
        <v>7</v>
      </c>
      <c r="B42" s="365">
        <v>10377</v>
      </c>
      <c r="C42" s="365" t="s">
        <v>1656</v>
      </c>
      <c r="D42" s="2463" t="s">
        <v>4216</v>
      </c>
      <c r="E42" s="269" t="s">
        <v>9766</v>
      </c>
      <c r="F42" s="93" t="s">
        <v>664</v>
      </c>
      <c r="G42" s="2195">
        <v>5</v>
      </c>
      <c r="H42" s="2195">
        <v>6</v>
      </c>
      <c r="I42" s="577">
        <f>J42+K42+L42</f>
        <v>0.9</v>
      </c>
      <c r="J42" s="577">
        <f>SUM(M42:R42)</f>
        <v>0.9</v>
      </c>
      <c r="K42" s="577"/>
      <c r="L42" s="577"/>
      <c r="M42" s="577"/>
      <c r="N42" s="577"/>
      <c r="O42" s="896"/>
      <c r="P42" s="577"/>
      <c r="Q42" s="891"/>
      <c r="R42" s="1802">
        <v>0.9</v>
      </c>
      <c r="S42" s="113"/>
      <c r="T42" s="253"/>
      <c r="U42" s="253"/>
      <c r="V42" s="253"/>
      <c r="W42" s="113"/>
      <c r="X42" s="253"/>
      <c r="Y42" s="113"/>
      <c r="Z42" s="311"/>
      <c r="AB42" s="2">
        <v>1</v>
      </c>
      <c r="AG42" s="2461"/>
      <c r="AH42" s="68"/>
      <c r="AK42" s="2815" t="s">
        <v>11231</v>
      </c>
      <c r="AL42" s="2579">
        <f>SUMIFS(N30:N949,F30:F949,5,G30:G949,4)</f>
        <v>0</v>
      </c>
      <c r="AM42" s="2817"/>
    </row>
    <row r="43" spans="1:39" ht="30.5" x14ac:dyDescent="0.35">
      <c r="A43" s="370">
        <v>8</v>
      </c>
      <c r="B43" s="365">
        <v>10377</v>
      </c>
      <c r="C43" s="365"/>
      <c r="D43" s="2463" t="s">
        <v>4217</v>
      </c>
      <c r="E43" s="269" t="s">
        <v>11365</v>
      </c>
      <c r="F43" s="93" t="s">
        <v>664</v>
      </c>
      <c r="G43" s="2195">
        <v>5</v>
      </c>
      <c r="H43" s="2195">
        <v>6</v>
      </c>
      <c r="I43" s="577">
        <f>J43+K43+L43</f>
        <v>0.5</v>
      </c>
      <c r="J43" s="577">
        <f>SUM(M43:R43)</f>
        <v>0.5</v>
      </c>
      <c r="K43" s="577"/>
      <c r="L43" s="577"/>
      <c r="M43" s="577"/>
      <c r="N43" s="577"/>
      <c r="O43" s="896"/>
      <c r="P43" s="577"/>
      <c r="Q43" s="891"/>
      <c r="R43" s="1802">
        <v>0.5</v>
      </c>
      <c r="S43" s="113"/>
      <c r="T43" s="253"/>
      <c r="U43" s="253"/>
      <c r="V43" s="253"/>
      <c r="W43" s="113"/>
      <c r="X43" s="253"/>
      <c r="Y43" s="113"/>
      <c r="Z43" s="311"/>
      <c r="AB43" s="2">
        <v>1</v>
      </c>
      <c r="AG43" s="2461"/>
      <c r="AH43" s="68"/>
      <c r="AK43" s="2815" t="s">
        <v>11232</v>
      </c>
      <c r="AL43" s="2579">
        <f>SUMIFS(O30:O949,F30:F949,5,G30:G949,4)</f>
        <v>0</v>
      </c>
      <c r="AM43" s="2817"/>
    </row>
    <row r="44" spans="1:39" ht="45" x14ac:dyDescent="0.35">
      <c r="A44" s="370">
        <v>9</v>
      </c>
      <c r="B44" s="693">
        <v>10377</v>
      </c>
      <c r="C44" s="365" t="s">
        <v>1656</v>
      </c>
      <c r="D44" s="2463" t="s">
        <v>4218</v>
      </c>
      <c r="E44" s="2187" t="s">
        <v>11366</v>
      </c>
      <c r="F44" s="92" t="s">
        <v>664</v>
      </c>
      <c r="G44" s="92">
        <v>5</v>
      </c>
      <c r="H44" s="2195">
        <v>6</v>
      </c>
      <c r="I44" s="2102">
        <f>J44+K44+L44</f>
        <v>0.9</v>
      </c>
      <c r="J44" s="2102">
        <f>SUM(M44:R44)</f>
        <v>0.9</v>
      </c>
      <c r="K44" s="2088"/>
      <c r="L44" s="2088"/>
      <c r="M44" s="2088"/>
      <c r="N44" s="2088"/>
      <c r="O44" s="2088"/>
      <c r="P44" s="2088"/>
      <c r="Q44" s="2088"/>
      <c r="R44" s="906">
        <v>0.9</v>
      </c>
      <c r="S44" s="2101"/>
      <c r="T44" s="2101"/>
      <c r="U44" s="2101"/>
      <c r="V44" s="2101"/>
      <c r="W44" s="146"/>
      <c r="X44" s="146"/>
      <c r="Y44" s="146"/>
      <c r="Z44" s="146"/>
      <c r="AB44" s="2">
        <v>1</v>
      </c>
      <c r="AG44" s="2461"/>
      <c r="AH44" s="68"/>
      <c r="AK44" s="2815" t="s">
        <v>11233</v>
      </c>
      <c r="AL44" s="2579">
        <f>SUMIFS(P30:P949,F30:F949,5,G30:G949,4)+SUMIFS(Q30:Q949,F30:F949,5,G30:G949,4)</f>
        <v>0</v>
      </c>
      <c r="AM44" s="2817"/>
    </row>
    <row r="45" spans="1:39" ht="30.5" x14ac:dyDescent="0.35">
      <c r="A45" s="370">
        <v>10</v>
      </c>
      <c r="B45" s="365">
        <v>10377</v>
      </c>
      <c r="C45" s="365"/>
      <c r="D45" s="2463" t="s">
        <v>4219</v>
      </c>
      <c r="E45" s="269" t="s">
        <v>7611</v>
      </c>
      <c r="F45" s="93"/>
      <c r="G45" s="2195" t="s">
        <v>191</v>
      </c>
      <c r="H45" s="2414" t="s">
        <v>191</v>
      </c>
      <c r="I45" s="577">
        <f>J45+K45+L45</f>
        <v>5.2770000000000001</v>
      </c>
      <c r="J45" s="577">
        <f>SUM(M45:R45)</f>
        <v>5.2770000000000001</v>
      </c>
      <c r="K45" s="577"/>
      <c r="L45" s="577"/>
      <c r="M45" s="577"/>
      <c r="N45" s="577">
        <f>SUM(N46:N52)</f>
        <v>2.1919999999999997</v>
      </c>
      <c r="O45" s="896"/>
      <c r="P45" s="577"/>
      <c r="Q45" s="891">
        <f>SUM(Q46:Q52)</f>
        <v>2.4380000000000002</v>
      </c>
      <c r="R45" s="1802">
        <f>SUM(R46:R52)</f>
        <v>0.64700000000000024</v>
      </c>
      <c r="S45" s="113"/>
      <c r="T45" s="253"/>
      <c r="U45" s="253"/>
      <c r="V45" s="253"/>
      <c r="W45" s="113">
        <v>6</v>
      </c>
      <c r="X45" s="253">
        <v>77.599999999999994</v>
      </c>
      <c r="Y45" s="113"/>
      <c r="Z45" s="311"/>
      <c r="AA45" s="2" t="s">
        <v>720</v>
      </c>
      <c r="AB45" s="2">
        <v>1</v>
      </c>
      <c r="AG45" s="2461"/>
      <c r="AH45" s="68"/>
      <c r="AK45" s="2815" t="s">
        <v>910</v>
      </c>
      <c r="AL45" s="2579">
        <f>SUMIFS(R30:R949,F30:F949,5,G30:G949,4)</f>
        <v>0</v>
      </c>
      <c r="AM45" s="2817"/>
    </row>
    <row r="46" spans="1:39" x14ac:dyDescent="0.35">
      <c r="A46" s="370"/>
      <c r="B46" s="365"/>
      <c r="C46" s="365"/>
      <c r="D46" s="365"/>
      <c r="E46" s="393" t="s">
        <v>50</v>
      </c>
      <c r="F46" s="93">
        <v>5</v>
      </c>
      <c r="G46" s="2195">
        <v>5</v>
      </c>
      <c r="H46" s="2195">
        <v>6</v>
      </c>
      <c r="I46" s="576"/>
      <c r="J46" s="576"/>
      <c r="K46" s="576"/>
      <c r="L46" s="576"/>
      <c r="M46" s="576"/>
      <c r="N46" s="576">
        <v>0.01</v>
      </c>
      <c r="O46" s="2196"/>
      <c r="P46" s="576"/>
      <c r="Q46" s="1813"/>
      <c r="R46" s="1812"/>
      <c r="S46" s="113"/>
      <c r="T46" s="253"/>
      <c r="U46" s="253"/>
      <c r="V46" s="253"/>
      <c r="W46" s="113"/>
      <c r="X46" s="253"/>
      <c r="Y46" s="113"/>
      <c r="Z46" s="311"/>
      <c r="AG46" s="2461"/>
      <c r="AH46" s="68"/>
      <c r="AK46" s="2818" t="s">
        <v>11234</v>
      </c>
      <c r="AL46" s="2821">
        <f>AL47+AL48+AL49+AL50+AL51</f>
        <v>0</v>
      </c>
      <c r="AM46" s="2820">
        <f>AL46-AH30-AI30-AJ30</f>
        <v>0</v>
      </c>
    </row>
    <row r="47" spans="1:39" x14ac:dyDescent="0.35">
      <c r="A47" s="370"/>
      <c r="B47" s="365"/>
      <c r="C47" s="365"/>
      <c r="D47" s="365"/>
      <c r="E47" s="900" t="s">
        <v>51</v>
      </c>
      <c r="F47" s="93">
        <v>5</v>
      </c>
      <c r="G47" s="2195">
        <v>5</v>
      </c>
      <c r="H47" s="2414">
        <v>6</v>
      </c>
      <c r="I47" s="576"/>
      <c r="J47" s="576"/>
      <c r="K47" s="576"/>
      <c r="L47" s="576"/>
      <c r="M47" s="576"/>
      <c r="N47" s="576"/>
      <c r="O47" s="2196"/>
      <c r="P47" s="576"/>
      <c r="Q47" s="1813">
        <f>0.553-0.01</f>
        <v>0.54300000000000004</v>
      </c>
      <c r="R47" s="1812"/>
      <c r="S47" s="113"/>
      <c r="T47" s="253"/>
      <c r="U47" s="253"/>
      <c r="V47" s="253"/>
      <c r="W47" s="113"/>
      <c r="X47" s="253"/>
      <c r="Y47" s="113"/>
      <c r="Z47" s="311"/>
      <c r="AG47" s="2461"/>
      <c r="AH47" s="68"/>
      <c r="AK47" s="2815" t="s">
        <v>11230</v>
      </c>
      <c r="AL47" s="2579">
        <f>SUMIFS(M30:M949,F30:F949,"6а",G30:G949,4)+SUMIFS(M30:M949,F30:F949,"6б",G30:G949,4)+SUMIFS(M30:M949,F30:F949,"б/к",G30:G949,4)</f>
        <v>0</v>
      </c>
      <c r="AM47" s="2817"/>
    </row>
    <row r="48" spans="1:39" x14ac:dyDescent="0.35">
      <c r="A48" s="370"/>
      <c r="B48" s="365"/>
      <c r="C48" s="365"/>
      <c r="D48" s="365"/>
      <c r="E48" s="393" t="s">
        <v>52</v>
      </c>
      <c r="F48" s="93">
        <v>4</v>
      </c>
      <c r="G48" s="2195">
        <v>5</v>
      </c>
      <c r="H48" s="2195">
        <v>6</v>
      </c>
      <c r="I48" s="576"/>
      <c r="J48" s="576"/>
      <c r="K48" s="576"/>
      <c r="L48" s="576"/>
      <c r="M48" s="576"/>
      <c r="N48" s="576">
        <f>0.625-0.553</f>
        <v>7.1999999999999953E-2</v>
      </c>
      <c r="O48" s="2196"/>
      <c r="P48" s="576"/>
      <c r="Q48" s="1813"/>
      <c r="R48" s="1812"/>
      <c r="S48" s="113"/>
      <c r="T48" s="253"/>
      <c r="U48" s="253"/>
      <c r="V48" s="253"/>
      <c r="W48" s="113"/>
      <c r="X48" s="253"/>
      <c r="Y48" s="113"/>
      <c r="Z48" s="311"/>
      <c r="AG48" s="2461"/>
      <c r="AH48" s="68"/>
      <c r="AK48" s="2815" t="s">
        <v>11231</v>
      </c>
      <c r="AL48" s="2579">
        <f>SUMIFS(N30:N949,F30:F949,"6а",G30:G949,4)+SUMIFS(N30:N949,F30:F949,"6б",G30:G949,4)+SUMIFS(N30:N949,F30:F949,"б/к",G30:G949,4)</f>
        <v>0</v>
      </c>
      <c r="AM48" s="2817"/>
    </row>
    <row r="49" spans="1:39" x14ac:dyDescent="0.35">
      <c r="A49" s="370"/>
      <c r="B49" s="365"/>
      <c r="C49" s="365"/>
      <c r="D49" s="365"/>
      <c r="E49" s="900" t="s">
        <v>53</v>
      </c>
      <c r="F49" s="93">
        <v>5</v>
      </c>
      <c r="G49" s="2195">
        <v>5</v>
      </c>
      <c r="H49" s="2414">
        <v>6</v>
      </c>
      <c r="I49" s="576"/>
      <c r="J49" s="576"/>
      <c r="K49" s="576"/>
      <c r="L49" s="576"/>
      <c r="M49" s="576"/>
      <c r="N49" s="576"/>
      <c r="O49" s="2196"/>
      <c r="P49" s="576"/>
      <c r="Q49" s="1813">
        <f>2.52-0.625</f>
        <v>1.895</v>
      </c>
      <c r="R49" s="1812"/>
      <c r="S49" s="113"/>
      <c r="T49" s="253"/>
      <c r="U49" s="253"/>
      <c r="V49" s="253"/>
      <c r="W49" s="113"/>
      <c r="X49" s="253"/>
      <c r="Y49" s="113"/>
      <c r="Z49" s="311"/>
      <c r="AG49" s="2461"/>
      <c r="AH49" s="68"/>
      <c r="AK49" s="2815" t="s">
        <v>11232</v>
      </c>
      <c r="AL49" s="2579">
        <f>SUMIFS(O30:O949,F30:F949,"6а",G30:G949,4)+SUMIFS(O30:O949,F30:F949,"6б",G30:G949,4)+SUMIFS(O30:O949,F30:F949,"б/к",G30:G949,4)</f>
        <v>0</v>
      </c>
      <c r="AM49" s="2817"/>
    </row>
    <row r="50" spans="1:39" x14ac:dyDescent="0.35">
      <c r="A50" s="1580"/>
      <c r="B50" s="365">
        <v>10377</v>
      </c>
      <c r="C50" s="365"/>
      <c r="D50" s="368"/>
      <c r="E50" s="270" t="s">
        <v>65</v>
      </c>
      <c r="F50" s="93" t="s">
        <v>827</v>
      </c>
      <c r="G50" s="2195">
        <v>5</v>
      </c>
      <c r="H50" s="2195">
        <v>6</v>
      </c>
      <c r="I50" s="576"/>
      <c r="J50" s="576"/>
      <c r="K50" s="576"/>
      <c r="L50" s="576"/>
      <c r="M50" s="576"/>
      <c r="N50" s="576">
        <f>4.18-2.52</f>
        <v>1.6599999999999997</v>
      </c>
      <c r="O50" s="2196"/>
      <c r="P50" s="576"/>
      <c r="Q50" s="1813"/>
      <c r="R50" s="1812"/>
      <c r="S50" s="113"/>
      <c r="T50" s="253"/>
      <c r="U50" s="253"/>
      <c r="V50" s="253"/>
      <c r="W50" s="113"/>
      <c r="X50" s="253"/>
      <c r="Y50" s="113"/>
      <c r="Z50" s="311"/>
      <c r="AG50" s="2461"/>
      <c r="AH50" s="68"/>
      <c r="AK50" s="2815" t="s">
        <v>11233</v>
      </c>
      <c r="AL50" s="2579">
        <f>SUMIFS(P30:P949,F30:F949,"6а",G30:G949,4)+SUMIFS(Q30:Q949,F30:F949,"6а",G30:G949,4)+SUMIFS(P30:P949,F30:F949,"6б",G30:G949,4)+SUMIFS(Q30:Q949,F30:F949,"6б",G30:G949,4)+SUMIFS(O30:O949,F30:F949,"б/к",G30:G949,4)+SUMIFS(P30:P949,F30:F949,"б/к",G30:G949,4)+SUMIFS(Q30:Q949,F30:F949,"б/к",G30:G949,4)</f>
        <v>0</v>
      </c>
      <c r="AM50" s="2817"/>
    </row>
    <row r="51" spans="1:39" x14ac:dyDescent="0.35">
      <c r="A51" s="1580"/>
      <c r="B51" s="365"/>
      <c r="C51" s="365"/>
      <c r="D51" s="368"/>
      <c r="E51" s="270" t="s">
        <v>66</v>
      </c>
      <c r="F51" s="93">
        <v>5</v>
      </c>
      <c r="G51" s="2195">
        <v>5</v>
      </c>
      <c r="H51" s="2195">
        <v>6</v>
      </c>
      <c r="I51" s="576"/>
      <c r="J51" s="576"/>
      <c r="K51" s="576"/>
      <c r="L51" s="576"/>
      <c r="M51" s="576"/>
      <c r="N51" s="576">
        <f>4.63-4.18</f>
        <v>0.45000000000000018</v>
      </c>
      <c r="O51" s="2196"/>
      <c r="P51" s="576"/>
      <c r="Q51" s="1813"/>
      <c r="R51" s="1812"/>
      <c r="S51" s="113"/>
      <c r="T51" s="253"/>
      <c r="U51" s="253"/>
      <c r="V51" s="253"/>
      <c r="W51" s="113"/>
      <c r="X51" s="253"/>
      <c r="Y51" s="113"/>
      <c r="Z51" s="311"/>
      <c r="AG51" s="2461"/>
      <c r="AH51" s="68"/>
      <c r="AK51" s="2815" t="s">
        <v>910</v>
      </c>
      <c r="AL51" s="2579">
        <f>SUMIFS(R30:R949,F30:F949,"6а",G30:G949,4)+SUMIFS(R30:R949,F30:F949,"6б",G30:G949,4)+SUMIFS(R30:R949,F30:F949,"б/к",G30:G949,4)</f>
        <v>0</v>
      </c>
      <c r="AM51" s="2817"/>
    </row>
    <row r="52" spans="1:39" x14ac:dyDescent="0.35">
      <c r="A52" s="1580"/>
      <c r="B52" s="365">
        <v>10377</v>
      </c>
      <c r="C52" s="365"/>
      <c r="D52" s="368"/>
      <c r="E52" s="899" t="s">
        <v>54</v>
      </c>
      <c r="F52" s="93" t="s">
        <v>1490</v>
      </c>
      <c r="G52" s="2195">
        <v>5</v>
      </c>
      <c r="H52" s="2195">
        <v>6</v>
      </c>
      <c r="I52" s="576"/>
      <c r="J52" s="576"/>
      <c r="K52" s="576"/>
      <c r="L52" s="576"/>
      <c r="M52" s="576"/>
      <c r="N52" s="576"/>
      <c r="O52" s="2196"/>
      <c r="P52" s="576"/>
      <c r="Q52" s="1813"/>
      <c r="R52" s="1812">
        <f>5.277-4.63</f>
        <v>0.64700000000000024</v>
      </c>
      <c r="S52" s="113"/>
      <c r="T52" s="253"/>
      <c r="U52" s="253"/>
      <c r="V52" s="253"/>
      <c r="W52" s="113"/>
      <c r="X52" s="253"/>
      <c r="Y52" s="113"/>
      <c r="Z52" s="311"/>
      <c r="AG52" s="2461"/>
      <c r="AH52" s="68"/>
      <c r="AK52" s="2815"/>
      <c r="AL52" s="2579"/>
      <c r="AM52" s="2817"/>
    </row>
    <row r="53" spans="1:39" ht="45.5" x14ac:dyDescent="0.35">
      <c r="A53" s="370">
        <v>11</v>
      </c>
      <c r="B53" s="365">
        <v>10377</v>
      </c>
      <c r="C53" s="365" t="s">
        <v>1656</v>
      </c>
      <c r="D53" s="2463" t="s">
        <v>4220</v>
      </c>
      <c r="E53" s="269" t="s">
        <v>8364</v>
      </c>
      <c r="F53" s="92" t="s">
        <v>664</v>
      </c>
      <c r="G53" s="2195">
        <v>5</v>
      </c>
      <c r="H53" s="2195">
        <v>6</v>
      </c>
      <c r="I53" s="575">
        <f>J53+K53+L53</f>
        <v>0.26</v>
      </c>
      <c r="J53" s="575">
        <f>SUM(M53:R53)</f>
        <v>0.26</v>
      </c>
      <c r="K53" s="577"/>
      <c r="L53" s="577"/>
      <c r="M53" s="577"/>
      <c r="N53" s="577"/>
      <c r="O53" s="896"/>
      <c r="P53" s="577"/>
      <c r="Q53" s="891"/>
      <c r="R53" s="1802">
        <v>0.26</v>
      </c>
      <c r="S53" s="113"/>
      <c r="T53" s="253"/>
      <c r="U53" s="253"/>
      <c r="V53" s="253"/>
      <c r="W53" s="113"/>
      <c r="X53" s="253"/>
      <c r="Y53" s="113"/>
      <c r="Z53" s="311"/>
      <c r="AB53" s="2">
        <v>1</v>
      </c>
      <c r="AG53" s="2461"/>
      <c r="AH53" s="68"/>
      <c r="AK53" s="2818" t="s">
        <v>11236</v>
      </c>
      <c r="AL53" s="2821">
        <f>AL55+AL61+AL67</f>
        <v>240.12999999999997</v>
      </c>
      <c r="AM53" s="2820">
        <f>AL53-J20</f>
        <v>0</v>
      </c>
    </row>
    <row r="54" spans="1:39" ht="45.5" x14ac:dyDescent="0.35">
      <c r="A54" s="370">
        <v>12</v>
      </c>
      <c r="B54" s="365">
        <v>10377</v>
      </c>
      <c r="C54" s="365"/>
      <c r="D54" s="2463" t="s">
        <v>4221</v>
      </c>
      <c r="E54" s="269" t="s">
        <v>7612</v>
      </c>
      <c r="F54" s="92" t="s">
        <v>664</v>
      </c>
      <c r="G54" s="2195">
        <v>5</v>
      </c>
      <c r="H54" s="2195">
        <v>6</v>
      </c>
      <c r="I54" s="575">
        <f>J54+K54+L54</f>
        <v>0.7</v>
      </c>
      <c r="J54" s="575">
        <f>SUM(M54:R54)</f>
        <v>0.7</v>
      </c>
      <c r="K54" s="577"/>
      <c r="L54" s="577"/>
      <c r="M54" s="577"/>
      <c r="N54" s="577"/>
      <c r="O54" s="896"/>
      <c r="P54" s="577"/>
      <c r="Q54" s="891"/>
      <c r="R54" s="1802">
        <v>0.7</v>
      </c>
      <c r="S54" s="113"/>
      <c r="T54" s="253"/>
      <c r="U54" s="253"/>
      <c r="V54" s="253"/>
      <c r="W54" s="113"/>
      <c r="X54" s="253"/>
      <c r="Y54" s="113"/>
      <c r="Z54" s="311"/>
      <c r="AB54" s="2">
        <v>1</v>
      </c>
      <c r="AG54" s="2461"/>
      <c r="AH54" s="68"/>
      <c r="AK54" s="2815" t="s">
        <v>11229</v>
      </c>
      <c r="AL54" s="2579"/>
      <c r="AM54" s="2817"/>
    </row>
    <row r="55" spans="1:39" ht="30.5" x14ac:dyDescent="0.35">
      <c r="A55" s="370">
        <v>13</v>
      </c>
      <c r="B55" s="365">
        <v>10377</v>
      </c>
      <c r="C55" s="365"/>
      <c r="D55" s="2463" t="s">
        <v>4222</v>
      </c>
      <c r="E55" s="269" t="s">
        <v>7613</v>
      </c>
      <c r="F55" s="93"/>
      <c r="G55" s="2195" t="s">
        <v>191</v>
      </c>
      <c r="H55" s="2414" t="s">
        <v>191</v>
      </c>
      <c r="I55" s="577">
        <f t="shared" ref="I55:I80" si="6">J55+K55+L55</f>
        <v>1.6</v>
      </c>
      <c r="J55" s="577">
        <f t="shared" ref="J55:J80" si="7">SUM(M55:R55)</f>
        <v>1.6</v>
      </c>
      <c r="K55" s="577"/>
      <c r="L55" s="577"/>
      <c r="M55" s="577"/>
      <c r="N55" s="577">
        <f>SUM(N56:N57)</f>
        <v>1.1000000000000001</v>
      </c>
      <c r="O55" s="896"/>
      <c r="P55" s="577"/>
      <c r="Q55" s="891"/>
      <c r="R55" s="1802">
        <f>SUM(R56:R57)</f>
        <v>0.5</v>
      </c>
      <c r="S55" s="113"/>
      <c r="T55" s="253"/>
      <c r="U55" s="253"/>
      <c r="V55" s="253"/>
      <c r="W55" s="113"/>
      <c r="X55" s="253"/>
      <c r="Y55" s="113"/>
      <c r="Z55" s="311"/>
      <c r="AB55" s="2">
        <v>1</v>
      </c>
      <c r="AG55" s="2461"/>
      <c r="AH55" s="68"/>
      <c r="AK55" s="2818" t="s">
        <v>7184</v>
      </c>
      <c r="AL55" s="2821">
        <f>AL56+AL57+AL58+AL59+AL60</f>
        <v>56.793000000000006</v>
      </c>
      <c r="AM55" s="2820">
        <f>AL55-AF31</f>
        <v>0</v>
      </c>
    </row>
    <row r="56" spans="1:39" x14ac:dyDescent="0.35">
      <c r="A56" s="370"/>
      <c r="B56" s="365">
        <v>10377</v>
      </c>
      <c r="C56" s="365"/>
      <c r="D56" s="365"/>
      <c r="E56" s="2607" t="s">
        <v>3164</v>
      </c>
      <c r="F56" s="93">
        <v>4</v>
      </c>
      <c r="G56" s="2195">
        <v>5</v>
      </c>
      <c r="H56" s="2195">
        <v>6</v>
      </c>
      <c r="I56" s="576"/>
      <c r="J56" s="576"/>
      <c r="K56" s="576"/>
      <c r="L56" s="576"/>
      <c r="M56" s="576"/>
      <c r="N56" s="576">
        <v>1.1000000000000001</v>
      </c>
      <c r="O56" s="2196"/>
      <c r="P56" s="576"/>
      <c r="Q56" s="1813"/>
      <c r="R56" s="1812"/>
      <c r="S56" s="113"/>
      <c r="T56" s="253"/>
      <c r="U56" s="253"/>
      <c r="V56" s="253"/>
      <c r="W56" s="113"/>
      <c r="X56" s="253"/>
      <c r="Y56" s="113"/>
      <c r="Z56" s="311"/>
      <c r="AG56" s="2461"/>
      <c r="AH56" s="68"/>
      <c r="AK56" s="2815" t="s">
        <v>11230</v>
      </c>
      <c r="AL56" s="2579">
        <f>SUMIFS(M30:M949,F30:F949,4,G30:G949,5)</f>
        <v>0</v>
      </c>
      <c r="AM56" s="2817"/>
    </row>
    <row r="57" spans="1:39" x14ac:dyDescent="0.35">
      <c r="A57" s="370"/>
      <c r="B57" s="365">
        <v>10377</v>
      </c>
      <c r="C57" s="365"/>
      <c r="D57" s="365"/>
      <c r="E57" s="899" t="s">
        <v>2248</v>
      </c>
      <c r="F57" s="93" t="s">
        <v>664</v>
      </c>
      <c r="G57" s="2195">
        <v>5</v>
      </c>
      <c r="H57" s="2195">
        <v>6</v>
      </c>
      <c r="I57" s="576"/>
      <c r="J57" s="576"/>
      <c r="K57" s="576"/>
      <c r="L57" s="576"/>
      <c r="M57" s="576"/>
      <c r="N57" s="576"/>
      <c r="O57" s="2196"/>
      <c r="P57" s="576"/>
      <c r="Q57" s="1813"/>
      <c r="R57" s="1812">
        <v>0.5</v>
      </c>
      <c r="S57" s="113"/>
      <c r="T57" s="253"/>
      <c r="U57" s="253"/>
      <c r="V57" s="253"/>
      <c r="W57" s="113"/>
      <c r="X57" s="253"/>
      <c r="Y57" s="113"/>
      <c r="Z57" s="311"/>
      <c r="AG57" s="2461"/>
      <c r="AH57" s="68"/>
      <c r="AK57" s="2815" t="s">
        <v>11231</v>
      </c>
      <c r="AL57" s="2579">
        <f>SUMIFS(N30:N949,F30:F949,4,G30:G949,5)</f>
        <v>19.761000000000003</v>
      </c>
      <c r="AM57" s="2817"/>
    </row>
    <row r="58" spans="1:39" ht="60.5" x14ac:dyDescent="0.35">
      <c r="A58" s="370">
        <v>14</v>
      </c>
      <c r="B58" s="365">
        <v>10377</v>
      </c>
      <c r="C58" s="365" t="s">
        <v>1656</v>
      </c>
      <c r="D58" s="2463" t="s">
        <v>4223</v>
      </c>
      <c r="E58" s="269" t="s">
        <v>8365</v>
      </c>
      <c r="F58" s="93" t="s">
        <v>664</v>
      </c>
      <c r="G58" s="2195">
        <v>5</v>
      </c>
      <c r="H58" s="2195">
        <v>6</v>
      </c>
      <c r="I58" s="577">
        <f>J58+K58+L58</f>
        <v>1</v>
      </c>
      <c r="J58" s="577">
        <f>SUM(M58:R58)</f>
        <v>1</v>
      </c>
      <c r="K58" s="577"/>
      <c r="L58" s="577"/>
      <c r="M58" s="577"/>
      <c r="N58" s="577"/>
      <c r="O58" s="896"/>
      <c r="P58" s="577"/>
      <c r="Q58" s="891"/>
      <c r="R58" s="1802">
        <v>1</v>
      </c>
      <c r="S58" s="113"/>
      <c r="T58" s="253"/>
      <c r="U58" s="253"/>
      <c r="V58" s="253"/>
      <c r="W58" s="113"/>
      <c r="X58" s="253"/>
      <c r="Y58" s="113"/>
      <c r="Z58" s="311"/>
      <c r="AB58" s="2">
        <v>1</v>
      </c>
      <c r="AG58" s="2461"/>
      <c r="AH58" s="68"/>
      <c r="AK58" s="2815" t="s">
        <v>11232</v>
      </c>
      <c r="AL58" s="2579">
        <f>SUMIFS(O30:O949,F30:F949,4,G30:G949,5)</f>
        <v>0</v>
      </c>
      <c r="AM58" s="2817"/>
    </row>
    <row r="59" spans="1:39" ht="30.5" x14ac:dyDescent="0.35">
      <c r="A59" s="370">
        <v>15</v>
      </c>
      <c r="B59" s="365">
        <v>10377</v>
      </c>
      <c r="C59" s="365"/>
      <c r="D59" s="2463" t="s">
        <v>4224</v>
      </c>
      <c r="E59" s="269" t="s">
        <v>7614</v>
      </c>
      <c r="F59" s="93">
        <v>5</v>
      </c>
      <c r="G59" s="2195">
        <v>5</v>
      </c>
      <c r="H59" s="2195">
        <v>6</v>
      </c>
      <c r="I59" s="577">
        <f t="shared" si="6"/>
        <v>1.6</v>
      </c>
      <c r="J59" s="577">
        <f t="shared" si="7"/>
        <v>1.6</v>
      </c>
      <c r="K59" s="577"/>
      <c r="L59" s="577"/>
      <c r="M59" s="577"/>
      <c r="N59" s="577">
        <v>1.6</v>
      </c>
      <c r="O59" s="896"/>
      <c r="P59" s="577"/>
      <c r="Q59" s="891"/>
      <c r="R59" s="1803"/>
      <c r="S59" s="113"/>
      <c r="T59" s="253"/>
      <c r="U59" s="253"/>
      <c r="V59" s="253"/>
      <c r="W59" s="113"/>
      <c r="X59" s="253"/>
      <c r="Y59" s="113"/>
      <c r="Z59" s="311"/>
      <c r="AB59" s="2">
        <v>1</v>
      </c>
      <c r="AG59" s="2461"/>
      <c r="AH59" s="68"/>
      <c r="AK59" s="2815" t="s">
        <v>11233</v>
      </c>
      <c r="AL59" s="2579">
        <f>SUMIFS(P30:P949,F30:F949,4,G30:G949,5)+SUMIFS(Q30:Q949,F30:F949,4,G30:G949,5)</f>
        <v>37.032000000000004</v>
      </c>
      <c r="AM59" s="2817"/>
    </row>
    <row r="60" spans="1:39" ht="45.5" x14ac:dyDescent="0.35">
      <c r="A60" s="370">
        <v>16</v>
      </c>
      <c r="B60" s="365">
        <v>10377</v>
      </c>
      <c r="C60" s="365"/>
      <c r="D60" s="2463" t="s">
        <v>4225</v>
      </c>
      <c r="E60" s="269" t="s">
        <v>9317</v>
      </c>
      <c r="F60" s="93">
        <v>5</v>
      </c>
      <c r="G60" s="2195">
        <v>5</v>
      </c>
      <c r="H60" s="2195">
        <v>6</v>
      </c>
      <c r="I60" s="575">
        <f t="shared" si="6"/>
        <v>0.6</v>
      </c>
      <c r="J60" s="575">
        <f t="shared" si="7"/>
        <v>0.6</v>
      </c>
      <c r="K60" s="577"/>
      <c r="L60" s="577"/>
      <c r="M60" s="577"/>
      <c r="N60" s="1804">
        <v>0.6</v>
      </c>
      <c r="O60" s="896"/>
      <c r="P60" s="577"/>
      <c r="Q60" s="891"/>
      <c r="R60" s="1802"/>
      <c r="S60" s="113"/>
      <c r="T60" s="253"/>
      <c r="U60" s="253"/>
      <c r="V60" s="253"/>
      <c r="W60" s="113"/>
      <c r="X60" s="253"/>
      <c r="Y60" s="113"/>
      <c r="Z60" s="311"/>
      <c r="AB60" s="2">
        <v>1</v>
      </c>
      <c r="AG60" s="2461"/>
      <c r="AH60" s="68"/>
      <c r="AK60" s="2815" t="s">
        <v>910</v>
      </c>
      <c r="AL60" s="2579">
        <f>SUMIFS(R30:R949,F30:F949,4,G30:G949,5)</f>
        <v>0</v>
      </c>
      <c r="AM60" s="2817"/>
    </row>
    <row r="61" spans="1:39" ht="45.5" x14ac:dyDescent="0.35">
      <c r="A61" s="370">
        <v>17</v>
      </c>
      <c r="B61" s="365">
        <v>10377</v>
      </c>
      <c r="C61" s="365" t="s">
        <v>1656</v>
      </c>
      <c r="D61" s="2463" t="s">
        <v>4226</v>
      </c>
      <c r="E61" s="269" t="s">
        <v>8366</v>
      </c>
      <c r="F61" s="93" t="s">
        <v>664</v>
      </c>
      <c r="G61" s="2195">
        <v>5</v>
      </c>
      <c r="H61" s="2195">
        <v>6</v>
      </c>
      <c r="I61" s="575">
        <f t="shared" si="6"/>
        <v>0.5</v>
      </c>
      <c r="J61" s="575">
        <f t="shared" si="7"/>
        <v>0.5</v>
      </c>
      <c r="K61" s="577"/>
      <c r="L61" s="577"/>
      <c r="M61" s="577"/>
      <c r="N61" s="577"/>
      <c r="O61" s="896"/>
      <c r="P61" s="577"/>
      <c r="Q61" s="891"/>
      <c r="R61" s="1802">
        <v>0.5</v>
      </c>
      <c r="S61" s="113"/>
      <c r="T61" s="253"/>
      <c r="U61" s="253"/>
      <c r="V61" s="253"/>
      <c r="W61" s="113"/>
      <c r="X61" s="253"/>
      <c r="Y61" s="113"/>
      <c r="Z61" s="311"/>
      <c r="AB61" s="2">
        <v>1</v>
      </c>
      <c r="AG61" s="2461"/>
      <c r="AH61" s="68"/>
      <c r="AK61" s="2818" t="s">
        <v>7185</v>
      </c>
      <c r="AL61" s="2821">
        <f>AL62+AL63+AL64+AL65+AL66</f>
        <v>83.524000000000001</v>
      </c>
      <c r="AM61" s="2820">
        <f>AL61-AG31</f>
        <v>0</v>
      </c>
    </row>
    <row r="62" spans="1:39" ht="45.5" x14ac:dyDescent="0.35">
      <c r="A62" s="370">
        <v>18</v>
      </c>
      <c r="B62" s="365">
        <v>10377</v>
      </c>
      <c r="C62" s="365" t="s">
        <v>1656</v>
      </c>
      <c r="D62" s="2463" t="s">
        <v>4227</v>
      </c>
      <c r="E62" s="269" t="s">
        <v>8367</v>
      </c>
      <c r="F62" s="93" t="s">
        <v>664</v>
      </c>
      <c r="G62" s="2195">
        <v>5</v>
      </c>
      <c r="H62" s="2195">
        <v>6</v>
      </c>
      <c r="I62" s="577">
        <f t="shared" si="6"/>
        <v>0.3</v>
      </c>
      <c r="J62" s="577">
        <f t="shared" si="7"/>
        <v>0.3</v>
      </c>
      <c r="K62" s="577"/>
      <c r="L62" s="577"/>
      <c r="M62" s="577"/>
      <c r="N62" s="577"/>
      <c r="O62" s="896"/>
      <c r="P62" s="577"/>
      <c r="Q62" s="891"/>
      <c r="R62" s="1802">
        <v>0.3</v>
      </c>
      <c r="S62" s="113"/>
      <c r="T62" s="253"/>
      <c r="U62" s="253"/>
      <c r="V62" s="253"/>
      <c r="W62" s="113"/>
      <c r="X62" s="253"/>
      <c r="Y62" s="113"/>
      <c r="Z62" s="311"/>
      <c r="AB62" s="2">
        <v>1</v>
      </c>
      <c r="AG62" s="2461"/>
      <c r="AH62" s="68"/>
      <c r="AK62" s="2815" t="s">
        <v>11230</v>
      </c>
      <c r="AL62" s="2579">
        <f>SUMIFS(M30:M949,F30:F949,5,G30:G949,5)</f>
        <v>0</v>
      </c>
      <c r="AM62" s="2817"/>
    </row>
    <row r="63" spans="1:39" ht="30.5" x14ac:dyDescent="0.35">
      <c r="A63" s="370">
        <v>19</v>
      </c>
      <c r="B63" s="365">
        <v>10377</v>
      </c>
      <c r="C63" s="365" t="s">
        <v>1656</v>
      </c>
      <c r="D63" s="2463" t="s">
        <v>4228</v>
      </c>
      <c r="E63" s="269" t="s">
        <v>8368</v>
      </c>
      <c r="F63" s="93" t="s">
        <v>664</v>
      </c>
      <c r="G63" s="2195">
        <v>5</v>
      </c>
      <c r="H63" s="2195">
        <v>6</v>
      </c>
      <c r="I63" s="575">
        <f t="shared" si="6"/>
        <v>0.5</v>
      </c>
      <c r="J63" s="575">
        <f t="shared" si="7"/>
        <v>0.5</v>
      </c>
      <c r="K63" s="577"/>
      <c r="L63" s="577"/>
      <c r="M63" s="577"/>
      <c r="N63" s="577"/>
      <c r="O63" s="896"/>
      <c r="P63" s="577"/>
      <c r="Q63" s="891"/>
      <c r="R63" s="1802">
        <v>0.5</v>
      </c>
      <c r="S63" s="113"/>
      <c r="T63" s="253"/>
      <c r="U63" s="253"/>
      <c r="V63" s="253"/>
      <c r="W63" s="113"/>
      <c r="X63" s="253"/>
      <c r="Y63" s="113"/>
      <c r="Z63" s="311"/>
      <c r="AB63" s="2">
        <v>1</v>
      </c>
      <c r="AG63" s="2461"/>
      <c r="AH63" s="68"/>
      <c r="AK63" s="2815" t="s">
        <v>11231</v>
      </c>
      <c r="AL63" s="2579">
        <f>SUMIFS(N30:N949,F30:F949,5,G30:G949,5)</f>
        <v>24.677</v>
      </c>
      <c r="AM63" s="2817"/>
    </row>
    <row r="64" spans="1:39" ht="45.5" x14ac:dyDescent="0.35">
      <c r="A64" s="370">
        <v>20</v>
      </c>
      <c r="B64" s="365">
        <v>10377</v>
      </c>
      <c r="C64" s="365" t="s">
        <v>1656</v>
      </c>
      <c r="D64" s="2463" t="s">
        <v>4229</v>
      </c>
      <c r="E64" s="269" t="s">
        <v>8369</v>
      </c>
      <c r="F64" s="93" t="s">
        <v>664</v>
      </c>
      <c r="G64" s="2195">
        <v>5</v>
      </c>
      <c r="H64" s="2195">
        <v>6</v>
      </c>
      <c r="I64" s="577">
        <f t="shared" si="6"/>
        <v>0.4</v>
      </c>
      <c r="J64" s="577">
        <f t="shared" si="7"/>
        <v>0.4</v>
      </c>
      <c r="K64" s="577"/>
      <c r="L64" s="577"/>
      <c r="M64" s="577"/>
      <c r="N64" s="577"/>
      <c r="O64" s="896"/>
      <c r="P64" s="577"/>
      <c r="Q64" s="891"/>
      <c r="R64" s="1802">
        <v>0.4</v>
      </c>
      <c r="S64" s="113"/>
      <c r="T64" s="253"/>
      <c r="U64" s="253"/>
      <c r="V64" s="253"/>
      <c r="W64" s="113"/>
      <c r="X64" s="253"/>
      <c r="Y64" s="113"/>
      <c r="Z64" s="311"/>
      <c r="AB64" s="2">
        <v>1</v>
      </c>
      <c r="AG64" s="2461"/>
      <c r="AH64" s="68"/>
      <c r="AK64" s="2815" t="s">
        <v>11232</v>
      </c>
      <c r="AL64" s="2579">
        <f>SUMIFS(O30:O949,F30:F949,5,G30:G949,5)</f>
        <v>0</v>
      </c>
      <c r="AM64" s="2817"/>
    </row>
    <row r="65" spans="1:39" ht="45" x14ac:dyDescent="0.35">
      <c r="A65" s="370">
        <v>21</v>
      </c>
      <c r="B65" s="693">
        <v>10377</v>
      </c>
      <c r="C65" s="365" t="s">
        <v>1656</v>
      </c>
      <c r="D65" s="2463" t="s">
        <v>4230</v>
      </c>
      <c r="E65" s="2187" t="s">
        <v>9242</v>
      </c>
      <c r="F65" s="92" t="s">
        <v>664</v>
      </c>
      <c r="G65" s="92">
        <v>5</v>
      </c>
      <c r="H65" s="2195">
        <v>6</v>
      </c>
      <c r="I65" s="2102">
        <f>J65+K65+L65</f>
        <v>0.6</v>
      </c>
      <c r="J65" s="2102">
        <f>SUM(M65:R65)</f>
        <v>0.6</v>
      </c>
      <c r="K65" s="2088"/>
      <c r="L65" s="2088"/>
      <c r="M65" s="2088"/>
      <c r="N65" s="2088"/>
      <c r="O65" s="2088"/>
      <c r="P65" s="2088"/>
      <c r="Q65" s="2088"/>
      <c r="R65" s="906">
        <v>0.6</v>
      </c>
      <c r="S65" s="2101"/>
      <c r="T65" s="2101"/>
      <c r="U65" s="2101"/>
      <c r="V65" s="2101"/>
      <c r="W65" s="146"/>
      <c r="X65" s="146"/>
      <c r="Y65" s="146"/>
      <c r="Z65" s="2103"/>
      <c r="AB65" s="2">
        <v>1</v>
      </c>
      <c r="AG65" s="2461"/>
      <c r="AH65" s="68"/>
      <c r="AK65" s="2815" t="s">
        <v>11233</v>
      </c>
      <c r="AL65" s="2579">
        <f>SUMIFS(P30:P949,F30:F949,5,G30:G949,5)+SUMIFS(Q30:Q949,F30:F949,5,G30:G949,5)</f>
        <v>27.613</v>
      </c>
      <c r="AM65" s="2817"/>
    </row>
    <row r="66" spans="1:39" ht="45" x14ac:dyDescent="0.35">
      <c r="A66" s="370">
        <v>22</v>
      </c>
      <c r="B66" s="693">
        <v>10377</v>
      </c>
      <c r="C66" s="365" t="s">
        <v>1656</v>
      </c>
      <c r="D66" s="2463" t="s">
        <v>4231</v>
      </c>
      <c r="E66" s="2187" t="s">
        <v>8370</v>
      </c>
      <c r="F66" s="92" t="s">
        <v>664</v>
      </c>
      <c r="G66" s="92">
        <v>5</v>
      </c>
      <c r="H66" s="2195">
        <v>6</v>
      </c>
      <c r="I66" s="2102">
        <f>J66+K66+L66</f>
        <v>0.3</v>
      </c>
      <c r="J66" s="2102">
        <f>SUM(M66:R66)</f>
        <v>0.3</v>
      </c>
      <c r="K66" s="2088"/>
      <c r="L66" s="2088"/>
      <c r="M66" s="2088"/>
      <c r="N66" s="2088"/>
      <c r="O66" s="2088"/>
      <c r="P66" s="2088"/>
      <c r="Q66" s="2088"/>
      <c r="R66" s="906">
        <v>0.3</v>
      </c>
      <c r="S66" s="2101"/>
      <c r="T66" s="2101"/>
      <c r="U66" s="2101"/>
      <c r="V66" s="2101"/>
      <c r="W66" s="146"/>
      <c r="X66" s="146"/>
      <c r="Y66" s="146"/>
      <c r="Z66" s="146"/>
      <c r="AB66" s="2">
        <v>1</v>
      </c>
      <c r="AG66" s="2461"/>
      <c r="AH66" s="68"/>
      <c r="AK66" s="2815" t="s">
        <v>910</v>
      </c>
      <c r="AL66" s="2579">
        <f>SUMIFS(R30:R949,F30:F949,5,G30:G949,5)</f>
        <v>31.234000000000002</v>
      </c>
      <c r="AM66" s="2817"/>
    </row>
    <row r="67" spans="1:39" ht="30.5" x14ac:dyDescent="0.35">
      <c r="A67" s="370">
        <v>23</v>
      </c>
      <c r="B67" s="693">
        <v>10377</v>
      </c>
      <c r="C67" s="693"/>
      <c r="D67" s="2463" t="s">
        <v>4232</v>
      </c>
      <c r="E67" s="269" t="s">
        <v>7615</v>
      </c>
      <c r="F67" s="92">
        <v>5</v>
      </c>
      <c r="G67" s="92">
        <v>5</v>
      </c>
      <c r="H67" s="2195">
        <v>6</v>
      </c>
      <c r="I67" s="2102">
        <f>J67+K67+L67</f>
        <v>0.7</v>
      </c>
      <c r="J67" s="2102">
        <f>SUM(M67:R67)</f>
        <v>0.7</v>
      </c>
      <c r="K67" s="2088"/>
      <c r="L67" s="2088"/>
      <c r="M67" s="2088"/>
      <c r="N67" s="622">
        <v>0.7</v>
      </c>
      <c r="O67" s="2088"/>
      <c r="P67" s="2088"/>
      <c r="Q67" s="2088"/>
      <c r="R67" s="906"/>
      <c r="S67" s="2101"/>
      <c r="T67" s="2101"/>
      <c r="U67" s="2101"/>
      <c r="V67" s="2101"/>
      <c r="W67" s="146"/>
      <c r="X67" s="146"/>
      <c r="Y67" s="146"/>
      <c r="Z67" s="2103"/>
      <c r="AB67" s="2">
        <v>1</v>
      </c>
      <c r="AG67" s="2461"/>
      <c r="AH67" s="68"/>
      <c r="AK67" s="2818" t="s">
        <v>11234</v>
      </c>
      <c r="AL67" s="2821">
        <f>AL68+AL69+AL70+AL71+AL72</f>
        <v>99.81299999999996</v>
      </c>
      <c r="AM67" s="2820">
        <f>AL67-AH31-AI31-AJ31</f>
        <v>0</v>
      </c>
    </row>
    <row r="68" spans="1:39" ht="30" x14ac:dyDescent="0.35">
      <c r="A68" s="370">
        <v>24</v>
      </c>
      <c r="B68" s="365">
        <v>10378</v>
      </c>
      <c r="C68" s="365"/>
      <c r="D68" s="365" t="s">
        <v>1829</v>
      </c>
      <c r="E68" s="312" t="s">
        <v>11101</v>
      </c>
      <c r="F68" s="93">
        <v>4</v>
      </c>
      <c r="G68" s="2195">
        <v>4</v>
      </c>
      <c r="H68" s="2195">
        <v>6</v>
      </c>
      <c r="I68" s="577">
        <f t="shared" si="6"/>
        <v>8.3699999999999992</v>
      </c>
      <c r="J68" s="577">
        <f t="shared" si="7"/>
        <v>8.3699999999999992</v>
      </c>
      <c r="K68" s="577"/>
      <c r="L68" s="577"/>
      <c r="M68" s="577"/>
      <c r="N68" s="577">
        <v>8.3699999999999992</v>
      </c>
      <c r="O68" s="896"/>
      <c r="P68" s="577"/>
      <c r="Q68" s="891"/>
      <c r="R68" s="1802"/>
      <c r="S68" s="113">
        <v>1</v>
      </c>
      <c r="T68" s="253">
        <v>19</v>
      </c>
      <c r="U68" s="253"/>
      <c r="V68" s="253"/>
      <c r="W68" s="113">
        <v>21</v>
      </c>
      <c r="X68" s="253">
        <v>334.64</v>
      </c>
      <c r="Y68" s="113">
        <v>10</v>
      </c>
      <c r="Z68" s="311">
        <v>125</v>
      </c>
      <c r="AB68" s="2">
        <v>1</v>
      </c>
      <c r="AG68" s="2461"/>
      <c r="AH68" s="68"/>
      <c r="AK68" s="2815" t="s">
        <v>11230</v>
      </c>
      <c r="AL68" s="2579">
        <f>SUMIFS(M30:M949,F30:F949,"6а",G30:G949,5)+SUMIFS(M30:M949,F30:F949,"6б",G30:G949,5)+SUMIFS(M30:M949,F30:F949,"б/к",G30:G949,5)</f>
        <v>0</v>
      </c>
      <c r="AM68" s="2817"/>
    </row>
    <row r="69" spans="1:39" ht="30.5" x14ac:dyDescent="0.35">
      <c r="A69" s="370">
        <v>25</v>
      </c>
      <c r="B69" s="365">
        <v>10378</v>
      </c>
      <c r="C69" s="365"/>
      <c r="D69" s="2463" t="s">
        <v>4233</v>
      </c>
      <c r="E69" s="269" t="s">
        <v>11100</v>
      </c>
      <c r="F69" s="93"/>
      <c r="G69" s="2195" t="s">
        <v>191</v>
      </c>
      <c r="H69" s="2195" t="s">
        <v>191</v>
      </c>
      <c r="I69" s="575">
        <f t="shared" si="6"/>
        <v>5.16</v>
      </c>
      <c r="J69" s="575">
        <f t="shared" si="7"/>
        <v>5.16</v>
      </c>
      <c r="K69" s="577"/>
      <c r="L69" s="577"/>
      <c r="M69" s="577"/>
      <c r="N69" s="577">
        <f>SUM(N70:N71)</f>
        <v>0.6</v>
      </c>
      <c r="O69" s="896"/>
      <c r="P69" s="577"/>
      <c r="Q69" s="891">
        <f>SUM(Q70:Q71)</f>
        <v>4.5600000000000005</v>
      </c>
      <c r="R69" s="1802"/>
      <c r="S69" s="113"/>
      <c r="T69" s="253"/>
      <c r="U69" s="253"/>
      <c r="V69" s="253"/>
      <c r="W69" s="113">
        <v>9</v>
      </c>
      <c r="X69" s="253">
        <v>110.72</v>
      </c>
      <c r="Y69" s="113">
        <v>5</v>
      </c>
      <c r="Z69" s="311">
        <v>50</v>
      </c>
      <c r="AB69" s="2">
        <v>1</v>
      </c>
      <c r="AG69" s="2461"/>
      <c r="AH69" s="68"/>
      <c r="AK69" s="2815" t="s">
        <v>11231</v>
      </c>
      <c r="AL69" s="2579">
        <f>SUMIFS(N30:N949,F30:F949,"6а",G30:G949,5)+SUMIFS(N30:N949,F30:F949,"6б",G30:G949,5)+SUMIFS(N30:N949,F30:F949,"б/к",G30:G949,5)</f>
        <v>3.6639999999999997</v>
      </c>
      <c r="AM69" s="2817"/>
    </row>
    <row r="70" spans="1:39" x14ac:dyDescent="0.35">
      <c r="A70" s="370"/>
      <c r="B70" s="365"/>
      <c r="C70" s="365"/>
      <c r="D70" s="365"/>
      <c r="E70" s="393" t="s">
        <v>365</v>
      </c>
      <c r="F70" s="93">
        <v>4</v>
      </c>
      <c r="G70" s="2195">
        <v>5</v>
      </c>
      <c r="H70" s="2195">
        <v>6</v>
      </c>
      <c r="I70" s="1097"/>
      <c r="J70" s="1097"/>
      <c r="K70" s="576"/>
      <c r="L70" s="576"/>
      <c r="M70" s="576"/>
      <c r="N70" s="576">
        <v>0.6</v>
      </c>
      <c r="O70" s="2196"/>
      <c r="P70" s="576"/>
      <c r="Q70" s="1813"/>
      <c r="R70" s="1802"/>
      <c r="S70" s="113"/>
      <c r="T70" s="253"/>
      <c r="U70" s="253"/>
      <c r="V70" s="253"/>
      <c r="W70" s="113"/>
      <c r="X70" s="253"/>
      <c r="Y70" s="113"/>
      <c r="Z70" s="311"/>
      <c r="AG70" s="2461"/>
      <c r="AH70" s="68"/>
      <c r="AK70" s="2815" t="s">
        <v>11232</v>
      </c>
      <c r="AL70" s="2579">
        <f>SUMIFS(O30:O949,F30:F949,"6а",G30:G949,5)+SUMIFS(O30:O949,F30:F949,"6б",G30:G949,5)+SUMIFS(O30:O949,F30:F949,"б/к",G30:G949,5)</f>
        <v>0</v>
      </c>
      <c r="AM70" s="2817"/>
    </row>
    <row r="71" spans="1:39" x14ac:dyDescent="0.35">
      <c r="A71" s="370"/>
      <c r="B71" s="365"/>
      <c r="C71" s="365"/>
      <c r="D71" s="365"/>
      <c r="E71" s="900" t="s">
        <v>6812</v>
      </c>
      <c r="F71" s="93">
        <v>4</v>
      </c>
      <c r="G71" s="2195">
        <v>5</v>
      </c>
      <c r="H71" s="2195">
        <v>6</v>
      </c>
      <c r="I71" s="1097"/>
      <c r="J71" s="1097"/>
      <c r="K71" s="576"/>
      <c r="L71" s="576"/>
      <c r="M71" s="576"/>
      <c r="N71" s="576"/>
      <c r="O71" s="2196"/>
      <c r="P71" s="576"/>
      <c r="Q71" s="1813">
        <f>5.16-0.6</f>
        <v>4.5600000000000005</v>
      </c>
      <c r="R71" s="1802"/>
      <c r="S71" s="113"/>
      <c r="T71" s="253"/>
      <c r="U71" s="253"/>
      <c r="V71" s="253"/>
      <c r="W71" s="113"/>
      <c r="X71" s="253"/>
      <c r="Y71" s="113"/>
      <c r="Z71" s="311"/>
      <c r="AG71" s="2461"/>
      <c r="AH71" s="68"/>
      <c r="AK71" s="2815" t="s">
        <v>11233</v>
      </c>
      <c r="AL71" s="2579">
        <f>SUMIFS(P30:P949,F30:F949,"6а",G30:G949,5)+SUMIFS(Q30:Q949,F30:F949,"6а",G30:G949,5)+SUMIFS(P30:P949,F30:F949,"6б",G30:G949,5)+SUMIFS(Q30:Q949,F30:F949,"6б",G30:G949,5)+SUMIFS(P30:P949,F30:F949,"б/к",G30:G949,5)+SUMIFS(Q30:Q949,F30:F949,"б/к",G30:G949,5)</f>
        <v>2.4420000000000002</v>
      </c>
      <c r="AM71" s="2817"/>
    </row>
    <row r="72" spans="1:39" ht="45.5" x14ac:dyDescent="0.35">
      <c r="A72" s="370">
        <v>26</v>
      </c>
      <c r="B72" s="365">
        <v>10378</v>
      </c>
      <c r="C72" s="365" t="s">
        <v>1656</v>
      </c>
      <c r="D72" s="2463" t="s">
        <v>4234</v>
      </c>
      <c r="E72" s="269" t="s">
        <v>11094</v>
      </c>
      <c r="F72" s="93" t="s">
        <v>664</v>
      </c>
      <c r="G72" s="2195">
        <v>5</v>
      </c>
      <c r="H72" s="2195">
        <v>6</v>
      </c>
      <c r="I72" s="577">
        <f>J72+K72+L72</f>
        <v>0.75</v>
      </c>
      <c r="J72" s="577">
        <f>SUM(M72:R72)</f>
        <v>0.75</v>
      </c>
      <c r="K72" s="577"/>
      <c r="L72" s="577"/>
      <c r="M72" s="577"/>
      <c r="N72" s="1804"/>
      <c r="O72" s="1805"/>
      <c r="P72" s="1804"/>
      <c r="Q72" s="1810"/>
      <c r="R72" s="2197">
        <v>0.75</v>
      </c>
      <c r="S72" s="113"/>
      <c r="T72" s="253"/>
      <c r="U72" s="253"/>
      <c r="V72" s="253"/>
      <c r="W72" s="113"/>
      <c r="X72" s="253"/>
      <c r="Y72" s="113"/>
      <c r="Z72" s="311"/>
      <c r="AB72" s="2">
        <v>1</v>
      </c>
      <c r="AG72" s="2461"/>
      <c r="AH72" s="68"/>
      <c r="AK72" s="2815" t="s">
        <v>910</v>
      </c>
      <c r="AL72" s="2579">
        <f>SUMIFS(R30:R949,F30:F949,"6а",G30:G949,5)+SUMIFS(R30:R949,F30:F949,"6б",G30:G949,5)+SUMIFS(R30:R949,F30:F949,"б/к",G30:G949,5)</f>
        <v>93.706999999999965</v>
      </c>
      <c r="AM72" s="2817"/>
    </row>
    <row r="73" spans="1:39" ht="45.5" x14ac:dyDescent="0.35">
      <c r="A73" s="370">
        <v>27</v>
      </c>
      <c r="B73" s="365">
        <v>10378</v>
      </c>
      <c r="C73" s="365"/>
      <c r="D73" s="2463" t="s">
        <v>4235</v>
      </c>
      <c r="E73" s="269" t="s">
        <v>11095</v>
      </c>
      <c r="F73" s="93">
        <v>5</v>
      </c>
      <c r="G73" s="2195">
        <v>5</v>
      </c>
      <c r="H73" s="2195">
        <v>6</v>
      </c>
      <c r="I73" s="575">
        <f t="shared" si="6"/>
        <v>2.88</v>
      </c>
      <c r="J73" s="575">
        <f t="shared" si="7"/>
        <v>2.88</v>
      </c>
      <c r="K73" s="577"/>
      <c r="L73" s="577"/>
      <c r="M73" s="577"/>
      <c r="N73" s="577"/>
      <c r="O73" s="896"/>
      <c r="P73" s="577"/>
      <c r="Q73" s="891"/>
      <c r="R73" s="2096">
        <v>2.88</v>
      </c>
      <c r="S73" s="113"/>
      <c r="T73" s="253"/>
      <c r="U73" s="253"/>
      <c r="V73" s="253"/>
      <c r="W73" s="113">
        <v>6</v>
      </c>
      <c r="X73" s="253">
        <v>67</v>
      </c>
      <c r="Y73" s="113">
        <v>4</v>
      </c>
      <c r="Z73" s="311">
        <v>40</v>
      </c>
      <c r="AB73" s="2">
        <v>1</v>
      </c>
      <c r="AC73" s="2" t="s">
        <v>2570</v>
      </c>
      <c r="AG73" s="2461"/>
      <c r="AH73" s="68"/>
      <c r="AK73" s="2815"/>
      <c r="AL73" s="2579"/>
      <c r="AM73" s="2817"/>
    </row>
    <row r="74" spans="1:39" ht="45.5" x14ac:dyDescent="0.35">
      <c r="A74" s="370">
        <v>28</v>
      </c>
      <c r="B74" s="365">
        <v>10378</v>
      </c>
      <c r="C74" s="365"/>
      <c r="D74" s="2463" t="s">
        <v>4236</v>
      </c>
      <c r="E74" s="269" t="s">
        <v>11096</v>
      </c>
      <c r="F74" s="93" t="s">
        <v>664</v>
      </c>
      <c r="G74" s="2195">
        <v>5</v>
      </c>
      <c r="H74" s="2195">
        <v>6</v>
      </c>
      <c r="I74" s="577">
        <f t="shared" si="6"/>
        <v>1.4</v>
      </c>
      <c r="J74" s="577">
        <f t="shared" si="7"/>
        <v>1.4</v>
      </c>
      <c r="K74" s="577"/>
      <c r="L74" s="577"/>
      <c r="M74" s="577"/>
      <c r="N74" s="577"/>
      <c r="O74" s="896"/>
      <c r="P74" s="577"/>
      <c r="Q74" s="891"/>
      <c r="R74" s="2096">
        <v>1.4</v>
      </c>
      <c r="S74" s="113"/>
      <c r="T74" s="253"/>
      <c r="U74" s="253"/>
      <c r="V74" s="253"/>
      <c r="W74" s="113"/>
      <c r="X74" s="253"/>
      <c r="Y74" s="113"/>
      <c r="Z74" s="311"/>
      <c r="AB74" s="2">
        <v>1</v>
      </c>
      <c r="AG74" s="2461"/>
      <c r="AH74" s="68"/>
      <c r="AK74" s="2822" t="s">
        <v>11237</v>
      </c>
      <c r="AL74" s="2823">
        <f>AL11+AL32+AL53</f>
        <v>311.56799999999998</v>
      </c>
      <c r="AM74" s="2824">
        <f>AL74-J10</f>
        <v>0</v>
      </c>
    </row>
    <row r="75" spans="1:39" ht="30.5" x14ac:dyDescent="0.35">
      <c r="A75" s="370">
        <v>29</v>
      </c>
      <c r="B75" s="365">
        <v>10378</v>
      </c>
      <c r="C75" s="365"/>
      <c r="D75" s="2463" t="s">
        <v>4237</v>
      </c>
      <c r="E75" s="269" t="s">
        <v>11097</v>
      </c>
      <c r="F75" s="93"/>
      <c r="G75" s="2195" t="s">
        <v>191</v>
      </c>
      <c r="H75" s="2414" t="s">
        <v>191</v>
      </c>
      <c r="I75" s="577">
        <f t="shared" si="6"/>
        <v>3.0659999999999998</v>
      </c>
      <c r="J75" s="577">
        <f t="shared" si="7"/>
        <v>3.0659999999999998</v>
      </c>
      <c r="K75" s="577"/>
      <c r="L75" s="577"/>
      <c r="M75" s="577"/>
      <c r="N75" s="577">
        <f>SUM(N76:N77)</f>
        <v>1.163</v>
      </c>
      <c r="O75" s="896"/>
      <c r="P75" s="577"/>
      <c r="Q75" s="891">
        <f>SUM(Q76:Q77)</f>
        <v>1.9029999999999998</v>
      </c>
      <c r="R75" s="2096"/>
      <c r="S75" s="113">
        <v>1</v>
      </c>
      <c r="T75" s="253">
        <v>19</v>
      </c>
      <c r="U75" s="253"/>
      <c r="V75" s="253"/>
      <c r="W75" s="113">
        <v>3</v>
      </c>
      <c r="X75" s="253">
        <v>42.14</v>
      </c>
      <c r="Y75" s="113"/>
      <c r="Z75" s="311"/>
      <c r="AB75" s="2">
        <v>1</v>
      </c>
      <c r="AC75" s="62" t="s">
        <v>2129</v>
      </c>
      <c r="AD75" s="353">
        <v>37797</v>
      </c>
      <c r="AE75" s="2330">
        <v>2003</v>
      </c>
      <c r="AG75" s="2461"/>
      <c r="AH75" s="68"/>
      <c r="AK75" s="2825" t="s">
        <v>11238</v>
      </c>
      <c r="AL75" s="2826">
        <f>AL34+AL55+AL13</f>
        <v>128.23099999999999</v>
      </c>
      <c r="AM75" s="2827">
        <f>AL75-J12</f>
        <v>0</v>
      </c>
    </row>
    <row r="76" spans="1:39" x14ac:dyDescent="0.35">
      <c r="A76" s="370"/>
      <c r="B76" s="1594"/>
      <c r="C76" s="365"/>
      <c r="D76" s="365"/>
      <c r="E76" s="270" t="s">
        <v>55</v>
      </c>
      <c r="F76" s="93">
        <v>4</v>
      </c>
      <c r="G76" s="2195">
        <v>5</v>
      </c>
      <c r="H76" s="2414">
        <v>6</v>
      </c>
      <c r="I76" s="576"/>
      <c r="J76" s="576"/>
      <c r="K76" s="576"/>
      <c r="L76" s="576"/>
      <c r="M76" s="576"/>
      <c r="N76" s="576">
        <v>1.163</v>
      </c>
      <c r="O76" s="2196"/>
      <c r="P76" s="576"/>
      <c r="Q76" s="1813"/>
      <c r="R76" s="2096"/>
      <c r="S76" s="113"/>
      <c r="T76" s="253"/>
      <c r="U76" s="253"/>
      <c r="V76" s="253"/>
      <c r="W76" s="113"/>
      <c r="X76" s="253"/>
      <c r="Y76" s="113"/>
      <c r="Z76" s="311"/>
      <c r="AD76" s="2072"/>
      <c r="AE76" s="2304"/>
      <c r="AG76" s="2461"/>
      <c r="AH76" s="68"/>
      <c r="AK76" s="2828" t="s">
        <v>11239</v>
      </c>
      <c r="AL76" s="2826">
        <f>AL19+AL40+AL61</f>
        <v>83.524000000000001</v>
      </c>
      <c r="AM76" s="2827">
        <f>AL76-J13</f>
        <v>0</v>
      </c>
    </row>
    <row r="77" spans="1:39" x14ac:dyDescent="0.35">
      <c r="A77" s="370"/>
      <c r="B77" s="1594"/>
      <c r="C77" s="365"/>
      <c r="D77" s="365"/>
      <c r="E77" s="2234" t="s">
        <v>56</v>
      </c>
      <c r="F77" s="93">
        <v>5</v>
      </c>
      <c r="G77" s="2195">
        <v>5</v>
      </c>
      <c r="H77" s="2414">
        <v>6</v>
      </c>
      <c r="I77" s="576"/>
      <c r="J77" s="576"/>
      <c r="K77" s="576"/>
      <c r="L77" s="576"/>
      <c r="M77" s="576"/>
      <c r="N77" s="576"/>
      <c r="O77" s="2196"/>
      <c r="P77" s="576"/>
      <c r="Q77" s="1813">
        <v>1.9029999999999998</v>
      </c>
      <c r="R77" s="2096"/>
      <c r="S77" s="113"/>
      <c r="T77" s="253"/>
      <c r="U77" s="253"/>
      <c r="V77" s="253"/>
      <c r="W77" s="113"/>
      <c r="X77" s="253"/>
      <c r="Y77" s="113"/>
      <c r="Z77" s="311"/>
      <c r="AD77" s="2072"/>
      <c r="AE77" s="2304"/>
      <c r="AG77" s="2461"/>
      <c r="AH77" s="68"/>
      <c r="AK77" s="2828" t="s">
        <v>11240</v>
      </c>
      <c r="AL77" s="2826">
        <f>AL25+AL46+AL67</f>
        <v>99.81299999999996</v>
      </c>
      <c r="AM77" s="2827">
        <f>AL77-J14</f>
        <v>0</v>
      </c>
    </row>
    <row r="78" spans="1:39" ht="45.5" x14ac:dyDescent="0.35">
      <c r="A78" s="370">
        <v>30</v>
      </c>
      <c r="B78" s="1594">
        <v>10378</v>
      </c>
      <c r="C78" s="358" t="s">
        <v>1656</v>
      </c>
      <c r="D78" s="2463" t="s">
        <v>4238</v>
      </c>
      <c r="E78" s="269" t="s">
        <v>11098</v>
      </c>
      <c r="F78" s="93" t="s">
        <v>664</v>
      </c>
      <c r="G78" s="2195">
        <v>5</v>
      </c>
      <c r="H78" s="2195">
        <v>6</v>
      </c>
      <c r="I78" s="297">
        <f>J78+K78+L78</f>
        <v>0.08</v>
      </c>
      <c r="J78" s="297">
        <f>SUM(M78:R78)</f>
        <v>0.08</v>
      </c>
      <c r="K78" s="576"/>
      <c r="L78" s="576"/>
      <c r="M78" s="576"/>
      <c r="N78" s="576"/>
      <c r="O78" s="895"/>
      <c r="P78" s="576"/>
      <c r="Q78" s="891"/>
      <c r="R78" s="1802">
        <v>0.08</v>
      </c>
      <c r="S78" s="113"/>
      <c r="T78" s="253"/>
      <c r="U78" s="253"/>
      <c r="V78" s="253"/>
      <c r="W78" s="113"/>
      <c r="X78" s="253"/>
      <c r="Y78" s="113"/>
      <c r="Z78" s="311"/>
      <c r="AB78" s="2">
        <v>1</v>
      </c>
      <c r="AG78" s="2461"/>
      <c r="AH78" s="68"/>
    </row>
    <row r="79" spans="1:39" ht="81.75" customHeight="1" x14ac:dyDescent="0.35">
      <c r="A79" s="370">
        <v>31</v>
      </c>
      <c r="B79" s="365">
        <v>10378</v>
      </c>
      <c r="C79" s="365"/>
      <c r="D79" s="2463" t="s">
        <v>4239</v>
      </c>
      <c r="E79" s="269" t="s">
        <v>11099</v>
      </c>
      <c r="F79" s="93">
        <v>5</v>
      </c>
      <c r="G79" s="2195">
        <v>5</v>
      </c>
      <c r="H79" s="2195">
        <v>6</v>
      </c>
      <c r="I79" s="575">
        <f t="shared" si="6"/>
        <v>0.1</v>
      </c>
      <c r="J79" s="575">
        <f t="shared" si="7"/>
        <v>0.1</v>
      </c>
      <c r="K79" s="577"/>
      <c r="L79" s="577"/>
      <c r="M79" s="577"/>
      <c r="N79" s="1804">
        <v>0.1</v>
      </c>
      <c r="O79" s="1805"/>
      <c r="P79" s="1804"/>
      <c r="Q79" s="1810"/>
      <c r="R79" s="2197"/>
      <c r="S79" s="113"/>
      <c r="T79" s="253"/>
      <c r="U79" s="253"/>
      <c r="V79" s="253"/>
      <c r="W79" s="113"/>
      <c r="X79" s="253"/>
      <c r="Y79" s="113"/>
      <c r="Z79" s="311"/>
      <c r="AB79" s="2">
        <v>1</v>
      </c>
      <c r="AG79" s="2461"/>
      <c r="AH79" s="68"/>
    </row>
    <row r="80" spans="1:39" ht="30" x14ac:dyDescent="0.35">
      <c r="A80" s="370">
        <v>32</v>
      </c>
      <c r="B80" s="365">
        <v>10379</v>
      </c>
      <c r="C80" s="365"/>
      <c r="D80" s="365" t="s">
        <v>1830</v>
      </c>
      <c r="E80" s="269" t="s">
        <v>1640</v>
      </c>
      <c r="F80" s="93"/>
      <c r="G80" s="2195" t="s">
        <v>191</v>
      </c>
      <c r="H80" s="2414" t="s">
        <v>191</v>
      </c>
      <c r="I80" s="575">
        <f t="shared" si="6"/>
        <v>21.268000000000001</v>
      </c>
      <c r="J80" s="575">
        <f t="shared" si="7"/>
        <v>19.055</v>
      </c>
      <c r="K80" s="577"/>
      <c r="L80" s="577">
        <f>SUM(L81:L89)</f>
        <v>2.213000000000001</v>
      </c>
      <c r="M80" s="577"/>
      <c r="N80" s="1804">
        <f>SUM(N81:N89)</f>
        <v>11.313999999999997</v>
      </c>
      <c r="O80" s="1805"/>
      <c r="P80" s="1804"/>
      <c r="Q80" s="1810">
        <f>SUM(Q81:Q89)</f>
        <v>6.6730000000000009</v>
      </c>
      <c r="R80" s="2197">
        <f>SUM(R81:R89)</f>
        <v>1.0680000000000014</v>
      </c>
      <c r="S80" s="113"/>
      <c r="T80" s="253"/>
      <c r="U80" s="253"/>
      <c r="V80" s="253"/>
      <c r="W80" s="113">
        <f>32+4</f>
        <v>36</v>
      </c>
      <c r="X80" s="253">
        <f>440.4+40</f>
        <v>480.4</v>
      </c>
      <c r="Y80" s="113">
        <f>8+4</f>
        <v>12</v>
      </c>
      <c r="Z80" s="311">
        <f>84+40</f>
        <v>124</v>
      </c>
      <c r="AB80" s="2">
        <v>1</v>
      </c>
      <c r="AG80" s="2461"/>
      <c r="AH80" s="68"/>
    </row>
    <row r="81" spans="1:34" x14ac:dyDescent="0.35">
      <c r="A81" s="370"/>
      <c r="B81" s="365">
        <v>10379</v>
      </c>
      <c r="C81" s="365"/>
      <c r="D81" s="365"/>
      <c r="E81" s="2234" t="s">
        <v>3350</v>
      </c>
      <c r="F81" s="93">
        <v>5</v>
      </c>
      <c r="G81" s="2195">
        <v>5</v>
      </c>
      <c r="H81" s="2414">
        <v>6</v>
      </c>
      <c r="I81" s="1097"/>
      <c r="J81" s="1097"/>
      <c r="K81" s="576"/>
      <c r="L81" s="576"/>
      <c r="M81" s="576"/>
      <c r="N81" s="1806"/>
      <c r="O81" s="2299"/>
      <c r="P81" s="1806"/>
      <c r="Q81" s="1811">
        <v>4.8760000000000003</v>
      </c>
      <c r="R81" s="2198"/>
      <c r="S81" s="113"/>
      <c r="T81" s="253"/>
      <c r="U81" s="253"/>
      <c r="V81" s="253"/>
      <c r="W81" s="113"/>
      <c r="X81" s="253"/>
      <c r="Y81" s="113"/>
      <c r="Z81" s="311"/>
      <c r="AG81" s="2461"/>
      <c r="AH81" s="68"/>
    </row>
    <row r="82" spans="1:34" ht="31" x14ac:dyDescent="0.35">
      <c r="A82" s="1580"/>
      <c r="B82" s="365">
        <v>10379</v>
      </c>
      <c r="C82" s="365"/>
      <c r="D82" s="368"/>
      <c r="E82" s="270" t="s">
        <v>11367</v>
      </c>
      <c r="F82" s="93">
        <v>4</v>
      </c>
      <c r="G82" s="2195">
        <v>5</v>
      </c>
      <c r="H82" s="2414" t="s">
        <v>191</v>
      </c>
      <c r="I82" s="1097"/>
      <c r="J82" s="1097"/>
      <c r="K82" s="576"/>
      <c r="L82" s="576">
        <f>5.995-4.876</f>
        <v>1.1189999999999998</v>
      </c>
      <c r="M82" s="576"/>
      <c r="N82" s="1806"/>
      <c r="O82" s="2299"/>
      <c r="P82" s="1806"/>
      <c r="Q82" s="1811"/>
      <c r="R82" s="1809"/>
      <c r="S82" s="113"/>
      <c r="T82" s="253"/>
      <c r="U82" s="253"/>
      <c r="V82" s="253"/>
      <c r="W82" s="113"/>
      <c r="X82" s="253"/>
      <c r="Y82" s="113"/>
      <c r="Z82" s="311"/>
      <c r="AG82" s="2461"/>
      <c r="AH82" s="68"/>
    </row>
    <row r="83" spans="1:34" x14ac:dyDescent="0.35">
      <c r="A83" s="1580"/>
      <c r="B83" s="365">
        <v>10379</v>
      </c>
      <c r="C83" s="365"/>
      <c r="D83" s="368"/>
      <c r="E83" s="270" t="s">
        <v>3351</v>
      </c>
      <c r="F83" s="93">
        <v>4</v>
      </c>
      <c r="G83" s="2195">
        <v>4</v>
      </c>
      <c r="H83" s="2195">
        <v>6</v>
      </c>
      <c r="I83" s="1098"/>
      <c r="J83" s="1098"/>
      <c r="K83" s="578"/>
      <c r="L83" s="576"/>
      <c r="M83" s="578"/>
      <c r="N83" s="1806">
        <f>11.39-5.995</f>
        <v>5.3950000000000005</v>
      </c>
      <c r="O83" s="2300"/>
      <c r="P83" s="1808"/>
      <c r="Q83" s="1811"/>
      <c r="R83" s="1809"/>
      <c r="S83" s="113"/>
      <c r="T83" s="253"/>
      <c r="U83" s="253"/>
      <c r="V83" s="253"/>
      <c r="W83" s="113"/>
      <c r="X83" s="253"/>
      <c r="Y83" s="113"/>
      <c r="Z83" s="311"/>
      <c r="AG83" s="2461"/>
      <c r="AH83" s="68"/>
    </row>
    <row r="84" spans="1:34" x14ac:dyDescent="0.35">
      <c r="A84" s="1580"/>
      <c r="B84" s="365">
        <v>10379</v>
      </c>
      <c r="C84" s="365"/>
      <c r="D84" s="368"/>
      <c r="E84" s="270" t="s">
        <v>2085</v>
      </c>
      <c r="F84" s="93">
        <v>4</v>
      </c>
      <c r="G84" s="2195">
        <v>4</v>
      </c>
      <c r="H84" s="2414">
        <v>10</v>
      </c>
      <c r="I84" s="1098"/>
      <c r="J84" s="1098"/>
      <c r="K84" s="578"/>
      <c r="L84" s="576"/>
      <c r="M84" s="578"/>
      <c r="N84" s="1806">
        <f>16.819-11.39</f>
        <v>5.4289999999999985</v>
      </c>
      <c r="O84" s="2300"/>
      <c r="P84" s="1808"/>
      <c r="Q84" s="1811"/>
      <c r="R84" s="1809"/>
      <c r="S84" s="113"/>
      <c r="T84" s="253"/>
      <c r="U84" s="253"/>
      <c r="V84" s="253"/>
      <c r="W84" s="113"/>
      <c r="X84" s="253"/>
      <c r="Y84" s="113"/>
      <c r="Z84" s="311"/>
      <c r="AG84" s="2461"/>
      <c r="AH84" s="68"/>
    </row>
    <row r="85" spans="1:34" ht="31" x14ac:dyDescent="0.35">
      <c r="A85" s="1580"/>
      <c r="B85" s="365">
        <v>10379</v>
      </c>
      <c r="C85" s="365"/>
      <c r="D85" s="368"/>
      <c r="E85" s="270" t="s">
        <v>2084</v>
      </c>
      <c r="F85" s="93">
        <v>4</v>
      </c>
      <c r="G85" s="2195">
        <v>4</v>
      </c>
      <c r="H85" s="2414" t="s">
        <v>191</v>
      </c>
      <c r="I85" s="1098"/>
      <c r="J85" s="1098"/>
      <c r="K85" s="578"/>
      <c r="L85" s="576">
        <f>17.913-16.819</f>
        <v>1.0940000000000012</v>
      </c>
      <c r="M85" s="578"/>
      <c r="N85" s="1806"/>
      <c r="O85" s="2300"/>
      <c r="P85" s="1808"/>
      <c r="Q85" s="1811"/>
      <c r="R85" s="1809"/>
      <c r="S85" s="113"/>
      <c r="T85" s="253"/>
      <c r="U85" s="253"/>
      <c r="V85" s="253"/>
      <c r="W85" s="113"/>
      <c r="X85" s="253"/>
      <c r="Y85" s="113"/>
      <c r="Z85" s="311"/>
      <c r="AG85" s="2461"/>
      <c r="AH85" s="68"/>
    </row>
    <row r="86" spans="1:34" x14ac:dyDescent="0.35">
      <c r="A86" s="1580"/>
      <c r="B86" s="365">
        <v>10379</v>
      </c>
      <c r="C86" s="365"/>
      <c r="D86" s="368"/>
      <c r="E86" s="2301" t="s">
        <v>2086</v>
      </c>
      <c r="F86" s="93">
        <v>5</v>
      </c>
      <c r="G86" s="2195">
        <v>5</v>
      </c>
      <c r="H86" s="2414">
        <v>6</v>
      </c>
      <c r="I86" s="1098"/>
      <c r="J86" s="1098"/>
      <c r="K86" s="578"/>
      <c r="L86" s="576"/>
      <c r="M86" s="578"/>
      <c r="N86" s="1806"/>
      <c r="O86" s="2300"/>
      <c r="P86" s="1808"/>
      <c r="Q86" s="1811">
        <f>18.1-17.913</f>
        <v>0.18700000000000117</v>
      </c>
      <c r="R86" s="1809"/>
      <c r="S86" s="113"/>
      <c r="T86" s="253"/>
      <c r="U86" s="253"/>
      <c r="V86" s="253"/>
      <c r="W86" s="113"/>
      <c r="X86" s="253"/>
      <c r="Y86" s="113"/>
      <c r="Z86" s="311"/>
      <c r="AG86" s="2461"/>
      <c r="AH86" s="68"/>
    </row>
    <row r="87" spans="1:34" x14ac:dyDescent="0.35">
      <c r="A87" s="1580"/>
      <c r="B87" s="365">
        <v>10379</v>
      </c>
      <c r="C87" s="365"/>
      <c r="D87" s="368"/>
      <c r="E87" s="313" t="s">
        <v>2087</v>
      </c>
      <c r="F87" s="93">
        <v>5</v>
      </c>
      <c r="G87" s="2195">
        <v>5</v>
      </c>
      <c r="H87" s="2195">
        <v>6</v>
      </c>
      <c r="I87" s="1098"/>
      <c r="J87" s="1098"/>
      <c r="K87" s="578"/>
      <c r="L87" s="576"/>
      <c r="M87" s="578"/>
      <c r="N87" s="1806">
        <f>18.59-18.1</f>
        <v>0.48999999999999844</v>
      </c>
      <c r="O87" s="2300"/>
      <c r="P87" s="1808"/>
      <c r="Q87" s="1811"/>
      <c r="R87" s="1809"/>
      <c r="S87" s="113"/>
      <c r="T87" s="253"/>
      <c r="U87" s="253"/>
      <c r="V87" s="253"/>
      <c r="W87" s="113"/>
      <c r="X87" s="253"/>
      <c r="Y87" s="113"/>
      <c r="Z87" s="311"/>
      <c r="AG87" s="2461"/>
      <c r="AH87" s="68"/>
    </row>
    <row r="88" spans="1:34" x14ac:dyDescent="0.35">
      <c r="A88" s="1580"/>
      <c r="B88" s="365">
        <v>10379</v>
      </c>
      <c r="C88" s="365"/>
      <c r="D88" s="368"/>
      <c r="E88" s="2301" t="s">
        <v>2088</v>
      </c>
      <c r="F88" s="93">
        <v>5</v>
      </c>
      <c r="G88" s="2195">
        <v>5</v>
      </c>
      <c r="H88" s="2414">
        <v>6</v>
      </c>
      <c r="I88" s="1098"/>
      <c r="J88" s="1098"/>
      <c r="K88" s="578"/>
      <c r="L88" s="576"/>
      <c r="M88" s="578"/>
      <c r="N88" s="1806"/>
      <c r="O88" s="2300"/>
      <c r="P88" s="1808"/>
      <c r="Q88" s="1811">
        <f>20.2-18.59</f>
        <v>1.6099999999999994</v>
      </c>
      <c r="R88" s="1809"/>
      <c r="S88" s="113"/>
      <c r="T88" s="253"/>
      <c r="U88" s="253"/>
      <c r="V88" s="253"/>
      <c r="W88" s="113"/>
      <c r="X88" s="253"/>
      <c r="Y88" s="113"/>
      <c r="Z88" s="311"/>
      <c r="AG88" s="2461"/>
      <c r="AH88" s="68"/>
    </row>
    <row r="89" spans="1:34" x14ac:dyDescent="0.35">
      <c r="A89" s="1580"/>
      <c r="B89" s="365">
        <v>10379</v>
      </c>
      <c r="C89" s="365"/>
      <c r="D89" s="368"/>
      <c r="E89" s="2054" t="s">
        <v>2089</v>
      </c>
      <c r="F89" s="93">
        <v>5</v>
      </c>
      <c r="G89" s="2195">
        <v>5</v>
      </c>
      <c r="H89" s="2195">
        <v>6</v>
      </c>
      <c r="I89" s="1098"/>
      <c r="J89" s="1098"/>
      <c r="K89" s="578"/>
      <c r="L89" s="576"/>
      <c r="M89" s="578"/>
      <c r="N89" s="1806"/>
      <c r="O89" s="2300"/>
      <c r="P89" s="1808"/>
      <c r="Q89" s="1811"/>
      <c r="R89" s="1809">
        <f>21.268-20.2</f>
        <v>1.0680000000000014</v>
      </c>
      <c r="S89" s="113"/>
      <c r="T89" s="253"/>
      <c r="U89" s="253"/>
      <c r="V89" s="253"/>
      <c r="W89" s="113"/>
      <c r="X89" s="253"/>
      <c r="Y89" s="113"/>
      <c r="Z89" s="311"/>
      <c r="AG89" s="2461"/>
      <c r="AH89" s="68"/>
    </row>
    <row r="90" spans="1:34" ht="30.5" x14ac:dyDescent="0.35">
      <c r="A90" s="370">
        <v>33</v>
      </c>
      <c r="B90" s="365">
        <v>10379</v>
      </c>
      <c r="C90" s="365"/>
      <c r="D90" s="2463" t="s">
        <v>4240</v>
      </c>
      <c r="E90" s="269" t="s">
        <v>7616</v>
      </c>
      <c r="F90" s="93"/>
      <c r="G90" s="2195" t="s">
        <v>191</v>
      </c>
      <c r="H90" s="2414" t="s">
        <v>191</v>
      </c>
      <c r="I90" s="575">
        <f>J90+K90+L90</f>
        <v>2.2999999999999998</v>
      </c>
      <c r="J90" s="575">
        <f>SUM(M90:R90)</f>
        <v>2.2999999999999998</v>
      </c>
      <c r="K90" s="577"/>
      <c r="L90" s="577"/>
      <c r="M90" s="577"/>
      <c r="N90" s="1804">
        <f>SUM(N91:N92)</f>
        <v>1.3</v>
      </c>
      <c r="O90" s="1805"/>
      <c r="P90" s="1804"/>
      <c r="Q90" s="1810"/>
      <c r="R90" s="1803">
        <f>SUM(R91:R92)</f>
        <v>0.99999999999999978</v>
      </c>
      <c r="S90" s="113"/>
      <c r="T90" s="253"/>
      <c r="U90" s="253"/>
      <c r="V90" s="253"/>
      <c r="W90" s="113">
        <v>2</v>
      </c>
      <c r="X90" s="253">
        <v>30</v>
      </c>
      <c r="Y90" s="113"/>
      <c r="Z90" s="311"/>
      <c r="AB90" s="2">
        <v>1</v>
      </c>
      <c r="AG90" s="2461"/>
      <c r="AH90" s="68"/>
    </row>
    <row r="91" spans="1:34" x14ac:dyDescent="0.35">
      <c r="A91" s="370"/>
      <c r="B91" s="365">
        <v>10379</v>
      </c>
      <c r="C91" s="365"/>
      <c r="D91" s="365"/>
      <c r="E91" s="270" t="s">
        <v>2032</v>
      </c>
      <c r="F91" s="93">
        <v>5</v>
      </c>
      <c r="G91" s="2195">
        <v>5</v>
      </c>
      <c r="H91" s="2195">
        <v>6</v>
      </c>
      <c r="I91" s="575"/>
      <c r="J91" s="575"/>
      <c r="K91" s="577"/>
      <c r="L91" s="577"/>
      <c r="M91" s="577"/>
      <c r="N91" s="1806">
        <v>1.3</v>
      </c>
      <c r="O91" s="1805"/>
      <c r="P91" s="1804"/>
      <c r="Q91" s="1810"/>
      <c r="R91" s="1803"/>
      <c r="S91" s="113"/>
      <c r="T91" s="253"/>
      <c r="U91" s="253"/>
      <c r="V91" s="253"/>
      <c r="W91" s="113"/>
      <c r="X91" s="253"/>
      <c r="Y91" s="113"/>
      <c r="Z91" s="311"/>
      <c r="AG91" s="2461"/>
      <c r="AH91" s="68"/>
    </row>
    <row r="92" spans="1:34" x14ac:dyDescent="0.35">
      <c r="A92" s="370"/>
      <c r="B92" s="365">
        <v>10379</v>
      </c>
      <c r="C92" s="365"/>
      <c r="D92" s="365"/>
      <c r="E92" s="2054" t="s">
        <v>7106</v>
      </c>
      <c r="F92" s="93">
        <v>5</v>
      </c>
      <c r="G92" s="2195">
        <v>5</v>
      </c>
      <c r="H92" s="2195">
        <v>6</v>
      </c>
      <c r="I92" s="575"/>
      <c r="J92" s="575"/>
      <c r="K92" s="577"/>
      <c r="L92" s="577"/>
      <c r="M92" s="577"/>
      <c r="N92" s="1804"/>
      <c r="O92" s="1805"/>
      <c r="P92" s="1804"/>
      <c r="Q92" s="1811"/>
      <c r="R92" s="1809">
        <f>2.3-1.3</f>
        <v>0.99999999999999978</v>
      </c>
      <c r="S92" s="113"/>
      <c r="T92" s="253"/>
      <c r="U92" s="253"/>
      <c r="V92" s="253"/>
      <c r="W92" s="113"/>
      <c r="X92" s="253"/>
      <c r="Y92" s="113"/>
      <c r="Z92" s="311"/>
      <c r="AG92" s="2461"/>
      <c r="AH92" s="68"/>
    </row>
    <row r="93" spans="1:34" ht="45.5" x14ac:dyDescent="0.35">
      <c r="A93" s="370">
        <v>34</v>
      </c>
      <c r="B93" s="1026">
        <v>10379</v>
      </c>
      <c r="C93" s="365" t="s">
        <v>1656</v>
      </c>
      <c r="D93" s="2463" t="s">
        <v>4241</v>
      </c>
      <c r="E93" s="269" t="s">
        <v>11102</v>
      </c>
      <c r="F93" s="93" t="s">
        <v>664</v>
      </c>
      <c r="G93" s="2195">
        <v>5</v>
      </c>
      <c r="H93" s="2195">
        <v>6</v>
      </c>
      <c r="I93" s="575">
        <f t="shared" ref="I93:I103" si="8">J93+K93+L93</f>
        <v>0.59</v>
      </c>
      <c r="J93" s="575">
        <f t="shared" ref="J93:J103" si="9">SUM(M93:R93)</f>
        <v>0.59</v>
      </c>
      <c r="K93" s="577"/>
      <c r="L93" s="577"/>
      <c r="M93" s="577"/>
      <c r="N93" s="577"/>
      <c r="O93" s="896"/>
      <c r="P93" s="577"/>
      <c r="Q93" s="891"/>
      <c r="R93" s="1802">
        <v>0.59</v>
      </c>
      <c r="S93" s="113"/>
      <c r="T93" s="253"/>
      <c r="U93" s="253"/>
      <c r="V93" s="253"/>
      <c r="W93" s="113"/>
      <c r="X93" s="253"/>
      <c r="Y93" s="113"/>
      <c r="Z93" s="311"/>
      <c r="AB93" s="2">
        <v>1</v>
      </c>
      <c r="AG93" s="2461"/>
      <c r="AH93" s="68"/>
    </row>
    <row r="94" spans="1:34" ht="30.5" x14ac:dyDescent="0.35">
      <c r="A94" s="370">
        <v>35</v>
      </c>
      <c r="B94" s="365">
        <v>10379</v>
      </c>
      <c r="C94" s="365"/>
      <c r="D94" s="2463" t="s">
        <v>4242</v>
      </c>
      <c r="E94" s="269" t="s">
        <v>7617</v>
      </c>
      <c r="F94" s="93">
        <v>5</v>
      </c>
      <c r="G94" s="2195">
        <v>5</v>
      </c>
      <c r="H94" s="2195">
        <v>6</v>
      </c>
      <c r="I94" s="575">
        <f t="shared" si="8"/>
        <v>2</v>
      </c>
      <c r="J94" s="575">
        <f t="shared" si="9"/>
        <v>2</v>
      </c>
      <c r="K94" s="577"/>
      <c r="L94" s="577"/>
      <c r="M94" s="577"/>
      <c r="N94" s="1804">
        <v>2</v>
      </c>
      <c r="O94" s="1805"/>
      <c r="P94" s="1804"/>
      <c r="Q94" s="1810"/>
      <c r="R94" s="1803"/>
      <c r="S94" s="113"/>
      <c r="T94" s="253"/>
      <c r="U94" s="253"/>
      <c r="V94" s="253"/>
      <c r="W94" s="113">
        <v>2</v>
      </c>
      <c r="X94" s="253">
        <v>30.2</v>
      </c>
      <c r="Y94" s="113">
        <v>2</v>
      </c>
      <c r="Z94" s="311">
        <v>30.2</v>
      </c>
      <c r="AA94" s="2" t="s">
        <v>2191</v>
      </c>
      <c r="AB94" s="2">
        <v>1</v>
      </c>
      <c r="AG94" s="2461"/>
      <c r="AH94" s="68"/>
    </row>
    <row r="95" spans="1:34" ht="45.5" x14ac:dyDescent="0.35">
      <c r="A95" s="370">
        <v>36</v>
      </c>
      <c r="B95" s="1026">
        <v>10379</v>
      </c>
      <c r="C95" s="365" t="s">
        <v>1656</v>
      </c>
      <c r="D95" s="2463" t="s">
        <v>4243</v>
      </c>
      <c r="E95" s="269" t="s">
        <v>8371</v>
      </c>
      <c r="F95" s="93" t="s">
        <v>664</v>
      </c>
      <c r="G95" s="2195">
        <v>5</v>
      </c>
      <c r="H95" s="2195">
        <v>6</v>
      </c>
      <c r="I95" s="575">
        <f t="shared" si="8"/>
        <v>0.3</v>
      </c>
      <c r="J95" s="575">
        <f t="shared" si="9"/>
        <v>0.3</v>
      </c>
      <c r="K95" s="577"/>
      <c r="L95" s="577"/>
      <c r="M95" s="577"/>
      <c r="N95" s="577"/>
      <c r="O95" s="896"/>
      <c r="P95" s="577"/>
      <c r="Q95" s="891"/>
      <c r="R95" s="1802">
        <v>0.3</v>
      </c>
      <c r="S95" s="113"/>
      <c r="T95" s="253"/>
      <c r="U95" s="253"/>
      <c r="V95" s="253"/>
      <c r="W95" s="113"/>
      <c r="X95" s="253"/>
      <c r="Y95" s="113"/>
      <c r="Z95" s="311"/>
      <c r="AB95" s="2">
        <v>1</v>
      </c>
      <c r="AG95" s="2461"/>
      <c r="AH95" s="68"/>
    </row>
    <row r="96" spans="1:34" ht="30.5" x14ac:dyDescent="0.35">
      <c r="A96" s="370">
        <v>37</v>
      </c>
      <c r="B96" s="365">
        <v>10379</v>
      </c>
      <c r="C96" s="365"/>
      <c r="D96" s="2463" t="s">
        <v>4244</v>
      </c>
      <c r="E96" s="269" t="s">
        <v>7618</v>
      </c>
      <c r="F96" s="93">
        <v>5</v>
      </c>
      <c r="G96" s="2195">
        <v>5</v>
      </c>
      <c r="H96" s="2195">
        <v>6</v>
      </c>
      <c r="I96" s="575">
        <f t="shared" si="8"/>
        <v>1.5</v>
      </c>
      <c r="J96" s="575">
        <f t="shared" si="9"/>
        <v>1.5</v>
      </c>
      <c r="K96" s="577"/>
      <c r="L96" s="577"/>
      <c r="M96" s="577"/>
      <c r="N96" s="1804"/>
      <c r="O96" s="1805"/>
      <c r="P96" s="1804"/>
      <c r="Q96" s="1810"/>
      <c r="R96" s="1803">
        <v>1.5</v>
      </c>
      <c r="S96" s="113"/>
      <c r="T96" s="253"/>
      <c r="U96" s="253"/>
      <c r="V96" s="253"/>
      <c r="W96" s="113"/>
      <c r="X96" s="253"/>
      <c r="Y96" s="113"/>
      <c r="Z96" s="311"/>
      <c r="AB96" s="2">
        <v>1</v>
      </c>
      <c r="AG96" s="2461"/>
      <c r="AH96" s="68"/>
    </row>
    <row r="97" spans="1:34" ht="30.5" x14ac:dyDescent="0.35">
      <c r="A97" s="370">
        <v>38</v>
      </c>
      <c r="B97" s="365">
        <v>10379</v>
      </c>
      <c r="C97" s="365" t="s">
        <v>1656</v>
      </c>
      <c r="D97" s="2463" t="s">
        <v>4245</v>
      </c>
      <c r="E97" s="269" t="s">
        <v>8372</v>
      </c>
      <c r="F97" s="93" t="s">
        <v>664</v>
      </c>
      <c r="G97" s="2195">
        <v>5</v>
      </c>
      <c r="H97" s="2195">
        <v>6</v>
      </c>
      <c r="I97" s="575">
        <f t="shared" si="8"/>
        <v>0.45</v>
      </c>
      <c r="J97" s="575">
        <f t="shared" si="9"/>
        <v>0.45</v>
      </c>
      <c r="K97" s="577"/>
      <c r="L97" s="577"/>
      <c r="M97" s="577"/>
      <c r="N97" s="577"/>
      <c r="O97" s="896"/>
      <c r="P97" s="577"/>
      <c r="Q97" s="891"/>
      <c r="R97" s="1802">
        <v>0.45</v>
      </c>
      <c r="S97" s="113"/>
      <c r="T97" s="253"/>
      <c r="U97" s="253"/>
      <c r="V97" s="253"/>
      <c r="W97" s="113"/>
      <c r="X97" s="253"/>
      <c r="Y97" s="113"/>
      <c r="Z97" s="311"/>
      <c r="AB97" s="2">
        <v>1</v>
      </c>
      <c r="AG97" s="2461"/>
      <c r="AH97" s="68"/>
    </row>
    <row r="98" spans="1:34" ht="30" x14ac:dyDescent="0.35">
      <c r="A98" s="370">
        <v>39</v>
      </c>
      <c r="B98" s="693">
        <v>10379</v>
      </c>
      <c r="C98" s="365" t="s">
        <v>1656</v>
      </c>
      <c r="D98" s="2463" t="s">
        <v>4246</v>
      </c>
      <c r="E98" s="2187" t="s">
        <v>9243</v>
      </c>
      <c r="F98" s="92"/>
      <c r="G98" s="92" t="s">
        <v>191</v>
      </c>
      <c r="H98" s="2414" t="s">
        <v>191</v>
      </c>
      <c r="I98" s="2102">
        <f t="shared" si="8"/>
        <v>2.5</v>
      </c>
      <c r="J98" s="2102">
        <f t="shared" si="9"/>
        <v>2.5</v>
      </c>
      <c r="K98" s="2088"/>
      <c r="L98" s="2088"/>
      <c r="M98" s="2088"/>
      <c r="N98" s="622">
        <f>SUM(N99:N100)</f>
        <v>1</v>
      </c>
      <c r="O98" s="2088"/>
      <c r="P98" s="2088"/>
      <c r="Q98" s="2088"/>
      <c r="R98" s="906">
        <f>SUM(R99:R100)</f>
        <v>1.5</v>
      </c>
      <c r="S98" s="2101"/>
      <c r="T98" s="2101"/>
      <c r="U98" s="2101"/>
      <c r="V98" s="2101"/>
      <c r="W98" s="146"/>
      <c r="X98" s="146"/>
      <c r="Y98" s="146"/>
      <c r="Z98" s="146"/>
      <c r="AB98" s="2">
        <v>1</v>
      </c>
      <c r="AG98" s="2461"/>
      <c r="AH98" s="68"/>
    </row>
    <row r="99" spans="1:34" x14ac:dyDescent="0.35">
      <c r="A99" s="370"/>
      <c r="B99" s="693"/>
      <c r="C99" s="365"/>
      <c r="D99" s="693"/>
      <c r="E99" s="270" t="s">
        <v>2628</v>
      </c>
      <c r="F99" s="92">
        <v>5</v>
      </c>
      <c r="G99" s="92">
        <v>5</v>
      </c>
      <c r="H99" s="2195">
        <v>6</v>
      </c>
      <c r="I99" s="2116"/>
      <c r="J99" s="2116"/>
      <c r="K99" s="1857"/>
      <c r="L99" s="1857"/>
      <c r="M99" s="1857"/>
      <c r="N99" s="395">
        <v>1</v>
      </c>
      <c r="O99" s="1857"/>
      <c r="P99" s="1857"/>
      <c r="Q99" s="1857"/>
      <c r="R99" s="907"/>
      <c r="S99" s="2101"/>
      <c r="T99" s="2101"/>
      <c r="U99" s="2101"/>
      <c r="V99" s="2101"/>
      <c r="W99" s="146"/>
      <c r="X99" s="146"/>
      <c r="Y99" s="146"/>
      <c r="Z99" s="146"/>
      <c r="AG99" s="2461"/>
      <c r="AH99" s="68"/>
    </row>
    <row r="100" spans="1:34" x14ac:dyDescent="0.35">
      <c r="A100" s="370"/>
      <c r="B100" s="693"/>
      <c r="C100" s="365"/>
      <c r="D100" s="693"/>
      <c r="E100" s="878" t="s">
        <v>1714</v>
      </c>
      <c r="F100" s="92" t="s">
        <v>664</v>
      </c>
      <c r="G100" s="92">
        <v>5</v>
      </c>
      <c r="H100" s="2195">
        <v>6</v>
      </c>
      <c r="I100" s="2116"/>
      <c r="J100" s="2116"/>
      <c r="K100" s="1857"/>
      <c r="L100" s="1857"/>
      <c r="M100" s="1857"/>
      <c r="N100" s="1857"/>
      <c r="O100" s="1857"/>
      <c r="P100" s="1857"/>
      <c r="Q100" s="1857"/>
      <c r="R100" s="907">
        <f>2.5-1</f>
        <v>1.5</v>
      </c>
      <c r="S100" s="2101"/>
      <c r="T100" s="2101"/>
      <c r="U100" s="2101"/>
      <c r="V100" s="2101"/>
      <c r="W100" s="146"/>
      <c r="X100" s="146"/>
      <c r="Y100" s="146"/>
      <c r="Z100" s="146"/>
      <c r="AG100" s="2461"/>
      <c r="AH100" s="68"/>
    </row>
    <row r="101" spans="1:34" ht="45.5" x14ac:dyDescent="0.35">
      <c r="A101" s="370">
        <v>40</v>
      </c>
      <c r="B101" s="1026">
        <v>10379</v>
      </c>
      <c r="C101" s="365" t="s">
        <v>1656</v>
      </c>
      <c r="D101" s="2463" t="s">
        <v>4247</v>
      </c>
      <c r="E101" s="269" t="s">
        <v>11103</v>
      </c>
      <c r="F101" s="93" t="s">
        <v>664</v>
      </c>
      <c r="G101" s="2195">
        <v>5</v>
      </c>
      <c r="H101" s="2195">
        <v>6</v>
      </c>
      <c r="I101" s="575">
        <f>J101+K101+L101</f>
        <v>0.6</v>
      </c>
      <c r="J101" s="575">
        <f>SUM(M101:R101)</f>
        <v>0.6</v>
      </c>
      <c r="K101" s="577"/>
      <c r="L101" s="577"/>
      <c r="M101" s="577"/>
      <c r="N101" s="577"/>
      <c r="O101" s="896"/>
      <c r="P101" s="577"/>
      <c r="Q101" s="891"/>
      <c r="R101" s="1802">
        <v>0.6</v>
      </c>
      <c r="S101" s="113"/>
      <c r="T101" s="253"/>
      <c r="U101" s="253"/>
      <c r="V101" s="253"/>
      <c r="W101" s="113"/>
      <c r="X101" s="253"/>
      <c r="Y101" s="113"/>
      <c r="Z101" s="311"/>
      <c r="AB101" s="2">
        <v>1</v>
      </c>
      <c r="AG101" s="2461"/>
      <c r="AH101" s="68"/>
    </row>
    <row r="102" spans="1:34" ht="30" x14ac:dyDescent="0.35">
      <c r="A102" s="370">
        <v>41</v>
      </c>
      <c r="B102" s="693">
        <v>10379</v>
      </c>
      <c r="C102" s="365" t="s">
        <v>1656</v>
      </c>
      <c r="D102" s="2463" t="s">
        <v>4248</v>
      </c>
      <c r="E102" s="2187" t="s">
        <v>8373</v>
      </c>
      <c r="F102" s="92" t="s">
        <v>664</v>
      </c>
      <c r="G102" s="92">
        <v>5</v>
      </c>
      <c r="H102" s="2195">
        <v>6</v>
      </c>
      <c r="I102" s="2102">
        <f t="shared" si="8"/>
        <v>0.15</v>
      </c>
      <c r="J102" s="2102">
        <f t="shared" si="9"/>
        <v>0.15</v>
      </c>
      <c r="K102" s="2088"/>
      <c r="L102" s="2088"/>
      <c r="M102" s="2088"/>
      <c r="N102" s="2088"/>
      <c r="O102" s="2088"/>
      <c r="P102" s="2088"/>
      <c r="Q102" s="2088"/>
      <c r="R102" s="906">
        <v>0.15</v>
      </c>
      <c r="S102" s="2101"/>
      <c r="T102" s="2101"/>
      <c r="U102" s="2101"/>
      <c r="V102" s="2101"/>
      <c r="W102" s="146"/>
      <c r="X102" s="146"/>
      <c r="Y102" s="146"/>
      <c r="Z102" s="146"/>
      <c r="AB102" s="2">
        <v>1</v>
      </c>
      <c r="AG102" s="2461"/>
      <c r="AH102" s="68"/>
    </row>
    <row r="103" spans="1:34" ht="30" x14ac:dyDescent="0.35">
      <c r="A103" s="370">
        <v>42</v>
      </c>
      <c r="B103" s="1026">
        <v>10380</v>
      </c>
      <c r="C103" s="1026"/>
      <c r="D103" s="365" t="s">
        <v>2625</v>
      </c>
      <c r="E103" s="269" t="s">
        <v>59</v>
      </c>
      <c r="F103" s="93"/>
      <c r="G103" s="2195" t="s">
        <v>191</v>
      </c>
      <c r="H103" s="2414" t="s">
        <v>191</v>
      </c>
      <c r="I103" s="577">
        <f t="shared" si="8"/>
        <v>11.778</v>
      </c>
      <c r="J103" s="577">
        <f t="shared" si="9"/>
        <v>11.778</v>
      </c>
      <c r="K103" s="577"/>
      <c r="L103" s="577"/>
      <c r="M103" s="577"/>
      <c r="N103" s="577">
        <f>SUM(N104:N106)</f>
        <v>3.258</v>
      </c>
      <c r="O103" s="896"/>
      <c r="P103" s="577"/>
      <c r="Q103" s="891">
        <f>SUM(Q104:Q106)</f>
        <v>7.742</v>
      </c>
      <c r="R103" s="1802">
        <f>SUM(R104:R106)</f>
        <v>0.77800000000000047</v>
      </c>
      <c r="S103" s="113">
        <v>1</v>
      </c>
      <c r="T103" s="253">
        <v>18.5</v>
      </c>
      <c r="U103" s="253"/>
      <c r="V103" s="253"/>
      <c r="W103" s="113">
        <v>18</v>
      </c>
      <c r="X103" s="253">
        <v>261.14</v>
      </c>
      <c r="Y103" s="113">
        <v>4</v>
      </c>
      <c r="Z103" s="311">
        <v>50</v>
      </c>
      <c r="AA103" s="2" t="s">
        <v>2017</v>
      </c>
      <c r="AB103" s="2">
        <v>1</v>
      </c>
      <c r="AC103" s="2265" t="s">
        <v>146</v>
      </c>
      <c r="AD103" s="2266">
        <v>32917</v>
      </c>
      <c r="AE103" s="282">
        <v>1990</v>
      </c>
      <c r="AF103" s="2" t="s">
        <v>2015</v>
      </c>
      <c r="AG103" s="2461"/>
      <c r="AH103" s="68"/>
    </row>
    <row r="104" spans="1:34" x14ac:dyDescent="0.35">
      <c r="A104" s="1580"/>
      <c r="B104" s="1026">
        <v>10380</v>
      </c>
      <c r="C104" s="1026"/>
      <c r="D104" s="368"/>
      <c r="E104" s="270" t="s">
        <v>60</v>
      </c>
      <c r="F104" s="93">
        <v>4</v>
      </c>
      <c r="G104" s="2195">
        <v>4</v>
      </c>
      <c r="H104" s="2195">
        <v>6</v>
      </c>
      <c r="I104" s="576"/>
      <c r="J104" s="576"/>
      <c r="K104" s="576"/>
      <c r="L104" s="576"/>
      <c r="M104" s="576"/>
      <c r="N104" s="576">
        <v>3.258</v>
      </c>
      <c r="O104" s="895"/>
      <c r="P104" s="576"/>
      <c r="Q104" s="891"/>
      <c r="R104" s="1802"/>
      <c r="S104" s="113"/>
      <c r="T104" s="253"/>
      <c r="U104" s="253"/>
      <c r="V104" s="253"/>
      <c r="W104" s="113"/>
      <c r="X104" s="253"/>
      <c r="Y104" s="113"/>
      <c r="Z104" s="311"/>
      <c r="AC104" s="2265" t="s">
        <v>146</v>
      </c>
      <c r="AD104" s="2266">
        <v>32917</v>
      </c>
      <c r="AE104" s="282">
        <v>1990</v>
      </c>
      <c r="AF104" s="2" t="s">
        <v>2015</v>
      </c>
      <c r="AG104" s="2461"/>
      <c r="AH104" s="68"/>
    </row>
    <row r="105" spans="1:34" x14ac:dyDescent="0.35">
      <c r="A105" s="1580"/>
      <c r="B105" s="1026">
        <v>10380</v>
      </c>
      <c r="C105" s="1026"/>
      <c r="D105" s="368"/>
      <c r="E105" s="900" t="s">
        <v>57</v>
      </c>
      <c r="F105" s="93">
        <v>4</v>
      </c>
      <c r="G105" s="2195">
        <v>5</v>
      </c>
      <c r="H105" s="2414">
        <v>6</v>
      </c>
      <c r="I105" s="1097"/>
      <c r="J105" s="1097"/>
      <c r="K105" s="576"/>
      <c r="L105" s="576"/>
      <c r="M105" s="576"/>
      <c r="N105" s="576"/>
      <c r="O105" s="895"/>
      <c r="P105" s="576"/>
      <c r="Q105" s="1813">
        <f>11-3.258</f>
        <v>7.742</v>
      </c>
      <c r="R105" s="1802"/>
      <c r="S105" s="113"/>
      <c r="T105" s="253"/>
      <c r="U105" s="253"/>
      <c r="V105" s="253"/>
      <c r="W105" s="113"/>
      <c r="X105" s="253"/>
      <c r="Y105" s="113"/>
      <c r="Z105" s="311"/>
      <c r="AG105" s="2461"/>
      <c r="AH105" s="68"/>
    </row>
    <row r="106" spans="1:34" x14ac:dyDescent="0.35">
      <c r="A106" s="1580"/>
      <c r="B106" s="1026"/>
      <c r="C106" s="1026"/>
      <c r="D106" s="368"/>
      <c r="E106" s="878" t="s">
        <v>58</v>
      </c>
      <c r="F106" s="93" t="s">
        <v>1490</v>
      </c>
      <c r="G106" s="2195">
        <v>5</v>
      </c>
      <c r="H106" s="2195">
        <v>6</v>
      </c>
      <c r="I106" s="1097"/>
      <c r="J106" s="1097"/>
      <c r="K106" s="576"/>
      <c r="L106" s="576"/>
      <c r="M106" s="576"/>
      <c r="N106" s="576"/>
      <c r="O106" s="895"/>
      <c r="P106" s="576"/>
      <c r="Q106" s="1813"/>
      <c r="R106" s="1812">
        <f>11.778-11</f>
        <v>0.77800000000000047</v>
      </c>
      <c r="S106" s="113"/>
      <c r="T106" s="253"/>
      <c r="U106" s="253"/>
      <c r="V106" s="253"/>
      <c r="W106" s="113"/>
      <c r="X106" s="253"/>
      <c r="Y106" s="113"/>
      <c r="Z106" s="311"/>
      <c r="AG106" s="2461"/>
      <c r="AH106" s="68"/>
    </row>
    <row r="107" spans="1:34" ht="30.5" x14ac:dyDescent="0.35">
      <c r="A107" s="370">
        <v>43</v>
      </c>
      <c r="B107" s="1026">
        <v>10380</v>
      </c>
      <c r="C107" s="1026"/>
      <c r="D107" s="2463" t="s">
        <v>4249</v>
      </c>
      <c r="E107" s="269" t="s">
        <v>7619</v>
      </c>
      <c r="F107" s="93">
        <v>4</v>
      </c>
      <c r="G107" s="2195">
        <v>4</v>
      </c>
      <c r="H107" s="2195">
        <v>6</v>
      </c>
      <c r="I107" s="575">
        <f t="shared" ref="I107:I120" si="10">J107+K107+L107</f>
        <v>2.6989999999999998</v>
      </c>
      <c r="J107" s="575">
        <f t="shared" ref="J107:J120" si="11">SUM(M107:R107)</f>
        <v>2.6989999999999998</v>
      </c>
      <c r="K107" s="577"/>
      <c r="L107" s="577"/>
      <c r="M107" s="577"/>
      <c r="N107" s="577">
        <v>2.6989999999999998</v>
      </c>
      <c r="O107" s="896"/>
      <c r="P107" s="577"/>
      <c r="Q107" s="1810"/>
      <c r="R107" s="1803"/>
      <c r="S107" s="163"/>
      <c r="T107" s="248"/>
      <c r="U107" s="248"/>
      <c r="V107" s="248"/>
      <c r="W107" s="163">
        <v>7</v>
      </c>
      <c r="X107" s="248">
        <v>105.2</v>
      </c>
      <c r="Y107" s="113">
        <v>2</v>
      </c>
      <c r="Z107" s="311">
        <v>24</v>
      </c>
      <c r="AB107" s="2">
        <v>1</v>
      </c>
      <c r="AG107" s="2461"/>
      <c r="AH107" s="68"/>
    </row>
    <row r="108" spans="1:34" ht="45.5" x14ac:dyDescent="0.35">
      <c r="A108" s="370">
        <v>44</v>
      </c>
      <c r="B108" s="1026">
        <v>10380</v>
      </c>
      <c r="C108" s="1026"/>
      <c r="D108" s="2463" t="s">
        <v>4250</v>
      </c>
      <c r="E108" s="269" t="s">
        <v>7620</v>
      </c>
      <c r="F108" s="93">
        <v>5</v>
      </c>
      <c r="G108" s="2195">
        <v>5</v>
      </c>
      <c r="H108" s="2195">
        <v>6</v>
      </c>
      <c r="I108" s="575">
        <f t="shared" si="10"/>
        <v>1.8</v>
      </c>
      <c r="J108" s="575">
        <f t="shared" si="11"/>
        <v>1.8</v>
      </c>
      <c r="K108" s="577"/>
      <c r="L108" s="577"/>
      <c r="M108" s="577"/>
      <c r="N108" s="577"/>
      <c r="O108" s="896"/>
      <c r="P108" s="577"/>
      <c r="Q108" s="1810"/>
      <c r="R108" s="2197">
        <v>1.8</v>
      </c>
      <c r="S108" s="163"/>
      <c r="T108" s="248"/>
      <c r="U108" s="248"/>
      <c r="V108" s="248"/>
      <c r="W108" s="163">
        <v>1</v>
      </c>
      <c r="X108" s="248">
        <v>10</v>
      </c>
      <c r="Y108" s="113"/>
      <c r="Z108" s="311"/>
      <c r="AB108" s="2">
        <v>1</v>
      </c>
      <c r="AG108" s="2461"/>
      <c r="AH108" s="68"/>
    </row>
    <row r="109" spans="1:34" ht="30.5" x14ac:dyDescent="0.35">
      <c r="A109" s="370">
        <v>45</v>
      </c>
      <c r="B109" s="1026">
        <v>10380</v>
      </c>
      <c r="C109" s="365" t="s">
        <v>1656</v>
      </c>
      <c r="D109" s="2463" t="s">
        <v>4251</v>
      </c>
      <c r="E109" s="269" t="s">
        <v>8374</v>
      </c>
      <c r="F109" s="93" t="s">
        <v>664</v>
      </c>
      <c r="G109" s="2195">
        <v>5</v>
      </c>
      <c r="H109" s="2195">
        <v>6</v>
      </c>
      <c r="I109" s="575">
        <f t="shared" si="10"/>
        <v>0.4</v>
      </c>
      <c r="J109" s="575">
        <f t="shared" si="11"/>
        <v>0.4</v>
      </c>
      <c r="K109" s="577"/>
      <c r="L109" s="577"/>
      <c r="M109" s="577"/>
      <c r="N109" s="577"/>
      <c r="O109" s="896"/>
      <c r="P109" s="577"/>
      <c r="Q109" s="1810"/>
      <c r="R109" s="1803">
        <v>0.4</v>
      </c>
      <c r="S109" s="163">
        <v>1</v>
      </c>
      <c r="T109" s="248">
        <v>9</v>
      </c>
      <c r="U109" s="163">
        <v>1</v>
      </c>
      <c r="V109" s="248">
        <v>9</v>
      </c>
      <c r="W109" s="163"/>
      <c r="X109" s="248"/>
      <c r="Y109" s="113"/>
      <c r="Z109" s="311"/>
      <c r="AB109" s="2">
        <v>1</v>
      </c>
      <c r="AG109" s="2461"/>
      <c r="AH109" s="68"/>
    </row>
    <row r="110" spans="1:34" ht="45.5" x14ac:dyDescent="0.35">
      <c r="A110" s="370">
        <v>46</v>
      </c>
      <c r="B110" s="1026">
        <v>10380</v>
      </c>
      <c r="C110" s="1026"/>
      <c r="D110" s="2463" t="s">
        <v>4252</v>
      </c>
      <c r="E110" s="269" t="s">
        <v>7372</v>
      </c>
      <c r="F110" s="93">
        <v>5</v>
      </c>
      <c r="G110" s="93">
        <v>5</v>
      </c>
      <c r="H110" s="2195">
        <v>6</v>
      </c>
      <c r="I110" s="575">
        <f t="shared" si="10"/>
        <v>0.2</v>
      </c>
      <c r="J110" s="575">
        <f t="shared" si="11"/>
        <v>0.2</v>
      </c>
      <c r="K110" s="577"/>
      <c r="L110" s="577"/>
      <c r="M110" s="577"/>
      <c r="N110" s="577">
        <v>0.2</v>
      </c>
      <c r="O110" s="896"/>
      <c r="P110" s="577"/>
      <c r="Q110" s="1810"/>
      <c r="R110" s="1803"/>
      <c r="S110" s="163"/>
      <c r="T110" s="248"/>
      <c r="U110" s="248"/>
      <c r="V110" s="248"/>
      <c r="W110" s="163"/>
      <c r="X110" s="248"/>
      <c r="Y110" s="113"/>
      <c r="Z110" s="311"/>
      <c r="AB110" s="2">
        <v>1</v>
      </c>
      <c r="AG110" s="2461"/>
      <c r="AH110" s="68"/>
    </row>
    <row r="111" spans="1:34" ht="30" x14ac:dyDescent="0.35">
      <c r="A111" s="370">
        <v>47</v>
      </c>
      <c r="B111" s="1026">
        <v>10381</v>
      </c>
      <c r="C111" s="1026"/>
      <c r="D111" s="365" t="s">
        <v>2626</v>
      </c>
      <c r="E111" s="269" t="s">
        <v>61</v>
      </c>
      <c r="F111" s="93">
        <v>4</v>
      </c>
      <c r="G111" s="2195">
        <v>4</v>
      </c>
      <c r="H111" s="2195">
        <v>6</v>
      </c>
      <c r="I111" s="575">
        <f t="shared" si="10"/>
        <v>5.1440000000000001</v>
      </c>
      <c r="J111" s="575">
        <f t="shared" si="11"/>
        <v>5.1440000000000001</v>
      </c>
      <c r="K111" s="577"/>
      <c r="L111" s="577"/>
      <c r="M111" s="577"/>
      <c r="N111" s="577">
        <v>5.1440000000000001</v>
      </c>
      <c r="O111" s="896"/>
      <c r="P111" s="577"/>
      <c r="Q111" s="1810"/>
      <c r="R111" s="1803"/>
      <c r="S111" s="163">
        <v>1</v>
      </c>
      <c r="T111" s="248">
        <v>27.5</v>
      </c>
      <c r="U111" s="248"/>
      <c r="V111" s="248"/>
      <c r="W111" s="163">
        <v>2</v>
      </c>
      <c r="X111" s="248">
        <v>50.13</v>
      </c>
      <c r="Y111" s="113"/>
      <c r="Z111" s="311"/>
      <c r="AB111" s="2">
        <v>1</v>
      </c>
      <c r="AG111" s="2461"/>
      <c r="AH111" s="68"/>
    </row>
    <row r="112" spans="1:34" ht="30.5" x14ac:dyDescent="0.35">
      <c r="A112" s="370">
        <v>48</v>
      </c>
      <c r="B112" s="1026">
        <v>10381</v>
      </c>
      <c r="C112" s="1026"/>
      <c r="D112" s="2463" t="s">
        <v>4253</v>
      </c>
      <c r="E112" s="269" t="s">
        <v>7621</v>
      </c>
      <c r="F112" s="93">
        <v>4</v>
      </c>
      <c r="G112" s="2195">
        <v>4</v>
      </c>
      <c r="H112" s="2195">
        <v>6</v>
      </c>
      <c r="I112" s="575">
        <f t="shared" si="10"/>
        <v>2.8239999999999998</v>
      </c>
      <c r="J112" s="575">
        <f t="shared" si="11"/>
        <v>2.8239999999999998</v>
      </c>
      <c r="K112" s="577"/>
      <c r="L112" s="577"/>
      <c r="M112" s="577"/>
      <c r="N112" s="577">
        <v>2.8239999999999998</v>
      </c>
      <c r="O112" s="896"/>
      <c r="P112" s="577"/>
      <c r="Q112" s="1810"/>
      <c r="R112" s="1803"/>
      <c r="S112" s="163"/>
      <c r="T112" s="248"/>
      <c r="U112" s="248"/>
      <c r="V112" s="248"/>
      <c r="W112" s="163">
        <v>4</v>
      </c>
      <c r="X112" s="248">
        <v>56.27</v>
      </c>
      <c r="Y112" s="113">
        <v>1</v>
      </c>
      <c r="Z112" s="311">
        <v>10</v>
      </c>
      <c r="AB112" s="2">
        <v>1</v>
      </c>
      <c r="AG112" s="2461"/>
      <c r="AH112" s="68"/>
    </row>
    <row r="113" spans="1:34" ht="30.5" x14ac:dyDescent="0.35">
      <c r="A113" s="370">
        <v>49</v>
      </c>
      <c r="B113" s="1026">
        <v>10381</v>
      </c>
      <c r="C113" s="1026"/>
      <c r="D113" s="2463" t="s">
        <v>4254</v>
      </c>
      <c r="E113" s="269" t="s">
        <v>7622</v>
      </c>
      <c r="F113" s="93" t="s">
        <v>664</v>
      </c>
      <c r="G113" s="2195">
        <v>5</v>
      </c>
      <c r="H113" s="2195">
        <v>6</v>
      </c>
      <c r="I113" s="575">
        <f t="shared" si="10"/>
        <v>0.6</v>
      </c>
      <c r="J113" s="575">
        <f t="shared" si="11"/>
        <v>0.6</v>
      </c>
      <c r="K113" s="577"/>
      <c r="L113" s="577"/>
      <c r="M113" s="577"/>
      <c r="N113" s="577"/>
      <c r="O113" s="896"/>
      <c r="P113" s="577"/>
      <c r="Q113" s="1810"/>
      <c r="R113" s="1803">
        <v>0.6</v>
      </c>
      <c r="S113" s="163"/>
      <c r="T113" s="248"/>
      <c r="U113" s="248"/>
      <c r="V113" s="248"/>
      <c r="W113" s="163"/>
      <c r="X113" s="248"/>
      <c r="Y113" s="113"/>
      <c r="Z113" s="311"/>
      <c r="AB113" s="2">
        <v>1</v>
      </c>
      <c r="AG113" s="2461"/>
      <c r="AH113" s="68"/>
    </row>
    <row r="114" spans="1:34" ht="30" x14ac:dyDescent="0.35">
      <c r="A114" s="370">
        <v>50</v>
      </c>
      <c r="B114" s="1026">
        <v>10382</v>
      </c>
      <c r="C114" s="1026"/>
      <c r="D114" s="365" t="s">
        <v>2868</v>
      </c>
      <c r="E114" s="269" t="s">
        <v>7107</v>
      </c>
      <c r="F114" s="93"/>
      <c r="G114" s="2195" t="s">
        <v>191</v>
      </c>
      <c r="H114" s="2414" t="s">
        <v>191</v>
      </c>
      <c r="I114" s="575">
        <f t="shared" si="10"/>
        <v>7.2880000000000003</v>
      </c>
      <c r="J114" s="575">
        <f t="shared" si="11"/>
        <v>7.2880000000000003</v>
      </c>
      <c r="K114" s="577"/>
      <c r="L114" s="577"/>
      <c r="M114" s="577"/>
      <c r="N114" s="577"/>
      <c r="O114" s="896"/>
      <c r="P114" s="577"/>
      <c r="Q114" s="1810">
        <f>SUM(Q115:Q116)</f>
        <v>7.2880000000000003</v>
      </c>
      <c r="R114" s="1803"/>
      <c r="S114" s="163"/>
      <c r="T114" s="248"/>
      <c r="U114" s="248"/>
      <c r="V114" s="248"/>
      <c r="W114" s="163">
        <v>14</v>
      </c>
      <c r="X114" s="248">
        <v>176.58</v>
      </c>
      <c r="Y114" s="113">
        <v>7</v>
      </c>
      <c r="Z114" s="311">
        <v>72.5</v>
      </c>
      <c r="AA114" s="2" t="s">
        <v>2018</v>
      </c>
      <c r="AB114" s="2">
        <v>1</v>
      </c>
      <c r="AG114" s="2461"/>
      <c r="AH114" s="68"/>
    </row>
    <row r="115" spans="1:34" x14ac:dyDescent="0.35">
      <c r="A115" s="370"/>
      <c r="B115" s="1026"/>
      <c r="C115" s="1026"/>
      <c r="D115" s="365"/>
      <c r="E115" s="2234" t="s">
        <v>548</v>
      </c>
      <c r="F115" s="93">
        <v>4</v>
      </c>
      <c r="G115" s="2195">
        <v>5</v>
      </c>
      <c r="H115" s="2414">
        <v>6</v>
      </c>
      <c r="I115" s="575"/>
      <c r="J115" s="575"/>
      <c r="K115" s="577"/>
      <c r="L115" s="577"/>
      <c r="M115" s="577"/>
      <c r="N115" s="577"/>
      <c r="O115" s="896"/>
      <c r="P115" s="577"/>
      <c r="Q115" s="1811">
        <v>6.4269999999999996</v>
      </c>
      <c r="R115" s="1803"/>
      <c r="S115" s="163"/>
      <c r="T115" s="248"/>
      <c r="U115" s="248"/>
      <c r="V115" s="248"/>
      <c r="W115" s="163"/>
      <c r="X115" s="248"/>
      <c r="Y115" s="113"/>
      <c r="Z115" s="311"/>
      <c r="AG115" s="2461"/>
      <c r="AH115" s="68"/>
    </row>
    <row r="116" spans="1:34" x14ac:dyDescent="0.35">
      <c r="A116" s="370"/>
      <c r="B116" s="1026"/>
      <c r="C116" s="1026"/>
      <c r="D116" s="365"/>
      <c r="E116" s="2234" t="s">
        <v>549</v>
      </c>
      <c r="F116" s="93">
        <v>5</v>
      </c>
      <c r="G116" s="2195">
        <v>5</v>
      </c>
      <c r="H116" s="2414">
        <v>6</v>
      </c>
      <c r="I116" s="575"/>
      <c r="J116" s="575"/>
      <c r="K116" s="577"/>
      <c r="L116" s="577"/>
      <c r="M116" s="577"/>
      <c r="N116" s="577"/>
      <c r="O116" s="896"/>
      <c r="P116" s="577"/>
      <c r="Q116" s="1811">
        <f>7.288-6.427</f>
        <v>0.86100000000000065</v>
      </c>
      <c r="R116" s="1803"/>
      <c r="S116" s="163"/>
      <c r="T116" s="248"/>
      <c r="U116" s="248"/>
      <c r="V116" s="248"/>
      <c r="W116" s="163"/>
      <c r="X116" s="248"/>
      <c r="Y116" s="113"/>
      <c r="Z116" s="311"/>
      <c r="AG116" s="2461"/>
      <c r="AH116" s="68"/>
    </row>
    <row r="117" spans="1:34" ht="30.5" x14ac:dyDescent="0.35">
      <c r="A117" s="370">
        <v>51</v>
      </c>
      <c r="B117" s="1026">
        <v>10382</v>
      </c>
      <c r="C117" s="1026"/>
      <c r="D117" s="2463" t="s">
        <v>4255</v>
      </c>
      <c r="E117" s="269" t="s">
        <v>7623</v>
      </c>
      <c r="F117" s="93" t="s">
        <v>1490</v>
      </c>
      <c r="G117" s="2195">
        <v>5</v>
      </c>
      <c r="H117" s="2195">
        <v>6</v>
      </c>
      <c r="I117" s="577">
        <f t="shared" si="10"/>
        <v>0.8</v>
      </c>
      <c r="J117" s="577">
        <f t="shared" si="11"/>
        <v>0.8</v>
      </c>
      <c r="K117" s="577"/>
      <c r="L117" s="577"/>
      <c r="M117" s="577"/>
      <c r="N117" s="577"/>
      <c r="O117" s="896"/>
      <c r="P117" s="577"/>
      <c r="Q117" s="891"/>
      <c r="R117" s="1802">
        <v>0.8</v>
      </c>
      <c r="S117" s="113"/>
      <c r="T117" s="253"/>
      <c r="U117" s="253"/>
      <c r="V117" s="253"/>
      <c r="W117" s="113">
        <v>1</v>
      </c>
      <c r="X117" s="253">
        <v>7.5</v>
      </c>
      <c r="Y117" s="113">
        <v>1</v>
      </c>
      <c r="Z117" s="311">
        <v>7.5</v>
      </c>
      <c r="AB117" s="2">
        <v>1</v>
      </c>
      <c r="AC117" s="2331" t="s">
        <v>2570</v>
      </c>
      <c r="AD117" s="2331" t="s">
        <v>3186</v>
      </c>
      <c r="AE117" s="1784">
        <v>38714</v>
      </c>
      <c r="AF117" s="2332">
        <v>2005</v>
      </c>
      <c r="AG117" s="2461"/>
      <c r="AH117" s="68"/>
    </row>
    <row r="118" spans="1:34" ht="30.5" x14ac:dyDescent="0.35">
      <c r="A118" s="370">
        <v>52</v>
      </c>
      <c r="B118" s="1026">
        <v>10382</v>
      </c>
      <c r="C118" s="365" t="s">
        <v>1656</v>
      </c>
      <c r="D118" s="2463" t="s">
        <v>4256</v>
      </c>
      <c r="E118" s="269" t="s">
        <v>8375</v>
      </c>
      <c r="F118" s="93" t="s">
        <v>664</v>
      </c>
      <c r="G118" s="2195">
        <v>5</v>
      </c>
      <c r="H118" s="2195">
        <v>6</v>
      </c>
      <c r="I118" s="577">
        <f t="shared" si="10"/>
        <v>0.4</v>
      </c>
      <c r="J118" s="577">
        <f t="shared" si="11"/>
        <v>0.4</v>
      </c>
      <c r="K118" s="577"/>
      <c r="L118" s="577"/>
      <c r="M118" s="577"/>
      <c r="N118" s="577"/>
      <c r="O118" s="896"/>
      <c r="P118" s="577"/>
      <c r="Q118" s="891"/>
      <c r="R118" s="1802">
        <v>0.4</v>
      </c>
      <c r="S118" s="113"/>
      <c r="T118" s="253"/>
      <c r="U118" s="253"/>
      <c r="V118" s="253"/>
      <c r="W118" s="113"/>
      <c r="X118" s="253"/>
      <c r="Y118" s="113"/>
      <c r="Z118" s="311"/>
      <c r="AB118" s="2">
        <v>1</v>
      </c>
      <c r="AG118" s="2461"/>
      <c r="AH118" s="68"/>
    </row>
    <row r="119" spans="1:34" ht="30.5" x14ac:dyDescent="0.35">
      <c r="A119" s="370">
        <v>53</v>
      </c>
      <c r="B119" s="1026">
        <v>10382</v>
      </c>
      <c r="C119" s="365" t="s">
        <v>1656</v>
      </c>
      <c r="D119" s="2463" t="s">
        <v>4257</v>
      </c>
      <c r="E119" s="269" t="s">
        <v>8376</v>
      </c>
      <c r="F119" s="93" t="s">
        <v>664</v>
      </c>
      <c r="G119" s="2195">
        <v>5</v>
      </c>
      <c r="H119" s="2195">
        <v>6</v>
      </c>
      <c r="I119" s="575">
        <f t="shared" si="10"/>
        <v>0.6</v>
      </c>
      <c r="J119" s="575">
        <f t="shared" si="11"/>
        <v>0.6</v>
      </c>
      <c r="K119" s="577"/>
      <c r="L119" s="577"/>
      <c r="M119" s="577"/>
      <c r="N119" s="577"/>
      <c r="O119" s="896"/>
      <c r="P119" s="577"/>
      <c r="Q119" s="891"/>
      <c r="R119" s="1802">
        <v>0.6</v>
      </c>
      <c r="S119" s="113"/>
      <c r="T119" s="253"/>
      <c r="U119" s="253"/>
      <c r="V119" s="253"/>
      <c r="W119" s="113"/>
      <c r="X119" s="253"/>
      <c r="Y119" s="113"/>
      <c r="Z119" s="311"/>
      <c r="AB119" s="2">
        <v>1</v>
      </c>
      <c r="AG119" s="2461"/>
      <c r="AH119" s="68"/>
    </row>
    <row r="120" spans="1:34" ht="30" x14ac:dyDescent="0.35">
      <c r="A120" s="370">
        <v>54</v>
      </c>
      <c r="B120" s="1026">
        <v>10383</v>
      </c>
      <c r="C120" s="1026"/>
      <c r="D120" s="365" t="s">
        <v>510</v>
      </c>
      <c r="E120" s="269" t="s">
        <v>64</v>
      </c>
      <c r="F120" s="93"/>
      <c r="G120" s="2195" t="s">
        <v>191</v>
      </c>
      <c r="H120" s="2414" t="s">
        <v>191</v>
      </c>
      <c r="I120" s="577">
        <f t="shared" si="10"/>
        <v>8.7370000000000001</v>
      </c>
      <c r="J120" s="577">
        <f t="shared" si="11"/>
        <v>8.7370000000000001</v>
      </c>
      <c r="K120" s="579"/>
      <c r="L120" s="579"/>
      <c r="M120" s="579"/>
      <c r="N120" s="577">
        <f>SUM(N121:N122)</f>
        <v>4.9640000000000004</v>
      </c>
      <c r="O120" s="898"/>
      <c r="P120" s="579"/>
      <c r="Q120" s="892"/>
      <c r="R120" s="1802">
        <f>SUM(R121:R122)</f>
        <v>3.7729999999999997</v>
      </c>
      <c r="S120" s="113"/>
      <c r="T120" s="253"/>
      <c r="U120" s="253"/>
      <c r="V120" s="253"/>
      <c r="W120" s="113">
        <v>13</v>
      </c>
      <c r="X120" s="253">
        <v>193.58</v>
      </c>
      <c r="Y120" s="113">
        <v>3</v>
      </c>
      <c r="Z120" s="311">
        <v>30</v>
      </c>
      <c r="AB120" s="2">
        <v>1</v>
      </c>
      <c r="AG120" s="2461"/>
      <c r="AH120" s="68"/>
    </row>
    <row r="121" spans="1:34" x14ac:dyDescent="0.35">
      <c r="A121" s="370"/>
      <c r="B121" s="1026">
        <v>10383</v>
      </c>
      <c r="C121" s="1026"/>
      <c r="D121" s="368"/>
      <c r="E121" s="270" t="s">
        <v>62</v>
      </c>
      <c r="F121" s="93">
        <v>4</v>
      </c>
      <c r="G121" s="2195">
        <v>4</v>
      </c>
      <c r="H121" s="2195">
        <v>6</v>
      </c>
      <c r="I121" s="578"/>
      <c r="J121" s="578"/>
      <c r="K121" s="578"/>
      <c r="L121" s="578"/>
      <c r="M121" s="578"/>
      <c r="N121" s="576">
        <v>4.9640000000000004</v>
      </c>
      <c r="O121" s="897"/>
      <c r="P121" s="578"/>
      <c r="Q121" s="892"/>
      <c r="R121" s="1802"/>
      <c r="S121" s="113"/>
      <c r="T121" s="253"/>
      <c r="U121" s="253"/>
      <c r="V121" s="253"/>
      <c r="W121" s="113"/>
      <c r="X121" s="253"/>
      <c r="Y121" s="113"/>
      <c r="Z121" s="311"/>
      <c r="AG121" s="2461"/>
      <c r="AH121" s="68"/>
    </row>
    <row r="122" spans="1:34" x14ac:dyDescent="0.35">
      <c r="A122" s="370"/>
      <c r="B122" s="1026">
        <v>10383</v>
      </c>
      <c r="C122" s="1026"/>
      <c r="D122" s="368"/>
      <c r="E122" s="878" t="s">
        <v>63</v>
      </c>
      <c r="F122" s="93" t="s">
        <v>1490</v>
      </c>
      <c r="G122" s="2195">
        <v>5</v>
      </c>
      <c r="H122" s="2195">
        <v>6</v>
      </c>
      <c r="I122" s="1098"/>
      <c r="J122" s="1098"/>
      <c r="K122" s="578"/>
      <c r="L122" s="578"/>
      <c r="M122" s="578"/>
      <c r="N122" s="576"/>
      <c r="O122" s="897"/>
      <c r="P122" s="578"/>
      <c r="Q122" s="892"/>
      <c r="R122" s="1812">
        <f>8.737-4.964</f>
        <v>3.7729999999999997</v>
      </c>
      <c r="S122" s="113"/>
      <c r="T122" s="253"/>
      <c r="U122" s="253"/>
      <c r="V122" s="253"/>
      <c r="W122" s="113"/>
      <c r="X122" s="253"/>
      <c r="Y122" s="113"/>
      <c r="Z122" s="311"/>
      <c r="AG122" s="2461"/>
      <c r="AH122" s="68"/>
    </row>
    <row r="123" spans="1:34" ht="30.5" x14ac:dyDescent="0.35">
      <c r="A123" s="370">
        <v>55</v>
      </c>
      <c r="B123" s="1026">
        <v>10383</v>
      </c>
      <c r="C123" s="1026"/>
      <c r="D123" s="2463" t="s">
        <v>4258</v>
      </c>
      <c r="E123" s="312" t="s">
        <v>11093</v>
      </c>
      <c r="F123" s="166">
        <v>5</v>
      </c>
      <c r="G123" s="2195">
        <v>5</v>
      </c>
      <c r="H123" s="2195">
        <v>6</v>
      </c>
      <c r="I123" s="575">
        <f>J123+K123+L123</f>
        <v>1.8260000000000001</v>
      </c>
      <c r="J123" s="575">
        <f>SUM(M123:R123)</f>
        <v>1.8260000000000001</v>
      </c>
      <c r="K123" s="577"/>
      <c r="L123" s="577"/>
      <c r="M123" s="577"/>
      <c r="N123" s="1804">
        <v>1.8260000000000001</v>
      </c>
      <c r="O123" s="1805"/>
      <c r="P123" s="1804"/>
      <c r="Q123" s="1810"/>
      <c r="R123" s="1803"/>
      <c r="S123" s="113"/>
      <c r="T123" s="253"/>
      <c r="U123" s="253"/>
      <c r="V123" s="253"/>
      <c r="W123" s="113">
        <v>1</v>
      </c>
      <c r="X123" s="253">
        <v>10.01</v>
      </c>
      <c r="Y123" s="113"/>
      <c r="Z123" s="311"/>
      <c r="AA123" s="2" t="s">
        <v>116</v>
      </c>
      <c r="AB123" s="2">
        <v>1</v>
      </c>
      <c r="AG123" s="2461"/>
      <c r="AH123" s="68"/>
    </row>
    <row r="124" spans="1:34" ht="30.5" x14ac:dyDescent="0.35">
      <c r="A124" s="370">
        <v>56</v>
      </c>
      <c r="B124" s="1026">
        <v>10383</v>
      </c>
      <c r="C124" s="1026"/>
      <c r="D124" s="2463" t="s">
        <v>4259</v>
      </c>
      <c r="E124" s="269" t="s">
        <v>7624</v>
      </c>
      <c r="F124" s="93"/>
      <c r="G124" s="2195" t="s">
        <v>191</v>
      </c>
      <c r="H124" s="2414" t="s">
        <v>191</v>
      </c>
      <c r="I124" s="575">
        <f>J124+K124+L124</f>
        <v>0.60000000000000009</v>
      </c>
      <c r="J124" s="575">
        <f>SUM(M124:R124)</f>
        <v>0.60000000000000009</v>
      </c>
      <c r="K124" s="577"/>
      <c r="L124" s="577"/>
      <c r="M124" s="577"/>
      <c r="N124" s="1804"/>
      <c r="O124" s="1805"/>
      <c r="P124" s="1804"/>
      <c r="Q124" s="1810">
        <f>SUM(Q125:Q126)</f>
        <v>0.2</v>
      </c>
      <c r="R124" s="1803">
        <f>SUM(R125:R126)</f>
        <v>0.4</v>
      </c>
      <c r="S124" s="113"/>
      <c r="T124" s="253"/>
      <c r="U124" s="253"/>
      <c r="V124" s="253"/>
      <c r="W124" s="113"/>
      <c r="X124" s="253"/>
      <c r="Y124" s="113"/>
      <c r="Z124" s="311"/>
      <c r="AB124" s="2">
        <v>1</v>
      </c>
      <c r="AG124" s="2461"/>
      <c r="AH124" s="68"/>
    </row>
    <row r="125" spans="1:34" x14ac:dyDescent="0.35">
      <c r="A125" s="370"/>
      <c r="B125" s="1026">
        <v>10383</v>
      </c>
      <c r="C125" s="1026"/>
      <c r="D125" s="365"/>
      <c r="E125" s="2234" t="s">
        <v>1795</v>
      </c>
      <c r="F125" s="93">
        <v>5</v>
      </c>
      <c r="G125" s="2195">
        <v>5</v>
      </c>
      <c r="H125" s="2414">
        <v>6</v>
      </c>
      <c r="I125" s="575"/>
      <c r="J125" s="575"/>
      <c r="K125" s="577"/>
      <c r="L125" s="577"/>
      <c r="M125" s="577"/>
      <c r="N125" s="1804"/>
      <c r="O125" s="1805"/>
      <c r="P125" s="1804"/>
      <c r="Q125" s="1811">
        <v>0.2</v>
      </c>
      <c r="R125" s="1809"/>
      <c r="S125" s="113"/>
      <c r="T125" s="253"/>
      <c r="U125" s="253"/>
      <c r="V125" s="253"/>
      <c r="W125" s="113"/>
      <c r="X125" s="253"/>
      <c r="Y125" s="113"/>
      <c r="Z125" s="311"/>
      <c r="AG125" s="2461"/>
      <c r="AH125" s="68"/>
    </row>
    <row r="126" spans="1:34" x14ac:dyDescent="0.35">
      <c r="A126" s="370"/>
      <c r="B126" s="1026">
        <v>10383</v>
      </c>
      <c r="C126" s="1026"/>
      <c r="D126" s="365"/>
      <c r="E126" s="878" t="s">
        <v>1900</v>
      </c>
      <c r="F126" s="93" t="s">
        <v>664</v>
      </c>
      <c r="G126" s="2195">
        <v>5</v>
      </c>
      <c r="H126" s="2195">
        <v>6</v>
      </c>
      <c r="I126" s="575"/>
      <c r="J126" s="575"/>
      <c r="K126" s="577"/>
      <c r="L126" s="577"/>
      <c r="M126" s="577"/>
      <c r="N126" s="1804"/>
      <c r="O126" s="1805"/>
      <c r="P126" s="1804"/>
      <c r="Q126" s="1811"/>
      <c r="R126" s="1809">
        <v>0.4</v>
      </c>
      <c r="S126" s="113"/>
      <c r="T126" s="253"/>
      <c r="U126" s="253"/>
      <c r="V126" s="253"/>
      <c r="W126" s="113"/>
      <c r="X126" s="253"/>
      <c r="Y126" s="113"/>
      <c r="Z126" s="311"/>
      <c r="AG126" s="2461"/>
      <c r="AH126" s="68"/>
    </row>
    <row r="127" spans="1:34" ht="45.5" x14ac:dyDescent="0.35">
      <c r="A127" s="370">
        <v>57</v>
      </c>
      <c r="B127" s="1026">
        <v>10383</v>
      </c>
      <c r="C127" s="365" t="s">
        <v>1656</v>
      </c>
      <c r="D127" s="2463" t="s">
        <v>4260</v>
      </c>
      <c r="E127" s="269" t="s">
        <v>8377</v>
      </c>
      <c r="F127" s="93" t="s">
        <v>664</v>
      </c>
      <c r="G127" s="2195">
        <v>5</v>
      </c>
      <c r="H127" s="2195">
        <v>6</v>
      </c>
      <c r="I127" s="575">
        <f>J127+K127+L127</f>
        <v>0.1</v>
      </c>
      <c r="J127" s="575">
        <f>SUM(M127:R127)</f>
        <v>0.1</v>
      </c>
      <c r="K127" s="577"/>
      <c r="L127" s="577"/>
      <c r="M127" s="577"/>
      <c r="N127" s="1804"/>
      <c r="O127" s="1805"/>
      <c r="P127" s="1804"/>
      <c r="Q127" s="1810"/>
      <c r="R127" s="1803">
        <v>0.1</v>
      </c>
      <c r="S127" s="113"/>
      <c r="T127" s="253"/>
      <c r="U127" s="253"/>
      <c r="V127" s="253"/>
      <c r="W127" s="113"/>
      <c r="X127" s="253"/>
      <c r="Y127" s="113"/>
      <c r="Z127" s="311"/>
      <c r="AB127" s="2">
        <v>1</v>
      </c>
      <c r="AG127" s="2461"/>
      <c r="AH127" s="68"/>
    </row>
    <row r="128" spans="1:34" ht="30.5" x14ac:dyDescent="0.35">
      <c r="A128" s="370">
        <v>58</v>
      </c>
      <c r="B128" s="1026">
        <v>10383</v>
      </c>
      <c r="C128" s="1026"/>
      <c r="D128" s="2463" t="s">
        <v>4261</v>
      </c>
      <c r="E128" s="269" t="s">
        <v>7625</v>
      </c>
      <c r="F128" s="93">
        <v>5</v>
      </c>
      <c r="G128" s="2195">
        <v>5</v>
      </c>
      <c r="H128" s="2195">
        <v>6</v>
      </c>
      <c r="I128" s="575">
        <f>J128+K128+L128</f>
        <v>1.28</v>
      </c>
      <c r="J128" s="575">
        <f>SUM(M128:R128)</f>
        <v>1.28</v>
      </c>
      <c r="K128" s="577"/>
      <c r="L128" s="577"/>
      <c r="M128" s="577"/>
      <c r="N128" s="1804">
        <v>1.28</v>
      </c>
      <c r="O128" s="1805"/>
      <c r="P128" s="1804"/>
      <c r="Q128" s="1810"/>
      <c r="R128" s="1803"/>
      <c r="S128" s="113"/>
      <c r="T128" s="253"/>
      <c r="U128" s="253"/>
      <c r="V128" s="253"/>
      <c r="W128" s="113">
        <v>4</v>
      </c>
      <c r="X128" s="253">
        <v>45.5</v>
      </c>
      <c r="Y128" s="113"/>
      <c r="Z128" s="311"/>
      <c r="AB128" s="2">
        <v>1</v>
      </c>
      <c r="AG128" s="2461"/>
      <c r="AH128" s="68"/>
    </row>
    <row r="129" spans="1:34" ht="45.5" x14ac:dyDescent="0.35">
      <c r="A129" s="370">
        <v>59</v>
      </c>
      <c r="B129" s="1026">
        <v>10383</v>
      </c>
      <c r="C129" s="365" t="s">
        <v>1656</v>
      </c>
      <c r="D129" s="2463" t="s">
        <v>4262</v>
      </c>
      <c r="E129" s="269" t="s">
        <v>8378</v>
      </c>
      <c r="F129" s="93" t="s">
        <v>664</v>
      </c>
      <c r="G129" s="2195">
        <v>5</v>
      </c>
      <c r="H129" s="2195">
        <v>6</v>
      </c>
      <c r="I129" s="577">
        <f>J129+K129+L129</f>
        <v>0.4</v>
      </c>
      <c r="J129" s="577">
        <f>SUM(M129:R129)</f>
        <v>0.4</v>
      </c>
      <c r="K129" s="577"/>
      <c r="L129" s="577"/>
      <c r="M129" s="577"/>
      <c r="N129" s="1804"/>
      <c r="O129" s="1805"/>
      <c r="P129" s="1804"/>
      <c r="Q129" s="1810"/>
      <c r="R129" s="1803">
        <v>0.4</v>
      </c>
      <c r="S129" s="113"/>
      <c r="T129" s="253"/>
      <c r="U129" s="253"/>
      <c r="V129" s="253"/>
      <c r="W129" s="113"/>
      <c r="X129" s="253"/>
      <c r="Y129" s="113"/>
      <c r="Z129" s="311"/>
      <c r="AB129" s="2">
        <v>1</v>
      </c>
      <c r="AG129" s="2461"/>
      <c r="AH129" s="68"/>
    </row>
    <row r="130" spans="1:34" ht="30.5" x14ac:dyDescent="0.35">
      <c r="A130" s="370">
        <v>60</v>
      </c>
      <c r="B130" s="1026">
        <v>10383</v>
      </c>
      <c r="C130" s="365" t="s">
        <v>1656</v>
      </c>
      <c r="D130" s="2463" t="s">
        <v>4263</v>
      </c>
      <c r="E130" s="269" t="s">
        <v>8379</v>
      </c>
      <c r="F130" s="93" t="s">
        <v>664</v>
      </c>
      <c r="G130" s="2195">
        <v>5</v>
      </c>
      <c r="H130" s="2195">
        <v>6</v>
      </c>
      <c r="I130" s="577">
        <f>J130+K130+L130</f>
        <v>0.4</v>
      </c>
      <c r="J130" s="577">
        <f>SUM(M130:R130)</f>
        <v>0.4</v>
      </c>
      <c r="K130" s="577"/>
      <c r="L130" s="577"/>
      <c r="M130" s="577"/>
      <c r="N130" s="1804"/>
      <c r="O130" s="1805"/>
      <c r="P130" s="1804"/>
      <c r="Q130" s="1810"/>
      <c r="R130" s="1803">
        <v>0.4</v>
      </c>
      <c r="S130" s="113"/>
      <c r="T130" s="253"/>
      <c r="U130" s="253"/>
      <c r="V130" s="253"/>
      <c r="W130" s="113"/>
      <c r="X130" s="253"/>
      <c r="Y130" s="113"/>
      <c r="Z130" s="311"/>
      <c r="AB130" s="2">
        <v>1</v>
      </c>
      <c r="AG130" s="2461"/>
      <c r="AH130" s="68"/>
    </row>
    <row r="131" spans="1:34" ht="30" x14ac:dyDescent="0.35">
      <c r="A131" s="370">
        <v>61</v>
      </c>
      <c r="B131" s="1026">
        <v>10384</v>
      </c>
      <c r="C131" s="1026"/>
      <c r="D131" s="365" t="s">
        <v>600</v>
      </c>
      <c r="E131" s="269" t="s">
        <v>11092</v>
      </c>
      <c r="F131" s="93"/>
      <c r="G131" s="2195" t="s">
        <v>191</v>
      </c>
      <c r="H131" s="2414" t="s">
        <v>191</v>
      </c>
      <c r="I131" s="577">
        <f>J131+K131+L131</f>
        <v>13.067</v>
      </c>
      <c r="J131" s="577">
        <f>SUM(M131:R131)</f>
        <v>13.052</v>
      </c>
      <c r="K131" s="577"/>
      <c r="L131" s="1804">
        <f>SUM(L132:L139)</f>
        <v>1.5000000000000568E-2</v>
      </c>
      <c r="M131" s="577"/>
      <c r="N131" s="1804">
        <f>SUM(N132:N139)</f>
        <v>2.133999999999999</v>
      </c>
      <c r="O131" s="1805"/>
      <c r="P131" s="1804"/>
      <c r="Q131" s="1810">
        <f>SUM(Q132:Q139)</f>
        <v>5.07</v>
      </c>
      <c r="R131" s="1803">
        <f>SUM(R132:R139)</f>
        <v>5.8480000000000008</v>
      </c>
      <c r="S131" s="113">
        <v>1</v>
      </c>
      <c r="T131" s="253">
        <v>18.7</v>
      </c>
      <c r="U131" s="253"/>
      <c r="V131" s="253"/>
      <c r="W131" s="113">
        <v>11</v>
      </c>
      <c r="X131" s="253">
        <v>176.11</v>
      </c>
      <c r="Y131" s="113">
        <v>4</v>
      </c>
      <c r="Z131" s="311">
        <v>55.7</v>
      </c>
      <c r="AB131" s="2">
        <v>1</v>
      </c>
      <c r="AG131" s="2461"/>
      <c r="AH131" s="68"/>
    </row>
    <row r="132" spans="1:34" x14ac:dyDescent="0.35">
      <c r="A132" s="1580"/>
      <c r="B132" s="1026">
        <v>10384</v>
      </c>
      <c r="C132" s="1026"/>
      <c r="D132" s="368"/>
      <c r="E132" s="393" t="s">
        <v>10525</v>
      </c>
      <c r="F132" s="93">
        <v>4</v>
      </c>
      <c r="G132" s="2195">
        <v>5</v>
      </c>
      <c r="H132" s="2414">
        <v>6</v>
      </c>
      <c r="I132" s="1097"/>
      <c r="J132" s="1097"/>
      <c r="K132" s="576"/>
      <c r="L132" s="576"/>
      <c r="M132" s="576"/>
      <c r="N132" s="1806">
        <v>0.129</v>
      </c>
      <c r="O132" s="1807"/>
      <c r="P132" s="1806"/>
      <c r="Q132" s="1811"/>
      <c r="R132" s="1809"/>
      <c r="S132" s="113"/>
      <c r="T132" s="253"/>
      <c r="U132" s="253"/>
      <c r="V132" s="253"/>
      <c r="W132" s="113"/>
      <c r="X132" s="253"/>
      <c r="Y132" s="113"/>
      <c r="Z132" s="311"/>
      <c r="AA132" s="2" t="s">
        <v>2852</v>
      </c>
      <c r="AG132" s="2461"/>
      <c r="AH132" s="68"/>
    </row>
    <row r="133" spans="1:34" x14ac:dyDescent="0.35">
      <c r="A133" s="1580"/>
      <c r="B133" s="1026">
        <v>10384</v>
      </c>
      <c r="C133" s="1026"/>
      <c r="D133" s="368"/>
      <c r="E133" s="900" t="s">
        <v>10526</v>
      </c>
      <c r="F133" s="93">
        <v>4</v>
      </c>
      <c r="G133" s="2195">
        <v>5</v>
      </c>
      <c r="H133" s="2414">
        <v>6</v>
      </c>
      <c r="I133" s="1097"/>
      <c r="J133" s="1097"/>
      <c r="K133" s="576"/>
      <c r="L133" s="576"/>
      <c r="M133" s="576"/>
      <c r="N133" s="1806"/>
      <c r="O133" s="1807"/>
      <c r="P133" s="1806"/>
      <c r="Q133" s="1811">
        <f>4.455-0.129</f>
        <v>4.3260000000000005</v>
      </c>
      <c r="R133" s="1809"/>
      <c r="S133" s="113"/>
      <c r="T133" s="253"/>
      <c r="U133" s="253"/>
      <c r="V133" s="253"/>
      <c r="W133" s="113"/>
      <c r="X133" s="253"/>
      <c r="Y133" s="113"/>
      <c r="Z133" s="311"/>
      <c r="AA133" s="2" t="s">
        <v>2852</v>
      </c>
      <c r="AG133" s="2461"/>
      <c r="AH133" s="68"/>
    </row>
    <row r="134" spans="1:34" x14ac:dyDescent="0.35">
      <c r="A134" s="1580"/>
      <c r="B134" s="1026">
        <v>10384</v>
      </c>
      <c r="C134" s="1026"/>
      <c r="D134" s="368"/>
      <c r="E134" s="393" t="s">
        <v>10527</v>
      </c>
      <c r="F134" s="93">
        <v>4</v>
      </c>
      <c r="G134" s="2195">
        <v>5</v>
      </c>
      <c r="H134" s="2414">
        <v>6</v>
      </c>
      <c r="I134" s="1097"/>
      <c r="J134" s="1097"/>
      <c r="K134" s="576"/>
      <c r="L134" s="576"/>
      <c r="M134" s="576"/>
      <c r="N134" s="1806">
        <f>4.551-4.455</f>
        <v>9.6000000000000085E-2</v>
      </c>
      <c r="O134" s="1807"/>
      <c r="P134" s="1806"/>
      <c r="Q134" s="1811"/>
      <c r="R134" s="1809"/>
      <c r="S134" s="113"/>
      <c r="T134" s="253"/>
      <c r="U134" s="253"/>
      <c r="V134" s="253"/>
      <c r="W134" s="113"/>
      <c r="X134" s="253"/>
      <c r="Y134" s="113"/>
      <c r="Z134" s="311"/>
      <c r="AA134" s="2" t="s">
        <v>2852</v>
      </c>
      <c r="AG134" s="2461"/>
      <c r="AH134" s="68"/>
    </row>
    <row r="135" spans="1:34" x14ac:dyDescent="0.35">
      <c r="A135" s="1580"/>
      <c r="B135" s="1026">
        <v>10384</v>
      </c>
      <c r="C135" s="1026"/>
      <c r="D135" s="368"/>
      <c r="E135" s="900" t="s">
        <v>10528</v>
      </c>
      <c r="F135" s="93">
        <v>4</v>
      </c>
      <c r="G135" s="2195">
        <v>5</v>
      </c>
      <c r="H135" s="2414">
        <v>6</v>
      </c>
      <c r="I135" s="1097"/>
      <c r="J135" s="1097"/>
      <c r="K135" s="576"/>
      <c r="L135" s="576"/>
      <c r="M135" s="576"/>
      <c r="N135" s="1806"/>
      <c r="O135" s="1807"/>
      <c r="P135" s="1806"/>
      <c r="Q135" s="1811">
        <f>5.295-4.551</f>
        <v>0.74399999999999977</v>
      </c>
      <c r="R135" s="1809"/>
      <c r="S135" s="113"/>
      <c r="T135" s="253"/>
      <c r="U135" s="253"/>
      <c r="V135" s="253"/>
      <c r="W135" s="113"/>
      <c r="X135" s="253"/>
      <c r="Y135" s="113"/>
      <c r="Z135" s="311"/>
      <c r="AA135" s="2" t="s">
        <v>2852</v>
      </c>
      <c r="AG135" s="2461"/>
      <c r="AH135" s="68"/>
    </row>
    <row r="136" spans="1:34" x14ac:dyDescent="0.35">
      <c r="A136" s="1580"/>
      <c r="B136" s="1026">
        <v>10384</v>
      </c>
      <c r="C136" s="1026"/>
      <c r="D136" s="368"/>
      <c r="E136" s="899" t="s">
        <v>10523</v>
      </c>
      <c r="F136" s="93" t="s">
        <v>827</v>
      </c>
      <c r="G136" s="2195">
        <v>5</v>
      </c>
      <c r="H136" s="2195">
        <v>6</v>
      </c>
      <c r="I136" s="1097"/>
      <c r="J136" s="1097"/>
      <c r="K136" s="576"/>
      <c r="L136" s="576"/>
      <c r="M136" s="576"/>
      <c r="N136" s="1806"/>
      <c r="O136" s="1807"/>
      <c r="P136" s="1806"/>
      <c r="Q136" s="1811"/>
      <c r="R136" s="1809">
        <f>5.379-5.295</f>
        <v>8.3999999999999631E-2</v>
      </c>
      <c r="S136" s="113"/>
      <c r="T136" s="253"/>
      <c r="U136" s="253"/>
      <c r="V136" s="253"/>
      <c r="W136" s="113"/>
      <c r="X136" s="253"/>
      <c r="Y136" s="113"/>
      <c r="Z136" s="311"/>
      <c r="AG136" s="2461"/>
      <c r="AH136" s="68"/>
    </row>
    <row r="137" spans="1:34" x14ac:dyDescent="0.35">
      <c r="A137" s="1580"/>
      <c r="B137" s="1026">
        <v>10384</v>
      </c>
      <c r="C137" s="1026"/>
      <c r="D137" s="368"/>
      <c r="E137" s="899" t="s">
        <v>10524</v>
      </c>
      <c r="F137" s="93" t="s">
        <v>1490</v>
      </c>
      <c r="G137" s="2195">
        <v>5</v>
      </c>
      <c r="H137" s="2195">
        <v>6</v>
      </c>
      <c r="I137" s="1097"/>
      <c r="J137" s="1097"/>
      <c r="K137" s="576"/>
      <c r="L137" s="576"/>
      <c r="M137" s="576"/>
      <c r="N137" s="1806"/>
      <c r="O137" s="1807"/>
      <c r="P137" s="1806"/>
      <c r="Q137" s="1811"/>
      <c r="R137" s="1809">
        <f>11.143-5.379</f>
        <v>5.7640000000000011</v>
      </c>
      <c r="S137" s="113"/>
      <c r="T137" s="253"/>
      <c r="U137" s="253"/>
      <c r="V137" s="253"/>
      <c r="W137" s="113"/>
      <c r="X137" s="253"/>
      <c r="Y137" s="113"/>
      <c r="Z137" s="311"/>
      <c r="AG137" s="2461"/>
      <c r="AH137" s="68"/>
    </row>
    <row r="138" spans="1:34" x14ac:dyDescent="0.35">
      <c r="A138" s="1580"/>
      <c r="B138" s="1026"/>
      <c r="C138" s="1026"/>
      <c r="D138" s="368"/>
      <c r="E138" s="393" t="s">
        <v>10529</v>
      </c>
      <c r="F138" s="93">
        <v>4</v>
      </c>
      <c r="G138" s="2195">
        <v>5</v>
      </c>
      <c r="H138" s="2195">
        <v>6</v>
      </c>
      <c r="I138" s="1097"/>
      <c r="J138" s="1097"/>
      <c r="K138" s="576"/>
      <c r="L138" s="576"/>
      <c r="M138" s="576"/>
      <c r="N138" s="1806">
        <f>13.052-11.143</f>
        <v>1.9089999999999989</v>
      </c>
      <c r="O138" s="1807"/>
      <c r="P138" s="1806"/>
      <c r="Q138" s="1811"/>
      <c r="R138" s="1809"/>
      <c r="S138" s="113"/>
      <c r="T138" s="253"/>
      <c r="U138" s="253"/>
      <c r="V138" s="253"/>
      <c r="W138" s="113"/>
      <c r="X138" s="253"/>
      <c r="Y138" s="113"/>
      <c r="Z138" s="311"/>
      <c r="AG138" s="2461"/>
      <c r="AH138" s="68"/>
    </row>
    <row r="139" spans="1:34" ht="31" x14ac:dyDescent="0.35">
      <c r="A139" s="1580"/>
      <c r="B139" s="1026">
        <v>10384</v>
      </c>
      <c r="C139" s="1026"/>
      <c r="D139" s="368"/>
      <c r="E139" s="951" t="s">
        <v>10535</v>
      </c>
      <c r="F139" s="93">
        <v>4</v>
      </c>
      <c r="G139" s="2195">
        <v>5</v>
      </c>
      <c r="H139" s="2414" t="s">
        <v>191</v>
      </c>
      <c r="I139" s="1097"/>
      <c r="J139" s="1097"/>
      <c r="K139" s="576"/>
      <c r="L139" s="576">
        <f>13.067-13.052</f>
        <v>1.5000000000000568E-2</v>
      </c>
      <c r="M139" s="576"/>
      <c r="N139" s="576"/>
      <c r="O139" s="895"/>
      <c r="P139" s="576"/>
      <c r="Q139" s="891"/>
      <c r="R139" s="1802"/>
      <c r="S139" s="113"/>
      <c r="T139" s="253"/>
      <c r="U139" s="253"/>
      <c r="V139" s="253"/>
      <c r="W139" s="113"/>
      <c r="X139" s="253"/>
      <c r="Y139" s="113"/>
      <c r="Z139" s="311"/>
      <c r="AG139" s="2461"/>
      <c r="AH139" s="68"/>
    </row>
    <row r="140" spans="1:34" ht="30.5" x14ac:dyDescent="0.35">
      <c r="A140" s="370">
        <v>62</v>
      </c>
      <c r="B140" s="1026">
        <v>10384</v>
      </c>
      <c r="C140" s="1026"/>
      <c r="D140" s="2463" t="s">
        <v>4264</v>
      </c>
      <c r="E140" s="269" t="s">
        <v>7626</v>
      </c>
      <c r="F140" s="93" t="s">
        <v>664</v>
      </c>
      <c r="G140" s="2195">
        <v>5</v>
      </c>
      <c r="H140" s="2195">
        <v>6</v>
      </c>
      <c r="I140" s="575">
        <f t="shared" ref="I140:I152" si="12">J140+K140+L140</f>
        <v>0.5</v>
      </c>
      <c r="J140" s="575">
        <f t="shared" ref="J140:J152" si="13">SUM(M140:R140)</f>
        <v>0.5</v>
      </c>
      <c r="K140" s="577"/>
      <c r="L140" s="577"/>
      <c r="M140" s="577"/>
      <c r="N140" s="577"/>
      <c r="O140" s="896"/>
      <c r="P140" s="577"/>
      <c r="Q140" s="891"/>
      <c r="R140" s="1802">
        <v>0.5</v>
      </c>
      <c r="S140" s="113"/>
      <c r="T140" s="253"/>
      <c r="U140" s="253"/>
      <c r="V140" s="253"/>
      <c r="W140" s="113"/>
      <c r="X140" s="253"/>
      <c r="Y140" s="113"/>
      <c r="Z140" s="311"/>
      <c r="AB140" s="2">
        <v>1</v>
      </c>
      <c r="AG140" s="2461"/>
      <c r="AH140" s="68"/>
    </row>
    <row r="141" spans="1:34" ht="30.5" x14ac:dyDescent="0.35">
      <c r="A141" s="370">
        <v>63</v>
      </c>
      <c r="B141" s="1026">
        <v>10384</v>
      </c>
      <c r="C141" s="1026"/>
      <c r="D141" s="2463" t="s">
        <v>4265</v>
      </c>
      <c r="E141" s="269" t="s">
        <v>7627</v>
      </c>
      <c r="F141" s="93" t="s">
        <v>664</v>
      </c>
      <c r="G141" s="2195">
        <v>5</v>
      </c>
      <c r="H141" s="2195">
        <v>6</v>
      </c>
      <c r="I141" s="575">
        <f t="shared" si="12"/>
        <v>0.4</v>
      </c>
      <c r="J141" s="575">
        <f t="shared" si="13"/>
        <v>0.4</v>
      </c>
      <c r="K141" s="577"/>
      <c r="L141" s="577"/>
      <c r="M141" s="577"/>
      <c r="N141" s="577"/>
      <c r="O141" s="896"/>
      <c r="P141" s="577"/>
      <c r="Q141" s="891"/>
      <c r="R141" s="1802">
        <v>0.4</v>
      </c>
      <c r="S141" s="113"/>
      <c r="T141" s="253"/>
      <c r="U141" s="253"/>
      <c r="V141" s="253"/>
      <c r="W141" s="113"/>
      <c r="X141" s="253"/>
      <c r="Y141" s="113"/>
      <c r="Z141" s="311"/>
      <c r="AB141" s="2">
        <v>1</v>
      </c>
      <c r="AG141" s="2461"/>
      <c r="AH141" s="68"/>
    </row>
    <row r="142" spans="1:34" ht="30.5" x14ac:dyDescent="0.35">
      <c r="A142" s="370">
        <v>64</v>
      </c>
      <c r="B142" s="1026">
        <v>10384</v>
      </c>
      <c r="C142" s="365" t="s">
        <v>1656</v>
      </c>
      <c r="D142" s="2463" t="s">
        <v>4266</v>
      </c>
      <c r="E142" s="269" t="s">
        <v>8380</v>
      </c>
      <c r="F142" s="93" t="s">
        <v>664</v>
      </c>
      <c r="G142" s="2195">
        <v>5</v>
      </c>
      <c r="H142" s="2195">
        <v>6</v>
      </c>
      <c r="I142" s="575">
        <f t="shared" si="12"/>
        <v>0.8</v>
      </c>
      <c r="J142" s="575">
        <f t="shared" si="13"/>
        <v>0.8</v>
      </c>
      <c r="K142" s="577"/>
      <c r="L142" s="577"/>
      <c r="M142" s="577"/>
      <c r="N142" s="577"/>
      <c r="O142" s="896"/>
      <c r="P142" s="577"/>
      <c r="Q142" s="891"/>
      <c r="R142" s="1802">
        <v>0.8</v>
      </c>
      <c r="S142" s="113"/>
      <c r="T142" s="253"/>
      <c r="U142" s="253"/>
      <c r="V142" s="253"/>
      <c r="W142" s="113"/>
      <c r="X142" s="253"/>
      <c r="Y142" s="113"/>
      <c r="Z142" s="311"/>
      <c r="AB142" s="2">
        <v>1</v>
      </c>
      <c r="AG142" s="2461"/>
      <c r="AH142" s="68"/>
    </row>
    <row r="143" spans="1:34" ht="30.5" x14ac:dyDescent="0.35">
      <c r="A143" s="370">
        <v>65</v>
      </c>
      <c r="B143" s="1026">
        <v>10384</v>
      </c>
      <c r="C143" s="1026" t="s">
        <v>2435</v>
      </c>
      <c r="D143" s="2463" t="s">
        <v>4267</v>
      </c>
      <c r="E143" s="269" t="s">
        <v>9318</v>
      </c>
      <c r="F143" s="93">
        <v>5</v>
      </c>
      <c r="G143" s="2195">
        <v>5</v>
      </c>
      <c r="H143" s="2195">
        <v>6</v>
      </c>
      <c r="I143" s="575">
        <f t="shared" si="12"/>
        <v>0.55000000000000004</v>
      </c>
      <c r="J143" s="575">
        <f t="shared" si="13"/>
        <v>0.55000000000000004</v>
      </c>
      <c r="K143" s="577"/>
      <c r="L143" s="577"/>
      <c r="M143" s="577"/>
      <c r="N143" s="577">
        <v>0.55000000000000004</v>
      </c>
      <c r="O143" s="896"/>
      <c r="P143" s="577"/>
      <c r="Q143" s="891"/>
      <c r="R143" s="1802"/>
      <c r="S143" s="113"/>
      <c r="T143" s="253"/>
      <c r="U143" s="253"/>
      <c r="V143" s="253"/>
      <c r="W143" s="113"/>
      <c r="X143" s="253"/>
      <c r="Y143" s="113"/>
      <c r="Z143" s="311"/>
      <c r="AB143" s="2">
        <v>1</v>
      </c>
      <c r="AG143" s="2461"/>
      <c r="AH143" s="68"/>
    </row>
    <row r="144" spans="1:34" ht="30" x14ac:dyDescent="0.35">
      <c r="A144" s="370">
        <v>66</v>
      </c>
      <c r="B144" s="1026">
        <v>10385</v>
      </c>
      <c r="C144" s="1026"/>
      <c r="D144" s="365" t="s">
        <v>2697</v>
      </c>
      <c r="E144" s="312" t="s">
        <v>3408</v>
      </c>
      <c r="F144" s="93">
        <v>4</v>
      </c>
      <c r="G144" s="2195">
        <v>5</v>
      </c>
      <c r="H144" s="2414">
        <v>6</v>
      </c>
      <c r="I144" s="575">
        <f t="shared" si="12"/>
        <v>7.9470000000000001</v>
      </c>
      <c r="J144" s="575">
        <f t="shared" si="13"/>
        <v>7.9470000000000001</v>
      </c>
      <c r="K144" s="577"/>
      <c r="L144" s="577"/>
      <c r="M144" s="577"/>
      <c r="N144" s="577"/>
      <c r="O144" s="896"/>
      <c r="P144" s="577"/>
      <c r="Q144" s="891">
        <v>7.9470000000000001</v>
      </c>
      <c r="R144" s="1802"/>
      <c r="S144" s="113"/>
      <c r="T144" s="253"/>
      <c r="U144" s="253"/>
      <c r="V144" s="253"/>
      <c r="W144" s="113">
        <v>20</v>
      </c>
      <c r="X144" s="253">
        <v>286.55</v>
      </c>
      <c r="Y144" s="113">
        <v>7</v>
      </c>
      <c r="Z144" s="311">
        <v>70</v>
      </c>
      <c r="AA144" s="2" t="s">
        <v>1870</v>
      </c>
      <c r="AB144" s="2">
        <v>1</v>
      </c>
      <c r="AG144" s="2461"/>
      <c r="AH144" s="68"/>
    </row>
    <row r="145" spans="1:34" ht="30.5" x14ac:dyDescent="0.35">
      <c r="A145" s="370">
        <v>67</v>
      </c>
      <c r="B145" s="1026">
        <v>10385</v>
      </c>
      <c r="C145" s="1026"/>
      <c r="D145" s="2463" t="s">
        <v>4268</v>
      </c>
      <c r="E145" s="269" t="s">
        <v>7628</v>
      </c>
      <c r="F145" s="93" t="s">
        <v>664</v>
      </c>
      <c r="G145" s="2195">
        <v>5</v>
      </c>
      <c r="H145" s="2195">
        <v>6</v>
      </c>
      <c r="I145" s="575">
        <f t="shared" si="12"/>
        <v>1.2</v>
      </c>
      <c r="J145" s="575">
        <f t="shared" si="13"/>
        <v>1.2</v>
      </c>
      <c r="K145" s="577"/>
      <c r="L145" s="577"/>
      <c r="M145" s="577"/>
      <c r="N145" s="577"/>
      <c r="O145" s="896"/>
      <c r="P145" s="577"/>
      <c r="Q145" s="891"/>
      <c r="R145" s="1802">
        <v>1.2</v>
      </c>
      <c r="S145" s="113"/>
      <c r="T145" s="253"/>
      <c r="U145" s="253"/>
      <c r="V145" s="253"/>
      <c r="W145" s="113"/>
      <c r="X145" s="253"/>
      <c r="Y145" s="113"/>
      <c r="Z145" s="311"/>
      <c r="AB145" s="2">
        <v>1</v>
      </c>
      <c r="AG145" s="2461"/>
      <c r="AH145" s="68"/>
    </row>
    <row r="146" spans="1:34" ht="30.5" x14ac:dyDescent="0.35">
      <c r="A146" s="370">
        <v>68</v>
      </c>
      <c r="B146" s="1026">
        <v>10385</v>
      </c>
      <c r="C146" s="1026"/>
      <c r="D146" s="2463" t="s">
        <v>4269</v>
      </c>
      <c r="E146" s="269" t="s">
        <v>11188</v>
      </c>
      <c r="F146" s="93">
        <v>5</v>
      </c>
      <c r="G146" s="2195">
        <v>5</v>
      </c>
      <c r="H146" s="2195">
        <v>6</v>
      </c>
      <c r="I146" s="575">
        <f t="shared" si="12"/>
        <v>4.5</v>
      </c>
      <c r="J146" s="575">
        <f t="shared" si="13"/>
        <v>4.5</v>
      </c>
      <c r="K146" s="577"/>
      <c r="L146" s="577"/>
      <c r="M146" s="577"/>
      <c r="N146" s="577"/>
      <c r="O146" s="896"/>
      <c r="P146" s="577"/>
      <c r="Q146" s="891"/>
      <c r="R146" s="1803">
        <v>4.5</v>
      </c>
      <c r="S146" s="163"/>
      <c r="T146" s="248"/>
      <c r="U146" s="248"/>
      <c r="V146" s="248"/>
      <c r="W146" s="163"/>
      <c r="X146" s="248"/>
      <c r="Y146" s="113"/>
      <c r="Z146" s="311"/>
      <c r="AB146" s="2">
        <v>1</v>
      </c>
      <c r="AG146" s="2461"/>
      <c r="AH146" s="68"/>
    </row>
    <row r="147" spans="1:34" ht="30" x14ac:dyDescent="0.35">
      <c r="A147" s="370">
        <v>69</v>
      </c>
      <c r="B147" s="693">
        <v>10385</v>
      </c>
      <c r="C147" s="365" t="s">
        <v>1656</v>
      </c>
      <c r="D147" s="2463" t="s">
        <v>4270</v>
      </c>
      <c r="E147" s="2187" t="s">
        <v>11104</v>
      </c>
      <c r="F147" s="92" t="s">
        <v>664</v>
      </c>
      <c r="G147" s="92">
        <v>5</v>
      </c>
      <c r="H147" s="2195">
        <v>6</v>
      </c>
      <c r="I147" s="2102">
        <f>J147+K147+L147</f>
        <v>1.35</v>
      </c>
      <c r="J147" s="2102">
        <f>SUM(M147:R147)</f>
        <v>1.35</v>
      </c>
      <c r="K147" s="2088"/>
      <c r="L147" s="2088"/>
      <c r="M147" s="2088"/>
      <c r="N147" s="2088"/>
      <c r="O147" s="2088"/>
      <c r="P147" s="2088"/>
      <c r="Q147" s="2088"/>
      <c r="R147" s="906">
        <v>1.35</v>
      </c>
      <c r="S147" s="2101"/>
      <c r="T147" s="2101"/>
      <c r="U147" s="2101"/>
      <c r="V147" s="2101"/>
      <c r="W147" s="146"/>
      <c r="X147" s="146"/>
      <c r="Y147" s="146"/>
      <c r="Z147" s="146"/>
      <c r="AA147" s="2" t="s">
        <v>11106</v>
      </c>
      <c r="AB147" s="2">
        <v>1</v>
      </c>
      <c r="AG147" s="2461"/>
      <c r="AH147" s="68"/>
    </row>
    <row r="148" spans="1:34" ht="30.5" x14ac:dyDescent="0.35">
      <c r="A148" s="370">
        <v>70</v>
      </c>
      <c r="B148" s="1026">
        <v>10385</v>
      </c>
      <c r="C148" s="1026"/>
      <c r="D148" s="2463" t="s">
        <v>4271</v>
      </c>
      <c r="E148" s="269" t="s">
        <v>7629</v>
      </c>
      <c r="F148" s="93" t="s">
        <v>664</v>
      </c>
      <c r="G148" s="2195">
        <v>5</v>
      </c>
      <c r="H148" s="2195">
        <v>6</v>
      </c>
      <c r="I148" s="575">
        <f t="shared" si="12"/>
        <v>1.5</v>
      </c>
      <c r="J148" s="575">
        <f t="shared" si="13"/>
        <v>1.5</v>
      </c>
      <c r="K148" s="577"/>
      <c r="L148" s="577"/>
      <c r="M148" s="577"/>
      <c r="N148" s="577"/>
      <c r="O148" s="896"/>
      <c r="P148" s="577"/>
      <c r="Q148" s="891"/>
      <c r="R148" s="1803">
        <v>1.5</v>
      </c>
      <c r="S148" s="163"/>
      <c r="T148" s="248"/>
      <c r="U148" s="248"/>
      <c r="V148" s="248"/>
      <c r="W148" s="163"/>
      <c r="X148" s="248"/>
      <c r="Y148" s="113"/>
      <c r="Z148" s="311"/>
      <c r="AB148" s="2">
        <v>1</v>
      </c>
      <c r="AG148" s="2461"/>
      <c r="AH148" s="68"/>
    </row>
    <row r="149" spans="1:34" ht="30.5" x14ac:dyDescent="0.35">
      <c r="A149" s="370">
        <v>71</v>
      </c>
      <c r="B149" s="1026">
        <v>10385</v>
      </c>
      <c r="C149" s="365" t="s">
        <v>1656</v>
      </c>
      <c r="D149" s="2463" t="s">
        <v>4272</v>
      </c>
      <c r="E149" s="269" t="s">
        <v>11105</v>
      </c>
      <c r="F149" s="93" t="s">
        <v>664</v>
      </c>
      <c r="G149" s="2195">
        <v>5</v>
      </c>
      <c r="H149" s="2195">
        <v>6</v>
      </c>
      <c r="I149" s="575">
        <f t="shared" si="12"/>
        <v>1.55</v>
      </c>
      <c r="J149" s="575">
        <f t="shared" si="13"/>
        <v>1.55</v>
      </c>
      <c r="K149" s="577"/>
      <c r="L149" s="577"/>
      <c r="M149" s="577"/>
      <c r="N149" s="577"/>
      <c r="O149" s="896"/>
      <c r="P149" s="577"/>
      <c r="Q149" s="891"/>
      <c r="R149" s="1803">
        <v>1.55</v>
      </c>
      <c r="S149" s="163"/>
      <c r="T149" s="248"/>
      <c r="U149" s="248"/>
      <c r="V149" s="248"/>
      <c r="W149" s="163"/>
      <c r="X149" s="248"/>
      <c r="Y149" s="113"/>
      <c r="Z149" s="311"/>
      <c r="AB149" s="2">
        <v>1</v>
      </c>
      <c r="AG149" s="2461"/>
      <c r="AH149" s="68"/>
    </row>
    <row r="150" spans="1:34" ht="30.5" x14ac:dyDescent="0.35">
      <c r="A150" s="370">
        <v>72</v>
      </c>
      <c r="B150" s="1026">
        <v>10385</v>
      </c>
      <c r="C150" s="1026"/>
      <c r="D150" s="2463" t="s">
        <v>4273</v>
      </c>
      <c r="E150" s="269" t="s">
        <v>7630</v>
      </c>
      <c r="F150" s="93">
        <v>5</v>
      </c>
      <c r="G150" s="2195">
        <v>5</v>
      </c>
      <c r="H150" s="2414">
        <v>6</v>
      </c>
      <c r="I150" s="575">
        <f>J150+K150+L150</f>
        <v>2.6</v>
      </c>
      <c r="J150" s="575">
        <f>SUM(M150:R150)</f>
        <v>2.6</v>
      </c>
      <c r="K150" s="577"/>
      <c r="L150" s="577"/>
      <c r="M150" s="577"/>
      <c r="N150" s="577"/>
      <c r="O150" s="896"/>
      <c r="P150" s="577"/>
      <c r="Q150" s="1810">
        <v>2.6</v>
      </c>
      <c r="R150" s="1803"/>
      <c r="S150" s="163">
        <v>1</v>
      </c>
      <c r="T150" s="248">
        <v>9</v>
      </c>
      <c r="U150" s="248">
        <v>1</v>
      </c>
      <c r="V150" s="248">
        <v>9</v>
      </c>
      <c r="W150" s="163">
        <v>6</v>
      </c>
      <c r="X150" s="248">
        <v>53.9</v>
      </c>
      <c r="Y150" s="113">
        <v>3</v>
      </c>
      <c r="Z150" s="311">
        <v>20.100000000000001</v>
      </c>
      <c r="AB150" s="2">
        <v>1</v>
      </c>
      <c r="AC150" s="2265" t="s">
        <v>146</v>
      </c>
      <c r="AD150" s="2266">
        <v>32917</v>
      </c>
      <c r="AE150" s="282">
        <v>1990</v>
      </c>
      <c r="AF150" s="2" t="s">
        <v>2017</v>
      </c>
      <c r="AG150" s="2461"/>
      <c r="AH150" s="68"/>
    </row>
    <row r="151" spans="1:34" ht="45.5" x14ac:dyDescent="0.35">
      <c r="A151" s="370">
        <v>73</v>
      </c>
      <c r="B151" s="1026">
        <v>10385</v>
      </c>
      <c r="C151" s="1026"/>
      <c r="D151" s="2463" t="s">
        <v>7108</v>
      </c>
      <c r="E151" s="269" t="s">
        <v>7631</v>
      </c>
      <c r="F151" s="93">
        <v>5</v>
      </c>
      <c r="G151" s="2195">
        <v>5</v>
      </c>
      <c r="H151" s="2414">
        <v>6</v>
      </c>
      <c r="I151" s="575">
        <f>J151+K151+L151</f>
        <v>0.3</v>
      </c>
      <c r="J151" s="575">
        <f>SUM(M151:R151)</f>
        <v>0.3</v>
      </c>
      <c r="K151" s="577"/>
      <c r="L151" s="577"/>
      <c r="M151" s="577"/>
      <c r="N151" s="577"/>
      <c r="O151" s="896"/>
      <c r="P151" s="577"/>
      <c r="Q151" s="1810">
        <v>0.3</v>
      </c>
      <c r="R151" s="1803"/>
      <c r="S151" s="163"/>
      <c r="T151" s="248"/>
      <c r="U151" s="248"/>
      <c r="V151" s="248"/>
      <c r="W151" s="163"/>
      <c r="X151" s="248"/>
      <c r="Y151" s="113"/>
      <c r="Z151" s="311"/>
      <c r="AB151" s="2">
        <v>1</v>
      </c>
      <c r="AC151" s="2265" t="s">
        <v>146</v>
      </c>
      <c r="AD151" s="2266">
        <v>32917</v>
      </c>
      <c r="AE151" s="282">
        <v>1990</v>
      </c>
      <c r="AF151" s="2" t="s">
        <v>2017</v>
      </c>
      <c r="AG151" s="2461"/>
      <c r="AH151" s="68"/>
    </row>
    <row r="152" spans="1:34" ht="30.5" x14ac:dyDescent="0.35">
      <c r="A152" s="370">
        <v>74</v>
      </c>
      <c r="B152" s="1026">
        <v>10386</v>
      </c>
      <c r="C152" s="1026"/>
      <c r="D152" s="365" t="s">
        <v>2698</v>
      </c>
      <c r="E152" s="269" t="s">
        <v>9767</v>
      </c>
      <c r="F152" s="93"/>
      <c r="G152" s="2195" t="s">
        <v>191</v>
      </c>
      <c r="H152" s="2414" t="s">
        <v>191</v>
      </c>
      <c r="I152" s="575">
        <f t="shared" si="12"/>
        <v>7.7380000000000004</v>
      </c>
      <c r="J152" s="575">
        <f t="shared" si="13"/>
        <v>7.7380000000000004</v>
      </c>
      <c r="K152" s="577"/>
      <c r="L152" s="577"/>
      <c r="M152" s="577"/>
      <c r="N152" s="577">
        <f>SUM(N153:N155)</f>
        <v>4.6859999999999999</v>
      </c>
      <c r="O152" s="896"/>
      <c r="P152" s="577"/>
      <c r="Q152" s="891">
        <f>SUM(Q153:Q155)</f>
        <v>1.3200000000000003</v>
      </c>
      <c r="R152" s="1803">
        <f>SUM(R153:R155)</f>
        <v>1.7320000000000002</v>
      </c>
      <c r="S152" s="163"/>
      <c r="T152" s="248"/>
      <c r="U152" s="248"/>
      <c r="V152" s="248"/>
      <c r="W152" s="163">
        <v>8</v>
      </c>
      <c r="X152" s="248">
        <v>120.22</v>
      </c>
      <c r="Y152" s="113"/>
      <c r="Z152" s="311"/>
      <c r="AB152" s="2">
        <v>1</v>
      </c>
      <c r="AG152" s="2461"/>
      <c r="AH152" s="68"/>
    </row>
    <row r="153" spans="1:34" x14ac:dyDescent="0.35">
      <c r="A153" s="1580"/>
      <c r="B153" s="1026">
        <v>10386</v>
      </c>
      <c r="C153" s="1026"/>
      <c r="D153" s="368"/>
      <c r="E153" s="270" t="s">
        <v>3409</v>
      </c>
      <c r="F153" s="93">
        <v>4</v>
      </c>
      <c r="G153" s="2195">
        <v>5</v>
      </c>
      <c r="H153" s="2195">
        <v>6</v>
      </c>
      <c r="I153" s="1097"/>
      <c r="J153" s="1097"/>
      <c r="K153" s="576"/>
      <c r="L153" s="576"/>
      <c r="M153" s="576"/>
      <c r="N153" s="576">
        <v>4.6859999999999999</v>
      </c>
      <c r="O153" s="2196"/>
      <c r="P153" s="576"/>
      <c r="Q153" s="1813"/>
      <c r="R153" s="1809"/>
      <c r="S153" s="163"/>
      <c r="T153" s="248"/>
      <c r="U153" s="248"/>
      <c r="V153" s="248"/>
      <c r="W153" s="163"/>
      <c r="X153" s="248"/>
      <c r="Y153" s="113"/>
      <c r="Z153" s="311"/>
      <c r="AG153" s="2461"/>
      <c r="AH153" s="68"/>
    </row>
    <row r="154" spans="1:34" x14ac:dyDescent="0.35">
      <c r="A154" s="1580"/>
      <c r="B154" s="1026"/>
      <c r="C154" s="1026"/>
      <c r="D154" s="368"/>
      <c r="E154" s="899" t="s">
        <v>3410</v>
      </c>
      <c r="F154" s="93">
        <v>5</v>
      </c>
      <c r="G154" s="2195">
        <v>5</v>
      </c>
      <c r="H154" s="2195">
        <v>6</v>
      </c>
      <c r="I154" s="1097"/>
      <c r="J154" s="1097"/>
      <c r="K154" s="576"/>
      <c r="L154" s="576"/>
      <c r="M154" s="576"/>
      <c r="N154" s="576"/>
      <c r="O154" s="2196"/>
      <c r="P154" s="576"/>
      <c r="Q154" s="1813"/>
      <c r="R154" s="1809">
        <f>6.418-4.686</f>
        <v>1.7320000000000002</v>
      </c>
      <c r="S154" s="163"/>
      <c r="T154" s="248"/>
      <c r="U154" s="248"/>
      <c r="V154" s="248"/>
      <c r="W154" s="163"/>
      <c r="X154" s="248"/>
      <c r="Y154" s="113"/>
      <c r="Z154" s="311"/>
      <c r="AG154" s="2461"/>
      <c r="AH154" s="68"/>
    </row>
    <row r="155" spans="1:34" x14ac:dyDescent="0.35">
      <c r="A155" s="1580"/>
      <c r="B155" s="1026">
        <v>10386</v>
      </c>
      <c r="C155" s="1026"/>
      <c r="D155" s="368"/>
      <c r="E155" s="2234" t="s">
        <v>3411</v>
      </c>
      <c r="F155" s="93">
        <v>5</v>
      </c>
      <c r="G155" s="2195">
        <v>5</v>
      </c>
      <c r="H155" s="2414">
        <v>6</v>
      </c>
      <c r="I155" s="578"/>
      <c r="J155" s="578"/>
      <c r="K155" s="578"/>
      <c r="L155" s="578"/>
      <c r="M155" s="578"/>
      <c r="N155" s="576"/>
      <c r="O155" s="897"/>
      <c r="P155" s="578"/>
      <c r="Q155" s="1813">
        <f>7.738-6.418</f>
        <v>1.3200000000000003</v>
      </c>
      <c r="R155" s="1809"/>
      <c r="S155" s="163"/>
      <c r="T155" s="248"/>
      <c r="U155" s="248"/>
      <c r="V155" s="248"/>
      <c r="W155" s="163"/>
      <c r="X155" s="248"/>
      <c r="Y155" s="113"/>
      <c r="Z155" s="311"/>
      <c r="AG155" s="2461"/>
      <c r="AH155" s="68"/>
    </row>
    <row r="156" spans="1:34" ht="45.5" x14ac:dyDescent="0.35">
      <c r="A156" s="370">
        <v>75</v>
      </c>
      <c r="B156" s="1026">
        <v>10386</v>
      </c>
      <c r="C156" s="1026"/>
      <c r="D156" s="2463" t="s">
        <v>4274</v>
      </c>
      <c r="E156" s="269" t="s">
        <v>9768</v>
      </c>
      <c r="F156" s="93" t="s">
        <v>664</v>
      </c>
      <c r="G156" s="2195">
        <v>5</v>
      </c>
      <c r="H156" s="2195">
        <v>6</v>
      </c>
      <c r="I156" s="577">
        <f>J156+K156+L156</f>
        <v>0.4</v>
      </c>
      <c r="J156" s="577">
        <f>SUM(M156:R156)</f>
        <v>0.4</v>
      </c>
      <c r="K156" s="577"/>
      <c r="L156" s="577"/>
      <c r="M156" s="577"/>
      <c r="N156" s="577"/>
      <c r="O156" s="896"/>
      <c r="P156" s="577"/>
      <c r="Q156" s="891"/>
      <c r="R156" s="1803">
        <v>0.4</v>
      </c>
      <c r="S156" s="163"/>
      <c r="T156" s="248"/>
      <c r="U156" s="248"/>
      <c r="V156" s="248"/>
      <c r="W156" s="163"/>
      <c r="X156" s="248"/>
      <c r="Y156" s="113"/>
      <c r="Z156" s="311"/>
      <c r="AB156" s="2">
        <v>1</v>
      </c>
      <c r="AG156" s="2461"/>
      <c r="AH156" s="68"/>
    </row>
    <row r="157" spans="1:34" ht="45" x14ac:dyDescent="0.35">
      <c r="A157" s="370">
        <v>76</v>
      </c>
      <c r="B157" s="693">
        <v>10386</v>
      </c>
      <c r="C157" s="693"/>
      <c r="D157" s="2463" t="s">
        <v>4275</v>
      </c>
      <c r="E157" s="2187" t="s">
        <v>9769</v>
      </c>
      <c r="F157" s="92" t="s">
        <v>664</v>
      </c>
      <c r="G157" s="92">
        <v>5</v>
      </c>
      <c r="H157" s="2195">
        <v>6</v>
      </c>
      <c r="I157" s="2102">
        <f>J157+K157+L157</f>
        <v>0.6</v>
      </c>
      <c r="J157" s="2102">
        <f>SUM(M157:R157)</f>
        <v>0.6</v>
      </c>
      <c r="K157" s="2088"/>
      <c r="L157" s="2088"/>
      <c r="M157" s="2088"/>
      <c r="N157" s="2088"/>
      <c r="O157" s="2088"/>
      <c r="P157" s="2088"/>
      <c r="Q157" s="2088"/>
      <c r="R157" s="906">
        <v>0.6</v>
      </c>
      <c r="S157" s="2101"/>
      <c r="T157" s="2101"/>
      <c r="U157" s="2101"/>
      <c r="V157" s="2101"/>
      <c r="W157" s="146"/>
      <c r="X157" s="146"/>
      <c r="Y157" s="146"/>
      <c r="Z157" s="2103"/>
      <c r="AB157" s="2">
        <v>1</v>
      </c>
      <c r="AG157" s="2461"/>
      <c r="AH157" s="68"/>
    </row>
    <row r="158" spans="1:34" ht="30" x14ac:dyDescent="0.35">
      <c r="A158" s="693">
        <v>77</v>
      </c>
      <c r="B158" s="1026">
        <v>10387</v>
      </c>
      <c r="C158" s="1026"/>
      <c r="D158" s="365" t="s">
        <v>2699</v>
      </c>
      <c r="E158" s="269" t="s">
        <v>2288</v>
      </c>
      <c r="F158" s="93"/>
      <c r="G158" s="2195" t="s">
        <v>191</v>
      </c>
      <c r="H158" s="2414" t="s">
        <v>191</v>
      </c>
      <c r="I158" s="575">
        <f>J158+K158+L158</f>
        <v>5.2</v>
      </c>
      <c r="J158" s="575">
        <f>SUM(M158:R158)</f>
        <v>5.2</v>
      </c>
      <c r="K158" s="577"/>
      <c r="L158" s="577"/>
      <c r="M158" s="577"/>
      <c r="N158" s="577">
        <f>SUM(N159:N161)</f>
        <v>1</v>
      </c>
      <c r="O158" s="896"/>
      <c r="P158" s="577"/>
      <c r="Q158" s="891">
        <f>SUM(Q159:Q161)</f>
        <v>2</v>
      </c>
      <c r="R158" s="1803">
        <f>SUM(R159:R161)</f>
        <v>2.2000000000000002</v>
      </c>
      <c r="S158" s="163">
        <v>1</v>
      </c>
      <c r="T158" s="248">
        <v>12</v>
      </c>
      <c r="U158" s="248"/>
      <c r="V158" s="248"/>
      <c r="W158" s="163"/>
      <c r="X158" s="248"/>
      <c r="Y158" s="113"/>
      <c r="Z158" s="311"/>
      <c r="AB158" s="2">
        <v>1</v>
      </c>
      <c r="AG158" s="2461"/>
      <c r="AH158" s="68"/>
    </row>
    <row r="159" spans="1:34" x14ac:dyDescent="0.35">
      <c r="A159" s="1580"/>
      <c r="B159" s="1026">
        <v>10387</v>
      </c>
      <c r="C159" s="1026"/>
      <c r="D159" s="368"/>
      <c r="E159" s="270" t="s">
        <v>2628</v>
      </c>
      <c r="F159" s="93">
        <v>5</v>
      </c>
      <c r="G159" s="2195">
        <v>5</v>
      </c>
      <c r="H159" s="2195">
        <v>6</v>
      </c>
      <c r="I159" s="1097"/>
      <c r="J159" s="1097"/>
      <c r="K159" s="576"/>
      <c r="L159" s="576"/>
      <c r="M159" s="576"/>
      <c r="N159" s="576">
        <v>1</v>
      </c>
      <c r="O159" s="2196"/>
      <c r="P159" s="576"/>
      <c r="Q159" s="1813"/>
      <c r="R159" s="1809"/>
      <c r="S159" s="163"/>
      <c r="T159" s="248"/>
      <c r="U159" s="248"/>
      <c r="V159" s="248"/>
      <c r="W159" s="163"/>
      <c r="X159" s="248"/>
      <c r="Y159" s="113"/>
      <c r="Z159" s="311"/>
      <c r="AG159" s="2461"/>
      <c r="AH159" s="68"/>
    </row>
    <row r="160" spans="1:34" x14ac:dyDescent="0.35">
      <c r="A160" s="1580"/>
      <c r="B160" s="1026">
        <v>10387</v>
      </c>
      <c r="C160" s="1026"/>
      <c r="D160" s="368"/>
      <c r="E160" s="2234" t="s">
        <v>2289</v>
      </c>
      <c r="F160" s="93">
        <v>5</v>
      </c>
      <c r="G160" s="2195">
        <v>5</v>
      </c>
      <c r="H160" s="2414">
        <v>6</v>
      </c>
      <c r="I160" s="1097"/>
      <c r="J160" s="1097"/>
      <c r="K160" s="576"/>
      <c r="L160" s="576"/>
      <c r="M160" s="576"/>
      <c r="N160" s="576"/>
      <c r="O160" s="2196"/>
      <c r="P160" s="576"/>
      <c r="Q160" s="1813">
        <v>2</v>
      </c>
      <c r="R160" s="1809"/>
      <c r="S160" s="163"/>
      <c r="T160" s="248"/>
      <c r="U160" s="248"/>
      <c r="V160" s="248"/>
      <c r="W160" s="163"/>
      <c r="X160" s="248"/>
      <c r="Y160" s="113"/>
      <c r="Z160" s="311"/>
      <c r="AG160" s="2461"/>
      <c r="AH160" s="68"/>
    </row>
    <row r="161" spans="1:34" x14ac:dyDescent="0.35">
      <c r="A161" s="1580"/>
      <c r="B161" s="1026">
        <v>10387</v>
      </c>
      <c r="C161" s="1026"/>
      <c r="D161" s="368"/>
      <c r="E161" s="878" t="s">
        <v>2290</v>
      </c>
      <c r="F161" s="93">
        <v>5</v>
      </c>
      <c r="G161" s="2195">
        <v>5</v>
      </c>
      <c r="H161" s="2195">
        <v>6</v>
      </c>
      <c r="I161" s="1097"/>
      <c r="J161" s="1097"/>
      <c r="K161" s="576"/>
      <c r="L161" s="576"/>
      <c r="M161" s="576"/>
      <c r="N161" s="576"/>
      <c r="O161" s="2196"/>
      <c r="P161" s="576"/>
      <c r="Q161" s="1813"/>
      <c r="R161" s="1809">
        <v>2.2000000000000002</v>
      </c>
      <c r="S161" s="163"/>
      <c r="T161" s="248"/>
      <c r="U161" s="248"/>
      <c r="V161" s="248"/>
      <c r="W161" s="163"/>
      <c r="X161" s="248"/>
      <c r="Y161" s="113"/>
      <c r="Z161" s="311"/>
      <c r="AG161" s="2461"/>
      <c r="AH161" s="68"/>
    </row>
    <row r="162" spans="1:34" ht="30.5" x14ac:dyDescent="0.35">
      <c r="A162" s="370">
        <v>78</v>
      </c>
      <c r="B162" s="1026">
        <v>10387</v>
      </c>
      <c r="C162" s="365" t="s">
        <v>1656</v>
      </c>
      <c r="D162" s="2463" t="s">
        <v>4276</v>
      </c>
      <c r="E162" s="269" t="s">
        <v>8381</v>
      </c>
      <c r="F162" s="93" t="s">
        <v>664</v>
      </c>
      <c r="G162" s="2195">
        <v>5</v>
      </c>
      <c r="H162" s="2195">
        <v>6</v>
      </c>
      <c r="I162" s="577">
        <f t="shared" ref="I162:I192" si="14">J162+K162+L162</f>
        <v>0.3</v>
      </c>
      <c r="J162" s="577">
        <f t="shared" ref="J162:J192" si="15">SUM(M162:R162)</f>
        <v>0.3</v>
      </c>
      <c r="K162" s="577"/>
      <c r="L162" s="577"/>
      <c r="M162" s="577"/>
      <c r="N162" s="577"/>
      <c r="O162" s="896"/>
      <c r="P162" s="577"/>
      <c r="Q162" s="891"/>
      <c r="R162" s="1803">
        <v>0.3</v>
      </c>
      <c r="S162" s="163"/>
      <c r="T162" s="248"/>
      <c r="U162" s="248"/>
      <c r="V162" s="248"/>
      <c r="W162" s="163"/>
      <c r="X162" s="248"/>
      <c r="Y162" s="113"/>
      <c r="Z162" s="311"/>
      <c r="AB162" s="2">
        <v>1</v>
      </c>
      <c r="AG162" s="2461"/>
      <c r="AH162" s="68"/>
    </row>
    <row r="163" spans="1:34" ht="30" x14ac:dyDescent="0.35">
      <c r="A163" s="370">
        <v>79</v>
      </c>
      <c r="B163" s="1026">
        <v>10388</v>
      </c>
      <c r="C163" s="1026"/>
      <c r="D163" s="365" t="s">
        <v>1531</v>
      </c>
      <c r="E163" s="269" t="s">
        <v>3365</v>
      </c>
      <c r="F163" s="93" t="s">
        <v>664</v>
      </c>
      <c r="G163" s="2195">
        <v>5</v>
      </c>
      <c r="H163" s="2195">
        <v>6</v>
      </c>
      <c r="I163" s="577">
        <f t="shared" si="14"/>
        <v>2.6</v>
      </c>
      <c r="J163" s="577">
        <f t="shared" si="15"/>
        <v>2.6</v>
      </c>
      <c r="K163" s="577"/>
      <c r="L163" s="577"/>
      <c r="M163" s="577"/>
      <c r="N163" s="577"/>
      <c r="O163" s="896"/>
      <c r="P163" s="577"/>
      <c r="Q163" s="891"/>
      <c r="R163" s="1803">
        <v>2.6</v>
      </c>
      <c r="S163" s="163"/>
      <c r="T163" s="248"/>
      <c r="U163" s="248"/>
      <c r="V163" s="248"/>
      <c r="W163" s="163"/>
      <c r="X163" s="248"/>
      <c r="Y163" s="113"/>
      <c r="Z163" s="311"/>
      <c r="AB163" s="2">
        <v>1</v>
      </c>
      <c r="AG163" s="2461"/>
      <c r="AH163" s="68"/>
    </row>
    <row r="164" spans="1:34" ht="30" x14ac:dyDescent="0.35">
      <c r="A164" s="370">
        <v>80</v>
      </c>
      <c r="B164" s="1026">
        <v>10389</v>
      </c>
      <c r="C164" s="1026"/>
      <c r="D164" s="365" t="s">
        <v>1511</v>
      </c>
      <c r="E164" s="269" t="s">
        <v>7109</v>
      </c>
      <c r="F164" s="93" t="s">
        <v>664</v>
      </c>
      <c r="G164" s="2195">
        <v>5</v>
      </c>
      <c r="H164" s="2195">
        <v>6</v>
      </c>
      <c r="I164" s="575">
        <f t="shared" si="14"/>
        <v>4.5</v>
      </c>
      <c r="J164" s="575">
        <f t="shared" si="15"/>
        <v>4.5</v>
      </c>
      <c r="K164" s="577"/>
      <c r="L164" s="577"/>
      <c r="M164" s="577"/>
      <c r="N164" s="577"/>
      <c r="O164" s="896"/>
      <c r="P164" s="577"/>
      <c r="Q164" s="891"/>
      <c r="R164" s="1803">
        <v>4.5</v>
      </c>
      <c r="S164" s="163"/>
      <c r="T164" s="248"/>
      <c r="U164" s="248"/>
      <c r="V164" s="248"/>
      <c r="W164" s="163"/>
      <c r="X164" s="248"/>
      <c r="Y164" s="113"/>
      <c r="Z164" s="311"/>
      <c r="AB164" s="2">
        <v>1</v>
      </c>
      <c r="AG164" s="2461"/>
      <c r="AH164" s="68"/>
    </row>
    <row r="165" spans="1:34" ht="30.5" x14ac:dyDescent="0.35">
      <c r="A165" s="370">
        <v>81</v>
      </c>
      <c r="B165" s="1026">
        <v>10389</v>
      </c>
      <c r="C165" s="1026"/>
      <c r="D165" s="2463" t="s">
        <v>4277</v>
      </c>
      <c r="E165" s="269" t="s">
        <v>7632</v>
      </c>
      <c r="F165" s="93" t="s">
        <v>664</v>
      </c>
      <c r="G165" s="2195">
        <v>5</v>
      </c>
      <c r="H165" s="2195">
        <v>6</v>
      </c>
      <c r="I165" s="577">
        <f t="shared" si="14"/>
        <v>1.5</v>
      </c>
      <c r="J165" s="577">
        <f t="shared" si="15"/>
        <v>1.5</v>
      </c>
      <c r="K165" s="577"/>
      <c r="L165" s="577"/>
      <c r="M165" s="577"/>
      <c r="N165" s="577"/>
      <c r="O165" s="896"/>
      <c r="P165" s="577"/>
      <c r="Q165" s="891"/>
      <c r="R165" s="1803">
        <v>1.5</v>
      </c>
      <c r="S165" s="163"/>
      <c r="T165" s="248"/>
      <c r="U165" s="248"/>
      <c r="V165" s="248"/>
      <c r="W165" s="163"/>
      <c r="X165" s="248"/>
      <c r="Y165" s="113"/>
      <c r="Z165" s="311"/>
      <c r="AB165" s="2">
        <v>1</v>
      </c>
      <c r="AG165" s="2461"/>
      <c r="AH165" s="68"/>
    </row>
    <row r="166" spans="1:34" ht="30" x14ac:dyDescent="0.35">
      <c r="A166" s="370">
        <v>82</v>
      </c>
      <c r="B166" s="1026">
        <v>10390</v>
      </c>
      <c r="C166" s="1026"/>
      <c r="D166" s="365" t="s">
        <v>1512</v>
      </c>
      <c r="E166" s="269" t="s">
        <v>7110</v>
      </c>
      <c r="F166" s="93" t="s">
        <v>664</v>
      </c>
      <c r="G166" s="2195">
        <v>5</v>
      </c>
      <c r="H166" s="2195">
        <v>6</v>
      </c>
      <c r="I166" s="577">
        <f t="shared" si="14"/>
        <v>3</v>
      </c>
      <c r="J166" s="577">
        <f t="shared" si="15"/>
        <v>3</v>
      </c>
      <c r="K166" s="577"/>
      <c r="L166" s="577"/>
      <c r="M166" s="577"/>
      <c r="N166" s="577"/>
      <c r="O166" s="896"/>
      <c r="P166" s="577"/>
      <c r="Q166" s="891"/>
      <c r="R166" s="1803">
        <v>3</v>
      </c>
      <c r="S166" s="163"/>
      <c r="T166" s="248"/>
      <c r="U166" s="248"/>
      <c r="V166" s="248"/>
      <c r="W166" s="163"/>
      <c r="X166" s="248"/>
      <c r="Y166" s="113"/>
      <c r="Z166" s="311"/>
      <c r="AB166" s="2">
        <v>1</v>
      </c>
      <c r="AG166" s="2461"/>
      <c r="AH166" s="68"/>
    </row>
    <row r="167" spans="1:34" ht="30" x14ac:dyDescent="0.35">
      <c r="A167" s="370">
        <v>83</v>
      </c>
      <c r="B167" s="1026">
        <v>10391</v>
      </c>
      <c r="C167" s="1026"/>
      <c r="D167" s="365" t="s">
        <v>1513</v>
      </c>
      <c r="E167" s="269" t="s">
        <v>7111</v>
      </c>
      <c r="F167" s="93" t="s">
        <v>664</v>
      </c>
      <c r="G167" s="2195">
        <v>5</v>
      </c>
      <c r="H167" s="2195">
        <v>6</v>
      </c>
      <c r="I167" s="575">
        <f t="shared" si="14"/>
        <v>6.3</v>
      </c>
      <c r="J167" s="575">
        <f t="shared" si="15"/>
        <v>6.3</v>
      </c>
      <c r="K167" s="577"/>
      <c r="L167" s="577"/>
      <c r="M167" s="577"/>
      <c r="N167" s="577"/>
      <c r="O167" s="896"/>
      <c r="P167" s="577"/>
      <c r="Q167" s="891"/>
      <c r="R167" s="1803">
        <v>6.3</v>
      </c>
      <c r="S167" s="163"/>
      <c r="T167" s="248"/>
      <c r="U167" s="248"/>
      <c r="V167" s="248"/>
      <c r="W167" s="163"/>
      <c r="X167" s="248"/>
      <c r="Y167" s="113"/>
      <c r="Z167" s="311"/>
      <c r="AB167" s="2">
        <v>1</v>
      </c>
      <c r="AG167" s="2461"/>
      <c r="AH167" s="68"/>
    </row>
    <row r="168" spans="1:34" ht="30" x14ac:dyDescent="0.35">
      <c r="A168" s="370">
        <v>84</v>
      </c>
      <c r="B168" s="1026">
        <v>10392</v>
      </c>
      <c r="C168" s="1026"/>
      <c r="D168" s="365" t="s">
        <v>1514</v>
      </c>
      <c r="E168" s="269" t="s">
        <v>7112</v>
      </c>
      <c r="F168" s="93"/>
      <c r="G168" s="2195" t="s">
        <v>191</v>
      </c>
      <c r="H168" s="2195" t="s">
        <v>191</v>
      </c>
      <c r="I168" s="577">
        <f t="shared" si="14"/>
        <v>2.4</v>
      </c>
      <c r="J168" s="577">
        <f t="shared" si="15"/>
        <v>2.4</v>
      </c>
      <c r="K168" s="577"/>
      <c r="L168" s="577"/>
      <c r="M168" s="577"/>
      <c r="N168" s="577">
        <f>SUM(N169:N171)</f>
        <v>2.4</v>
      </c>
      <c r="O168" s="896"/>
      <c r="P168" s="577"/>
      <c r="Q168" s="891"/>
      <c r="R168" s="1803"/>
      <c r="S168" s="163"/>
      <c r="T168" s="248"/>
      <c r="U168" s="248"/>
      <c r="V168" s="248"/>
      <c r="W168" s="163">
        <v>2</v>
      </c>
      <c r="X168" s="248">
        <v>20.02</v>
      </c>
      <c r="Y168" s="113"/>
      <c r="Z168" s="311"/>
      <c r="AB168" s="2">
        <v>1</v>
      </c>
      <c r="AG168" s="2461"/>
      <c r="AH168" s="68"/>
    </row>
    <row r="169" spans="1:34" x14ac:dyDescent="0.35">
      <c r="A169" s="1580"/>
      <c r="B169" s="1026"/>
      <c r="C169" s="1026"/>
      <c r="D169" s="365"/>
      <c r="E169" s="270" t="s">
        <v>11556</v>
      </c>
      <c r="F169" s="2875">
        <v>4</v>
      </c>
      <c r="G169" s="2195">
        <v>5</v>
      </c>
      <c r="H169" s="2195">
        <v>6</v>
      </c>
      <c r="I169" s="577"/>
      <c r="J169" s="577"/>
      <c r="K169" s="577"/>
      <c r="L169" s="577"/>
      <c r="M169" s="577"/>
      <c r="N169" s="2926">
        <v>0.47399999999999998</v>
      </c>
      <c r="O169" s="896"/>
      <c r="P169" s="577"/>
      <c r="Q169" s="891"/>
      <c r="R169" s="1803"/>
      <c r="S169" s="163"/>
      <c r="T169" s="248"/>
      <c r="U169" s="248"/>
      <c r="V169" s="248"/>
      <c r="W169" s="163"/>
      <c r="X169" s="248"/>
      <c r="Y169" s="113"/>
      <c r="Z169" s="311"/>
      <c r="AG169" s="2461"/>
      <c r="AH169" s="68"/>
    </row>
    <row r="170" spans="1:34" x14ac:dyDescent="0.35">
      <c r="A170" s="370"/>
      <c r="B170" s="1026"/>
      <c r="C170" s="1026"/>
      <c r="D170" s="365"/>
      <c r="E170" s="2871" t="s">
        <v>11557</v>
      </c>
      <c r="F170" s="2875">
        <v>5</v>
      </c>
      <c r="G170" s="2195">
        <v>5</v>
      </c>
      <c r="H170" s="2195">
        <v>6</v>
      </c>
      <c r="I170" s="577"/>
      <c r="J170" s="577"/>
      <c r="K170" s="577"/>
      <c r="L170" s="577"/>
      <c r="M170" s="577"/>
      <c r="N170" s="2926">
        <f>1.505-0.474</f>
        <v>1.0309999999999999</v>
      </c>
      <c r="O170" s="896"/>
      <c r="P170" s="577"/>
      <c r="Q170" s="891"/>
      <c r="R170" s="1803"/>
      <c r="S170" s="163"/>
      <c r="T170" s="248"/>
      <c r="U170" s="248"/>
      <c r="V170" s="248"/>
      <c r="W170" s="163"/>
      <c r="X170" s="248"/>
      <c r="Y170" s="113"/>
      <c r="Z170" s="311"/>
      <c r="AG170" s="2461"/>
      <c r="AH170" s="68"/>
    </row>
    <row r="171" spans="1:34" x14ac:dyDescent="0.35">
      <c r="A171" s="370"/>
      <c r="B171" s="1026"/>
      <c r="C171" s="1026"/>
      <c r="D171" s="365"/>
      <c r="E171" s="270" t="s">
        <v>11558</v>
      </c>
      <c r="F171" s="2875">
        <v>4</v>
      </c>
      <c r="G171" s="2195">
        <v>5</v>
      </c>
      <c r="H171" s="2195">
        <v>6</v>
      </c>
      <c r="I171" s="577"/>
      <c r="J171" s="577"/>
      <c r="K171" s="577"/>
      <c r="L171" s="577"/>
      <c r="M171" s="577"/>
      <c r="N171" s="2926">
        <f>2.4-1.505</f>
        <v>0.89500000000000002</v>
      </c>
      <c r="O171" s="896"/>
      <c r="P171" s="577"/>
      <c r="Q171" s="891"/>
      <c r="R171" s="1803"/>
      <c r="S171" s="163"/>
      <c r="T171" s="248"/>
      <c r="U171" s="248"/>
      <c r="V171" s="248"/>
      <c r="W171" s="163"/>
      <c r="X171" s="248"/>
      <c r="Y171" s="113"/>
      <c r="Z171" s="311"/>
      <c r="AG171" s="2461"/>
      <c r="AH171" s="68"/>
    </row>
    <row r="172" spans="1:34" ht="30.5" x14ac:dyDescent="0.35">
      <c r="A172" s="370">
        <v>85</v>
      </c>
      <c r="B172" s="1026">
        <v>10392</v>
      </c>
      <c r="C172" s="365" t="s">
        <v>1656</v>
      </c>
      <c r="D172" s="2463" t="s">
        <v>4278</v>
      </c>
      <c r="E172" s="269" t="s">
        <v>8382</v>
      </c>
      <c r="F172" s="93" t="s">
        <v>664</v>
      </c>
      <c r="G172" s="2195">
        <v>5</v>
      </c>
      <c r="H172" s="2195">
        <v>6</v>
      </c>
      <c r="I172" s="577">
        <f t="shared" si="14"/>
        <v>0.35</v>
      </c>
      <c r="J172" s="577">
        <f t="shared" si="15"/>
        <v>0.35</v>
      </c>
      <c r="K172" s="577"/>
      <c r="L172" s="577"/>
      <c r="M172" s="577"/>
      <c r="N172" s="577"/>
      <c r="O172" s="896"/>
      <c r="P172" s="577"/>
      <c r="Q172" s="891"/>
      <c r="R172" s="1803">
        <v>0.35</v>
      </c>
      <c r="S172" s="163"/>
      <c r="T172" s="248"/>
      <c r="U172" s="248"/>
      <c r="V172" s="248"/>
      <c r="W172" s="163"/>
      <c r="X172" s="248"/>
      <c r="Y172" s="113"/>
      <c r="Z172" s="311"/>
      <c r="AB172" s="2">
        <v>1</v>
      </c>
      <c r="AG172" s="2461"/>
      <c r="AH172" s="68"/>
    </row>
    <row r="173" spans="1:34" ht="30" x14ac:dyDescent="0.35">
      <c r="A173" s="370">
        <v>86</v>
      </c>
      <c r="B173" s="1026">
        <v>10393</v>
      </c>
      <c r="C173" s="1026"/>
      <c r="D173" s="365" t="s">
        <v>1515</v>
      </c>
      <c r="E173" s="269" t="s">
        <v>10969</v>
      </c>
      <c r="F173" s="93"/>
      <c r="G173" s="2195" t="s">
        <v>191</v>
      </c>
      <c r="H173" s="2414" t="s">
        <v>191</v>
      </c>
      <c r="I173" s="575">
        <f>J173+K173+L173</f>
        <v>3.0139999999999998</v>
      </c>
      <c r="J173" s="575">
        <f>SUM(M173:R173)</f>
        <v>3.0139999999999998</v>
      </c>
      <c r="K173" s="577"/>
      <c r="L173" s="577"/>
      <c r="M173" s="577"/>
      <c r="N173" s="577">
        <f>SUM(N174:N177)</f>
        <v>1.3080000000000001</v>
      </c>
      <c r="O173" s="896"/>
      <c r="P173" s="577"/>
      <c r="Q173" s="891"/>
      <c r="R173" s="1803">
        <f>SUM(R174:R177)</f>
        <v>1.7059999999999997</v>
      </c>
      <c r="S173" s="163"/>
      <c r="T173" s="248"/>
      <c r="U173" s="248"/>
      <c r="V173" s="248"/>
      <c r="W173" s="163">
        <v>4</v>
      </c>
      <c r="X173" s="248">
        <v>39.700000000000003</v>
      </c>
      <c r="Y173" s="113"/>
      <c r="Z173" s="311"/>
      <c r="AB173" s="2">
        <v>1</v>
      </c>
      <c r="AG173" s="2461"/>
      <c r="AH173" s="68"/>
    </row>
    <row r="174" spans="1:34" x14ac:dyDescent="0.35">
      <c r="A174" s="370"/>
      <c r="B174" s="1026"/>
      <c r="C174" s="1026"/>
      <c r="D174" s="365"/>
      <c r="E174" s="270" t="s">
        <v>10530</v>
      </c>
      <c r="F174" s="93">
        <v>4</v>
      </c>
      <c r="G174" s="2195">
        <v>5</v>
      </c>
      <c r="H174" s="2195">
        <v>6</v>
      </c>
      <c r="I174" s="1097"/>
      <c r="J174" s="1097"/>
      <c r="K174" s="576"/>
      <c r="L174" s="576"/>
      <c r="M174" s="576"/>
      <c r="N174" s="576">
        <v>0.20399999999999999</v>
      </c>
      <c r="O174" s="2196"/>
      <c r="P174" s="576"/>
      <c r="Q174" s="1813"/>
      <c r="R174" s="1809"/>
      <c r="S174" s="163"/>
      <c r="T174" s="248"/>
      <c r="U174" s="248"/>
      <c r="V174" s="248"/>
      <c r="W174" s="163"/>
      <c r="X174" s="248"/>
      <c r="Y174" s="113"/>
      <c r="Z174" s="311"/>
      <c r="AG174" s="2461"/>
      <c r="AH174" s="68"/>
    </row>
    <row r="175" spans="1:34" x14ac:dyDescent="0.35">
      <c r="A175" s="370"/>
      <c r="B175" s="1026"/>
      <c r="C175" s="1026"/>
      <c r="D175" s="365"/>
      <c r="E175" s="270" t="s">
        <v>10600</v>
      </c>
      <c r="F175" s="93" t="s">
        <v>827</v>
      </c>
      <c r="G175" s="2195">
        <v>5</v>
      </c>
      <c r="H175" s="2195">
        <v>6</v>
      </c>
      <c r="I175" s="1097"/>
      <c r="J175" s="1097"/>
      <c r="K175" s="576"/>
      <c r="L175" s="576"/>
      <c r="M175" s="576"/>
      <c r="N175" s="576">
        <f>1.308-0.204</f>
        <v>1.1040000000000001</v>
      </c>
      <c r="O175" s="2196"/>
      <c r="P175" s="576"/>
      <c r="Q175" s="1813"/>
      <c r="R175" s="1809"/>
      <c r="S175" s="163"/>
      <c r="T175" s="248"/>
      <c r="U175" s="248"/>
      <c r="V175" s="248"/>
      <c r="W175" s="163"/>
      <c r="X175" s="248"/>
      <c r="Y175" s="113"/>
      <c r="Z175" s="311"/>
      <c r="AG175" s="2461"/>
      <c r="AH175" s="68"/>
    </row>
    <row r="176" spans="1:34" x14ac:dyDescent="0.35">
      <c r="A176" s="370"/>
      <c r="B176" s="1026"/>
      <c r="C176" s="1026"/>
      <c r="D176" s="365"/>
      <c r="E176" s="878" t="s">
        <v>10601</v>
      </c>
      <c r="F176" s="93" t="s">
        <v>827</v>
      </c>
      <c r="G176" s="2195">
        <v>5</v>
      </c>
      <c r="H176" s="2195">
        <v>6</v>
      </c>
      <c r="I176" s="1097"/>
      <c r="J176" s="1097"/>
      <c r="K176" s="576"/>
      <c r="L176" s="576"/>
      <c r="M176" s="576"/>
      <c r="N176" s="576"/>
      <c r="O176" s="2196"/>
      <c r="P176" s="576"/>
      <c r="Q176" s="1813"/>
      <c r="R176" s="1809">
        <f>1.714-1.308</f>
        <v>0.40599999999999992</v>
      </c>
      <c r="S176" s="163"/>
      <c r="T176" s="248"/>
      <c r="U176" s="248"/>
      <c r="V176" s="248"/>
      <c r="W176" s="163"/>
      <c r="X176" s="248"/>
      <c r="Y176" s="113"/>
      <c r="Z176" s="311"/>
      <c r="AG176" s="2461"/>
      <c r="AH176" s="68"/>
    </row>
    <row r="177" spans="1:34" x14ac:dyDescent="0.35">
      <c r="A177" s="370"/>
      <c r="B177" s="1026"/>
      <c r="C177" s="1026"/>
      <c r="D177" s="365"/>
      <c r="E177" s="878" t="s">
        <v>10531</v>
      </c>
      <c r="F177" s="93" t="s">
        <v>664</v>
      </c>
      <c r="G177" s="2195">
        <v>5</v>
      </c>
      <c r="H177" s="2195">
        <v>6</v>
      </c>
      <c r="I177" s="1097"/>
      <c r="J177" s="1097"/>
      <c r="K177" s="576"/>
      <c r="L177" s="576"/>
      <c r="M177" s="576"/>
      <c r="N177" s="576"/>
      <c r="O177" s="2196"/>
      <c r="P177" s="576"/>
      <c r="Q177" s="1813"/>
      <c r="R177" s="1809">
        <f>3.014-1.714</f>
        <v>1.2999999999999998</v>
      </c>
      <c r="S177" s="163"/>
      <c r="T177" s="248"/>
      <c r="U177" s="248"/>
      <c r="V177" s="248"/>
      <c r="W177" s="163"/>
      <c r="X177" s="248"/>
      <c r="Y177" s="113"/>
      <c r="Z177" s="311"/>
      <c r="AG177" s="2461"/>
      <c r="AH177" s="68"/>
    </row>
    <row r="178" spans="1:34" ht="30" x14ac:dyDescent="0.35">
      <c r="A178" s="370">
        <v>87</v>
      </c>
      <c r="B178" s="1026">
        <v>10393</v>
      </c>
      <c r="C178" s="365" t="s">
        <v>1656</v>
      </c>
      <c r="D178" s="2463" t="s">
        <v>4279</v>
      </c>
      <c r="E178" s="2187" t="s">
        <v>8383</v>
      </c>
      <c r="F178" s="92" t="s">
        <v>664</v>
      </c>
      <c r="G178" s="92">
        <v>5</v>
      </c>
      <c r="H178" s="2195">
        <v>6</v>
      </c>
      <c r="I178" s="2102">
        <f>J178+K178+L178</f>
        <v>0.1</v>
      </c>
      <c r="J178" s="2102">
        <f>SUM(M178:R178)</f>
        <v>0.1</v>
      </c>
      <c r="K178" s="2088"/>
      <c r="L178" s="2088"/>
      <c r="M178" s="2088"/>
      <c r="N178" s="2088"/>
      <c r="O178" s="2088"/>
      <c r="P178" s="2088"/>
      <c r="Q178" s="2088"/>
      <c r="R178" s="906">
        <v>0.1</v>
      </c>
      <c r="S178" s="2101"/>
      <c r="T178" s="2101"/>
      <c r="U178" s="2101"/>
      <c r="V178" s="2101"/>
      <c r="W178" s="146"/>
      <c r="X178" s="146"/>
      <c r="Y178" s="146"/>
      <c r="Z178" s="146"/>
      <c r="AB178" s="2">
        <v>1</v>
      </c>
      <c r="AG178" s="2461"/>
      <c r="AH178" s="68"/>
    </row>
    <row r="179" spans="1:34" ht="30" x14ac:dyDescent="0.35">
      <c r="A179" s="370">
        <v>88</v>
      </c>
      <c r="B179" s="1026">
        <v>10394</v>
      </c>
      <c r="C179" s="1026"/>
      <c r="D179" s="365" t="s">
        <v>2452</v>
      </c>
      <c r="E179" s="269" t="s">
        <v>356</v>
      </c>
      <c r="F179" s="93">
        <v>5</v>
      </c>
      <c r="G179" s="2195">
        <v>5</v>
      </c>
      <c r="H179" s="2195">
        <v>6</v>
      </c>
      <c r="I179" s="575">
        <f t="shared" si="14"/>
        <v>5.3</v>
      </c>
      <c r="J179" s="575">
        <f t="shared" si="15"/>
        <v>5.3</v>
      </c>
      <c r="K179" s="577"/>
      <c r="L179" s="577"/>
      <c r="M179" s="577"/>
      <c r="N179" s="577"/>
      <c r="O179" s="896"/>
      <c r="P179" s="577"/>
      <c r="Q179" s="891"/>
      <c r="R179" s="1803">
        <v>5.3</v>
      </c>
      <c r="S179" s="163"/>
      <c r="T179" s="248"/>
      <c r="U179" s="248"/>
      <c r="V179" s="248"/>
      <c r="W179" s="163"/>
      <c r="X179" s="248"/>
      <c r="Y179" s="113"/>
      <c r="Z179" s="311"/>
      <c r="AB179" s="2">
        <v>1</v>
      </c>
      <c r="AG179" s="2461"/>
      <c r="AH179" s="68"/>
    </row>
    <row r="180" spans="1:34" ht="30" x14ac:dyDescent="0.35">
      <c r="A180" s="370">
        <v>89</v>
      </c>
      <c r="B180" s="1026">
        <v>10395</v>
      </c>
      <c r="C180" s="1026"/>
      <c r="D180" s="365" t="s">
        <v>318</v>
      </c>
      <c r="E180" s="269" t="s">
        <v>323</v>
      </c>
      <c r="F180" s="93" t="s">
        <v>827</v>
      </c>
      <c r="G180" s="2195">
        <v>5</v>
      </c>
      <c r="H180" s="2195">
        <v>6</v>
      </c>
      <c r="I180" s="575">
        <f t="shared" si="14"/>
        <v>1.3</v>
      </c>
      <c r="J180" s="575">
        <f t="shared" si="15"/>
        <v>1.3</v>
      </c>
      <c r="K180" s="577"/>
      <c r="L180" s="577"/>
      <c r="M180" s="577"/>
      <c r="N180" s="577"/>
      <c r="O180" s="896"/>
      <c r="P180" s="577"/>
      <c r="Q180" s="891"/>
      <c r="R180" s="1803">
        <v>1.3</v>
      </c>
      <c r="S180" s="163"/>
      <c r="T180" s="248"/>
      <c r="U180" s="248"/>
      <c r="V180" s="248"/>
      <c r="W180" s="163">
        <v>2</v>
      </c>
      <c r="X180" s="248">
        <v>25</v>
      </c>
      <c r="Y180" s="113"/>
      <c r="Z180" s="311"/>
      <c r="AB180" s="2">
        <v>1</v>
      </c>
      <c r="AG180" s="2461"/>
      <c r="AH180" s="68"/>
    </row>
    <row r="181" spans="1:34" ht="30" x14ac:dyDescent="0.35">
      <c r="A181" s="370">
        <v>90</v>
      </c>
      <c r="B181" s="1026">
        <v>10396</v>
      </c>
      <c r="C181" s="1026"/>
      <c r="D181" s="365" t="s">
        <v>319</v>
      </c>
      <c r="E181" s="269" t="s">
        <v>7113</v>
      </c>
      <c r="F181" s="93">
        <v>5</v>
      </c>
      <c r="G181" s="2195">
        <v>5</v>
      </c>
      <c r="H181" s="2195">
        <v>6</v>
      </c>
      <c r="I181" s="575">
        <f t="shared" si="14"/>
        <v>1.4</v>
      </c>
      <c r="J181" s="575">
        <f t="shared" si="15"/>
        <v>1.4</v>
      </c>
      <c r="K181" s="577"/>
      <c r="L181" s="577"/>
      <c r="M181" s="577"/>
      <c r="N181" s="577"/>
      <c r="O181" s="896"/>
      <c r="P181" s="577"/>
      <c r="Q181" s="891"/>
      <c r="R181" s="1803">
        <v>1.4</v>
      </c>
      <c r="S181" s="163"/>
      <c r="T181" s="248"/>
      <c r="U181" s="248"/>
      <c r="V181" s="248"/>
      <c r="W181" s="163"/>
      <c r="X181" s="248"/>
      <c r="Y181" s="113"/>
      <c r="Z181" s="311"/>
      <c r="AB181" s="2">
        <v>1</v>
      </c>
      <c r="AG181" s="2461"/>
      <c r="AH181" s="68"/>
    </row>
    <row r="182" spans="1:34" ht="30.5" x14ac:dyDescent="0.35">
      <c r="A182" s="370">
        <v>91</v>
      </c>
      <c r="B182" s="1026">
        <v>10396</v>
      </c>
      <c r="C182" s="365" t="s">
        <v>1656</v>
      </c>
      <c r="D182" s="2463" t="s">
        <v>4280</v>
      </c>
      <c r="E182" s="269" t="s">
        <v>8384</v>
      </c>
      <c r="F182" s="93" t="s">
        <v>664</v>
      </c>
      <c r="G182" s="2195">
        <v>5</v>
      </c>
      <c r="H182" s="2195">
        <v>6</v>
      </c>
      <c r="I182" s="575">
        <f t="shared" si="14"/>
        <v>0.3</v>
      </c>
      <c r="J182" s="575">
        <f t="shared" si="15"/>
        <v>0.3</v>
      </c>
      <c r="K182" s="577"/>
      <c r="L182" s="577"/>
      <c r="M182" s="577"/>
      <c r="N182" s="577"/>
      <c r="O182" s="896"/>
      <c r="P182" s="577"/>
      <c r="Q182" s="891"/>
      <c r="R182" s="1803">
        <v>0.3</v>
      </c>
      <c r="S182" s="163"/>
      <c r="T182" s="248"/>
      <c r="U182" s="248"/>
      <c r="V182" s="248"/>
      <c r="W182" s="163"/>
      <c r="X182" s="248"/>
      <c r="Y182" s="113"/>
      <c r="Z182" s="311"/>
      <c r="AB182" s="2">
        <v>1</v>
      </c>
      <c r="AG182" s="2461"/>
      <c r="AH182" s="68"/>
    </row>
    <row r="183" spans="1:34" ht="45.5" x14ac:dyDescent="0.35">
      <c r="A183" s="370">
        <v>92</v>
      </c>
      <c r="B183" s="1026">
        <v>10397</v>
      </c>
      <c r="C183" s="1026"/>
      <c r="D183" s="365" t="s">
        <v>320</v>
      </c>
      <c r="E183" s="269" t="s">
        <v>9770</v>
      </c>
      <c r="F183" s="93" t="s">
        <v>664</v>
      </c>
      <c r="G183" s="2195">
        <v>5</v>
      </c>
      <c r="H183" s="2195">
        <v>6</v>
      </c>
      <c r="I183" s="575">
        <f t="shared" si="14"/>
        <v>1.85</v>
      </c>
      <c r="J183" s="575">
        <f t="shared" si="15"/>
        <v>1.85</v>
      </c>
      <c r="K183" s="577"/>
      <c r="L183" s="577"/>
      <c r="M183" s="577"/>
      <c r="N183" s="577"/>
      <c r="O183" s="896"/>
      <c r="P183" s="577"/>
      <c r="Q183" s="891"/>
      <c r="R183" s="1803">
        <v>1.85</v>
      </c>
      <c r="S183" s="163"/>
      <c r="T183" s="248"/>
      <c r="U183" s="248"/>
      <c r="V183" s="248"/>
      <c r="W183" s="163"/>
      <c r="X183" s="248"/>
      <c r="Y183" s="113"/>
      <c r="Z183" s="311"/>
      <c r="AB183" s="2">
        <v>1</v>
      </c>
      <c r="AG183" s="2461"/>
      <c r="AH183" s="68"/>
    </row>
    <row r="184" spans="1:34" ht="30" x14ac:dyDescent="0.35">
      <c r="A184" s="370">
        <v>93</v>
      </c>
      <c r="B184" s="1026">
        <v>10398</v>
      </c>
      <c r="C184" s="1026"/>
      <c r="D184" s="365" t="s">
        <v>1338</v>
      </c>
      <c r="E184" s="269" t="s">
        <v>9509</v>
      </c>
      <c r="F184" s="93">
        <v>5</v>
      </c>
      <c r="G184" s="2195">
        <v>5</v>
      </c>
      <c r="H184" s="2195">
        <v>6</v>
      </c>
      <c r="I184" s="575">
        <f t="shared" si="14"/>
        <v>1.85</v>
      </c>
      <c r="J184" s="575">
        <f t="shared" si="15"/>
        <v>1.85</v>
      </c>
      <c r="K184" s="577"/>
      <c r="L184" s="577"/>
      <c r="M184" s="577"/>
      <c r="N184" s="577"/>
      <c r="O184" s="896"/>
      <c r="P184" s="577"/>
      <c r="Q184" s="891"/>
      <c r="R184" s="1803">
        <v>1.85</v>
      </c>
      <c r="S184" s="163"/>
      <c r="T184" s="248"/>
      <c r="U184" s="248"/>
      <c r="V184" s="248"/>
      <c r="W184" s="163">
        <v>1</v>
      </c>
      <c r="X184" s="248">
        <v>10</v>
      </c>
      <c r="Y184" s="113"/>
      <c r="Z184" s="311"/>
      <c r="AB184" s="2">
        <v>1</v>
      </c>
      <c r="AC184" s="2" t="s">
        <v>2570</v>
      </c>
      <c r="AG184" s="2461"/>
      <c r="AH184" s="68"/>
    </row>
    <row r="185" spans="1:34" ht="30.5" x14ac:dyDescent="0.35">
      <c r="A185" s="370">
        <v>94</v>
      </c>
      <c r="B185" s="1026">
        <v>10399</v>
      </c>
      <c r="C185" s="1026"/>
      <c r="D185" s="365" t="s">
        <v>1237</v>
      </c>
      <c r="E185" s="269" t="s">
        <v>7114</v>
      </c>
      <c r="F185" s="93"/>
      <c r="G185" s="2195" t="s">
        <v>191</v>
      </c>
      <c r="H185" s="2414" t="s">
        <v>191</v>
      </c>
      <c r="I185" s="575">
        <f t="shared" si="14"/>
        <v>4.5</v>
      </c>
      <c r="J185" s="575">
        <f t="shared" si="15"/>
        <v>4.5</v>
      </c>
      <c r="K185" s="577"/>
      <c r="L185" s="577"/>
      <c r="M185" s="577"/>
      <c r="N185" s="577">
        <v>0.6</v>
      </c>
      <c r="O185" s="896"/>
      <c r="P185" s="577"/>
      <c r="Q185" s="891">
        <v>1.9</v>
      </c>
      <c r="R185" s="1803">
        <v>2</v>
      </c>
      <c r="S185" s="163"/>
      <c r="T185" s="248"/>
      <c r="U185" s="248"/>
      <c r="V185" s="248"/>
      <c r="W185" s="163">
        <v>2</v>
      </c>
      <c r="X185" s="248">
        <v>20.8</v>
      </c>
      <c r="Y185" s="113"/>
      <c r="Z185" s="311"/>
      <c r="AB185" s="2">
        <v>1</v>
      </c>
      <c r="AG185" s="2461"/>
      <c r="AH185" s="68"/>
    </row>
    <row r="186" spans="1:34" x14ac:dyDescent="0.35">
      <c r="A186" s="370"/>
      <c r="B186" s="1026">
        <v>10399</v>
      </c>
      <c r="C186" s="1026"/>
      <c r="D186" s="365"/>
      <c r="E186" s="270" t="s">
        <v>365</v>
      </c>
      <c r="F186" s="93">
        <v>4</v>
      </c>
      <c r="G186" s="2195">
        <v>5</v>
      </c>
      <c r="H186" s="2195">
        <v>6</v>
      </c>
      <c r="I186" s="575"/>
      <c r="J186" s="575"/>
      <c r="K186" s="577"/>
      <c r="L186" s="577"/>
      <c r="M186" s="577"/>
      <c r="N186" s="576">
        <v>0.6</v>
      </c>
      <c r="O186" s="896"/>
      <c r="P186" s="577"/>
      <c r="Q186" s="891"/>
      <c r="R186" s="1803"/>
      <c r="S186" s="163"/>
      <c r="T186" s="248"/>
      <c r="U186" s="248"/>
      <c r="V186" s="248"/>
      <c r="W186" s="163"/>
      <c r="X186" s="248"/>
      <c r="Y186" s="113"/>
      <c r="Z186" s="311"/>
      <c r="AG186" s="2461"/>
      <c r="AH186" s="68"/>
    </row>
    <row r="187" spans="1:34" x14ac:dyDescent="0.35">
      <c r="A187" s="370"/>
      <c r="B187" s="1026">
        <v>10399</v>
      </c>
      <c r="C187" s="1026"/>
      <c r="D187" s="365"/>
      <c r="E187" s="2234" t="s">
        <v>2580</v>
      </c>
      <c r="F187" s="93" t="s">
        <v>827</v>
      </c>
      <c r="G187" s="2195">
        <v>5</v>
      </c>
      <c r="H187" s="2414">
        <v>6</v>
      </c>
      <c r="I187" s="575"/>
      <c r="J187" s="575"/>
      <c r="K187" s="577"/>
      <c r="L187" s="577"/>
      <c r="M187" s="577"/>
      <c r="N187" s="576"/>
      <c r="O187" s="896"/>
      <c r="P187" s="577"/>
      <c r="Q187" s="891">
        <v>1.9</v>
      </c>
      <c r="R187" s="1803"/>
      <c r="S187" s="163"/>
      <c r="T187" s="248"/>
      <c r="U187" s="248"/>
      <c r="V187" s="248"/>
      <c r="W187" s="163"/>
      <c r="X187" s="248"/>
      <c r="Y187" s="113"/>
      <c r="Z187" s="311"/>
      <c r="AG187" s="2461"/>
      <c r="AH187" s="68"/>
    </row>
    <row r="188" spans="1:34" x14ac:dyDescent="0.35">
      <c r="A188" s="370"/>
      <c r="B188" s="1026">
        <v>10399</v>
      </c>
      <c r="C188" s="1026"/>
      <c r="D188" s="365"/>
      <c r="E188" s="2054" t="s">
        <v>2857</v>
      </c>
      <c r="F188" s="93" t="s">
        <v>827</v>
      </c>
      <c r="G188" s="2195">
        <v>5</v>
      </c>
      <c r="H188" s="2195">
        <v>6</v>
      </c>
      <c r="I188" s="575"/>
      <c r="J188" s="575"/>
      <c r="K188" s="577"/>
      <c r="L188" s="577"/>
      <c r="M188" s="577"/>
      <c r="N188" s="577"/>
      <c r="O188" s="896"/>
      <c r="P188" s="577"/>
      <c r="Q188" s="891"/>
      <c r="R188" s="1803">
        <v>2</v>
      </c>
      <c r="S188" s="163"/>
      <c r="T188" s="248"/>
      <c r="U188" s="248"/>
      <c r="V188" s="248"/>
      <c r="W188" s="163"/>
      <c r="X188" s="248"/>
      <c r="Y188" s="113"/>
      <c r="Z188" s="311"/>
      <c r="AG188" s="2461"/>
      <c r="AH188" s="68"/>
    </row>
    <row r="189" spans="1:34" ht="45.5" x14ac:dyDescent="0.35">
      <c r="A189" s="370">
        <v>95</v>
      </c>
      <c r="B189" s="1026">
        <v>10399</v>
      </c>
      <c r="C189" s="365" t="s">
        <v>1656</v>
      </c>
      <c r="D189" s="2463" t="s">
        <v>4281</v>
      </c>
      <c r="E189" s="269" t="s">
        <v>8385</v>
      </c>
      <c r="F189" s="93" t="s">
        <v>664</v>
      </c>
      <c r="G189" s="2195">
        <v>5</v>
      </c>
      <c r="H189" s="2195">
        <v>6</v>
      </c>
      <c r="I189" s="575">
        <f t="shared" si="14"/>
        <v>1.33</v>
      </c>
      <c r="J189" s="575">
        <f t="shared" si="15"/>
        <v>1.33</v>
      </c>
      <c r="K189" s="577"/>
      <c r="L189" s="577"/>
      <c r="M189" s="577"/>
      <c r="N189" s="577"/>
      <c r="O189" s="896"/>
      <c r="P189" s="577"/>
      <c r="Q189" s="891"/>
      <c r="R189" s="1803">
        <v>1.33</v>
      </c>
      <c r="S189" s="163"/>
      <c r="T189" s="248"/>
      <c r="U189" s="248"/>
      <c r="V189" s="248"/>
      <c r="W189" s="163"/>
      <c r="X189" s="248"/>
      <c r="Y189" s="113"/>
      <c r="Z189" s="311"/>
      <c r="AB189" s="2">
        <v>1</v>
      </c>
      <c r="AG189" s="2461"/>
      <c r="AH189" s="68"/>
    </row>
    <row r="190" spans="1:34" ht="30" x14ac:dyDescent="0.35">
      <c r="A190" s="1593">
        <v>96</v>
      </c>
      <c r="B190" s="1594">
        <v>10400</v>
      </c>
      <c r="C190" s="1594"/>
      <c r="D190" s="1594" t="s">
        <v>1621</v>
      </c>
      <c r="E190" s="308" t="s">
        <v>7115</v>
      </c>
      <c r="F190" s="2568" t="s">
        <v>664</v>
      </c>
      <c r="G190" s="2414">
        <v>5</v>
      </c>
      <c r="H190" s="2195">
        <v>6</v>
      </c>
      <c r="I190" s="297">
        <f>J190+K190+L190</f>
        <v>3.2</v>
      </c>
      <c r="J190" s="297">
        <f>SUM(M190:R190)</f>
        <v>3.2</v>
      </c>
      <c r="K190" s="575"/>
      <c r="L190" s="575"/>
      <c r="M190" s="575"/>
      <c r="N190" s="575"/>
      <c r="O190" s="894"/>
      <c r="P190" s="575"/>
      <c r="Q190" s="890"/>
      <c r="R190" s="1801">
        <v>3.2</v>
      </c>
      <c r="S190" s="113"/>
      <c r="T190" s="253"/>
      <c r="U190" s="253"/>
      <c r="V190" s="253"/>
      <c r="W190" s="113"/>
      <c r="X190" s="253"/>
      <c r="Y190" s="113"/>
      <c r="Z190" s="311"/>
      <c r="AB190" s="2">
        <v>1</v>
      </c>
      <c r="AG190" s="2461"/>
      <c r="AH190" s="68"/>
    </row>
    <row r="191" spans="1:34" ht="45" x14ac:dyDescent="0.35">
      <c r="A191" s="370"/>
      <c r="B191" s="1598" t="s">
        <v>857</v>
      </c>
      <c r="C191" s="1598"/>
      <c r="D191" s="365"/>
      <c r="E191" s="1596" t="s">
        <v>6764</v>
      </c>
      <c r="F191" s="93"/>
      <c r="G191" s="2195"/>
      <c r="H191" s="2414"/>
      <c r="I191" s="575"/>
      <c r="J191" s="575"/>
      <c r="K191" s="577"/>
      <c r="L191" s="577"/>
      <c r="M191" s="577"/>
      <c r="N191" s="577"/>
      <c r="O191" s="896"/>
      <c r="P191" s="577"/>
      <c r="Q191" s="891"/>
      <c r="R191" s="1803"/>
      <c r="S191" s="163"/>
      <c r="T191" s="248"/>
      <c r="U191" s="248"/>
      <c r="V191" s="248"/>
      <c r="W191" s="163"/>
      <c r="X191" s="248"/>
      <c r="Y191" s="113"/>
      <c r="Z191" s="311"/>
      <c r="AG191" s="2461"/>
      <c r="AH191" s="68"/>
    </row>
    <row r="192" spans="1:34" ht="45.5" x14ac:dyDescent="0.35">
      <c r="A192" s="370">
        <v>97</v>
      </c>
      <c r="B192" s="1598" t="s">
        <v>857</v>
      </c>
      <c r="C192" s="1598"/>
      <c r="D192" s="2463" t="s">
        <v>4282</v>
      </c>
      <c r="E192" s="269" t="s">
        <v>7633</v>
      </c>
      <c r="F192" s="93"/>
      <c r="G192" s="2195" t="s">
        <v>191</v>
      </c>
      <c r="H192" s="2195" t="s">
        <v>191</v>
      </c>
      <c r="I192" s="575">
        <f t="shared" si="14"/>
        <v>1.5</v>
      </c>
      <c r="J192" s="575">
        <f t="shared" si="15"/>
        <v>1.5</v>
      </c>
      <c r="K192" s="577"/>
      <c r="L192" s="577"/>
      <c r="M192" s="577"/>
      <c r="N192" s="577">
        <f>SUM(N193:N195)</f>
        <v>1.34</v>
      </c>
      <c r="O192" s="896"/>
      <c r="P192" s="577"/>
      <c r="Q192" s="891"/>
      <c r="R192" s="1803">
        <f>SUM(R193:R195)</f>
        <v>0.15999999999999992</v>
      </c>
      <c r="S192" s="163"/>
      <c r="T192" s="248"/>
      <c r="U192" s="248"/>
      <c r="V192" s="248"/>
      <c r="W192" s="163"/>
      <c r="X192" s="248"/>
      <c r="Y192" s="113"/>
      <c r="Z192" s="311"/>
      <c r="AB192" s="2">
        <v>1</v>
      </c>
      <c r="AG192" s="2461"/>
      <c r="AH192" s="68"/>
    </row>
    <row r="193" spans="1:34" ht="45" x14ac:dyDescent="0.35">
      <c r="A193" s="1580"/>
      <c r="B193" s="1598" t="s">
        <v>857</v>
      </c>
      <c r="C193" s="1598"/>
      <c r="D193" s="368"/>
      <c r="E193" s="270" t="s">
        <v>282</v>
      </c>
      <c r="F193" s="93" t="s">
        <v>1490</v>
      </c>
      <c r="G193" s="2195">
        <v>5</v>
      </c>
      <c r="H193" s="2195">
        <v>6</v>
      </c>
      <c r="I193" s="1097"/>
      <c r="J193" s="1097"/>
      <c r="K193" s="576"/>
      <c r="L193" s="576"/>
      <c r="M193" s="576"/>
      <c r="N193" s="576">
        <v>0.9</v>
      </c>
      <c r="O193" s="895"/>
      <c r="P193" s="576"/>
      <c r="Q193" s="891"/>
      <c r="R193" s="1803"/>
      <c r="S193" s="163"/>
      <c r="T193" s="248"/>
      <c r="U193" s="248"/>
      <c r="V193" s="248"/>
      <c r="W193" s="163"/>
      <c r="X193" s="248"/>
      <c r="Y193" s="113"/>
      <c r="Z193" s="311"/>
      <c r="AG193" s="2461"/>
      <c r="AH193" s="68"/>
    </row>
    <row r="194" spans="1:34" ht="45" x14ac:dyDescent="0.35">
      <c r="A194" s="1580"/>
      <c r="B194" s="1598" t="s">
        <v>857</v>
      </c>
      <c r="C194" s="1598"/>
      <c r="D194" s="368"/>
      <c r="E194" s="270" t="s">
        <v>11189</v>
      </c>
      <c r="F194" s="93">
        <v>5</v>
      </c>
      <c r="G194" s="2195">
        <v>5</v>
      </c>
      <c r="H194" s="2195">
        <v>6</v>
      </c>
      <c r="I194" s="1097"/>
      <c r="J194" s="1097"/>
      <c r="K194" s="576"/>
      <c r="L194" s="576"/>
      <c r="M194" s="576"/>
      <c r="N194" s="576">
        <f>1.34-0.9</f>
        <v>0.44000000000000006</v>
      </c>
      <c r="O194" s="895"/>
      <c r="P194" s="576"/>
      <c r="Q194" s="891"/>
      <c r="R194" s="1803"/>
      <c r="S194" s="163"/>
      <c r="T194" s="248"/>
      <c r="U194" s="248"/>
      <c r="V194" s="248"/>
      <c r="W194" s="163"/>
      <c r="X194" s="248"/>
      <c r="Y194" s="113"/>
      <c r="Z194" s="311"/>
      <c r="AG194" s="2461"/>
      <c r="AH194" s="68"/>
    </row>
    <row r="195" spans="1:34" ht="45" x14ac:dyDescent="0.35">
      <c r="A195" s="1580"/>
      <c r="B195" s="1598" t="s">
        <v>857</v>
      </c>
      <c r="C195" s="1598"/>
      <c r="D195" s="368"/>
      <c r="E195" s="2054" t="s">
        <v>11190</v>
      </c>
      <c r="F195" s="93">
        <v>5</v>
      </c>
      <c r="G195" s="2195">
        <v>5</v>
      </c>
      <c r="H195" s="2195">
        <v>6</v>
      </c>
      <c r="I195" s="1097"/>
      <c r="J195" s="1097"/>
      <c r="K195" s="576"/>
      <c r="L195" s="576"/>
      <c r="M195" s="576"/>
      <c r="N195" s="576"/>
      <c r="O195" s="895"/>
      <c r="P195" s="576"/>
      <c r="Q195" s="891"/>
      <c r="R195" s="1803">
        <f>1.5-1.34</f>
        <v>0.15999999999999992</v>
      </c>
      <c r="S195" s="163"/>
      <c r="T195" s="248"/>
      <c r="U195" s="248"/>
      <c r="V195" s="248"/>
      <c r="W195" s="163"/>
      <c r="X195" s="248"/>
      <c r="Y195" s="113"/>
      <c r="Z195" s="311"/>
      <c r="AG195" s="2461"/>
      <c r="AH195" s="68"/>
    </row>
    <row r="196" spans="1:34" ht="75.5" x14ac:dyDescent="0.35">
      <c r="A196" s="370">
        <v>98</v>
      </c>
      <c r="B196" s="1598" t="s">
        <v>857</v>
      </c>
      <c r="C196" s="1598" t="s">
        <v>2436</v>
      </c>
      <c r="D196" s="2463" t="s">
        <v>4283</v>
      </c>
      <c r="E196" s="269" t="s">
        <v>7634</v>
      </c>
      <c r="F196" s="93" t="s">
        <v>664</v>
      </c>
      <c r="G196" s="2195">
        <v>5</v>
      </c>
      <c r="H196" s="2195">
        <v>6</v>
      </c>
      <c r="I196" s="575">
        <f>J196+K196+L196</f>
        <v>0.3</v>
      </c>
      <c r="J196" s="575">
        <f>SUM(M196:R196)</f>
        <v>0.3</v>
      </c>
      <c r="K196" s="577"/>
      <c r="L196" s="577"/>
      <c r="M196" s="577"/>
      <c r="N196" s="577"/>
      <c r="O196" s="896"/>
      <c r="P196" s="577"/>
      <c r="Q196" s="891"/>
      <c r="R196" s="1803">
        <v>0.3</v>
      </c>
      <c r="S196" s="163"/>
      <c r="T196" s="248"/>
      <c r="U196" s="248"/>
      <c r="V196" s="248"/>
      <c r="W196" s="163"/>
      <c r="X196" s="248"/>
      <c r="Y196" s="113"/>
      <c r="Z196" s="311"/>
      <c r="AB196" s="2">
        <v>1</v>
      </c>
      <c r="AG196" s="2461"/>
      <c r="AH196" s="68"/>
    </row>
    <row r="197" spans="1:34" ht="45.5" x14ac:dyDescent="0.35">
      <c r="A197" s="370">
        <v>99</v>
      </c>
      <c r="B197" s="1598" t="s">
        <v>857</v>
      </c>
      <c r="C197" s="1598"/>
      <c r="D197" s="2463" t="s">
        <v>4284</v>
      </c>
      <c r="E197" s="269" t="s">
        <v>10970</v>
      </c>
      <c r="F197" s="93"/>
      <c r="G197" s="2195" t="s">
        <v>191</v>
      </c>
      <c r="H197" s="2414" t="s">
        <v>191</v>
      </c>
      <c r="I197" s="575">
        <f>J197+K197+L197</f>
        <v>1.4950000000000001</v>
      </c>
      <c r="J197" s="575">
        <f>SUM(M197:R197)</f>
        <v>1.4950000000000001</v>
      </c>
      <c r="K197" s="577"/>
      <c r="L197" s="577"/>
      <c r="M197" s="577"/>
      <c r="N197" s="577">
        <f>SUM(N198:N199)</f>
        <v>0.58899999999999997</v>
      </c>
      <c r="O197" s="896"/>
      <c r="P197" s="577"/>
      <c r="Q197" s="891">
        <f>SUM(Q198:Q199)</f>
        <v>0.90600000000000014</v>
      </c>
      <c r="R197" s="1803"/>
      <c r="S197" s="163"/>
      <c r="T197" s="248"/>
      <c r="U197" s="248"/>
      <c r="V197" s="248"/>
      <c r="W197" s="163">
        <v>1</v>
      </c>
      <c r="X197" s="248">
        <v>5</v>
      </c>
      <c r="Y197" s="113"/>
      <c r="Z197" s="311"/>
      <c r="AB197" s="2">
        <v>1</v>
      </c>
      <c r="AG197" s="2461"/>
      <c r="AH197" s="68"/>
    </row>
    <row r="198" spans="1:34" ht="45" x14ac:dyDescent="0.35">
      <c r="A198" s="1580"/>
      <c r="B198" s="1598" t="s">
        <v>857</v>
      </c>
      <c r="C198" s="1598"/>
      <c r="D198" s="368"/>
      <c r="E198" s="270" t="s">
        <v>10564</v>
      </c>
      <c r="F198" s="93">
        <v>4</v>
      </c>
      <c r="G198" s="2195">
        <v>5</v>
      </c>
      <c r="H198" s="2195">
        <v>6</v>
      </c>
      <c r="I198" s="1097"/>
      <c r="J198" s="1097"/>
      <c r="K198" s="576"/>
      <c r="L198" s="576"/>
      <c r="M198" s="576"/>
      <c r="N198" s="576">
        <v>0.58899999999999997</v>
      </c>
      <c r="O198" s="895"/>
      <c r="P198" s="576"/>
      <c r="Q198" s="891"/>
      <c r="R198" s="1803"/>
      <c r="S198" s="163"/>
      <c r="T198" s="248"/>
      <c r="U198" s="248"/>
      <c r="V198" s="248"/>
      <c r="W198" s="163"/>
      <c r="X198" s="248"/>
      <c r="Y198" s="113"/>
      <c r="Z198" s="311"/>
      <c r="AG198" s="2461"/>
      <c r="AH198" s="68"/>
    </row>
    <row r="199" spans="1:34" ht="45" x14ac:dyDescent="0.35">
      <c r="A199" s="1580"/>
      <c r="B199" s="1598" t="s">
        <v>857</v>
      </c>
      <c r="C199" s="1598"/>
      <c r="D199" s="368"/>
      <c r="E199" s="900" t="s">
        <v>10565</v>
      </c>
      <c r="F199" s="93">
        <v>5</v>
      </c>
      <c r="G199" s="2195">
        <v>5</v>
      </c>
      <c r="H199" s="2195">
        <v>6</v>
      </c>
      <c r="I199" s="1097"/>
      <c r="J199" s="1097"/>
      <c r="K199" s="576"/>
      <c r="L199" s="576"/>
      <c r="M199" s="576"/>
      <c r="N199" s="576"/>
      <c r="O199" s="895"/>
      <c r="P199" s="576"/>
      <c r="Q199" s="1813">
        <f>1.495-0.589</f>
        <v>0.90600000000000014</v>
      </c>
      <c r="R199" s="1809"/>
      <c r="S199" s="163"/>
      <c r="T199" s="248"/>
      <c r="U199" s="248"/>
      <c r="V199" s="248"/>
      <c r="W199" s="163"/>
      <c r="X199" s="248"/>
      <c r="Y199" s="113"/>
      <c r="Z199" s="311"/>
      <c r="AG199" s="2461"/>
      <c r="AH199" s="68"/>
    </row>
    <row r="200" spans="1:34" ht="45.5" x14ac:dyDescent="0.35">
      <c r="A200" s="370">
        <v>100</v>
      </c>
      <c r="B200" s="1598" t="s">
        <v>857</v>
      </c>
      <c r="C200" s="1598"/>
      <c r="D200" s="2463" t="s">
        <v>4285</v>
      </c>
      <c r="E200" s="269" t="s">
        <v>7635</v>
      </c>
      <c r="F200" s="93" t="s">
        <v>664</v>
      </c>
      <c r="G200" s="2195">
        <v>5</v>
      </c>
      <c r="H200" s="2195">
        <v>6</v>
      </c>
      <c r="I200" s="575">
        <f t="shared" ref="I200:I205" si="16">J200+K200+L200</f>
        <v>0.8</v>
      </c>
      <c r="J200" s="575">
        <f t="shared" ref="J200:J205" si="17">SUM(M200:R200)</f>
        <v>0.8</v>
      </c>
      <c r="K200" s="577"/>
      <c r="L200" s="577"/>
      <c r="M200" s="577"/>
      <c r="N200" s="577"/>
      <c r="O200" s="896"/>
      <c r="P200" s="577"/>
      <c r="Q200" s="891"/>
      <c r="R200" s="1803">
        <v>0.8</v>
      </c>
      <c r="S200" s="163"/>
      <c r="T200" s="248"/>
      <c r="U200" s="248"/>
      <c r="V200" s="248"/>
      <c r="W200" s="163"/>
      <c r="X200" s="248"/>
      <c r="Y200" s="113"/>
      <c r="Z200" s="311"/>
      <c r="AB200" s="2">
        <v>1</v>
      </c>
      <c r="AG200" s="2461"/>
      <c r="AH200" s="68"/>
    </row>
    <row r="201" spans="1:34" ht="60.5" x14ac:dyDescent="0.35">
      <c r="A201" s="370">
        <v>101</v>
      </c>
      <c r="B201" s="1598" t="s">
        <v>857</v>
      </c>
      <c r="C201" s="365" t="s">
        <v>1656</v>
      </c>
      <c r="D201" s="2463" t="s">
        <v>4286</v>
      </c>
      <c r="E201" s="269" t="s">
        <v>11325</v>
      </c>
      <c r="F201" s="93" t="s">
        <v>664</v>
      </c>
      <c r="G201" s="2195">
        <v>5</v>
      </c>
      <c r="H201" s="2195">
        <v>6</v>
      </c>
      <c r="I201" s="575">
        <f>J201+K201+L201</f>
        <v>0.3</v>
      </c>
      <c r="J201" s="575">
        <f>SUM(M201:R201)</f>
        <v>0.3</v>
      </c>
      <c r="K201" s="577"/>
      <c r="L201" s="577"/>
      <c r="M201" s="577"/>
      <c r="N201" s="577"/>
      <c r="O201" s="896"/>
      <c r="P201" s="577"/>
      <c r="Q201" s="891"/>
      <c r="R201" s="1803">
        <v>0.3</v>
      </c>
      <c r="S201" s="163"/>
      <c r="T201" s="248"/>
      <c r="U201" s="248"/>
      <c r="V201" s="248"/>
      <c r="W201" s="163"/>
      <c r="X201" s="248"/>
      <c r="Y201" s="113"/>
      <c r="Z201" s="311"/>
      <c r="AB201" s="2">
        <v>1</v>
      </c>
      <c r="AG201" s="2461"/>
      <c r="AH201" s="68"/>
    </row>
    <row r="202" spans="1:34" ht="45.5" x14ac:dyDescent="0.35">
      <c r="A202" s="370">
        <v>102</v>
      </c>
      <c r="B202" s="1598" t="s">
        <v>857</v>
      </c>
      <c r="C202" s="1598"/>
      <c r="D202" s="2463" t="s">
        <v>4287</v>
      </c>
      <c r="E202" s="269" t="s">
        <v>7636</v>
      </c>
      <c r="F202" s="93">
        <v>5</v>
      </c>
      <c r="G202" s="2195">
        <v>5</v>
      </c>
      <c r="H202" s="2195">
        <v>6</v>
      </c>
      <c r="I202" s="575">
        <f t="shared" si="16"/>
        <v>1</v>
      </c>
      <c r="J202" s="575">
        <f t="shared" si="17"/>
        <v>1</v>
      </c>
      <c r="K202" s="577"/>
      <c r="L202" s="577"/>
      <c r="M202" s="577"/>
      <c r="N202" s="577">
        <v>1</v>
      </c>
      <c r="O202" s="896"/>
      <c r="P202" s="577"/>
      <c r="Q202" s="891"/>
      <c r="R202" s="1803"/>
      <c r="S202" s="163"/>
      <c r="T202" s="248"/>
      <c r="U202" s="248"/>
      <c r="V202" s="248"/>
      <c r="W202" s="163"/>
      <c r="X202" s="248"/>
      <c r="Y202" s="113"/>
      <c r="Z202" s="311"/>
      <c r="AB202" s="2">
        <v>1</v>
      </c>
      <c r="AG202" s="2461"/>
      <c r="AH202" s="68"/>
    </row>
    <row r="203" spans="1:34" ht="45.5" x14ac:dyDescent="0.35">
      <c r="A203" s="370">
        <v>103</v>
      </c>
      <c r="B203" s="1598" t="s">
        <v>857</v>
      </c>
      <c r="C203" s="365" t="s">
        <v>1656</v>
      </c>
      <c r="D203" s="2463" t="s">
        <v>4288</v>
      </c>
      <c r="E203" s="269" t="s">
        <v>8386</v>
      </c>
      <c r="F203" s="93" t="s">
        <v>664</v>
      </c>
      <c r="G203" s="2195">
        <v>5</v>
      </c>
      <c r="H203" s="2195">
        <v>6</v>
      </c>
      <c r="I203" s="575">
        <f t="shared" si="16"/>
        <v>0.7</v>
      </c>
      <c r="J203" s="575">
        <f t="shared" si="17"/>
        <v>0.7</v>
      </c>
      <c r="K203" s="577"/>
      <c r="L203" s="577"/>
      <c r="M203" s="577"/>
      <c r="N203" s="577"/>
      <c r="O203" s="896"/>
      <c r="P203" s="577"/>
      <c r="Q203" s="891"/>
      <c r="R203" s="1803">
        <v>0.7</v>
      </c>
      <c r="S203" s="163"/>
      <c r="T203" s="248"/>
      <c r="U203" s="248"/>
      <c r="V203" s="248"/>
      <c r="W203" s="163"/>
      <c r="X203" s="248"/>
      <c r="Y203" s="113"/>
      <c r="Z203" s="311"/>
      <c r="AB203" s="2">
        <v>1</v>
      </c>
      <c r="AG203" s="2461"/>
      <c r="AH203" s="68"/>
    </row>
    <row r="204" spans="1:34" ht="45.5" x14ac:dyDescent="0.35">
      <c r="A204" s="370"/>
      <c r="B204" s="1026" t="s">
        <v>2893</v>
      </c>
      <c r="C204" s="1026"/>
      <c r="D204" s="365"/>
      <c r="E204" s="1596" t="s">
        <v>11320</v>
      </c>
      <c r="F204" s="93"/>
      <c r="G204" s="2195"/>
      <c r="H204" s="2414"/>
      <c r="I204" s="575"/>
      <c r="J204" s="575"/>
      <c r="K204" s="577"/>
      <c r="L204" s="577"/>
      <c r="M204" s="577"/>
      <c r="N204" s="577"/>
      <c r="O204" s="896"/>
      <c r="P204" s="577"/>
      <c r="Q204" s="891"/>
      <c r="R204" s="1803"/>
      <c r="S204" s="163"/>
      <c r="T204" s="248"/>
      <c r="U204" s="248"/>
      <c r="V204" s="248"/>
      <c r="W204" s="163"/>
      <c r="X204" s="248"/>
      <c r="Y204" s="113"/>
      <c r="Z204" s="311"/>
      <c r="AG204" s="2461"/>
      <c r="AH204" s="68"/>
    </row>
    <row r="205" spans="1:34" ht="60.5" x14ac:dyDescent="0.35">
      <c r="A205" s="370">
        <v>104</v>
      </c>
      <c r="B205" s="1026" t="s">
        <v>2893</v>
      </c>
      <c r="C205" s="1026"/>
      <c r="D205" s="2463" t="s">
        <v>4289</v>
      </c>
      <c r="E205" s="269" t="s">
        <v>11368</v>
      </c>
      <c r="F205" s="93">
        <v>4</v>
      </c>
      <c r="G205" s="2195">
        <v>5</v>
      </c>
      <c r="H205" s="2195">
        <v>6</v>
      </c>
      <c r="I205" s="575">
        <f t="shared" si="16"/>
        <v>1</v>
      </c>
      <c r="J205" s="575">
        <f t="shared" si="17"/>
        <v>1</v>
      </c>
      <c r="K205" s="577"/>
      <c r="L205" s="577"/>
      <c r="M205" s="577"/>
      <c r="N205" s="577">
        <v>1</v>
      </c>
      <c r="O205" s="896"/>
      <c r="P205" s="577"/>
      <c r="Q205" s="891"/>
      <c r="R205" s="1803"/>
      <c r="S205" s="163"/>
      <c r="T205" s="248"/>
      <c r="U205" s="248"/>
      <c r="V205" s="248"/>
      <c r="W205" s="163"/>
      <c r="X205" s="248"/>
      <c r="Y205" s="113"/>
      <c r="Z205" s="311"/>
      <c r="AB205" s="2">
        <v>1</v>
      </c>
      <c r="AG205" s="2461"/>
      <c r="AH205" s="68"/>
    </row>
    <row r="206" spans="1:34" ht="45.5" x14ac:dyDescent="0.35">
      <c r="A206" s="370">
        <v>105</v>
      </c>
      <c r="B206" s="1026" t="s">
        <v>2893</v>
      </c>
      <c r="C206" s="1026"/>
      <c r="D206" s="2463" t="s">
        <v>4290</v>
      </c>
      <c r="E206" s="269" t="s">
        <v>11369</v>
      </c>
      <c r="F206" s="93">
        <v>5</v>
      </c>
      <c r="G206" s="2195">
        <v>5</v>
      </c>
      <c r="H206" s="2195">
        <v>6</v>
      </c>
      <c r="I206" s="575">
        <f t="shared" ref="I206:I214" si="18">J206+K206+L206</f>
        <v>1.7</v>
      </c>
      <c r="J206" s="575">
        <f t="shared" ref="J206:J214" si="19">SUM(M206:R206)</f>
        <v>1.7</v>
      </c>
      <c r="K206" s="577"/>
      <c r="L206" s="577"/>
      <c r="M206" s="577"/>
      <c r="N206" s="577">
        <v>1.7</v>
      </c>
      <c r="O206" s="896"/>
      <c r="P206" s="577"/>
      <c r="Q206" s="891"/>
      <c r="R206" s="1803"/>
      <c r="S206" s="163"/>
      <c r="T206" s="248"/>
      <c r="U206" s="248"/>
      <c r="V206" s="248"/>
      <c r="W206" s="163">
        <v>2</v>
      </c>
      <c r="X206" s="248">
        <v>26</v>
      </c>
      <c r="Y206" s="113">
        <v>2</v>
      </c>
      <c r="Z206" s="311">
        <v>26</v>
      </c>
      <c r="AB206" s="2">
        <v>1</v>
      </c>
      <c r="AG206" s="2461"/>
      <c r="AH206" s="68"/>
    </row>
    <row r="207" spans="1:34" ht="60.5" x14ac:dyDescent="0.35">
      <c r="A207" s="370">
        <v>106</v>
      </c>
      <c r="B207" s="1026" t="s">
        <v>2893</v>
      </c>
      <c r="C207" s="1026"/>
      <c r="D207" s="2463" t="s">
        <v>7116</v>
      </c>
      <c r="E207" s="269" t="s">
        <v>11370</v>
      </c>
      <c r="F207" s="93">
        <v>5</v>
      </c>
      <c r="G207" s="2195">
        <v>5</v>
      </c>
      <c r="H207" s="2195">
        <v>6</v>
      </c>
      <c r="I207" s="575">
        <f>J207+K207+L207</f>
        <v>0.4</v>
      </c>
      <c r="J207" s="575">
        <f>SUM(M207:R207)</f>
        <v>0.4</v>
      </c>
      <c r="K207" s="577"/>
      <c r="L207" s="577"/>
      <c r="M207" s="577"/>
      <c r="N207" s="577">
        <v>0.4</v>
      </c>
      <c r="O207" s="896"/>
      <c r="P207" s="577"/>
      <c r="Q207" s="891"/>
      <c r="R207" s="1803"/>
      <c r="S207" s="163"/>
      <c r="T207" s="248"/>
      <c r="U207" s="248"/>
      <c r="V207" s="248"/>
      <c r="W207" s="163"/>
      <c r="X207" s="248"/>
      <c r="Y207" s="113"/>
      <c r="Z207" s="311"/>
      <c r="AB207" s="2">
        <v>1</v>
      </c>
      <c r="AG207" s="2461"/>
      <c r="AH207" s="68"/>
    </row>
    <row r="208" spans="1:34" ht="60" x14ac:dyDescent="0.35">
      <c r="A208" s="370">
        <v>107</v>
      </c>
      <c r="B208" s="693" t="s">
        <v>2893</v>
      </c>
      <c r="C208" s="365" t="s">
        <v>1656</v>
      </c>
      <c r="D208" s="2463" t="s">
        <v>4291</v>
      </c>
      <c r="E208" s="2187" t="s">
        <v>11371</v>
      </c>
      <c r="F208" s="92" t="s">
        <v>664</v>
      </c>
      <c r="G208" s="92">
        <v>5</v>
      </c>
      <c r="H208" s="2195">
        <v>6</v>
      </c>
      <c r="I208" s="2102">
        <f t="shared" si="18"/>
        <v>0.2</v>
      </c>
      <c r="J208" s="2102">
        <f t="shared" si="19"/>
        <v>0.2</v>
      </c>
      <c r="K208" s="2088"/>
      <c r="L208" s="2088"/>
      <c r="M208" s="2088"/>
      <c r="N208" s="2088"/>
      <c r="O208" s="2088"/>
      <c r="P208" s="2088"/>
      <c r="Q208" s="2088"/>
      <c r="R208" s="906">
        <v>0.2</v>
      </c>
      <c r="S208" s="2101"/>
      <c r="T208" s="2101"/>
      <c r="U208" s="2101"/>
      <c r="V208" s="2101"/>
      <c r="W208" s="146"/>
      <c r="X208" s="146"/>
      <c r="Y208" s="146"/>
      <c r="Z208" s="146"/>
      <c r="AB208" s="2">
        <v>1</v>
      </c>
      <c r="AG208" s="2461"/>
      <c r="AH208" s="68"/>
    </row>
    <row r="209" spans="1:34" ht="45.5" x14ac:dyDescent="0.35">
      <c r="A209" s="370">
        <v>108</v>
      </c>
      <c r="B209" s="1026" t="s">
        <v>2893</v>
      </c>
      <c r="C209" s="1026"/>
      <c r="D209" s="2463" t="s">
        <v>4292</v>
      </c>
      <c r="E209" s="269" t="s">
        <v>11372</v>
      </c>
      <c r="F209" s="93">
        <v>5</v>
      </c>
      <c r="G209" s="2195">
        <v>5</v>
      </c>
      <c r="H209" s="2195">
        <v>6</v>
      </c>
      <c r="I209" s="575">
        <f t="shared" si="18"/>
        <v>2.1</v>
      </c>
      <c r="J209" s="575">
        <f t="shared" si="19"/>
        <v>2.1</v>
      </c>
      <c r="K209" s="577"/>
      <c r="L209" s="577"/>
      <c r="M209" s="577"/>
      <c r="N209" s="577"/>
      <c r="O209" s="896"/>
      <c r="P209" s="577"/>
      <c r="Q209" s="891"/>
      <c r="R209" s="2197">
        <v>2.1</v>
      </c>
      <c r="S209" s="163"/>
      <c r="T209" s="248"/>
      <c r="U209" s="248"/>
      <c r="V209" s="248"/>
      <c r="W209" s="163"/>
      <c r="X209" s="248"/>
      <c r="Y209" s="113"/>
      <c r="Z209" s="311"/>
      <c r="AB209" s="2">
        <v>1</v>
      </c>
      <c r="AG209" s="2461"/>
      <c r="AH209" s="68"/>
    </row>
    <row r="210" spans="1:34" ht="60.5" x14ac:dyDescent="0.35">
      <c r="A210" s="370">
        <v>109</v>
      </c>
      <c r="B210" s="1026" t="s">
        <v>2893</v>
      </c>
      <c r="C210" s="365" t="s">
        <v>1656</v>
      </c>
      <c r="D210" s="2463" t="s">
        <v>4293</v>
      </c>
      <c r="E210" s="269" t="s">
        <v>11373</v>
      </c>
      <c r="F210" s="93" t="s">
        <v>664</v>
      </c>
      <c r="G210" s="2195">
        <v>5</v>
      </c>
      <c r="H210" s="2195">
        <v>6</v>
      </c>
      <c r="I210" s="575">
        <f t="shared" si="18"/>
        <v>0.25</v>
      </c>
      <c r="J210" s="575">
        <f t="shared" si="19"/>
        <v>0.25</v>
      </c>
      <c r="K210" s="577"/>
      <c r="L210" s="577"/>
      <c r="M210" s="577"/>
      <c r="N210" s="577"/>
      <c r="O210" s="896"/>
      <c r="P210" s="577"/>
      <c r="Q210" s="891"/>
      <c r="R210" s="2197">
        <v>0.25</v>
      </c>
      <c r="S210" s="163"/>
      <c r="T210" s="248"/>
      <c r="U210" s="248"/>
      <c r="V210" s="248"/>
      <c r="W210" s="163"/>
      <c r="X210" s="248"/>
      <c r="Y210" s="113"/>
      <c r="Z210" s="311"/>
      <c r="AB210" s="2">
        <v>1</v>
      </c>
      <c r="AG210" s="2461"/>
      <c r="AH210" s="68"/>
    </row>
    <row r="211" spans="1:34" ht="60.5" x14ac:dyDescent="0.35">
      <c r="A211" s="370">
        <v>110</v>
      </c>
      <c r="B211" s="1026" t="s">
        <v>2893</v>
      </c>
      <c r="C211" s="365" t="s">
        <v>1656</v>
      </c>
      <c r="D211" s="2463" t="s">
        <v>4294</v>
      </c>
      <c r="E211" s="269" t="s">
        <v>11374</v>
      </c>
      <c r="F211" s="93" t="s">
        <v>664</v>
      </c>
      <c r="G211" s="2195">
        <v>5</v>
      </c>
      <c r="H211" s="2195">
        <v>6</v>
      </c>
      <c r="I211" s="575">
        <f>J211+K211+L211</f>
        <v>0.55000000000000004</v>
      </c>
      <c r="J211" s="575">
        <f>SUM(M211:R211)</f>
        <v>0.55000000000000004</v>
      </c>
      <c r="K211" s="577"/>
      <c r="L211" s="577"/>
      <c r="M211" s="577"/>
      <c r="N211" s="577"/>
      <c r="O211" s="896"/>
      <c r="P211" s="577"/>
      <c r="Q211" s="891"/>
      <c r="R211" s="1803">
        <v>0.55000000000000004</v>
      </c>
      <c r="S211" s="163"/>
      <c r="T211" s="248"/>
      <c r="U211" s="248"/>
      <c r="V211" s="248"/>
      <c r="W211" s="163"/>
      <c r="X211" s="248"/>
      <c r="Y211" s="113"/>
      <c r="Z211" s="311"/>
      <c r="AB211" s="2">
        <v>1</v>
      </c>
      <c r="AG211" s="2461"/>
      <c r="AH211" s="68"/>
    </row>
    <row r="212" spans="1:34" ht="45.5" x14ac:dyDescent="0.35">
      <c r="A212" s="370">
        <v>111</v>
      </c>
      <c r="B212" s="1026" t="s">
        <v>2893</v>
      </c>
      <c r="C212" s="1026"/>
      <c r="D212" s="2463" t="s">
        <v>4295</v>
      </c>
      <c r="E212" s="269" t="s">
        <v>11375</v>
      </c>
      <c r="F212" s="93">
        <v>5</v>
      </c>
      <c r="G212" s="2195">
        <v>5</v>
      </c>
      <c r="H212" s="2195">
        <v>6</v>
      </c>
      <c r="I212" s="575">
        <f t="shared" si="18"/>
        <v>1.3</v>
      </c>
      <c r="J212" s="575">
        <f t="shared" si="19"/>
        <v>1.3</v>
      </c>
      <c r="K212" s="577"/>
      <c r="L212" s="577"/>
      <c r="M212" s="577"/>
      <c r="N212" s="577"/>
      <c r="O212" s="896"/>
      <c r="P212" s="577"/>
      <c r="Q212" s="891"/>
      <c r="R212" s="2197">
        <v>1.3</v>
      </c>
      <c r="S212" s="163"/>
      <c r="T212" s="248"/>
      <c r="U212" s="248"/>
      <c r="V212" s="248"/>
      <c r="W212" s="163">
        <v>3</v>
      </c>
      <c r="X212" s="248">
        <v>45</v>
      </c>
      <c r="Y212" s="113">
        <v>1</v>
      </c>
      <c r="Z212" s="311">
        <v>15</v>
      </c>
      <c r="AB212" s="2">
        <v>1</v>
      </c>
      <c r="AG212" s="2461"/>
      <c r="AH212" s="68"/>
    </row>
    <row r="213" spans="1:34" ht="60.5" x14ac:dyDescent="0.35">
      <c r="A213" s="370">
        <v>112</v>
      </c>
      <c r="B213" s="1026" t="s">
        <v>2893</v>
      </c>
      <c r="C213" s="365" t="s">
        <v>1656</v>
      </c>
      <c r="D213" s="2463" t="s">
        <v>4296</v>
      </c>
      <c r="E213" s="269" t="s">
        <v>11376</v>
      </c>
      <c r="F213" s="93" t="s">
        <v>664</v>
      </c>
      <c r="G213" s="2195">
        <v>5</v>
      </c>
      <c r="H213" s="2195">
        <v>6</v>
      </c>
      <c r="I213" s="575">
        <f t="shared" si="18"/>
        <v>0.2</v>
      </c>
      <c r="J213" s="575">
        <f t="shared" si="19"/>
        <v>0.2</v>
      </c>
      <c r="K213" s="577"/>
      <c r="L213" s="577"/>
      <c r="M213" s="577"/>
      <c r="N213" s="577"/>
      <c r="O213" s="896"/>
      <c r="P213" s="577"/>
      <c r="Q213" s="891"/>
      <c r="R213" s="2197">
        <v>0.2</v>
      </c>
      <c r="S213" s="163"/>
      <c r="T213" s="248"/>
      <c r="U213" s="248"/>
      <c r="V213" s="248"/>
      <c r="W213" s="163"/>
      <c r="X213" s="248"/>
      <c r="Y213" s="113"/>
      <c r="Z213" s="311"/>
      <c r="AB213" s="2">
        <v>1</v>
      </c>
      <c r="AG213" s="2461"/>
      <c r="AH213" s="68"/>
    </row>
    <row r="214" spans="1:34" ht="45.5" x14ac:dyDescent="0.35">
      <c r="A214" s="370">
        <v>113</v>
      </c>
      <c r="B214" s="1026" t="s">
        <v>2893</v>
      </c>
      <c r="C214" s="1026"/>
      <c r="D214" s="2463" t="s">
        <v>4297</v>
      </c>
      <c r="E214" s="269" t="s">
        <v>11377</v>
      </c>
      <c r="F214" s="93"/>
      <c r="G214" s="2195" t="s">
        <v>191</v>
      </c>
      <c r="H214" s="2414" t="s">
        <v>191</v>
      </c>
      <c r="I214" s="575">
        <f t="shared" si="18"/>
        <v>3.1999999999999997</v>
      </c>
      <c r="J214" s="575">
        <f t="shared" si="19"/>
        <v>3.1999999999999997</v>
      </c>
      <c r="K214" s="577"/>
      <c r="L214" s="577"/>
      <c r="M214" s="577"/>
      <c r="N214" s="577"/>
      <c r="O214" s="896"/>
      <c r="P214" s="577"/>
      <c r="Q214" s="891">
        <f>SUM(Q215:Q216)</f>
        <v>3.1999999999999997</v>
      </c>
      <c r="R214" s="2197"/>
      <c r="S214" s="163"/>
      <c r="T214" s="248"/>
      <c r="U214" s="248"/>
      <c r="V214" s="248"/>
      <c r="W214" s="163">
        <v>10</v>
      </c>
      <c r="X214" s="248">
        <v>100.7</v>
      </c>
      <c r="Y214" s="113">
        <v>6</v>
      </c>
      <c r="Z214" s="311">
        <v>60</v>
      </c>
      <c r="AB214" s="2">
        <v>1</v>
      </c>
      <c r="AG214" s="2461"/>
      <c r="AH214" s="68"/>
    </row>
    <row r="215" spans="1:34" x14ac:dyDescent="0.35">
      <c r="A215" s="1580"/>
      <c r="B215" s="1026" t="s">
        <v>2893</v>
      </c>
      <c r="C215" s="1026"/>
      <c r="D215" s="368"/>
      <c r="E215" s="900" t="s">
        <v>815</v>
      </c>
      <c r="F215" s="93">
        <v>5</v>
      </c>
      <c r="G215" s="2195">
        <v>5</v>
      </c>
      <c r="H215" s="2414">
        <v>6</v>
      </c>
      <c r="I215" s="1097"/>
      <c r="J215" s="1097"/>
      <c r="K215" s="576"/>
      <c r="L215" s="576"/>
      <c r="M215" s="576"/>
      <c r="N215" s="576"/>
      <c r="O215" s="895"/>
      <c r="P215" s="576"/>
      <c r="Q215" s="891">
        <v>2.8</v>
      </c>
      <c r="R215" s="2197"/>
      <c r="S215" s="163"/>
      <c r="T215" s="248"/>
      <c r="U215" s="248"/>
      <c r="V215" s="248"/>
      <c r="W215" s="163"/>
      <c r="X215" s="248"/>
      <c r="Y215" s="113"/>
      <c r="Z215" s="311"/>
      <c r="AG215" s="2461"/>
      <c r="AH215" s="68"/>
    </row>
    <row r="216" spans="1:34" x14ac:dyDescent="0.35">
      <c r="A216" s="1580"/>
      <c r="B216" s="1026" t="s">
        <v>2893</v>
      </c>
      <c r="C216" s="1026"/>
      <c r="D216" s="368"/>
      <c r="E216" s="900" t="s">
        <v>781</v>
      </c>
      <c r="F216" s="93" t="s">
        <v>1490</v>
      </c>
      <c r="G216" s="2195">
        <v>5</v>
      </c>
      <c r="H216" s="2414">
        <v>6</v>
      </c>
      <c r="I216" s="1097"/>
      <c r="J216" s="1097"/>
      <c r="K216" s="576"/>
      <c r="L216" s="576"/>
      <c r="M216" s="576"/>
      <c r="N216" s="576"/>
      <c r="O216" s="895"/>
      <c r="P216" s="576"/>
      <c r="Q216" s="891">
        <v>0.4</v>
      </c>
      <c r="R216" s="2197"/>
      <c r="S216" s="163"/>
      <c r="T216" s="248"/>
      <c r="U216" s="248"/>
      <c r="V216" s="248"/>
      <c r="W216" s="163"/>
      <c r="X216" s="248"/>
      <c r="Y216" s="113"/>
      <c r="Z216" s="311"/>
      <c r="AG216" s="2461"/>
      <c r="AH216" s="68"/>
    </row>
    <row r="217" spans="1:34" ht="45.5" x14ac:dyDescent="0.35">
      <c r="A217" s="370">
        <v>114</v>
      </c>
      <c r="B217" s="1026" t="s">
        <v>2893</v>
      </c>
      <c r="C217" s="1026"/>
      <c r="D217" s="2463" t="s">
        <v>4298</v>
      </c>
      <c r="E217" s="269" t="s">
        <v>11378</v>
      </c>
      <c r="F217" s="93"/>
      <c r="G217" s="2195" t="s">
        <v>191</v>
      </c>
      <c r="H217" s="2414" t="s">
        <v>191</v>
      </c>
      <c r="I217" s="575">
        <f>J217+K217+L217</f>
        <v>2.7330000000000001</v>
      </c>
      <c r="J217" s="575">
        <f>SUM(M217:R217)</f>
        <v>2.7330000000000001</v>
      </c>
      <c r="K217" s="577"/>
      <c r="L217" s="577"/>
      <c r="M217" s="577"/>
      <c r="N217" s="577">
        <f>SUM(N218:N219)</f>
        <v>1.33</v>
      </c>
      <c r="O217" s="896"/>
      <c r="P217" s="577"/>
      <c r="Q217" s="891">
        <f>SUM(Q218:Q219)</f>
        <v>1.403</v>
      </c>
      <c r="R217" s="2197"/>
      <c r="S217" s="163"/>
      <c r="T217" s="248"/>
      <c r="U217" s="248"/>
      <c r="V217" s="248"/>
      <c r="W217" s="163">
        <v>14</v>
      </c>
      <c r="X217" s="248">
        <v>171.4</v>
      </c>
      <c r="Y217" s="113">
        <v>10</v>
      </c>
      <c r="Z217" s="311">
        <v>115</v>
      </c>
      <c r="AB217" s="2">
        <v>1</v>
      </c>
      <c r="AG217" s="2461"/>
      <c r="AH217" s="68"/>
    </row>
    <row r="218" spans="1:34" x14ac:dyDescent="0.35">
      <c r="A218" s="1580"/>
      <c r="B218" s="1026" t="s">
        <v>2893</v>
      </c>
      <c r="C218" s="1026"/>
      <c r="D218" s="368"/>
      <c r="E218" s="270" t="s">
        <v>10971</v>
      </c>
      <c r="F218" s="93">
        <v>5</v>
      </c>
      <c r="G218" s="2195">
        <v>5</v>
      </c>
      <c r="H218" s="2414">
        <v>6</v>
      </c>
      <c r="I218" s="1097"/>
      <c r="J218" s="1097"/>
      <c r="K218" s="576"/>
      <c r="L218" s="576"/>
      <c r="M218" s="576"/>
      <c r="N218" s="576">
        <v>1.33</v>
      </c>
      <c r="O218" s="895"/>
      <c r="P218" s="576"/>
      <c r="Q218" s="891"/>
      <c r="R218" s="2197"/>
      <c r="S218" s="163"/>
      <c r="T218" s="248"/>
      <c r="U218" s="248"/>
      <c r="V218" s="248"/>
      <c r="W218" s="163"/>
      <c r="X218" s="248"/>
      <c r="Y218" s="113"/>
      <c r="Z218" s="311"/>
      <c r="AG218" s="2461"/>
      <c r="AH218" s="68"/>
    </row>
    <row r="219" spans="1:34" x14ac:dyDescent="0.35">
      <c r="A219" s="1580"/>
      <c r="B219" s="1026" t="s">
        <v>2893</v>
      </c>
      <c r="C219" s="1026"/>
      <c r="D219" s="368"/>
      <c r="E219" s="900" t="s">
        <v>10456</v>
      </c>
      <c r="F219" s="93">
        <v>5</v>
      </c>
      <c r="G219" s="2195">
        <v>5</v>
      </c>
      <c r="H219" s="2414">
        <v>6</v>
      </c>
      <c r="I219" s="1097"/>
      <c r="J219" s="1097"/>
      <c r="K219" s="576"/>
      <c r="L219" s="576"/>
      <c r="M219" s="576"/>
      <c r="N219" s="576"/>
      <c r="O219" s="895"/>
      <c r="P219" s="576"/>
      <c r="Q219" s="1813">
        <f>2.733-1.33</f>
        <v>1.403</v>
      </c>
      <c r="R219" s="2197"/>
      <c r="S219" s="163"/>
      <c r="T219" s="248"/>
      <c r="U219" s="248"/>
      <c r="V219" s="248"/>
      <c r="W219" s="163"/>
      <c r="X219" s="248"/>
      <c r="Y219" s="113"/>
      <c r="Z219" s="311"/>
      <c r="AG219" s="2461"/>
      <c r="AH219" s="68"/>
    </row>
    <row r="220" spans="1:34" ht="60.5" x14ac:dyDescent="0.35">
      <c r="A220" s="370">
        <v>115</v>
      </c>
      <c r="B220" s="1026" t="s">
        <v>2893</v>
      </c>
      <c r="C220" s="365" t="s">
        <v>1656</v>
      </c>
      <c r="D220" s="2463" t="s">
        <v>4299</v>
      </c>
      <c r="E220" s="269" t="s">
        <v>11379</v>
      </c>
      <c r="F220" s="93" t="s">
        <v>664</v>
      </c>
      <c r="G220" s="2195">
        <v>5</v>
      </c>
      <c r="H220" s="2195">
        <v>6</v>
      </c>
      <c r="I220" s="575">
        <f>J220+K220+L220</f>
        <v>0.83499999999999996</v>
      </c>
      <c r="J220" s="575">
        <f>SUM(M220:R220)</f>
        <v>0.83499999999999996</v>
      </c>
      <c r="K220" s="577"/>
      <c r="L220" s="577"/>
      <c r="M220" s="577"/>
      <c r="N220" s="577"/>
      <c r="O220" s="896"/>
      <c r="P220" s="577"/>
      <c r="Q220" s="891"/>
      <c r="R220" s="2197">
        <v>0.83499999999999996</v>
      </c>
      <c r="S220" s="163"/>
      <c r="T220" s="248"/>
      <c r="U220" s="248"/>
      <c r="V220" s="248"/>
      <c r="W220" s="163"/>
      <c r="X220" s="248"/>
      <c r="Y220" s="113"/>
      <c r="Z220" s="311"/>
      <c r="AB220" s="2">
        <v>1</v>
      </c>
      <c r="AG220" s="2461"/>
      <c r="AH220" s="68"/>
    </row>
    <row r="221" spans="1:34" ht="45.5" x14ac:dyDescent="0.35">
      <c r="A221" s="370">
        <v>116</v>
      </c>
      <c r="B221" s="1026" t="s">
        <v>2893</v>
      </c>
      <c r="C221" s="1026"/>
      <c r="D221" s="2463" t="s">
        <v>4300</v>
      </c>
      <c r="E221" s="269" t="s">
        <v>11380</v>
      </c>
      <c r="F221" s="93"/>
      <c r="G221" s="2195" t="s">
        <v>191</v>
      </c>
      <c r="H221" s="2414" t="s">
        <v>191</v>
      </c>
      <c r="I221" s="575">
        <f>J221+K221+L221</f>
        <v>1.4</v>
      </c>
      <c r="J221" s="575">
        <f>SUM(M221:R221)</f>
        <v>1.4</v>
      </c>
      <c r="K221" s="577"/>
      <c r="L221" s="577"/>
      <c r="M221" s="577"/>
      <c r="N221" s="577">
        <f>SUM(N222:N223)</f>
        <v>1</v>
      </c>
      <c r="O221" s="896"/>
      <c r="P221" s="577"/>
      <c r="Q221" s="891"/>
      <c r="R221" s="2197">
        <f>SUM(R222:R223)</f>
        <v>0.4</v>
      </c>
      <c r="S221" s="163"/>
      <c r="T221" s="248"/>
      <c r="U221" s="248"/>
      <c r="V221" s="248"/>
      <c r="W221" s="163"/>
      <c r="X221" s="248"/>
      <c r="Y221" s="113"/>
      <c r="Z221" s="311"/>
      <c r="AB221" s="2">
        <v>1</v>
      </c>
      <c r="AG221" s="2461"/>
      <c r="AH221" s="68"/>
    </row>
    <row r="222" spans="1:34" x14ac:dyDescent="0.35">
      <c r="A222" s="370"/>
      <c r="B222" s="1026" t="s">
        <v>2893</v>
      </c>
      <c r="C222" s="1026"/>
      <c r="D222" s="365"/>
      <c r="E222" s="270" t="s">
        <v>2628</v>
      </c>
      <c r="F222" s="93">
        <v>5</v>
      </c>
      <c r="G222" s="2195">
        <v>5</v>
      </c>
      <c r="H222" s="2195">
        <v>6</v>
      </c>
      <c r="I222" s="1097"/>
      <c r="J222" s="1097"/>
      <c r="K222" s="576"/>
      <c r="L222" s="576"/>
      <c r="M222" s="576"/>
      <c r="N222" s="576">
        <v>1</v>
      </c>
      <c r="O222" s="2196"/>
      <c r="P222" s="576"/>
      <c r="Q222" s="1813"/>
      <c r="R222" s="2198"/>
      <c r="S222" s="163"/>
      <c r="T222" s="248"/>
      <c r="U222" s="248"/>
      <c r="V222" s="248"/>
      <c r="W222" s="163"/>
      <c r="X222" s="248"/>
      <c r="Y222" s="113"/>
      <c r="Z222" s="311"/>
      <c r="AG222" s="2461"/>
      <c r="AH222" s="68"/>
    </row>
    <row r="223" spans="1:34" x14ac:dyDescent="0.35">
      <c r="A223" s="370"/>
      <c r="B223" s="1026" t="s">
        <v>2893</v>
      </c>
      <c r="C223" s="1026"/>
      <c r="D223" s="365"/>
      <c r="E223" s="878" t="s">
        <v>3438</v>
      </c>
      <c r="F223" s="93">
        <v>5</v>
      </c>
      <c r="G223" s="2195">
        <v>5</v>
      </c>
      <c r="H223" s="2195">
        <v>6</v>
      </c>
      <c r="I223" s="1097"/>
      <c r="J223" s="1097"/>
      <c r="K223" s="576"/>
      <c r="L223" s="576"/>
      <c r="M223" s="576"/>
      <c r="N223" s="576"/>
      <c r="O223" s="2196"/>
      <c r="P223" s="576"/>
      <c r="Q223" s="1813"/>
      <c r="R223" s="2198">
        <v>0.4</v>
      </c>
      <c r="S223" s="163"/>
      <c r="T223" s="248"/>
      <c r="U223" s="248"/>
      <c r="V223" s="248"/>
      <c r="W223" s="163"/>
      <c r="X223" s="248"/>
      <c r="Y223" s="113"/>
      <c r="Z223" s="311"/>
      <c r="AG223" s="2461"/>
      <c r="AH223" s="68"/>
    </row>
    <row r="224" spans="1:34" ht="45.5" x14ac:dyDescent="0.35">
      <c r="A224" s="370">
        <v>117</v>
      </c>
      <c r="B224" s="1026" t="s">
        <v>2893</v>
      </c>
      <c r="C224" s="1026"/>
      <c r="D224" s="2463" t="s">
        <v>4301</v>
      </c>
      <c r="E224" s="269" t="s">
        <v>11381</v>
      </c>
      <c r="F224" s="93"/>
      <c r="G224" s="2195" t="s">
        <v>191</v>
      </c>
      <c r="H224" s="2414" t="s">
        <v>191</v>
      </c>
      <c r="I224" s="575">
        <f>J224+K224+L224</f>
        <v>3.5</v>
      </c>
      <c r="J224" s="575">
        <f>SUM(M224:R224)</f>
        <v>3.5</v>
      </c>
      <c r="K224" s="577"/>
      <c r="L224" s="577"/>
      <c r="M224" s="577"/>
      <c r="N224" s="577">
        <f>SUM(N225:N227)</f>
        <v>7.0000000000000007E-2</v>
      </c>
      <c r="O224" s="896"/>
      <c r="P224" s="577"/>
      <c r="Q224" s="891">
        <f>SUM(Q225:Q227)</f>
        <v>0.57000000000000006</v>
      </c>
      <c r="R224" s="2197">
        <f>SUM(R225:R227)</f>
        <v>2.86</v>
      </c>
      <c r="S224" s="163"/>
      <c r="T224" s="248"/>
      <c r="U224" s="248"/>
      <c r="V224" s="248"/>
      <c r="W224" s="163">
        <v>4</v>
      </c>
      <c r="X224" s="248">
        <v>35</v>
      </c>
      <c r="Y224" s="113"/>
      <c r="Z224" s="311"/>
      <c r="AB224" s="2">
        <v>1</v>
      </c>
      <c r="AG224" s="2461"/>
      <c r="AH224" s="68"/>
    </row>
    <row r="225" spans="1:34" x14ac:dyDescent="0.35">
      <c r="A225" s="370"/>
      <c r="B225" s="1026" t="s">
        <v>2893</v>
      </c>
      <c r="C225" s="1026"/>
      <c r="D225" s="365"/>
      <c r="E225" s="270" t="s">
        <v>2214</v>
      </c>
      <c r="F225" s="93">
        <v>5</v>
      </c>
      <c r="G225" s="2195">
        <v>5</v>
      </c>
      <c r="H225" s="2195">
        <v>6</v>
      </c>
      <c r="I225" s="1097"/>
      <c r="J225" s="1097"/>
      <c r="K225" s="576"/>
      <c r="L225" s="576"/>
      <c r="M225" s="576"/>
      <c r="N225" s="576">
        <v>7.0000000000000007E-2</v>
      </c>
      <c r="O225" s="2196"/>
      <c r="P225" s="576"/>
      <c r="Q225" s="1813"/>
      <c r="R225" s="2198"/>
      <c r="S225" s="163"/>
      <c r="T225" s="248"/>
      <c r="U225" s="248"/>
      <c r="V225" s="248"/>
      <c r="W225" s="163"/>
      <c r="X225" s="248"/>
      <c r="Y225" s="113"/>
      <c r="Z225" s="311"/>
      <c r="AG225" s="2461"/>
      <c r="AH225" s="68"/>
    </row>
    <row r="226" spans="1:34" x14ac:dyDescent="0.35">
      <c r="A226" s="370"/>
      <c r="B226" s="1026" t="s">
        <v>2893</v>
      </c>
      <c r="C226" s="1026"/>
      <c r="D226" s="365"/>
      <c r="E226" s="2234" t="s">
        <v>1899</v>
      </c>
      <c r="F226" s="93">
        <v>5</v>
      </c>
      <c r="G226" s="2195">
        <v>5</v>
      </c>
      <c r="H226" s="2414">
        <v>6</v>
      </c>
      <c r="I226" s="1097"/>
      <c r="J226" s="1097"/>
      <c r="K226" s="576"/>
      <c r="L226" s="576"/>
      <c r="M226" s="576"/>
      <c r="N226" s="576"/>
      <c r="O226" s="2196"/>
      <c r="P226" s="576"/>
      <c r="Q226" s="1813">
        <f>0.64-0.07</f>
        <v>0.57000000000000006</v>
      </c>
      <c r="R226" s="2198"/>
      <c r="S226" s="163"/>
      <c r="T226" s="248"/>
      <c r="U226" s="248"/>
      <c r="V226" s="248"/>
      <c r="W226" s="163"/>
      <c r="X226" s="248"/>
      <c r="Y226" s="113"/>
      <c r="Z226" s="311"/>
      <c r="AG226" s="2461"/>
      <c r="AH226" s="68"/>
    </row>
    <row r="227" spans="1:34" x14ac:dyDescent="0.35">
      <c r="A227" s="370"/>
      <c r="B227" s="1026" t="s">
        <v>2893</v>
      </c>
      <c r="C227" s="1026"/>
      <c r="D227" s="365"/>
      <c r="E227" s="878" t="s">
        <v>2362</v>
      </c>
      <c r="F227" s="93" t="s">
        <v>827</v>
      </c>
      <c r="G227" s="2195">
        <v>5</v>
      </c>
      <c r="H227" s="2195">
        <v>6</v>
      </c>
      <c r="I227" s="1097"/>
      <c r="J227" s="1097"/>
      <c r="K227" s="576"/>
      <c r="L227" s="576"/>
      <c r="M227" s="576"/>
      <c r="N227" s="576"/>
      <c r="O227" s="2196"/>
      <c r="P227" s="576"/>
      <c r="Q227" s="1813"/>
      <c r="R227" s="2198">
        <v>2.86</v>
      </c>
      <c r="S227" s="163"/>
      <c r="T227" s="248"/>
      <c r="U227" s="248"/>
      <c r="V227" s="248"/>
      <c r="W227" s="163"/>
      <c r="X227" s="248"/>
      <c r="Y227" s="113"/>
      <c r="Z227" s="311"/>
      <c r="AG227" s="2461"/>
      <c r="AH227" s="68"/>
    </row>
    <row r="228" spans="1:34" ht="45.5" x14ac:dyDescent="0.35">
      <c r="A228" s="370">
        <v>118</v>
      </c>
      <c r="B228" s="1026" t="s">
        <v>2893</v>
      </c>
      <c r="C228" s="1026"/>
      <c r="D228" s="2463" t="s">
        <v>4302</v>
      </c>
      <c r="E228" s="269" t="s">
        <v>11382</v>
      </c>
      <c r="F228" s="93"/>
      <c r="G228" s="2195" t="s">
        <v>191</v>
      </c>
      <c r="H228" s="2414" t="s">
        <v>191</v>
      </c>
      <c r="I228" s="575">
        <f>J228+K228+L228</f>
        <v>4.3440000000000003</v>
      </c>
      <c r="J228" s="575">
        <f>SUM(M228:R228)</f>
        <v>4.3440000000000003</v>
      </c>
      <c r="K228" s="577"/>
      <c r="L228" s="577"/>
      <c r="M228" s="577"/>
      <c r="N228" s="577">
        <f>SUM(N229:N230)</f>
        <v>3.1</v>
      </c>
      <c r="O228" s="896"/>
      <c r="P228" s="577"/>
      <c r="Q228" s="891"/>
      <c r="R228" s="2197">
        <f>SUM(R229:R230)</f>
        <v>1.2440000000000002</v>
      </c>
      <c r="S228" s="163"/>
      <c r="T228" s="248"/>
      <c r="U228" s="248"/>
      <c r="V228" s="248"/>
      <c r="W228" s="163">
        <v>15</v>
      </c>
      <c r="X228" s="248">
        <v>198.87</v>
      </c>
      <c r="Y228" s="113">
        <v>5</v>
      </c>
      <c r="Z228" s="311">
        <v>50</v>
      </c>
      <c r="AB228" s="2">
        <v>1</v>
      </c>
      <c r="AG228" s="2461"/>
      <c r="AH228" s="68"/>
    </row>
    <row r="229" spans="1:34" x14ac:dyDescent="0.35">
      <c r="A229" s="370"/>
      <c r="B229" s="1026" t="s">
        <v>2893</v>
      </c>
      <c r="C229" s="1026"/>
      <c r="D229" s="365"/>
      <c r="E229" s="270" t="s">
        <v>1711</v>
      </c>
      <c r="F229" s="93">
        <v>4</v>
      </c>
      <c r="G229" s="2195">
        <v>5</v>
      </c>
      <c r="H229" s="2195">
        <v>6</v>
      </c>
      <c r="I229" s="575"/>
      <c r="J229" s="575"/>
      <c r="K229" s="577"/>
      <c r="L229" s="577"/>
      <c r="M229" s="577"/>
      <c r="N229" s="576">
        <v>3.1</v>
      </c>
      <c r="O229" s="2196"/>
      <c r="P229" s="576"/>
      <c r="Q229" s="1813"/>
      <c r="R229" s="2198"/>
      <c r="S229" s="163"/>
      <c r="T229" s="248"/>
      <c r="U229" s="248"/>
      <c r="V229" s="248"/>
      <c r="W229" s="163"/>
      <c r="X229" s="248"/>
      <c r="Y229" s="113"/>
      <c r="Z229" s="311"/>
      <c r="AG229" s="2461"/>
      <c r="AH229" s="68"/>
    </row>
    <row r="230" spans="1:34" x14ac:dyDescent="0.35">
      <c r="A230" s="370"/>
      <c r="B230" s="1026" t="s">
        <v>2893</v>
      </c>
      <c r="C230" s="1026"/>
      <c r="D230" s="365"/>
      <c r="E230" s="878" t="s">
        <v>3264</v>
      </c>
      <c r="F230" s="93">
        <v>5</v>
      </c>
      <c r="G230" s="2195">
        <v>5</v>
      </c>
      <c r="H230" s="2195">
        <v>6</v>
      </c>
      <c r="I230" s="575"/>
      <c r="J230" s="575"/>
      <c r="K230" s="577"/>
      <c r="L230" s="577"/>
      <c r="M230" s="577"/>
      <c r="N230" s="576"/>
      <c r="O230" s="2196"/>
      <c r="P230" s="576"/>
      <c r="Q230" s="1813"/>
      <c r="R230" s="2198">
        <f>4.344-3.1</f>
        <v>1.2440000000000002</v>
      </c>
      <c r="S230" s="163"/>
      <c r="T230" s="248"/>
      <c r="U230" s="248"/>
      <c r="V230" s="248"/>
      <c r="W230" s="163"/>
      <c r="X230" s="248"/>
      <c r="Y230" s="113"/>
      <c r="Z230" s="311"/>
      <c r="AC230" s="2" t="s">
        <v>2570</v>
      </c>
      <c r="AG230" s="2461"/>
      <c r="AH230" s="68"/>
    </row>
    <row r="231" spans="1:34" ht="60.5" x14ac:dyDescent="0.35">
      <c r="A231" s="370">
        <v>119</v>
      </c>
      <c r="B231" s="1026" t="s">
        <v>2893</v>
      </c>
      <c r="C231" s="1026"/>
      <c r="D231" s="2463" t="s">
        <v>4303</v>
      </c>
      <c r="E231" s="269" t="s">
        <v>11383</v>
      </c>
      <c r="F231" s="93" t="s">
        <v>664</v>
      </c>
      <c r="G231" s="2195">
        <v>5</v>
      </c>
      <c r="H231" s="2195">
        <v>6</v>
      </c>
      <c r="I231" s="575">
        <f>J231+K231+L231</f>
        <v>2.4</v>
      </c>
      <c r="J231" s="575">
        <f>SUM(M231:R231)</f>
        <v>2.4</v>
      </c>
      <c r="K231" s="577"/>
      <c r="L231" s="577"/>
      <c r="M231" s="577"/>
      <c r="N231" s="577"/>
      <c r="O231" s="896"/>
      <c r="P231" s="577"/>
      <c r="Q231" s="891"/>
      <c r="R231" s="2197">
        <v>2.4</v>
      </c>
      <c r="S231" s="163"/>
      <c r="T231" s="248"/>
      <c r="U231" s="248"/>
      <c r="V231" s="248"/>
      <c r="W231" s="163"/>
      <c r="X231" s="248"/>
      <c r="Y231" s="113"/>
      <c r="Z231" s="311"/>
      <c r="AB231" s="2">
        <v>1</v>
      </c>
      <c r="AG231" s="2461"/>
      <c r="AH231" s="68"/>
    </row>
    <row r="232" spans="1:34" ht="60" x14ac:dyDescent="0.35">
      <c r="A232" s="370">
        <v>120</v>
      </c>
      <c r="B232" s="693" t="s">
        <v>2893</v>
      </c>
      <c r="C232" s="365" t="s">
        <v>1656</v>
      </c>
      <c r="D232" s="2463" t="s">
        <v>4304</v>
      </c>
      <c r="E232" s="2187" t="s">
        <v>11384</v>
      </c>
      <c r="F232" s="92" t="s">
        <v>664</v>
      </c>
      <c r="G232" s="92">
        <v>5</v>
      </c>
      <c r="H232" s="2195">
        <v>6</v>
      </c>
      <c r="I232" s="2102">
        <f>J232+K232+L232</f>
        <v>0.4</v>
      </c>
      <c r="J232" s="2102">
        <f>SUM(M232:R232)</f>
        <v>0.4</v>
      </c>
      <c r="K232" s="2088"/>
      <c r="L232" s="2088"/>
      <c r="M232" s="2088"/>
      <c r="N232" s="2088"/>
      <c r="O232" s="2088"/>
      <c r="P232" s="2088"/>
      <c r="Q232" s="2088"/>
      <c r="R232" s="906">
        <v>0.4</v>
      </c>
      <c r="S232" s="2101"/>
      <c r="T232" s="2101"/>
      <c r="U232" s="2101"/>
      <c r="V232" s="2101"/>
      <c r="W232" s="146"/>
      <c r="X232" s="146"/>
      <c r="Y232" s="146"/>
      <c r="Z232" s="146"/>
      <c r="AB232" s="2">
        <v>1</v>
      </c>
      <c r="AG232" s="2461"/>
      <c r="AH232" s="68"/>
    </row>
    <row r="233" spans="1:34" ht="45.5" x14ac:dyDescent="0.35">
      <c r="A233" s="370">
        <v>121</v>
      </c>
      <c r="B233" s="1026" t="s">
        <v>2893</v>
      </c>
      <c r="C233" s="1026"/>
      <c r="D233" s="2463" t="s">
        <v>4305</v>
      </c>
      <c r="E233" s="269" t="s">
        <v>11385</v>
      </c>
      <c r="F233" s="93"/>
      <c r="G233" s="2195" t="s">
        <v>191</v>
      </c>
      <c r="H233" s="2414" t="s">
        <v>191</v>
      </c>
      <c r="I233" s="575">
        <f>J233+K233+L233</f>
        <v>1.6</v>
      </c>
      <c r="J233" s="575">
        <f>SUM(M233:R233)</f>
        <v>1.6</v>
      </c>
      <c r="K233" s="577"/>
      <c r="L233" s="577"/>
      <c r="M233" s="577"/>
      <c r="N233" s="577">
        <v>0.1</v>
      </c>
      <c r="O233" s="896"/>
      <c r="P233" s="577"/>
      <c r="Q233" s="891">
        <v>0.4</v>
      </c>
      <c r="R233" s="1803">
        <v>1.1000000000000001</v>
      </c>
      <c r="S233" s="163"/>
      <c r="T233" s="248"/>
      <c r="U233" s="248"/>
      <c r="V233" s="248"/>
      <c r="W233" s="163"/>
      <c r="X233" s="248"/>
      <c r="Y233" s="113"/>
      <c r="Z233" s="311"/>
      <c r="AB233" s="2">
        <v>1</v>
      </c>
      <c r="AG233" s="2461"/>
      <c r="AH233" s="68"/>
    </row>
    <row r="234" spans="1:34" x14ac:dyDescent="0.35">
      <c r="A234" s="370"/>
      <c r="B234" s="1026" t="s">
        <v>2893</v>
      </c>
      <c r="C234" s="1026"/>
      <c r="D234" s="365"/>
      <c r="E234" s="270" t="s">
        <v>1332</v>
      </c>
      <c r="F234" s="93">
        <v>5</v>
      </c>
      <c r="G234" s="2195">
        <v>5</v>
      </c>
      <c r="H234" s="2195">
        <v>6</v>
      </c>
      <c r="I234" s="1097"/>
      <c r="J234" s="1097"/>
      <c r="K234" s="576"/>
      <c r="L234" s="576"/>
      <c r="M234" s="576"/>
      <c r="N234" s="576">
        <v>0.1</v>
      </c>
      <c r="O234" s="2196"/>
      <c r="P234" s="576"/>
      <c r="Q234" s="1813"/>
      <c r="R234" s="1809"/>
      <c r="S234" s="163"/>
      <c r="T234" s="248"/>
      <c r="U234" s="248"/>
      <c r="V234" s="248"/>
      <c r="W234" s="163"/>
      <c r="X234" s="248"/>
      <c r="Y234" s="113"/>
      <c r="Z234" s="311"/>
      <c r="AG234" s="2461"/>
      <c r="AH234" s="68"/>
    </row>
    <row r="235" spans="1:34" x14ac:dyDescent="0.35">
      <c r="A235" s="370"/>
      <c r="B235" s="1026" t="s">
        <v>2893</v>
      </c>
      <c r="C235" s="1026"/>
      <c r="D235" s="365"/>
      <c r="E235" s="2234" t="s">
        <v>877</v>
      </c>
      <c r="F235" s="93">
        <v>5</v>
      </c>
      <c r="G235" s="2195">
        <v>5</v>
      </c>
      <c r="H235" s="2414">
        <v>6</v>
      </c>
      <c r="I235" s="1097"/>
      <c r="J235" s="1097"/>
      <c r="K235" s="576"/>
      <c r="L235" s="576"/>
      <c r="M235" s="576"/>
      <c r="N235" s="576"/>
      <c r="O235" s="2196"/>
      <c r="P235" s="576"/>
      <c r="Q235" s="1813">
        <v>0.4</v>
      </c>
      <c r="R235" s="1809"/>
      <c r="S235" s="163"/>
      <c r="T235" s="248"/>
      <c r="U235" s="248"/>
      <c r="V235" s="248"/>
      <c r="W235" s="163"/>
      <c r="X235" s="248"/>
      <c r="Y235" s="113"/>
      <c r="Z235" s="311"/>
      <c r="AG235" s="2461"/>
      <c r="AH235" s="68"/>
    </row>
    <row r="236" spans="1:34" x14ac:dyDescent="0.35">
      <c r="A236" s="370"/>
      <c r="B236" s="1026" t="s">
        <v>2893</v>
      </c>
      <c r="C236" s="1026"/>
      <c r="D236" s="365"/>
      <c r="E236" s="878" t="s">
        <v>878</v>
      </c>
      <c r="F236" s="93" t="s">
        <v>664</v>
      </c>
      <c r="G236" s="2195">
        <v>5</v>
      </c>
      <c r="H236" s="2195">
        <v>6</v>
      </c>
      <c r="I236" s="1097"/>
      <c r="J236" s="1097"/>
      <c r="K236" s="576"/>
      <c r="L236" s="576"/>
      <c r="M236" s="576"/>
      <c r="N236" s="576"/>
      <c r="O236" s="2196"/>
      <c r="P236" s="576"/>
      <c r="Q236" s="1813"/>
      <c r="R236" s="1809">
        <v>1.1000000000000001</v>
      </c>
      <c r="S236" s="163"/>
      <c r="T236" s="248"/>
      <c r="U236" s="248"/>
      <c r="V236" s="248"/>
      <c r="W236" s="163"/>
      <c r="X236" s="248"/>
      <c r="Y236" s="113"/>
      <c r="Z236" s="311"/>
      <c r="AG236" s="2461"/>
      <c r="AH236" s="68"/>
    </row>
    <row r="237" spans="1:34" ht="60.5" x14ac:dyDescent="0.35">
      <c r="A237" s="370">
        <v>122</v>
      </c>
      <c r="B237" s="1026" t="s">
        <v>2893</v>
      </c>
      <c r="C237" s="365" t="s">
        <v>1656</v>
      </c>
      <c r="D237" s="2463" t="s">
        <v>4306</v>
      </c>
      <c r="E237" s="269" t="s">
        <v>11386</v>
      </c>
      <c r="F237" s="93" t="s">
        <v>664</v>
      </c>
      <c r="G237" s="2195">
        <v>5</v>
      </c>
      <c r="H237" s="2195">
        <v>6</v>
      </c>
      <c r="I237" s="575">
        <f t="shared" ref="I237:I244" si="20">J237+K237+L237</f>
        <v>0.3</v>
      </c>
      <c r="J237" s="575">
        <f t="shared" ref="J237:J244" si="21">SUM(M237:R237)</f>
        <v>0.3</v>
      </c>
      <c r="K237" s="577"/>
      <c r="L237" s="577"/>
      <c r="M237" s="577"/>
      <c r="N237" s="577"/>
      <c r="O237" s="896"/>
      <c r="P237" s="577"/>
      <c r="Q237" s="891"/>
      <c r="R237" s="1803">
        <v>0.3</v>
      </c>
      <c r="S237" s="163"/>
      <c r="T237" s="248"/>
      <c r="U237" s="248"/>
      <c r="V237" s="248"/>
      <c r="W237" s="163"/>
      <c r="X237" s="248"/>
      <c r="Y237" s="113"/>
      <c r="Z237" s="311"/>
      <c r="AB237" s="2">
        <v>1</v>
      </c>
      <c r="AG237" s="2461"/>
      <c r="AH237" s="68"/>
    </row>
    <row r="238" spans="1:34" ht="45.5" x14ac:dyDescent="0.35">
      <c r="A238" s="370">
        <v>123</v>
      </c>
      <c r="B238" s="1026" t="s">
        <v>2893</v>
      </c>
      <c r="C238" s="1026"/>
      <c r="D238" s="2463" t="s">
        <v>4307</v>
      </c>
      <c r="E238" s="269" t="s">
        <v>11387</v>
      </c>
      <c r="F238" s="93" t="s">
        <v>664</v>
      </c>
      <c r="G238" s="2195">
        <v>5</v>
      </c>
      <c r="H238" s="2195">
        <v>6</v>
      </c>
      <c r="I238" s="575">
        <f t="shared" si="20"/>
        <v>2.35</v>
      </c>
      <c r="J238" s="575">
        <f t="shared" si="21"/>
        <v>2.35</v>
      </c>
      <c r="K238" s="577"/>
      <c r="L238" s="577"/>
      <c r="M238" s="577"/>
      <c r="N238" s="577"/>
      <c r="O238" s="896"/>
      <c r="P238" s="577"/>
      <c r="Q238" s="891"/>
      <c r="R238" s="1803">
        <v>2.35</v>
      </c>
      <c r="S238" s="163"/>
      <c r="T238" s="248"/>
      <c r="U238" s="248"/>
      <c r="V238" s="248"/>
      <c r="W238" s="163">
        <v>2</v>
      </c>
      <c r="X238" s="248">
        <v>20</v>
      </c>
      <c r="Y238" s="113"/>
      <c r="Z238" s="311"/>
      <c r="AB238" s="2">
        <v>1</v>
      </c>
      <c r="AG238" s="2461"/>
      <c r="AH238" s="68"/>
    </row>
    <row r="239" spans="1:34" ht="60" x14ac:dyDescent="0.35">
      <c r="A239" s="370">
        <v>124</v>
      </c>
      <c r="B239" s="693" t="s">
        <v>2893</v>
      </c>
      <c r="C239" s="365" t="s">
        <v>1656</v>
      </c>
      <c r="D239" s="2463" t="s">
        <v>4308</v>
      </c>
      <c r="E239" s="2187" t="s">
        <v>11388</v>
      </c>
      <c r="F239" s="92" t="s">
        <v>664</v>
      </c>
      <c r="G239" s="92">
        <v>5</v>
      </c>
      <c r="H239" s="2195">
        <v>6</v>
      </c>
      <c r="I239" s="2102">
        <f t="shared" si="20"/>
        <v>0.8</v>
      </c>
      <c r="J239" s="2102">
        <f t="shared" si="21"/>
        <v>0.8</v>
      </c>
      <c r="K239" s="2088"/>
      <c r="L239" s="2088"/>
      <c r="M239" s="2088"/>
      <c r="N239" s="2088"/>
      <c r="O239" s="2088"/>
      <c r="P239" s="2088"/>
      <c r="Q239" s="2088"/>
      <c r="R239" s="906">
        <v>0.8</v>
      </c>
      <c r="S239" s="2101"/>
      <c r="T239" s="2101"/>
      <c r="U239" s="2101"/>
      <c r="V239" s="2101"/>
      <c r="W239" s="146"/>
      <c r="X239" s="146"/>
      <c r="Y239" s="146"/>
      <c r="Z239" s="146"/>
      <c r="AB239" s="2">
        <v>1</v>
      </c>
      <c r="AG239" s="2461"/>
      <c r="AH239" s="68"/>
    </row>
    <row r="240" spans="1:34" ht="45.5" x14ac:dyDescent="0.35">
      <c r="A240" s="370">
        <v>125</v>
      </c>
      <c r="B240" s="1026" t="s">
        <v>2893</v>
      </c>
      <c r="C240" s="1026"/>
      <c r="D240" s="2463" t="s">
        <v>4309</v>
      </c>
      <c r="E240" s="269" t="s">
        <v>11389</v>
      </c>
      <c r="F240" s="93" t="s">
        <v>664</v>
      </c>
      <c r="G240" s="2195">
        <v>5</v>
      </c>
      <c r="H240" s="2195">
        <v>6</v>
      </c>
      <c r="I240" s="575">
        <f t="shared" si="20"/>
        <v>1.25</v>
      </c>
      <c r="J240" s="575">
        <f t="shared" si="21"/>
        <v>1.25</v>
      </c>
      <c r="K240" s="577"/>
      <c r="L240" s="577"/>
      <c r="M240" s="577"/>
      <c r="N240" s="577"/>
      <c r="O240" s="896"/>
      <c r="P240" s="577"/>
      <c r="Q240" s="891"/>
      <c r="R240" s="1803">
        <v>1.25</v>
      </c>
      <c r="S240" s="163"/>
      <c r="T240" s="248"/>
      <c r="U240" s="248"/>
      <c r="V240" s="248"/>
      <c r="W240" s="163"/>
      <c r="X240" s="248"/>
      <c r="Y240" s="113"/>
      <c r="Z240" s="311"/>
      <c r="AB240" s="2">
        <v>1</v>
      </c>
      <c r="AG240" s="2461"/>
      <c r="AH240" s="68"/>
    </row>
    <row r="241" spans="1:34" ht="45.5" x14ac:dyDescent="0.35">
      <c r="A241" s="370">
        <v>126</v>
      </c>
      <c r="B241" s="1026" t="s">
        <v>2893</v>
      </c>
      <c r="C241" s="1026"/>
      <c r="D241" s="2463" t="s">
        <v>4310</v>
      </c>
      <c r="E241" s="269" t="s">
        <v>11390</v>
      </c>
      <c r="F241" s="93" t="s">
        <v>664</v>
      </c>
      <c r="G241" s="2195">
        <v>5</v>
      </c>
      <c r="H241" s="2195">
        <v>6</v>
      </c>
      <c r="I241" s="575">
        <f t="shared" si="20"/>
        <v>1.4</v>
      </c>
      <c r="J241" s="575">
        <f t="shared" si="21"/>
        <v>1.4</v>
      </c>
      <c r="K241" s="577"/>
      <c r="L241" s="577"/>
      <c r="M241" s="577"/>
      <c r="N241" s="577"/>
      <c r="O241" s="896"/>
      <c r="P241" s="577"/>
      <c r="Q241" s="891"/>
      <c r="R241" s="1803">
        <v>1.4</v>
      </c>
      <c r="S241" s="163"/>
      <c r="T241" s="248"/>
      <c r="U241" s="248"/>
      <c r="V241" s="248"/>
      <c r="W241" s="163"/>
      <c r="X241" s="248"/>
      <c r="Y241" s="113"/>
      <c r="Z241" s="311"/>
      <c r="AB241" s="2">
        <v>1</v>
      </c>
      <c r="AG241" s="2461"/>
      <c r="AH241" s="68"/>
    </row>
    <row r="242" spans="1:34" ht="60.5" x14ac:dyDescent="0.35">
      <c r="A242" s="370">
        <v>127</v>
      </c>
      <c r="B242" s="1026" t="s">
        <v>2893</v>
      </c>
      <c r="C242" s="1026"/>
      <c r="D242" s="2463" t="s">
        <v>4311</v>
      </c>
      <c r="E242" s="269" t="s">
        <v>11391</v>
      </c>
      <c r="F242" s="93">
        <v>5</v>
      </c>
      <c r="G242" s="2195">
        <v>5</v>
      </c>
      <c r="H242" s="2195">
        <v>6</v>
      </c>
      <c r="I242" s="575">
        <f t="shared" si="20"/>
        <v>0.7</v>
      </c>
      <c r="J242" s="575">
        <f t="shared" si="21"/>
        <v>0.7</v>
      </c>
      <c r="K242" s="577"/>
      <c r="L242" s="577"/>
      <c r="M242" s="577"/>
      <c r="N242" s="577">
        <v>0.7</v>
      </c>
      <c r="O242" s="896"/>
      <c r="P242" s="577"/>
      <c r="Q242" s="891"/>
      <c r="R242" s="1803"/>
      <c r="S242" s="163"/>
      <c r="T242" s="248"/>
      <c r="U242" s="248"/>
      <c r="V242" s="248"/>
      <c r="W242" s="163"/>
      <c r="X242" s="248"/>
      <c r="Y242" s="113"/>
      <c r="Z242" s="311"/>
      <c r="AB242" s="2">
        <v>1</v>
      </c>
      <c r="AG242" s="2461"/>
      <c r="AH242" s="68"/>
    </row>
    <row r="243" spans="1:34" ht="45.5" x14ac:dyDescent="0.35">
      <c r="A243" s="370">
        <v>128</v>
      </c>
      <c r="B243" s="1026" t="s">
        <v>2893</v>
      </c>
      <c r="C243" s="365" t="s">
        <v>1656</v>
      </c>
      <c r="D243" s="2463" t="s">
        <v>4312</v>
      </c>
      <c r="E243" s="269" t="s">
        <v>11392</v>
      </c>
      <c r="F243" s="93" t="s">
        <v>664</v>
      </c>
      <c r="G243" s="2195">
        <v>5</v>
      </c>
      <c r="H243" s="2195">
        <v>6</v>
      </c>
      <c r="I243" s="575">
        <f t="shared" si="20"/>
        <v>0.3</v>
      </c>
      <c r="J243" s="575">
        <f t="shared" si="21"/>
        <v>0.3</v>
      </c>
      <c r="K243" s="577"/>
      <c r="L243" s="577"/>
      <c r="M243" s="577"/>
      <c r="N243" s="577"/>
      <c r="O243" s="896"/>
      <c r="P243" s="577"/>
      <c r="Q243" s="891"/>
      <c r="R243" s="1803">
        <v>0.3</v>
      </c>
      <c r="S243" s="163"/>
      <c r="T243" s="248"/>
      <c r="U243" s="248"/>
      <c r="V243" s="248"/>
      <c r="W243" s="163"/>
      <c r="X243" s="248"/>
      <c r="Y243" s="113"/>
      <c r="Z243" s="311"/>
      <c r="AB243" s="2">
        <v>1</v>
      </c>
      <c r="AG243" s="2461"/>
      <c r="AH243" s="68"/>
    </row>
    <row r="244" spans="1:34" ht="45.5" x14ac:dyDescent="0.35">
      <c r="A244" s="370">
        <v>129</v>
      </c>
      <c r="B244" s="1026" t="s">
        <v>2893</v>
      </c>
      <c r="C244" s="365" t="s">
        <v>1656</v>
      </c>
      <c r="D244" s="2463" t="s">
        <v>4313</v>
      </c>
      <c r="E244" s="269" t="s">
        <v>11393</v>
      </c>
      <c r="F244" s="93" t="s">
        <v>664</v>
      </c>
      <c r="G244" s="2195">
        <v>5</v>
      </c>
      <c r="H244" s="2195">
        <v>6</v>
      </c>
      <c r="I244" s="575">
        <f t="shared" si="20"/>
        <v>0.3</v>
      </c>
      <c r="J244" s="575">
        <f t="shared" si="21"/>
        <v>0.3</v>
      </c>
      <c r="K244" s="577"/>
      <c r="L244" s="577"/>
      <c r="M244" s="577"/>
      <c r="N244" s="577"/>
      <c r="O244" s="896"/>
      <c r="P244" s="577"/>
      <c r="Q244" s="891"/>
      <c r="R244" s="1803">
        <v>0.3</v>
      </c>
      <c r="S244" s="163"/>
      <c r="T244" s="248"/>
      <c r="U244" s="248"/>
      <c r="V244" s="248"/>
      <c r="W244" s="163"/>
      <c r="X244" s="248"/>
      <c r="Y244" s="113"/>
      <c r="Z244" s="311"/>
      <c r="AB244" s="2">
        <v>1</v>
      </c>
      <c r="AG244" s="2461"/>
      <c r="AH244" s="68"/>
    </row>
    <row r="245" spans="1:34" ht="30.5" x14ac:dyDescent="0.35">
      <c r="A245" s="370"/>
      <c r="B245" s="1026" t="s">
        <v>981</v>
      </c>
      <c r="C245" s="1026"/>
      <c r="D245" s="365"/>
      <c r="E245" s="1596" t="s">
        <v>2419</v>
      </c>
      <c r="F245" s="93"/>
      <c r="G245" s="2195"/>
      <c r="H245" s="2414"/>
      <c r="I245" s="575"/>
      <c r="J245" s="575"/>
      <c r="K245" s="577"/>
      <c r="L245" s="577"/>
      <c r="M245" s="577"/>
      <c r="N245" s="577"/>
      <c r="O245" s="896"/>
      <c r="P245" s="577"/>
      <c r="Q245" s="891"/>
      <c r="R245" s="1803"/>
      <c r="S245" s="163"/>
      <c r="T245" s="248"/>
      <c r="U245" s="248"/>
      <c r="V245" s="248"/>
      <c r="W245" s="163"/>
      <c r="X245" s="248"/>
      <c r="Y245" s="113"/>
      <c r="Z245" s="311"/>
      <c r="AG245" s="2461"/>
      <c r="AH245" s="68"/>
    </row>
    <row r="246" spans="1:34" ht="30.5" x14ac:dyDescent="0.35">
      <c r="A246" s="370">
        <v>130</v>
      </c>
      <c r="B246" s="1026" t="s">
        <v>981</v>
      </c>
      <c r="C246" s="1026"/>
      <c r="D246" s="2463" t="s">
        <v>4314</v>
      </c>
      <c r="E246" s="269" t="s">
        <v>7637</v>
      </c>
      <c r="F246" s="93"/>
      <c r="G246" s="2195" t="s">
        <v>191</v>
      </c>
      <c r="H246" s="2195" t="s">
        <v>191</v>
      </c>
      <c r="I246" s="575">
        <f>J246+K246+L246</f>
        <v>5.7530000000000001</v>
      </c>
      <c r="J246" s="575">
        <f>SUM(M246:R246)</f>
        <v>5.7530000000000001</v>
      </c>
      <c r="K246" s="577"/>
      <c r="L246" s="577"/>
      <c r="M246" s="577"/>
      <c r="N246" s="577">
        <f>SUM(N247:N250)</f>
        <v>2.3439999999999999</v>
      </c>
      <c r="O246" s="896"/>
      <c r="P246" s="577"/>
      <c r="Q246" s="891">
        <f>SUM(Q247:Q250)</f>
        <v>3.4090000000000003</v>
      </c>
      <c r="R246" s="1803"/>
      <c r="S246" s="163"/>
      <c r="T246" s="248"/>
      <c r="U246" s="248"/>
      <c r="V246" s="248"/>
      <c r="W246" s="163">
        <v>9</v>
      </c>
      <c r="X246" s="248">
        <v>130.94999999999999</v>
      </c>
      <c r="Y246" s="113"/>
      <c r="Z246" s="1731"/>
      <c r="AB246" s="2">
        <v>1</v>
      </c>
      <c r="AG246" s="2461"/>
      <c r="AH246" s="68"/>
    </row>
    <row r="247" spans="1:34" x14ac:dyDescent="0.35">
      <c r="A247" s="1580"/>
      <c r="B247" s="1026" t="s">
        <v>981</v>
      </c>
      <c r="C247" s="1026"/>
      <c r="D247" s="368"/>
      <c r="E247" s="270" t="s">
        <v>2783</v>
      </c>
      <c r="F247" s="93">
        <v>4</v>
      </c>
      <c r="G247" s="2195">
        <v>5</v>
      </c>
      <c r="H247" s="2195">
        <v>6</v>
      </c>
      <c r="I247" s="1097"/>
      <c r="J247" s="1097"/>
      <c r="K247" s="576"/>
      <c r="L247" s="576"/>
      <c r="M247" s="576"/>
      <c r="N247" s="576">
        <v>2.3439999999999999</v>
      </c>
      <c r="O247" s="895"/>
      <c r="P247" s="576"/>
      <c r="Q247" s="891"/>
      <c r="R247" s="1803"/>
      <c r="S247" s="163"/>
      <c r="T247" s="248"/>
      <c r="U247" s="248"/>
      <c r="V247" s="248"/>
      <c r="W247" s="163"/>
      <c r="X247" s="248"/>
      <c r="Y247" s="113"/>
      <c r="Z247" s="311"/>
      <c r="AG247" s="2461"/>
      <c r="AH247" s="68"/>
    </row>
    <row r="248" spans="1:34" x14ac:dyDescent="0.35">
      <c r="A248" s="1580"/>
      <c r="B248" s="1026"/>
      <c r="C248" s="1026"/>
      <c r="D248" s="368"/>
      <c r="E248" s="2234" t="s">
        <v>316</v>
      </c>
      <c r="F248" s="93">
        <v>5</v>
      </c>
      <c r="G248" s="2195">
        <v>5</v>
      </c>
      <c r="H248" s="2195">
        <v>6</v>
      </c>
      <c r="I248" s="1097"/>
      <c r="J248" s="1097"/>
      <c r="K248" s="576"/>
      <c r="L248" s="576"/>
      <c r="M248" s="576"/>
      <c r="N248" s="576"/>
      <c r="O248" s="895"/>
      <c r="P248" s="576"/>
      <c r="Q248" s="1813">
        <v>0.53900000000000015</v>
      </c>
      <c r="R248" s="1803"/>
      <c r="S248" s="163"/>
      <c r="T248" s="248"/>
      <c r="U248" s="248"/>
      <c r="V248" s="248"/>
      <c r="W248" s="163"/>
      <c r="X248" s="248"/>
      <c r="Y248" s="113"/>
      <c r="Z248" s="311"/>
      <c r="AG248" s="2461"/>
      <c r="AH248" s="68"/>
    </row>
    <row r="249" spans="1:34" x14ac:dyDescent="0.35">
      <c r="A249" s="1580"/>
      <c r="B249" s="1026"/>
      <c r="C249" s="1026"/>
      <c r="D249" s="368"/>
      <c r="E249" s="2234" t="s">
        <v>546</v>
      </c>
      <c r="F249" s="93">
        <v>4</v>
      </c>
      <c r="G249" s="2195">
        <v>5</v>
      </c>
      <c r="H249" s="2195">
        <v>6</v>
      </c>
      <c r="I249" s="1097"/>
      <c r="J249" s="1097"/>
      <c r="K249" s="576"/>
      <c r="L249" s="576"/>
      <c r="M249" s="576"/>
      <c r="N249" s="576"/>
      <c r="O249" s="895"/>
      <c r="P249" s="576"/>
      <c r="Q249" s="1813">
        <v>2.7279999999999998</v>
      </c>
      <c r="R249" s="1803"/>
      <c r="S249" s="163"/>
      <c r="T249" s="248"/>
      <c r="U249" s="248"/>
      <c r="V249" s="248"/>
      <c r="W249" s="163"/>
      <c r="X249" s="248"/>
      <c r="Y249" s="113"/>
      <c r="Z249" s="311"/>
      <c r="AG249" s="2461"/>
      <c r="AH249" s="68"/>
    </row>
    <row r="250" spans="1:34" x14ac:dyDescent="0.35">
      <c r="A250" s="1580"/>
      <c r="B250" s="1026" t="s">
        <v>981</v>
      </c>
      <c r="C250" s="1026"/>
      <c r="D250" s="368"/>
      <c r="E250" s="2234" t="s">
        <v>547</v>
      </c>
      <c r="F250" s="93" t="s">
        <v>827</v>
      </c>
      <c r="G250" s="2195">
        <v>5</v>
      </c>
      <c r="H250" s="2195">
        <v>6</v>
      </c>
      <c r="I250" s="1097"/>
      <c r="J250" s="1097"/>
      <c r="K250" s="576"/>
      <c r="L250" s="576"/>
      <c r="M250" s="576"/>
      <c r="N250" s="576"/>
      <c r="O250" s="895"/>
      <c r="P250" s="576"/>
      <c r="Q250" s="1813">
        <v>0.14200000000000035</v>
      </c>
      <c r="R250" s="1803"/>
      <c r="S250" s="163"/>
      <c r="T250" s="248"/>
      <c r="U250" s="248"/>
      <c r="V250" s="248"/>
      <c r="W250" s="163"/>
      <c r="X250" s="248"/>
      <c r="Y250" s="113"/>
      <c r="Z250" s="311"/>
      <c r="AG250" s="2461"/>
      <c r="AH250" s="68"/>
    </row>
    <row r="251" spans="1:34" ht="45.5" x14ac:dyDescent="0.35">
      <c r="A251" s="370">
        <v>131</v>
      </c>
      <c r="B251" s="1026" t="s">
        <v>981</v>
      </c>
      <c r="C251" s="1026"/>
      <c r="D251" s="2463" t="s">
        <v>4315</v>
      </c>
      <c r="E251" s="269" t="s">
        <v>7638</v>
      </c>
      <c r="F251" s="93" t="s">
        <v>664</v>
      </c>
      <c r="G251" s="2195">
        <v>5</v>
      </c>
      <c r="H251" s="2195">
        <v>6</v>
      </c>
      <c r="I251" s="575">
        <f>J251+K251+L251</f>
        <v>1.6</v>
      </c>
      <c r="J251" s="575">
        <f>SUM(M251:R251)</f>
        <v>1.6</v>
      </c>
      <c r="K251" s="577"/>
      <c r="L251" s="577"/>
      <c r="M251" s="577"/>
      <c r="N251" s="577"/>
      <c r="O251" s="896"/>
      <c r="P251" s="577"/>
      <c r="Q251" s="891"/>
      <c r="R251" s="1802">
        <v>1.6</v>
      </c>
      <c r="S251" s="113"/>
      <c r="T251" s="253"/>
      <c r="U251" s="253"/>
      <c r="V251" s="253"/>
      <c r="W251" s="113"/>
      <c r="X251" s="253"/>
      <c r="Y251" s="113"/>
      <c r="Z251" s="311"/>
      <c r="AB251" s="2">
        <v>1</v>
      </c>
      <c r="AG251" s="2461"/>
      <c r="AH251" s="68"/>
    </row>
    <row r="252" spans="1:34" ht="45.5" x14ac:dyDescent="0.35">
      <c r="A252" s="370">
        <v>132</v>
      </c>
      <c r="B252" s="1026" t="s">
        <v>981</v>
      </c>
      <c r="C252" s="1026"/>
      <c r="D252" s="2463" t="s">
        <v>4316</v>
      </c>
      <c r="E252" s="269" t="s">
        <v>7639</v>
      </c>
      <c r="F252" s="93"/>
      <c r="G252" s="2195" t="s">
        <v>191</v>
      </c>
      <c r="H252" s="2414" t="s">
        <v>191</v>
      </c>
      <c r="I252" s="575">
        <f>J252+K252+L252</f>
        <v>1.5</v>
      </c>
      <c r="J252" s="575">
        <f>SUM(M252:R252)</f>
        <v>1.5</v>
      </c>
      <c r="K252" s="577"/>
      <c r="L252" s="577"/>
      <c r="M252" s="577"/>
      <c r="N252" s="577">
        <f>SUM(N253:N254)</f>
        <v>0.7</v>
      </c>
      <c r="O252" s="896"/>
      <c r="P252" s="577"/>
      <c r="Q252" s="891"/>
      <c r="R252" s="1802">
        <f>SUM(R253:R254)</f>
        <v>0.8</v>
      </c>
      <c r="S252" s="113"/>
      <c r="T252" s="253"/>
      <c r="U252" s="253"/>
      <c r="V252" s="253"/>
      <c r="W252" s="113"/>
      <c r="X252" s="253"/>
      <c r="Y252" s="113"/>
      <c r="Z252" s="311"/>
      <c r="AB252" s="2">
        <v>1</v>
      </c>
      <c r="AG252" s="2461"/>
      <c r="AH252" s="68"/>
    </row>
    <row r="253" spans="1:34" x14ac:dyDescent="0.35">
      <c r="A253" s="370"/>
      <c r="B253" s="1026" t="s">
        <v>981</v>
      </c>
      <c r="C253" s="1026"/>
      <c r="D253" s="365"/>
      <c r="E253" s="270" t="s">
        <v>2585</v>
      </c>
      <c r="F253" s="93">
        <v>5</v>
      </c>
      <c r="G253" s="2195">
        <v>5</v>
      </c>
      <c r="H253" s="2195">
        <v>6</v>
      </c>
      <c r="I253" s="1097"/>
      <c r="J253" s="1097"/>
      <c r="K253" s="576"/>
      <c r="L253" s="576"/>
      <c r="M253" s="576"/>
      <c r="N253" s="576">
        <v>0.7</v>
      </c>
      <c r="O253" s="2196"/>
      <c r="P253" s="576"/>
      <c r="Q253" s="1813"/>
      <c r="R253" s="1812"/>
      <c r="S253" s="113"/>
      <c r="T253" s="253"/>
      <c r="U253" s="253"/>
      <c r="V253" s="253"/>
      <c r="W253" s="113"/>
      <c r="X253" s="253"/>
      <c r="Y253" s="113"/>
      <c r="Z253" s="311"/>
      <c r="AG253" s="2461"/>
      <c r="AH253" s="68"/>
    </row>
    <row r="254" spans="1:34" x14ac:dyDescent="0.35">
      <c r="A254" s="370"/>
      <c r="B254" s="1026" t="s">
        <v>981</v>
      </c>
      <c r="C254" s="1026"/>
      <c r="D254" s="365"/>
      <c r="E254" s="878" t="s">
        <v>2586</v>
      </c>
      <c r="F254" s="93">
        <v>5</v>
      </c>
      <c r="G254" s="2195">
        <v>5</v>
      </c>
      <c r="H254" s="2195">
        <v>6</v>
      </c>
      <c r="I254" s="1097"/>
      <c r="J254" s="1097"/>
      <c r="K254" s="576"/>
      <c r="L254" s="576"/>
      <c r="M254" s="576"/>
      <c r="N254" s="576"/>
      <c r="O254" s="2196"/>
      <c r="P254" s="576"/>
      <c r="Q254" s="1813"/>
      <c r="R254" s="1812">
        <v>0.8</v>
      </c>
      <c r="S254" s="113"/>
      <c r="T254" s="253"/>
      <c r="U254" s="253"/>
      <c r="V254" s="253"/>
      <c r="W254" s="113"/>
      <c r="X254" s="253"/>
      <c r="Y254" s="113"/>
      <c r="Z254" s="311"/>
      <c r="AG254" s="2461"/>
      <c r="AH254" s="68"/>
    </row>
    <row r="255" spans="1:34" ht="30.5" x14ac:dyDescent="0.35">
      <c r="A255" s="370">
        <v>133</v>
      </c>
      <c r="B255" s="1026" t="s">
        <v>981</v>
      </c>
      <c r="C255" s="1026"/>
      <c r="D255" s="2463" t="s">
        <v>4317</v>
      </c>
      <c r="E255" s="269" t="s">
        <v>7640</v>
      </c>
      <c r="F255" s="93" t="s">
        <v>664</v>
      </c>
      <c r="G255" s="2195">
        <v>5</v>
      </c>
      <c r="H255" s="2195">
        <v>6</v>
      </c>
      <c r="I255" s="575">
        <f t="shared" ref="I255:I261" si="22">J255+K255+L255</f>
        <v>1.1000000000000001</v>
      </c>
      <c r="J255" s="575">
        <f t="shared" ref="J255:J261" si="23">SUM(M255:R255)</f>
        <v>1.1000000000000001</v>
      </c>
      <c r="K255" s="577"/>
      <c r="L255" s="577"/>
      <c r="M255" s="577"/>
      <c r="N255" s="577"/>
      <c r="O255" s="896"/>
      <c r="P255" s="577"/>
      <c r="Q255" s="891"/>
      <c r="R255" s="1803">
        <v>1.1000000000000001</v>
      </c>
      <c r="S255" s="163"/>
      <c r="T255" s="248"/>
      <c r="U255" s="248"/>
      <c r="V255" s="248"/>
      <c r="W255" s="163"/>
      <c r="X255" s="248"/>
      <c r="Y255" s="113"/>
      <c r="Z255" s="311"/>
      <c r="AB255" s="2">
        <v>1</v>
      </c>
      <c r="AG255" s="2461"/>
      <c r="AH255" s="68"/>
    </row>
    <row r="256" spans="1:34" ht="30.5" x14ac:dyDescent="0.35">
      <c r="A256" s="370">
        <v>134</v>
      </c>
      <c r="B256" s="1026" t="s">
        <v>981</v>
      </c>
      <c r="C256" s="1026"/>
      <c r="D256" s="2463" t="s">
        <v>4318</v>
      </c>
      <c r="E256" s="269" t="s">
        <v>7641</v>
      </c>
      <c r="F256" s="93"/>
      <c r="G256" s="2195" t="s">
        <v>191</v>
      </c>
      <c r="H256" s="2195" t="s">
        <v>191</v>
      </c>
      <c r="I256" s="575">
        <f t="shared" si="22"/>
        <v>2.4500000000000002</v>
      </c>
      <c r="J256" s="575">
        <f t="shared" si="23"/>
        <v>2.4500000000000002</v>
      </c>
      <c r="K256" s="577"/>
      <c r="L256" s="577"/>
      <c r="M256" s="577"/>
      <c r="N256" s="577"/>
      <c r="O256" s="896"/>
      <c r="P256" s="577"/>
      <c r="Q256" s="891"/>
      <c r="R256" s="1803">
        <f>SUM(R257:R258)</f>
        <v>2.4500000000000002</v>
      </c>
      <c r="S256" s="163"/>
      <c r="T256" s="248"/>
      <c r="U256" s="248"/>
      <c r="V256" s="248"/>
      <c r="W256" s="163">
        <v>2</v>
      </c>
      <c r="X256" s="248">
        <v>20</v>
      </c>
      <c r="Y256" s="113"/>
      <c r="Z256" s="311"/>
      <c r="AB256" s="2">
        <v>1</v>
      </c>
      <c r="AG256" s="2461"/>
      <c r="AH256" s="68"/>
    </row>
    <row r="257" spans="1:34" x14ac:dyDescent="0.35">
      <c r="A257" s="370"/>
      <c r="B257" s="1026" t="s">
        <v>981</v>
      </c>
      <c r="C257" s="1026"/>
      <c r="D257" s="365"/>
      <c r="E257" s="878" t="s">
        <v>2916</v>
      </c>
      <c r="F257" s="93" t="s">
        <v>827</v>
      </c>
      <c r="G257" s="2195">
        <v>5</v>
      </c>
      <c r="H257" s="2195">
        <v>6</v>
      </c>
      <c r="I257" s="1097"/>
      <c r="J257" s="1097"/>
      <c r="K257" s="576"/>
      <c r="L257" s="576"/>
      <c r="M257" s="576"/>
      <c r="N257" s="576"/>
      <c r="O257" s="2196"/>
      <c r="P257" s="576"/>
      <c r="Q257" s="1813"/>
      <c r="R257" s="1809">
        <v>2.4</v>
      </c>
      <c r="S257" s="163"/>
      <c r="T257" s="248"/>
      <c r="U257" s="248"/>
      <c r="V257" s="248"/>
      <c r="W257" s="163"/>
      <c r="X257" s="248"/>
      <c r="Y257" s="113"/>
      <c r="Z257" s="311"/>
      <c r="AG257" s="2461"/>
      <c r="AH257" s="68"/>
    </row>
    <row r="258" spans="1:34" x14ac:dyDescent="0.35">
      <c r="A258" s="370"/>
      <c r="B258" s="1026" t="s">
        <v>981</v>
      </c>
      <c r="C258" s="1026"/>
      <c r="D258" s="365"/>
      <c r="E258" s="878" t="s">
        <v>7117</v>
      </c>
      <c r="F258" s="93" t="s">
        <v>664</v>
      </c>
      <c r="G258" s="2195">
        <v>5</v>
      </c>
      <c r="H258" s="2195">
        <v>6</v>
      </c>
      <c r="I258" s="1097"/>
      <c r="J258" s="1097"/>
      <c r="K258" s="576"/>
      <c r="L258" s="576"/>
      <c r="M258" s="576"/>
      <c r="N258" s="576"/>
      <c r="O258" s="2196"/>
      <c r="P258" s="576"/>
      <c r="Q258" s="1813"/>
      <c r="R258" s="1809">
        <f>2.45-2.4</f>
        <v>5.0000000000000266E-2</v>
      </c>
      <c r="S258" s="163"/>
      <c r="T258" s="248"/>
      <c r="U258" s="248"/>
      <c r="V258" s="248"/>
      <c r="W258" s="163"/>
      <c r="X258" s="248"/>
      <c r="Y258" s="113"/>
      <c r="Z258" s="311"/>
      <c r="AG258" s="2461"/>
      <c r="AH258" s="68"/>
    </row>
    <row r="259" spans="1:34" ht="30.5" x14ac:dyDescent="0.35">
      <c r="A259" s="370">
        <v>135</v>
      </c>
      <c r="B259" s="1026" t="s">
        <v>981</v>
      </c>
      <c r="C259" s="1026"/>
      <c r="D259" s="2463" t="s">
        <v>4319</v>
      </c>
      <c r="E259" s="269" t="s">
        <v>7642</v>
      </c>
      <c r="F259" s="93" t="s">
        <v>664</v>
      </c>
      <c r="G259" s="2195">
        <v>5</v>
      </c>
      <c r="H259" s="2195">
        <v>6</v>
      </c>
      <c r="I259" s="575">
        <f t="shared" si="22"/>
        <v>0.3</v>
      </c>
      <c r="J259" s="575">
        <f t="shared" si="23"/>
        <v>0.3</v>
      </c>
      <c r="K259" s="577"/>
      <c r="L259" s="577"/>
      <c r="M259" s="577"/>
      <c r="N259" s="577"/>
      <c r="O259" s="896"/>
      <c r="P259" s="577"/>
      <c r="Q259" s="891"/>
      <c r="R259" s="1803">
        <v>0.3</v>
      </c>
      <c r="S259" s="163"/>
      <c r="T259" s="248"/>
      <c r="U259" s="248"/>
      <c r="V259" s="248"/>
      <c r="W259" s="163"/>
      <c r="X259" s="248"/>
      <c r="Y259" s="113"/>
      <c r="Z259" s="311"/>
      <c r="AB259" s="2">
        <v>1</v>
      </c>
      <c r="AG259" s="2461"/>
      <c r="AH259" s="68"/>
    </row>
    <row r="260" spans="1:34" ht="30.5" x14ac:dyDescent="0.35">
      <c r="A260" s="370">
        <v>136</v>
      </c>
      <c r="B260" s="1026" t="s">
        <v>981</v>
      </c>
      <c r="C260" s="1026"/>
      <c r="D260" s="2463" t="s">
        <v>4320</v>
      </c>
      <c r="E260" s="269" t="s">
        <v>7643</v>
      </c>
      <c r="F260" s="93" t="s">
        <v>664</v>
      </c>
      <c r="G260" s="2195">
        <v>5</v>
      </c>
      <c r="H260" s="2195">
        <v>6</v>
      </c>
      <c r="I260" s="575">
        <f t="shared" si="22"/>
        <v>0.4</v>
      </c>
      <c r="J260" s="575">
        <f t="shared" si="23"/>
        <v>0.4</v>
      </c>
      <c r="K260" s="577"/>
      <c r="L260" s="577"/>
      <c r="M260" s="577"/>
      <c r="N260" s="577"/>
      <c r="O260" s="896"/>
      <c r="P260" s="577"/>
      <c r="Q260" s="891"/>
      <c r="R260" s="1803">
        <v>0.4</v>
      </c>
      <c r="S260" s="163"/>
      <c r="T260" s="248"/>
      <c r="U260" s="248"/>
      <c r="V260" s="248"/>
      <c r="W260" s="163"/>
      <c r="X260" s="248"/>
      <c r="Y260" s="113"/>
      <c r="Z260" s="311"/>
      <c r="AB260" s="2">
        <v>1</v>
      </c>
      <c r="AG260" s="2461"/>
      <c r="AH260" s="68"/>
    </row>
    <row r="261" spans="1:34" ht="30.5" x14ac:dyDescent="0.35">
      <c r="A261" s="370">
        <v>137</v>
      </c>
      <c r="B261" s="1026" t="s">
        <v>981</v>
      </c>
      <c r="C261" s="1026"/>
      <c r="D261" s="2463" t="s">
        <v>4321</v>
      </c>
      <c r="E261" s="269" t="s">
        <v>7644</v>
      </c>
      <c r="F261" s="93">
        <v>5</v>
      </c>
      <c r="G261" s="2195">
        <v>5</v>
      </c>
      <c r="H261" s="2414">
        <v>6</v>
      </c>
      <c r="I261" s="575">
        <f t="shared" si="22"/>
        <v>1.8</v>
      </c>
      <c r="J261" s="575">
        <f t="shared" si="23"/>
        <v>1.8</v>
      </c>
      <c r="K261" s="577"/>
      <c r="L261" s="577"/>
      <c r="M261" s="577"/>
      <c r="N261" s="577"/>
      <c r="O261" s="896"/>
      <c r="P261" s="577"/>
      <c r="Q261" s="891">
        <v>1.8</v>
      </c>
      <c r="R261" s="1803"/>
      <c r="S261" s="163"/>
      <c r="T261" s="248"/>
      <c r="U261" s="248"/>
      <c r="V261" s="248"/>
      <c r="W261" s="163">
        <v>2</v>
      </c>
      <c r="X261" s="248">
        <v>15.7</v>
      </c>
      <c r="Y261" s="113">
        <v>2</v>
      </c>
      <c r="Z261" s="311">
        <v>15.7</v>
      </c>
      <c r="AB261" s="2">
        <v>1</v>
      </c>
      <c r="AG261" s="2461"/>
      <c r="AH261" s="68"/>
    </row>
    <row r="262" spans="1:34" ht="45.5" x14ac:dyDescent="0.35">
      <c r="A262" s="370">
        <v>138</v>
      </c>
      <c r="B262" s="1047" t="s">
        <v>981</v>
      </c>
      <c r="C262" s="1047"/>
      <c r="D262" s="2463" t="s">
        <v>4322</v>
      </c>
      <c r="E262" s="269" t="s">
        <v>7645</v>
      </c>
      <c r="F262" s="93" t="s">
        <v>664</v>
      </c>
      <c r="G262" s="2195">
        <v>5</v>
      </c>
      <c r="H262" s="2195">
        <v>6</v>
      </c>
      <c r="I262" s="575">
        <f>J262+K262+L262</f>
        <v>0.95</v>
      </c>
      <c r="J262" s="575">
        <f>SUM(M262:R262)</f>
        <v>0.95</v>
      </c>
      <c r="K262" s="577"/>
      <c r="L262" s="577"/>
      <c r="M262" s="577"/>
      <c r="N262" s="577"/>
      <c r="O262" s="896"/>
      <c r="P262" s="577"/>
      <c r="Q262" s="891"/>
      <c r="R262" s="1802">
        <v>0.95</v>
      </c>
      <c r="S262" s="113"/>
      <c r="T262" s="253"/>
      <c r="U262" s="253"/>
      <c r="V262" s="253"/>
      <c r="W262" s="113"/>
      <c r="X262" s="253"/>
      <c r="Y262" s="113"/>
      <c r="Z262" s="311"/>
      <c r="AB262" s="2">
        <v>1</v>
      </c>
      <c r="AG262" s="2461"/>
      <c r="AH262" s="68"/>
    </row>
    <row r="263" spans="1:34" ht="60.5" x14ac:dyDescent="0.35">
      <c r="A263" s="370">
        <v>139</v>
      </c>
      <c r="B263" s="1026" t="s">
        <v>981</v>
      </c>
      <c r="C263" s="1026" t="s">
        <v>2436</v>
      </c>
      <c r="D263" s="2463" t="s">
        <v>4323</v>
      </c>
      <c r="E263" s="269" t="s">
        <v>9319</v>
      </c>
      <c r="F263" s="93" t="s">
        <v>1490</v>
      </c>
      <c r="G263" s="2195">
        <v>5</v>
      </c>
      <c r="H263" s="2195">
        <v>6</v>
      </c>
      <c r="I263" s="577">
        <f>J263+K263+L263</f>
        <v>0.4</v>
      </c>
      <c r="J263" s="577">
        <f>SUM(M263:R263)</f>
        <v>0.4</v>
      </c>
      <c r="K263" s="577"/>
      <c r="L263" s="577"/>
      <c r="M263" s="577"/>
      <c r="N263" s="577"/>
      <c r="O263" s="896"/>
      <c r="P263" s="577"/>
      <c r="Q263" s="891"/>
      <c r="R263" s="1802">
        <v>0.4</v>
      </c>
      <c r="S263" s="113"/>
      <c r="T263" s="253"/>
      <c r="U263" s="253"/>
      <c r="V263" s="253"/>
      <c r="W263" s="113"/>
      <c r="X263" s="253"/>
      <c r="Y263" s="113"/>
      <c r="Z263" s="311"/>
      <c r="AB263" s="2">
        <v>1</v>
      </c>
      <c r="AC263" s="2" t="s">
        <v>2570</v>
      </c>
      <c r="AG263" s="2461"/>
      <c r="AH263" s="68"/>
    </row>
    <row r="264" spans="1:34" ht="30.5" x14ac:dyDescent="0.35">
      <c r="A264" s="370">
        <v>140</v>
      </c>
      <c r="B264" s="1026" t="s">
        <v>981</v>
      </c>
      <c r="C264" s="1026"/>
      <c r="D264" s="2463" t="s">
        <v>4324</v>
      </c>
      <c r="E264" s="269" t="s">
        <v>7646</v>
      </c>
      <c r="F264" s="93">
        <v>5</v>
      </c>
      <c r="G264" s="2195">
        <v>5</v>
      </c>
      <c r="H264" s="2195">
        <v>6</v>
      </c>
      <c r="I264" s="575">
        <f>J264+K264+L264</f>
        <v>1.2</v>
      </c>
      <c r="J264" s="575">
        <f>SUM(M264:R264)</f>
        <v>1.2</v>
      </c>
      <c r="K264" s="577"/>
      <c r="L264" s="577"/>
      <c r="M264" s="577"/>
      <c r="N264" s="577">
        <v>1.2</v>
      </c>
      <c r="O264" s="896"/>
      <c r="P264" s="577"/>
      <c r="Q264" s="891"/>
      <c r="R264" s="1802"/>
      <c r="S264" s="113"/>
      <c r="T264" s="253"/>
      <c r="U264" s="253"/>
      <c r="V264" s="253"/>
      <c r="W264" s="113">
        <v>3</v>
      </c>
      <c r="X264" s="253">
        <v>32</v>
      </c>
      <c r="Y264" s="113"/>
      <c r="Z264" s="311"/>
      <c r="AB264" s="2">
        <v>1</v>
      </c>
      <c r="AG264" s="2461"/>
      <c r="AH264" s="68"/>
    </row>
    <row r="265" spans="1:34" ht="30.5" x14ac:dyDescent="0.35">
      <c r="A265" s="370">
        <v>141</v>
      </c>
      <c r="B265" s="1026" t="s">
        <v>981</v>
      </c>
      <c r="C265" s="1026"/>
      <c r="D265" s="2463" t="s">
        <v>4325</v>
      </c>
      <c r="E265" s="269" t="s">
        <v>7647</v>
      </c>
      <c r="F265" s="93" t="s">
        <v>827</v>
      </c>
      <c r="G265" s="2195">
        <v>5</v>
      </c>
      <c r="H265" s="2195">
        <v>6</v>
      </c>
      <c r="I265" s="575">
        <f>J265+K265+L265</f>
        <v>1.2</v>
      </c>
      <c r="J265" s="575">
        <f>SUM(M265:R265)</f>
        <v>1.2</v>
      </c>
      <c r="K265" s="577"/>
      <c r="L265" s="577"/>
      <c r="M265" s="577"/>
      <c r="N265" s="577"/>
      <c r="O265" s="896"/>
      <c r="P265" s="577"/>
      <c r="Q265" s="891"/>
      <c r="R265" s="1802">
        <v>1.2</v>
      </c>
      <c r="S265" s="113"/>
      <c r="T265" s="253"/>
      <c r="U265" s="253"/>
      <c r="V265" s="253"/>
      <c r="W265" s="113">
        <v>3</v>
      </c>
      <c r="X265" s="253">
        <v>30</v>
      </c>
      <c r="Y265" s="113"/>
      <c r="Z265" s="311"/>
      <c r="AB265" s="2">
        <v>1</v>
      </c>
      <c r="AC265" s="2" t="s">
        <v>2570</v>
      </c>
      <c r="AG265" s="2461"/>
      <c r="AH265" s="68"/>
    </row>
    <row r="266" spans="1:34" ht="30.5" x14ac:dyDescent="0.35">
      <c r="A266" s="370">
        <v>142</v>
      </c>
      <c r="B266" s="1026" t="s">
        <v>981</v>
      </c>
      <c r="C266" s="1026"/>
      <c r="D266" s="2463" t="s">
        <v>4326</v>
      </c>
      <c r="E266" s="269" t="s">
        <v>7648</v>
      </c>
      <c r="F266" s="93"/>
      <c r="G266" s="2195" t="s">
        <v>191</v>
      </c>
      <c r="H266" s="2414" t="s">
        <v>191</v>
      </c>
      <c r="I266" s="575">
        <f>J266+K266+L266</f>
        <v>1.5</v>
      </c>
      <c r="J266" s="575">
        <f>SUM(M266:R266)</f>
        <v>1.5</v>
      </c>
      <c r="K266" s="577"/>
      <c r="L266" s="577"/>
      <c r="M266" s="577"/>
      <c r="N266" s="577">
        <f>SUM(N267:N268)</f>
        <v>0.8</v>
      </c>
      <c r="O266" s="896"/>
      <c r="P266" s="577"/>
      <c r="Q266" s="891"/>
      <c r="R266" s="1802">
        <f>SUM(R267:R268)</f>
        <v>0.7</v>
      </c>
      <c r="S266" s="113"/>
      <c r="T266" s="253"/>
      <c r="U266" s="253"/>
      <c r="V266" s="253"/>
      <c r="W266" s="113"/>
      <c r="X266" s="253"/>
      <c r="Y266" s="113"/>
      <c r="Z266" s="311"/>
      <c r="AB266" s="2">
        <v>1</v>
      </c>
      <c r="AG266" s="2461"/>
      <c r="AH266" s="68"/>
    </row>
    <row r="267" spans="1:34" x14ac:dyDescent="0.35">
      <c r="A267" s="370"/>
      <c r="B267" s="1026" t="s">
        <v>981</v>
      </c>
      <c r="C267" s="1026"/>
      <c r="D267" s="365"/>
      <c r="E267" s="270" t="s">
        <v>1966</v>
      </c>
      <c r="F267" s="93">
        <v>4</v>
      </c>
      <c r="G267" s="2195">
        <v>5</v>
      </c>
      <c r="H267" s="2195">
        <v>6</v>
      </c>
      <c r="I267" s="1097"/>
      <c r="J267" s="1097"/>
      <c r="K267" s="576"/>
      <c r="L267" s="576"/>
      <c r="M267" s="576"/>
      <c r="N267" s="576">
        <v>0.8</v>
      </c>
      <c r="O267" s="2196"/>
      <c r="P267" s="576"/>
      <c r="Q267" s="1813"/>
      <c r="R267" s="1812"/>
      <c r="S267" s="113"/>
      <c r="T267" s="253"/>
      <c r="U267" s="253"/>
      <c r="V267" s="253"/>
      <c r="W267" s="113"/>
      <c r="X267" s="253"/>
      <c r="Y267" s="113"/>
      <c r="Z267" s="311"/>
      <c r="AG267" s="2461"/>
      <c r="AH267" s="68"/>
    </row>
    <row r="268" spans="1:34" x14ac:dyDescent="0.35">
      <c r="A268" s="370"/>
      <c r="B268" s="1026" t="s">
        <v>981</v>
      </c>
      <c r="C268" s="1026"/>
      <c r="D268" s="365"/>
      <c r="E268" s="878" t="s">
        <v>2420</v>
      </c>
      <c r="F268" s="93" t="s">
        <v>1490</v>
      </c>
      <c r="G268" s="2195">
        <v>5</v>
      </c>
      <c r="H268" s="2195">
        <v>6</v>
      </c>
      <c r="I268" s="1097"/>
      <c r="J268" s="1097"/>
      <c r="K268" s="576"/>
      <c r="L268" s="576"/>
      <c r="M268" s="576"/>
      <c r="N268" s="576"/>
      <c r="O268" s="2196"/>
      <c r="P268" s="576"/>
      <c r="Q268" s="1813"/>
      <c r="R268" s="1812">
        <v>0.7</v>
      </c>
      <c r="S268" s="113"/>
      <c r="T268" s="253"/>
      <c r="U268" s="253"/>
      <c r="V268" s="253"/>
      <c r="W268" s="113"/>
      <c r="X268" s="253"/>
      <c r="Y268" s="113"/>
      <c r="Z268" s="311"/>
      <c r="AG268" s="2461"/>
      <c r="AH268" s="68"/>
    </row>
    <row r="269" spans="1:34" ht="30.5" x14ac:dyDescent="0.35">
      <c r="A269" s="370">
        <v>143</v>
      </c>
      <c r="B269" s="1594" t="s">
        <v>981</v>
      </c>
      <c r="C269" s="358" t="s">
        <v>1656</v>
      </c>
      <c r="D269" s="2463" t="s">
        <v>4327</v>
      </c>
      <c r="E269" s="269" t="s">
        <v>8387</v>
      </c>
      <c r="F269" s="93" t="s">
        <v>664</v>
      </c>
      <c r="G269" s="2195">
        <v>5</v>
      </c>
      <c r="H269" s="2195">
        <v>6</v>
      </c>
      <c r="I269" s="297">
        <f>J269+K269+L269</f>
        <v>0.05</v>
      </c>
      <c r="J269" s="297">
        <f>SUM(M269:R269)</f>
        <v>0.05</v>
      </c>
      <c r="K269" s="576"/>
      <c r="L269" s="576"/>
      <c r="M269" s="576"/>
      <c r="N269" s="576"/>
      <c r="O269" s="895"/>
      <c r="P269" s="576"/>
      <c r="Q269" s="891"/>
      <c r="R269" s="1802">
        <v>0.05</v>
      </c>
      <c r="S269" s="113"/>
      <c r="T269" s="253"/>
      <c r="U269" s="253"/>
      <c r="V269" s="253"/>
      <c r="W269" s="113"/>
      <c r="X269" s="253"/>
      <c r="Y269" s="113"/>
      <c r="Z269" s="311"/>
      <c r="AB269" s="2">
        <v>1</v>
      </c>
      <c r="AG269" s="2461"/>
      <c r="AH269" s="68"/>
    </row>
    <row r="270" spans="1:34" ht="60" x14ac:dyDescent="0.35">
      <c r="A270" s="370">
        <v>144</v>
      </c>
      <c r="B270" s="693" t="s">
        <v>981</v>
      </c>
      <c r="C270" s="693"/>
      <c r="D270" s="2463" t="s">
        <v>4328</v>
      </c>
      <c r="E270" s="2187" t="s">
        <v>10972</v>
      </c>
      <c r="F270" s="92">
        <v>5</v>
      </c>
      <c r="G270" s="92">
        <v>5</v>
      </c>
      <c r="H270" s="2195">
        <v>6</v>
      </c>
      <c r="I270" s="2102">
        <f>J270+K270+L270</f>
        <v>0.2</v>
      </c>
      <c r="J270" s="2102">
        <f>SUM(M270:R270)</f>
        <v>0.2</v>
      </c>
      <c r="K270" s="2088"/>
      <c r="L270" s="2088"/>
      <c r="M270" s="2088"/>
      <c r="N270" s="622">
        <v>0.2</v>
      </c>
      <c r="O270" s="2088"/>
      <c r="P270" s="2088"/>
      <c r="Q270" s="2088"/>
      <c r="R270" s="906"/>
      <c r="S270" s="2101"/>
      <c r="T270" s="2101"/>
      <c r="U270" s="2101"/>
      <c r="V270" s="2101"/>
      <c r="W270" s="146"/>
      <c r="X270" s="146"/>
      <c r="Y270" s="146"/>
      <c r="Z270" s="2103"/>
      <c r="AB270" s="2">
        <v>1</v>
      </c>
      <c r="AG270" s="2461"/>
      <c r="AH270" s="68"/>
    </row>
  </sheetData>
  <autoFilter ref="A29:AB270"/>
  <mergeCells count="35">
    <mergeCell ref="Y6:Z6"/>
    <mergeCell ref="A2:Z2"/>
    <mergeCell ref="A3:Z3"/>
    <mergeCell ref="I5:L5"/>
    <mergeCell ref="M5:R5"/>
    <mergeCell ref="A5:A8"/>
    <mergeCell ref="D5:D8"/>
    <mergeCell ref="E5:E8"/>
    <mergeCell ref="M6:M8"/>
    <mergeCell ref="R6:R8"/>
    <mergeCell ref="F5:F8"/>
    <mergeCell ref="G5:G8"/>
    <mergeCell ref="B5:B8"/>
    <mergeCell ref="H5:H8"/>
    <mergeCell ref="U6:V6"/>
    <mergeCell ref="U7:U8"/>
    <mergeCell ref="V7:V8"/>
    <mergeCell ref="W7:W8"/>
    <mergeCell ref="X7:X8"/>
    <mergeCell ref="W5:Z5"/>
    <mergeCell ref="Z7:Z8"/>
    <mergeCell ref="I6:I8"/>
    <mergeCell ref="J6:J8"/>
    <mergeCell ref="O6:O8"/>
    <mergeCell ref="P6:P8"/>
    <mergeCell ref="Q6:Q8"/>
    <mergeCell ref="K6:K8"/>
    <mergeCell ref="S6:T6"/>
    <mergeCell ref="S7:S8"/>
    <mergeCell ref="Y7:Y8"/>
    <mergeCell ref="T7:T8"/>
    <mergeCell ref="S5:V5"/>
    <mergeCell ref="L6:L8"/>
    <mergeCell ref="W6:X6"/>
    <mergeCell ref="N6:N8"/>
  </mergeCells>
  <phoneticPr fontId="0" type="noConversion"/>
  <printOptions horizontalCentered="1"/>
  <pageMargins left="0.19685039370078741" right="0.19685039370078741" top="0.61" bottom="0.31496062992125984" header="0.51181102362204722" footer="0.15748031496062992"/>
  <pageSetup paperSize="9" scale="59" fitToHeight="0" orientation="landscape" r:id="rId1"/>
  <headerFooter alignWithMargins="0">
    <oddFooter>&amp;L&amp;"Times New Roman,обычный"&amp;10Дрибинское ДРСУ-217&amp;R&amp;"Times New Roman,обычный"&amp;10&amp;P</oddFooter>
  </headerFooter>
  <rowBreaks count="2" manualBreakCount="2">
    <brk id="149" max="24" man="1"/>
    <brk id="196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M440"/>
  <sheetViews>
    <sheetView zoomScale="90" zoomScaleNormal="90" workbookViewId="0">
      <pane xSplit="5" ySplit="10" topLeftCell="F11" activePane="bottomRight" state="frozen"/>
      <selection activeCell="A4" sqref="A4"/>
      <selection pane="topRight" activeCell="A4" sqref="A4"/>
      <selection pane="bottomLeft" activeCell="A4" sqref="A4"/>
      <selection pane="bottomRight" activeCell="H5" sqref="H5:H8"/>
    </sheetView>
  </sheetViews>
  <sheetFormatPr defaultColWidth="8.9140625" defaultRowHeight="14" x14ac:dyDescent="0.3"/>
  <cols>
    <col min="1" max="1" width="4.33203125" style="130" customWidth="1"/>
    <col min="2" max="3" width="7.33203125" style="130" hidden="1" customWidth="1"/>
    <col min="4" max="4" width="7.33203125" style="130" customWidth="1"/>
    <col min="5" max="5" width="43.4140625" style="78" customWidth="1"/>
    <col min="6" max="6" width="6.75" style="130" customWidth="1"/>
    <col min="7" max="8" width="7.25" style="130" customWidth="1"/>
    <col min="9" max="9" width="6.58203125" style="130" customWidth="1"/>
    <col min="10" max="10" width="7.08203125" style="130" customWidth="1"/>
    <col min="11" max="12" width="6.6640625" style="130" customWidth="1"/>
    <col min="13" max="13" width="6.9140625" style="130" customWidth="1"/>
    <col min="14" max="14" width="7" style="130" customWidth="1"/>
    <col min="15" max="15" width="6.9140625" style="130" customWidth="1"/>
    <col min="16" max="16" width="6.6640625" style="130" customWidth="1"/>
    <col min="17" max="18" width="6.75" style="130" customWidth="1"/>
    <col min="19" max="19" width="4.4140625" style="130" customWidth="1"/>
    <col min="20" max="20" width="7.25" style="130" customWidth="1"/>
    <col min="21" max="21" width="4.33203125" style="130" customWidth="1"/>
    <col min="22" max="22" width="5.4140625" style="130" customWidth="1"/>
    <col min="23" max="23" width="4.4140625" style="130" customWidth="1"/>
    <col min="24" max="24" width="7.6640625" style="130" customWidth="1"/>
    <col min="25" max="25" width="4.4140625" style="129" customWidth="1"/>
    <col min="26" max="26" width="7.6640625" style="130" customWidth="1"/>
    <col min="27" max="36" width="8.9140625" style="78"/>
    <col min="37" max="37" width="21.33203125" style="78" customWidth="1"/>
    <col min="38" max="16384" width="8.9140625" style="78"/>
  </cols>
  <sheetData>
    <row r="1" spans="1:39" ht="15.5" x14ac:dyDescent="0.35">
      <c r="A1" s="120"/>
      <c r="B1" s="120"/>
      <c r="C1" s="120"/>
      <c r="D1" s="131"/>
      <c r="E1" s="77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1"/>
      <c r="X1" s="121"/>
      <c r="Y1" s="122"/>
      <c r="Z1" s="123"/>
    </row>
    <row r="2" spans="1:39" ht="20" x14ac:dyDescent="0.4">
      <c r="A2" s="3118" t="s">
        <v>10622</v>
      </c>
      <c r="B2" s="3118"/>
      <c r="C2" s="3118"/>
      <c r="D2" s="3118"/>
      <c r="E2" s="3118"/>
      <c r="F2" s="3118"/>
      <c r="G2" s="3118"/>
      <c r="H2" s="3118"/>
      <c r="I2" s="3118"/>
      <c r="J2" s="3118"/>
      <c r="K2" s="3118"/>
      <c r="L2" s="3118"/>
      <c r="M2" s="3118"/>
      <c r="N2" s="3118"/>
      <c r="O2" s="3118"/>
      <c r="P2" s="3118"/>
      <c r="Q2" s="3118"/>
      <c r="R2" s="3118"/>
      <c r="S2" s="3118"/>
      <c r="T2" s="3118"/>
      <c r="U2" s="3118"/>
      <c r="V2" s="3118"/>
      <c r="W2" s="3118"/>
      <c r="X2" s="3118"/>
      <c r="Y2" s="3118"/>
      <c r="Z2" s="3118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4.5" thickBot="1" x14ac:dyDescent="0.35">
      <c r="A4" s="124"/>
      <c r="B4" s="124"/>
      <c r="C4" s="124"/>
      <c r="D4" s="132"/>
      <c r="E4" s="79"/>
      <c r="F4" s="124"/>
      <c r="G4" s="124"/>
      <c r="H4" s="124"/>
      <c r="I4" s="1796"/>
      <c r="J4" s="1796"/>
      <c r="K4" s="124"/>
      <c r="L4" s="124"/>
      <c r="M4" s="124"/>
      <c r="N4" s="125"/>
      <c r="O4" s="125"/>
      <c r="P4" s="125"/>
      <c r="Q4" s="125"/>
      <c r="R4" s="1797"/>
      <c r="S4" s="125"/>
      <c r="T4" s="125"/>
      <c r="U4" s="125"/>
      <c r="V4" s="125"/>
      <c r="W4" s="126"/>
      <c r="X4" s="126"/>
      <c r="Y4" s="127"/>
      <c r="Z4" s="128"/>
    </row>
    <row r="5" spans="1:39" ht="20.149999999999999" customHeight="1" x14ac:dyDescent="0.3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  <c r="AA5" s="2252"/>
    </row>
    <row r="6" spans="1:39" ht="33.75" customHeight="1" x14ac:dyDescent="0.3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  <c r="AA6" s="2252"/>
    </row>
    <row r="7" spans="1:39" ht="17.25" customHeight="1" x14ac:dyDescent="0.3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  <c r="AA7" s="2252"/>
    </row>
    <row r="8" spans="1:39" ht="12.75" customHeight="1" thickBot="1" x14ac:dyDescent="0.35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  <c r="AA8" s="2252"/>
    </row>
    <row r="9" spans="1:39" ht="16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  <c r="AA9" s="2253"/>
    </row>
    <row r="10" spans="1:39" ht="15.5" thickBot="1" x14ac:dyDescent="0.35">
      <c r="A10" s="784"/>
      <c r="B10" s="451"/>
      <c r="C10" s="451"/>
      <c r="D10" s="462"/>
      <c r="E10" s="472" t="s">
        <v>2392</v>
      </c>
      <c r="F10" s="451"/>
      <c r="G10" s="451"/>
      <c r="H10" s="451"/>
      <c r="I10" s="786">
        <f>J10+K10+L10</f>
        <v>585.38499999999999</v>
      </c>
      <c r="J10" s="786">
        <f>M10+N10+O10+P10+Q10+R10</f>
        <v>563.90499999999997</v>
      </c>
      <c r="K10" s="786">
        <f t="shared" ref="K10:Q10" si="0">K11+K12+K13+K14</f>
        <v>7.5680000000000005</v>
      </c>
      <c r="L10" s="786">
        <f t="shared" si="0"/>
        <v>13.912000000000001</v>
      </c>
      <c r="M10" s="1674">
        <f t="shared" si="0"/>
        <v>1.323</v>
      </c>
      <c r="N10" s="786">
        <f t="shared" si="0"/>
        <v>235.01600000000002</v>
      </c>
      <c r="O10" s="1675">
        <f t="shared" si="0"/>
        <v>7.117</v>
      </c>
      <c r="P10" s="786">
        <f t="shared" si="0"/>
        <v>0</v>
      </c>
      <c r="Q10" s="1499">
        <f t="shared" si="0"/>
        <v>162.64400000000001</v>
      </c>
      <c r="R10" s="1496">
        <f>R11+R12+R13+R14</f>
        <v>157.80500000000001</v>
      </c>
      <c r="S10" s="1608">
        <f>SUM(S30:S1028)</f>
        <v>21</v>
      </c>
      <c r="T10" s="1460">
        <f t="shared" ref="T10:Z10" si="1">SUM(T30:T1028)</f>
        <v>595.00000190734863</v>
      </c>
      <c r="U10" s="1608">
        <f t="shared" si="1"/>
        <v>1</v>
      </c>
      <c r="V10" s="1460">
        <f t="shared" si="1"/>
        <v>16</v>
      </c>
      <c r="W10" s="1608">
        <f t="shared" si="1"/>
        <v>863</v>
      </c>
      <c r="X10" s="1460">
        <f>SUM(X30:X1028)</f>
        <v>11070.829999999998</v>
      </c>
      <c r="Y10" s="1608">
        <f t="shared" si="1"/>
        <v>256</v>
      </c>
      <c r="Z10" s="1609">
        <f t="shared" si="1"/>
        <v>2918.6</v>
      </c>
      <c r="AA10" s="2254"/>
      <c r="AB10" s="1268">
        <f>SUM(AB30:AB1033)</f>
        <v>208</v>
      </c>
      <c r="AK10" s="2150" t="s">
        <v>11226</v>
      </c>
      <c r="AL10" s="43"/>
      <c r="AM10" s="2812" t="s">
        <v>11227</v>
      </c>
    </row>
    <row r="11" spans="1:39" ht="15" x14ac:dyDescent="0.3">
      <c r="A11" s="187"/>
      <c r="B11" s="1033"/>
      <c r="C11" s="1033"/>
      <c r="D11" s="183"/>
      <c r="E11" s="1264" t="s">
        <v>909</v>
      </c>
      <c r="F11" s="1245">
        <v>3</v>
      </c>
      <c r="G11" s="1245"/>
      <c r="H11" s="1245"/>
      <c r="I11" s="1246"/>
      <c r="J11" s="1246"/>
      <c r="K11" s="1246"/>
      <c r="L11" s="1246"/>
      <c r="M11" s="1328"/>
      <c r="N11" s="1246"/>
      <c r="O11" s="1329"/>
      <c r="P11" s="1246"/>
      <c r="Q11" s="1330"/>
      <c r="R11" s="1331"/>
      <c r="S11" s="188"/>
      <c r="T11" s="261"/>
      <c r="U11" s="188"/>
      <c r="V11" s="188"/>
      <c r="W11" s="188"/>
      <c r="X11" s="271"/>
      <c r="Y11" s="188"/>
      <c r="Z11" s="272"/>
      <c r="AA11" s="2255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ht="15.5" x14ac:dyDescent="0.35">
      <c r="A12" s="273"/>
      <c r="B12" s="1034"/>
      <c r="C12" s="1034"/>
      <c r="D12" s="274"/>
      <c r="E12" s="640"/>
      <c r="F12" s="1249">
        <v>4</v>
      </c>
      <c r="G12" s="1249"/>
      <c r="H12" s="1249"/>
      <c r="I12" s="1250">
        <f t="shared" ref="I12:I20" si="2">J12+K12+L12</f>
        <v>290.83499999999998</v>
      </c>
      <c r="J12" s="1250">
        <f t="shared" ref="J12:J20" si="3">R12+Q12+P12+O12+N12+M12</f>
        <v>283.767</v>
      </c>
      <c r="K12" s="1332">
        <f>SUMIF(F30:F960,4,K30:K960)</f>
        <v>6.8680000000000003</v>
      </c>
      <c r="L12" s="1332">
        <f>SUMIF(F30:F960,4,L30:L960)</f>
        <v>0.2</v>
      </c>
      <c r="M12" s="1333">
        <f>SUMIF(F30:F960,4,M30:M960)</f>
        <v>1.323</v>
      </c>
      <c r="N12" s="1332">
        <f>SUMIF(F30:F960,4,N30:N960)</f>
        <v>200.88100000000003</v>
      </c>
      <c r="O12" s="1251">
        <f>SUMIF(F30:F960,4,O30:O960)</f>
        <v>1.2169999999999999</v>
      </c>
      <c r="P12" s="1332">
        <f>SUMIF(F30:F960,4,P30:P960)</f>
        <v>0</v>
      </c>
      <c r="Q12" s="1252">
        <f>SUMIF(F30:F960,4,Q30:Q960)</f>
        <v>80.345999999999989</v>
      </c>
      <c r="R12" s="1256">
        <f>SUMIF(F30:F960,4,R30:R960)</f>
        <v>0</v>
      </c>
      <c r="S12" s="136"/>
      <c r="T12" s="275"/>
      <c r="U12" s="228"/>
      <c r="V12" s="228"/>
      <c r="W12" s="228"/>
      <c r="X12" s="136"/>
      <c r="Y12" s="228"/>
      <c r="Z12" s="276"/>
      <c r="AA12" s="2255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ht="15" x14ac:dyDescent="0.3">
      <c r="A13" s="273"/>
      <c r="B13" s="1034"/>
      <c r="C13" s="1034"/>
      <c r="D13" s="274"/>
      <c r="E13" s="640"/>
      <c r="F13" s="1249">
        <v>5</v>
      </c>
      <c r="G13" s="1249"/>
      <c r="H13" s="1249"/>
      <c r="I13" s="1250">
        <f t="shared" si="2"/>
        <v>150.523</v>
      </c>
      <c r="J13" s="1250">
        <f t="shared" si="3"/>
        <v>144.21600000000001</v>
      </c>
      <c r="K13" s="1332">
        <f>SUMIF(F30:F960,5,K30:K960)</f>
        <v>0.7</v>
      </c>
      <c r="L13" s="1332">
        <f>SUMIF(F30:F960,5,L30:L960)</f>
        <v>5.6070000000000002</v>
      </c>
      <c r="M13" s="1333">
        <f>SUMIF(F30:F960,5,M30:M960)</f>
        <v>0</v>
      </c>
      <c r="N13" s="1332">
        <f>SUMIF(F30:F960,5,N30:N960)</f>
        <v>32.701999999999991</v>
      </c>
      <c r="O13" s="1251">
        <f>SUMIF(F30:F960,5,O30:O960)</f>
        <v>3.4000000000000004</v>
      </c>
      <c r="P13" s="1332">
        <f>SUMIF(F30:F960,5,P30:P960)</f>
        <v>0</v>
      </c>
      <c r="Q13" s="1252">
        <f>SUMIF(F30:F960,5,Q30:Q960)</f>
        <v>74.315000000000012</v>
      </c>
      <c r="R13" s="1256">
        <f>SUMIF(F30:F960,5,R30:R960)</f>
        <v>33.799000000000007</v>
      </c>
      <c r="S13" s="136"/>
      <c r="T13" s="275"/>
      <c r="U13" s="228"/>
      <c r="V13" s="228"/>
      <c r="W13" s="228"/>
      <c r="X13" s="136"/>
      <c r="Y13" s="228"/>
      <c r="Z13" s="276"/>
      <c r="AA13" s="2255"/>
      <c r="AD13" s="2777" t="s">
        <v>11126</v>
      </c>
      <c r="AE13" s="2776"/>
      <c r="AF13" s="2778">
        <v>79</v>
      </c>
      <c r="AG13" s="2783">
        <f>M12+N12+O12</f>
        <v>203.42100000000005</v>
      </c>
      <c r="AH13" s="2783">
        <f>M13+N13+O13</f>
        <v>36.10199999999999</v>
      </c>
      <c r="AI13" s="2784">
        <f>M14+N14+O14</f>
        <v>3.9329999999999994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ht="15.5" x14ac:dyDescent="0.35">
      <c r="A14" s="273"/>
      <c r="B14" s="1034"/>
      <c r="C14" s="1034"/>
      <c r="D14" s="274"/>
      <c r="E14" s="640"/>
      <c r="F14" s="1249" t="s">
        <v>448</v>
      </c>
      <c r="G14" s="1249"/>
      <c r="H14" s="1249"/>
      <c r="I14" s="1250">
        <f>J14+K14+L14</f>
        <v>144.02699999999999</v>
      </c>
      <c r="J14" s="1250">
        <f>R14+Q14+P14+O14+N14+M14</f>
        <v>135.922</v>
      </c>
      <c r="K14" s="1250">
        <f>K15+K16+K17</f>
        <v>0</v>
      </c>
      <c r="L14" s="1250">
        <f>L15+L16+L17</f>
        <v>8.1050000000000004</v>
      </c>
      <c r="M14" s="1250">
        <f t="shared" ref="M14:R14" si="4">M15+M16+M17</f>
        <v>0</v>
      </c>
      <c r="N14" s="1250">
        <f t="shared" si="4"/>
        <v>1.4329999999999994</v>
      </c>
      <c r="O14" s="1251">
        <f t="shared" si="4"/>
        <v>2.5</v>
      </c>
      <c r="P14" s="1317">
        <f t="shared" si="4"/>
        <v>0</v>
      </c>
      <c r="Q14" s="1252">
        <f t="shared" si="4"/>
        <v>7.9830000000000005</v>
      </c>
      <c r="R14" s="1256">
        <f t="shared" si="4"/>
        <v>124.006</v>
      </c>
      <c r="S14" s="136"/>
      <c r="T14" s="275"/>
      <c r="U14" s="228"/>
      <c r="V14" s="228"/>
      <c r="W14" s="228"/>
      <c r="X14" s="136"/>
      <c r="Y14" s="228"/>
      <c r="Z14" s="276"/>
      <c r="AA14" s="2255"/>
      <c r="AD14" s="2777" t="s">
        <v>11127</v>
      </c>
      <c r="AE14" s="2776"/>
      <c r="AF14" s="2778">
        <v>80</v>
      </c>
      <c r="AG14" s="2785">
        <f>P12+Q12</f>
        <v>80.345999999999989</v>
      </c>
      <c r="AH14" s="2785">
        <f>P13+Q13</f>
        <v>74.315000000000012</v>
      </c>
      <c r="AI14" s="2786">
        <f>P14+Q14</f>
        <v>7.9830000000000005</v>
      </c>
      <c r="AK14" s="2815" t="s">
        <v>11230</v>
      </c>
      <c r="AL14" s="2579">
        <f>SUMIFS(M30:M954,F30:F954,4,G30:G954,3)</f>
        <v>0</v>
      </c>
      <c r="AM14" s="2817"/>
    </row>
    <row r="15" spans="1:39" ht="15.5" x14ac:dyDescent="0.35">
      <c r="A15" s="273"/>
      <c r="B15" s="1034"/>
      <c r="C15" s="1034"/>
      <c r="D15" s="274"/>
      <c r="E15" s="640"/>
      <c r="F15" s="1253" t="s">
        <v>827</v>
      </c>
      <c r="G15" s="1249"/>
      <c r="H15" s="1249"/>
      <c r="I15" s="1318">
        <f>J15+K15+L15</f>
        <v>41.339000000000013</v>
      </c>
      <c r="J15" s="1318">
        <f>R15+Q15+P15+O15+N15+M15</f>
        <v>40.31900000000001</v>
      </c>
      <c r="K15" s="1318">
        <f>SUMIF(F30:F1025,"=6а",K30:K1025)</f>
        <v>0</v>
      </c>
      <c r="L15" s="1318">
        <f>SUMIF(F30:F1025,"=6а",L30:L1025)</f>
        <v>1.02</v>
      </c>
      <c r="M15" s="1318">
        <f>SUMIF(F30:F1025,"=6а",M30:M1025)</f>
        <v>0</v>
      </c>
      <c r="N15" s="1318">
        <f>SUMIF(F30:F1025,"=6а",N30:N1025)</f>
        <v>1.4329999999999994</v>
      </c>
      <c r="O15" s="1319">
        <f>SUMIF(F30:F1025,"=6а",O30:O1025)</f>
        <v>2.5</v>
      </c>
      <c r="P15" s="1320">
        <f>SUMIF(F30:F1025,"=6а",P30:P1025)</f>
        <v>0</v>
      </c>
      <c r="Q15" s="1321">
        <f>SUMIF(F30:F1025,"=6а",Q30:Q1025)</f>
        <v>4.0360000000000005</v>
      </c>
      <c r="R15" s="1322">
        <f>SUMIF(F30:F1025,"=6а",R30:R1025)</f>
        <v>32.350000000000009</v>
      </c>
      <c r="S15" s="228"/>
      <c r="T15" s="275"/>
      <c r="U15" s="228"/>
      <c r="V15" s="228"/>
      <c r="W15" s="228"/>
      <c r="X15" s="136"/>
      <c r="Y15" s="228"/>
      <c r="Z15" s="276"/>
      <c r="AA15" s="2255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33.799000000000007</v>
      </c>
      <c r="AI15" s="2788">
        <f>R14</f>
        <v>124.006</v>
      </c>
      <c r="AK15" s="2815" t="s">
        <v>11231</v>
      </c>
      <c r="AL15" s="2579">
        <f>SUMIFS(N30:N954,F30:F954,4,G30:G954,3)</f>
        <v>0</v>
      </c>
      <c r="AM15" s="2817"/>
    </row>
    <row r="16" spans="1:39" ht="15.5" x14ac:dyDescent="0.35">
      <c r="A16" s="273"/>
      <c r="B16" s="1034"/>
      <c r="C16" s="1034"/>
      <c r="D16" s="274"/>
      <c r="E16" s="1265"/>
      <c r="F16" s="1254" t="s">
        <v>1490</v>
      </c>
      <c r="G16" s="1249"/>
      <c r="H16" s="1249"/>
      <c r="I16" s="1318">
        <f>J16+K16+L16</f>
        <v>17.010999999999999</v>
      </c>
      <c r="J16" s="1318">
        <f>R16+Q16+P16+O16+N16+M16</f>
        <v>17.010999999999999</v>
      </c>
      <c r="K16" s="1318">
        <f>SUMIF(F30:F1026,"=6б",K30:K1026)</f>
        <v>0</v>
      </c>
      <c r="L16" s="1318">
        <f>SUMIF(F30:F1026,"=6б",L30:L1026)</f>
        <v>0</v>
      </c>
      <c r="M16" s="1318">
        <f>SUMIF(F30:F1026,"=6б",M30:M1026)</f>
        <v>0</v>
      </c>
      <c r="N16" s="1318">
        <f>SUMIF(F30:F1026,"=6б",N30:N1026)</f>
        <v>0</v>
      </c>
      <c r="O16" s="1319">
        <f>SUMIF(F30:F1026,"=6б",O30:O1026)</f>
        <v>0</v>
      </c>
      <c r="P16" s="1320">
        <f>SUMIF(F30:F1026,"=6б",P30:P1026)</f>
        <v>0</v>
      </c>
      <c r="Q16" s="1321">
        <f>SUMIF(F30:F1026,"=6б",Q30:Q1026)</f>
        <v>2.2700000000000005</v>
      </c>
      <c r="R16" s="1322">
        <f>SUMIF(F30:F1026,"=6б",R30:R1026)</f>
        <v>14.741</v>
      </c>
      <c r="S16" s="228"/>
      <c r="T16" s="275"/>
      <c r="U16" s="228"/>
      <c r="V16" s="228"/>
      <c r="W16" s="228"/>
      <c r="X16" s="136"/>
      <c r="Y16" s="228"/>
      <c r="Z16" s="276"/>
      <c r="AA16" s="2255"/>
      <c r="AK16" s="2815" t="s">
        <v>11232</v>
      </c>
      <c r="AL16" s="2579">
        <f>SUMIFS(O30:O954,F30:F954,4,G30:G954,3)</f>
        <v>0</v>
      </c>
      <c r="AM16" s="2817"/>
    </row>
    <row r="17" spans="1:39" ht="15.5" x14ac:dyDescent="0.35">
      <c r="A17" s="273"/>
      <c r="B17" s="1034"/>
      <c r="C17" s="1034"/>
      <c r="D17" s="274"/>
      <c r="E17" s="1265"/>
      <c r="F17" s="2271" t="s">
        <v>449</v>
      </c>
      <c r="G17" s="1249"/>
      <c r="H17" s="1249"/>
      <c r="I17" s="2272">
        <f>J17+K17+L17</f>
        <v>85.676999999999992</v>
      </c>
      <c r="J17" s="2272">
        <f>R17+Q17+P17+O17+N17+M17</f>
        <v>78.591999999999999</v>
      </c>
      <c r="K17" s="2272">
        <f>SUMIF(F30:F1027,"=б/к",K30:K1027)</f>
        <v>0</v>
      </c>
      <c r="L17" s="2272">
        <f>SUMIF(F30:F1027,"=б/к",L30:L1027)</f>
        <v>7.0850000000000009</v>
      </c>
      <c r="M17" s="2272">
        <f>SUMIF(F30:F1027,"=б/к",M30:M1027)</f>
        <v>0</v>
      </c>
      <c r="N17" s="2272">
        <f>SUMIF(F30:F1027,"=б/к",N30:N1027)</f>
        <v>0</v>
      </c>
      <c r="O17" s="2272">
        <f>SUMIF(F30:F1027,"=б/к",O30:O1027)</f>
        <v>0</v>
      </c>
      <c r="P17" s="2272">
        <f>SUMIF(F30:F1027,"=б/к",P30:P1027)</f>
        <v>0</v>
      </c>
      <c r="Q17" s="2273">
        <f>SUMIF(F30:F1027,"=б/к",Q30:Q1027)</f>
        <v>1.677</v>
      </c>
      <c r="R17" s="2274">
        <f>SUMIF(F30:F1027,"=б/к",R30:R1027)</f>
        <v>76.914999999999992</v>
      </c>
      <c r="S17" s="228"/>
      <c r="T17" s="275"/>
      <c r="U17" s="228"/>
      <c r="V17" s="228"/>
      <c r="W17" s="228"/>
      <c r="X17" s="136"/>
      <c r="Y17" s="228"/>
      <c r="Z17" s="276"/>
      <c r="AA17" s="2255"/>
      <c r="AK17" s="2815" t="s">
        <v>11233</v>
      </c>
      <c r="AL17" s="2579">
        <f>SUMIFS(P30:P954,F30:F954,4,G30:G954,3)+SUMIFS(Q30:Q954,F30:F954,4,G30:G954,3)</f>
        <v>0</v>
      </c>
      <c r="AM17" s="2817"/>
    </row>
    <row r="18" spans="1:39" ht="15.5" x14ac:dyDescent="0.35">
      <c r="A18" s="273"/>
      <c r="B18" s="1034"/>
      <c r="C18" s="1034"/>
      <c r="D18" s="274"/>
      <c r="E18" s="1266"/>
      <c r="F18" s="1266" t="s">
        <v>3303</v>
      </c>
      <c r="G18" s="1241">
        <v>3</v>
      </c>
      <c r="H18" s="1241"/>
      <c r="I18" s="1242">
        <f t="shared" si="2"/>
        <v>0</v>
      </c>
      <c r="J18" s="1242">
        <f t="shared" si="3"/>
        <v>0</v>
      </c>
      <c r="K18" s="1334">
        <f>SUMIF(G30:G960,3,K30:K960)</f>
        <v>0</v>
      </c>
      <c r="L18" s="1334">
        <f>SUMIF(G30:G960,3,L30:L960)</f>
        <v>0</v>
      </c>
      <c r="M18" s="1335">
        <f>SUMIF(G30:G960,3,M30:M960)</f>
        <v>0</v>
      </c>
      <c r="N18" s="1334">
        <f>SUMIF(G30:G960,3,N30:N960)</f>
        <v>0</v>
      </c>
      <c r="O18" s="1243">
        <f>SUMIF(G30:G960,3,O30:O960)</f>
        <v>0</v>
      </c>
      <c r="P18" s="1334">
        <f>SUMIF(G30:G960,3,P30:P960)</f>
        <v>0</v>
      </c>
      <c r="Q18" s="1244">
        <f>SUMIF(G30:G960,3,Q30:Q960)</f>
        <v>0</v>
      </c>
      <c r="R18" s="1257">
        <f>SUMIF(G30:G960,3,R30:R960)</f>
        <v>0</v>
      </c>
      <c r="S18" s="228"/>
      <c r="T18" s="275"/>
      <c r="U18" s="228"/>
      <c r="V18" s="228"/>
      <c r="W18" s="228"/>
      <c r="X18" s="136"/>
      <c r="Y18" s="228"/>
      <c r="Z18" s="276"/>
      <c r="AA18" s="2256"/>
      <c r="AK18" s="2815" t="s">
        <v>910</v>
      </c>
      <c r="AL18" s="2579">
        <f>SUMIFS(R30:R954,F30:F954,4,G30:G954,3)</f>
        <v>0</v>
      </c>
      <c r="AM18" s="2817"/>
    </row>
    <row r="19" spans="1:39" ht="15" x14ac:dyDescent="0.3">
      <c r="A19" s="273"/>
      <c r="B19" s="1034"/>
      <c r="C19" s="1034"/>
      <c r="D19" s="274"/>
      <c r="E19" s="98"/>
      <c r="F19" s="1240"/>
      <c r="G19" s="1241">
        <v>4</v>
      </c>
      <c r="H19" s="1241"/>
      <c r="I19" s="1242">
        <f t="shared" si="2"/>
        <v>236.27</v>
      </c>
      <c r="J19" s="1242">
        <f t="shared" si="3"/>
        <v>229.20200000000003</v>
      </c>
      <c r="K19" s="1334">
        <f>SUMIF(G30:G960,4,K30:K960)</f>
        <v>6.8680000000000003</v>
      </c>
      <c r="L19" s="1334">
        <f>SUMIF(G30:G960,4,L30:L960)</f>
        <v>0.2</v>
      </c>
      <c r="M19" s="1335">
        <f>SUMIF(G30:G960,4,M30:M960)</f>
        <v>0</v>
      </c>
      <c r="N19" s="1334">
        <f>SUMIF(G30:G960,4,N30:N960)</f>
        <v>168.52</v>
      </c>
      <c r="O19" s="1243">
        <f>SUMIF(G30:G960,4,O30:O960)</f>
        <v>0</v>
      </c>
      <c r="P19" s="1334">
        <f>SUMIF(G30:G960,4,P30:P960)</f>
        <v>0</v>
      </c>
      <c r="Q19" s="1244">
        <f>SUMIF(G30:G960,4,Q30:Q960)</f>
        <v>60.682000000000009</v>
      </c>
      <c r="R19" s="1257">
        <f>SUMIF(G30:G960,4,R30:R960)</f>
        <v>0</v>
      </c>
      <c r="S19" s="228"/>
      <c r="T19" s="275"/>
      <c r="U19" s="228"/>
      <c r="V19" s="228"/>
      <c r="W19" s="228"/>
      <c r="X19" s="136"/>
      <c r="Y19" s="228"/>
      <c r="Z19" s="276"/>
      <c r="AA19" s="2256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ht="15.5" x14ac:dyDescent="0.35">
      <c r="A20" s="273"/>
      <c r="B20" s="1034"/>
      <c r="C20" s="1034"/>
      <c r="D20" s="274"/>
      <c r="E20" s="319"/>
      <c r="F20" s="1258"/>
      <c r="G20" s="1259">
        <v>5</v>
      </c>
      <c r="H20" s="1259"/>
      <c r="I20" s="1242">
        <f t="shared" si="2"/>
        <v>349.11499999999995</v>
      </c>
      <c r="J20" s="1242">
        <f t="shared" si="3"/>
        <v>334.70299999999997</v>
      </c>
      <c r="K20" s="1334">
        <f>SUMIF(G30:G960,5,K30:K960)</f>
        <v>0.7</v>
      </c>
      <c r="L20" s="1334">
        <f>SUMIF(G30:G960,5,L30:L960)</f>
        <v>13.711999999999998</v>
      </c>
      <c r="M20" s="1335">
        <f>SUMIF(G30:G960,5,M30:M960)</f>
        <v>1.323</v>
      </c>
      <c r="N20" s="1334">
        <f>SUMIF(G30:G960,5,N30:N960)</f>
        <v>66.496000000000009</v>
      </c>
      <c r="O20" s="1243">
        <f>SUMIF(G30:G960,5,O30:O960)</f>
        <v>7.1170000000000009</v>
      </c>
      <c r="P20" s="1334">
        <f>SUMIF(G30:G960,5,P30:P960)</f>
        <v>0</v>
      </c>
      <c r="Q20" s="1244">
        <f>SUMIF(G30:G960,5,Q30:Q960)</f>
        <v>101.96199999999999</v>
      </c>
      <c r="R20" s="1257">
        <f>SUMIF(G30:G960,5,R30:R960)</f>
        <v>157.80499999999992</v>
      </c>
      <c r="S20" s="228"/>
      <c r="T20" s="275"/>
      <c r="U20" s="228"/>
      <c r="V20" s="228"/>
      <c r="W20" s="228"/>
      <c r="X20" s="136"/>
      <c r="Y20" s="228"/>
      <c r="Z20" s="276"/>
      <c r="AA20" s="2256"/>
      <c r="AK20" s="2815" t="s">
        <v>11230</v>
      </c>
      <c r="AL20" s="2579">
        <f>SUMIFS(M30:M954,F30:F954,5,G30:G954,3)</f>
        <v>0</v>
      </c>
      <c r="AM20" s="2817"/>
    </row>
    <row r="21" spans="1:39" customFormat="1" ht="15.5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2256"/>
      <c r="AB21" s="3"/>
      <c r="AC21" s="3"/>
      <c r="AK21" s="2815" t="s">
        <v>11231</v>
      </c>
      <c r="AL21" s="2579">
        <f>SUMIFS(N30:N954,F30:F954,5,G30:G954,3)</f>
        <v>0</v>
      </c>
      <c r="AM21" s="2817"/>
    </row>
    <row r="22" spans="1:39" customFormat="1" ht="15.5" x14ac:dyDescent="0.35">
      <c r="A22" s="285"/>
      <c r="B22" s="993"/>
      <c r="C22" s="993"/>
      <c r="D22" s="538">
        <f>SUMIF(C30:C960,"=сад",AB30:AB960)</f>
        <v>0</v>
      </c>
      <c r="E22" s="2241" t="s">
        <v>2763</v>
      </c>
      <c r="F22" s="98"/>
      <c r="G22" s="226"/>
      <c r="H22" s="226"/>
      <c r="I22" s="2247">
        <f>J22+K22+L22</f>
        <v>0</v>
      </c>
      <c r="J22" s="2247">
        <f>R22+Q22+P22+O22+N22+M22</f>
        <v>0</v>
      </c>
      <c r="K22" s="2247">
        <f>SUMIF(C30:C960,"=сад",K30:K960)</f>
        <v>0</v>
      </c>
      <c r="L22" s="2247">
        <f>SUMIF(C30:C960,"=сад",L30:L960)</f>
        <v>0</v>
      </c>
      <c r="M22" s="2247">
        <f>SUMIF(C30:C960,"=сад",M30:M960)</f>
        <v>0</v>
      </c>
      <c r="N22" s="2247">
        <f>SUMIF(C30:C960,"=сад",N30:N960)</f>
        <v>0</v>
      </c>
      <c r="O22" s="2248">
        <f>SUMIF(C30:C960,"=сад",O30:O960)</f>
        <v>0</v>
      </c>
      <c r="P22" s="2247">
        <f>SUMIF(C30:C960,"=сад",P30:P960)</f>
        <v>0</v>
      </c>
      <c r="Q22" s="2249">
        <f>SUMIF(C30:C960,"=сад",Q30:Q960)</f>
        <v>0</v>
      </c>
      <c r="R22" s="2250">
        <f>SUMIF(C30:C960,"=сад",R30:R960)</f>
        <v>0</v>
      </c>
      <c r="S22" s="275"/>
      <c r="T22" s="275"/>
      <c r="U22" s="275"/>
      <c r="V22" s="275"/>
      <c r="W22" s="275"/>
      <c r="X22" s="275"/>
      <c r="Y22" s="275"/>
      <c r="Z22" s="412"/>
      <c r="AA22" s="2256"/>
      <c r="AB22" s="3"/>
      <c r="AC22" s="3"/>
      <c r="AK22" s="2815" t="s">
        <v>11232</v>
      </c>
      <c r="AL22" s="2579">
        <f>SUMIFS(O30:O954,F30:F954,5,G30:G954,3)</f>
        <v>0</v>
      </c>
      <c r="AM22" s="2817"/>
    </row>
    <row r="23" spans="1:39" customFormat="1" ht="15.5" x14ac:dyDescent="0.35">
      <c r="A23" s="285"/>
      <c r="B23" s="993"/>
      <c r="C23" s="993"/>
      <c r="D23" s="538">
        <f>SUMIF(C30:C961,"=индив",AB30:AB961)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SUMIF(C30:C961,"=индив",K30:K961)</f>
        <v>0</v>
      </c>
      <c r="L23" s="2247">
        <f>SUMIF(C30:C961,"=индив",L30:L961)</f>
        <v>0</v>
      </c>
      <c r="M23" s="2247">
        <f>SUMIF(C30:C961,"=индив",M30:M961)</f>
        <v>0</v>
      </c>
      <c r="N23" s="2247">
        <f>SUMIF(C30:C961,"=индив",N30:N961)</f>
        <v>0</v>
      </c>
      <c r="O23" s="2248">
        <f>SUMIF(C30:C961,"=индив",O30:O961)</f>
        <v>0</v>
      </c>
      <c r="P23" s="2247">
        <f>SUMIF(C30:C961,"=индив",P30:P961)</f>
        <v>0</v>
      </c>
      <c r="Q23" s="2249">
        <f>SUMIF(C30:C961,"=индив",Q30:Q961)</f>
        <v>0</v>
      </c>
      <c r="R23" s="2250">
        <f>SUMIF(C30:C961,"=индив",R30:R961)</f>
        <v>0</v>
      </c>
      <c r="S23" s="275"/>
      <c r="T23" s="275"/>
      <c r="U23" s="275"/>
      <c r="V23" s="275"/>
      <c r="W23" s="275"/>
      <c r="X23" s="275"/>
      <c r="Y23" s="275"/>
      <c r="Z23" s="412"/>
      <c r="AA23" s="2256"/>
      <c r="AB23" s="3"/>
      <c r="AC23" s="3"/>
      <c r="AK23" s="2815" t="s">
        <v>11233</v>
      </c>
      <c r="AL23" s="2579">
        <f>SUMIFS(P30:P954,F30:F954,5,G30:G954,3)+SUMIFS(Q30:Q954,F30:F954,5,G30:G954,3)</f>
        <v>0</v>
      </c>
      <c r="AM23" s="2817"/>
    </row>
    <row r="24" spans="1:39" customFormat="1" ht="15.5" x14ac:dyDescent="0.35">
      <c r="A24" s="285"/>
      <c r="B24" s="993"/>
      <c r="C24" s="993"/>
      <c r="D24" s="538">
        <f>SUMIF(C30:C962,"=кладб",AB30:AB962)</f>
        <v>94</v>
      </c>
      <c r="E24" s="2241" t="s">
        <v>2761</v>
      </c>
      <c r="F24" s="98"/>
      <c r="G24" s="226"/>
      <c r="H24" s="226"/>
      <c r="I24" s="2247">
        <f>J24+K24+L24</f>
        <v>71.126000000000005</v>
      </c>
      <c r="J24" s="2247">
        <f>R24+Q24+P24+O24+N24+M24</f>
        <v>57.414000000000001</v>
      </c>
      <c r="K24" s="2247">
        <f>SUMIF(C30:C962,"=кладб",K30:K962)</f>
        <v>0</v>
      </c>
      <c r="L24" s="2247">
        <f>SUMIF(C30:C962,"=кладб",L30:L962)</f>
        <v>13.711999999999998</v>
      </c>
      <c r="M24" s="2247">
        <f>SUMIF(C30:C962,"=кладб",M30:M962)</f>
        <v>0</v>
      </c>
      <c r="N24" s="2247">
        <f>SUMIF(C30:C962,"=кладб",N30:N962)</f>
        <v>0.15</v>
      </c>
      <c r="O24" s="2248">
        <f>SUMIF(C30:C962,"=кладб",O30:O962)</f>
        <v>2.0169999999999999</v>
      </c>
      <c r="P24" s="2247">
        <f>SUMIF(C30:C962,"=кладб",P30:P962)</f>
        <v>0</v>
      </c>
      <c r="Q24" s="2249">
        <f>SUMIF(C30:C962,"=кладб",Q30:Q962)</f>
        <v>0.3</v>
      </c>
      <c r="R24" s="2250">
        <f>SUMIF(C30:C962,"=кладб",R30:R962)</f>
        <v>54.947000000000003</v>
      </c>
      <c r="S24" s="275"/>
      <c r="T24" s="275"/>
      <c r="U24" s="275"/>
      <c r="V24" s="275"/>
      <c r="W24" s="275"/>
      <c r="X24" s="275"/>
      <c r="Y24" s="275"/>
      <c r="Z24" s="412"/>
      <c r="AA24" s="2256"/>
      <c r="AB24" s="3"/>
      <c r="AC24" s="3"/>
      <c r="AK24" s="2815" t="s">
        <v>910</v>
      </c>
      <c r="AL24" s="2579">
        <f>SUMIFS(R30:R954,F30:F954,5,G30:G954,3)</f>
        <v>0</v>
      </c>
      <c r="AM24" s="2817"/>
    </row>
    <row r="25" spans="1:39" customFormat="1" ht="15.5" x14ac:dyDescent="0.35">
      <c r="A25" s="387"/>
      <c r="B25" s="994"/>
      <c r="C25" s="994"/>
      <c r="D25" s="538">
        <f>SUMIF(C30:C963,"=прир",AB30:AB963)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SUMIF(C30:C963,"=прир",K30:K963)</f>
        <v>0</v>
      </c>
      <c r="L25" s="2259">
        <f>SUMIF(C30:C963,"=прир",L30:L963)</f>
        <v>0</v>
      </c>
      <c r="M25" s="2259">
        <f>SUMIF(C30:C963,"=прир",M30:M963)</f>
        <v>0</v>
      </c>
      <c r="N25" s="2259">
        <f>SUMIF(C30:C963,"=прир",N30:N963)</f>
        <v>0</v>
      </c>
      <c r="O25" s="2260">
        <f>SUMIF(C30:C963,"=прир",O30:O963)</f>
        <v>0</v>
      </c>
      <c r="P25" s="2259">
        <f>SUMIF(C30:C963,"=прир",P30:P963)</f>
        <v>0</v>
      </c>
      <c r="Q25" s="2261">
        <f>SUMIF(C30:C963,"=прир",Q30:Q963)</f>
        <v>0</v>
      </c>
      <c r="R25" s="2262">
        <f>SUMIF(C30:C963,"=прир",R30:R963)</f>
        <v>0</v>
      </c>
      <c r="S25" s="404"/>
      <c r="T25" s="404"/>
      <c r="U25" s="404"/>
      <c r="V25" s="404"/>
      <c r="W25" s="404"/>
      <c r="X25" s="404"/>
      <c r="Y25" s="404"/>
      <c r="Z25" s="1610"/>
      <c r="AA25" s="2256"/>
      <c r="AB25" s="3"/>
      <c r="AC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ht="15.5" x14ac:dyDescent="0.35">
      <c r="A26" s="387"/>
      <c r="B26" s="994"/>
      <c r="C26" s="994"/>
      <c r="D26" s="538">
        <f>SUMIF(C30:C964,"=ист",AB30:AB964)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SUMIF(C30:C964,"=ист",K30:K964)</f>
        <v>0</v>
      </c>
      <c r="L26" s="2259">
        <f>SUMIF(C30:C964,"=ист",L30:L964)</f>
        <v>0</v>
      </c>
      <c r="M26" s="2259">
        <f>SUMIF(C30:C964,"=ист",M30:M964)</f>
        <v>0</v>
      </c>
      <c r="N26" s="2259">
        <f>SUMIF(C30:C964,"=ист",N30:N964)</f>
        <v>0</v>
      </c>
      <c r="O26" s="2260">
        <f>SUMIF(C30:C964,"=ист",O30:O964)</f>
        <v>0</v>
      </c>
      <c r="P26" s="2259">
        <f>SUMIF(C30:C964,"=ист",P30:P964)</f>
        <v>0</v>
      </c>
      <c r="Q26" s="2261">
        <f>SUMIF(C30:C964,"=ист",Q30:Q964)</f>
        <v>0</v>
      </c>
      <c r="R26" s="2262">
        <f>SUMIF(C30:C964,"=ист",R30:R964)</f>
        <v>0</v>
      </c>
      <c r="S26" s="404"/>
      <c r="T26" s="404"/>
      <c r="U26" s="404"/>
      <c r="V26" s="404"/>
      <c r="W26" s="404"/>
      <c r="X26" s="404"/>
      <c r="Y26" s="404"/>
      <c r="Z26" s="1610"/>
      <c r="AA26" s="2256"/>
      <c r="AB26" s="3"/>
      <c r="AC26" s="3"/>
      <c r="AK26" s="2815" t="s">
        <v>11230</v>
      </c>
      <c r="AL26" s="2579">
        <f>SUMIFS(M30:M954,F30:F954,"6а",G30:G954,3)+SUMIFS(M30:M954,F30:F954,"6б",G30:G954,3)+SUMIFS(M30:M954,F30:F954,"б/к",G30:G954,3)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2256"/>
      <c r="AB27" s="3"/>
      <c r="AC27" s="3"/>
      <c r="AK27" s="2815" t="s">
        <v>11231</v>
      </c>
      <c r="AL27" s="2579">
        <f>SUMIFS(N30:N954,F30:F954,"6а",G30:G954,3)+SUMIFS(N30:N954,F30:F954,"6б",G30:G954,3)+SUMIFS(N30:N954,F30:F954,"б/к",G30:G954,3)</f>
        <v>0</v>
      </c>
      <c r="AM27" s="2817"/>
    </row>
    <row r="28" spans="1:39" ht="16" thickBot="1" x14ac:dyDescent="0.4">
      <c r="A28" s="1114"/>
      <c r="B28" s="1115"/>
      <c r="C28" s="1115"/>
      <c r="D28" s="1116"/>
      <c r="E28" s="1117"/>
      <c r="F28" s="1118"/>
      <c r="G28" s="1118"/>
      <c r="H28" s="1118"/>
      <c r="I28" s="2324">
        <f t="shared" ref="I28:R28" si="5">SUBTOTAL(9,I30:I472)</f>
        <v>585.38499999999999</v>
      </c>
      <c r="J28" s="2324">
        <f t="shared" si="5"/>
        <v>563.90499999999986</v>
      </c>
      <c r="K28" s="2324">
        <f t="shared" si="5"/>
        <v>15.135999999999999</v>
      </c>
      <c r="L28" s="2324">
        <f t="shared" si="5"/>
        <v>27.824000000000002</v>
      </c>
      <c r="M28" s="2324">
        <f t="shared" si="5"/>
        <v>2.6459999999999999</v>
      </c>
      <c r="N28" s="2324">
        <f t="shared" si="5"/>
        <v>405.67599999999982</v>
      </c>
      <c r="O28" s="2324">
        <f t="shared" si="5"/>
        <v>13.216999999999999</v>
      </c>
      <c r="P28" s="2324">
        <f t="shared" si="5"/>
        <v>0</v>
      </c>
      <c r="Q28" s="2324">
        <f t="shared" si="5"/>
        <v>311.4500000000001</v>
      </c>
      <c r="R28" s="2324">
        <f t="shared" si="5"/>
        <v>232.77</v>
      </c>
      <c r="S28" s="1119"/>
      <c r="T28" s="1120"/>
      <c r="U28" s="1119"/>
      <c r="V28" s="1119"/>
      <c r="W28" s="1121"/>
      <c r="X28" s="1121"/>
      <c r="Y28" s="1122"/>
      <c r="Z28" s="1123"/>
      <c r="AA28" s="451"/>
      <c r="AB28" s="2334">
        <f>SUBTOTAL(9,AB30:AB472)</f>
        <v>208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SUMIFS(O30:O954,F30:F954,"6а",G30:G954,3)+SUMIFS(O30:O954,F30:F954,"6б",G30:G954,3)+SUMIFS(O30:O954,F30:F954,"б/к",G30:G954,3)</f>
        <v>0</v>
      </c>
      <c r="AM28" s="2817"/>
    </row>
    <row r="29" spans="1:39" ht="15.5" x14ac:dyDescent="0.35">
      <c r="A29" s="1103"/>
      <c r="B29" s="1104"/>
      <c r="C29" s="1104"/>
      <c r="D29" s="1105"/>
      <c r="E29" s="476" t="s">
        <v>2871</v>
      </c>
      <c r="F29" s="1106"/>
      <c r="G29" s="1106"/>
      <c r="H29" s="1106"/>
      <c r="I29" s="1107"/>
      <c r="J29" s="1107"/>
      <c r="K29" s="1108"/>
      <c r="L29" s="1108"/>
      <c r="M29" s="1204"/>
      <c r="N29" s="1108"/>
      <c r="O29" s="1202"/>
      <c r="P29" s="1108"/>
      <c r="Q29" s="1200"/>
      <c r="R29" s="1198"/>
      <c r="S29" s="1109"/>
      <c r="T29" s="1110"/>
      <c r="U29" s="1109"/>
      <c r="V29" s="1109"/>
      <c r="W29" s="1111"/>
      <c r="X29" s="1111"/>
      <c r="Y29" s="1112"/>
      <c r="Z29" s="1113"/>
      <c r="AD29" s="2578" t="s">
        <v>7180</v>
      </c>
      <c r="AE29" s="2579">
        <f>SUMIFS(M30:M886,F30:F886,3,G30:G886,3)+SUMIFS(N30:N886,F30:F886,3,G30:G886,3)+SUMIFS(O30:O886,F30:F886,3,G30:G886,3)+SUMIFS(P30:P886,F30:F886,3,G30:G886,3)+SUMIFS(Q30:Q886,F30:F886,3,G30:G886,3)+SUMIFS(R30:R886,F30:F886,3,G30:G886,3)</f>
        <v>0</v>
      </c>
      <c r="AF29" s="2579">
        <f>SUMIFS(M30:M886,F30:F886,4,G30:G886,3)+SUMIFS(N30:N886,F30:F886,4,G30:G886,3)+SUMIFS(O30:O886,F30:F886,4,G30:G886,3)+SUMIFS(P30:P886,F30:F886,4,G30:G886,3)+SUMIFS(Q30:Q886,F30:F886,4,G30:G886,3)+SUMIFS(R30:R886,F30:F886,4,G30:G886,3)</f>
        <v>0</v>
      </c>
      <c r="AG29" s="2579">
        <f>SUMIFS(M30:M886,F30:F886,5,G30:G886,3)+SUMIFS(N30:N886,F30:F886,5,G30:G886,3)+SUMIFS(O30:O886,F30:F886,5,G30:G886,3)+SUMIFS(P30:P886,F30:F886,5,G30:G886,3)+SUMIFS(Q30:Q886,F30:F886,5,G30:G886,3)+SUMIFS(R30:R886,F30:F886,5,G30:G886,3)</f>
        <v>0</v>
      </c>
      <c r="AH29" s="2579">
        <f>SUMIFS(M30:M886,F30:F886,"6а",G30:G886,3)+SUMIFS(N30:N886,F30:F886,"6а",G30:G886,3)+SUMIFS(O30:O886,F30:F886,"6а",G30:G886,3)+SUMIFS(P30:P886,F30:F886,"6а",G30:G886,3)+SUMIFS(Q30:Q886,F30:F886,"6а",G30:G886,3)+SUMIFS(R30:R886,F30:F886,"6а",G30:G886,3)</f>
        <v>0</v>
      </c>
      <c r="AI29" s="2579">
        <f>SUMIFS(M30:M886,F30:F886,"6б",G30:G886,3)+SUMIFS(N30:N886,F30:F886,"6б",G30:G886,3)+SUMIFS(O30:O886,F30:F886,"6б",G30:G886,3)+SUMIFS(P30:P886,F30:F886,"6б",G30:G886,3)+SUMIFS(Q30:Q886,F30:F886,"6б",G30:G886,3)+SUMIFS(R30:R886,F30:F886,"6б",G30:G886,3)</f>
        <v>0</v>
      </c>
      <c r="AJ29" s="2580">
        <f>SUMIFS(M30:M886,F30:F886,"б/к",G30:G886,3)+SUMIFS(N30:N886,F30:F886,"б/к",G30:G886,3)+SUMIFS(O30:O886,F30:F886,"б/к",G30:G886,3)+SUMIFS(P30:P886,F30:F886,"б/к",G30:G886,3)+SUMIFS(Q30:Q886,F30:F886,"б/к",G30:G886,3)+SUMIFS(R30:R886,F30:F886,"б/к",G30:G886,3)</f>
        <v>0</v>
      </c>
      <c r="AK29" s="2815" t="s">
        <v>11233</v>
      </c>
      <c r="AL29" s="2579">
        <f>SUMIFS(P30:P954,F30:F954,"6а",G30:G954,3)+SUMIFS(Q30:Q954,F30:F954,"6а",G30:G954,3)+SUMIFS(P30:P954,F30:F954,"6б",G30:G954,3)+SUMIFS(Q30:Q954,F30:F954,"6б",G30:G954,3)+SUMIFS(P30:P954,F30:F954,"б/к",G30:G954,3)+SUMIFS(Q30:Q954,F30:F954,"б/к",G30:G954,3)</f>
        <v>0</v>
      </c>
      <c r="AM29" s="2817"/>
    </row>
    <row r="30" spans="1:39" ht="45.5" x14ac:dyDescent="0.35">
      <c r="A30" s="603">
        <v>1</v>
      </c>
      <c r="B30" s="375">
        <v>10526</v>
      </c>
      <c r="C30" s="375"/>
      <c r="D30" s="375" t="s">
        <v>2677</v>
      </c>
      <c r="E30" s="371" t="s">
        <v>9778</v>
      </c>
      <c r="F30" s="596"/>
      <c r="G30" s="596"/>
      <c r="H30" s="2268" t="s">
        <v>191</v>
      </c>
      <c r="I30" s="583">
        <f>J30+K30+L30</f>
        <v>21.887</v>
      </c>
      <c r="J30" s="583">
        <f>SUM(M30:R30)</f>
        <v>18.071999999999999</v>
      </c>
      <c r="K30" s="583">
        <f>SUM(K31:K32)</f>
        <v>3.8149999999999999</v>
      </c>
      <c r="L30" s="584"/>
      <c r="M30" s="980"/>
      <c r="N30" s="583">
        <f>SUM(N31:N32)</f>
        <v>18.071999999999999</v>
      </c>
      <c r="O30" s="597"/>
      <c r="P30" s="584"/>
      <c r="Q30" s="908"/>
      <c r="R30" s="901"/>
      <c r="S30" s="582">
        <v>1</v>
      </c>
      <c r="T30" s="585">
        <v>45.400001525878906</v>
      </c>
      <c r="U30" s="586"/>
      <c r="V30" s="586"/>
      <c r="W30" s="2426">
        <v>29</v>
      </c>
      <c r="X30" s="2427">
        <v>415.82</v>
      </c>
      <c r="Y30" s="1679">
        <v>9</v>
      </c>
      <c r="Z30" s="1791">
        <v>99</v>
      </c>
      <c r="AB30" s="78">
        <v>1</v>
      </c>
      <c r="AD30" s="2578" t="s">
        <v>7181</v>
      </c>
      <c r="AE30" s="2579">
        <f>SUMIFS(M30:M886,F30:F886,3,G30:G886,4)+SUMIFS(N30:N886,F30:F886,3,G30:G886,4)+SUMIFS(O30:O886,F30:F886,3,G30:G886,4)+SUMIFS(P30:P886,F30:F886,3,G30:G886,4)+SUMIFS(Q30:Q886,F30:F886,3,G30:G886,4)+SUMIFS(R30:R886,F30:F886,3,G30:G886,4)</f>
        <v>0</v>
      </c>
      <c r="AF30" s="2579">
        <f>SUMIFS(M30:M886,F30:F886,4,G30:G886,4)+SUMIFS(N30:N886,F30:F886,4,G30:G886,4)+SUMIFS(O30:O886,F30:F886,4,G30:G886,4)+SUMIFS(P30:P886,F30:F886,4,G30:G886,4)+SUMIFS(Q30:Q886,F30:F886,4,G30:G886,4)+SUMIFS(R30:R886,F30:F886,4,G30:G886,4)</f>
        <v>220.70900000000003</v>
      </c>
      <c r="AG30" s="2579">
        <f>SUMIFS(M30:M886,F30:F886,5,G30:G886,4)+SUMIFS(N30:N886,F30:F886,5,G30:G886,4)+SUMIFS(O30:O886,F30:F886,5,G30:G886,4)+SUMIFS(P30:P886,F30:F886,5,G30:G886,4)+SUMIFS(Q30:Q886,F30:F886,5,G30:G886,4)+SUMIFS(R30:R886,F30:F886,5,G30:G886,4)</f>
        <v>8.4930000000000003</v>
      </c>
      <c r="AH30" s="2579">
        <f>SUMIFS(M30:M886,F30:F886,"6а",G30:G886,4)+SUMIFS(N30:N886,F30:F886,"6а",G30:G886,4)+SUMIFS(O30:O886,F30:F886,"6а",G30:G886,4)+SUMIFS(P30:P886,F30:F886,"6а",G30:G886,4)+SUMIFS(Q30:Q886,F30:F886,"6а",G30:G886,4)+SUMIFS(R30:R886,F30:F886,"6а",G30:G886,4)</f>
        <v>0</v>
      </c>
      <c r="AI30" s="2579">
        <f>SUMIFS(M30:M886,F30:F886,"6б",G30:G886,4)+SUMIFS(N30:N886,F30:F886,"6б",G30:G886,4)+SUMIFS(O30:O886,F30:F886,"6б",G30:G886,4)+SUMIFS(P30:P886,F30:F886,"6б",G30:G886,4)+SUMIFS(Q30:Q886,F30:F886,"6б",G30:G886,4)+SUMIFS(R30:R886,F30:F886,"6б",G30:G886,4)</f>
        <v>0</v>
      </c>
      <c r="AJ30" s="2580">
        <f>SUMIFS(M30:M886,F30:F886,"б/к",G30:G886,4)+SUMIFS(N30:N886,F30:F886,"б/к",G30:G886,4)+SUMIFS(O30:O886,F30:F886,"б/к",G30:G886,4)+SUMIFS(P30:P886,F30:F886,"б/к",G30:G886,4)+SUMIFS(Q30:Q886,F30:F886,"б/к",G30:G886,4)+SUMIFS(R30:R886,F30:F886,"б/к",G30:G886,4)</f>
        <v>0</v>
      </c>
      <c r="AK30" s="2815" t="s">
        <v>910</v>
      </c>
      <c r="AL30" s="2579">
        <f>SUMIFS(R30:R954,F30:F954,"6а",G30:G954,3)+SUMIFS(R30:R954,F30:F954,"6б",G30:G954,3)+SUMIFS(R30:R954,F30:F954,"б/к",G30:G954,3)</f>
        <v>0</v>
      </c>
      <c r="AM30" s="2817"/>
    </row>
    <row r="31" spans="1:39" ht="46.5" x14ac:dyDescent="0.35">
      <c r="A31" s="604"/>
      <c r="B31" s="375">
        <v>10526</v>
      </c>
      <c r="C31" s="375"/>
      <c r="D31" s="376"/>
      <c r="E31" s="610" t="s">
        <v>9978</v>
      </c>
      <c r="F31" s="591">
        <v>4</v>
      </c>
      <c r="G31" s="591">
        <v>4</v>
      </c>
      <c r="H31" s="2419" t="s">
        <v>191</v>
      </c>
      <c r="I31" s="588"/>
      <c r="J31" s="588"/>
      <c r="K31" s="589">
        <v>3.8149999999999999</v>
      </c>
      <c r="L31" s="588"/>
      <c r="M31" s="981"/>
      <c r="N31" s="588"/>
      <c r="O31" s="915"/>
      <c r="P31" s="588"/>
      <c r="Q31" s="909"/>
      <c r="R31" s="902"/>
      <c r="S31" s="586"/>
      <c r="T31" s="590"/>
      <c r="U31" s="586"/>
      <c r="V31" s="586"/>
      <c r="W31" s="1679"/>
      <c r="X31" s="1678"/>
      <c r="Y31" s="1679"/>
      <c r="Z31" s="1791"/>
      <c r="AD31" s="2581" t="s">
        <v>7182</v>
      </c>
      <c r="AE31" s="2582">
        <f>SUMIFS(M30:M886,F30:F886,3,G30:G886,5)+SUMIFS(N30:N886,F30:F886,3,G30:G886,5)+SUMIFS(O30:O886,F30:F886,3,G30:G886,5)+SUMIFS(P30:P886,F30:F886,3,G30:G886,5)+SUMIFS(Q30:Q886,F30:F886,3,G30:G886,5)+SUMIFS(R30:R886,F30:F886,3,G30:G886,5)</f>
        <v>0</v>
      </c>
      <c r="AF31" s="2582">
        <f>SUMIFS(M30:M886,F30:F886,4,G30:G886,5)+SUMIFS(N30:N886,F30:F886,4,G30:G886,5)+SUMIFS(O30:O886,F30:F886,4,G30:G886,5)+SUMIFS(P30:P886,F30:F886,4,G30:G886,5)+SUMIFS(Q30:Q886,F30:F886,4,G30:G886,5)+SUMIFS(R30:R886,F30:F886,4,G30:G886,5)</f>
        <v>63.057999999999993</v>
      </c>
      <c r="AG31" s="2582">
        <f>SUMIFS(M30:M886,F30:F886,5,G30:G886,5)+SUMIFS(N30:N886,F30:F886,5,G30:G886,5)+SUMIFS(O30:O886,F30:F886,5,G30:G886,5)+SUMIFS(P30:P886,F30:F886,5,G30:G886,5)+SUMIFS(Q30:Q886,F30:F886,5,G30:G886,5)+SUMIFS(R30:R886,F30:F886,5,G30:G886,5)</f>
        <v>135.72300000000001</v>
      </c>
      <c r="AH31" s="2582">
        <f>SUMIFS(M30:M886,F30:F886,"6а",G30:G886,5)+SUMIFS(N30:N886,F30:F886,"6а",G30:G886,5)+SUMIFS(O30:O886,F30:F886,"6а",G30:G886,5)+SUMIFS(P30:P886,F30:F886,"6а",G30:G886,5)+SUMIFS(Q30:Q886,F30:F886,"6а",G30:G886,5)+SUMIFS(R30:R886,F30:F886,"6а",G30:G886,5)</f>
        <v>40.31900000000001</v>
      </c>
      <c r="AI31" s="2582">
        <f>SUMIFS(M30:M886,F30:F886,"6б",G30:G886,5)+SUMIFS(N30:N886,F30:F886,"6б",G30:G886,5)+SUMIFS(O30:O886,F30:F886,"6б",G30:G886,5)+SUMIFS(P30:P886,F30:F886,"6б",G30:G886,5)+SUMIFS(Q30:Q886,F30:F886,"6б",G30:G886,5)+SUMIFS(R30:R886,F30:F886,"6б",G30:G886,5)</f>
        <v>17.010999999999999</v>
      </c>
      <c r="AJ31" s="2583">
        <f>SUMIFS(M30:M886,F30:F886,"б/к",G30:G886,5)+SUMIFS(N30:N886,F30:F886,"б/к",G30:G886,5)+SUMIFS(O30:O886,F30:F886,"б/к",G30:G886,5)+SUMIFS(P30:P886,F30:F886,"б/к",G30:G886,5)+SUMIFS(Q30:Q886,F30:F886,"б/к",G30:G886,5)+SUMIFS(R30:R886,F30:F886,"б/к",G30:G886,5)</f>
        <v>78.591999999999999</v>
      </c>
      <c r="AK31" s="2815"/>
      <c r="AL31" s="2579"/>
      <c r="AM31" s="2817"/>
    </row>
    <row r="32" spans="1:39" ht="15.5" x14ac:dyDescent="0.35">
      <c r="A32" s="604"/>
      <c r="B32" s="375">
        <v>10526</v>
      </c>
      <c r="C32" s="375"/>
      <c r="D32" s="376"/>
      <c r="E32" s="610" t="s">
        <v>3710</v>
      </c>
      <c r="F32" s="591">
        <v>4</v>
      </c>
      <c r="G32" s="591">
        <v>4</v>
      </c>
      <c r="H32" s="2268">
        <v>6</v>
      </c>
      <c r="I32" s="588"/>
      <c r="J32" s="588"/>
      <c r="K32" s="589"/>
      <c r="L32" s="588"/>
      <c r="M32" s="981"/>
      <c r="N32" s="588">
        <f>21.887-3.815</f>
        <v>18.071999999999999</v>
      </c>
      <c r="O32" s="915"/>
      <c r="P32" s="588"/>
      <c r="Q32" s="909"/>
      <c r="R32" s="902"/>
      <c r="S32" s="586"/>
      <c r="T32" s="590"/>
      <c r="U32" s="586"/>
      <c r="V32" s="586"/>
      <c r="W32" s="1679"/>
      <c r="X32" s="1678"/>
      <c r="Y32" s="1679"/>
      <c r="Z32" s="1791"/>
      <c r="AD32"/>
      <c r="AE32" s="1572"/>
      <c r="AF32"/>
      <c r="AG32"/>
      <c r="AH32"/>
      <c r="AI32" s="2584" t="s">
        <v>7183</v>
      </c>
      <c r="AJ32" s="2585">
        <f>SUMIF(AB30:AB886,"=1",J30:J886)</f>
        <v>563.90499999999986</v>
      </c>
      <c r="AK32" s="2818" t="s">
        <v>11235</v>
      </c>
      <c r="AL32" s="2821">
        <f>AL34+AL40+AL46</f>
        <v>229.20200000000003</v>
      </c>
      <c r="AM32" s="2820">
        <f>AL32-J19</f>
        <v>0</v>
      </c>
    </row>
    <row r="33" spans="1:39" ht="60.5" x14ac:dyDescent="0.35">
      <c r="A33" s="608">
        <v>2</v>
      </c>
      <c r="B33" s="1099">
        <v>10526</v>
      </c>
      <c r="C33" s="1099" t="s">
        <v>1656</v>
      </c>
      <c r="D33" s="2465" t="s">
        <v>4589</v>
      </c>
      <c r="E33" s="371" t="s">
        <v>9779</v>
      </c>
      <c r="F33" s="596" t="s">
        <v>664</v>
      </c>
      <c r="G33" s="596">
        <v>5</v>
      </c>
      <c r="H33" s="2268">
        <v>6</v>
      </c>
      <c r="I33" s="583">
        <f t="shared" ref="I33:I45" si="6">J33+K33+L33</f>
        <v>0.3</v>
      </c>
      <c r="J33" s="583">
        <f t="shared" ref="J33:J45" si="7">SUM(M33:R33)</f>
        <v>0.3</v>
      </c>
      <c r="K33" s="598"/>
      <c r="L33" s="598"/>
      <c r="M33" s="983"/>
      <c r="N33" s="580"/>
      <c r="O33" s="918"/>
      <c r="P33" s="580"/>
      <c r="Q33" s="913"/>
      <c r="R33" s="906">
        <v>0.3</v>
      </c>
      <c r="S33" s="600"/>
      <c r="T33" s="600"/>
      <c r="U33" s="600"/>
      <c r="V33" s="600"/>
      <c r="W33" s="1676"/>
      <c r="X33" s="1789"/>
      <c r="Y33" s="1676"/>
      <c r="Z33" s="1790"/>
      <c r="AB33" s="78">
        <v>1</v>
      </c>
      <c r="AD33"/>
      <c r="AE33" s="1572"/>
      <c r="AF33"/>
      <c r="AG33"/>
      <c r="AH33"/>
      <c r="AI33"/>
      <c r="AJ33" s="2585">
        <f>SUM(AE29:AJ31)-AJ32</f>
        <v>0</v>
      </c>
      <c r="AK33" s="2815" t="s">
        <v>11229</v>
      </c>
      <c r="AL33" s="2579"/>
      <c r="AM33" s="2817"/>
    </row>
    <row r="34" spans="1:39" ht="60.5" x14ac:dyDescent="0.35">
      <c r="A34" s="525">
        <v>3</v>
      </c>
      <c r="B34" s="693">
        <v>10526</v>
      </c>
      <c r="C34" s="693"/>
      <c r="D34" s="2465" t="s">
        <v>4590</v>
      </c>
      <c r="E34" s="372" t="s">
        <v>9780</v>
      </c>
      <c r="F34" s="93" t="s">
        <v>1490</v>
      </c>
      <c r="G34" s="93">
        <v>5</v>
      </c>
      <c r="H34" s="2268">
        <v>6</v>
      </c>
      <c r="I34" s="2202">
        <f t="shared" si="6"/>
        <v>1.2</v>
      </c>
      <c r="J34" s="2202">
        <f t="shared" si="7"/>
        <v>1.2</v>
      </c>
      <c r="K34" s="577"/>
      <c r="L34" s="577"/>
      <c r="M34" s="577"/>
      <c r="N34" s="577"/>
      <c r="O34" s="577"/>
      <c r="P34" s="577"/>
      <c r="Q34" s="577"/>
      <c r="R34" s="2207">
        <v>1.2</v>
      </c>
      <c r="S34" s="46"/>
      <c r="T34" s="46"/>
      <c r="U34" s="46"/>
      <c r="V34" s="46"/>
      <c r="W34" s="67">
        <v>2</v>
      </c>
      <c r="X34" s="46">
        <v>15</v>
      </c>
      <c r="Y34" s="46"/>
      <c r="Z34" s="47"/>
      <c r="AB34" s="78">
        <v>1</v>
      </c>
      <c r="AC34" s="78" t="s">
        <v>2570</v>
      </c>
      <c r="AE34" s="2461"/>
      <c r="AF34" s="68"/>
      <c r="AI34" s="2475"/>
      <c r="AK34" s="2818" t="s">
        <v>7184</v>
      </c>
      <c r="AL34" s="2821">
        <f>AL35+AL36+AL37+AL38+AL39</f>
        <v>220.70900000000003</v>
      </c>
      <c r="AM34" s="2820">
        <f>AL34-AF30</f>
        <v>0</v>
      </c>
    </row>
    <row r="35" spans="1:39" ht="60.5" x14ac:dyDescent="0.35">
      <c r="A35" s="608">
        <v>4</v>
      </c>
      <c r="B35" s="693">
        <v>10526</v>
      </c>
      <c r="C35" s="693"/>
      <c r="D35" s="2465" t="s">
        <v>4591</v>
      </c>
      <c r="E35" s="372" t="s">
        <v>9781</v>
      </c>
      <c r="F35" s="93" t="s">
        <v>664</v>
      </c>
      <c r="G35" s="93">
        <v>5</v>
      </c>
      <c r="H35" s="2268">
        <v>6</v>
      </c>
      <c r="I35" s="2202">
        <f t="shared" si="6"/>
        <v>2</v>
      </c>
      <c r="J35" s="2202">
        <f t="shared" si="7"/>
        <v>2</v>
      </c>
      <c r="K35" s="577"/>
      <c r="L35" s="577"/>
      <c r="M35" s="577"/>
      <c r="N35" s="577"/>
      <c r="O35" s="577"/>
      <c r="P35" s="577"/>
      <c r="Q35" s="577"/>
      <c r="R35" s="2207">
        <v>2</v>
      </c>
      <c r="S35" s="46"/>
      <c r="T35" s="46"/>
      <c r="U35" s="46"/>
      <c r="V35" s="46"/>
      <c r="W35" s="67">
        <v>1</v>
      </c>
      <c r="X35" s="46">
        <v>5</v>
      </c>
      <c r="Y35" s="46"/>
      <c r="Z35" s="47"/>
      <c r="AB35" s="78">
        <v>1</v>
      </c>
      <c r="AE35" s="2461"/>
      <c r="AF35" s="68"/>
      <c r="AI35" s="2475"/>
      <c r="AK35" s="2815" t="s">
        <v>11230</v>
      </c>
      <c r="AL35" s="2579">
        <f>SUMIFS(M30:M954,F30:F954,4,G30:G954,4)</f>
        <v>0</v>
      </c>
      <c r="AM35" s="2817"/>
    </row>
    <row r="36" spans="1:39" ht="75.5" x14ac:dyDescent="0.35">
      <c r="A36" s="525">
        <v>5</v>
      </c>
      <c r="B36" s="375">
        <v>10526</v>
      </c>
      <c r="C36" s="358" t="s">
        <v>1656</v>
      </c>
      <c r="D36" s="2465" t="s">
        <v>4592</v>
      </c>
      <c r="E36" s="372" t="s">
        <v>9782</v>
      </c>
      <c r="F36" s="591" t="s">
        <v>664</v>
      </c>
      <c r="G36" s="596">
        <v>5</v>
      </c>
      <c r="H36" s="2268">
        <v>6</v>
      </c>
      <c r="I36" s="518">
        <f t="shared" si="6"/>
        <v>0.33100000000000002</v>
      </c>
      <c r="J36" s="518">
        <f t="shared" si="7"/>
        <v>0.33100000000000002</v>
      </c>
      <c r="K36" s="588"/>
      <c r="L36" s="588"/>
      <c r="M36" s="981"/>
      <c r="N36" s="2364"/>
      <c r="O36" s="2365"/>
      <c r="P36" s="2364"/>
      <c r="Q36" s="1792"/>
      <c r="R36" s="2366">
        <v>0.33100000000000002</v>
      </c>
      <c r="S36" s="586"/>
      <c r="T36" s="590"/>
      <c r="U36" s="586"/>
      <c r="V36" s="586"/>
      <c r="W36" s="1679"/>
      <c r="X36" s="1678"/>
      <c r="Y36" s="1679"/>
      <c r="Z36" s="1791"/>
      <c r="AB36" s="78">
        <v>1</v>
      </c>
      <c r="AE36" s="2461"/>
      <c r="AF36" s="68"/>
      <c r="AI36" s="2475"/>
      <c r="AK36" s="2815" t="s">
        <v>11231</v>
      </c>
      <c r="AL36" s="2579">
        <f>SUMIFS(N30:N954,F30:F954,4,G30:G954,4)</f>
        <v>165.82700000000003</v>
      </c>
      <c r="AM36" s="2817"/>
    </row>
    <row r="37" spans="1:39" ht="60.5" x14ac:dyDescent="0.35">
      <c r="A37" s="608">
        <v>6</v>
      </c>
      <c r="B37" s="1100">
        <v>10526</v>
      </c>
      <c r="C37" s="358" t="s">
        <v>1656</v>
      </c>
      <c r="D37" s="2465" t="s">
        <v>4593</v>
      </c>
      <c r="E37" s="372" t="s">
        <v>9783</v>
      </c>
      <c r="F37" s="596">
        <v>4</v>
      </c>
      <c r="G37" s="596">
        <v>5</v>
      </c>
      <c r="H37" s="2268">
        <v>6</v>
      </c>
      <c r="I37" s="518">
        <f t="shared" si="6"/>
        <v>0.6</v>
      </c>
      <c r="J37" s="518">
        <f t="shared" si="7"/>
        <v>0.6</v>
      </c>
      <c r="K37" s="584"/>
      <c r="L37" s="584"/>
      <c r="M37" s="980"/>
      <c r="N37" s="583"/>
      <c r="O37" s="597">
        <v>0.6</v>
      </c>
      <c r="P37" s="584"/>
      <c r="Q37" s="908"/>
      <c r="R37" s="903"/>
      <c r="S37" s="586"/>
      <c r="T37" s="590"/>
      <c r="U37" s="586"/>
      <c r="V37" s="586"/>
      <c r="W37" s="2426"/>
      <c r="X37" s="2427"/>
      <c r="Y37" s="1679"/>
      <c r="Z37" s="1791"/>
      <c r="AB37" s="78">
        <v>1</v>
      </c>
      <c r="AE37" s="2461"/>
      <c r="AF37" s="68"/>
      <c r="AI37" s="2475"/>
      <c r="AK37" s="2815" t="s">
        <v>11232</v>
      </c>
      <c r="AL37" s="2579">
        <f>SUMIFS(O30:O954,F30:F954,4,G30:G954,4)</f>
        <v>0</v>
      </c>
      <c r="AM37" s="2817"/>
    </row>
    <row r="38" spans="1:39" ht="75.5" x14ac:dyDescent="0.35">
      <c r="A38" s="525">
        <v>7</v>
      </c>
      <c r="B38" s="375">
        <v>10526</v>
      </c>
      <c r="C38" s="358" t="s">
        <v>1656</v>
      </c>
      <c r="D38" s="2465" t="s">
        <v>4594</v>
      </c>
      <c r="E38" s="372" t="s">
        <v>10895</v>
      </c>
      <c r="F38" s="596"/>
      <c r="G38" s="596"/>
      <c r="H38" s="2268" t="s">
        <v>191</v>
      </c>
      <c r="I38" s="518">
        <f t="shared" si="6"/>
        <v>1.8640000000000001</v>
      </c>
      <c r="J38" s="518">
        <f t="shared" si="7"/>
        <v>0.56400000000000006</v>
      </c>
      <c r="K38" s="588"/>
      <c r="L38" s="584">
        <f>SUM(L39:L40)</f>
        <v>1.3</v>
      </c>
      <c r="M38" s="981"/>
      <c r="N38" s="1794"/>
      <c r="O38" s="2365"/>
      <c r="P38" s="2364"/>
      <c r="Q38" s="1795"/>
      <c r="R38" s="2366">
        <f>SUM(R39:R40)</f>
        <v>0.56400000000000006</v>
      </c>
      <c r="S38" s="582"/>
      <c r="T38" s="585"/>
      <c r="U38" s="586"/>
      <c r="V38" s="586"/>
      <c r="W38" s="2426"/>
      <c r="X38" s="2427"/>
      <c r="Y38" s="1679"/>
      <c r="Z38" s="1791"/>
      <c r="AB38" s="78">
        <v>1</v>
      </c>
      <c r="AE38" s="2461"/>
      <c r="AF38" s="68"/>
      <c r="AI38" s="2475"/>
      <c r="AK38" s="2815" t="s">
        <v>11233</v>
      </c>
      <c r="AL38" s="2579">
        <f>SUMIFS(P30:P954,F30:F954,4,G30:G954,4)+SUMIFS(Q30:Q954,F30:F954,4,G30:G954,4)</f>
        <v>54.882000000000012</v>
      </c>
      <c r="AM38" s="2817"/>
    </row>
    <row r="39" spans="1:39" ht="22.5" customHeight="1" x14ac:dyDescent="0.35">
      <c r="A39" s="525"/>
      <c r="B39" s="375"/>
      <c r="C39" s="358"/>
      <c r="D39" s="2465"/>
      <c r="E39" s="289" t="s">
        <v>7003</v>
      </c>
      <c r="F39" s="596" t="s">
        <v>664</v>
      </c>
      <c r="G39" s="596">
        <v>5</v>
      </c>
      <c r="H39" s="2268" t="s">
        <v>191</v>
      </c>
      <c r="I39" s="524"/>
      <c r="J39" s="524"/>
      <c r="K39" s="588"/>
      <c r="L39" s="588">
        <v>1.3</v>
      </c>
      <c r="M39" s="981"/>
      <c r="N39" s="589"/>
      <c r="O39" s="915"/>
      <c r="P39" s="588"/>
      <c r="Q39" s="911"/>
      <c r="R39" s="902"/>
      <c r="S39" s="582"/>
      <c r="T39" s="585"/>
      <c r="U39" s="586"/>
      <c r="V39" s="586"/>
      <c r="W39" s="2426"/>
      <c r="X39" s="2427"/>
      <c r="Y39" s="1679"/>
      <c r="Z39" s="1791"/>
      <c r="AE39" s="2461"/>
      <c r="AF39" s="68"/>
      <c r="AI39" s="2475"/>
      <c r="AK39" s="2815" t="s">
        <v>910</v>
      </c>
      <c r="AL39" s="2579">
        <f>SUMIFS(R30:R954,F30:F954,4,G30:G954,4)</f>
        <v>0</v>
      </c>
      <c r="AM39" s="2817"/>
    </row>
    <row r="40" spans="1:39" ht="15.5" x14ac:dyDescent="0.35">
      <c r="A40" s="525"/>
      <c r="B40" s="375"/>
      <c r="C40" s="358"/>
      <c r="D40" s="2465"/>
      <c r="E40" s="2297" t="s">
        <v>7004</v>
      </c>
      <c r="F40" s="596" t="s">
        <v>664</v>
      </c>
      <c r="G40" s="596">
        <v>5</v>
      </c>
      <c r="H40" s="2268">
        <v>6</v>
      </c>
      <c r="I40" s="524"/>
      <c r="J40" s="524"/>
      <c r="K40" s="588"/>
      <c r="L40" s="588"/>
      <c r="M40" s="981"/>
      <c r="N40" s="589"/>
      <c r="O40" s="915"/>
      <c r="P40" s="588"/>
      <c r="Q40" s="911"/>
      <c r="R40" s="902">
        <f>1.864-1.3</f>
        <v>0.56400000000000006</v>
      </c>
      <c r="S40" s="582"/>
      <c r="T40" s="585"/>
      <c r="U40" s="586"/>
      <c r="V40" s="586"/>
      <c r="W40" s="2426"/>
      <c r="X40" s="2427"/>
      <c r="Y40" s="1679"/>
      <c r="Z40" s="1791"/>
      <c r="AE40" s="2461"/>
      <c r="AF40" s="68"/>
      <c r="AI40" s="2475"/>
      <c r="AK40" s="2818" t="s">
        <v>7185</v>
      </c>
      <c r="AL40" s="2821">
        <f>AL41+AL42+AL43+AL44+AL45</f>
        <v>8.4930000000000003</v>
      </c>
      <c r="AM40" s="2820">
        <f>AL40-AG30</f>
        <v>0</v>
      </c>
    </row>
    <row r="41" spans="1:39" ht="90.5" x14ac:dyDescent="0.35">
      <c r="A41" s="608">
        <v>8</v>
      </c>
      <c r="B41" s="1100">
        <v>10526</v>
      </c>
      <c r="C41" s="358" t="s">
        <v>1656</v>
      </c>
      <c r="D41" s="2465" t="s">
        <v>4595</v>
      </c>
      <c r="E41" s="372" t="s">
        <v>9784</v>
      </c>
      <c r="F41" s="596" t="s">
        <v>664</v>
      </c>
      <c r="G41" s="596">
        <v>5</v>
      </c>
      <c r="H41" s="2268">
        <v>6</v>
      </c>
      <c r="I41" s="518">
        <f t="shared" si="6"/>
        <v>0.49399999999999999</v>
      </c>
      <c r="J41" s="518">
        <f t="shared" si="7"/>
        <v>0.49399999999999999</v>
      </c>
      <c r="K41" s="584"/>
      <c r="L41" s="584"/>
      <c r="M41" s="980"/>
      <c r="N41" s="583"/>
      <c r="O41" s="597"/>
      <c r="P41" s="584"/>
      <c r="Q41" s="908"/>
      <c r="R41" s="903">
        <v>0.49399999999999999</v>
      </c>
      <c r="S41" s="586"/>
      <c r="T41" s="590"/>
      <c r="U41" s="586"/>
      <c r="V41" s="586"/>
      <c r="W41" s="2426"/>
      <c r="X41" s="2427"/>
      <c r="Y41" s="1679"/>
      <c r="Z41" s="1791"/>
      <c r="AB41" s="78">
        <v>1</v>
      </c>
      <c r="AE41" s="2461"/>
      <c r="AF41" s="68"/>
      <c r="AI41" s="2475"/>
      <c r="AK41" s="2815" t="s">
        <v>11230</v>
      </c>
      <c r="AL41" s="2579">
        <f>SUMIFS(M30:M954,F30:F954,5,G30:G954,4)</f>
        <v>0</v>
      </c>
      <c r="AM41" s="2817"/>
    </row>
    <row r="42" spans="1:39" ht="75.5" x14ac:dyDescent="0.35">
      <c r="A42" s="525">
        <v>9</v>
      </c>
      <c r="B42" s="1100">
        <v>10526</v>
      </c>
      <c r="C42" s="358" t="s">
        <v>1656</v>
      </c>
      <c r="D42" s="2465" t="s">
        <v>4596</v>
      </c>
      <c r="E42" s="372" t="s">
        <v>9785</v>
      </c>
      <c r="F42" s="596"/>
      <c r="G42" s="596"/>
      <c r="H42" s="2268" t="s">
        <v>191</v>
      </c>
      <c r="I42" s="518">
        <f t="shared" si="6"/>
        <v>6.2</v>
      </c>
      <c r="J42" s="518">
        <f t="shared" si="7"/>
        <v>0.59299999999999997</v>
      </c>
      <c r="K42" s="584"/>
      <c r="L42" s="584">
        <f>SUM(L43:L44)</f>
        <v>5.6070000000000002</v>
      </c>
      <c r="M42" s="980"/>
      <c r="N42" s="583"/>
      <c r="O42" s="597"/>
      <c r="P42" s="584"/>
      <c r="Q42" s="908"/>
      <c r="R42" s="901">
        <f>SUM(R43:R44)</f>
        <v>0.59299999999999997</v>
      </c>
      <c r="S42" s="586"/>
      <c r="T42" s="590"/>
      <c r="U42" s="586"/>
      <c r="V42" s="586"/>
      <c r="W42" s="2426"/>
      <c r="X42" s="2427"/>
      <c r="Y42" s="1679"/>
      <c r="Z42" s="1791"/>
      <c r="AB42" s="78">
        <v>1</v>
      </c>
      <c r="AE42" s="2461"/>
      <c r="AF42" s="68"/>
      <c r="AI42" s="2475"/>
      <c r="AK42" s="2815" t="s">
        <v>11231</v>
      </c>
      <c r="AL42" s="2579">
        <f>SUMIFS(N30:N954,F30:F954,5,G30:G954,4)</f>
        <v>2.6930000000000001</v>
      </c>
      <c r="AM42" s="2817"/>
    </row>
    <row r="43" spans="1:39" ht="31" x14ac:dyDescent="0.35">
      <c r="A43" s="525"/>
      <c r="B43" s="1100">
        <v>10526</v>
      </c>
      <c r="C43" s="358"/>
      <c r="D43" s="358"/>
      <c r="E43" s="289" t="s">
        <v>3367</v>
      </c>
      <c r="F43" s="596">
        <v>5</v>
      </c>
      <c r="G43" s="596">
        <v>5</v>
      </c>
      <c r="H43" s="2268" t="s">
        <v>191</v>
      </c>
      <c r="I43" s="298"/>
      <c r="J43" s="298"/>
      <c r="K43" s="595"/>
      <c r="L43" s="595">
        <v>5.6070000000000002</v>
      </c>
      <c r="M43" s="982"/>
      <c r="N43" s="594"/>
      <c r="O43" s="917"/>
      <c r="P43" s="595"/>
      <c r="Q43" s="912"/>
      <c r="R43" s="905"/>
      <c r="S43" s="586"/>
      <c r="T43" s="590"/>
      <c r="U43" s="586"/>
      <c r="V43" s="586"/>
      <c r="W43" s="2426"/>
      <c r="X43" s="2427"/>
      <c r="Y43" s="1679"/>
      <c r="Z43" s="1791"/>
      <c r="AE43" s="2461"/>
      <c r="AF43" s="68"/>
      <c r="AK43" s="2815" t="s">
        <v>11232</v>
      </c>
      <c r="AL43" s="2579">
        <f>SUMIFS(O30:O954,F30:F954,5,G30:G954,4)</f>
        <v>0</v>
      </c>
      <c r="AM43" s="2817"/>
    </row>
    <row r="44" spans="1:39" ht="15.5" x14ac:dyDescent="0.35">
      <c r="A44" s="525"/>
      <c r="B44" s="1100">
        <v>10526</v>
      </c>
      <c r="C44" s="358"/>
      <c r="D44" s="358"/>
      <c r="E44" s="2297" t="s">
        <v>3368</v>
      </c>
      <c r="F44" s="596">
        <v>5</v>
      </c>
      <c r="G44" s="596">
        <v>5</v>
      </c>
      <c r="H44" s="2268">
        <v>6</v>
      </c>
      <c r="I44" s="298"/>
      <c r="J44" s="298"/>
      <c r="K44" s="595"/>
      <c r="L44" s="595"/>
      <c r="M44" s="982"/>
      <c r="N44" s="594"/>
      <c r="O44" s="917"/>
      <c r="P44" s="595"/>
      <c r="Q44" s="912"/>
      <c r="R44" s="905">
        <f>6.2-5.607</f>
        <v>0.59299999999999997</v>
      </c>
      <c r="S44" s="586"/>
      <c r="T44" s="590"/>
      <c r="U44" s="586"/>
      <c r="V44" s="586"/>
      <c r="W44" s="2426"/>
      <c r="X44" s="2427"/>
      <c r="Y44" s="1679"/>
      <c r="Z44" s="1791"/>
      <c r="AE44" s="2461"/>
      <c r="AF44" s="68"/>
      <c r="AK44" s="2815" t="s">
        <v>11233</v>
      </c>
      <c r="AL44" s="2579">
        <f>SUMIFS(P30:P954,F30:F954,5,G30:G954,4)+SUMIFS(Q30:Q954,F30:F954,5,G30:G954,4)</f>
        <v>5.8</v>
      </c>
      <c r="AM44" s="2817"/>
    </row>
    <row r="45" spans="1:39" ht="30.5" x14ac:dyDescent="0.35">
      <c r="A45" s="608">
        <v>10</v>
      </c>
      <c r="B45" s="375">
        <v>10527</v>
      </c>
      <c r="C45" s="375"/>
      <c r="D45" s="375" t="s">
        <v>2678</v>
      </c>
      <c r="E45" s="371" t="s">
        <v>662</v>
      </c>
      <c r="F45" s="596"/>
      <c r="G45" s="596"/>
      <c r="H45" s="2268" t="s">
        <v>191</v>
      </c>
      <c r="I45" s="583">
        <f t="shared" si="6"/>
        <v>22.1</v>
      </c>
      <c r="J45" s="583">
        <f t="shared" si="7"/>
        <v>22.1</v>
      </c>
      <c r="K45" s="584"/>
      <c r="L45" s="584"/>
      <c r="M45" s="980"/>
      <c r="N45" s="583">
        <f>SUM(N46:N47)</f>
        <v>19.873000000000001</v>
      </c>
      <c r="O45" s="597"/>
      <c r="P45" s="584"/>
      <c r="Q45" s="910">
        <f>SUM(Q46:Q47)</f>
        <v>2.2270000000000003</v>
      </c>
      <c r="R45" s="901"/>
      <c r="S45" s="582">
        <v>3</v>
      </c>
      <c r="T45" s="2959">
        <f>8+18.4+37</f>
        <v>63.4</v>
      </c>
      <c r="U45" s="586"/>
      <c r="V45" s="586"/>
      <c r="W45" s="2426">
        <v>43</v>
      </c>
      <c r="X45" s="2427">
        <v>585.74</v>
      </c>
      <c r="Y45" s="1679">
        <v>15</v>
      </c>
      <c r="Z45" s="1791">
        <v>158</v>
      </c>
      <c r="AB45" s="78">
        <v>1</v>
      </c>
      <c r="AE45" s="2461"/>
      <c r="AF45" s="68"/>
      <c r="AI45" s="2475"/>
      <c r="AK45" s="2815" t="s">
        <v>910</v>
      </c>
      <c r="AL45" s="2579">
        <f>SUMIFS(R30:R954,F30:F954,5,G30:G954,4)</f>
        <v>0</v>
      </c>
      <c r="AM45" s="2817"/>
    </row>
    <row r="46" spans="1:39" ht="15.5" x14ac:dyDescent="0.35">
      <c r="A46" s="605"/>
      <c r="B46" s="375">
        <v>10527</v>
      </c>
      <c r="C46" s="375"/>
      <c r="D46" s="377"/>
      <c r="E46" s="610" t="s">
        <v>32</v>
      </c>
      <c r="F46" s="596">
        <v>4</v>
      </c>
      <c r="G46" s="596">
        <v>4</v>
      </c>
      <c r="H46" s="2268">
        <v>6</v>
      </c>
      <c r="I46" s="589"/>
      <c r="J46" s="589"/>
      <c r="K46" s="588"/>
      <c r="L46" s="588"/>
      <c r="M46" s="981"/>
      <c r="N46" s="589">
        <v>19.873000000000001</v>
      </c>
      <c r="O46" s="915"/>
      <c r="P46" s="588"/>
      <c r="Q46" s="909"/>
      <c r="R46" s="902"/>
      <c r="S46" s="582"/>
      <c r="T46" s="585"/>
      <c r="U46" s="586"/>
      <c r="V46" s="586"/>
      <c r="W46" s="2426"/>
      <c r="X46" s="2427"/>
      <c r="Y46" s="1679"/>
      <c r="Z46" s="1791"/>
      <c r="AE46" s="2461"/>
      <c r="AF46" s="68"/>
      <c r="AK46" s="2818" t="s">
        <v>11234</v>
      </c>
      <c r="AL46" s="2821">
        <f>AL47+AL48+AL49+AL50+AL51</f>
        <v>0</v>
      </c>
      <c r="AM46" s="2820">
        <f>AL46-AH30-AI30-AJ30</f>
        <v>0</v>
      </c>
    </row>
    <row r="47" spans="1:39" ht="15.5" x14ac:dyDescent="0.35">
      <c r="A47" s="605"/>
      <c r="B47" s="375">
        <v>10527</v>
      </c>
      <c r="C47" s="375"/>
      <c r="D47" s="377"/>
      <c r="E47" s="1583" t="s">
        <v>33</v>
      </c>
      <c r="F47" s="596">
        <v>4</v>
      </c>
      <c r="G47" s="596">
        <v>4</v>
      </c>
      <c r="H47" s="2268">
        <v>6</v>
      </c>
      <c r="I47" s="589"/>
      <c r="J47" s="589"/>
      <c r="K47" s="588"/>
      <c r="L47" s="588"/>
      <c r="M47" s="981"/>
      <c r="N47" s="589"/>
      <c r="O47" s="915"/>
      <c r="P47" s="588"/>
      <c r="Q47" s="909">
        <f>22.1-19.873</f>
        <v>2.2270000000000003</v>
      </c>
      <c r="R47" s="902"/>
      <c r="S47" s="582"/>
      <c r="T47" s="585"/>
      <c r="U47" s="586"/>
      <c r="V47" s="586"/>
      <c r="W47" s="2426"/>
      <c r="X47" s="2427"/>
      <c r="Y47" s="1679"/>
      <c r="Z47" s="1791"/>
      <c r="AE47" s="2461"/>
      <c r="AF47" s="68"/>
      <c r="AK47" s="2815" t="s">
        <v>11230</v>
      </c>
      <c r="AL47" s="2579">
        <f>SUMIFS(M30:M954,F30:F954,"6а",G30:G954,4)+SUMIFS(M30:M954,F30:F954,"6б",G30:G954,4)+SUMIFS(M30:M954,F30:F954,"б/к",G30:G954,4)</f>
        <v>0</v>
      </c>
      <c r="AM47" s="2817"/>
    </row>
    <row r="48" spans="1:39" ht="45.5" x14ac:dyDescent="0.35">
      <c r="A48" s="603">
        <v>11</v>
      </c>
      <c r="B48" s="1100">
        <v>10527</v>
      </c>
      <c r="C48" s="1100"/>
      <c r="D48" s="2465" t="s">
        <v>4598</v>
      </c>
      <c r="E48" s="371" t="s">
        <v>7649</v>
      </c>
      <c r="F48" s="596" t="s">
        <v>1490</v>
      </c>
      <c r="G48" s="596">
        <v>5</v>
      </c>
      <c r="H48" s="2268">
        <v>6</v>
      </c>
      <c r="I48" s="583">
        <f t="shared" ref="I48:I59" si="8">J48+K48+L48</f>
        <v>1</v>
      </c>
      <c r="J48" s="583">
        <f t="shared" ref="J48:J59" si="9">SUM(M48:R48)</f>
        <v>1</v>
      </c>
      <c r="K48" s="584"/>
      <c r="L48" s="584"/>
      <c r="M48" s="980"/>
      <c r="N48" s="583"/>
      <c r="O48" s="597"/>
      <c r="P48" s="584"/>
      <c r="Q48" s="908"/>
      <c r="R48" s="903">
        <v>1</v>
      </c>
      <c r="S48" s="586"/>
      <c r="T48" s="590"/>
      <c r="U48" s="586"/>
      <c r="V48" s="586"/>
      <c r="W48" s="2426">
        <v>1</v>
      </c>
      <c r="X48" s="2427">
        <v>12.5</v>
      </c>
      <c r="Y48" s="1679"/>
      <c r="Z48" s="1791"/>
      <c r="AB48" s="78">
        <v>1</v>
      </c>
      <c r="AC48" s="78" t="s">
        <v>2570</v>
      </c>
      <c r="AE48" s="2461"/>
      <c r="AF48" s="68"/>
      <c r="AI48" s="2475"/>
      <c r="AK48" s="2815" t="s">
        <v>11231</v>
      </c>
      <c r="AL48" s="2579">
        <f>SUMIFS(N30:N954,F30:F954,"6а",G30:G954,4)+SUMIFS(N30:N954,F30:F954,"6б",G30:G954,4)+SUMIFS(N30:N954,F30:F954,"б/к",G30:G954,4)</f>
        <v>0</v>
      </c>
      <c r="AM48" s="2817"/>
    </row>
    <row r="49" spans="1:39" ht="45.5" x14ac:dyDescent="0.35">
      <c r="A49" s="607">
        <v>12</v>
      </c>
      <c r="B49" s="1101">
        <v>10527</v>
      </c>
      <c r="C49" s="1101"/>
      <c r="D49" s="2465" t="s">
        <v>4599</v>
      </c>
      <c r="E49" s="371" t="s">
        <v>7650</v>
      </c>
      <c r="F49" s="596"/>
      <c r="G49" s="596"/>
      <c r="H49" s="2268" t="s">
        <v>191</v>
      </c>
      <c r="I49" s="583">
        <f t="shared" si="8"/>
        <v>5.63</v>
      </c>
      <c r="J49" s="583">
        <f t="shared" si="9"/>
        <v>5.63</v>
      </c>
      <c r="K49" s="584"/>
      <c r="L49" s="584"/>
      <c r="M49" s="980"/>
      <c r="N49" s="583">
        <f>SUM(N50:N53)</f>
        <v>1.4699999999999998</v>
      </c>
      <c r="O49" s="597"/>
      <c r="P49" s="584"/>
      <c r="Q49" s="908">
        <f>SUM(Q50:Q53)</f>
        <v>4.16</v>
      </c>
      <c r="R49" s="901"/>
      <c r="S49" s="582">
        <v>1</v>
      </c>
      <c r="T49" s="585">
        <v>21.399999618530273</v>
      </c>
      <c r="U49" s="586"/>
      <c r="V49" s="586"/>
      <c r="W49" s="2426">
        <v>7</v>
      </c>
      <c r="X49" s="2427">
        <v>80.3</v>
      </c>
      <c r="Y49" s="1679">
        <v>4</v>
      </c>
      <c r="Z49" s="1791">
        <v>40</v>
      </c>
      <c r="AB49" s="78">
        <v>1</v>
      </c>
      <c r="AE49" s="2461"/>
      <c r="AF49" s="68"/>
      <c r="AI49" s="2475"/>
      <c r="AK49" s="2815" t="s">
        <v>11232</v>
      </c>
      <c r="AL49" s="2579">
        <f>SUMIFS(O30:O954,F30:F954,"6а",G30:G954,4)+SUMIFS(O30:O954,F30:F954,"6б",G30:G954,4)+SUMIFS(O30:O954,F30:F954,"б/к",G30:G954,4)</f>
        <v>0</v>
      </c>
      <c r="AM49" s="2817"/>
    </row>
    <row r="50" spans="1:39" ht="15.5" x14ac:dyDescent="0.35">
      <c r="A50" s="607"/>
      <c r="B50" s="1101"/>
      <c r="C50" s="1101"/>
      <c r="D50" s="2465"/>
      <c r="E50" s="1583" t="s">
        <v>6826</v>
      </c>
      <c r="F50" s="596">
        <v>4</v>
      </c>
      <c r="G50" s="596">
        <v>5</v>
      </c>
      <c r="H50" s="2268">
        <v>6</v>
      </c>
      <c r="I50" s="594"/>
      <c r="J50" s="594"/>
      <c r="K50" s="595"/>
      <c r="L50" s="595"/>
      <c r="M50" s="982"/>
      <c r="N50" s="594"/>
      <c r="O50" s="917"/>
      <c r="P50" s="595"/>
      <c r="Q50" s="912">
        <v>0.41</v>
      </c>
      <c r="R50" s="901"/>
      <c r="S50" s="582"/>
      <c r="T50" s="585"/>
      <c r="U50" s="586"/>
      <c r="V50" s="586"/>
      <c r="W50" s="2426"/>
      <c r="X50" s="2427"/>
      <c r="Y50" s="1679"/>
      <c r="Z50" s="1791"/>
      <c r="AE50" s="2461"/>
      <c r="AF50" s="68"/>
      <c r="AI50" s="2475"/>
      <c r="AK50" s="2815" t="s">
        <v>11233</v>
      </c>
      <c r="AL50" s="2579">
        <f>SUMIFS(P30:P954,F30:F954,"6а",G30:G954,4)+SUMIFS(Q30:Q954,F30:F954,"6а",G30:G954,4)+SUMIFS(P30:P954,F30:F954,"6б",G30:G954,4)+SUMIFS(Q30:Q954,F30:F954,"6б",G30:G954,4)+SUMIFS(O30:O954,F30:F954,"б/к",G30:G954,4)+SUMIFS(P30:P954,F30:F954,"б/к",G30:G954,4)+SUMIFS(Q30:Q954,F30:F954,"б/к",G30:G954,4)</f>
        <v>0</v>
      </c>
      <c r="AM50" s="2817"/>
    </row>
    <row r="51" spans="1:39" ht="15.5" x14ac:dyDescent="0.35">
      <c r="A51" s="607"/>
      <c r="B51" s="1101"/>
      <c r="C51" s="1101"/>
      <c r="D51" s="2465"/>
      <c r="E51" s="610" t="s">
        <v>6827</v>
      </c>
      <c r="F51" s="596">
        <v>4</v>
      </c>
      <c r="G51" s="596">
        <v>5</v>
      </c>
      <c r="H51" s="2268">
        <v>6</v>
      </c>
      <c r="I51" s="594"/>
      <c r="J51" s="594"/>
      <c r="K51" s="595"/>
      <c r="L51" s="595"/>
      <c r="M51" s="982"/>
      <c r="N51" s="594">
        <f>0.49-0.41</f>
        <v>8.0000000000000016E-2</v>
      </c>
      <c r="O51" s="917"/>
      <c r="P51" s="595"/>
      <c r="Q51" s="912"/>
      <c r="R51" s="901"/>
      <c r="S51" s="582"/>
      <c r="T51" s="585"/>
      <c r="U51" s="586"/>
      <c r="V51" s="586"/>
      <c r="W51" s="2426"/>
      <c r="X51" s="2427"/>
      <c r="Y51" s="1679"/>
      <c r="Z51" s="1791"/>
      <c r="AE51" s="2461"/>
      <c r="AF51" s="68"/>
      <c r="AI51" s="2475"/>
      <c r="AK51" s="2815" t="s">
        <v>910</v>
      </c>
      <c r="AL51" s="2579">
        <f>SUMIFS(R30:R954,F30:F954,"6а",G30:G954,4)+SUMIFS(R30:R954,F30:F954,"6б",G30:G954,4)+SUMIFS(R30:R954,F30:F954,"б/к",G30:G954,4)</f>
        <v>0</v>
      </c>
      <c r="AM51" s="2817"/>
    </row>
    <row r="52" spans="1:39" ht="15.5" x14ac:dyDescent="0.35">
      <c r="A52" s="607"/>
      <c r="B52" s="1101"/>
      <c r="C52" s="1101"/>
      <c r="D52" s="2465"/>
      <c r="E52" s="1583" t="s">
        <v>6828</v>
      </c>
      <c r="F52" s="596">
        <v>4</v>
      </c>
      <c r="G52" s="596">
        <v>5</v>
      </c>
      <c r="H52" s="2268">
        <v>6</v>
      </c>
      <c r="I52" s="594"/>
      <c r="J52" s="594"/>
      <c r="K52" s="595"/>
      <c r="L52" s="595"/>
      <c r="M52" s="982"/>
      <c r="N52" s="594"/>
      <c r="O52" s="917"/>
      <c r="P52" s="595"/>
      <c r="Q52" s="912">
        <f>4.24-0.49</f>
        <v>3.75</v>
      </c>
      <c r="R52" s="901"/>
      <c r="S52" s="582"/>
      <c r="T52" s="585"/>
      <c r="U52" s="586"/>
      <c r="V52" s="586"/>
      <c r="W52" s="2426"/>
      <c r="X52" s="2427"/>
      <c r="Y52" s="1679"/>
      <c r="Z52" s="1791"/>
      <c r="AE52" s="2461"/>
      <c r="AF52" s="68"/>
      <c r="AI52" s="2475"/>
      <c r="AK52" s="2815"/>
      <c r="AL52" s="2579"/>
      <c r="AM52" s="2817"/>
    </row>
    <row r="53" spans="1:39" ht="15.5" x14ac:dyDescent="0.35">
      <c r="A53" s="607"/>
      <c r="B53" s="1101"/>
      <c r="C53" s="1101"/>
      <c r="D53" s="2465"/>
      <c r="E53" s="610" t="s">
        <v>6829</v>
      </c>
      <c r="F53" s="596">
        <v>4</v>
      </c>
      <c r="G53" s="596">
        <v>5</v>
      </c>
      <c r="H53" s="2268">
        <v>6</v>
      </c>
      <c r="I53" s="594"/>
      <c r="J53" s="594"/>
      <c r="K53" s="595"/>
      <c r="L53" s="595"/>
      <c r="M53" s="982"/>
      <c r="N53" s="594">
        <f>5.63-4.24</f>
        <v>1.3899999999999997</v>
      </c>
      <c r="O53" s="917"/>
      <c r="P53" s="595"/>
      <c r="Q53" s="912"/>
      <c r="R53" s="901"/>
      <c r="S53" s="582"/>
      <c r="T53" s="585"/>
      <c r="U53" s="586"/>
      <c r="V53" s="586"/>
      <c r="W53" s="2426"/>
      <c r="X53" s="2427"/>
      <c r="Y53" s="1679"/>
      <c r="Z53" s="1791"/>
      <c r="AE53" s="2461"/>
      <c r="AF53" s="68"/>
      <c r="AI53" s="2475"/>
      <c r="AK53" s="2818" t="s">
        <v>11236</v>
      </c>
      <c r="AL53" s="2821">
        <f>AL55+AL61+AL67</f>
        <v>334.70299999999997</v>
      </c>
      <c r="AM53" s="2820">
        <f>AL53-J20</f>
        <v>0</v>
      </c>
    </row>
    <row r="54" spans="1:39" ht="60.5" x14ac:dyDescent="0.35">
      <c r="A54" s="603">
        <v>13</v>
      </c>
      <c r="B54" s="1100">
        <v>10527</v>
      </c>
      <c r="C54" s="1100"/>
      <c r="D54" s="2465" t="s">
        <v>4600</v>
      </c>
      <c r="E54" s="371" t="s">
        <v>7651</v>
      </c>
      <c r="F54" s="591">
        <v>5</v>
      </c>
      <c r="G54" s="591">
        <v>5</v>
      </c>
      <c r="H54" s="2268">
        <v>6</v>
      </c>
      <c r="I54" s="583">
        <f t="shared" si="8"/>
        <v>2.202</v>
      </c>
      <c r="J54" s="583">
        <f t="shared" si="9"/>
        <v>2.202</v>
      </c>
      <c r="K54" s="584"/>
      <c r="L54" s="584"/>
      <c r="M54" s="980"/>
      <c r="N54" s="584">
        <v>2.202</v>
      </c>
      <c r="O54" s="597"/>
      <c r="P54" s="584"/>
      <c r="Q54" s="908"/>
      <c r="R54" s="901"/>
      <c r="S54" s="586"/>
      <c r="T54" s="590"/>
      <c r="U54" s="586"/>
      <c r="V54" s="586"/>
      <c r="W54" s="1679">
        <v>5</v>
      </c>
      <c r="X54" s="1678">
        <v>50</v>
      </c>
      <c r="Y54" s="1679"/>
      <c r="Z54" s="1791"/>
      <c r="AB54" s="78">
        <v>1</v>
      </c>
      <c r="AE54" s="2461"/>
      <c r="AF54" s="68"/>
      <c r="AI54" s="2475"/>
      <c r="AK54" s="2815" t="s">
        <v>11229</v>
      </c>
      <c r="AL54" s="2579"/>
      <c r="AM54" s="2817"/>
    </row>
    <row r="55" spans="1:39" ht="45.5" x14ac:dyDescent="0.35">
      <c r="A55" s="607">
        <v>14</v>
      </c>
      <c r="B55" s="1100">
        <v>10527</v>
      </c>
      <c r="C55" s="1100"/>
      <c r="D55" s="2465" t="s">
        <v>4601</v>
      </c>
      <c r="E55" s="371" t="s">
        <v>9786</v>
      </c>
      <c r="F55" s="591">
        <v>5</v>
      </c>
      <c r="G55" s="591">
        <v>5</v>
      </c>
      <c r="H55" s="2268">
        <v>6</v>
      </c>
      <c r="I55" s="583">
        <f t="shared" si="8"/>
        <v>1.3</v>
      </c>
      <c r="J55" s="583">
        <f t="shared" si="9"/>
        <v>1.3</v>
      </c>
      <c r="K55" s="584"/>
      <c r="L55" s="584"/>
      <c r="M55" s="980"/>
      <c r="N55" s="584"/>
      <c r="O55" s="597"/>
      <c r="P55" s="584"/>
      <c r="Q55" s="908">
        <v>1.3</v>
      </c>
      <c r="R55" s="901"/>
      <c r="S55" s="586"/>
      <c r="T55" s="590"/>
      <c r="U55" s="586"/>
      <c r="V55" s="586"/>
      <c r="W55" s="1679">
        <v>4</v>
      </c>
      <c r="X55" s="1678">
        <v>47.5</v>
      </c>
      <c r="Y55" s="1679">
        <v>1</v>
      </c>
      <c r="Z55" s="1791">
        <v>7.5</v>
      </c>
      <c r="AB55" s="78">
        <v>1</v>
      </c>
      <c r="AE55" s="2461"/>
      <c r="AF55" s="68"/>
      <c r="AI55" s="2475"/>
      <c r="AK55" s="2818" t="s">
        <v>7184</v>
      </c>
      <c r="AL55" s="2821">
        <f>AL56+AL57+AL58+AL59+AL60</f>
        <v>63.057999999999993</v>
      </c>
      <c r="AM55" s="2820">
        <f>AL55-AF31</f>
        <v>0</v>
      </c>
    </row>
    <row r="56" spans="1:39" ht="75.5" x14ac:dyDescent="0.35">
      <c r="A56" s="603">
        <v>15</v>
      </c>
      <c r="B56" s="693">
        <v>10527</v>
      </c>
      <c r="C56" s="693"/>
      <c r="D56" s="2465" t="s">
        <v>4602</v>
      </c>
      <c r="E56" s="372" t="s">
        <v>9787</v>
      </c>
      <c r="F56" s="93" t="s">
        <v>664</v>
      </c>
      <c r="G56" s="93">
        <v>5</v>
      </c>
      <c r="H56" s="2268">
        <v>6</v>
      </c>
      <c r="I56" s="2202">
        <f t="shared" si="8"/>
        <v>0.4</v>
      </c>
      <c r="J56" s="2202">
        <f t="shared" si="9"/>
        <v>0.4</v>
      </c>
      <c r="K56" s="577"/>
      <c r="L56" s="577"/>
      <c r="M56" s="577"/>
      <c r="N56" s="577"/>
      <c r="O56" s="577"/>
      <c r="P56" s="577"/>
      <c r="Q56" s="577"/>
      <c r="R56" s="2207">
        <v>0.4</v>
      </c>
      <c r="S56" s="46"/>
      <c r="T56" s="46"/>
      <c r="U56" s="46"/>
      <c r="V56" s="46"/>
      <c r="W56" s="67"/>
      <c r="X56" s="46"/>
      <c r="Y56" s="46"/>
      <c r="Z56" s="47"/>
      <c r="AB56" s="78">
        <v>1</v>
      </c>
      <c r="AE56" s="2461"/>
      <c r="AF56" s="68"/>
      <c r="AI56" s="2475"/>
      <c r="AK56" s="2815" t="s">
        <v>11230</v>
      </c>
      <c r="AL56" s="2579">
        <f>SUMIFS(M30:M954,F30:F954,4,G30:G954,5)</f>
        <v>1.323</v>
      </c>
      <c r="AM56" s="2817"/>
    </row>
    <row r="57" spans="1:39" ht="45.5" x14ac:dyDescent="0.35">
      <c r="A57" s="607">
        <v>16</v>
      </c>
      <c r="B57" s="1099">
        <v>10527</v>
      </c>
      <c r="C57" s="1099" t="s">
        <v>1656</v>
      </c>
      <c r="D57" s="2465" t="s">
        <v>4603</v>
      </c>
      <c r="E57" s="371" t="s">
        <v>8388</v>
      </c>
      <c r="F57" s="596" t="s">
        <v>664</v>
      </c>
      <c r="G57" s="596">
        <v>5</v>
      </c>
      <c r="H57" s="2268">
        <v>6</v>
      </c>
      <c r="I57" s="583">
        <f t="shared" si="8"/>
        <v>1.6</v>
      </c>
      <c r="J57" s="583">
        <f t="shared" si="9"/>
        <v>1.6</v>
      </c>
      <c r="K57" s="598"/>
      <c r="L57" s="598"/>
      <c r="M57" s="2204"/>
      <c r="N57" s="2203"/>
      <c r="O57" s="2205"/>
      <c r="P57" s="2203"/>
      <c r="Q57" s="2206"/>
      <c r="R57" s="2207">
        <v>1.6</v>
      </c>
      <c r="S57" s="600"/>
      <c r="T57" s="600"/>
      <c r="U57" s="600"/>
      <c r="V57" s="600"/>
      <c r="W57" s="1676">
        <v>1</v>
      </c>
      <c r="X57" s="1789">
        <v>10</v>
      </c>
      <c r="Y57" s="1676"/>
      <c r="Z57" s="1790"/>
      <c r="AB57" s="78">
        <v>1</v>
      </c>
      <c r="AE57" s="2461"/>
      <c r="AF57" s="68"/>
      <c r="AI57" s="2475"/>
      <c r="AK57" s="2815" t="s">
        <v>11231</v>
      </c>
      <c r="AL57" s="2579">
        <f>SUMIFS(N30:N954,F30:F954,4,G30:G954,5)</f>
        <v>35.053999999999995</v>
      </c>
      <c r="AM57" s="2817"/>
    </row>
    <row r="58" spans="1:39" ht="60.5" x14ac:dyDescent="0.35">
      <c r="A58" s="603">
        <v>17</v>
      </c>
      <c r="B58" s="1099">
        <v>10527</v>
      </c>
      <c r="C58" s="358" t="s">
        <v>1656</v>
      </c>
      <c r="D58" s="2465" t="s">
        <v>4605</v>
      </c>
      <c r="E58" s="372" t="s">
        <v>8389</v>
      </c>
      <c r="F58" s="596" t="s">
        <v>664</v>
      </c>
      <c r="G58" s="596">
        <v>5</v>
      </c>
      <c r="H58" s="2268">
        <v>6</v>
      </c>
      <c r="I58" s="297">
        <f>J58+K58+L58</f>
        <v>0.14499999999999999</v>
      </c>
      <c r="J58" s="297">
        <f>SUM(M58:R58)</f>
        <v>0.14499999999999999</v>
      </c>
      <c r="K58" s="598"/>
      <c r="L58" s="598"/>
      <c r="M58" s="983"/>
      <c r="N58" s="580"/>
      <c r="O58" s="918"/>
      <c r="P58" s="580"/>
      <c r="Q58" s="913"/>
      <c r="R58" s="906">
        <v>0.14499999999999999</v>
      </c>
      <c r="S58" s="600"/>
      <c r="T58" s="600"/>
      <c r="U58" s="600"/>
      <c r="V58" s="600"/>
      <c r="W58" s="1676"/>
      <c r="X58" s="1789"/>
      <c r="Y58" s="1676"/>
      <c r="Z58" s="1790"/>
      <c r="AB58" s="78">
        <v>1</v>
      </c>
      <c r="AE58" s="2461"/>
      <c r="AF58" s="68"/>
      <c r="AI58" s="2475"/>
      <c r="AK58" s="2815" t="s">
        <v>11232</v>
      </c>
      <c r="AL58" s="2579">
        <f>SUMIFS(O30:O954,F30:F954,4,G30:G954,5)</f>
        <v>1.2169999999999999</v>
      </c>
      <c r="AM58" s="2817"/>
    </row>
    <row r="59" spans="1:39" ht="15.5" x14ac:dyDescent="0.35">
      <c r="A59" s="607">
        <v>18</v>
      </c>
      <c r="B59" s="375">
        <v>10528</v>
      </c>
      <c r="C59" s="375"/>
      <c r="D59" s="375" t="s">
        <v>2679</v>
      </c>
      <c r="E59" s="371" t="s">
        <v>34</v>
      </c>
      <c r="F59" s="596">
        <v>4</v>
      </c>
      <c r="G59" s="596">
        <v>4</v>
      </c>
      <c r="H59" s="2268">
        <v>6</v>
      </c>
      <c r="I59" s="583">
        <f t="shared" si="8"/>
        <v>12.83</v>
      </c>
      <c r="J59" s="583">
        <f t="shared" si="9"/>
        <v>12.83</v>
      </c>
      <c r="K59" s="584"/>
      <c r="L59" s="584"/>
      <c r="M59" s="980"/>
      <c r="N59" s="583">
        <v>12.83</v>
      </c>
      <c r="O59" s="597"/>
      <c r="P59" s="584"/>
      <c r="Q59" s="910"/>
      <c r="R59" s="901"/>
      <c r="S59" s="586"/>
      <c r="T59" s="590"/>
      <c r="U59" s="586"/>
      <c r="V59" s="586"/>
      <c r="W59" s="2426">
        <v>23</v>
      </c>
      <c r="X59" s="2427">
        <v>289.64</v>
      </c>
      <c r="Y59" s="1679">
        <v>11</v>
      </c>
      <c r="Z59" s="1791">
        <v>115</v>
      </c>
      <c r="AB59" s="78">
        <v>1</v>
      </c>
      <c r="AE59" s="2461"/>
      <c r="AF59" s="68"/>
      <c r="AI59" s="2475"/>
      <c r="AK59" s="2815" t="s">
        <v>11233</v>
      </c>
      <c r="AL59" s="2579">
        <f>SUMIFS(P30:P954,F30:F954,4,G30:G954,5)+SUMIFS(Q30:Q954,F30:F954,4,G30:G954,5)</f>
        <v>25.463999999999999</v>
      </c>
      <c r="AM59" s="2817"/>
    </row>
    <row r="60" spans="1:39" ht="30.5" x14ac:dyDescent="0.35">
      <c r="A60" s="603">
        <v>19</v>
      </c>
      <c r="B60" s="1100">
        <v>10528</v>
      </c>
      <c r="C60" s="1100"/>
      <c r="D60" s="2465" t="s">
        <v>4606</v>
      </c>
      <c r="E60" s="371" t="s">
        <v>7652</v>
      </c>
      <c r="F60" s="596">
        <v>5</v>
      </c>
      <c r="G60" s="596">
        <v>5</v>
      </c>
      <c r="H60" s="2268">
        <v>6</v>
      </c>
      <c r="I60" s="583">
        <f>J60+K60+L60</f>
        <v>1</v>
      </c>
      <c r="J60" s="583">
        <f>SUM(M60:R60)</f>
        <v>1</v>
      </c>
      <c r="K60" s="584"/>
      <c r="L60" s="584"/>
      <c r="M60" s="980"/>
      <c r="N60" s="584"/>
      <c r="O60" s="597"/>
      <c r="P60" s="584"/>
      <c r="Q60" s="908">
        <v>1</v>
      </c>
      <c r="R60" s="903"/>
      <c r="S60" s="586"/>
      <c r="T60" s="590"/>
      <c r="U60" s="586"/>
      <c r="V60" s="586"/>
      <c r="W60" s="2426">
        <v>1</v>
      </c>
      <c r="X60" s="2427">
        <v>10</v>
      </c>
      <c r="Y60" s="1679"/>
      <c r="Z60" s="1791"/>
      <c r="AB60" s="78">
        <v>1</v>
      </c>
      <c r="AE60" s="2461"/>
      <c r="AF60" s="68"/>
      <c r="AI60" s="2475"/>
      <c r="AK60" s="2815" t="s">
        <v>910</v>
      </c>
      <c r="AL60" s="2579">
        <f>SUMIFS(R30:R954,F30:F954,4,G30:G954,5)</f>
        <v>0</v>
      </c>
      <c r="AM60" s="2817"/>
    </row>
    <row r="61" spans="1:39" ht="45.5" x14ac:dyDescent="0.35">
      <c r="A61" s="607">
        <v>20</v>
      </c>
      <c r="B61" s="693">
        <v>10528</v>
      </c>
      <c r="C61" s="693"/>
      <c r="D61" s="2465" t="s">
        <v>4607</v>
      </c>
      <c r="E61" s="372" t="s">
        <v>9788</v>
      </c>
      <c r="F61" s="92" t="s">
        <v>664</v>
      </c>
      <c r="G61" s="92">
        <v>5</v>
      </c>
      <c r="H61" s="2268">
        <v>6</v>
      </c>
      <c r="I61" s="702">
        <f>J61+K61+L61</f>
        <v>1.2</v>
      </c>
      <c r="J61" s="702">
        <f>SUM(M61:R61)</f>
        <v>1.2</v>
      </c>
      <c r="K61" s="622"/>
      <c r="L61" s="622"/>
      <c r="M61" s="622"/>
      <c r="N61" s="622"/>
      <c r="O61" s="622"/>
      <c r="P61" s="622"/>
      <c r="Q61" s="622"/>
      <c r="R61" s="906">
        <v>1.2</v>
      </c>
      <c r="S61" s="46"/>
      <c r="T61" s="46"/>
      <c r="U61" s="46"/>
      <c r="V61" s="46"/>
      <c r="W61" s="67"/>
      <c r="X61" s="46"/>
      <c r="Y61" s="46"/>
      <c r="Z61" s="47"/>
      <c r="AB61" s="78">
        <v>1</v>
      </c>
      <c r="AE61" s="2461"/>
      <c r="AF61" s="68"/>
      <c r="AI61" s="2475"/>
      <c r="AK61" s="2818" t="s">
        <v>7185</v>
      </c>
      <c r="AL61" s="2821">
        <f>AL62+AL63+AL64+AL65+AL66</f>
        <v>135.72300000000001</v>
      </c>
      <c r="AM61" s="2820">
        <f>AL61-AG31</f>
        <v>0</v>
      </c>
    </row>
    <row r="62" spans="1:39" ht="30.5" x14ac:dyDescent="0.35">
      <c r="A62" s="603">
        <v>21</v>
      </c>
      <c r="B62" s="1101">
        <v>10528</v>
      </c>
      <c r="C62" s="1099" t="s">
        <v>1656</v>
      </c>
      <c r="D62" s="2465" t="s">
        <v>4608</v>
      </c>
      <c r="E62" s="371" t="s">
        <v>8390</v>
      </c>
      <c r="F62" s="596" t="s">
        <v>1490</v>
      </c>
      <c r="G62" s="596">
        <v>5</v>
      </c>
      <c r="H62" s="2268">
        <v>6</v>
      </c>
      <c r="I62" s="583">
        <f>J62+K62+L62</f>
        <v>0.7</v>
      </c>
      <c r="J62" s="583">
        <f>SUM(M62:R62)</f>
        <v>0.7</v>
      </c>
      <c r="K62" s="584"/>
      <c r="L62" s="584"/>
      <c r="M62" s="983"/>
      <c r="N62" s="580"/>
      <c r="O62" s="918"/>
      <c r="P62" s="580"/>
      <c r="Q62" s="913"/>
      <c r="R62" s="906">
        <v>0.7</v>
      </c>
      <c r="S62" s="586"/>
      <c r="T62" s="590"/>
      <c r="U62" s="586"/>
      <c r="V62" s="586"/>
      <c r="W62" s="1679">
        <v>1</v>
      </c>
      <c r="X62" s="1678">
        <v>7.5</v>
      </c>
      <c r="Y62" s="1679"/>
      <c r="Z62" s="1791"/>
      <c r="AB62" s="78">
        <v>1</v>
      </c>
      <c r="AC62" s="78" t="s">
        <v>2570</v>
      </c>
      <c r="AE62" s="2461"/>
      <c r="AF62" s="68"/>
      <c r="AI62" s="2475"/>
      <c r="AK62" s="2815" t="s">
        <v>11230</v>
      </c>
      <c r="AL62" s="2579">
        <f>SUMIFS(M30:M954,F30:F954,5,G30:G954,5)</f>
        <v>0</v>
      </c>
      <c r="AM62" s="2817"/>
    </row>
    <row r="63" spans="1:39" ht="30.5" x14ac:dyDescent="0.35">
      <c r="A63" s="607">
        <v>22</v>
      </c>
      <c r="B63" s="375">
        <v>10529</v>
      </c>
      <c r="C63" s="375"/>
      <c r="D63" s="375" t="s">
        <v>3205</v>
      </c>
      <c r="E63" s="371" t="s">
        <v>587</v>
      </c>
      <c r="F63" s="596"/>
      <c r="G63" s="596"/>
      <c r="H63" s="2268" t="s">
        <v>191</v>
      </c>
      <c r="I63" s="583">
        <f>J63+K63+L63</f>
        <v>22.038000000000004</v>
      </c>
      <c r="J63" s="583">
        <f>SUM(M63:R63)</f>
        <v>20.703000000000003</v>
      </c>
      <c r="K63" s="583">
        <f>SUM(K64:K69)</f>
        <v>1.335</v>
      </c>
      <c r="L63" s="584"/>
      <c r="M63" s="980"/>
      <c r="N63" s="583">
        <f>SUM(N64:N70)</f>
        <v>8.3639999999999972</v>
      </c>
      <c r="O63" s="597"/>
      <c r="P63" s="584"/>
      <c r="Q63" s="910">
        <f>SUM(Q64:Q70)</f>
        <v>12.339000000000004</v>
      </c>
      <c r="R63" s="903"/>
      <c r="S63" s="582">
        <v>1</v>
      </c>
      <c r="T63" s="585">
        <v>9</v>
      </c>
      <c r="U63" s="586"/>
      <c r="V63" s="586"/>
      <c r="W63" s="2426">
        <v>33</v>
      </c>
      <c r="X63" s="2427">
        <v>418.5</v>
      </c>
      <c r="Y63" s="1679">
        <v>7</v>
      </c>
      <c r="Z63" s="1791">
        <v>80</v>
      </c>
      <c r="AB63" s="78">
        <v>1</v>
      </c>
      <c r="AE63" s="2461"/>
      <c r="AF63" s="68"/>
      <c r="AI63" s="2475"/>
      <c r="AK63" s="2815" t="s">
        <v>11231</v>
      </c>
      <c r="AL63" s="2579">
        <f>SUMIFS(N30:N954,F30:F954,5,G30:G954,5)</f>
        <v>30.008999999999993</v>
      </c>
      <c r="AM63" s="2817"/>
    </row>
    <row r="64" spans="1:39" ht="46.5" x14ac:dyDescent="0.35">
      <c r="A64" s="604"/>
      <c r="B64" s="375">
        <v>10529</v>
      </c>
      <c r="C64" s="375"/>
      <c r="D64" s="376"/>
      <c r="E64" s="610" t="s">
        <v>9979</v>
      </c>
      <c r="F64" s="596">
        <v>4</v>
      </c>
      <c r="G64" s="596">
        <v>4</v>
      </c>
      <c r="H64" s="2419" t="s">
        <v>191</v>
      </c>
      <c r="I64" s="588"/>
      <c r="J64" s="589"/>
      <c r="K64" s="589">
        <v>1.335</v>
      </c>
      <c r="L64" s="588"/>
      <c r="M64" s="981"/>
      <c r="N64" s="589"/>
      <c r="O64" s="915"/>
      <c r="P64" s="588"/>
      <c r="Q64" s="909"/>
      <c r="R64" s="902"/>
      <c r="S64" s="586"/>
      <c r="T64" s="590"/>
      <c r="U64" s="586"/>
      <c r="V64" s="586"/>
      <c r="W64" s="1679"/>
      <c r="X64" s="1678"/>
      <c r="Y64" s="1679"/>
      <c r="Z64" s="1791"/>
      <c r="AE64" s="2461"/>
      <c r="AF64" s="68"/>
      <c r="AK64" s="2815" t="s">
        <v>11232</v>
      </c>
      <c r="AL64" s="2579">
        <f>SUMIFS(O30:O954,F30:F954,5,G30:G954,5)</f>
        <v>3.4000000000000004</v>
      </c>
      <c r="AM64" s="2817"/>
    </row>
    <row r="65" spans="1:39" ht="46.5" x14ac:dyDescent="0.35">
      <c r="A65" s="604"/>
      <c r="B65" s="375">
        <v>10529</v>
      </c>
      <c r="C65" s="375"/>
      <c r="D65" s="376"/>
      <c r="E65" s="610" t="s">
        <v>9980</v>
      </c>
      <c r="F65" s="591"/>
      <c r="G65" s="591" t="s">
        <v>191</v>
      </c>
      <c r="H65" s="2419" t="s">
        <v>191</v>
      </c>
      <c r="I65" s="588"/>
      <c r="J65" s="589"/>
      <c r="K65" s="589"/>
      <c r="L65" s="588"/>
      <c r="M65" s="981"/>
      <c r="N65" s="589"/>
      <c r="O65" s="915"/>
      <c r="P65" s="588"/>
      <c r="Q65" s="909"/>
      <c r="R65" s="902"/>
      <c r="S65" s="586"/>
      <c r="T65" s="590"/>
      <c r="U65" s="586"/>
      <c r="V65" s="586"/>
      <c r="W65" s="1679"/>
      <c r="X65" s="1678"/>
      <c r="Y65" s="1679"/>
      <c r="Z65" s="1791"/>
      <c r="AE65" s="2461"/>
      <c r="AF65" s="68"/>
      <c r="AK65" s="2815" t="s">
        <v>11233</v>
      </c>
      <c r="AL65" s="2579">
        <f>SUMIFS(P30:P954,F30:F954,5,G30:G954,5)+SUMIFS(Q30:Q954,F30:F954,5,G30:G954,5)</f>
        <v>68.515000000000001</v>
      </c>
      <c r="AM65" s="2817"/>
    </row>
    <row r="66" spans="1:39" ht="15.5" x14ac:dyDescent="0.35">
      <c r="A66" s="604"/>
      <c r="B66" s="375">
        <v>10529</v>
      </c>
      <c r="C66" s="375"/>
      <c r="D66" s="376"/>
      <c r="E66" s="610" t="s">
        <v>588</v>
      </c>
      <c r="F66" s="596">
        <v>4</v>
      </c>
      <c r="G66" s="596">
        <v>4</v>
      </c>
      <c r="H66" s="2268">
        <v>6</v>
      </c>
      <c r="I66" s="588"/>
      <c r="J66" s="589"/>
      <c r="K66" s="589"/>
      <c r="L66" s="588"/>
      <c r="M66" s="981"/>
      <c r="N66" s="589">
        <f>9.434-1.335</f>
        <v>8.0990000000000002</v>
      </c>
      <c r="O66" s="915"/>
      <c r="P66" s="588"/>
      <c r="Q66" s="909"/>
      <c r="R66" s="902"/>
      <c r="S66" s="586"/>
      <c r="T66" s="590"/>
      <c r="U66" s="586"/>
      <c r="V66" s="586"/>
      <c r="W66" s="1679"/>
      <c r="X66" s="1678"/>
      <c r="Y66" s="1679"/>
      <c r="Z66" s="1791"/>
      <c r="AE66" s="2461"/>
      <c r="AF66" s="68"/>
      <c r="AK66" s="2815" t="s">
        <v>910</v>
      </c>
      <c r="AL66" s="2579">
        <f>SUMIFS(R30:R954,F30:F954,5,G30:G954,5)</f>
        <v>33.799000000000007</v>
      </c>
      <c r="AM66" s="2817"/>
    </row>
    <row r="67" spans="1:39" ht="15.5" x14ac:dyDescent="0.35">
      <c r="A67" s="604"/>
      <c r="B67" s="375">
        <v>10529</v>
      </c>
      <c r="C67" s="375"/>
      <c r="D67" s="376"/>
      <c r="E67" s="1583" t="s">
        <v>589</v>
      </c>
      <c r="F67" s="596">
        <v>4</v>
      </c>
      <c r="G67" s="596">
        <v>4</v>
      </c>
      <c r="H67" s="2268">
        <v>6</v>
      </c>
      <c r="I67" s="588"/>
      <c r="J67" s="589"/>
      <c r="K67" s="589"/>
      <c r="L67" s="588"/>
      <c r="M67" s="981"/>
      <c r="N67" s="589"/>
      <c r="O67" s="915"/>
      <c r="P67" s="588"/>
      <c r="Q67" s="909">
        <f>21.117-9.434</f>
        <v>11.683000000000002</v>
      </c>
      <c r="R67" s="902"/>
      <c r="S67" s="586"/>
      <c r="T67" s="590"/>
      <c r="U67" s="586"/>
      <c r="V67" s="586"/>
      <c r="W67" s="1679"/>
      <c r="X67" s="1678"/>
      <c r="Y67" s="1679"/>
      <c r="Z67" s="1791"/>
      <c r="AE67" s="2461"/>
      <c r="AF67" s="68"/>
      <c r="AK67" s="2818" t="s">
        <v>11234</v>
      </c>
      <c r="AL67" s="2821">
        <f>AL68+AL69+AL70+AL71+AL72</f>
        <v>135.922</v>
      </c>
      <c r="AM67" s="2820">
        <f>AL67-AH31-AI31-AJ31</f>
        <v>0</v>
      </c>
    </row>
    <row r="68" spans="1:39" ht="15.5" x14ac:dyDescent="0.35">
      <c r="A68" s="604"/>
      <c r="B68" s="375">
        <v>10529</v>
      </c>
      <c r="C68" s="375"/>
      <c r="D68" s="376"/>
      <c r="E68" s="1584" t="s">
        <v>590</v>
      </c>
      <c r="F68" s="596">
        <v>4</v>
      </c>
      <c r="G68" s="596">
        <v>4</v>
      </c>
      <c r="H68" s="2268">
        <v>6</v>
      </c>
      <c r="I68" s="588"/>
      <c r="J68" s="589"/>
      <c r="K68" s="589"/>
      <c r="L68" s="588"/>
      <c r="M68" s="981"/>
      <c r="N68" s="589">
        <f>21.351-21.117</f>
        <v>0.23399999999999821</v>
      </c>
      <c r="O68" s="915"/>
      <c r="P68" s="588"/>
      <c r="Q68" s="909"/>
      <c r="R68" s="902"/>
      <c r="S68" s="586"/>
      <c r="T68" s="590"/>
      <c r="U68" s="586"/>
      <c r="V68" s="586"/>
      <c r="W68" s="1679"/>
      <c r="X68" s="1678"/>
      <c r="Y68" s="1679"/>
      <c r="Z68" s="1791"/>
      <c r="AE68" s="2461"/>
      <c r="AF68" s="68"/>
      <c r="AK68" s="2815" t="s">
        <v>11230</v>
      </c>
      <c r="AL68" s="2579">
        <f>SUMIFS(M30:M954,F30:F954,"6а",G30:G954,5)+SUMIFS(M30:M954,F30:F954,"6б",G30:G954,5)+SUMIFS(M30:M954,F30:F954,"б/к",G30:G954,5)</f>
        <v>0</v>
      </c>
      <c r="AM68" s="2817"/>
    </row>
    <row r="69" spans="1:39" ht="15.5" x14ac:dyDescent="0.35">
      <c r="A69" s="606"/>
      <c r="B69" s="375">
        <v>10529</v>
      </c>
      <c r="C69" s="375"/>
      <c r="D69" s="378"/>
      <c r="E69" s="1583" t="s">
        <v>2805</v>
      </c>
      <c r="F69" s="596">
        <v>4</v>
      </c>
      <c r="G69" s="596">
        <v>4</v>
      </c>
      <c r="H69" s="2268">
        <v>6</v>
      </c>
      <c r="I69" s="592"/>
      <c r="J69" s="593"/>
      <c r="K69" s="593"/>
      <c r="L69" s="592"/>
      <c r="M69" s="981"/>
      <c r="N69" s="593"/>
      <c r="O69" s="915"/>
      <c r="P69" s="592"/>
      <c r="Q69" s="909">
        <f>22.007-21.351</f>
        <v>0.65600000000000236</v>
      </c>
      <c r="R69" s="902"/>
      <c r="S69" s="1677"/>
      <c r="T69" s="1678"/>
      <c r="U69" s="1677"/>
      <c r="V69" s="1677"/>
      <c r="W69" s="1679"/>
      <c r="X69" s="1678"/>
      <c r="Y69" s="1679"/>
      <c r="Z69" s="1791"/>
      <c r="AE69" s="2461"/>
      <c r="AF69" s="68"/>
      <c r="AK69" s="2815" t="s">
        <v>11231</v>
      </c>
      <c r="AL69" s="2579">
        <f>SUMIFS(N30:N954,F30:F954,"6а",G30:G954,5)+SUMIFS(N30:N954,F30:F954,"6б",G30:G954,5)+SUMIFS(N30:N954,F30:F954,"б/к",G30:G954,5)</f>
        <v>1.4329999999999994</v>
      </c>
      <c r="AM69" s="2817"/>
    </row>
    <row r="70" spans="1:39" ht="15.5" x14ac:dyDescent="0.35">
      <c r="A70" s="606"/>
      <c r="B70" s="375"/>
      <c r="C70" s="375"/>
      <c r="D70" s="378"/>
      <c r="E70" s="1584" t="s">
        <v>2804</v>
      </c>
      <c r="F70" s="596">
        <v>4</v>
      </c>
      <c r="G70" s="596">
        <v>4</v>
      </c>
      <c r="H70" s="2268">
        <v>6</v>
      </c>
      <c r="I70" s="592"/>
      <c r="J70" s="593"/>
      <c r="K70" s="593"/>
      <c r="L70" s="592"/>
      <c r="M70" s="981"/>
      <c r="N70" s="593">
        <f>22.038-22.007</f>
        <v>3.0999999999998806E-2</v>
      </c>
      <c r="O70" s="915"/>
      <c r="P70" s="592"/>
      <c r="Q70" s="909"/>
      <c r="R70" s="902"/>
      <c r="S70" s="1677"/>
      <c r="T70" s="1678"/>
      <c r="U70" s="1677"/>
      <c r="V70" s="1677"/>
      <c r="W70" s="1679"/>
      <c r="X70" s="1678"/>
      <c r="Y70" s="1679"/>
      <c r="Z70" s="1791"/>
      <c r="AE70" s="2461"/>
      <c r="AF70" s="68"/>
      <c r="AK70" s="2815" t="s">
        <v>11232</v>
      </c>
      <c r="AL70" s="2579">
        <f>SUMIFS(O30:O954,F30:F954,"6а",G30:G954,5)+SUMIFS(O30:O954,F30:F954,"6б",G30:G954,5)+SUMIFS(O30:O954,F30:F954,"б/к",G30:G954,5)</f>
        <v>2.5</v>
      </c>
      <c r="AM70" s="2817"/>
    </row>
    <row r="71" spans="1:39" ht="45.5" x14ac:dyDescent="0.35">
      <c r="A71" s="607">
        <v>23</v>
      </c>
      <c r="B71" s="1101">
        <v>10529</v>
      </c>
      <c r="C71" s="1101"/>
      <c r="D71" s="2465" t="s">
        <v>4609</v>
      </c>
      <c r="E71" s="371" t="s">
        <v>7653</v>
      </c>
      <c r="F71" s="596"/>
      <c r="G71" s="596"/>
      <c r="H71" s="2268" t="s">
        <v>191</v>
      </c>
      <c r="I71" s="583">
        <f>J71+K71+L71</f>
        <v>1.2</v>
      </c>
      <c r="J71" s="583">
        <f>SUM(M71:R71)</f>
        <v>1.2</v>
      </c>
      <c r="K71" s="584"/>
      <c r="L71" s="584"/>
      <c r="M71" s="980"/>
      <c r="N71" s="583">
        <f>SUM(N72:N73)</f>
        <v>5.6000000000000001E-2</v>
      </c>
      <c r="O71" s="597"/>
      <c r="P71" s="584"/>
      <c r="Q71" s="908">
        <f>SUM(Q72:Q73)</f>
        <v>1.1439999999999999</v>
      </c>
      <c r="R71" s="901"/>
      <c r="S71" s="586"/>
      <c r="T71" s="590"/>
      <c r="U71" s="586"/>
      <c r="V71" s="586"/>
      <c r="W71" s="1679">
        <v>7</v>
      </c>
      <c r="X71" s="1678">
        <v>70</v>
      </c>
      <c r="Y71" s="1679">
        <v>4</v>
      </c>
      <c r="Z71" s="1791">
        <v>40</v>
      </c>
      <c r="AB71" s="78">
        <v>1</v>
      </c>
      <c r="AE71" s="2461"/>
      <c r="AF71" s="68"/>
      <c r="AI71" s="2475"/>
      <c r="AK71" s="2815" t="s">
        <v>11233</v>
      </c>
      <c r="AL71" s="2579">
        <f>SUMIFS(P30:P954,F30:F954,"6а",G30:G954,5)+SUMIFS(Q30:Q954,F30:F954,"6а",G30:G954,5)+SUMIFS(P30:P954,F30:F954,"6б",G30:G954,5)+SUMIFS(Q30:Q954,F30:F954,"6б",G30:G954,5)+SUMIFS(P30:P954,F30:F954,"б/к",G30:G954,5)+SUMIFS(Q30:Q954,F30:F954,"б/к",G30:G954,5)</f>
        <v>7.9830000000000005</v>
      </c>
      <c r="AM71" s="2817"/>
    </row>
    <row r="72" spans="1:39" ht="15.5" x14ac:dyDescent="0.35">
      <c r="A72" s="607"/>
      <c r="B72" s="1101">
        <v>10529</v>
      </c>
      <c r="C72" s="1101"/>
      <c r="D72" s="379"/>
      <c r="E72" s="610" t="s">
        <v>515</v>
      </c>
      <c r="F72" s="2268">
        <v>5</v>
      </c>
      <c r="G72" s="2268">
        <v>5</v>
      </c>
      <c r="H72" s="2268">
        <v>6</v>
      </c>
      <c r="I72" s="594"/>
      <c r="J72" s="594"/>
      <c r="K72" s="595"/>
      <c r="L72" s="595"/>
      <c r="M72" s="982"/>
      <c r="N72" s="594">
        <v>5.6000000000000001E-2</v>
      </c>
      <c r="O72" s="917"/>
      <c r="P72" s="595"/>
      <c r="Q72" s="912"/>
      <c r="R72" s="905"/>
      <c r="S72" s="586"/>
      <c r="T72" s="590"/>
      <c r="U72" s="586"/>
      <c r="V72" s="586"/>
      <c r="W72" s="1679"/>
      <c r="X72" s="1678"/>
      <c r="Y72" s="1679"/>
      <c r="Z72" s="1791"/>
      <c r="AE72" s="2461"/>
      <c r="AF72" s="68"/>
      <c r="AK72" s="2815" t="s">
        <v>910</v>
      </c>
      <c r="AL72" s="2579">
        <f>SUMIFS(R30:R954,F30:F954,"6а",G30:G954,5)+SUMIFS(R30:R954,F30:F954,"6б",G30:G954,5)+SUMIFS(R30:R954,F30:F954,"б/к",G30:G954,5)</f>
        <v>124.006</v>
      </c>
      <c r="AM72" s="2817"/>
    </row>
    <row r="73" spans="1:39" ht="15.5" x14ac:dyDescent="0.35">
      <c r="A73" s="607"/>
      <c r="B73" s="1101">
        <v>10529</v>
      </c>
      <c r="C73" s="1101"/>
      <c r="D73" s="379"/>
      <c r="E73" s="1583" t="s">
        <v>516</v>
      </c>
      <c r="F73" s="2268" t="s">
        <v>827</v>
      </c>
      <c r="G73" s="2268">
        <v>5</v>
      </c>
      <c r="H73" s="2268">
        <v>6</v>
      </c>
      <c r="I73" s="594"/>
      <c r="J73" s="594"/>
      <c r="K73" s="595"/>
      <c r="L73" s="595"/>
      <c r="M73" s="982"/>
      <c r="N73" s="594"/>
      <c r="O73" s="917"/>
      <c r="P73" s="595"/>
      <c r="Q73" s="912">
        <f>1.2-0.056</f>
        <v>1.1439999999999999</v>
      </c>
      <c r="R73" s="905"/>
      <c r="S73" s="586"/>
      <c r="T73" s="590"/>
      <c r="U73" s="586"/>
      <c r="V73" s="586"/>
      <c r="W73" s="1679"/>
      <c r="X73" s="1678"/>
      <c r="Y73" s="1679"/>
      <c r="Z73" s="1791"/>
      <c r="AE73" s="2461"/>
      <c r="AF73" s="68"/>
      <c r="AK73" s="2815"/>
      <c r="AL73" s="2579"/>
      <c r="AM73" s="2817"/>
    </row>
    <row r="74" spans="1:39" ht="60.5" x14ac:dyDescent="0.35">
      <c r="A74" s="1593">
        <v>24</v>
      </c>
      <c r="B74" s="1101">
        <v>10529</v>
      </c>
      <c r="C74" s="358" t="s">
        <v>1656</v>
      </c>
      <c r="D74" s="2465" t="s">
        <v>4610</v>
      </c>
      <c r="E74" s="372" t="s">
        <v>8391</v>
      </c>
      <c r="F74" s="596" t="s">
        <v>664</v>
      </c>
      <c r="G74" s="596">
        <v>5</v>
      </c>
      <c r="H74" s="2268">
        <v>6</v>
      </c>
      <c r="I74" s="297">
        <f>J74+K74+L74</f>
        <v>0.35699999999999998</v>
      </c>
      <c r="J74" s="297">
        <f>SUM(M74:R74)</f>
        <v>0.35699999999999998</v>
      </c>
      <c r="K74" s="584"/>
      <c r="L74" s="584"/>
      <c r="M74" s="980"/>
      <c r="N74" s="583"/>
      <c r="O74" s="597"/>
      <c r="P74" s="584"/>
      <c r="Q74" s="908"/>
      <c r="R74" s="901">
        <v>0.35699999999999998</v>
      </c>
      <c r="S74" s="582"/>
      <c r="T74" s="585"/>
      <c r="U74" s="586"/>
      <c r="V74" s="586"/>
      <c r="W74" s="2426"/>
      <c r="X74" s="2427"/>
      <c r="Y74" s="1679"/>
      <c r="Z74" s="1791"/>
      <c r="AB74" s="78">
        <v>1</v>
      </c>
      <c r="AE74" s="2461"/>
      <c r="AF74" s="68"/>
      <c r="AI74" s="2475"/>
      <c r="AK74" s="2822" t="s">
        <v>11237</v>
      </c>
      <c r="AL74" s="2823">
        <f>AL11+AL32+AL53</f>
        <v>563.90499999999997</v>
      </c>
      <c r="AM74" s="2824">
        <f>AL74-J10</f>
        <v>0</v>
      </c>
    </row>
    <row r="75" spans="1:39" ht="60.5" x14ac:dyDescent="0.35">
      <c r="A75" s="1593">
        <v>25</v>
      </c>
      <c r="B75" s="1101">
        <v>10529</v>
      </c>
      <c r="C75" s="358" t="s">
        <v>1656</v>
      </c>
      <c r="D75" s="2465" t="s">
        <v>7005</v>
      </c>
      <c r="E75" s="372" t="s">
        <v>8392</v>
      </c>
      <c r="F75" s="596" t="s">
        <v>664</v>
      </c>
      <c r="G75" s="596">
        <v>5</v>
      </c>
      <c r="H75" s="2268">
        <v>6</v>
      </c>
      <c r="I75" s="297">
        <f>J75+K75+L75</f>
        <v>0.46</v>
      </c>
      <c r="J75" s="297">
        <f>SUM(M75:R75)</f>
        <v>0.46</v>
      </c>
      <c r="K75" s="584"/>
      <c r="L75" s="584"/>
      <c r="M75" s="980"/>
      <c r="N75" s="583"/>
      <c r="O75" s="597"/>
      <c r="P75" s="584"/>
      <c r="Q75" s="908"/>
      <c r="R75" s="901">
        <v>0.46</v>
      </c>
      <c r="S75" s="582"/>
      <c r="T75" s="585"/>
      <c r="U75" s="586"/>
      <c r="V75" s="586"/>
      <c r="W75" s="2426"/>
      <c r="X75" s="2427"/>
      <c r="Y75" s="1679"/>
      <c r="Z75" s="1791"/>
      <c r="AB75" s="78">
        <v>1</v>
      </c>
      <c r="AE75" s="2461"/>
      <c r="AF75" s="68"/>
      <c r="AI75" s="2475"/>
      <c r="AK75" s="2825" t="s">
        <v>11238</v>
      </c>
      <c r="AL75" s="2826">
        <f>AL34+AL55+AL13</f>
        <v>283.76700000000005</v>
      </c>
      <c r="AM75" s="2827">
        <f>AL75-J12</f>
        <v>0</v>
      </c>
    </row>
    <row r="76" spans="1:39" ht="45.5" x14ac:dyDescent="0.35">
      <c r="A76" s="1593">
        <v>26</v>
      </c>
      <c r="B76" s="1100">
        <v>10529</v>
      </c>
      <c r="C76" s="358" t="s">
        <v>1656</v>
      </c>
      <c r="D76" s="2465" t="s">
        <v>4611</v>
      </c>
      <c r="E76" s="372" t="s">
        <v>8393</v>
      </c>
      <c r="F76" s="591" t="s">
        <v>664</v>
      </c>
      <c r="G76" s="596">
        <v>5</v>
      </c>
      <c r="H76" s="2268">
        <v>6</v>
      </c>
      <c r="I76" s="297">
        <f>J76+K76+L76</f>
        <v>0.70699999999999996</v>
      </c>
      <c r="J76" s="297">
        <f>SUM(M76:R76)</f>
        <v>0.70699999999999996</v>
      </c>
      <c r="K76" s="584"/>
      <c r="L76" s="584"/>
      <c r="M76" s="980"/>
      <c r="N76" s="584"/>
      <c r="O76" s="597"/>
      <c r="P76" s="584"/>
      <c r="Q76" s="908"/>
      <c r="R76" s="901">
        <v>0.70699999999999996</v>
      </c>
      <c r="S76" s="586"/>
      <c r="T76" s="590"/>
      <c r="U76" s="586"/>
      <c r="V76" s="586"/>
      <c r="W76" s="1679"/>
      <c r="X76" s="1678"/>
      <c r="Y76" s="1679"/>
      <c r="Z76" s="1791"/>
      <c r="AB76" s="78">
        <v>1</v>
      </c>
      <c r="AE76" s="2461"/>
      <c r="AF76" s="68"/>
      <c r="AI76" s="2475"/>
      <c r="AK76" s="2828" t="s">
        <v>11239</v>
      </c>
      <c r="AL76" s="2826">
        <f>AL19+AL40+AL61</f>
        <v>144.21600000000001</v>
      </c>
      <c r="AM76" s="2827">
        <f>AL76-J13</f>
        <v>0</v>
      </c>
    </row>
    <row r="77" spans="1:39" ht="45.5" x14ac:dyDescent="0.35">
      <c r="A77" s="1593">
        <v>27</v>
      </c>
      <c r="B77" s="693">
        <v>10529</v>
      </c>
      <c r="C77" s="693"/>
      <c r="D77" s="2465" t="s">
        <v>4612</v>
      </c>
      <c r="E77" s="372" t="s">
        <v>7654</v>
      </c>
      <c r="F77" s="92" t="s">
        <v>827</v>
      </c>
      <c r="G77" s="92">
        <v>5</v>
      </c>
      <c r="H77" s="2268">
        <v>6</v>
      </c>
      <c r="I77" s="702">
        <f>J77+K77+L77</f>
        <v>1</v>
      </c>
      <c r="J77" s="702">
        <f>SUM(M77:R77)</f>
        <v>1</v>
      </c>
      <c r="K77" s="622"/>
      <c r="L77" s="622"/>
      <c r="M77" s="622"/>
      <c r="N77" s="622"/>
      <c r="O77" s="622"/>
      <c r="P77" s="622"/>
      <c r="Q77" s="622"/>
      <c r="R77" s="906">
        <v>1</v>
      </c>
      <c r="S77" s="46"/>
      <c r="T77" s="46"/>
      <c r="U77" s="46"/>
      <c r="V77" s="46"/>
      <c r="W77" s="67">
        <v>2</v>
      </c>
      <c r="X77" s="46">
        <v>13</v>
      </c>
      <c r="Y77" s="46"/>
      <c r="Z77" s="47"/>
      <c r="AB77" s="78">
        <v>1</v>
      </c>
      <c r="AC77" s="78" t="s">
        <v>2570</v>
      </c>
      <c r="AE77" s="2461"/>
      <c r="AF77" s="68"/>
      <c r="AI77" s="2475"/>
      <c r="AK77" s="2828" t="s">
        <v>11240</v>
      </c>
      <c r="AL77" s="2826">
        <f>AL25+AL46+AL67</f>
        <v>135.922</v>
      </c>
      <c r="AM77" s="2827">
        <f>AL77-J14</f>
        <v>0</v>
      </c>
    </row>
    <row r="78" spans="1:39" ht="45.5" x14ac:dyDescent="0.35">
      <c r="A78" s="1593">
        <v>28</v>
      </c>
      <c r="B78" s="375">
        <v>10530</v>
      </c>
      <c r="C78" s="375"/>
      <c r="D78" s="375" t="s">
        <v>3206</v>
      </c>
      <c r="E78" s="371" t="s">
        <v>9789</v>
      </c>
      <c r="F78" s="596"/>
      <c r="G78" s="596"/>
      <c r="H78" s="2268" t="s">
        <v>191</v>
      </c>
      <c r="I78" s="583">
        <f>J78+K78+L78</f>
        <v>23.001000000000001</v>
      </c>
      <c r="J78" s="583">
        <f>SUM(M78:R78)</f>
        <v>21.283000000000001</v>
      </c>
      <c r="K78" s="583">
        <f>SUM(K79:K81)</f>
        <v>1.718</v>
      </c>
      <c r="L78" s="584"/>
      <c r="M78" s="980"/>
      <c r="N78" s="583">
        <f>SUM(N79:N81)</f>
        <v>21.283000000000001</v>
      </c>
      <c r="O78" s="597"/>
      <c r="P78" s="584"/>
      <c r="Q78" s="908"/>
      <c r="R78" s="901"/>
      <c r="S78" s="582">
        <v>2</v>
      </c>
      <c r="T78" s="585">
        <v>72</v>
      </c>
      <c r="U78" s="586"/>
      <c r="V78" s="586"/>
      <c r="W78" s="2426">
        <v>42</v>
      </c>
      <c r="X78" s="2427">
        <v>677.56</v>
      </c>
      <c r="Y78" s="1679">
        <v>15</v>
      </c>
      <c r="Z78" s="1791">
        <v>190</v>
      </c>
      <c r="AB78" s="78">
        <v>1</v>
      </c>
      <c r="AE78" s="2461"/>
      <c r="AF78" s="68"/>
      <c r="AI78" s="2475"/>
    </row>
    <row r="79" spans="1:39" ht="46.5" x14ac:dyDescent="0.35">
      <c r="A79" s="604"/>
      <c r="B79" s="375">
        <v>10530</v>
      </c>
      <c r="C79" s="375"/>
      <c r="D79" s="376"/>
      <c r="E79" s="610" t="s">
        <v>9981</v>
      </c>
      <c r="F79" s="591">
        <v>4</v>
      </c>
      <c r="G79" s="591">
        <v>4</v>
      </c>
      <c r="H79" s="2419" t="s">
        <v>191</v>
      </c>
      <c r="I79" s="588"/>
      <c r="J79" s="588"/>
      <c r="K79" s="589">
        <v>1.718</v>
      </c>
      <c r="L79" s="588"/>
      <c r="M79" s="981"/>
      <c r="N79" s="588"/>
      <c r="O79" s="915"/>
      <c r="P79" s="588"/>
      <c r="Q79" s="909"/>
      <c r="R79" s="902"/>
      <c r="S79" s="586"/>
      <c r="T79" s="590"/>
      <c r="U79" s="586"/>
      <c r="V79" s="586"/>
      <c r="W79" s="1679"/>
      <c r="X79" s="1678"/>
      <c r="Y79" s="1679"/>
      <c r="Z79" s="1791"/>
      <c r="AE79" s="2461"/>
      <c r="AF79" s="68"/>
    </row>
    <row r="80" spans="1:39" ht="46.5" x14ac:dyDescent="0.35">
      <c r="A80" s="604"/>
      <c r="B80" s="375">
        <v>10530</v>
      </c>
      <c r="C80" s="375"/>
      <c r="D80" s="376"/>
      <c r="E80" s="610" t="s">
        <v>9982</v>
      </c>
      <c r="F80" s="591" t="s">
        <v>191</v>
      </c>
      <c r="G80" s="591" t="s">
        <v>191</v>
      </c>
      <c r="H80" s="2419" t="s">
        <v>191</v>
      </c>
      <c r="I80" s="588"/>
      <c r="J80" s="588"/>
      <c r="K80" s="589"/>
      <c r="L80" s="588"/>
      <c r="M80" s="981"/>
      <c r="N80" s="588"/>
      <c r="O80" s="915"/>
      <c r="P80" s="588"/>
      <c r="Q80" s="909"/>
      <c r="R80" s="902"/>
      <c r="S80" s="586"/>
      <c r="T80" s="590"/>
      <c r="U80" s="586"/>
      <c r="V80" s="586"/>
      <c r="W80" s="1679"/>
      <c r="X80" s="1678"/>
      <c r="Y80" s="1679"/>
      <c r="Z80" s="1791"/>
      <c r="AE80" s="2461"/>
      <c r="AF80" s="68"/>
    </row>
    <row r="81" spans="1:35" ht="15.5" x14ac:dyDescent="0.35">
      <c r="A81" s="604"/>
      <c r="B81" s="375">
        <v>10530</v>
      </c>
      <c r="C81" s="375"/>
      <c r="D81" s="376"/>
      <c r="E81" s="610" t="s">
        <v>1936</v>
      </c>
      <c r="F81" s="591">
        <v>4</v>
      </c>
      <c r="G81" s="591">
        <v>4</v>
      </c>
      <c r="H81" s="2268">
        <v>6</v>
      </c>
      <c r="I81" s="588"/>
      <c r="J81" s="588"/>
      <c r="K81" s="589"/>
      <c r="L81" s="588"/>
      <c r="M81" s="981"/>
      <c r="N81" s="588">
        <f>23.001-1.718</f>
        <v>21.283000000000001</v>
      </c>
      <c r="O81" s="915"/>
      <c r="P81" s="588"/>
      <c r="Q81" s="909"/>
      <c r="R81" s="902"/>
      <c r="S81" s="586"/>
      <c r="T81" s="590"/>
      <c r="U81" s="586"/>
      <c r="V81" s="586"/>
      <c r="W81" s="1679"/>
      <c r="X81" s="1678"/>
      <c r="Y81" s="1679"/>
      <c r="Z81" s="1791"/>
      <c r="AE81" s="2461"/>
      <c r="AF81" s="68"/>
    </row>
    <row r="82" spans="1:35" ht="60.5" x14ac:dyDescent="0.35">
      <c r="A82" s="603">
        <v>29</v>
      </c>
      <c r="B82" s="1100">
        <v>10530</v>
      </c>
      <c r="C82" s="1100"/>
      <c r="D82" s="2465" t="s">
        <v>4613</v>
      </c>
      <c r="E82" s="371" t="s">
        <v>9790</v>
      </c>
      <c r="F82" s="596" t="s">
        <v>827</v>
      </c>
      <c r="G82" s="596">
        <v>5</v>
      </c>
      <c r="H82" s="2268">
        <v>6</v>
      </c>
      <c r="I82" s="583">
        <f>J82+K82+L82</f>
        <v>0.7</v>
      </c>
      <c r="J82" s="583">
        <f>SUM(M82:R82)</f>
        <v>0.7</v>
      </c>
      <c r="K82" s="584"/>
      <c r="L82" s="584"/>
      <c r="M82" s="980"/>
      <c r="N82" s="583"/>
      <c r="O82" s="597"/>
      <c r="P82" s="584"/>
      <c r="Q82" s="908"/>
      <c r="R82" s="903">
        <v>0.7</v>
      </c>
      <c r="S82" s="586"/>
      <c r="T82" s="590"/>
      <c r="U82" s="586"/>
      <c r="V82" s="586"/>
      <c r="W82" s="2426">
        <v>2</v>
      </c>
      <c r="X82" s="2427">
        <v>11</v>
      </c>
      <c r="Y82" s="1679"/>
      <c r="Z82" s="1791"/>
      <c r="AB82" s="78">
        <v>1</v>
      </c>
      <c r="AE82" s="2461"/>
      <c r="AF82" s="68"/>
      <c r="AI82" s="2475"/>
    </row>
    <row r="83" spans="1:35" ht="60.5" x14ac:dyDescent="0.35">
      <c r="A83" s="603">
        <v>30</v>
      </c>
      <c r="B83" s="1100">
        <v>10530</v>
      </c>
      <c r="C83" s="1100"/>
      <c r="D83" s="2465" t="s">
        <v>4614</v>
      </c>
      <c r="E83" s="371" t="s">
        <v>9791</v>
      </c>
      <c r="F83" s="596" t="s">
        <v>1490</v>
      </c>
      <c r="G83" s="596">
        <v>5</v>
      </c>
      <c r="H83" s="2268">
        <v>6</v>
      </c>
      <c r="I83" s="583">
        <f>J83+K83+L83</f>
        <v>0.8</v>
      </c>
      <c r="J83" s="583">
        <f>SUM(M83:R83)</f>
        <v>0.8</v>
      </c>
      <c r="K83" s="584"/>
      <c r="L83" s="584"/>
      <c r="M83" s="980"/>
      <c r="N83" s="583"/>
      <c r="O83" s="597"/>
      <c r="P83" s="584"/>
      <c r="Q83" s="908"/>
      <c r="R83" s="903">
        <v>0.8</v>
      </c>
      <c r="S83" s="586"/>
      <c r="T83" s="590"/>
      <c r="U83" s="586"/>
      <c r="V83" s="586"/>
      <c r="W83" s="2426">
        <v>1</v>
      </c>
      <c r="X83" s="2427">
        <v>10</v>
      </c>
      <c r="Y83" s="1679"/>
      <c r="Z83" s="1791"/>
      <c r="AB83" s="78">
        <v>1</v>
      </c>
      <c r="AE83" s="2461"/>
      <c r="AF83" s="68"/>
      <c r="AI83" s="2475"/>
    </row>
    <row r="84" spans="1:35" ht="60.5" x14ac:dyDescent="0.35">
      <c r="A84" s="603">
        <v>31</v>
      </c>
      <c r="B84" s="1100">
        <v>10530</v>
      </c>
      <c r="C84" s="1100"/>
      <c r="D84" s="2465" t="s">
        <v>4615</v>
      </c>
      <c r="E84" s="371" t="s">
        <v>9792</v>
      </c>
      <c r="F84" s="596">
        <v>4</v>
      </c>
      <c r="G84" s="596">
        <v>4</v>
      </c>
      <c r="H84" s="2268">
        <v>6</v>
      </c>
      <c r="I84" s="583">
        <f>J84+K84+L84</f>
        <v>2.63</v>
      </c>
      <c r="J84" s="583">
        <f>SUM(M84:R84)</f>
        <v>2.63</v>
      </c>
      <c r="K84" s="584"/>
      <c r="L84" s="584"/>
      <c r="M84" s="980"/>
      <c r="N84" s="583">
        <v>2.63</v>
      </c>
      <c r="O84" s="597"/>
      <c r="P84" s="584"/>
      <c r="Q84" s="908"/>
      <c r="R84" s="901"/>
      <c r="S84" s="586"/>
      <c r="T84" s="590"/>
      <c r="U84" s="586"/>
      <c r="V84" s="586"/>
      <c r="W84" s="2426">
        <v>3</v>
      </c>
      <c r="X84" s="2427">
        <v>37.79</v>
      </c>
      <c r="Y84" s="1679">
        <v>1</v>
      </c>
      <c r="Z84" s="1791">
        <v>15</v>
      </c>
      <c r="AB84" s="78">
        <v>1</v>
      </c>
      <c r="AE84" s="2461"/>
      <c r="AF84" s="68"/>
      <c r="AI84" s="2475"/>
    </row>
    <row r="85" spans="1:35" ht="75.5" x14ac:dyDescent="0.35">
      <c r="A85" s="603">
        <v>32</v>
      </c>
      <c r="B85" s="1100"/>
      <c r="C85" s="1100"/>
      <c r="D85" s="2465" t="s">
        <v>4692</v>
      </c>
      <c r="E85" s="371" t="s">
        <v>9793</v>
      </c>
      <c r="F85" s="596" t="s">
        <v>664</v>
      </c>
      <c r="G85" s="596">
        <v>5</v>
      </c>
      <c r="H85" s="2268">
        <v>6</v>
      </c>
      <c r="I85" s="583">
        <f>J85+K85+L85</f>
        <v>2.0649999999999999</v>
      </c>
      <c r="J85" s="583">
        <f>SUM(M85:R85)</f>
        <v>2.0649999999999999</v>
      </c>
      <c r="K85" s="584"/>
      <c r="L85" s="584"/>
      <c r="M85" s="980"/>
      <c r="N85" s="584"/>
      <c r="O85" s="597"/>
      <c r="P85" s="584"/>
      <c r="Q85" s="910"/>
      <c r="R85" s="901">
        <v>2.0649999999999999</v>
      </c>
      <c r="S85" s="586"/>
      <c r="T85" s="590"/>
      <c r="U85" s="586"/>
      <c r="V85" s="586"/>
      <c r="W85" s="2426"/>
      <c r="X85" s="2427"/>
      <c r="Y85" s="1679"/>
      <c r="Z85" s="1791"/>
      <c r="AB85" s="78">
        <v>1</v>
      </c>
      <c r="AE85" s="2461"/>
      <c r="AF85" s="68"/>
      <c r="AI85" s="2475"/>
    </row>
    <row r="86" spans="1:35" ht="60.5" x14ac:dyDescent="0.35">
      <c r="A86" s="603">
        <v>33</v>
      </c>
      <c r="B86" s="1100">
        <v>10530</v>
      </c>
      <c r="C86" s="1100"/>
      <c r="D86" s="2465" t="s">
        <v>4616</v>
      </c>
      <c r="E86" s="371" t="s">
        <v>9794</v>
      </c>
      <c r="F86" s="596"/>
      <c r="G86" s="596"/>
      <c r="H86" s="2268" t="s">
        <v>191</v>
      </c>
      <c r="I86" s="583">
        <f>J86+K86+L86</f>
        <v>2.109</v>
      </c>
      <c r="J86" s="583">
        <f>SUM(M86:R86)</f>
        <v>2.109</v>
      </c>
      <c r="K86" s="584"/>
      <c r="L86" s="584"/>
      <c r="M86" s="980"/>
      <c r="N86" s="584">
        <f>SUM(N87:N92)</f>
        <v>0.02</v>
      </c>
      <c r="O86" s="597"/>
      <c r="P86" s="584"/>
      <c r="Q86" s="910">
        <f>SUM(Q87:Q92)</f>
        <v>1.68</v>
      </c>
      <c r="R86" s="903">
        <f>SUM(R87:R92)</f>
        <v>0.40900000000000003</v>
      </c>
      <c r="S86" s="586"/>
      <c r="T86" s="590"/>
      <c r="U86" s="586"/>
      <c r="V86" s="586"/>
      <c r="W86" s="2426">
        <v>7</v>
      </c>
      <c r="X86" s="2427">
        <v>89.7</v>
      </c>
      <c r="Y86" s="1679"/>
      <c r="Z86" s="1791"/>
      <c r="AB86" s="78">
        <v>1</v>
      </c>
      <c r="AE86" s="2461"/>
      <c r="AF86" s="68"/>
      <c r="AI86" s="2475"/>
    </row>
    <row r="87" spans="1:35" ht="15.5" x14ac:dyDescent="0.35">
      <c r="A87" s="603"/>
      <c r="B87" s="1100">
        <v>10530</v>
      </c>
      <c r="C87" s="1100"/>
      <c r="D87" s="375"/>
      <c r="E87" s="610" t="s">
        <v>3209</v>
      </c>
      <c r="F87" s="2268">
        <v>5</v>
      </c>
      <c r="G87" s="2268">
        <v>5</v>
      </c>
      <c r="H87" s="2268">
        <v>6</v>
      </c>
      <c r="I87" s="594"/>
      <c r="J87" s="594"/>
      <c r="K87" s="595"/>
      <c r="L87" s="595"/>
      <c r="M87" s="982"/>
      <c r="N87" s="595">
        <v>0.02</v>
      </c>
      <c r="O87" s="917"/>
      <c r="P87" s="595"/>
      <c r="Q87" s="2409"/>
      <c r="R87" s="2269"/>
      <c r="S87" s="586"/>
      <c r="T87" s="590"/>
      <c r="U87" s="586"/>
      <c r="V87" s="586"/>
      <c r="W87" s="2426"/>
      <c r="X87" s="2427"/>
      <c r="Y87" s="1679"/>
      <c r="Z87" s="1791"/>
      <c r="AE87" s="2461"/>
      <c r="AF87" s="68"/>
    </row>
    <row r="88" spans="1:35" ht="15.5" x14ac:dyDescent="0.35">
      <c r="A88" s="605"/>
      <c r="B88" s="1100">
        <v>10530</v>
      </c>
      <c r="C88" s="1100"/>
      <c r="D88" s="377"/>
      <c r="E88" s="1583" t="s">
        <v>2602</v>
      </c>
      <c r="F88" s="2268" t="s">
        <v>827</v>
      </c>
      <c r="G88" s="2268">
        <v>5</v>
      </c>
      <c r="H88" s="2268">
        <v>6</v>
      </c>
      <c r="I88" s="594"/>
      <c r="J88" s="594"/>
      <c r="K88" s="595"/>
      <c r="L88" s="595"/>
      <c r="M88" s="982"/>
      <c r="N88" s="595"/>
      <c r="O88" s="917"/>
      <c r="P88" s="595"/>
      <c r="Q88" s="2409">
        <f>0.461-0.02</f>
        <v>0.441</v>
      </c>
      <c r="R88" s="2269"/>
      <c r="S88" s="586"/>
      <c r="T88" s="590"/>
      <c r="U88" s="586"/>
      <c r="V88" s="586"/>
      <c r="W88" s="2426"/>
      <c r="X88" s="2427"/>
      <c r="Y88" s="1679"/>
      <c r="Z88" s="1791"/>
      <c r="AE88" s="2461"/>
      <c r="AF88" s="68"/>
    </row>
    <row r="89" spans="1:35" ht="15.5" x14ac:dyDescent="0.35">
      <c r="A89" s="605"/>
      <c r="B89" s="1100">
        <v>10530</v>
      </c>
      <c r="C89" s="1100"/>
      <c r="D89" s="377"/>
      <c r="E89" s="1583" t="s">
        <v>2603</v>
      </c>
      <c r="F89" s="2268" t="s">
        <v>1490</v>
      </c>
      <c r="G89" s="2268">
        <v>5</v>
      </c>
      <c r="H89" s="2268">
        <v>6</v>
      </c>
      <c r="I89" s="594"/>
      <c r="J89" s="594"/>
      <c r="K89" s="595"/>
      <c r="L89" s="595"/>
      <c r="M89" s="982"/>
      <c r="N89" s="595"/>
      <c r="O89" s="917"/>
      <c r="P89" s="595"/>
      <c r="Q89" s="2409">
        <f>0.625-0.461</f>
        <v>0.16399999999999998</v>
      </c>
      <c r="R89" s="2269"/>
      <c r="S89" s="586"/>
      <c r="T89" s="590"/>
      <c r="U89" s="586"/>
      <c r="V89" s="586"/>
      <c r="W89" s="2426"/>
      <c r="X89" s="2427"/>
      <c r="Y89" s="1679"/>
      <c r="Z89" s="1791"/>
      <c r="AE89" s="2461"/>
      <c r="AF89" s="68"/>
    </row>
    <row r="90" spans="1:35" ht="15.5" x14ac:dyDescent="0.35">
      <c r="A90" s="605"/>
      <c r="B90" s="1100">
        <v>10530</v>
      </c>
      <c r="C90" s="1100"/>
      <c r="D90" s="377"/>
      <c r="E90" s="1583" t="s">
        <v>2604</v>
      </c>
      <c r="F90" s="2268" t="s">
        <v>827</v>
      </c>
      <c r="G90" s="2268">
        <v>5</v>
      </c>
      <c r="H90" s="2268">
        <v>6</v>
      </c>
      <c r="I90" s="594"/>
      <c r="J90" s="594"/>
      <c r="K90" s="595"/>
      <c r="L90" s="595"/>
      <c r="M90" s="982"/>
      <c r="N90" s="595"/>
      <c r="O90" s="917"/>
      <c r="P90" s="595"/>
      <c r="Q90" s="2409">
        <f>0.93-0.625</f>
        <v>0.30500000000000005</v>
      </c>
      <c r="R90" s="2269"/>
      <c r="S90" s="586"/>
      <c r="T90" s="590"/>
      <c r="U90" s="586"/>
      <c r="V90" s="586"/>
      <c r="W90" s="2426"/>
      <c r="X90" s="2427"/>
      <c r="Y90" s="1679"/>
      <c r="Z90" s="1791"/>
      <c r="AE90" s="2461"/>
      <c r="AF90" s="68"/>
    </row>
    <row r="91" spans="1:35" ht="15.5" x14ac:dyDescent="0.35">
      <c r="A91" s="605"/>
      <c r="B91" s="1100">
        <v>10530</v>
      </c>
      <c r="C91" s="1100"/>
      <c r="D91" s="377"/>
      <c r="E91" s="1583" t="s">
        <v>2605</v>
      </c>
      <c r="F91" s="2268">
        <v>5</v>
      </c>
      <c r="G91" s="2268">
        <v>5</v>
      </c>
      <c r="H91" s="2268">
        <v>6</v>
      </c>
      <c r="I91" s="594"/>
      <c r="J91" s="594"/>
      <c r="K91" s="595"/>
      <c r="L91" s="595"/>
      <c r="M91" s="982"/>
      <c r="N91" s="595"/>
      <c r="O91" s="917"/>
      <c r="P91" s="595"/>
      <c r="Q91" s="2409">
        <f>1.7-0.93</f>
        <v>0.76999999999999991</v>
      </c>
      <c r="R91" s="2269"/>
      <c r="S91" s="586"/>
      <c r="T91" s="590"/>
      <c r="U91" s="586"/>
      <c r="V91" s="586"/>
      <c r="W91" s="2426"/>
      <c r="X91" s="2427"/>
      <c r="Y91" s="1679"/>
      <c r="Z91" s="1791"/>
      <c r="AE91" s="2461"/>
      <c r="AF91" s="68"/>
    </row>
    <row r="92" spans="1:35" ht="15.5" x14ac:dyDescent="0.35">
      <c r="A92" s="605"/>
      <c r="B92" s="1100">
        <v>10530</v>
      </c>
      <c r="C92" s="1100"/>
      <c r="D92" s="377"/>
      <c r="E92" s="1585" t="s">
        <v>2606</v>
      </c>
      <c r="F92" s="2268" t="s">
        <v>1490</v>
      </c>
      <c r="G92" s="2268">
        <v>5</v>
      </c>
      <c r="H92" s="2268">
        <v>6</v>
      </c>
      <c r="I92" s="594"/>
      <c r="J92" s="594"/>
      <c r="K92" s="595"/>
      <c r="L92" s="595"/>
      <c r="M92" s="982"/>
      <c r="N92" s="595"/>
      <c r="O92" s="917"/>
      <c r="P92" s="595"/>
      <c r="Q92" s="2409"/>
      <c r="R92" s="2269">
        <f>2.109-1.7</f>
        <v>0.40900000000000003</v>
      </c>
      <c r="S92" s="586"/>
      <c r="T92" s="590"/>
      <c r="U92" s="586"/>
      <c r="V92" s="586"/>
      <c r="W92" s="2426"/>
      <c r="X92" s="2427"/>
      <c r="Y92" s="1679"/>
      <c r="Z92" s="1791"/>
      <c r="AE92" s="2461"/>
      <c r="AF92" s="68"/>
    </row>
    <row r="93" spans="1:35" ht="60.5" x14ac:dyDescent="0.35">
      <c r="A93" s="603">
        <v>34</v>
      </c>
      <c r="B93" s="1100">
        <v>10530</v>
      </c>
      <c r="C93" s="1100"/>
      <c r="D93" s="2465" t="s">
        <v>4617</v>
      </c>
      <c r="E93" s="371" t="s">
        <v>9795</v>
      </c>
      <c r="F93" s="2564"/>
      <c r="G93" s="596"/>
      <c r="H93" s="2268" t="s">
        <v>191</v>
      </c>
      <c r="I93" s="583">
        <f t="shared" ref="I93:I110" si="10">J93+K93+L93</f>
        <v>1.5</v>
      </c>
      <c r="J93" s="583">
        <f t="shared" ref="J93:J110" si="11">SUM(M93:R93)</f>
        <v>1.5</v>
      </c>
      <c r="K93" s="584"/>
      <c r="L93" s="584"/>
      <c r="M93" s="980"/>
      <c r="N93" s="583"/>
      <c r="O93" s="597"/>
      <c r="P93" s="584"/>
      <c r="Q93" s="908"/>
      <c r="R93" s="903">
        <f>SUM(R94:R95)</f>
        <v>1.5</v>
      </c>
      <c r="S93" s="586"/>
      <c r="T93" s="590"/>
      <c r="U93" s="586"/>
      <c r="V93" s="586"/>
      <c r="W93" s="1679"/>
      <c r="X93" s="1678"/>
      <c r="Y93" s="1679"/>
      <c r="Z93" s="1791"/>
      <c r="AB93" s="78">
        <v>1</v>
      </c>
      <c r="AE93" s="2461"/>
      <c r="AF93" s="68"/>
      <c r="AI93" s="2475"/>
    </row>
    <row r="94" spans="1:35" ht="15.5" x14ac:dyDescent="0.35">
      <c r="A94" s="603"/>
      <c r="B94" s="1100">
        <v>10530</v>
      </c>
      <c r="C94" s="1100"/>
      <c r="D94" s="375"/>
      <c r="E94" s="2280" t="s">
        <v>1966</v>
      </c>
      <c r="F94" s="596" t="s">
        <v>827</v>
      </c>
      <c r="G94" s="596">
        <v>5</v>
      </c>
      <c r="H94" s="2268">
        <v>6</v>
      </c>
      <c r="I94" s="583"/>
      <c r="J94" s="583"/>
      <c r="K94" s="584"/>
      <c r="L94" s="584"/>
      <c r="M94" s="980"/>
      <c r="N94" s="583"/>
      <c r="O94" s="597"/>
      <c r="P94" s="584"/>
      <c r="Q94" s="908"/>
      <c r="R94" s="904">
        <v>0.8</v>
      </c>
      <c r="S94" s="586"/>
      <c r="T94" s="590"/>
      <c r="U94" s="586"/>
      <c r="V94" s="586"/>
      <c r="W94" s="1679"/>
      <c r="X94" s="1678"/>
      <c r="Y94" s="1679"/>
      <c r="Z94" s="1791"/>
      <c r="AE94" s="2461"/>
      <c r="AF94" s="68"/>
    </row>
    <row r="95" spans="1:35" ht="15.5" x14ac:dyDescent="0.35">
      <c r="A95" s="603"/>
      <c r="B95" s="1100">
        <v>10530</v>
      </c>
      <c r="C95" s="1100"/>
      <c r="D95" s="375"/>
      <c r="E95" s="2280" t="s">
        <v>2420</v>
      </c>
      <c r="F95" s="596" t="s">
        <v>664</v>
      </c>
      <c r="G95" s="596">
        <v>5</v>
      </c>
      <c r="H95" s="2268">
        <v>6</v>
      </c>
      <c r="I95" s="583"/>
      <c r="J95" s="583"/>
      <c r="K95" s="584"/>
      <c r="L95" s="584"/>
      <c r="M95" s="980"/>
      <c r="N95" s="583"/>
      <c r="O95" s="597"/>
      <c r="P95" s="584"/>
      <c r="Q95" s="908"/>
      <c r="R95" s="904">
        <v>0.7</v>
      </c>
      <c r="S95" s="586"/>
      <c r="T95" s="590"/>
      <c r="U95" s="586"/>
      <c r="V95" s="586"/>
      <c r="W95" s="1679"/>
      <c r="X95" s="1678"/>
      <c r="Y95" s="1679"/>
      <c r="Z95" s="1791"/>
      <c r="AE95" s="2461"/>
      <c r="AF95" s="68"/>
    </row>
    <row r="96" spans="1:35" ht="60.5" x14ac:dyDescent="0.35">
      <c r="A96" s="608">
        <v>35</v>
      </c>
      <c r="B96" s="1099">
        <v>10530</v>
      </c>
      <c r="C96" s="1099" t="s">
        <v>1656</v>
      </c>
      <c r="D96" s="2465" t="s">
        <v>4618</v>
      </c>
      <c r="E96" s="372" t="s">
        <v>9796</v>
      </c>
      <c r="F96" s="596" t="s">
        <v>1490</v>
      </c>
      <c r="G96" s="596">
        <v>5</v>
      </c>
      <c r="H96" s="2268">
        <v>6</v>
      </c>
      <c r="I96" s="583">
        <f t="shared" si="10"/>
        <v>1.2</v>
      </c>
      <c r="J96" s="583">
        <f t="shared" si="11"/>
        <v>1.2</v>
      </c>
      <c r="K96" s="598"/>
      <c r="L96" s="598"/>
      <c r="M96" s="983"/>
      <c r="N96" s="580"/>
      <c r="O96" s="918"/>
      <c r="P96" s="580"/>
      <c r="Q96" s="913"/>
      <c r="R96" s="906">
        <v>1.2</v>
      </c>
      <c r="S96" s="600"/>
      <c r="T96" s="600"/>
      <c r="U96" s="600"/>
      <c r="V96" s="600"/>
      <c r="W96" s="1676">
        <v>4</v>
      </c>
      <c r="X96" s="1789">
        <v>20</v>
      </c>
      <c r="Y96" s="1676"/>
      <c r="Z96" s="1790"/>
      <c r="AB96" s="78">
        <v>1</v>
      </c>
      <c r="AE96" s="2461"/>
      <c r="AF96" s="68"/>
      <c r="AI96" s="2475"/>
    </row>
    <row r="97" spans="1:35" ht="75.5" x14ac:dyDescent="0.35">
      <c r="A97" s="608">
        <v>36</v>
      </c>
      <c r="B97" s="1099">
        <v>10530</v>
      </c>
      <c r="C97" s="1099"/>
      <c r="D97" s="2465" t="s">
        <v>4619</v>
      </c>
      <c r="E97" s="372" t="s">
        <v>9797</v>
      </c>
      <c r="F97" s="2565">
        <v>4</v>
      </c>
      <c r="G97" s="596">
        <v>5</v>
      </c>
      <c r="H97" s="2268">
        <v>6</v>
      </c>
      <c r="I97" s="583">
        <f t="shared" si="10"/>
        <v>0.26</v>
      </c>
      <c r="J97" s="583">
        <f t="shared" si="11"/>
        <v>0.26</v>
      </c>
      <c r="K97" s="598"/>
      <c r="L97" s="598"/>
      <c r="M97" s="983"/>
      <c r="N97" s="580">
        <v>0.26</v>
      </c>
      <c r="O97" s="918"/>
      <c r="P97" s="580"/>
      <c r="Q97" s="913"/>
      <c r="R97" s="906"/>
      <c r="S97" s="600"/>
      <c r="T97" s="600"/>
      <c r="U97" s="600"/>
      <c r="V97" s="600"/>
      <c r="W97" s="1676"/>
      <c r="X97" s="1789"/>
      <c r="Y97" s="1676"/>
      <c r="Z97" s="1790"/>
      <c r="AB97" s="78">
        <v>1</v>
      </c>
      <c r="AE97" s="2461"/>
      <c r="AF97" s="68"/>
      <c r="AI97" s="2475"/>
    </row>
    <row r="98" spans="1:35" ht="60.5" x14ac:dyDescent="0.35">
      <c r="A98" s="608">
        <v>37</v>
      </c>
      <c r="B98" s="693">
        <v>10530</v>
      </c>
      <c r="C98" s="358" t="s">
        <v>1656</v>
      </c>
      <c r="D98" s="2465" t="s">
        <v>4620</v>
      </c>
      <c r="E98" s="372" t="s">
        <v>9798</v>
      </c>
      <c r="F98" s="93" t="s">
        <v>664</v>
      </c>
      <c r="G98" s="596">
        <v>5</v>
      </c>
      <c r="H98" s="2268">
        <v>6</v>
      </c>
      <c r="I98" s="297">
        <f>J98+K98+L98</f>
        <v>0.19800000000000001</v>
      </c>
      <c r="J98" s="297">
        <f>SUM(M98:R98)</f>
        <v>0.19800000000000001</v>
      </c>
      <c r="K98" s="577"/>
      <c r="L98" s="577"/>
      <c r="M98" s="577"/>
      <c r="N98" s="577"/>
      <c r="O98" s="577"/>
      <c r="P98" s="577"/>
      <c r="Q98" s="577"/>
      <c r="R98" s="2207">
        <v>0.19800000000000001</v>
      </c>
      <c r="S98" s="46"/>
      <c r="T98" s="46"/>
      <c r="U98" s="46"/>
      <c r="V98" s="46"/>
      <c r="W98" s="67"/>
      <c r="X98" s="46"/>
      <c r="Y98" s="46"/>
      <c r="Z98" s="47"/>
      <c r="AB98" s="78">
        <v>1</v>
      </c>
      <c r="AE98" s="2461"/>
      <c r="AF98" s="68"/>
      <c r="AI98" s="2475"/>
    </row>
    <row r="99" spans="1:35" ht="60.5" x14ac:dyDescent="0.35">
      <c r="A99" s="608">
        <v>38</v>
      </c>
      <c r="B99" s="375">
        <v>10530</v>
      </c>
      <c r="C99" s="358" t="s">
        <v>1656</v>
      </c>
      <c r="D99" s="2465" t="s">
        <v>4621</v>
      </c>
      <c r="E99" s="372" t="s">
        <v>9799</v>
      </c>
      <c r="F99" s="596"/>
      <c r="G99" s="596"/>
      <c r="H99" s="2268" t="s">
        <v>191</v>
      </c>
      <c r="I99" s="297">
        <f>J99+K99+L99</f>
        <v>0.96899999999999997</v>
      </c>
      <c r="J99" s="297">
        <f>SUM(M99:R99)</f>
        <v>0.16899999999999993</v>
      </c>
      <c r="K99" s="584"/>
      <c r="L99" s="584">
        <f>SUM(L100:L101)</f>
        <v>0.8</v>
      </c>
      <c r="M99" s="980"/>
      <c r="N99" s="583"/>
      <c r="O99" s="597"/>
      <c r="P99" s="584"/>
      <c r="Q99" s="910"/>
      <c r="R99" s="901">
        <f>SUM(R100:R101)</f>
        <v>0.16899999999999993</v>
      </c>
      <c r="S99" s="582"/>
      <c r="T99" s="585"/>
      <c r="U99" s="586"/>
      <c r="V99" s="586"/>
      <c r="W99" s="2426"/>
      <c r="X99" s="2427"/>
      <c r="Y99" s="1679"/>
      <c r="Z99" s="1791"/>
      <c r="AB99" s="78">
        <v>1</v>
      </c>
      <c r="AE99" s="2461"/>
      <c r="AF99" s="68"/>
      <c r="AI99" s="2475"/>
    </row>
    <row r="100" spans="1:35" ht="18.75" customHeight="1" x14ac:dyDescent="0.35">
      <c r="A100" s="608"/>
      <c r="B100" s="375"/>
      <c r="C100" s="358"/>
      <c r="D100" s="2465"/>
      <c r="E100" s="289" t="s">
        <v>7006</v>
      </c>
      <c r="F100" s="596" t="s">
        <v>664</v>
      </c>
      <c r="G100" s="596">
        <v>5</v>
      </c>
      <c r="H100" s="2268" t="s">
        <v>191</v>
      </c>
      <c r="I100" s="298"/>
      <c r="J100" s="298"/>
      <c r="K100" s="595"/>
      <c r="L100" s="595">
        <v>0.8</v>
      </c>
      <c r="M100" s="982"/>
      <c r="N100" s="594"/>
      <c r="O100" s="917"/>
      <c r="P100" s="595"/>
      <c r="Q100" s="2409"/>
      <c r="R100" s="905"/>
      <c r="S100" s="2554"/>
      <c r="T100" s="2555"/>
      <c r="U100" s="2556"/>
      <c r="V100" s="2556"/>
      <c r="W100" s="2557"/>
      <c r="X100" s="2558"/>
      <c r="Y100" s="2559"/>
      <c r="Z100" s="2560"/>
      <c r="AE100" s="2461"/>
      <c r="AF100" s="68"/>
      <c r="AI100" s="2475"/>
    </row>
    <row r="101" spans="1:35" ht="15.5" x14ac:dyDescent="0.35">
      <c r="A101" s="608"/>
      <c r="B101" s="375"/>
      <c r="C101" s="358"/>
      <c r="D101" s="2465"/>
      <c r="E101" s="2280" t="s">
        <v>7007</v>
      </c>
      <c r="F101" s="596" t="s">
        <v>664</v>
      </c>
      <c r="G101" s="596">
        <v>5</v>
      </c>
      <c r="H101" s="2268">
        <v>6</v>
      </c>
      <c r="I101" s="298"/>
      <c r="J101" s="298"/>
      <c r="K101" s="595"/>
      <c r="L101" s="595"/>
      <c r="M101" s="982"/>
      <c r="N101" s="594"/>
      <c r="O101" s="917"/>
      <c r="P101" s="595"/>
      <c r="Q101" s="2409"/>
      <c r="R101" s="905">
        <f>0.969-0.8</f>
        <v>0.16899999999999993</v>
      </c>
      <c r="S101" s="2554"/>
      <c r="T101" s="2555"/>
      <c r="U101" s="2556"/>
      <c r="V101" s="2556"/>
      <c r="W101" s="2557"/>
      <c r="X101" s="2558"/>
      <c r="Y101" s="2559"/>
      <c r="Z101" s="2560"/>
      <c r="AE101" s="2461"/>
      <c r="AF101" s="68"/>
      <c r="AI101" s="2475"/>
    </row>
    <row r="102" spans="1:35" ht="15.5" x14ac:dyDescent="0.35">
      <c r="A102" s="608">
        <v>39</v>
      </c>
      <c r="B102" s="375">
        <v>10531</v>
      </c>
      <c r="C102" s="375"/>
      <c r="D102" s="375" t="s">
        <v>1052</v>
      </c>
      <c r="E102" s="371" t="s">
        <v>7228</v>
      </c>
      <c r="F102" s="596">
        <v>4</v>
      </c>
      <c r="G102" s="596">
        <v>4</v>
      </c>
      <c r="H102" s="2268">
        <v>6</v>
      </c>
      <c r="I102" s="583">
        <f t="shared" si="10"/>
        <v>12.769</v>
      </c>
      <c r="J102" s="583">
        <f t="shared" si="11"/>
        <v>12.769</v>
      </c>
      <c r="K102" s="584"/>
      <c r="L102" s="584"/>
      <c r="M102" s="980"/>
      <c r="N102" s="583">
        <v>12.769</v>
      </c>
      <c r="O102" s="597"/>
      <c r="P102" s="584"/>
      <c r="Q102" s="908"/>
      <c r="R102" s="901"/>
      <c r="S102" s="582">
        <v>1</v>
      </c>
      <c r="T102" s="585">
        <v>30.5</v>
      </c>
      <c r="U102" s="586"/>
      <c r="V102" s="586"/>
      <c r="W102" s="2426">
        <v>23</v>
      </c>
      <c r="X102" s="2427">
        <v>289.89999999999998</v>
      </c>
      <c r="Y102" s="1679">
        <v>9</v>
      </c>
      <c r="Z102" s="1791">
        <v>115</v>
      </c>
      <c r="AB102" s="78">
        <v>1</v>
      </c>
      <c r="AE102" s="2461"/>
      <c r="AF102" s="68"/>
      <c r="AI102" s="2475"/>
    </row>
    <row r="103" spans="1:35" ht="30.5" x14ac:dyDescent="0.35">
      <c r="A103" s="608">
        <v>40</v>
      </c>
      <c r="B103" s="1100">
        <v>10531</v>
      </c>
      <c r="C103" s="1100"/>
      <c r="D103" s="2465" t="s">
        <v>4622</v>
      </c>
      <c r="E103" s="371" t="s">
        <v>7655</v>
      </c>
      <c r="F103" s="596" t="s">
        <v>664</v>
      </c>
      <c r="G103" s="596">
        <v>5</v>
      </c>
      <c r="H103" s="2268">
        <v>6</v>
      </c>
      <c r="I103" s="583">
        <f t="shared" si="10"/>
        <v>1</v>
      </c>
      <c r="J103" s="583">
        <f t="shared" si="11"/>
        <v>1</v>
      </c>
      <c r="K103" s="584"/>
      <c r="L103" s="584"/>
      <c r="M103" s="980"/>
      <c r="N103" s="583"/>
      <c r="O103" s="597"/>
      <c r="P103" s="584"/>
      <c r="Q103" s="908"/>
      <c r="R103" s="903">
        <v>1</v>
      </c>
      <c r="S103" s="586"/>
      <c r="T103" s="590"/>
      <c r="U103" s="586"/>
      <c r="V103" s="586"/>
      <c r="W103" s="2426"/>
      <c r="X103" s="2427"/>
      <c r="Y103" s="1679"/>
      <c r="Z103" s="1791"/>
      <c r="AB103" s="78">
        <v>1</v>
      </c>
      <c r="AE103" s="2461"/>
      <c r="AF103" s="68"/>
      <c r="AI103" s="2475"/>
    </row>
    <row r="104" spans="1:35" ht="30.5" x14ac:dyDescent="0.35">
      <c r="A104" s="608">
        <v>41</v>
      </c>
      <c r="B104" s="1100">
        <v>10531</v>
      </c>
      <c r="C104" s="1100"/>
      <c r="D104" s="2465" t="s">
        <v>4623</v>
      </c>
      <c r="E104" s="371" t="s">
        <v>9800</v>
      </c>
      <c r="F104" s="596">
        <v>5</v>
      </c>
      <c r="G104" s="596">
        <v>5</v>
      </c>
      <c r="H104" s="2268">
        <v>6</v>
      </c>
      <c r="I104" s="583">
        <f t="shared" si="10"/>
        <v>1.4</v>
      </c>
      <c r="J104" s="583">
        <f t="shared" si="11"/>
        <v>1.4</v>
      </c>
      <c r="K104" s="584"/>
      <c r="L104" s="584"/>
      <c r="M104" s="980"/>
      <c r="N104" s="583"/>
      <c r="O104" s="597"/>
      <c r="P104" s="584"/>
      <c r="Q104" s="908"/>
      <c r="R104" s="903">
        <v>1.4</v>
      </c>
      <c r="S104" s="586"/>
      <c r="T104" s="590"/>
      <c r="U104" s="586"/>
      <c r="V104" s="586"/>
      <c r="W104" s="2426">
        <v>3</v>
      </c>
      <c r="X104" s="2427">
        <v>30</v>
      </c>
      <c r="Y104" s="1679"/>
      <c r="Z104" s="1791"/>
      <c r="AB104" s="78">
        <v>1</v>
      </c>
      <c r="AE104" s="2461"/>
      <c r="AF104" s="68"/>
      <c r="AI104" s="2475"/>
    </row>
    <row r="105" spans="1:35" ht="30.5" x14ac:dyDescent="0.35">
      <c r="A105" s="608">
        <v>42</v>
      </c>
      <c r="B105" s="1100">
        <v>10531</v>
      </c>
      <c r="C105" s="1100"/>
      <c r="D105" s="2465" t="s">
        <v>4624</v>
      </c>
      <c r="E105" s="371" t="s">
        <v>7656</v>
      </c>
      <c r="F105" s="596" t="s">
        <v>1490</v>
      </c>
      <c r="G105" s="596">
        <v>5</v>
      </c>
      <c r="H105" s="2268">
        <v>6</v>
      </c>
      <c r="I105" s="583">
        <f t="shared" si="10"/>
        <v>0.7</v>
      </c>
      <c r="J105" s="583">
        <f t="shared" si="11"/>
        <v>0.7</v>
      </c>
      <c r="K105" s="584"/>
      <c r="L105" s="584"/>
      <c r="M105" s="980"/>
      <c r="N105" s="583"/>
      <c r="O105" s="597"/>
      <c r="P105" s="584"/>
      <c r="Q105" s="908"/>
      <c r="R105" s="903">
        <v>0.7</v>
      </c>
      <c r="S105" s="586"/>
      <c r="T105" s="590"/>
      <c r="U105" s="586"/>
      <c r="V105" s="586"/>
      <c r="W105" s="2426"/>
      <c r="X105" s="2427"/>
      <c r="Y105" s="1679"/>
      <c r="Z105" s="1791"/>
      <c r="AB105" s="78">
        <v>1</v>
      </c>
      <c r="AC105" s="78" t="s">
        <v>2570</v>
      </c>
      <c r="AE105" s="2461"/>
      <c r="AF105" s="68"/>
      <c r="AI105" s="2475"/>
    </row>
    <row r="106" spans="1:35" ht="45.5" x14ac:dyDescent="0.35">
      <c r="A106" s="608">
        <v>43</v>
      </c>
      <c r="B106" s="1099">
        <v>10531</v>
      </c>
      <c r="C106" s="1099" t="s">
        <v>1656</v>
      </c>
      <c r="D106" s="2465" t="s">
        <v>4625</v>
      </c>
      <c r="E106" s="371" t="s">
        <v>8394</v>
      </c>
      <c r="F106" s="596" t="s">
        <v>664</v>
      </c>
      <c r="G106" s="596">
        <v>5</v>
      </c>
      <c r="H106" s="2268">
        <v>6</v>
      </c>
      <c r="I106" s="583">
        <f t="shared" si="10"/>
        <v>1.3</v>
      </c>
      <c r="J106" s="583">
        <f t="shared" si="11"/>
        <v>1.3</v>
      </c>
      <c r="K106" s="598"/>
      <c r="L106" s="598"/>
      <c r="M106" s="983"/>
      <c r="N106" s="580"/>
      <c r="O106" s="918"/>
      <c r="P106" s="580"/>
      <c r="Q106" s="913"/>
      <c r="R106" s="906">
        <v>1.3</v>
      </c>
      <c r="S106" s="600"/>
      <c r="T106" s="600"/>
      <c r="U106" s="600"/>
      <c r="V106" s="600"/>
      <c r="W106" s="1676">
        <v>1</v>
      </c>
      <c r="X106" s="1789">
        <v>5</v>
      </c>
      <c r="Y106" s="1676"/>
      <c r="Z106" s="1790"/>
      <c r="AB106" s="78">
        <v>1</v>
      </c>
      <c r="AE106" s="2461"/>
      <c r="AF106" s="68"/>
      <c r="AI106" s="2475"/>
    </row>
    <row r="107" spans="1:35" ht="30.5" x14ac:dyDescent="0.35">
      <c r="A107" s="608">
        <v>44</v>
      </c>
      <c r="B107" s="375">
        <v>10528</v>
      </c>
      <c r="C107" s="358" t="s">
        <v>1656</v>
      </c>
      <c r="D107" s="2465" t="s">
        <v>4626</v>
      </c>
      <c r="E107" s="372" t="s">
        <v>9801</v>
      </c>
      <c r="F107" s="596" t="s">
        <v>664</v>
      </c>
      <c r="G107" s="596">
        <v>5</v>
      </c>
      <c r="H107" s="2268">
        <v>6</v>
      </c>
      <c r="I107" s="297">
        <f>J107+K107+L107</f>
        <v>0.1</v>
      </c>
      <c r="J107" s="297">
        <f>SUM(M107:R107)</f>
        <v>0.1</v>
      </c>
      <c r="K107" s="588"/>
      <c r="L107" s="588"/>
      <c r="M107" s="981"/>
      <c r="N107" s="1794"/>
      <c r="O107" s="2365"/>
      <c r="P107" s="2364"/>
      <c r="Q107" s="1795"/>
      <c r="R107" s="2366">
        <v>0.1</v>
      </c>
      <c r="S107" s="586"/>
      <c r="T107" s="590"/>
      <c r="U107" s="586"/>
      <c r="V107" s="586"/>
      <c r="W107" s="2426"/>
      <c r="X107" s="2427"/>
      <c r="Y107" s="1679"/>
      <c r="Z107" s="1791"/>
      <c r="AB107" s="78">
        <v>1</v>
      </c>
      <c r="AE107" s="2461"/>
      <c r="AF107" s="68"/>
      <c r="AI107" s="2475"/>
    </row>
    <row r="108" spans="1:35" ht="15.5" x14ac:dyDescent="0.35">
      <c r="A108" s="608">
        <v>45</v>
      </c>
      <c r="B108" s="375">
        <v>10532</v>
      </c>
      <c r="C108" s="375"/>
      <c r="D108" s="375" t="s">
        <v>1053</v>
      </c>
      <c r="E108" s="371" t="s">
        <v>94</v>
      </c>
      <c r="F108" s="596">
        <v>4</v>
      </c>
      <c r="G108" s="596">
        <v>4</v>
      </c>
      <c r="H108" s="2268">
        <v>6</v>
      </c>
      <c r="I108" s="583">
        <f t="shared" si="10"/>
        <v>7.4980000000000002</v>
      </c>
      <c r="J108" s="583">
        <f t="shared" si="11"/>
        <v>7.4980000000000002</v>
      </c>
      <c r="K108" s="584"/>
      <c r="L108" s="584"/>
      <c r="M108" s="980"/>
      <c r="N108" s="583">
        <v>7.4980000000000002</v>
      </c>
      <c r="O108" s="597"/>
      <c r="P108" s="584"/>
      <c r="Q108" s="908"/>
      <c r="R108" s="901"/>
      <c r="S108" s="582">
        <v>1</v>
      </c>
      <c r="T108" s="585">
        <v>27.600000381469727</v>
      </c>
      <c r="U108" s="586"/>
      <c r="V108" s="586"/>
      <c r="W108" s="2426">
        <v>17</v>
      </c>
      <c r="X108" s="2427">
        <v>230.7</v>
      </c>
      <c r="Y108" s="1679">
        <v>10</v>
      </c>
      <c r="Z108" s="1791">
        <v>130</v>
      </c>
      <c r="AB108" s="78">
        <v>1</v>
      </c>
      <c r="AE108" s="2461"/>
      <c r="AF108" s="68"/>
      <c r="AI108" s="2475"/>
    </row>
    <row r="109" spans="1:35" ht="30.5" x14ac:dyDescent="0.35">
      <c r="A109" s="608">
        <v>46</v>
      </c>
      <c r="B109" s="1100">
        <v>10532</v>
      </c>
      <c r="C109" s="1100"/>
      <c r="D109" s="2465" t="s">
        <v>4627</v>
      </c>
      <c r="E109" s="371" t="s">
        <v>7657</v>
      </c>
      <c r="F109" s="596" t="s">
        <v>664</v>
      </c>
      <c r="G109" s="596">
        <v>5</v>
      </c>
      <c r="H109" s="2268">
        <v>6</v>
      </c>
      <c r="I109" s="583">
        <f t="shared" si="10"/>
        <v>0.5</v>
      </c>
      <c r="J109" s="583">
        <f t="shared" si="11"/>
        <v>0.5</v>
      </c>
      <c r="K109" s="584"/>
      <c r="L109" s="584"/>
      <c r="M109" s="980"/>
      <c r="N109" s="584"/>
      <c r="O109" s="597"/>
      <c r="P109" s="584"/>
      <c r="Q109" s="910"/>
      <c r="R109" s="903">
        <v>0.5</v>
      </c>
      <c r="S109" s="586"/>
      <c r="T109" s="590"/>
      <c r="U109" s="586"/>
      <c r="V109" s="586"/>
      <c r="W109" s="2426"/>
      <c r="X109" s="2427"/>
      <c r="Y109" s="1679"/>
      <c r="Z109" s="1791"/>
      <c r="AB109" s="78">
        <v>1</v>
      </c>
      <c r="AE109" s="2461"/>
      <c r="AF109" s="68"/>
      <c r="AI109" s="2475"/>
    </row>
    <row r="110" spans="1:35" ht="75.5" x14ac:dyDescent="0.35">
      <c r="A110" s="608">
        <v>47</v>
      </c>
      <c r="B110" s="375">
        <v>10533</v>
      </c>
      <c r="C110" s="375"/>
      <c r="D110" s="375" t="s">
        <v>443</v>
      </c>
      <c r="E110" s="372" t="s">
        <v>10991</v>
      </c>
      <c r="F110" s="596"/>
      <c r="G110" s="596" t="s">
        <v>191</v>
      </c>
      <c r="H110" s="2268" t="s">
        <v>191</v>
      </c>
      <c r="I110" s="583">
        <f t="shared" si="10"/>
        <v>9.48</v>
      </c>
      <c r="J110" s="583">
        <f t="shared" si="11"/>
        <v>9.48</v>
      </c>
      <c r="K110" s="584"/>
      <c r="L110" s="584"/>
      <c r="M110" s="980"/>
      <c r="N110" s="2859">
        <f>SUM(N111:N114)</f>
        <v>4.2780000000000005</v>
      </c>
      <c r="O110" s="597"/>
      <c r="P110" s="584"/>
      <c r="Q110" s="908">
        <f>SUM(Q111:Q114)</f>
        <v>2.27</v>
      </c>
      <c r="R110" s="903">
        <f>SUM(R111:R114)</f>
        <v>2.9320000000000004</v>
      </c>
      <c r="S110" s="586"/>
      <c r="T110" s="590"/>
      <c r="U110" s="586"/>
      <c r="V110" s="586"/>
      <c r="W110" s="2426">
        <v>23</v>
      </c>
      <c r="X110" s="2427">
        <v>264.89999999999998</v>
      </c>
      <c r="Y110" s="1679">
        <v>5</v>
      </c>
      <c r="Z110" s="1791">
        <v>50</v>
      </c>
      <c r="AB110" s="78">
        <v>1</v>
      </c>
      <c r="AE110" s="2461"/>
      <c r="AF110" s="68"/>
      <c r="AI110" s="2475"/>
    </row>
    <row r="111" spans="1:35" ht="15.5" x14ac:dyDescent="0.35">
      <c r="A111" s="604"/>
      <c r="B111" s="375">
        <v>10533</v>
      </c>
      <c r="C111" s="375"/>
      <c r="D111" s="376"/>
      <c r="E111" s="1584" t="s">
        <v>11394</v>
      </c>
      <c r="F111" s="596">
        <v>4</v>
      </c>
      <c r="G111" s="596">
        <v>4</v>
      </c>
      <c r="H111" s="2268">
        <v>6</v>
      </c>
      <c r="I111" s="589"/>
      <c r="J111" s="589"/>
      <c r="K111" s="588"/>
      <c r="L111" s="588"/>
      <c r="M111" s="981"/>
      <c r="N111" s="2860">
        <v>2.6</v>
      </c>
      <c r="O111" s="915"/>
      <c r="P111" s="588"/>
      <c r="Q111" s="909"/>
      <c r="R111" s="904"/>
      <c r="S111" s="586"/>
      <c r="T111" s="590"/>
      <c r="U111" s="586"/>
      <c r="V111" s="586"/>
      <c r="W111" s="2426"/>
      <c r="X111" s="2427"/>
      <c r="Y111" s="1679"/>
      <c r="Z111" s="1791"/>
      <c r="AE111" s="2461"/>
      <c r="AF111" s="68"/>
    </row>
    <row r="112" spans="1:35" ht="15.5" x14ac:dyDescent="0.35">
      <c r="A112" s="604"/>
      <c r="B112" s="375"/>
      <c r="C112" s="375"/>
      <c r="D112" s="376"/>
      <c r="E112" s="1583" t="s">
        <v>11319</v>
      </c>
      <c r="F112" s="596">
        <v>4</v>
      </c>
      <c r="G112" s="596">
        <v>4</v>
      </c>
      <c r="H112" s="2268">
        <v>6</v>
      </c>
      <c r="I112" s="589"/>
      <c r="J112" s="589"/>
      <c r="K112" s="588"/>
      <c r="L112" s="588"/>
      <c r="M112" s="981"/>
      <c r="N112" s="2860"/>
      <c r="O112" s="915"/>
      <c r="P112" s="588"/>
      <c r="Q112" s="909">
        <f>4.87-2.6</f>
        <v>2.27</v>
      </c>
      <c r="R112" s="904"/>
      <c r="S112" s="586"/>
      <c r="T112" s="590"/>
      <c r="U112" s="586"/>
      <c r="V112" s="586"/>
      <c r="W112" s="2426"/>
      <c r="X112" s="2427"/>
      <c r="Y112" s="1679"/>
      <c r="Z112" s="1791"/>
      <c r="AE112" s="2461"/>
      <c r="AF112" s="68"/>
    </row>
    <row r="113" spans="1:35" ht="15.5" x14ac:dyDescent="0.35">
      <c r="A113" s="604"/>
      <c r="B113" s="375"/>
      <c r="C113" s="375"/>
      <c r="D113" s="376"/>
      <c r="E113" s="1584" t="s">
        <v>11395</v>
      </c>
      <c r="F113" s="596">
        <v>4</v>
      </c>
      <c r="G113" s="596">
        <v>4</v>
      </c>
      <c r="H113" s="2268">
        <v>6</v>
      </c>
      <c r="I113" s="589"/>
      <c r="J113" s="589"/>
      <c r="K113" s="588"/>
      <c r="L113" s="588"/>
      <c r="M113" s="981"/>
      <c r="N113" s="2860">
        <f>6.548-4.87</f>
        <v>1.6779999999999999</v>
      </c>
      <c r="O113" s="915"/>
      <c r="P113" s="588"/>
      <c r="Q113" s="909"/>
      <c r="R113" s="904"/>
      <c r="S113" s="586"/>
      <c r="T113" s="590"/>
      <c r="U113" s="586"/>
      <c r="V113" s="586"/>
      <c r="W113" s="2426"/>
      <c r="X113" s="2427"/>
      <c r="Y113" s="1679"/>
      <c r="Z113" s="1791"/>
      <c r="AE113" s="2461"/>
      <c r="AF113" s="68"/>
    </row>
    <row r="114" spans="1:35" ht="15.5" x14ac:dyDescent="0.35">
      <c r="A114" s="604"/>
      <c r="B114" s="375">
        <v>10533</v>
      </c>
      <c r="C114" s="375"/>
      <c r="D114" s="376"/>
      <c r="E114" s="1585" t="s">
        <v>2001</v>
      </c>
      <c r="F114" s="2268" t="s">
        <v>827</v>
      </c>
      <c r="G114" s="596">
        <v>5</v>
      </c>
      <c r="H114" s="2268">
        <v>6</v>
      </c>
      <c r="I114" s="589"/>
      <c r="J114" s="589"/>
      <c r="K114" s="588"/>
      <c r="L114" s="588"/>
      <c r="M114" s="981"/>
      <c r="N114" s="2860"/>
      <c r="O114" s="915"/>
      <c r="P114" s="588"/>
      <c r="Q114" s="909"/>
      <c r="R114" s="904">
        <f>9.48-6.548</f>
        <v>2.9320000000000004</v>
      </c>
      <c r="S114" s="586"/>
      <c r="T114" s="590"/>
      <c r="U114" s="586"/>
      <c r="V114" s="586"/>
      <c r="W114" s="2426"/>
      <c r="X114" s="2427"/>
      <c r="Y114" s="1679"/>
      <c r="Z114" s="1791"/>
      <c r="AE114" s="2461"/>
      <c r="AF114" s="68"/>
    </row>
    <row r="115" spans="1:35" ht="90.5" x14ac:dyDescent="0.35">
      <c r="A115" s="608">
        <v>48</v>
      </c>
      <c r="B115" s="375">
        <v>10533</v>
      </c>
      <c r="C115" s="375" t="s">
        <v>1656</v>
      </c>
      <c r="D115" s="2465" t="s">
        <v>4628</v>
      </c>
      <c r="E115" s="372" t="s">
        <v>10992</v>
      </c>
      <c r="F115" s="2268" t="s">
        <v>664</v>
      </c>
      <c r="G115" s="2268">
        <v>5</v>
      </c>
      <c r="H115" s="2268">
        <v>6</v>
      </c>
      <c r="I115" s="583">
        <f>J115+K115+L115</f>
        <v>0.09</v>
      </c>
      <c r="J115" s="583">
        <f>SUM(M115:R115)</f>
        <v>0.09</v>
      </c>
      <c r="K115" s="588"/>
      <c r="L115" s="588"/>
      <c r="M115" s="981"/>
      <c r="N115" s="589"/>
      <c r="O115" s="915"/>
      <c r="P115" s="588"/>
      <c r="Q115" s="909"/>
      <c r="R115" s="903">
        <v>0.09</v>
      </c>
      <c r="S115" s="586"/>
      <c r="T115" s="590"/>
      <c r="U115" s="586"/>
      <c r="V115" s="586"/>
      <c r="W115" s="2426"/>
      <c r="X115" s="2427"/>
      <c r="Y115" s="1679"/>
      <c r="Z115" s="1791"/>
      <c r="AB115" s="78">
        <v>1</v>
      </c>
      <c r="AE115" s="2461"/>
      <c r="AF115" s="68"/>
      <c r="AI115" s="2475"/>
    </row>
    <row r="116" spans="1:35" ht="90.5" x14ac:dyDescent="0.35">
      <c r="A116" s="608">
        <v>49</v>
      </c>
      <c r="B116" s="1099">
        <v>10533</v>
      </c>
      <c r="C116" s="1099" t="s">
        <v>1656</v>
      </c>
      <c r="D116" s="2465" t="s">
        <v>4629</v>
      </c>
      <c r="E116" s="372" t="s">
        <v>10993</v>
      </c>
      <c r="F116" s="596" t="s">
        <v>1490</v>
      </c>
      <c r="G116" s="596">
        <v>5</v>
      </c>
      <c r="H116" s="2268">
        <v>6</v>
      </c>
      <c r="I116" s="583">
        <f>J116+K116+L116</f>
        <v>0.8</v>
      </c>
      <c r="J116" s="583">
        <f>SUM(M116:R116)</f>
        <v>0.8</v>
      </c>
      <c r="K116" s="598"/>
      <c r="L116" s="598"/>
      <c r="M116" s="983"/>
      <c r="N116" s="580"/>
      <c r="O116" s="918"/>
      <c r="P116" s="580"/>
      <c r="Q116" s="913"/>
      <c r="R116" s="906">
        <v>0.8</v>
      </c>
      <c r="S116" s="600"/>
      <c r="T116" s="600"/>
      <c r="U116" s="600"/>
      <c r="V116" s="600"/>
      <c r="W116" s="1676">
        <v>2</v>
      </c>
      <c r="X116" s="1789">
        <v>10</v>
      </c>
      <c r="Y116" s="1676"/>
      <c r="Z116" s="1790"/>
      <c r="AB116" s="78">
        <v>1</v>
      </c>
      <c r="AE116" s="2461"/>
      <c r="AF116" s="68"/>
      <c r="AI116" s="2475"/>
    </row>
    <row r="117" spans="1:35" ht="45.5" x14ac:dyDescent="0.35">
      <c r="A117" s="603">
        <v>50</v>
      </c>
      <c r="B117" s="375">
        <v>10534</v>
      </c>
      <c r="C117" s="375"/>
      <c r="D117" s="375" t="s">
        <v>444</v>
      </c>
      <c r="E117" s="371" t="s">
        <v>7008</v>
      </c>
      <c r="F117" s="596"/>
      <c r="G117" s="596"/>
      <c r="H117" s="2268" t="s">
        <v>191</v>
      </c>
      <c r="I117" s="583">
        <f>J117+K117+L117</f>
        <v>16.568000000000001</v>
      </c>
      <c r="J117" s="583">
        <f>SUM(M117:R117)</f>
        <v>16.368000000000002</v>
      </c>
      <c r="K117" s="584"/>
      <c r="L117" s="583">
        <v>0.2</v>
      </c>
      <c r="M117" s="980"/>
      <c r="N117" s="583">
        <f>SUM(N118:N121)</f>
        <v>7.8719999999999999</v>
      </c>
      <c r="O117" s="597"/>
      <c r="P117" s="584"/>
      <c r="Q117" s="910">
        <f>SUM(Q118:Q121)</f>
        <v>8.4960000000000022</v>
      </c>
      <c r="R117" s="903"/>
      <c r="S117" s="586"/>
      <c r="T117" s="590"/>
      <c r="U117" s="586"/>
      <c r="V117" s="586"/>
      <c r="W117" s="2426">
        <v>47</v>
      </c>
      <c r="X117" s="2427">
        <v>603.4</v>
      </c>
      <c r="Y117" s="1679">
        <v>29</v>
      </c>
      <c r="Z117" s="1791">
        <v>366</v>
      </c>
      <c r="AB117" s="78">
        <v>1</v>
      </c>
      <c r="AE117" s="2461"/>
      <c r="AF117" s="68"/>
      <c r="AI117" s="2475"/>
    </row>
    <row r="118" spans="1:35" ht="15.5" x14ac:dyDescent="0.35">
      <c r="A118" s="604"/>
      <c r="B118" s="375">
        <v>10534</v>
      </c>
      <c r="C118" s="375"/>
      <c r="D118" s="376"/>
      <c r="E118" s="1583" t="s">
        <v>3357</v>
      </c>
      <c r="F118" s="596">
        <v>4</v>
      </c>
      <c r="G118" s="596">
        <v>4</v>
      </c>
      <c r="H118" s="2268">
        <v>6</v>
      </c>
      <c r="I118" s="588"/>
      <c r="J118" s="588"/>
      <c r="K118" s="588"/>
      <c r="L118" s="588"/>
      <c r="M118" s="981"/>
      <c r="N118" s="588"/>
      <c r="O118" s="915"/>
      <c r="P118" s="588"/>
      <c r="Q118" s="909">
        <v>2.7</v>
      </c>
      <c r="R118" s="902"/>
      <c r="S118" s="586"/>
      <c r="T118" s="590"/>
      <c r="U118" s="586"/>
      <c r="V118" s="586"/>
      <c r="W118" s="1679"/>
      <c r="X118" s="1678"/>
      <c r="Y118" s="1679"/>
      <c r="Z118" s="1791"/>
      <c r="AE118" s="2461"/>
      <c r="AF118" s="68"/>
    </row>
    <row r="119" spans="1:35" ht="39" customHeight="1" x14ac:dyDescent="0.35">
      <c r="A119" s="604"/>
      <c r="B119" s="375">
        <v>10534</v>
      </c>
      <c r="C119" s="375"/>
      <c r="D119" s="376"/>
      <c r="E119" s="610" t="s">
        <v>9808</v>
      </c>
      <c r="F119" s="591">
        <v>4</v>
      </c>
      <c r="G119" s="591">
        <v>4</v>
      </c>
      <c r="H119" s="2419" t="s">
        <v>191</v>
      </c>
      <c r="I119" s="588"/>
      <c r="J119" s="588"/>
      <c r="K119" s="588"/>
      <c r="L119" s="588">
        <v>0.2</v>
      </c>
      <c r="M119" s="981"/>
      <c r="N119" s="588"/>
      <c r="O119" s="915"/>
      <c r="P119" s="588"/>
      <c r="Q119" s="909"/>
      <c r="R119" s="902"/>
      <c r="S119" s="586"/>
      <c r="T119" s="590"/>
      <c r="U119" s="586"/>
      <c r="V119" s="586"/>
      <c r="W119" s="1679"/>
      <c r="X119" s="1678"/>
      <c r="Y119" s="1679"/>
      <c r="Z119" s="1791"/>
      <c r="AE119" s="2461"/>
      <c r="AF119" s="68"/>
    </row>
    <row r="120" spans="1:35" ht="15.5" x14ac:dyDescent="0.35">
      <c r="A120" s="604"/>
      <c r="B120" s="375">
        <v>10534</v>
      </c>
      <c r="C120" s="375"/>
      <c r="D120" s="376"/>
      <c r="E120" s="610" t="s">
        <v>591</v>
      </c>
      <c r="F120" s="596">
        <v>4</v>
      </c>
      <c r="G120" s="596">
        <v>4</v>
      </c>
      <c r="H120" s="2268">
        <v>6</v>
      </c>
      <c r="I120" s="588"/>
      <c r="J120" s="588"/>
      <c r="K120" s="588"/>
      <c r="L120" s="588"/>
      <c r="M120" s="981"/>
      <c r="N120" s="588">
        <f>10.772-2.9</f>
        <v>7.8719999999999999</v>
      </c>
      <c r="O120" s="915"/>
      <c r="P120" s="588"/>
      <c r="Q120" s="909"/>
      <c r="R120" s="902"/>
      <c r="S120" s="586"/>
      <c r="T120" s="590"/>
      <c r="U120" s="586"/>
      <c r="V120" s="586"/>
      <c r="W120" s="1679"/>
      <c r="X120" s="1678"/>
      <c r="Y120" s="1679"/>
      <c r="Z120" s="1791"/>
      <c r="AE120" s="2461"/>
      <c r="AF120" s="68"/>
    </row>
    <row r="121" spans="1:35" ht="15.5" x14ac:dyDescent="0.35">
      <c r="A121" s="604"/>
      <c r="B121" s="375">
        <v>10534</v>
      </c>
      <c r="C121" s="375"/>
      <c r="D121" s="376"/>
      <c r="E121" s="1583" t="s">
        <v>592</v>
      </c>
      <c r="F121" s="596">
        <v>4</v>
      </c>
      <c r="G121" s="596">
        <v>4</v>
      </c>
      <c r="H121" s="2268">
        <v>6</v>
      </c>
      <c r="I121" s="588"/>
      <c r="J121" s="588"/>
      <c r="K121" s="588"/>
      <c r="L121" s="588"/>
      <c r="M121" s="981"/>
      <c r="N121" s="588"/>
      <c r="O121" s="915"/>
      <c r="P121" s="588"/>
      <c r="Q121" s="909">
        <f>16.568-10.772</f>
        <v>5.7960000000000012</v>
      </c>
      <c r="R121" s="902"/>
      <c r="S121" s="586"/>
      <c r="T121" s="590"/>
      <c r="U121" s="586"/>
      <c r="V121" s="586"/>
      <c r="W121" s="1679"/>
      <c r="X121" s="1678"/>
      <c r="Y121" s="1679"/>
      <c r="Z121" s="1791"/>
      <c r="AE121" s="2461"/>
      <c r="AF121" s="68"/>
    </row>
    <row r="122" spans="1:35" ht="45.5" x14ac:dyDescent="0.35">
      <c r="A122" s="603">
        <v>51</v>
      </c>
      <c r="B122" s="1100">
        <v>10534</v>
      </c>
      <c r="C122" s="1100"/>
      <c r="D122" s="2465" t="s">
        <v>4630</v>
      </c>
      <c r="E122" s="371" t="s">
        <v>7658</v>
      </c>
      <c r="F122" s="596">
        <v>5</v>
      </c>
      <c r="G122" s="596">
        <v>5</v>
      </c>
      <c r="H122" s="2268">
        <v>6</v>
      </c>
      <c r="I122" s="583">
        <f>J122+K122+L122</f>
        <v>2.1</v>
      </c>
      <c r="J122" s="583">
        <f>SUM(M122:R122)</f>
        <v>2.1</v>
      </c>
      <c r="K122" s="584"/>
      <c r="L122" s="584"/>
      <c r="M122" s="980"/>
      <c r="N122" s="583"/>
      <c r="O122" s="597"/>
      <c r="P122" s="584"/>
      <c r="Q122" s="908"/>
      <c r="R122" s="903">
        <v>2.1</v>
      </c>
      <c r="S122" s="586">
        <v>1</v>
      </c>
      <c r="T122" s="590">
        <v>18.3</v>
      </c>
      <c r="U122" s="586"/>
      <c r="V122" s="586"/>
      <c r="W122" s="2426">
        <v>2</v>
      </c>
      <c r="X122" s="2427">
        <v>12.5</v>
      </c>
      <c r="Y122" s="1679"/>
      <c r="Z122" s="1791"/>
      <c r="AB122" s="78">
        <v>1</v>
      </c>
      <c r="AE122" s="2461"/>
      <c r="AF122" s="68"/>
      <c r="AI122" s="2475"/>
    </row>
    <row r="123" spans="1:35" ht="60.5" x14ac:dyDescent="0.35">
      <c r="A123" s="1593">
        <v>52</v>
      </c>
      <c r="B123" s="1100">
        <v>10534</v>
      </c>
      <c r="C123" s="358" t="s">
        <v>1656</v>
      </c>
      <c r="D123" s="2465" t="s">
        <v>4631</v>
      </c>
      <c r="E123" s="372" t="s">
        <v>8395</v>
      </c>
      <c r="F123" s="596">
        <v>5</v>
      </c>
      <c r="G123" s="596">
        <v>5</v>
      </c>
      <c r="H123" s="2268">
        <v>6</v>
      </c>
      <c r="I123" s="297">
        <f>J123+K123+L123</f>
        <v>0.32400000000000001</v>
      </c>
      <c r="J123" s="297">
        <f>SUM(M123:R123)</f>
        <v>0.32400000000000001</v>
      </c>
      <c r="K123" s="584"/>
      <c r="L123" s="584"/>
      <c r="M123" s="980"/>
      <c r="N123" s="583"/>
      <c r="O123" s="597"/>
      <c r="P123" s="584"/>
      <c r="Q123" s="908"/>
      <c r="R123" s="903">
        <v>0.32400000000000001</v>
      </c>
      <c r="S123" s="586"/>
      <c r="T123" s="590"/>
      <c r="U123" s="586"/>
      <c r="V123" s="586"/>
      <c r="W123" s="2426"/>
      <c r="X123" s="2427"/>
      <c r="Y123" s="1679"/>
      <c r="Z123" s="1791"/>
      <c r="AB123" s="78">
        <v>1</v>
      </c>
      <c r="AE123" s="2461"/>
      <c r="AF123" s="68"/>
      <c r="AI123" s="2475"/>
    </row>
    <row r="124" spans="1:35" ht="60.5" x14ac:dyDescent="0.35">
      <c r="A124" s="603">
        <v>53</v>
      </c>
      <c r="B124" s="1101">
        <v>10534</v>
      </c>
      <c r="C124" s="1099" t="s">
        <v>1656</v>
      </c>
      <c r="D124" s="2465" t="s">
        <v>4632</v>
      </c>
      <c r="E124" s="371" t="s">
        <v>8396</v>
      </c>
      <c r="F124" s="596" t="s">
        <v>664</v>
      </c>
      <c r="G124" s="596">
        <v>5</v>
      </c>
      <c r="H124" s="2268">
        <v>6</v>
      </c>
      <c r="I124" s="583">
        <f>J124+K124+L124</f>
        <v>0.3</v>
      </c>
      <c r="J124" s="583">
        <f>SUM(M124:R124)</f>
        <v>0.3</v>
      </c>
      <c r="K124" s="584"/>
      <c r="L124" s="584"/>
      <c r="M124" s="983"/>
      <c r="N124" s="580"/>
      <c r="O124" s="918"/>
      <c r="P124" s="580"/>
      <c r="Q124" s="913"/>
      <c r="R124" s="906">
        <v>0.3</v>
      </c>
      <c r="S124" s="586"/>
      <c r="T124" s="590"/>
      <c r="U124" s="586"/>
      <c r="V124" s="586"/>
      <c r="W124" s="1679"/>
      <c r="X124" s="1678"/>
      <c r="Y124" s="1679"/>
      <c r="Z124" s="1791"/>
      <c r="AB124" s="78">
        <v>1</v>
      </c>
      <c r="AE124" s="2461"/>
      <c r="AF124" s="68"/>
      <c r="AI124" s="2475"/>
    </row>
    <row r="125" spans="1:35" ht="60.5" x14ac:dyDescent="0.35">
      <c r="A125" s="525">
        <v>54</v>
      </c>
      <c r="B125" s="1100">
        <v>10526</v>
      </c>
      <c r="C125" s="358" t="s">
        <v>1656</v>
      </c>
      <c r="D125" s="2465" t="s">
        <v>4597</v>
      </c>
      <c r="E125" s="372" t="s">
        <v>8397</v>
      </c>
      <c r="F125" s="596" t="s">
        <v>664</v>
      </c>
      <c r="G125" s="596">
        <v>5</v>
      </c>
      <c r="H125" s="2268">
        <v>6</v>
      </c>
      <c r="I125" s="297">
        <f>J125+K125+L125</f>
        <v>0.13700000000000001</v>
      </c>
      <c r="J125" s="297">
        <f>SUM(M125:R125)</f>
        <v>0.13700000000000001</v>
      </c>
      <c r="K125" s="584"/>
      <c r="L125" s="584"/>
      <c r="M125" s="980"/>
      <c r="N125" s="583"/>
      <c r="O125" s="597"/>
      <c r="P125" s="584"/>
      <c r="Q125" s="908"/>
      <c r="R125" s="901">
        <v>0.13700000000000001</v>
      </c>
      <c r="S125" s="586"/>
      <c r="T125" s="590"/>
      <c r="U125" s="586"/>
      <c r="V125" s="586"/>
      <c r="W125" s="2426"/>
      <c r="X125" s="2427"/>
      <c r="Y125" s="1679"/>
      <c r="Z125" s="1791"/>
      <c r="AB125" s="78">
        <v>1</v>
      </c>
      <c r="AE125" s="2461"/>
      <c r="AF125" s="68"/>
      <c r="AI125" s="2475"/>
    </row>
    <row r="126" spans="1:35" ht="75.5" x14ac:dyDescent="0.35">
      <c r="A126" s="1593">
        <v>55</v>
      </c>
      <c r="B126" s="375">
        <v>10535</v>
      </c>
      <c r="C126" s="375"/>
      <c r="D126" s="375" t="s">
        <v>1608</v>
      </c>
      <c r="E126" s="372" t="s">
        <v>10995</v>
      </c>
      <c r="F126" s="591"/>
      <c r="G126" s="591"/>
      <c r="H126" s="2268" t="s">
        <v>191</v>
      </c>
      <c r="I126" s="583">
        <f>J126+K126+L126</f>
        <v>10.878</v>
      </c>
      <c r="J126" s="583">
        <f>SUM(M126:R126)</f>
        <v>10.878</v>
      </c>
      <c r="K126" s="584"/>
      <c r="L126" s="584"/>
      <c r="M126" s="980"/>
      <c r="N126" s="583">
        <f>SUM(N127:N129)</f>
        <v>4.3780000000000001</v>
      </c>
      <c r="O126" s="597"/>
      <c r="P126" s="584"/>
      <c r="Q126" s="910">
        <f>SUM(Q127:Q129)</f>
        <v>6.5</v>
      </c>
      <c r="R126" s="901"/>
      <c r="S126" s="582">
        <v>1</v>
      </c>
      <c r="T126" s="585">
        <v>36.700000762939453</v>
      </c>
      <c r="U126" s="586"/>
      <c r="V126" s="586"/>
      <c r="W126" s="2426">
        <v>24</v>
      </c>
      <c r="X126" s="2427">
        <v>332.03</v>
      </c>
      <c r="Y126" s="1679">
        <v>4</v>
      </c>
      <c r="Z126" s="1791">
        <v>40</v>
      </c>
      <c r="AB126" s="78">
        <v>1</v>
      </c>
      <c r="AE126" s="2461"/>
      <c r="AF126" s="68"/>
      <c r="AI126" s="2475"/>
    </row>
    <row r="127" spans="1:35" ht="15.5" x14ac:dyDescent="0.35">
      <c r="A127" s="604"/>
      <c r="B127" s="375">
        <v>10535</v>
      </c>
      <c r="C127" s="375"/>
      <c r="D127" s="376"/>
      <c r="E127" s="610" t="s">
        <v>3547</v>
      </c>
      <c r="F127" s="591">
        <v>4</v>
      </c>
      <c r="G127" s="591">
        <v>4</v>
      </c>
      <c r="H127" s="2268">
        <v>6</v>
      </c>
      <c r="I127" s="589"/>
      <c r="J127" s="589"/>
      <c r="K127" s="588"/>
      <c r="L127" s="588"/>
      <c r="M127" s="981"/>
      <c r="N127" s="589">
        <v>2.7E-2</v>
      </c>
      <c r="O127" s="915"/>
      <c r="P127" s="588"/>
      <c r="Q127" s="911"/>
      <c r="R127" s="902"/>
      <c r="S127" s="582"/>
      <c r="T127" s="585"/>
      <c r="U127" s="586"/>
      <c r="V127" s="586"/>
      <c r="W127" s="2426"/>
      <c r="X127" s="2427"/>
      <c r="Y127" s="1679"/>
      <c r="Z127" s="1791"/>
      <c r="AE127" s="2461"/>
      <c r="AF127" s="68"/>
    </row>
    <row r="128" spans="1:35" ht="15.5" x14ac:dyDescent="0.35">
      <c r="A128" s="604"/>
      <c r="B128" s="375"/>
      <c r="C128" s="375"/>
      <c r="D128" s="376"/>
      <c r="E128" s="1583" t="s">
        <v>3548</v>
      </c>
      <c r="F128" s="591">
        <v>4</v>
      </c>
      <c r="G128" s="591">
        <v>4</v>
      </c>
      <c r="H128" s="2268">
        <v>6</v>
      </c>
      <c r="I128" s="589"/>
      <c r="J128" s="589"/>
      <c r="K128" s="588"/>
      <c r="L128" s="588"/>
      <c r="M128" s="981"/>
      <c r="N128" s="589"/>
      <c r="O128" s="915"/>
      <c r="P128" s="588"/>
      <c r="Q128" s="911">
        <f>6.527-0.027</f>
        <v>6.5</v>
      </c>
      <c r="R128" s="902"/>
      <c r="S128" s="582"/>
      <c r="T128" s="585"/>
      <c r="U128" s="586"/>
      <c r="V128" s="586"/>
      <c r="W128" s="2426"/>
      <c r="X128" s="2427"/>
      <c r="Y128" s="1679"/>
      <c r="Z128" s="1791"/>
      <c r="AE128" s="2461"/>
      <c r="AF128" s="68"/>
    </row>
    <row r="129" spans="1:35" ht="15.5" x14ac:dyDescent="0.35">
      <c r="A129" s="604"/>
      <c r="B129" s="375">
        <v>10535</v>
      </c>
      <c r="C129" s="375"/>
      <c r="D129" s="376"/>
      <c r="E129" s="610" t="s">
        <v>3549</v>
      </c>
      <c r="F129" s="591">
        <v>4</v>
      </c>
      <c r="G129" s="591">
        <v>4</v>
      </c>
      <c r="H129" s="2268">
        <v>6</v>
      </c>
      <c r="I129" s="589"/>
      <c r="J129" s="589"/>
      <c r="K129" s="588"/>
      <c r="L129" s="588"/>
      <c r="M129" s="981"/>
      <c r="N129" s="589">
        <f>10.878-6.527</f>
        <v>4.351</v>
      </c>
      <c r="O129" s="915"/>
      <c r="P129" s="588"/>
      <c r="Q129" s="911"/>
      <c r="R129" s="902"/>
      <c r="S129" s="582"/>
      <c r="T129" s="585"/>
      <c r="U129" s="586"/>
      <c r="V129" s="586"/>
      <c r="W129" s="2426"/>
      <c r="X129" s="2427"/>
      <c r="Y129" s="1679"/>
      <c r="Z129" s="1791"/>
      <c r="AE129" s="2461"/>
      <c r="AF129" s="68"/>
    </row>
    <row r="130" spans="1:35" ht="90.5" x14ac:dyDescent="0.35">
      <c r="A130" s="370">
        <v>56</v>
      </c>
      <c r="B130" s="1099">
        <v>10535</v>
      </c>
      <c r="C130" s="358" t="s">
        <v>1656</v>
      </c>
      <c r="D130" s="2465" t="s">
        <v>4633</v>
      </c>
      <c r="E130" s="372" t="s">
        <v>10994</v>
      </c>
      <c r="F130" s="2565"/>
      <c r="G130" s="596"/>
      <c r="H130" s="2268" t="s">
        <v>191</v>
      </c>
      <c r="I130" s="297">
        <f>J130+K130+L130</f>
        <v>0.44300000000000006</v>
      </c>
      <c r="J130" s="297">
        <f>SUM(M130:R130)</f>
        <v>0.27300000000000002</v>
      </c>
      <c r="K130" s="598"/>
      <c r="L130" s="2561">
        <f>SUM(L131:L132)</f>
        <v>0.17</v>
      </c>
      <c r="M130" s="983"/>
      <c r="N130" s="580"/>
      <c r="O130" s="918"/>
      <c r="P130" s="580"/>
      <c r="Q130" s="913"/>
      <c r="R130" s="906">
        <f>SUM(R131:R132)</f>
        <v>0.27300000000000002</v>
      </c>
      <c r="S130" s="600"/>
      <c r="T130" s="600"/>
      <c r="U130" s="600"/>
      <c r="V130" s="600"/>
      <c r="W130" s="1676"/>
      <c r="X130" s="1789"/>
      <c r="Y130" s="1676"/>
      <c r="Z130" s="1790"/>
      <c r="AB130" s="78">
        <v>1</v>
      </c>
      <c r="AE130" s="2461"/>
      <c r="AF130" s="68"/>
      <c r="AI130" s="2475"/>
    </row>
    <row r="131" spans="1:35" ht="15.5" x14ac:dyDescent="0.35">
      <c r="A131" s="370"/>
      <c r="B131" s="1099"/>
      <c r="C131" s="358"/>
      <c r="D131" s="2465"/>
      <c r="E131" s="289" t="s">
        <v>7009</v>
      </c>
      <c r="F131" s="2565" t="s">
        <v>664</v>
      </c>
      <c r="G131" s="596">
        <v>5</v>
      </c>
      <c r="H131" s="2268" t="s">
        <v>191</v>
      </c>
      <c r="I131" s="297"/>
      <c r="J131" s="297"/>
      <c r="K131" s="598"/>
      <c r="L131" s="598">
        <v>0.17</v>
      </c>
      <c r="M131" s="983"/>
      <c r="N131" s="580"/>
      <c r="O131" s="918"/>
      <c r="P131" s="580"/>
      <c r="Q131" s="913"/>
      <c r="R131" s="906"/>
      <c r="S131" s="600"/>
      <c r="T131" s="600"/>
      <c r="U131" s="600"/>
      <c r="V131" s="600"/>
      <c r="W131" s="1676"/>
      <c r="X131" s="1789"/>
      <c r="Y131" s="1676"/>
      <c r="Z131" s="1790"/>
      <c r="AE131" s="2461"/>
      <c r="AF131" s="68"/>
      <c r="AI131" s="2475"/>
    </row>
    <row r="132" spans="1:35" ht="15.5" x14ac:dyDescent="0.35">
      <c r="A132" s="370"/>
      <c r="B132" s="1099"/>
      <c r="C132" s="358"/>
      <c r="D132" s="2465"/>
      <c r="E132" s="2280" t="s">
        <v>7010</v>
      </c>
      <c r="F132" s="2565" t="s">
        <v>664</v>
      </c>
      <c r="G132" s="596">
        <v>5</v>
      </c>
      <c r="H132" s="2268">
        <v>6</v>
      </c>
      <c r="I132" s="297"/>
      <c r="J132" s="297"/>
      <c r="K132" s="598"/>
      <c r="L132" s="598"/>
      <c r="M132" s="983"/>
      <c r="N132" s="580"/>
      <c r="O132" s="918"/>
      <c r="P132" s="580"/>
      <c r="Q132" s="913"/>
      <c r="R132" s="906">
        <f>0.443-0.17</f>
        <v>0.27300000000000002</v>
      </c>
      <c r="S132" s="600"/>
      <c r="T132" s="600"/>
      <c r="U132" s="600"/>
      <c r="V132" s="600"/>
      <c r="W132" s="1676"/>
      <c r="X132" s="1789"/>
      <c r="Y132" s="1676"/>
      <c r="Z132" s="1790"/>
      <c r="AE132" s="2461"/>
      <c r="AF132" s="68"/>
      <c r="AI132" s="2475"/>
    </row>
    <row r="133" spans="1:35" ht="90.5" x14ac:dyDescent="0.35">
      <c r="A133" s="603">
        <v>57</v>
      </c>
      <c r="B133" s="1100">
        <v>10535</v>
      </c>
      <c r="C133" s="1100"/>
      <c r="D133" s="2465" t="s">
        <v>4634</v>
      </c>
      <c r="E133" s="372" t="s">
        <v>10996</v>
      </c>
      <c r="F133" s="596" t="s">
        <v>827</v>
      </c>
      <c r="G133" s="596">
        <v>5</v>
      </c>
      <c r="H133" s="2268">
        <v>6</v>
      </c>
      <c r="I133" s="583">
        <f>J133+K133+L133</f>
        <v>0.9</v>
      </c>
      <c r="J133" s="583">
        <f>SUM(M133:R133)</f>
        <v>0.9</v>
      </c>
      <c r="K133" s="584"/>
      <c r="L133" s="584"/>
      <c r="M133" s="980"/>
      <c r="N133" s="583"/>
      <c r="O133" s="597"/>
      <c r="P133" s="584"/>
      <c r="Q133" s="908"/>
      <c r="R133" s="903">
        <v>0.9</v>
      </c>
      <c r="S133" s="586"/>
      <c r="T133" s="590"/>
      <c r="U133" s="586"/>
      <c r="V133" s="586"/>
      <c r="W133" s="2426">
        <v>2</v>
      </c>
      <c r="X133" s="2427">
        <v>15</v>
      </c>
      <c r="Y133" s="1679"/>
      <c r="Z133" s="1791"/>
      <c r="AB133" s="78">
        <v>1</v>
      </c>
      <c r="AC133" s="78" t="s">
        <v>2570</v>
      </c>
      <c r="AE133" s="2461"/>
      <c r="AF133" s="68"/>
      <c r="AI133" s="2475"/>
    </row>
    <row r="134" spans="1:35" ht="90.5" x14ac:dyDescent="0.35">
      <c r="A134" s="370">
        <v>58</v>
      </c>
      <c r="B134" s="375">
        <v>10535</v>
      </c>
      <c r="C134" s="358" t="s">
        <v>1656</v>
      </c>
      <c r="D134" s="2465" t="s">
        <v>4635</v>
      </c>
      <c r="E134" s="372" t="s">
        <v>10997</v>
      </c>
      <c r="F134" s="596" t="s">
        <v>664</v>
      </c>
      <c r="G134" s="596">
        <v>5</v>
      </c>
      <c r="H134" s="2268">
        <v>6</v>
      </c>
      <c r="I134" s="297">
        <f>J134+K134+L134</f>
        <v>0.24099999999999999</v>
      </c>
      <c r="J134" s="297">
        <f>SUM(M134:R134)</f>
        <v>0.24099999999999999</v>
      </c>
      <c r="K134" s="584"/>
      <c r="L134" s="584"/>
      <c r="M134" s="980"/>
      <c r="N134" s="583"/>
      <c r="O134" s="597"/>
      <c r="P134" s="584"/>
      <c r="Q134" s="908"/>
      <c r="R134" s="901">
        <v>0.24099999999999999</v>
      </c>
      <c r="S134" s="582"/>
      <c r="T134" s="585"/>
      <c r="U134" s="586"/>
      <c r="V134" s="586"/>
      <c r="W134" s="2426"/>
      <c r="X134" s="2427"/>
      <c r="Y134" s="1679"/>
      <c r="Z134" s="1791"/>
      <c r="AB134" s="78">
        <v>1</v>
      </c>
      <c r="AE134" s="2461"/>
      <c r="AF134" s="68"/>
      <c r="AI134" s="2475"/>
    </row>
    <row r="135" spans="1:35" ht="90.5" x14ac:dyDescent="0.35">
      <c r="A135" s="603">
        <v>59</v>
      </c>
      <c r="B135" s="1100">
        <v>10535</v>
      </c>
      <c r="C135" s="1100"/>
      <c r="D135" s="2465" t="s">
        <v>4636</v>
      </c>
      <c r="E135" s="372" t="s">
        <v>10998</v>
      </c>
      <c r="F135" s="596">
        <v>4</v>
      </c>
      <c r="G135" s="596">
        <v>5</v>
      </c>
      <c r="H135" s="2268">
        <v>6</v>
      </c>
      <c r="I135" s="583">
        <f>J135+K135+L135</f>
        <v>1.913</v>
      </c>
      <c r="J135" s="583">
        <f>SUM(M135:R135)</f>
        <v>1.913</v>
      </c>
      <c r="K135" s="584"/>
      <c r="L135" s="584"/>
      <c r="M135" s="980"/>
      <c r="N135" s="583">
        <v>1.913</v>
      </c>
      <c r="O135" s="597"/>
      <c r="P135" s="584"/>
      <c r="Q135" s="908"/>
      <c r="R135" s="901"/>
      <c r="S135" s="586"/>
      <c r="T135" s="590"/>
      <c r="U135" s="586"/>
      <c r="V135" s="586"/>
      <c r="W135" s="2426">
        <v>8</v>
      </c>
      <c r="X135" s="2427">
        <v>124</v>
      </c>
      <c r="Y135" s="1679">
        <v>1</v>
      </c>
      <c r="Z135" s="1791">
        <v>10</v>
      </c>
      <c r="AB135" s="78">
        <v>1</v>
      </c>
      <c r="AE135" s="2461"/>
      <c r="AF135" s="68"/>
      <c r="AI135" s="2475"/>
    </row>
    <row r="136" spans="1:35" ht="30.5" x14ac:dyDescent="0.35">
      <c r="A136" s="370">
        <v>60</v>
      </c>
      <c r="B136" s="375">
        <v>10536</v>
      </c>
      <c r="C136" s="375"/>
      <c r="D136" s="375" t="s">
        <v>1609</v>
      </c>
      <c r="E136" s="371" t="s">
        <v>9523</v>
      </c>
      <c r="F136" s="596"/>
      <c r="G136" s="596"/>
      <c r="H136" s="2268" t="s">
        <v>191</v>
      </c>
      <c r="I136" s="583">
        <f>J136+K136+L136</f>
        <v>5.7</v>
      </c>
      <c r="J136" s="583">
        <f>SUM(M136:R136)</f>
        <v>5.7</v>
      </c>
      <c r="K136" s="584"/>
      <c r="L136" s="584"/>
      <c r="M136" s="980"/>
      <c r="N136" s="583">
        <f>SUM(N137:N138)</f>
        <v>3.7</v>
      </c>
      <c r="O136" s="597"/>
      <c r="P136" s="584"/>
      <c r="Q136" s="908"/>
      <c r="R136" s="903">
        <f>SUM(R137:R138)</f>
        <v>2</v>
      </c>
      <c r="S136" s="586"/>
      <c r="T136" s="590"/>
      <c r="U136" s="586"/>
      <c r="V136" s="586"/>
      <c r="W136" s="2426">
        <v>4</v>
      </c>
      <c r="X136" s="2427">
        <v>65</v>
      </c>
      <c r="Y136" s="1679"/>
      <c r="Z136" s="1791"/>
      <c r="AB136" s="78">
        <v>1</v>
      </c>
      <c r="AE136" s="2461"/>
      <c r="AF136" s="68"/>
      <c r="AI136" s="2475"/>
    </row>
    <row r="137" spans="1:35" ht="15.5" x14ac:dyDescent="0.35">
      <c r="A137" s="605"/>
      <c r="B137" s="375">
        <v>10536</v>
      </c>
      <c r="C137" s="375"/>
      <c r="D137" s="377"/>
      <c r="E137" s="610" t="s">
        <v>2555</v>
      </c>
      <c r="F137" s="596">
        <v>4</v>
      </c>
      <c r="G137" s="596">
        <v>5</v>
      </c>
      <c r="H137" s="2268">
        <v>6</v>
      </c>
      <c r="I137" s="589"/>
      <c r="J137" s="589"/>
      <c r="K137" s="588"/>
      <c r="L137" s="588"/>
      <c r="M137" s="981"/>
      <c r="N137" s="589">
        <v>3.7</v>
      </c>
      <c r="O137" s="915"/>
      <c r="P137" s="588"/>
      <c r="Q137" s="909"/>
      <c r="R137" s="902"/>
      <c r="S137" s="586"/>
      <c r="T137" s="590"/>
      <c r="U137" s="586"/>
      <c r="V137" s="586"/>
      <c r="W137" s="2426"/>
      <c r="X137" s="2427"/>
      <c r="Y137" s="1679"/>
      <c r="Z137" s="1791"/>
      <c r="AE137" s="2461"/>
      <c r="AF137" s="68"/>
    </row>
    <row r="138" spans="1:35" ht="15.5" x14ac:dyDescent="0.35">
      <c r="A138" s="605"/>
      <c r="B138" s="375">
        <v>10536</v>
      </c>
      <c r="C138" s="375"/>
      <c r="D138" s="377"/>
      <c r="E138" s="1585" t="s">
        <v>127</v>
      </c>
      <c r="F138" s="2268" t="s">
        <v>827</v>
      </c>
      <c r="G138" s="596">
        <v>5</v>
      </c>
      <c r="H138" s="2268">
        <v>6</v>
      </c>
      <c r="I138" s="589"/>
      <c r="J138" s="589"/>
      <c r="K138" s="588"/>
      <c r="L138" s="588"/>
      <c r="M138" s="981"/>
      <c r="N138" s="589"/>
      <c r="O138" s="915"/>
      <c r="P138" s="588"/>
      <c r="Q138" s="909"/>
      <c r="R138" s="902">
        <v>2</v>
      </c>
      <c r="S138" s="586"/>
      <c r="T138" s="590"/>
      <c r="U138" s="586"/>
      <c r="V138" s="586"/>
      <c r="W138" s="2426"/>
      <c r="X138" s="2427"/>
      <c r="Y138" s="1679"/>
      <c r="Z138" s="1791"/>
      <c r="AE138" s="2461"/>
      <c r="AF138" s="68"/>
    </row>
    <row r="139" spans="1:35" ht="45.5" x14ac:dyDescent="0.35">
      <c r="A139" s="370">
        <v>61</v>
      </c>
      <c r="B139" s="375">
        <v>10536</v>
      </c>
      <c r="C139" s="358" t="s">
        <v>1656</v>
      </c>
      <c r="D139" s="2465" t="s">
        <v>4637</v>
      </c>
      <c r="E139" s="372" t="s">
        <v>9524</v>
      </c>
      <c r="F139" s="596" t="s">
        <v>664</v>
      </c>
      <c r="G139" s="596">
        <v>5</v>
      </c>
      <c r="H139" s="2268">
        <v>6</v>
      </c>
      <c r="I139" s="297">
        <f>J139+K139+L139</f>
        <v>0.72699999999999998</v>
      </c>
      <c r="J139" s="297">
        <f>SUM(M139:R139)</f>
        <v>0.72699999999999998</v>
      </c>
      <c r="K139" s="588"/>
      <c r="L139" s="588"/>
      <c r="M139" s="981"/>
      <c r="N139" s="1794"/>
      <c r="O139" s="2365"/>
      <c r="P139" s="2364"/>
      <c r="Q139" s="1792"/>
      <c r="R139" s="2367">
        <v>0.72699999999999998</v>
      </c>
      <c r="S139" s="586"/>
      <c r="T139" s="590"/>
      <c r="U139" s="586"/>
      <c r="V139" s="586"/>
      <c r="W139" s="2426"/>
      <c r="X139" s="2427"/>
      <c r="Y139" s="1679"/>
      <c r="Z139" s="1791"/>
      <c r="AB139" s="78">
        <v>1</v>
      </c>
      <c r="AE139" s="2461"/>
      <c r="AF139" s="68"/>
      <c r="AI139" s="2475"/>
    </row>
    <row r="140" spans="1:35" ht="15.5" x14ac:dyDescent="0.35">
      <c r="A140" s="603">
        <v>62</v>
      </c>
      <c r="B140" s="375">
        <v>10537</v>
      </c>
      <c r="C140" s="375"/>
      <c r="D140" s="375" t="s">
        <v>1610</v>
      </c>
      <c r="E140" s="371" t="s">
        <v>7229</v>
      </c>
      <c r="F140" s="596"/>
      <c r="G140" s="596"/>
      <c r="H140" s="2268" t="s">
        <v>191</v>
      </c>
      <c r="I140" s="583">
        <f>J140+K140+L140</f>
        <v>35.15</v>
      </c>
      <c r="J140" s="583">
        <f>SUM(M140:R140)</f>
        <v>35.15</v>
      </c>
      <c r="K140" s="584"/>
      <c r="L140" s="584"/>
      <c r="M140" s="980"/>
      <c r="N140" s="583">
        <f>SUM(N142:N147)</f>
        <v>27.476999999999997</v>
      </c>
      <c r="O140" s="597"/>
      <c r="P140" s="584"/>
      <c r="Q140" s="910">
        <f>SUM(Q142:Q147)</f>
        <v>7.6730000000000018</v>
      </c>
      <c r="R140" s="901"/>
      <c r="S140" s="586"/>
      <c r="T140" s="590"/>
      <c r="U140" s="586"/>
      <c r="V140" s="586"/>
      <c r="W140" s="2426">
        <v>74</v>
      </c>
      <c r="X140" s="2427">
        <v>1043.3800000000001</v>
      </c>
      <c r="Y140" s="1679">
        <v>24</v>
      </c>
      <c r="Z140" s="1791">
        <v>262.5</v>
      </c>
      <c r="AB140" s="78">
        <v>1</v>
      </c>
      <c r="AE140" s="2461"/>
      <c r="AF140" s="68"/>
      <c r="AI140" s="2475"/>
    </row>
    <row r="141" spans="1:35" ht="46.5" x14ac:dyDescent="0.35">
      <c r="A141" s="603"/>
      <c r="B141" s="375">
        <v>10537</v>
      </c>
      <c r="C141" s="375"/>
      <c r="D141" s="375"/>
      <c r="E141" s="610" t="s">
        <v>9983</v>
      </c>
      <c r="F141" s="596"/>
      <c r="G141" s="596" t="s">
        <v>191</v>
      </c>
      <c r="H141" s="2268" t="s">
        <v>191</v>
      </c>
      <c r="I141" s="583"/>
      <c r="J141" s="583"/>
      <c r="K141" s="584"/>
      <c r="L141" s="584"/>
      <c r="M141" s="980"/>
      <c r="N141" s="583"/>
      <c r="O141" s="597"/>
      <c r="P141" s="584"/>
      <c r="Q141" s="910"/>
      <c r="R141" s="901"/>
      <c r="S141" s="586"/>
      <c r="T141" s="590"/>
      <c r="U141" s="586"/>
      <c r="V141" s="586"/>
      <c r="W141" s="2426"/>
      <c r="X141" s="2427"/>
      <c r="Y141" s="1679"/>
      <c r="Z141" s="1791"/>
      <c r="AE141" s="2461"/>
      <c r="AF141" s="68"/>
    </row>
    <row r="142" spans="1:35" ht="15.5" x14ac:dyDescent="0.35">
      <c r="A142" s="604"/>
      <c r="B142" s="375">
        <v>10537</v>
      </c>
      <c r="C142" s="375"/>
      <c r="D142" s="376"/>
      <c r="E142" s="610" t="s">
        <v>1877</v>
      </c>
      <c r="F142" s="596">
        <v>4</v>
      </c>
      <c r="G142" s="596">
        <v>4</v>
      </c>
      <c r="H142" s="2268">
        <v>6</v>
      </c>
      <c r="I142" s="588"/>
      <c r="J142" s="589"/>
      <c r="K142" s="589"/>
      <c r="L142" s="588"/>
      <c r="M142" s="981"/>
      <c r="N142" s="589">
        <v>26.300999999999998</v>
      </c>
      <c r="O142" s="915"/>
      <c r="P142" s="588"/>
      <c r="Q142" s="909"/>
      <c r="R142" s="902"/>
      <c r="S142" s="586"/>
      <c r="T142" s="590"/>
      <c r="U142" s="586"/>
      <c r="V142" s="586"/>
      <c r="W142" s="1679"/>
      <c r="X142" s="1678"/>
      <c r="Y142" s="1679"/>
      <c r="Z142" s="1791"/>
      <c r="AE142" s="2461"/>
      <c r="AF142" s="68"/>
    </row>
    <row r="143" spans="1:35" ht="15.5" x14ac:dyDescent="0.35">
      <c r="A143" s="604"/>
      <c r="B143" s="375">
        <v>10537</v>
      </c>
      <c r="C143" s="375"/>
      <c r="D143" s="376"/>
      <c r="E143" s="1583" t="s">
        <v>1878</v>
      </c>
      <c r="F143" s="596">
        <v>4</v>
      </c>
      <c r="G143" s="596">
        <v>4</v>
      </c>
      <c r="H143" s="2268">
        <v>6</v>
      </c>
      <c r="I143" s="588"/>
      <c r="J143" s="589"/>
      <c r="K143" s="589"/>
      <c r="L143" s="588"/>
      <c r="M143" s="981"/>
      <c r="N143" s="589"/>
      <c r="O143" s="915"/>
      <c r="P143" s="588"/>
      <c r="Q143" s="909">
        <f>29.664-26.301</f>
        <v>3.3630000000000031</v>
      </c>
      <c r="R143" s="902"/>
      <c r="S143" s="586"/>
      <c r="T143" s="590"/>
      <c r="U143" s="586"/>
      <c r="V143" s="586"/>
      <c r="W143" s="1679"/>
      <c r="X143" s="1678"/>
      <c r="Y143" s="1679"/>
      <c r="Z143" s="1791"/>
      <c r="AE143" s="2461"/>
      <c r="AF143" s="68"/>
    </row>
    <row r="144" spans="1:35" ht="15.5" x14ac:dyDescent="0.35">
      <c r="A144" s="604"/>
      <c r="B144" s="375">
        <v>10537</v>
      </c>
      <c r="C144" s="375"/>
      <c r="D144" s="376"/>
      <c r="E144" s="610" t="s">
        <v>1879</v>
      </c>
      <c r="F144" s="596">
        <v>4</v>
      </c>
      <c r="G144" s="596">
        <v>4</v>
      </c>
      <c r="H144" s="2268">
        <v>6</v>
      </c>
      <c r="I144" s="588"/>
      <c r="J144" s="589"/>
      <c r="K144" s="589"/>
      <c r="L144" s="588"/>
      <c r="M144" s="981"/>
      <c r="N144" s="589">
        <f>30.343-29.664</f>
        <v>0.67899999999999849</v>
      </c>
      <c r="O144" s="915"/>
      <c r="P144" s="588"/>
      <c r="Q144" s="909"/>
      <c r="R144" s="902"/>
      <c r="S144" s="586"/>
      <c r="T144" s="590"/>
      <c r="U144" s="586"/>
      <c r="V144" s="586"/>
      <c r="W144" s="1679"/>
      <c r="X144" s="1678"/>
      <c r="Y144" s="1679"/>
      <c r="Z144" s="1791"/>
      <c r="AE144" s="2461"/>
      <c r="AF144" s="68"/>
    </row>
    <row r="145" spans="1:35" ht="15.5" x14ac:dyDescent="0.35">
      <c r="A145" s="604"/>
      <c r="B145" s="375">
        <v>10537</v>
      </c>
      <c r="C145" s="375"/>
      <c r="D145" s="376"/>
      <c r="E145" s="1583" t="s">
        <v>1880</v>
      </c>
      <c r="F145" s="596">
        <v>4</v>
      </c>
      <c r="G145" s="596">
        <v>4</v>
      </c>
      <c r="H145" s="2268">
        <v>6</v>
      </c>
      <c r="I145" s="588"/>
      <c r="J145" s="589"/>
      <c r="K145" s="589"/>
      <c r="L145" s="588"/>
      <c r="M145" s="981"/>
      <c r="N145" s="589"/>
      <c r="O145" s="915"/>
      <c r="P145" s="588"/>
      <c r="Q145" s="909">
        <f>32.516-30.343</f>
        <v>2.1729999999999983</v>
      </c>
      <c r="R145" s="902"/>
      <c r="S145" s="586"/>
      <c r="T145" s="590"/>
      <c r="U145" s="586"/>
      <c r="V145" s="586"/>
      <c r="W145" s="1679"/>
      <c r="X145" s="1678"/>
      <c r="Y145" s="1679"/>
      <c r="Z145" s="1791"/>
      <c r="AE145" s="2461"/>
      <c r="AF145" s="68"/>
    </row>
    <row r="146" spans="1:35" ht="15.5" x14ac:dyDescent="0.35">
      <c r="A146" s="604"/>
      <c r="B146" s="375">
        <v>10537</v>
      </c>
      <c r="C146" s="375"/>
      <c r="D146" s="376"/>
      <c r="E146" s="610" t="s">
        <v>1881</v>
      </c>
      <c r="F146" s="596">
        <v>4</v>
      </c>
      <c r="G146" s="596">
        <v>4</v>
      </c>
      <c r="H146" s="2268">
        <v>6</v>
      </c>
      <c r="I146" s="588"/>
      <c r="J146" s="589"/>
      <c r="K146" s="589"/>
      <c r="L146" s="588"/>
      <c r="M146" s="981"/>
      <c r="N146" s="589">
        <f>33.013-32.516</f>
        <v>0.49699999999999989</v>
      </c>
      <c r="O146" s="915"/>
      <c r="P146" s="588"/>
      <c r="Q146" s="909"/>
      <c r="R146" s="902"/>
      <c r="S146" s="586"/>
      <c r="T146" s="590"/>
      <c r="U146" s="586"/>
      <c r="V146" s="586"/>
      <c r="W146" s="1679"/>
      <c r="X146" s="1678"/>
      <c r="Y146" s="1679"/>
      <c r="Z146" s="1791"/>
      <c r="AE146" s="2461"/>
      <c r="AF146" s="68"/>
    </row>
    <row r="147" spans="1:35" ht="15.5" x14ac:dyDescent="0.35">
      <c r="A147" s="604"/>
      <c r="B147" s="375">
        <v>10537</v>
      </c>
      <c r="C147" s="375"/>
      <c r="D147" s="376"/>
      <c r="E147" s="1583" t="s">
        <v>1882</v>
      </c>
      <c r="F147" s="596">
        <v>4</v>
      </c>
      <c r="G147" s="596">
        <v>4</v>
      </c>
      <c r="H147" s="2268">
        <v>6</v>
      </c>
      <c r="I147" s="588"/>
      <c r="J147" s="589"/>
      <c r="K147" s="589"/>
      <c r="L147" s="588"/>
      <c r="M147" s="981"/>
      <c r="N147" s="589"/>
      <c r="O147" s="915"/>
      <c r="P147" s="588"/>
      <c r="Q147" s="909">
        <f>35.15-33.013</f>
        <v>2.1370000000000005</v>
      </c>
      <c r="R147" s="902"/>
      <c r="S147" s="586"/>
      <c r="T147" s="590"/>
      <c r="U147" s="586"/>
      <c r="V147" s="586"/>
      <c r="W147" s="1679"/>
      <c r="X147" s="1678"/>
      <c r="Y147" s="1679"/>
      <c r="Z147" s="1791"/>
      <c r="AE147" s="2461"/>
      <c r="AF147" s="68"/>
    </row>
    <row r="148" spans="1:35" ht="30.5" x14ac:dyDescent="0.35">
      <c r="A148" s="603">
        <v>63</v>
      </c>
      <c r="B148" s="1100">
        <v>10537</v>
      </c>
      <c r="C148" s="1100"/>
      <c r="D148" s="2465" t="s">
        <v>4638</v>
      </c>
      <c r="E148" s="371" t="s">
        <v>7659</v>
      </c>
      <c r="F148" s="596"/>
      <c r="G148" s="596"/>
      <c r="H148" s="2268" t="s">
        <v>191</v>
      </c>
      <c r="I148" s="583">
        <f>J148+K148+L148</f>
        <v>3</v>
      </c>
      <c r="J148" s="583">
        <f>SUM(M148:R148)</f>
        <v>3</v>
      </c>
      <c r="K148" s="584"/>
      <c r="L148" s="584"/>
      <c r="M148" s="980"/>
      <c r="N148" s="583"/>
      <c r="O148" s="597"/>
      <c r="P148" s="584"/>
      <c r="Q148" s="908">
        <f>SUM(Q149:Q150)</f>
        <v>2.2000000000000002</v>
      </c>
      <c r="R148" s="901">
        <f>SUM(R149:R150)</f>
        <v>0.8</v>
      </c>
      <c r="S148" s="586"/>
      <c r="T148" s="590"/>
      <c r="U148" s="586"/>
      <c r="V148" s="586"/>
      <c r="W148" s="2426"/>
      <c r="X148" s="2427"/>
      <c r="Y148" s="1679"/>
      <c r="Z148" s="1791"/>
      <c r="AB148" s="78">
        <v>1</v>
      </c>
      <c r="AE148" s="2461"/>
      <c r="AF148" s="68"/>
      <c r="AI148" s="2475"/>
    </row>
    <row r="149" spans="1:35" ht="15.5" x14ac:dyDescent="0.35">
      <c r="A149" s="605"/>
      <c r="B149" s="1100">
        <v>10537</v>
      </c>
      <c r="C149" s="1100"/>
      <c r="D149" s="377"/>
      <c r="E149" s="1583" t="s">
        <v>3084</v>
      </c>
      <c r="F149" s="596">
        <v>5</v>
      </c>
      <c r="G149" s="596">
        <v>5</v>
      </c>
      <c r="H149" s="2268">
        <v>6</v>
      </c>
      <c r="I149" s="589"/>
      <c r="J149" s="589"/>
      <c r="K149" s="588"/>
      <c r="L149" s="588"/>
      <c r="M149" s="981"/>
      <c r="N149" s="589"/>
      <c r="O149" s="915"/>
      <c r="P149" s="588"/>
      <c r="Q149" s="909">
        <v>2.2000000000000002</v>
      </c>
      <c r="R149" s="904"/>
      <c r="S149" s="586"/>
      <c r="T149" s="590"/>
      <c r="U149" s="586"/>
      <c r="V149" s="586"/>
      <c r="W149" s="2426"/>
      <c r="X149" s="2427"/>
      <c r="Y149" s="1679"/>
      <c r="Z149" s="1791"/>
      <c r="AE149" s="2461"/>
      <c r="AF149" s="68"/>
    </row>
    <row r="150" spans="1:35" ht="15.5" x14ac:dyDescent="0.35">
      <c r="A150" s="605"/>
      <c r="B150" s="1100">
        <v>10537</v>
      </c>
      <c r="C150" s="1100"/>
      <c r="D150" s="377"/>
      <c r="E150" s="1585" t="s">
        <v>1285</v>
      </c>
      <c r="F150" s="596" t="s">
        <v>827</v>
      </c>
      <c r="G150" s="596">
        <v>5</v>
      </c>
      <c r="H150" s="2268">
        <v>6</v>
      </c>
      <c r="I150" s="589"/>
      <c r="J150" s="589"/>
      <c r="K150" s="588"/>
      <c r="L150" s="588"/>
      <c r="M150" s="981"/>
      <c r="N150" s="589"/>
      <c r="O150" s="915"/>
      <c r="P150" s="588"/>
      <c r="Q150" s="909"/>
      <c r="R150" s="904">
        <v>0.8</v>
      </c>
      <c r="S150" s="586"/>
      <c r="T150" s="590"/>
      <c r="U150" s="586"/>
      <c r="V150" s="586"/>
      <c r="W150" s="2426"/>
      <c r="X150" s="2427"/>
      <c r="Y150" s="1679"/>
      <c r="Z150" s="1791"/>
      <c r="AE150" s="2461"/>
      <c r="AF150" s="68"/>
    </row>
    <row r="151" spans="1:35" ht="45.5" x14ac:dyDescent="0.35">
      <c r="A151" s="1593">
        <v>64</v>
      </c>
      <c r="B151" s="1100">
        <v>10537</v>
      </c>
      <c r="C151" s="358" t="s">
        <v>1656</v>
      </c>
      <c r="D151" s="2465" t="s">
        <v>4639</v>
      </c>
      <c r="E151" s="372" t="s">
        <v>8398</v>
      </c>
      <c r="F151" s="596" t="s">
        <v>664</v>
      </c>
      <c r="G151" s="596">
        <v>5</v>
      </c>
      <c r="H151" s="2268">
        <v>6</v>
      </c>
      <c r="I151" s="297">
        <f t="shared" ref="I151:I158" si="12">J151+K151+L151</f>
        <v>0.7</v>
      </c>
      <c r="J151" s="297">
        <f t="shared" ref="J151:J158" si="13">SUM(M151:R151)</f>
        <v>0.7</v>
      </c>
      <c r="K151" s="584"/>
      <c r="L151" s="584"/>
      <c r="M151" s="980"/>
      <c r="N151" s="583"/>
      <c r="O151" s="597"/>
      <c r="P151" s="584"/>
      <c r="Q151" s="908"/>
      <c r="R151" s="2367">
        <v>0.7</v>
      </c>
      <c r="S151" s="586"/>
      <c r="T151" s="590"/>
      <c r="U151" s="586"/>
      <c r="V151" s="586"/>
      <c r="W151" s="1679"/>
      <c r="X151" s="1678"/>
      <c r="Y151" s="1679"/>
      <c r="Z151" s="1791"/>
      <c r="AB151" s="78">
        <v>1</v>
      </c>
      <c r="AE151" s="2461"/>
      <c r="AF151" s="68"/>
      <c r="AI151" s="2475"/>
    </row>
    <row r="152" spans="1:35" ht="30.5" x14ac:dyDescent="0.35">
      <c r="A152" s="603">
        <v>65</v>
      </c>
      <c r="B152" s="1100">
        <v>10537</v>
      </c>
      <c r="C152" s="1100"/>
      <c r="D152" s="2465" t="s">
        <v>4640</v>
      </c>
      <c r="E152" s="371" t="s">
        <v>7660</v>
      </c>
      <c r="F152" s="596" t="s">
        <v>1490</v>
      </c>
      <c r="G152" s="596">
        <v>5</v>
      </c>
      <c r="H152" s="2268">
        <v>6</v>
      </c>
      <c r="I152" s="583">
        <f t="shared" si="12"/>
        <v>0.9</v>
      </c>
      <c r="J152" s="583">
        <f t="shared" si="13"/>
        <v>0.9</v>
      </c>
      <c r="K152" s="584"/>
      <c r="L152" s="584"/>
      <c r="M152" s="980"/>
      <c r="N152" s="583"/>
      <c r="O152" s="597"/>
      <c r="P152" s="584"/>
      <c r="Q152" s="908"/>
      <c r="R152" s="903">
        <v>0.9</v>
      </c>
      <c r="S152" s="586"/>
      <c r="T152" s="590"/>
      <c r="U152" s="586"/>
      <c r="V152" s="586"/>
      <c r="W152" s="2426"/>
      <c r="X152" s="2427"/>
      <c r="Y152" s="1679"/>
      <c r="Z152" s="1791"/>
      <c r="AB152" s="78">
        <v>1</v>
      </c>
      <c r="AE152" s="2461"/>
      <c r="AF152" s="68"/>
      <c r="AI152" s="2475"/>
    </row>
    <row r="153" spans="1:35" ht="30.5" x14ac:dyDescent="0.35">
      <c r="A153" s="1593">
        <v>66</v>
      </c>
      <c r="B153" s="1100">
        <v>10537</v>
      </c>
      <c r="C153" s="358" t="s">
        <v>1656</v>
      </c>
      <c r="D153" s="2465" t="s">
        <v>4641</v>
      </c>
      <c r="E153" s="372" t="s">
        <v>8399</v>
      </c>
      <c r="F153" s="596" t="s">
        <v>664</v>
      </c>
      <c r="G153" s="596">
        <v>5</v>
      </c>
      <c r="H153" s="2268">
        <v>6</v>
      </c>
      <c r="I153" s="297">
        <f t="shared" si="12"/>
        <v>0.5</v>
      </c>
      <c r="J153" s="297">
        <f t="shared" si="13"/>
        <v>0.5</v>
      </c>
      <c r="K153" s="584"/>
      <c r="L153" s="584"/>
      <c r="M153" s="980"/>
      <c r="N153" s="583"/>
      <c r="O153" s="597"/>
      <c r="P153" s="584"/>
      <c r="Q153" s="908"/>
      <c r="R153" s="903">
        <v>0.5</v>
      </c>
      <c r="S153" s="586"/>
      <c r="T153" s="590"/>
      <c r="U153" s="586"/>
      <c r="V153" s="586"/>
      <c r="W153" s="1679"/>
      <c r="X153" s="1678"/>
      <c r="Y153" s="1679"/>
      <c r="Z153" s="1791"/>
      <c r="AB153" s="78">
        <v>1</v>
      </c>
      <c r="AE153" s="2461"/>
      <c r="AF153" s="68"/>
      <c r="AI153" s="2475"/>
    </row>
    <row r="154" spans="1:35" ht="30.5" x14ac:dyDescent="0.35">
      <c r="A154" s="603">
        <v>67</v>
      </c>
      <c r="B154" s="1100">
        <v>10537</v>
      </c>
      <c r="C154" s="1100"/>
      <c r="D154" s="2465" t="s">
        <v>4642</v>
      </c>
      <c r="E154" s="371" t="s">
        <v>7661</v>
      </c>
      <c r="F154" s="596"/>
      <c r="G154" s="596"/>
      <c r="H154" s="2268" t="s">
        <v>191</v>
      </c>
      <c r="I154" s="583">
        <f t="shared" si="12"/>
        <v>3.4079999999999999</v>
      </c>
      <c r="J154" s="583">
        <f t="shared" si="13"/>
        <v>3.4079999999999999</v>
      </c>
      <c r="K154" s="584"/>
      <c r="L154" s="584"/>
      <c r="M154" s="980"/>
      <c r="N154" s="584">
        <f>SUM(N155:N156)</f>
        <v>2.0049999999999999</v>
      </c>
      <c r="O154" s="916"/>
      <c r="P154" s="584"/>
      <c r="Q154" s="908">
        <f>SUM(Q155:Q156)</f>
        <v>1.403</v>
      </c>
      <c r="R154" s="901"/>
      <c r="S154" s="586"/>
      <c r="T154" s="590"/>
      <c r="U154" s="586"/>
      <c r="V154" s="586"/>
      <c r="W154" s="2426">
        <v>8</v>
      </c>
      <c r="X154" s="2427">
        <v>112.62</v>
      </c>
      <c r="Y154" s="1679">
        <v>4</v>
      </c>
      <c r="Z154" s="1791">
        <v>55</v>
      </c>
      <c r="AB154" s="78">
        <v>1</v>
      </c>
      <c r="AE154" s="2461"/>
      <c r="AF154" s="68"/>
      <c r="AI154" s="2475"/>
    </row>
    <row r="155" spans="1:35" ht="15.5" x14ac:dyDescent="0.35">
      <c r="A155" s="2405"/>
      <c r="B155" s="1100">
        <v>10537</v>
      </c>
      <c r="C155" s="1100"/>
      <c r="D155" s="375"/>
      <c r="E155" s="610" t="s">
        <v>3685</v>
      </c>
      <c r="F155" s="596">
        <v>4</v>
      </c>
      <c r="G155" s="596">
        <v>5</v>
      </c>
      <c r="H155" s="2268">
        <v>6</v>
      </c>
      <c r="I155" s="594"/>
      <c r="J155" s="594"/>
      <c r="K155" s="595"/>
      <c r="L155" s="595"/>
      <c r="M155" s="982"/>
      <c r="N155" s="595">
        <v>2.0049999999999999</v>
      </c>
      <c r="O155" s="915"/>
      <c r="P155" s="584"/>
      <c r="Q155" s="908"/>
      <c r="R155" s="901"/>
      <c r="S155" s="586"/>
      <c r="T155" s="590"/>
      <c r="U155" s="586"/>
      <c r="V155" s="586"/>
      <c r="W155" s="2426"/>
      <c r="X155" s="2427"/>
      <c r="Y155" s="1679"/>
      <c r="Z155" s="1791"/>
      <c r="AE155" s="2461"/>
      <c r="AF155" s="68"/>
    </row>
    <row r="156" spans="1:35" ht="15.5" x14ac:dyDescent="0.35">
      <c r="A156" s="2405"/>
      <c r="B156" s="1100">
        <v>10537</v>
      </c>
      <c r="C156" s="1100"/>
      <c r="D156" s="375"/>
      <c r="E156" s="1583" t="s">
        <v>3686</v>
      </c>
      <c r="F156" s="596">
        <v>4</v>
      </c>
      <c r="G156" s="596">
        <v>5</v>
      </c>
      <c r="H156" s="2268">
        <v>6</v>
      </c>
      <c r="I156" s="583"/>
      <c r="J156" s="583"/>
      <c r="K156" s="584"/>
      <c r="L156" s="584"/>
      <c r="M156" s="980"/>
      <c r="N156" s="584"/>
      <c r="O156" s="916"/>
      <c r="P156" s="584"/>
      <c r="Q156" s="912">
        <f>3.408-2.005</f>
        <v>1.403</v>
      </c>
      <c r="R156" s="901"/>
      <c r="S156" s="586"/>
      <c r="T156" s="590"/>
      <c r="U156" s="586"/>
      <c r="V156" s="586"/>
      <c r="W156" s="2426"/>
      <c r="X156" s="2427"/>
      <c r="Y156" s="1679"/>
      <c r="Z156" s="1791"/>
      <c r="AE156" s="2461"/>
      <c r="AF156" s="68"/>
    </row>
    <row r="157" spans="1:35" ht="30.5" x14ac:dyDescent="0.35">
      <c r="A157" s="1593">
        <v>68</v>
      </c>
      <c r="B157" s="1100">
        <v>10537</v>
      </c>
      <c r="C157" s="1100"/>
      <c r="D157" s="2465" t="s">
        <v>4643</v>
      </c>
      <c r="E157" s="371" t="s">
        <v>7662</v>
      </c>
      <c r="F157" s="596" t="s">
        <v>1490</v>
      </c>
      <c r="G157" s="596">
        <v>5</v>
      </c>
      <c r="H157" s="2268">
        <v>6</v>
      </c>
      <c r="I157" s="583">
        <f t="shared" si="12"/>
        <v>1.5</v>
      </c>
      <c r="J157" s="583">
        <f t="shared" si="13"/>
        <v>1.5</v>
      </c>
      <c r="K157" s="584"/>
      <c r="L157" s="584"/>
      <c r="M157" s="980"/>
      <c r="N157" s="584"/>
      <c r="O157" s="597"/>
      <c r="P157" s="584"/>
      <c r="Q157" s="908"/>
      <c r="R157" s="903">
        <v>1.5</v>
      </c>
      <c r="S157" s="586"/>
      <c r="T157" s="590"/>
      <c r="U157" s="586"/>
      <c r="V157" s="586"/>
      <c r="W157" s="1679">
        <v>3</v>
      </c>
      <c r="X157" s="1678">
        <v>15</v>
      </c>
      <c r="Y157" s="1679"/>
      <c r="Z157" s="1791"/>
      <c r="AB157" s="78">
        <v>1</v>
      </c>
      <c r="AC157" s="62"/>
      <c r="AD157" s="353"/>
      <c r="AE157" s="2461"/>
      <c r="AF157" s="68"/>
      <c r="AI157" s="2475"/>
    </row>
    <row r="158" spans="1:35" ht="30.5" x14ac:dyDescent="0.35">
      <c r="A158" s="603">
        <v>69</v>
      </c>
      <c r="B158" s="1100">
        <v>10537</v>
      </c>
      <c r="C158" s="1100"/>
      <c r="D158" s="2465" t="s">
        <v>4644</v>
      </c>
      <c r="E158" s="371" t="s">
        <v>7663</v>
      </c>
      <c r="F158" s="596"/>
      <c r="G158" s="596"/>
      <c r="H158" s="2268" t="s">
        <v>191</v>
      </c>
      <c r="I158" s="583">
        <f t="shared" si="12"/>
        <v>3.8</v>
      </c>
      <c r="J158" s="583">
        <f t="shared" si="13"/>
        <v>3.8</v>
      </c>
      <c r="K158" s="584"/>
      <c r="L158" s="584"/>
      <c r="M158" s="980"/>
      <c r="N158" s="584"/>
      <c r="O158" s="597"/>
      <c r="P158" s="584"/>
      <c r="Q158" s="910">
        <f>SUM(Q159:Q160)</f>
        <v>2.1</v>
      </c>
      <c r="R158" s="903">
        <f>SUM(R159:R160)</f>
        <v>1.7</v>
      </c>
      <c r="S158" s="586"/>
      <c r="T158" s="590"/>
      <c r="U158" s="586"/>
      <c r="V158" s="586"/>
      <c r="W158" s="2426">
        <v>4</v>
      </c>
      <c r="X158" s="2427">
        <v>30</v>
      </c>
      <c r="Y158" s="1679">
        <v>1</v>
      </c>
      <c r="Z158" s="1791">
        <v>5</v>
      </c>
      <c r="AB158" s="78">
        <v>1</v>
      </c>
      <c r="AE158" s="2461"/>
      <c r="AF158" s="68"/>
      <c r="AI158" s="2475"/>
    </row>
    <row r="159" spans="1:35" ht="15.5" x14ac:dyDescent="0.35">
      <c r="A159" s="605"/>
      <c r="B159" s="1100">
        <v>10537</v>
      </c>
      <c r="C159" s="1100"/>
      <c r="D159" s="377"/>
      <c r="E159" s="1583" t="s">
        <v>2409</v>
      </c>
      <c r="F159" s="596">
        <v>5</v>
      </c>
      <c r="G159" s="596">
        <v>5</v>
      </c>
      <c r="H159" s="2268">
        <v>6</v>
      </c>
      <c r="I159" s="589"/>
      <c r="J159" s="589"/>
      <c r="K159" s="588"/>
      <c r="L159" s="588"/>
      <c r="M159" s="981"/>
      <c r="N159" s="588"/>
      <c r="O159" s="915"/>
      <c r="P159" s="588"/>
      <c r="Q159" s="911">
        <v>2.1</v>
      </c>
      <c r="R159" s="904"/>
      <c r="S159" s="586"/>
      <c r="T159" s="590"/>
      <c r="U159" s="586"/>
      <c r="V159" s="586"/>
      <c r="W159" s="2426"/>
      <c r="X159" s="2427"/>
      <c r="Y159" s="1679"/>
      <c r="Z159" s="1791"/>
      <c r="AE159" s="2461"/>
      <c r="AF159" s="68"/>
    </row>
    <row r="160" spans="1:35" ht="15.5" x14ac:dyDescent="0.35">
      <c r="A160" s="605"/>
      <c r="B160" s="1100">
        <v>10537</v>
      </c>
      <c r="C160" s="1100"/>
      <c r="D160" s="377"/>
      <c r="E160" s="1585" t="s">
        <v>128</v>
      </c>
      <c r="F160" s="2268" t="s">
        <v>827</v>
      </c>
      <c r="G160" s="596">
        <v>5</v>
      </c>
      <c r="H160" s="2268">
        <v>6</v>
      </c>
      <c r="I160" s="589"/>
      <c r="J160" s="589"/>
      <c r="K160" s="588"/>
      <c r="L160" s="588"/>
      <c r="M160" s="981"/>
      <c r="N160" s="588"/>
      <c r="O160" s="915"/>
      <c r="P160" s="588"/>
      <c r="Q160" s="911"/>
      <c r="R160" s="904">
        <v>1.7</v>
      </c>
      <c r="S160" s="586"/>
      <c r="T160" s="590"/>
      <c r="U160" s="586"/>
      <c r="V160" s="586"/>
      <c r="W160" s="2426"/>
      <c r="X160" s="2427"/>
      <c r="Y160" s="1679"/>
      <c r="Z160" s="1791"/>
      <c r="AC160" s="78" t="s">
        <v>2570</v>
      </c>
      <c r="AE160" s="2461"/>
      <c r="AF160" s="68"/>
    </row>
    <row r="161" spans="1:35" ht="45.5" x14ac:dyDescent="0.35">
      <c r="A161" s="607">
        <v>70</v>
      </c>
      <c r="B161" s="1101">
        <v>10537</v>
      </c>
      <c r="C161" s="1099" t="s">
        <v>1656</v>
      </c>
      <c r="D161" s="2465" t="s">
        <v>4645</v>
      </c>
      <c r="E161" s="371" t="s">
        <v>8400</v>
      </c>
      <c r="F161" s="596" t="s">
        <v>664</v>
      </c>
      <c r="G161" s="596">
        <v>5</v>
      </c>
      <c r="H161" s="2268">
        <v>6</v>
      </c>
      <c r="I161" s="583">
        <f>J161+K161+L161</f>
        <v>1</v>
      </c>
      <c r="J161" s="583">
        <f>SUM(M161:R161)</f>
        <v>1</v>
      </c>
      <c r="K161" s="584"/>
      <c r="L161" s="584"/>
      <c r="M161" s="980"/>
      <c r="N161" s="583"/>
      <c r="O161" s="597"/>
      <c r="P161" s="584"/>
      <c r="Q161" s="908"/>
      <c r="R161" s="901">
        <v>1</v>
      </c>
      <c r="S161" s="586"/>
      <c r="T161" s="590"/>
      <c r="U161" s="586"/>
      <c r="V161" s="586"/>
      <c r="W161" s="1679"/>
      <c r="X161" s="1678"/>
      <c r="Y161" s="1679"/>
      <c r="Z161" s="1791"/>
      <c r="AB161" s="78">
        <v>1</v>
      </c>
      <c r="AE161" s="2461"/>
      <c r="AF161" s="68"/>
      <c r="AI161" s="2475"/>
    </row>
    <row r="162" spans="1:35" ht="45.5" x14ac:dyDescent="0.35">
      <c r="A162" s="608">
        <v>71</v>
      </c>
      <c r="B162" s="1099">
        <v>10537</v>
      </c>
      <c r="C162" s="1099" t="s">
        <v>1656</v>
      </c>
      <c r="D162" s="2465" t="s">
        <v>4646</v>
      </c>
      <c r="E162" s="371" t="s">
        <v>8401</v>
      </c>
      <c r="F162" s="596" t="s">
        <v>664</v>
      </c>
      <c r="G162" s="596">
        <v>5</v>
      </c>
      <c r="H162" s="2268">
        <v>6</v>
      </c>
      <c r="I162" s="583">
        <f>J162+K162+L162</f>
        <v>0.7</v>
      </c>
      <c r="J162" s="583">
        <f>SUM(M162:R162)</f>
        <v>0.7</v>
      </c>
      <c r="K162" s="598"/>
      <c r="L162" s="598"/>
      <c r="M162" s="983"/>
      <c r="N162" s="580"/>
      <c r="O162" s="918"/>
      <c r="P162" s="580"/>
      <c r="Q162" s="913"/>
      <c r="R162" s="906">
        <v>0.7</v>
      </c>
      <c r="S162" s="600"/>
      <c r="T162" s="600"/>
      <c r="U162" s="600"/>
      <c r="V162" s="600"/>
      <c r="W162" s="1676"/>
      <c r="X162" s="1789"/>
      <c r="Y162" s="1676"/>
      <c r="Z162" s="1790"/>
      <c r="AB162" s="78">
        <v>1</v>
      </c>
      <c r="AE162" s="2461"/>
      <c r="AF162" s="68"/>
      <c r="AI162" s="2475"/>
    </row>
    <row r="163" spans="1:35" ht="45.5" x14ac:dyDescent="0.35">
      <c r="A163" s="608">
        <v>72</v>
      </c>
      <c r="B163" s="1099">
        <v>10537</v>
      </c>
      <c r="C163" s="1099"/>
      <c r="D163" s="2465" t="s">
        <v>4647</v>
      </c>
      <c r="E163" s="371" t="s">
        <v>7373</v>
      </c>
      <c r="F163" s="599"/>
      <c r="G163" s="596"/>
      <c r="H163" s="2268" t="s">
        <v>191</v>
      </c>
      <c r="I163" s="583">
        <f>J163+K163+L163</f>
        <v>0.7</v>
      </c>
      <c r="J163" s="583">
        <f>SUM(M163:R163)</f>
        <v>0.7</v>
      </c>
      <c r="K163" s="598"/>
      <c r="L163" s="598"/>
      <c r="M163" s="983"/>
      <c r="N163" s="580">
        <f>SUM(N164:N165)</f>
        <v>0.2</v>
      </c>
      <c r="O163" s="918"/>
      <c r="P163" s="580"/>
      <c r="Q163" s="913"/>
      <c r="R163" s="906">
        <f>SUM(R164:R165)</f>
        <v>0.5</v>
      </c>
      <c r="S163" s="600"/>
      <c r="T163" s="600"/>
      <c r="U163" s="600"/>
      <c r="V163" s="600"/>
      <c r="W163" s="1676">
        <v>1</v>
      </c>
      <c r="X163" s="1789">
        <v>10</v>
      </c>
      <c r="Y163" s="1676"/>
      <c r="Z163" s="1790"/>
      <c r="AB163" s="78">
        <v>1</v>
      </c>
      <c r="AE163" s="2461"/>
      <c r="AF163" s="68"/>
      <c r="AI163" s="2475"/>
    </row>
    <row r="164" spans="1:35" ht="15.5" x14ac:dyDescent="0.35">
      <c r="A164" s="609"/>
      <c r="B164" s="601">
        <v>10537</v>
      </c>
      <c r="C164" s="601"/>
      <c r="D164" s="268"/>
      <c r="E164" s="270" t="s">
        <v>1795</v>
      </c>
      <c r="F164" s="599">
        <v>5</v>
      </c>
      <c r="G164" s="599">
        <v>5</v>
      </c>
      <c r="H164" s="2268">
        <v>6</v>
      </c>
      <c r="I164" s="598"/>
      <c r="J164" s="598"/>
      <c r="K164" s="598"/>
      <c r="L164" s="598"/>
      <c r="M164" s="984"/>
      <c r="N164" s="581">
        <v>0.2</v>
      </c>
      <c r="O164" s="919"/>
      <c r="P164" s="581"/>
      <c r="Q164" s="914"/>
      <c r="R164" s="907"/>
      <c r="S164" s="600"/>
      <c r="T164" s="600"/>
      <c r="U164" s="600"/>
      <c r="V164" s="600"/>
      <c r="W164" s="1676"/>
      <c r="X164" s="1789"/>
      <c r="Y164" s="1676"/>
      <c r="Z164" s="1790"/>
      <c r="AE164" s="2461"/>
      <c r="AF164" s="68"/>
    </row>
    <row r="165" spans="1:35" ht="15.5" x14ac:dyDescent="0.35">
      <c r="A165" s="609"/>
      <c r="B165" s="601">
        <v>10537</v>
      </c>
      <c r="C165" s="601"/>
      <c r="D165" s="268"/>
      <c r="E165" s="1585" t="s">
        <v>381</v>
      </c>
      <c r="F165" s="599" t="s">
        <v>827</v>
      </c>
      <c r="G165" s="599">
        <v>5</v>
      </c>
      <c r="H165" s="2268">
        <v>6</v>
      </c>
      <c r="I165" s="598"/>
      <c r="J165" s="598"/>
      <c r="K165" s="598"/>
      <c r="L165" s="598"/>
      <c r="M165" s="1205"/>
      <c r="N165" s="598"/>
      <c r="O165" s="1203"/>
      <c r="P165" s="598"/>
      <c r="Q165" s="1201"/>
      <c r="R165" s="1199">
        <v>0.5</v>
      </c>
      <c r="S165" s="600"/>
      <c r="T165" s="600"/>
      <c r="U165" s="600"/>
      <c r="V165" s="600"/>
      <c r="W165" s="1676"/>
      <c r="X165" s="1789"/>
      <c r="Y165" s="1676"/>
      <c r="Z165" s="1790"/>
      <c r="AE165" s="2461"/>
      <c r="AF165" s="68"/>
    </row>
    <row r="166" spans="1:35" ht="45.5" x14ac:dyDescent="0.35">
      <c r="A166" s="1593">
        <v>73</v>
      </c>
      <c r="B166" s="693">
        <v>10537</v>
      </c>
      <c r="C166" s="358" t="s">
        <v>1656</v>
      </c>
      <c r="D166" s="2465" t="s">
        <v>4648</v>
      </c>
      <c r="E166" s="372" t="s">
        <v>8402</v>
      </c>
      <c r="F166" s="92" t="s">
        <v>664</v>
      </c>
      <c r="G166" s="596">
        <v>5</v>
      </c>
      <c r="H166" s="2268">
        <v>6</v>
      </c>
      <c r="I166" s="297">
        <f t="shared" ref="I166:I171" si="14">J166+K166+L166</f>
        <v>3.9E-2</v>
      </c>
      <c r="J166" s="297">
        <f t="shared" ref="J166:J171" si="15">SUM(M166:R166)</f>
        <v>3.9E-2</v>
      </c>
      <c r="K166" s="622"/>
      <c r="L166" s="622"/>
      <c r="M166" s="622"/>
      <c r="N166" s="622"/>
      <c r="O166" s="622"/>
      <c r="P166" s="622"/>
      <c r="Q166" s="622"/>
      <c r="R166" s="906">
        <v>3.9E-2</v>
      </c>
      <c r="S166" s="46"/>
      <c r="T166" s="46"/>
      <c r="U166" s="46"/>
      <c r="V166" s="46"/>
      <c r="W166" s="67"/>
      <c r="X166" s="46"/>
      <c r="Y166" s="46"/>
      <c r="Z166" s="47"/>
      <c r="AB166" s="78">
        <v>1</v>
      </c>
      <c r="AE166" s="2461"/>
      <c r="AF166" s="68"/>
      <c r="AI166" s="2475"/>
    </row>
    <row r="167" spans="1:35" ht="30.5" x14ac:dyDescent="0.35">
      <c r="A167" s="525">
        <v>74</v>
      </c>
      <c r="B167" s="693">
        <v>10537</v>
      </c>
      <c r="C167" s="693"/>
      <c r="D167" s="2465" t="s">
        <v>4649</v>
      </c>
      <c r="E167" s="372" t="s">
        <v>7664</v>
      </c>
      <c r="F167" s="92" t="s">
        <v>664</v>
      </c>
      <c r="G167" s="92">
        <v>5</v>
      </c>
      <c r="H167" s="2268">
        <v>6</v>
      </c>
      <c r="I167" s="702">
        <f t="shared" si="14"/>
        <v>0.4</v>
      </c>
      <c r="J167" s="702">
        <f t="shared" si="15"/>
        <v>0.4</v>
      </c>
      <c r="K167" s="622"/>
      <c r="L167" s="622"/>
      <c r="M167" s="622"/>
      <c r="N167" s="622"/>
      <c r="O167" s="622"/>
      <c r="P167" s="622"/>
      <c r="Q167" s="622"/>
      <c r="R167" s="906">
        <v>0.4</v>
      </c>
      <c r="S167" s="46"/>
      <c r="T167" s="46"/>
      <c r="U167" s="46"/>
      <c r="V167" s="46"/>
      <c r="W167" s="67"/>
      <c r="X167" s="46"/>
      <c r="Y167" s="46"/>
      <c r="Z167" s="47"/>
      <c r="AB167" s="78">
        <v>1</v>
      </c>
      <c r="AE167" s="2461"/>
      <c r="AF167" s="68"/>
      <c r="AI167" s="2475"/>
    </row>
    <row r="168" spans="1:35" ht="30.5" x14ac:dyDescent="0.35">
      <c r="A168" s="1593">
        <v>75</v>
      </c>
      <c r="B168" s="693">
        <v>10537</v>
      </c>
      <c r="C168" s="358" t="s">
        <v>1656</v>
      </c>
      <c r="D168" s="2465" t="s">
        <v>4650</v>
      </c>
      <c r="E168" s="372" t="s">
        <v>8403</v>
      </c>
      <c r="F168" s="92" t="s">
        <v>664</v>
      </c>
      <c r="G168" s="596">
        <v>5</v>
      </c>
      <c r="H168" s="2268">
        <v>6</v>
      </c>
      <c r="I168" s="297">
        <f t="shared" si="14"/>
        <v>0.10100000000000001</v>
      </c>
      <c r="J168" s="297">
        <f t="shared" si="15"/>
        <v>0.10100000000000001</v>
      </c>
      <c r="K168" s="622"/>
      <c r="L168" s="622"/>
      <c r="M168" s="622"/>
      <c r="N168" s="622"/>
      <c r="O168" s="622"/>
      <c r="P168" s="622"/>
      <c r="Q168" s="622"/>
      <c r="R168" s="906">
        <v>0.10100000000000001</v>
      </c>
      <c r="S168" s="46"/>
      <c r="T168" s="46"/>
      <c r="U168" s="46"/>
      <c r="V168" s="46"/>
      <c r="W168" s="67"/>
      <c r="X168" s="46"/>
      <c r="Y168" s="46"/>
      <c r="Z168" s="47"/>
      <c r="AB168" s="78">
        <v>1</v>
      </c>
      <c r="AE168" s="2461"/>
      <c r="AF168" s="68"/>
      <c r="AI168" s="2475"/>
    </row>
    <row r="169" spans="1:35" ht="45.5" x14ac:dyDescent="0.35">
      <c r="A169" s="525">
        <v>76</v>
      </c>
      <c r="B169" s="693">
        <v>10537</v>
      </c>
      <c r="C169" s="358" t="s">
        <v>1656</v>
      </c>
      <c r="D169" s="2465" t="s">
        <v>4651</v>
      </c>
      <c r="E169" s="372" t="s">
        <v>8404</v>
      </c>
      <c r="F169" s="93" t="s">
        <v>664</v>
      </c>
      <c r="G169" s="596">
        <v>5</v>
      </c>
      <c r="H169" s="2268">
        <v>6</v>
      </c>
      <c r="I169" s="297">
        <f t="shared" si="14"/>
        <v>0.153</v>
      </c>
      <c r="J169" s="297">
        <f t="shared" si="15"/>
        <v>0.153</v>
      </c>
      <c r="K169" s="577"/>
      <c r="L169" s="577"/>
      <c r="M169" s="577"/>
      <c r="N169" s="577"/>
      <c r="O169" s="577"/>
      <c r="P169" s="577"/>
      <c r="Q169" s="577"/>
      <c r="R169" s="2207">
        <v>0.153</v>
      </c>
      <c r="S169" s="46"/>
      <c r="T169" s="46"/>
      <c r="U169" s="46"/>
      <c r="V169" s="46"/>
      <c r="W169" s="67"/>
      <c r="X169" s="46"/>
      <c r="Y169" s="46"/>
      <c r="Z169" s="47"/>
      <c r="AB169" s="78">
        <v>1</v>
      </c>
      <c r="AE169" s="2461"/>
      <c r="AF169" s="68"/>
      <c r="AI169" s="2475"/>
    </row>
    <row r="170" spans="1:35" ht="45.5" x14ac:dyDescent="0.35">
      <c r="A170" s="1593">
        <v>77</v>
      </c>
      <c r="B170" s="375">
        <v>10537</v>
      </c>
      <c r="C170" s="358" t="s">
        <v>1656</v>
      </c>
      <c r="D170" s="2465" t="s">
        <v>4652</v>
      </c>
      <c r="E170" s="372" t="s">
        <v>8405</v>
      </c>
      <c r="F170" s="596" t="s">
        <v>664</v>
      </c>
      <c r="G170" s="596">
        <v>5</v>
      </c>
      <c r="H170" s="2268">
        <v>6</v>
      </c>
      <c r="I170" s="297">
        <f t="shared" si="14"/>
        <v>0.1</v>
      </c>
      <c r="J170" s="297">
        <f t="shared" si="15"/>
        <v>0.1</v>
      </c>
      <c r="K170" s="588"/>
      <c r="L170" s="588"/>
      <c r="M170" s="981"/>
      <c r="N170" s="1794"/>
      <c r="O170" s="2365"/>
      <c r="P170" s="2364"/>
      <c r="Q170" s="1795"/>
      <c r="R170" s="2366">
        <v>0.1</v>
      </c>
      <c r="S170" s="586"/>
      <c r="T170" s="590"/>
      <c r="U170" s="586"/>
      <c r="V170" s="586"/>
      <c r="W170" s="2426"/>
      <c r="X170" s="2427"/>
      <c r="Y170" s="1679"/>
      <c r="Z170" s="1791"/>
      <c r="AB170" s="78">
        <v>1</v>
      </c>
      <c r="AE170" s="2461"/>
      <c r="AF170" s="68"/>
      <c r="AI170" s="2475"/>
    </row>
    <row r="171" spans="1:35" ht="15.5" x14ac:dyDescent="0.35">
      <c r="A171" s="525">
        <v>78</v>
      </c>
      <c r="B171" s="375">
        <v>10538</v>
      </c>
      <c r="C171" s="375"/>
      <c r="D171" s="375" t="s">
        <v>886</v>
      </c>
      <c r="E171" s="371" t="s">
        <v>1997</v>
      </c>
      <c r="F171" s="596"/>
      <c r="G171" s="596"/>
      <c r="H171" s="2268" t="s">
        <v>191</v>
      </c>
      <c r="I171" s="583">
        <f t="shared" si="14"/>
        <v>4.7779999999999996</v>
      </c>
      <c r="J171" s="583">
        <f t="shared" si="15"/>
        <v>4.7779999999999996</v>
      </c>
      <c r="K171" s="584"/>
      <c r="L171" s="584"/>
      <c r="M171" s="980"/>
      <c r="N171" s="583">
        <f>SUM(N172:N175)</f>
        <v>2.2129999999999996</v>
      </c>
      <c r="O171" s="916"/>
      <c r="P171" s="584"/>
      <c r="Q171" s="908">
        <f>SUM(Q172:Q175)</f>
        <v>2.4970000000000003</v>
      </c>
      <c r="R171" s="901">
        <f>SUM(R172:R175)</f>
        <v>6.7999999999999616E-2</v>
      </c>
      <c r="S171" s="586"/>
      <c r="T171" s="590"/>
      <c r="U171" s="586"/>
      <c r="V171" s="586"/>
      <c r="W171" s="2426">
        <v>14</v>
      </c>
      <c r="X171" s="2427">
        <v>143.5</v>
      </c>
      <c r="Y171" s="1679">
        <v>7</v>
      </c>
      <c r="Z171" s="1791">
        <v>68</v>
      </c>
      <c r="AB171" s="78">
        <v>1</v>
      </c>
      <c r="AE171" s="2461"/>
      <c r="AF171" s="68"/>
      <c r="AI171" s="2475"/>
    </row>
    <row r="172" spans="1:35" ht="15.5" x14ac:dyDescent="0.35">
      <c r="A172" s="605"/>
      <c r="B172" s="375">
        <v>10538</v>
      </c>
      <c r="C172" s="375"/>
      <c r="D172" s="377"/>
      <c r="E172" s="610" t="s">
        <v>2351</v>
      </c>
      <c r="F172" s="596">
        <v>5</v>
      </c>
      <c r="G172" s="596">
        <v>5</v>
      </c>
      <c r="H172" s="2268">
        <v>6</v>
      </c>
      <c r="I172" s="589"/>
      <c r="J172" s="589"/>
      <c r="K172" s="588"/>
      <c r="L172" s="588"/>
      <c r="M172" s="981"/>
      <c r="N172" s="589">
        <v>1.839</v>
      </c>
      <c r="O172" s="915"/>
      <c r="P172" s="588"/>
      <c r="Q172" s="909"/>
      <c r="R172" s="902"/>
      <c r="S172" s="586"/>
      <c r="T172" s="590"/>
      <c r="U172" s="586"/>
      <c r="V172" s="586"/>
      <c r="W172" s="2426"/>
      <c r="X172" s="2427"/>
      <c r="Y172" s="1679"/>
      <c r="Z172" s="1791"/>
      <c r="AE172" s="2461"/>
      <c r="AF172" s="68"/>
    </row>
    <row r="173" spans="1:35" ht="15.5" x14ac:dyDescent="0.35">
      <c r="A173" s="605"/>
      <c r="B173" s="375">
        <v>10538</v>
      </c>
      <c r="C173" s="375"/>
      <c r="D173" s="377"/>
      <c r="E173" s="2040" t="s">
        <v>2352</v>
      </c>
      <c r="F173" s="596">
        <v>5</v>
      </c>
      <c r="G173" s="596">
        <v>5</v>
      </c>
      <c r="H173" s="2268">
        <v>6</v>
      </c>
      <c r="I173" s="589"/>
      <c r="J173" s="589"/>
      <c r="K173" s="588"/>
      <c r="L173" s="588"/>
      <c r="M173" s="981"/>
      <c r="N173" s="589"/>
      <c r="O173" s="915"/>
      <c r="P173" s="588"/>
      <c r="Q173" s="909">
        <f>4.336-1.839</f>
        <v>2.4970000000000003</v>
      </c>
      <c r="R173" s="902"/>
      <c r="S173" s="586"/>
      <c r="T173" s="590"/>
      <c r="U173" s="586"/>
      <c r="V173" s="586"/>
      <c r="W173" s="2426"/>
      <c r="X173" s="2427"/>
      <c r="Y173" s="1679"/>
      <c r="Z173" s="1791"/>
      <c r="AE173" s="2461"/>
      <c r="AF173" s="68"/>
    </row>
    <row r="174" spans="1:35" ht="15.5" x14ac:dyDescent="0.35">
      <c r="A174" s="605"/>
      <c r="B174" s="375">
        <v>10538</v>
      </c>
      <c r="C174" s="375"/>
      <c r="D174" s="377"/>
      <c r="E174" s="610" t="s">
        <v>2353</v>
      </c>
      <c r="F174" s="596" t="s">
        <v>827</v>
      </c>
      <c r="G174" s="596">
        <v>5</v>
      </c>
      <c r="H174" s="2268">
        <v>6</v>
      </c>
      <c r="I174" s="589"/>
      <c r="J174" s="589"/>
      <c r="K174" s="588"/>
      <c r="L174" s="588"/>
      <c r="M174" s="981"/>
      <c r="N174" s="589">
        <f>4.71-4.336</f>
        <v>0.37399999999999967</v>
      </c>
      <c r="O174" s="915"/>
      <c r="P174" s="588"/>
      <c r="Q174" s="1792"/>
      <c r="R174" s="902"/>
      <c r="S174" s="586"/>
      <c r="T174" s="590"/>
      <c r="U174" s="586"/>
      <c r="V174" s="586"/>
      <c r="W174" s="2426"/>
      <c r="X174" s="2427"/>
      <c r="Y174" s="1679"/>
      <c r="Z174" s="1791"/>
      <c r="AE174" s="2461"/>
      <c r="AF174" s="68"/>
    </row>
    <row r="175" spans="1:35" ht="15.5" x14ac:dyDescent="0.35">
      <c r="A175" s="605"/>
      <c r="B175" s="375">
        <v>10538</v>
      </c>
      <c r="C175" s="375"/>
      <c r="D175" s="377"/>
      <c r="E175" s="1585" t="s">
        <v>2354</v>
      </c>
      <c r="F175" s="596" t="s">
        <v>664</v>
      </c>
      <c r="G175" s="596">
        <v>5</v>
      </c>
      <c r="H175" s="2268">
        <v>6</v>
      </c>
      <c r="I175" s="589"/>
      <c r="J175" s="589"/>
      <c r="K175" s="588"/>
      <c r="L175" s="588"/>
      <c r="M175" s="981"/>
      <c r="N175" s="589"/>
      <c r="O175" s="915"/>
      <c r="P175" s="588"/>
      <c r="Q175" s="1792"/>
      <c r="R175" s="902">
        <f>4.778-4.71</f>
        <v>6.7999999999999616E-2</v>
      </c>
      <c r="S175" s="586"/>
      <c r="T175" s="590"/>
      <c r="U175" s="586"/>
      <c r="V175" s="586"/>
      <c r="W175" s="2426"/>
      <c r="X175" s="2427"/>
      <c r="Y175" s="1679"/>
      <c r="Z175" s="1791"/>
      <c r="AE175" s="2461"/>
      <c r="AF175" s="68"/>
    </row>
    <row r="176" spans="1:35" ht="30.5" x14ac:dyDescent="0.35">
      <c r="A176" s="525">
        <v>79</v>
      </c>
      <c r="B176" s="693">
        <v>10538</v>
      </c>
      <c r="C176" s="693"/>
      <c r="D176" s="2465" t="s">
        <v>4653</v>
      </c>
      <c r="E176" s="372" t="s">
        <v>7665</v>
      </c>
      <c r="F176" s="92" t="s">
        <v>1490</v>
      </c>
      <c r="G176" s="92">
        <v>5</v>
      </c>
      <c r="H176" s="2268">
        <v>6</v>
      </c>
      <c r="I176" s="702">
        <f>J176+K176+L176</f>
        <v>0.9</v>
      </c>
      <c r="J176" s="702">
        <f>SUM(M176:R176)</f>
        <v>0.9</v>
      </c>
      <c r="K176" s="622"/>
      <c r="L176" s="622"/>
      <c r="M176" s="622"/>
      <c r="N176" s="622"/>
      <c r="O176" s="622"/>
      <c r="P176" s="622"/>
      <c r="Q176" s="622"/>
      <c r="R176" s="906">
        <v>0.9</v>
      </c>
      <c r="S176" s="46"/>
      <c r="T176" s="46"/>
      <c r="U176" s="46"/>
      <c r="V176" s="46"/>
      <c r="W176" s="67">
        <v>1</v>
      </c>
      <c r="X176" s="46">
        <v>5</v>
      </c>
      <c r="Y176" s="46"/>
      <c r="Z176" s="47"/>
      <c r="AB176" s="78">
        <v>1</v>
      </c>
      <c r="AC176" s="78" t="s">
        <v>2570</v>
      </c>
      <c r="AE176" s="2461"/>
      <c r="AF176" s="68"/>
      <c r="AI176" s="2475"/>
    </row>
    <row r="177" spans="1:35" ht="45.5" x14ac:dyDescent="0.35">
      <c r="A177" s="1593">
        <v>80</v>
      </c>
      <c r="B177" s="1101">
        <v>10538</v>
      </c>
      <c r="C177" s="358" t="s">
        <v>1656</v>
      </c>
      <c r="D177" s="2465" t="s">
        <v>4654</v>
      </c>
      <c r="E177" s="372" t="s">
        <v>8406</v>
      </c>
      <c r="F177" s="596" t="s">
        <v>664</v>
      </c>
      <c r="G177" s="596">
        <v>5</v>
      </c>
      <c r="H177" s="2268">
        <v>6</v>
      </c>
      <c r="I177" s="297">
        <f>J177+K177+L177</f>
        <v>0.874</v>
      </c>
      <c r="J177" s="297">
        <f>SUM(M177:R177)</f>
        <v>0.874</v>
      </c>
      <c r="K177" s="584"/>
      <c r="L177" s="584"/>
      <c r="M177" s="983"/>
      <c r="N177" s="580"/>
      <c r="O177" s="918"/>
      <c r="P177" s="580"/>
      <c r="Q177" s="913"/>
      <c r="R177" s="906">
        <v>0.874</v>
      </c>
      <c r="S177" s="586"/>
      <c r="T177" s="590"/>
      <c r="U177" s="586"/>
      <c r="V177" s="586"/>
      <c r="W177" s="1679"/>
      <c r="X177" s="1678"/>
      <c r="Y177" s="1679"/>
      <c r="Z177" s="1791"/>
      <c r="AB177" s="78">
        <v>1</v>
      </c>
      <c r="AE177" s="2461"/>
      <c r="AF177" s="68"/>
      <c r="AI177" s="2475"/>
    </row>
    <row r="178" spans="1:35" ht="15.5" x14ac:dyDescent="0.35">
      <c r="A178" s="603">
        <v>81</v>
      </c>
      <c r="B178" s="375">
        <v>10539</v>
      </c>
      <c r="C178" s="375"/>
      <c r="D178" s="375" t="s">
        <v>2037</v>
      </c>
      <c r="E178" s="371" t="s">
        <v>764</v>
      </c>
      <c r="F178" s="596"/>
      <c r="G178" s="596"/>
      <c r="H178" s="2268" t="s">
        <v>191</v>
      </c>
      <c r="I178" s="583">
        <f>J178+K178+L178</f>
        <v>13.7</v>
      </c>
      <c r="J178" s="583">
        <f>SUM(M178:R178)</f>
        <v>13.7</v>
      </c>
      <c r="K178" s="584"/>
      <c r="L178" s="584"/>
      <c r="M178" s="980"/>
      <c r="N178" s="584">
        <f>SUM(N179:N182)</f>
        <v>1.6999999999999993</v>
      </c>
      <c r="O178" s="597"/>
      <c r="P178" s="584"/>
      <c r="Q178" s="908">
        <f>SUM(Q179:Q182)</f>
        <v>10.7</v>
      </c>
      <c r="R178" s="901">
        <f>SUM(R179:R182)</f>
        <v>1.3</v>
      </c>
      <c r="S178" s="586"/>
      <c r="T178" s="590"/>
      <c r="U178" s="586"/>
      <c r="V178" s="586"/>
      <c r="W178" s="2426">
        <v>32</v>
      </c>
      <c r="X178" s="2427">
        <v>442</v>
      </c>
      <c r="Y178" s="1679">
        <v>9</v>
      </c>
      <c r="Z178" s="1791">
        <v>91</v>
      </c>
      <c r="AB178" s="78">
        <v>1</v>
      </c>
      <c r="AE178" s="2461"/>
      <c r="AF178" s="68"/>
      <c r="AI178" s="2475"/>
    </row>
    <row r="179" spans="1:35" ht="15.5" x14ac:dyDescent="0.35">
      <c r="A179" s="605"/>
      <c r="B179" s="375">
        <v>10539</v>
      </c>
      <c r="C179" s="375"/>
      <c r="D179" s="377"/>
      <c r="E179" s="1583" t="s">
        <v>765</v>
      </c>
      <c r="F179" s="596">
        <v>5</v>
      </c>
      <c r="G179" s="596">
        <v>5</v>
      </c>
      <c r="H179" s="2268">
        <v>6</v>
      </c>
      <c r="I179" s="589"/>
      <c r="J179" s="589"/>
      <c r="K179" s="588"/>
      <c r="L179" s="588"/>
      <c r="M179" s="981"/>
      <c r="N179" s="588"/>
      <c r="O179" s="915"/>
      <c r="P179" s="588"/>
      <c r="Q179" s="911">
        <v>7</v>
      </c>
      <c r="R179" s="904"/>
      <c r="S179" s="586"/>
      <c r="T179" s="590"/>
      <c r="U179" s="586"/>
      <c r="V179" s="586"/>
      <c r="W179" s="2426"/>
      <c r="X179" s="2427"/>
      <c r="Y179" s="1679"/>
      <c r="Z179" s="1791"/>
      <c r="AE179" s="2461"/>
      <c r="AF179" s="68"/>
    </row>
    <row r="180" spans="1:35" ht="15.5" x14ac:dyDescent="0.35">
      <c r="A180" s="605"/>
      <c r="B180" s="375">
        <v>10539</v>
      </c>
      <c r="C180" s="375"/>
      <c r="D180" s="377"/>
      <c r="E180" s="1585" t="s">
        <v>2111</v>
      </c>
      <c r="F180" s="596">
        <v>5</v>
      </c>
      <c r="G180" s="596">
        <v>5</v>
      </c>
      <c r="H180" s="2268">
        <v>6</v>
      </c>
      <c r="I180" s="589"/>
      <c r="J180" s="589"/>
      <c r="K180" s="588"/>
      <c r="L180" s="588"/>
      <c r="M180" s="981"/>
      <c r="N180" s="588"/>
      <c r="O180" s="915"/>
      <c r="P180" s="588"/>
      <c r="Q180" s="911"/>
      <c r="R180" s="904">
        <v>1.3</v>
      </c>
      <c r="S180" s="586"/>
      <c r="T180" s="590"/>
      <c r="U180" s="586"/>
      <c r="V180" s="586"/>
      <c r="W180" s="2426"/>
      <c r="X180" s="2427"/>
      <c r="Y180" s="1679"/>
      <c r="Z180" s="1791"/>
      <c r="AA180" s="78" t="s">
        <v>2779</v>
      </c>
      <c r="AE180" s="2461"/>
      <c r="AF180" s="68"/>
    </row>
    <row r="181" spans="1:35" ht="15.5" x14ac:dyDescent="0.35">
      <c r="A181" s="605"/>
      <c r="B181" s="375">
        <v>10539</v>
      </c>
      <c r="C181" s="375"/>
      <c r="D181" s="377"/>
      <c r="E181" s="1583" t="s">
        <v>2112</v>
      </c>
      <c r="F181" s="596">
        <v>5</v>
      </c>
      <c r="G181" s="596">
        <v>5</v>
      </c>
      <c r="H181" s="2268">
        <v>6</v>
      </c>
      <c r="I181" s="589"/>
      <c r="J181" s="589"/>
      <c r="K181" s="588"/>
      <c r="L181" s="588"/>
      <c r="M181" s="981"/>
      <c r="N181" s="588"/>
      <c r="O181" s="915"/>
      <c r="P181" s="588"/>
      <c r="Q181" s="911">
        <f>12-8.3</f>
        <v>3.6999999999999993</v>
      </c>
      <c r="R181" s="904"/>
      <c r="S181" s="586"/>
      <c r="T181" s="590"/>
      <c r="U181" s="586"/>
      <c r="V181" s="586"/>
      <c r="W181" s="2426"/>
      <c r="X181" s="2427"/>
      <c r="Y181" s="1679"/>
      <c r="Z181" s="1791"/>
      <c r="AA181" s="78" t="s">
        <v>2779</v>
      </c>
      <c r="AE181" s="2461"/>
      <c r="AF181" s="68"/>
    </row>
    <row r="182" spans="1:35" ht="15.5" x14ac:dyDescent="0.35">
      <c r="A182" s="605"/>
      <c r="B182" s="375">
        <v>10539</v>
      </c>
      <c r="C182" s="375"/>
      <c r="D182" s="377"/>
      <c r="E182" s="610" t="s">
        <v>1266</v>
      </c>
      <c r="F182" s="596">
        <v>5</v>
      </c>
      <c r="G182" s="596">
        <v>5</v>
      </c>
      <c r="H182" s="2268">
        <v>6</v>
      </c>
      <c r="I182" s="589"/>
      <c r="J182" s="589"/>
      <c r="K182" s="588"/>
      <c r="L182" s="588"/>
      <c r="M182" s="981"/>
      <c r="N182" s="588">
        <f>13.7-12</f>
        <v>1.6999999999999993</v>
      </c>
      <c r="O182" s="915"/>
      <c r="P182" s="588"/>
      <c r="Q182" s="911"/>
      <c r="R182" s="904"/>
      <c r="S182" s="586"/>
      <c r="T182" s="590"/>
      <c r="U182" s="586"/>
      <c r="V182" s="586"/>
      <c r="W182" s="2426"/>
      <c r="X182" s="2427"/>
      <c r="Y182" s="1679"/>
      <c r="Z182" s="1791"/>
      <c r="AE182" s="2461"/>
      <c r="AF182" s="68"/>
    </row>
    <row r="183" spans="1:35" ht="30.5" x14ac:dyDescent="0.35">
      <c r="A183" s="607">
        <v>82</v>
      </c>
      <c r="B183" s="1101">
        <v>10539</v>
      </c>
      <c r="C183" s="1101"/>
      <c r="D183" s="2465" t="s">
        <v>4655</v>
      </c>
      <c r="E183" s="371" t="s">
        <v>7666</v>
      </c>
      <c r="F183" s="596"/>
      <c r="G183" s="596"/>
      <c r="H183" s="2268" t="s">
        <v>191</v>
      </c>
      <c r="I183" s="583">
        <f>J183+K183+L183</f>
        <v>1.8</v>
      </c>
      <c r="J183" s="583">
        <f>SUM(M183:R183)</f>
        <v>1.8</v>
      </c>
      <c r="K183" s="584"/>
      <c r="L183" s="584"/>
      <c r="M183" s="980"/>
      <c r="N183" s="583"/>
      <c r="O183" s="597"/>
      <c r="P183" s="584"/>
      <c r="Q183" s="908">
        <f>SUM(Q184:Q185)</f>
        <v>1.3</v>
      </c>
      <c r="R183" s="901">
        <f>SUM(R184:R185)</f>
        <v>0.5</v>
      </c>
      <c r="S183" s="586"/>
      <c r="T183" s="590"/>
      <c r="U183" s="586"/>
      <c r="V183" s="586"/>
      <c r="W183" s="1679">
        <v>8</v>
      </c>
      <c r="X183" s="1678">
        <v>107.3</v>
      </c>
      <c r="Y183" s="1679"/>
      <c r="Z183" s="1791"/>
      <c r="AB183" s="78">
        <v>1</v>
      </c>
      <c r="AE183" s="2461"/>
      <c r="AF183" s="68"/>
      <c r="AI183" s="2475"/>
    </row>
    <row r="184" spans="1:35" ht="15.5" x14ac:dyDescent="0.35">
      <c r="A184" s="607"/>
      <c r="B184" s="1101">
        <v>10539</v>
      </c>
      <c r="C184" s="1101"/>
      <c r="D184" s="379"/>
      <c r="E184" s="1583" t="s">
        <v>2032</v>
      </c>
      <c r="F184" s="596">
        <v>5</v>
      </c>
      <c r="G184" s="596">
        <v>5</v>
      </c>
      <c r="H184" s="2268">
        <v>6</v>
      </c>
      <c r="I184" s="594"/>
      <c r="J184" s="594"/>
      <c r="K184" s="595"/>
      <c r="L184" s="595"/>
      <c r="M184" s="982"/>
      <c r="N184" s="594"/>
      <c r="O184" s="917"/>
      <c r="P184" s="595"/>
      <c r="Q184" s="912">
        <v>1.3</v>
      </c>
      <c r="R184" s="905"/>
      <c r="S184" s="586"/>
      <c r="T184" s="590"/>
      <c r="U184" s="586"/>
      <c r="V184" s="586"/>
      <c r="W184" s="1679"/>
      <c r="X184" s="1678"/>
      <c r="Y184" s="1679"/>
      <c r="Z184" s="1791"/>
      <c r="AE184" s="2461"/>
      <c r="AF184" s="68"/>
    </row>
    <row r="185" spans="1:35" ht="15.5" x14ac:dyDescent="0.35">
      <c r="A185" s="607"/>
      <c r="B185" s="1101">
        <v>10539</v>
      </c>
      <c r="C185" s="1101"/>
      <c r="D185" s="379"/>
      <c r="E185" s="1585" t="s">
        <v>382</v>
      </c>
      <c r="F185" s="2268" t="s">
        <v>1490</v>
      </c>
      <c r="G185" s="596">
        <v>5</v>
      </c>
      <c r="H185" s="2268">
        <v>6</v>
      </c>
      <c r="I185" s="594"/>
      <c r="J185" s="594"/>
      <c r="K185" s="595"/>
      <c r="L185" s="595"/>
      <c r="M185" s="982"/>
      <c r="N185" s="594"/>
      <c r="O185" s="917"/>
      <c r="P185" s="595"/>
      <c r="Q185" s="912"/>
      <c r="R185" s="905">
        <v>0.5</v>
      </c>
      <c r="S185" s="586"/>
      <c r="T185" s="590"/>
      <c r="U185" s="586"/>
      <c r="V185" s="586"/>
      <c r="W185" s="1679"/>
      <c r="X185" s="1678"/>
      <c r="Y185" s="1679"/>
      <c r="Z185" s="1791"/>
      <c r="AC185" s="78" t="s">
        <v>2570</v>
      </c>
      <c r="AE185" s="2461"/>
      <c r="AF185" s="68"/>
    </row>
    <row r="186" spans="1:35" ht="45.5" x14ac:dyDescent="0.35">
      <c r="A186" s="370">
        <v>83</v>
      </c>
      <c r="B186" s="1100">
        <v>10539</v>
      </c>
      <c r="C186" s="358" t="s">
        <v>1656</v>
      </c>
      <c r="D186" s="2465" t="s">
        <v>4656</v>
      </c>
      <c r="E186" s="372" t="s">
        <v>8407</v>
      </c>
      <c r="F186" s="596">
        <v>5</v>
      </c>
      <c r="G186" s="596">
        <v>5</v>
      </c>
      <c r="H186" s="2268">
        <v>6</v>
      </c>
      <c r="I186" s="297">
        <f t="shared" ref="I186:I197" si="16">J186+K186+L186</f>
        <v>0.60799999999999998</v>
      </c>
      <c r="J186" s="297">
        <f t="shared" ref="J186:J197" si="17">SUM(M186:R186)</f>
        <v>0.60799999999999998</v>
      </c>
      <c r="K186" s="584"/>
      <c r="L186" s="584"/>
      <c r="M186" s="980"/>
      <c r="N186" s="584"/>
      <c r="O186" s="597"/>
      <c r="P186" s="584"/>
      <c r="Q186" s="908"/>
      <c r="R186" s="903">
        <v>0.60799999999999998</v>
      </c>
      <c r="S186" s="586"/>
      <c r="T186" s="590"/>
      <c r="U186" s="586"/>
      <c r="V186" s="586"/>
      <c r="W186" s="2426"/>
      <c r="X186" s="2427"/>
      <c r="Y186" s="1679"/>
      <c r="Z186" s="1791"/>
      <c r="AB186" s="78">
        <v>1</v>
      </c>
      <c r="AE186" s="2461"/>
      <c r="AF186" s="68"/>
      <c r="AI186" s="2475"/>
    </row>
    <row r="187" spans="1:35" ht="30.5" x14ac:dyDescent="0.35">
      <c r="A187" s="370">
        <v>84</v>
      </c>
      <c r="B187" s="375">
        <v>10539</v>
      </c>
      <c r="C187" s="358" t="s">
        <v>1656</v>
      </c>
      <c r="D187" s="2465" t="s">
        <v>4657</v>
      </c>
      <c r="E187" s="372" t="s">
        <v>8408</v>
      </c>
      <c r="F187" s="596" t="s">
        <v>664</v>
      </c>
      <c r="G187" s="596">
        <v>5</v>
      </c>
      <c r="H187" s="2268">
        <v>6</v>
      </c>
      <c r="I187" s="297">
        <f t="shared" si="16"/>
        <v>0.1</v>
      </c>
      <c r="J187" s="297">
        <f t="shared" si="17"/>
        <v>0.1</v>
      </c>
      <c r="K187" s="583"/>
      <c r="L187" s="584"/>
      <c r="M187" s="980"/>
      <c r="N187" s="583"/>
      <c r="O187" s="597"/>
      <c r="P187" s="584"/>
      <c r="Q187" s="910"/>
      <c r="R187" s="903">
        <v>0.1</v>
      </c>
      <c r="S187" s="582"/>
      <c r="T187" s="585"/>
      <c r="U187" s="586"/>
      <c r="V187" s="586"/>
      <c r="W187" s="2426"/>
      <c r="X187" s="2427"/>
      <c r="Y187" s="1679"/>
      <c r="Z187" s="1791"/>
      <c r="AB187" s="78">
        <v>1</v>
      </c>
      <c r="AE187" s="2461"/>
      <c r="AF187" s="68"/>
      <c r="AI187" s="2475"/>
    </row>
    <row r="188" spans="1:35" ht="60.5" x14ac:dyDescent="0.35">
      <c r="A188" s="370">
        <v>85</v>
      </c>
      <c r="B188" s="375">
        <v>10540</v>
      </c>
      <c r="C188" s="375"/>
      <c r="D188" s="375" t="s">
        <v>2038</v>
      </c>
      <c r="E188" s="371" t="s">
        <v>9802</v>
      </c>
      <c r="F188" s="596"/>
      <c r="G188" s="596"/>
      <c r="H188" s="2268" t="s">
        <v>191</v>
      </c>
      <c r="I188" s="583">
        <f t="shared" si="16"/>
        <v>5.117</v>
      </c>
      <c r="J188" s="583">
        <f t="shared" si="17"/>
        <v>5.117</v>
      </c>
      <c r="K188" s="584"/>
      <c r="L188" s="584"/>
      <c r="M188" s="980"/>
      <c r="N188" s="583">
        <f>SUM(N189:N190)</f>
        <v>5.0609999999999999</v>
      </c>
      <c r="O188" s="597"/>
      <c r="P188" s="584"/>
      <c r="Q188" s="908">
        <f>SUM(Q189:Q190)</f>
        <v>5.600000000000005E-2</v>
      </c>
      <c r="R188" s="901"/>
      <c r="S188" s="586"/>
      <c r="T188" s="590"/>
      <c r="U188" s="586"/>
      <c r="V188" s="586"/>
      <c r="W188" s="2426">
        <v>11</v>
      </c>
      <c r="X188" s="2427">
        <v>146.83000000000001</v>
      </c>
      <c r="Y188" s="1679">
        <v>3</v>
      </c>
      <c r="Z188" s="1791">
        <v>30</v>
      </c>
      <c r="AB188" s="78">
        <v>1</v>
      </c>
      <c r="AE188" s="2461"/>
      <c r="AF188" s="68"/>
      <c r="AI188" s="2475"/>
    </row>
    <row r="189" spans="1:35" ht="15.5" x14ac:dyDescent="0.35">
      <c r="A189" s="370"/>
      <c r="B189" s="375"/>
      <c r="C189" s="375"/>
      <c r="D189" s="375"/>
      <c r="E189" s="610" t="s">
        <v>95</v>
      </c>
      <c r="F189" s="596">
        <v>4</v>
      </c>
      <c r="G189" s="596">
        <v>5</v>
      </c>
      <c r="H189" s="2268">
        <v>6</v>
      </c>
      <c r="I189" s="594"/>
      <c r="J189" s="594"/>
      <c r="K189" s="595"/>
      <c r="L189" s="595"/>
      <c r="M189" s="982"/>
      <c r="N189" s="594">
        <v>5.0609999999999999</v>
      </c>
      <c r="O189" s="917"/>
      <c r="P189" s="595"/>
      <c r="Q189" s="912"/>
      <c r="R189" s="901"/>
      <c r="S189" s="586"/>
      <c r="T189" s="590"/>
      <c r="U189" s="586"/>
      <c r="V189" s="586"/>
      <c r="W189" s="2426"/>
      <c r="X189" s="2427"/>
      <c r="Y189" s="1679"/>
      <c r="Z189" s="1791"/>
      <c r="AE189" s="2461"/>
      <c r="AF189" s="68"/>
    </row>
    <row r="190" spans="1:35" ht="15.5" x14ac:dyDescent="0.35">
      <c r="A190" s="370"/>
      <c r="B190" s="375"/>
      <c r="C190" s="375"/>
      <c r="D190" s="375"/>
      <c r="E190" s="1583" t="s">
        <v>96</v>
      </c>
      <c r="F190" s="596">
        <v>4</v>
      </c>
      <c r="G190" s="596">
        <v>5</v>
      </c>
      <c r="H190" s="2268">
        <v>6</v>
      </c>
      <c r="I190" s="594"/>
      <c r="J190" s="594"/>
      <c r="K190" s="595"/>
      <c r="L190" s="595"/>
      <c r="M190" s="982"/>
      <c r="N190" s="594"/>
      <c r="O190" s="917"/>
      <c r="P190" s="595"/>
      <c r="Q190" s="912">
        <f>5.117-5.061</f>
        <v>5.600000000000005E-2</v>
      </c>
      <c r="R190" s="901"/>
      <c r="S190" s="586"/>
      <c r="T190" s="590"/>
      <c r="U190" s="586"/>
      <c r="V190" s="586"/>
      <c r="W190" s="2426"/>
      <c r="X190" s="2427"/>
      <c r="Y190" s="1679"/>
      <c r="Z190" s="1791"/>
      <c r="AE190" s="2461"/>
      <c r="AF190" s="68"/>
    </row>
    <row r="191" spans="1:35" ht="75.5" x14ac:dyDescent="0.35">
      <c r="A191" s="370">
        <v>86</v>
      </c>
      <c r="B191" s="1100">
        <v>10540</v>
      </c>
      <c r="C191" s="358" t="s">
        <v>1656</v>
      </c>
      <c r="D191" s="2465" t="s">
        <v>4658</v>
      </c>
      <c r="E191" s="372" t="s">
        <v>9803</v>
      </c>
      <c r="F191" s="596" t="s">
        <v>664</v>
      </c>
      <c r="G191" s="596">
        <v>5</v>
      </c>
      <c r="H191" s="2268">
        <v>6</v>
      </c>
      <c r="I191" s="297">
        <f t="shared" si="16"/>
        <v>0.8</v>
      </c>
      <c r="J191" s="297">
        <f t="shared" si="17"/>
        <v>0.8</v>
      </c>
      <c r="K191" s="588"/>
      <c r="L191" s="588"/>
      <c r="M191" s="981"/>
      <c r="N191" s="2364"/>
      <c r="O191" s="2365"/>
      <c r="P191" s="2364"/>
      <c r="Q191" s="1795"/>
      <c r="R191" s="2367">
        <v>0.8</v>
      </c>
      <c r="S191" s="586"/>
      <c r="T191" s="590"/>
      <c r="U191" s="586"/>
      <c r="V191" s="586"/>
      <c r="W191" s="2426"/>
      <c r="X191" s="2427"/>
      <c r="Y191" s="1679"/>
      <c r="Z191" s="1791"/>
      <c r="AB191" s="78">
        <v>1</v>
      </c>
      <c r="AE191" s="2461"/>
      <c r="AF191" s="68"/>
      <c r="AI191" s="2475"/>
    </row>
    <row r="192" spans="1:35" ht="75.5" x14ac:dyDescent="0.35">
      <c r="A192" s="370">
        <v>87</v>
      </c>
      <c r="B192" s="1100">
        <v>10540</v>
      </c>
      <c r="C192" s="358" t="s">
        <v>1656</v>
      </c>
      <c r="D192" s="2465" t="s">
        <v>4659</v>
      </c>
      <c r="E192" s="372" t="s">
        <v>9804</v>
      </c>
      <c r="F192" s="596"/>
      <c r="G192" s="596"/>
      <c r="H192" s="2268" t="s">
        <v>191</v>
      </c>
      <c r="I192" s="297">
        <f t="shared" si="16"/>
        <v>3.226</v>
      </c>
      <c r="J192" s="297">
        <f t="shared" si="17"/>
        <v>2.1259999999999999</v>
      </c>
      <c r="K192" s="584"/>
      <c r="L192" s="584">
        <f>SUM(L193:L194)</f>
        <v>1.1000000000000001</v>
      </c>
      <c r="M192" s="980"/>
      <c r="N192" s="583"/>
      <c r="O192" s="597"/>
      <c r="P192" s="584"/>
      <c r="Q192" s="908"/>
      <c r="R192" s="2367">
        <f>SUM(R193:R194)</f>
        <v>2.1259999999999999</v>
      </c>
      <c r="S192" s="586"/>
      <c r="T192" s="590"/>
      <c r="U192" s="586"/>
      <c r="V192" s="586"/>
      <c r="W192" s="1679"/>
      <c r="X192" s="1678"/>
      <c r="Y192" s="1679"/>
      <c r="Z192" s="1791"/>
      <c r="AB192" s="78">
        <v>1</v>
      </c>
      <c r="AE192" s="2461"/>
      <c r="AF192" s="68"/>
      <c r="AI192" s="2475"/>
    </row>
    <row r="193" spans="1:35" ht="22.5" customHeight="1" x14ac:dyDescent="0.35">
      <c r="A193" s="370"/>
      <c r="B193" s="1100"/>
      <c r="C193" s="358"/>
      <c r="D193" s="2465"/>
      <c r="E193" s="289" t="s">
        <v>7011</v>
      </c>
      <c r="F193" s="596" t="s">
        <v>664</v>
      </c>
      <c r="G193" s="596">
        <v>5</v>
      </c>
      <c r="H193" s="2268" t="s">
        <v>191</v>
      </c>
      <c r="I193" s="298"/>
      <c r="J193" s="298"/>
      <c r="K193" s="595"/>
      <c r="L193" s="595">
        <v>1.1000000000000001</v>
      </c>
      <c r="M193" s="982"/>
      <c r="N193" s="594"/>
      <c r="O193" s="917"/>
      <c r="P193" s="595"/>
      <c r="Q193" s="912"/>
      <c r="R193" s="904"/>
      <c r="S193" s="586"/>
      <c r="T193" s="590"/>
      <c r="U193" s="586"/>
      <c r="V193" s="586"/>
      <c r="W193" s="1679"/>
      <c r="X193" s="1678"/>
      <c r="Y193" s="1679"/>
      <c r="Z193" s="1791"/>
      <c r="AE193" s="2461"/>
      <c r="AF193" s="68"/>
      <c r="AI193" s="2475"/>
    </row>
    <row r="194" spans="1:35" ht="15.5" x14ac:dyDescent="0.35">
      <c r="A194" s="370"/>
      <c r="B194" s="1100"/>
      <c r="C194" s="358"/>
      <c r="D194" s="2465"/>
      <c r="E194" s="2280" t="s">
        <v>7012</v>
      </c>
      <c r="F194" s="596" t="s">
        <v>664</v>
      </c>
      <c r="G194" s="596">
        <v>5</v>
      </c>
      <c r="H194" s="2268">
        <v>6</v>
      </c>
      <c r="I194" s="298"/>
      <c r="J194" s="298"/>
      <c r="K194" s="595"/>
      <c r="L194" s="595"/>
      <c r="M194" s="982"/>
      <c r="N194" s="594"/>
      <c r="O194" s="917"/>
      <c r="P194" s="595"/>
      <c r="Q194" s="912"/>
      <c r="R194" s="904">
        <f>3.226-1.1</f>
        <v>2.1259999999999999</v>
      </c>
      <c r="S194" s="586"/>
      <c r="T194" s="590"/>
      <c r="U194" s="586"/>
      <c r="V194" s="586"/>
      <c r="W194" s="1679"/>
      <c r="X194" s="1678"/>
      <c r="Y194" s="1679"/>
      <c r="Z194" s="1791"/>
      <c r="AE194" s="2461"/>
      <c r="AF194" s="68"/>
      <c r="AI194" s="2475"/>
    </row>
    <row r="195" spans="1:35" ht="15.5" x14ac:dyDescent="0.35">
      <c r="A195" s="370">
        <v>88</v>
      </c>
      <c r="B195" s="375">
        <v>10541</v>
      </c>
      <c r="C195" s="375"/>
      <c r="D195" s="375" t="s">
        <v>2511</v>
      </c>
      <c r="E195" s="371" t="s">
        <v>97</v>
      </c>
      <c r="F195" s="596">
        <v>4</v>
      </c>
      <c r="G195" s="596">
        <v>5</v>
      </c>
      <c r="H195" s="2268">
        <v>6</v>
      </c>
      <c r="I195" s="583">
        <f t="shared" si="16"/>
        <v>1.7130000000000001</v>
      </c>
      <c r="J195" s="583">
        <f t="shared" si="17"/>
        <v>1.7130000000000001</v>
      </c>
      <c r="K195" s="584"/>
      <c r="L195" s="584"/>
      <c r="M195" s="980"/>
      <c r="N195" s="583">
        <v>1.7130000000000001</v>
      </c>
      <c r="O195" s="597"/>
      <c r="P195" s="584"/>
      <c r="Q195" s="908"/>
      <c r="R195" s="901"/>
      <c r="S195" s="586"/>
      <c r="T195" s="590"/>
      <c r="U195" s="586"/>
      <c r="V195" s="586"/>
      <c r="W195" s="2426">
        <v>5</v>
      </c>
      <c r="X195" s="2427">
        <v>70.7</v>
      </c>
      <c r="Y195" s="1679">
        <v>1</v>
      </c>
      <c r="Z195" s="1791">
        <v>10</v>
      </c>
      <c r="AB195" s="78">
        <v>1</v>
      </c>
      <c r="AE195" s="2461"/>
      <c r="AF195" s="68"/>
      <c r="AI195" s="2475"/>
    </row>
    <row r="196" spans="1:35" ht="30.5" x14ac:dyDescent="0.35">
      <c r="A196" s="370">
        <v>89</v>
      </c>
      <c r="B196" s="375">
        <v>10541</v>
      </c>
      <c r="C196" s="358" t="s">
        <v>1656</v>
      </c>
      <c r="D196" s="2465" t="s">
        <v>4660</v>
      </c>
      <c r="E196" s="372" t="s">
        <v>8409</v>
      </c>
      <c r="F196" s="596" t="s">
        <v>664</v>
      </c>
      <c r="G196" s="596">
        <v>5</v>
      </c>
      <c r="H196" s="2268">
        <v>6</v>
      </c>
      <c r="I196" s="297">
        <f t="shared" si="16"/>
        <v>9.5000000000000001E-2</v>
      </c>
      <c r="J196" s="297">
        <f t="shared" si="17"/>
        <v>9.5000000000000001E-2</v>
      </c>
      <c r="K196" s="588"/>
      <c r="L196" s="588"/>
      <c r="M196" s="981"/>
      <c r="N196" s="1794"/>
      <c r="O196" s="2365"/>
      <c r="P196" s="2364"/>
      <c r="Q196" s="1795"/>
      <c r="R196" s="2366">
        <v>9.5000000000000001E-2</v>
      </c>
      <c r="S196" s="582"/>
      <c r="T196" s="585"/>
      <c r="U196" s="586"/>
      <c r="V196" s="586"/>
      <c r="W196" s="2426"/>
      <c r="X196" s="2427"/>
      <c r="Y196" s="1679"/>
      <c r="Z196" s="1791"/>
      <c r="AB196" s="78">
        <v>1</v>
      </c>
      <c r="AE196" s="2461"/>
      <c r="AF196" s="68"/>
      <c r="AI196" s="2475"/>
    </row>
    <row r="197" spans="1:35" ht="30.5" x14ac:dyDescent="0.35">
      <c r="A197" s="370">
        <v>90</v>
      </c>
      <c r="B197" s="375">
        <v>10542</v>
      </c>
      <c r="C197" s="375"/>
      <c r="D197" s="375" t="s">
        <v>2512</v>
      </c>
      <c r="E197" s="371" t="s">
        <v>7013</v>
      </c>
      <c r="F197" s="596"/>
      <c r="G197" s="596"/>
      <c r="H197" s="2268" t="s">
        <v>191</v>
      </c>
      <c r="I197" s="583">
        <f t="shared" si="16"/>
        <v>4.1550000000000002</v>
      </c>
      <c r="J197" s="583">
        <f t="shared" si="17"/>
        <v>4.1550000000000002</v>
      </c>
      <c r="K197" s="584"/>
      <c r="L197" s="584"/>
      <c r="M197" s="980"/>
      <c r="N197" s="583">
        <f>SUM(N198:N202)</f>
        <v>0.93199999999999983</v>
      </c>
      <c r="O197" s="597"/>
      <c r="P197" s="584"/>
      <c r="Q197" s="908">
        <f>SUM(Q198:Q202)</f>
        <v>3.2230000000000003</v>
      </c>
      <c r="R197" s="901"/>
      <c r="S197" s="586"/>
      <c r="T197" s="590"/>
      <c r="U197" s="586"/>
      <c r="V197" s="586"/>
      <c r="W197" s="2426">
        <v>9</v>
      </c>
      <c r="X197" s="2427">
        <v>64.5</v>
      </c>
      <c r="Y197" s="1679"/>
      <c r="Z197" s="1791"/>
      <c r="AB197" s="78">
        <v>1</v>
      </c>
      <c r="AE197" s="2461"/>
      <c r="AF197" s="68"/>
      <c r="AI197" s="2475"/>
    </row>
    <row r="198" spans="1:35" ht="15.5" x14ac:dyDescent="0.35">
      <c r="A198" s="605"/>
      <c r="B198" s="375">
        <v>10542</v>
      </c>
      <c r="C198" s="375"/>
      <c r="D198" s="377"/>
      <c r="E198" s="610" t="s">
        <v>487</v>
      </c>
      <c r="F198" s="596">
        <v>5</v>
      </c>
      <c r="G198" s="596">
        <v>5</v>
      </c>
      <c r="H198" s="2268">
        <v>6</v>
      </c>
      <c r="I198" s="589"/>
      <c r="J198" s="589"/>
      <c r="K198" s="588"/>
      <c r="L198" s="588"/>
      <c r="M198" s="981"/>
      <c r="N198" s="589">
        <v>2.3E-2</v>
      </c>
      <c r="O198" s="915"/>
      <c r="P198" s="588"/>
      <c r="Q198" s="909"/>
      <c r="R198" s="902"/>
      <c r="S198" s="586"/>
      <c r="T198" s="590"/>
      <c r="U198" s="586"/>
      <c r="V198" s="586"/>
      <c r="W198" s="2426"/>
      <c r="X198" s="2427"/>
      <c r="Y198" s="1679"/>
      <c r="Z198" s="1791"/>
      <c r="AE198" s="2461"/>
      <c r="AF198" s="68"/>
    </row>
    <row r="199" spans="1:35" ht="15.5" x14ac:dyDescent="0.35">
      <c r="A199" s="605"/>
      <c r="B199" s="375"/>
      <c r="C199" s="375"/>
      <c r="D199" s="377"/>
      <c r="E199" s="1583" t="s">
        <v>3607</v>
      </c>
      <c r="F199" s="596">
        <v>5</v>
      </c>
      <c r="G199" s="596">
        <v>5</v>
      </c>
      <c r="H199" s="2268">
        <v>6</v>
      </c>
      <c r="I199" s="589"/>
      <c r="J199" s="589"/>
      <c r="K199" s="588"/>
      <c r="L199" s="588"/>
      <c r="M199" s="981"/>
      <c r="N199" s="589"/>
      <c r="O199" s="915"/>
      <c r="P199" s="588"/>
      <c r="Q199" s="909">
        <f>2.601-0.023</f>
        <v>2.5779999999999998</v>
      </c>
      <c r="R199" s="902"/>
      <c r="S199" s="586"/>
      <c r="T199" s="590"/>
      <c r="U199" s="586"/>
      <c r="V199" s="586"/>
      <c r="W199" s="2426"/>
      <c r="X199" s="2427"/>
      <c r="Y199" s="1679"/>
      <c r="Z199" s="1791"/>
      <c r="AE199" s="2461"/>
      <c r="AF199" s="68"/>
    </row>
    <row r="200" spans="1:35" ht="15.5" x14ac:dyDescent="0.35">
      <c r="A200" s="605"/>
      <c r="B200" s="375">
        <v>10542</v>
      </c>
      <c r="C200" s="375"/>
      <c r="D200" s="377"/>
      <c r="E200" s="610" t="s">
        <v>1998</v>
      </c>
      <c r="F200" s="596" t="s">
        <v>827</v>
      </c>
      <c r="G200" s="596">
        <v>5</v>
      </c>
      <c r="H200" s="2268">
        <v>6</v>
      </c>
      <c r="I200" s="589"/>
      <c r="J200" s="589"/>
      <c r="K200" s="588"/>
      <c r="L200" s="588"/>
      <c r="M200" s="981"/>
      <c r="N200" s="589">
        <f>3.51-2.601</f>
        <v>0.90899999999999981</v>
      </c>
      <c r="O200" s="915"/>
      <c r="P200" s="588"/>
      <c r="Q200" s="909"/>
      <c r="R200" s="902"/>
      <c r="S200" s="586"/>
      <c r="T200" s="590"/>
      <c r="U200" s="586"/>
      <c r="V200" s="586"/>
      <c r="W200" s="2426"/>
      <c r="X200" s="2427"/>
      <c r="Y200" s="1679"/>
      <c r="Z200" s="1791"/>
      <c r="AE200" s="2461"/>
      <c r="AF200" s="68"/>
    </row>
    <row r="201" spans="1:35" ht="15.5" x14ac:dyDescent="0.35">
      <c r="A201" s="605"/>
      <c r="B201" s="375">
        <v>10542</v>
      </c>
      <c r="C201" s="375"/>
      <c r="D201" s="377"/>
      <c r="E201" s="1583" t="s">
        <v>1999</v>
      </c>
      <c r="F201" s="2268" t="s">
        <v>1490</v>
      </c>
      <c r="G201" s="596">
        <v>5</v>
      </c>
      <c r="H201" s="2268">
        <v>6</v>
      </c>
      <c r="I201" s="589"/>
      <c r="J201" s="589"/>
      <c r="K201" s="588"/>
      <c r="L201" s="588"/>
      <c r="M201" s="981"/>
      <c r="N201" s="589"/>
      <c r="O201" s="915"/>
      <c r="P201" s="588"/>
      <c r="Q201" s="909">
        <f>4.078-3.51</f>
        <v>0.5680000000000005</v>
      </c>
      <c r="R201" s="902"/>
      <c r="S201" s="586"/>
      <c r="T201" s="590"/>
      <c r="U201" s="586"/>
      <c r="V201" s="586"/>
      <c r="W201" s="2426"/>
      <c r="X201" s="2427"/>
      <c r="Y201" s="1679"/>
      <c r="Z201" s="1791"/>
      <c r="AE201" s="2461"/>
      <c r="AF201" s="68"/>
    </row>
    <row r="202" spans="1:35" ht="15.5" x14ac:dyDescent="0.35">
      <c r="A202" s="605"/>
      <c r="B202" s="375">
        <v>10542</v>
      </c>
      <c r="C202" s="375"/>
      <c r="D202" s="377"/>
      <c r="E202" s="1583" t="s">
        <v>2000</v>
      </c>
      <c r="F202" s="2268" t="s">
        <v>664</v>
      </c>
      <c r="G202" s="596">
        <v>5</v>
      </c>
      <c r="H202" s="2268">
        <v>6</v>
      </c>
      <c r="I202" s="589"/>
      <c r="J202" s="589"/>
      <c r="K202" s="588"/>
      <c r="L202" s="588"/>
      <c r="M202" s="981"/>
      <c r="N202" s="589"/>
      <c r="O202" s="915"/>
      <c r="P202" s="588"/>
      <c r="Q202" s="909">
        <f>4.155-4.078</f>
        <v>7.6999999999999957E-2</v>
      </c>
      <c r="R202" s="902"/>
      <c r="S202" s="586"/>
      <c r="T202" s="590"/>
      <c r="U202" s="586"/>
      <c r="V202" s="586"/>
      <c r="W202" s="2426"/>
      <c r="X202" s="2427"/>
      <c r="Y202" s="1679"/>
      <c r="Z202" s="1791"/>
      <c r="AE202" s="2461"/>
      <c r="AF202" s="68"/>
    </row>
    <row r="203" spans="1:35" ht="45.5" x14ac:dyDescent="0.35">
      <c r="A203" s="1593">
        <v>91</v>
      </c>
      <c r="B203" s="375">
        <v>10542</v>
      </c>
      <c r="C203" s="358" t="s">
        <v>1656</v>
      </c>
      <c r="D203" s="2465" t="s">
        <v>4661</v>
      </c>
      <c r="E203" s="372" t="s">
        <v>8410</v>
      </c>
      <c r="F203" s="591"/>
      <c r="G203" s="596"/>
      <c r="H203" s="2268" t="s">
        <v>191</v>
      </c>
      <c r="I203" s="297">
        <f>J203+K203+L203</f>
        <v>1.0920000000000001</v>
      </c>
      <c r="J203" s="297">
        <f>SUM(M203:R203)</f>
        <v>0.29200000000000004</v>
      </c>
      <c r="K203" s="588"/>
      <c r="L203" s="584">
        <f>SUM(L204:L205)</f>
        <v>0.8</v>
      </c>
      <c r="M203" s="981"/>
      <c r="N203" s="2364"/>
      <c r="O203" s="2365"/>
      <c r="P203" s="2364"/>
      <c r="Q203" s="1792"/>
      <c r="R203" s="2366">
        <f>SUM(R204:R205)</f>
        <v>0.29200000000000004</v>
      </c>
      <c r="S203" s="586"/>
      <c r="T203" s="590"/>
      <c r="U203" s="586"/>
      <c r="V203" s="586"/>
      <c r="W203" s="1679"/>
      <c r="X203" s="1678"/>
      <c r="Y203" s="1679"/>
      <c r="Z203" s="1791"/>
      <c r="AB203" s="78">
        <v>1</v>
      </c>
      <c r="AE203" s="2461"/>
      <c r="AF203" s="68"/>
      <c r="AI203" s="2475"/>
    </row>
    <row r="204" spans="1:35" ht="31" x14ac:dyDescent="0.35">
      <c r="A204" s="1593"/>
      <c r="B204" s="375"/>
      <c r="C204" s="358"/>
      <c r="D204" s="2465"/>
      <c r="E204" s="289" t="s">
        <v>7014</v>
      </c>
      <c r="F204" s="591" t="s">
        <v>827</v>
      </c>
      <c r="G204" s="596">
        <v>5</v>
      </c>
      <c r="H204" s="2268" t="s">
        <v>191</v>
      </c>
      <c r="I204" s="298"/>
      <c r="J204" s="298"/>
      <c r="K204" s="588"/>
      <c r="L204" s="588">
        <v>0.8</v>
      </c>
      <c r="M204" s="981"/>
      <c r="N204" s="588"/>
      <c r="O204" s="915"/>
      <c r="P204" s="588"/>
      <c r="Q204" s="909"/>
      <c r="R204" s="902"/>
      <c r="S204" s="586"/>
      <c r="T204" s="590"/>
      <c r="U204" s="586"/>
      <c r="V204" s="586"/>
      <c r="W204" s="1679"/>
      <c r="X204" s="1678"/>
      <c r="Y204" s="1679"/>
      <c r="Z204" s="1791"/>
      <c r="AE204" s="2461"/>
      <c r="AF204" s="68"/>
      <c r="AI204" s="2475"/>
    </row>
    <row r="205" spans="1:35" ht="15.5" x14ac:dyDescent="0.35">
      <c r="A205" s="1593"/>
      <c r="B205" s="375"/>
      <c r="C205" s="358"/>
      <c r="D205" s="2465"/>
      <c r="E205" s="2280" t="s">
        <v>7015</v>
      </c>
      <c r="F205" s="591" t="s">
        <v>827</v>
      </c>
      <c r="G205" s="596">
        <v>5</v>
      </c>
      <c r="H205" s="2268">
        <v>6</v>
      </c>
      <c r="I205" s="298"/>
      <c r="J205" s="298"/>
      <c r="K205" s="588"/>
      <c r="L205" s="588"/>
      <c r="M205" s="981"/>
      <c r="N205" s="588"/>
      <c r="O205" s="915"/>
      <c r="P205" s="588"/>
      <c r="Q205" s="909"/>
      <c r="R205" s="902">
        <f>1.092-0.8</f>
        <v>0.29200000000000004</v>
      </c>
      <c r="S205" s="586"/>
      <c r="T205" s="590"/>
      <c r="U205" s="586"/>
      <c r="V205" s="586"/>
      <c r="W205" s="1679"/>
      <c r="X205" s="1678"/>
      <c r="Y205" s="1679"/>
      <c r="Z205" s="1791"/>
      <c r="AE205" s="2461"/>
      <c r="AF205" s="68"/>
      <c r="AI205" s="2475"/>
    </row>
    <row r="206" spans="1:35" ht="45.5" x14ac:dyDescent="0.35">
      <c r="A206" s="608">
        <v>92</v>
      </c>
      <c r="B206" s="1099">
        <v>10542</v>
      </c>
      <c r="C206" s="1099" t="s">
        <v>1656</v>
      </c>
      <c r="D206" s="2465" t="s">
        <v>4662</v>
      </c>
      <c r="E206" s="371" t="s">
        <v>8411</v>
      </c>
      <c r="F206" s="596" t="s">
        <v>664</v>
      </c>
      <c r="G206" s="596">
        <v>5</v>
      </c>
      <c r="H206" s="2268">
        <v>6</v>
      </c>
      <c r="I206" s="583">
        <f>J206+K206+L206</f>
        <v>0.3</v>
      </c>
      <c r="J206" s="583">
        <f>SUM(M206:R206)</f>
        <v>0.3</v>
      </c>
      <c r="K206" s="598"/>
      <c r="L206" s="598"/>
      <c r="M206" s="983"/>
      <c r="N206" s="580"/>
      <c r="O206" s="918"/>
      <c r="P206" s="580"/>
      <c r="Q206" s="913"/>
      <c r="R206" s="906">
        <v>0.3</v>
      </c>
      <c r="S206" s="600"/>
      <c r="T206" s="600"/>
      <c r="U206" s="600"/>
      <c r="V206" s="600"/>
      <c r="W206" s="1676"/>
      <c r="X206" s="1789"/>
      <c r="Y206" s="1676"/>
      <c r="Z206" s="1790"/>
      <c r="AB206" s="78">
        <v>1</v>
      </c>
      <c r="AE206" s="2461"/>
      <c r="AF206" s="68"/>
      <c r="AI206" s="2475"/>
    </row>
    <row r="207" spans="1:35" ht="45.5" x14ac:dyDescent="0.35">
      <c r="A207" s="1593">
        <v>93</v>
      </c>
      <c r="B207" s="375">
        <v>10538</v>
      </c>
      <c r="C207" s="358" t="s">
        <v>1656</v>
      </c>
      <c r="D207" s="2465" t="s">
        <v>4663</v>
      </c>
      <c r="E207" s="372" t="s">
        <v>8412</v>
      </c>
      <c r="F207" s="591"/>
      <c r="G207" s="596"/>
      <c r="H207" s="2268" t="s">
        <v>191</v>
      </c>
      <c r="I207" s="297">
        <f>J207+K207+L207</f>
        <v>2.3159999999999998</v>
      </c>
      <c r="J207" s="297">
        <f>SUM(M207:R207)</f>
        <v>1.5909999999999997</v>
      </c>
      <c r="K207" s="588"/>
      <c r="L207" s="584">
        <f>SUM(L208:L209)</f>
        <v>0.72499999999999998</v>
      </c>
      <c r="M207" s="981"/>
      <c r="N207" s="2364"/>
      <c r="O207" s="2365"/>
      <c r="P207" s="2364"/>
      <c r="Q207" s="1792"/>
      <c r="R207" s="2366">
        <f>SUM(R208:R209)</f>
        <v>1.5909999999999997</v>
      </c>
      <c r="S207" s="586"/>
      <c r="T207" s="590"/>
      <c r="U207" s="586"/>
      <c r="V207" s="586"/>
      <c r="W207" s="1679"/>
      <c r="X207" s="1678"/>
      <c r="Y207" s="1679"/>
      <c r="Z207" s="1791"/>
      <c r="AB207" s="78">
        <v>1</v>
      </c>
      <c r="AE207" s="2461"/>
      <c r="AF207" s="68"/>
      <c r="AI207" s="2475"/>
    </row>
    <row r="208" spans="1:35" ht="15.5" x14ac:dyDescent="0.35">
      <c r="A208" s="1593"/>
      <c r="B208" s="375"/>
      <c r="C208" s="358"/>
      <c r="D208" s="2465"/>
      <c r="E208" s="289" t="s">
        <v>7016</v>
      </c>
      <c r="F208" s="591" t="s">
        <v>664</v>
      </c>
      <c r="G208" s="596">
        <v>5</v>
      </c>
      <c r="H208" s="2268" t="s">
        <v>191</v>
      </c>
      <c r="I208" s="297"/>
      <c r="J208" s="297"/>
      <c r="K208" s="588"/>
      <c r="L208" s="588">
        <v>0.72499999999999998</v>
      </c>
      <c r="M208" s="981"/>
      <c r="N208" s="2364"/>
      <c r="O208" s="2365"/>
      <c r="P208" s="2364"/>
      <c r="Q208" s="1792"/>
      <c r="R208" s="2366"/>
      <c r="S208" s="586"/>
      <c r="T208" s="590"/>
      <c r="U208" s="586"/>
      <c r="V208" s="586"/>
      <c r="W208" s="1679"/>
      <c r="X208" s="1678"/>
      <c r="Y208" s="1679"/>
      <c r="Z208" s="1791"/>
      <c r="AE208" s="2461"/>
      <c r="AF208" s="68"/>
      <c r="AI208" s="2475"/>
    </row>
    <row r="209" spans="1:35" ht="15.5" x14ac:dyDescent="0.35">
      <c r="A209" s="1593"/>
      <c r="B209" s="375"/>
      <c r="C209" s="358"/>
      <c r="D209" s="2465"/>
      <c r="E209" s="2280" t="s">
        <v>7017</v>
      </c>
      <c r="F209" s="591" t="s">
        <v>664</v>
      </c>
      <c r="G209" s="596">
        <v>5</v>
      </c>
      <c r="H209" s="2268">
        <v>6</v>
      </c>
      <c r="I209" s="297"/>
      <c r="J209" s="297"/>
      <c r="K209" s="588"/>
      <c r="L209" s="588"/>
      <c r="M209" s="981"/>
      <c r="N209" s="2364"/>
      <c r="O209" s="2365"/>
      <c r="P209" s="2364"/>
      <c r="Q209" s="1792"/>
      <c r="R209" s="2366">
        <f>2.316-0.725</f>
        <v>1.5909999999999997</v>
      </c>
      <c r="S209" s="586"/>
      <c r="T209" s="590"/>
      <c r="U209" s="586"/>
      <c r="V209" s="586"/>
      <c r="W209" s="1679"/>
      <c r="X209" s="1678"/>
      <c r="Y209" s="1679"/>
      <c r="Z209" s="1791"/>
      <c r="AE209" s="2461"/>
      <c r="AF209" s="68"/>
      <c r="AI209" s="2475"/>
    </row>
    <row r="210" spans="1:35" ht="30.5" x14ac:dyDescent="0.35">
      <c r="A210" s="608">
        <v>94</v>
      </c>
      <c r="B210" s="375">
        <v>10543</v>
      </c>
      <c r="C210" s="375"/>
      <c r="D210" s="375" t="s">
        <v>2513</v>
      </c>
      <c r="E210" s="371" t="s">
        <v>7018</v>
      </c>
      <c r="F210" s="596"/>
      <c r="G210" s="596"/>
      <c r="H210" s="2268" t="s">
        <v>191</v>
      </c>
      <c r="I210" s="583">
        <f>J210+K210+L210</f>
        <v>18.690000000000001</v>
      </c>
      <c r="J210" s="583">
        <f>SUM(M210:R210)</f>
        <v>18.690000000000001</v>
      </c>
      <c r="K210" s="584"/>
      <c r="L210" s="584"/>
      <c r="M210" s="980"/>
      <c r="N210" s="2859">
        <f>SUM(N211:N215)</f>
        <v>4.9430000000000005</v>
      </c>
      <c r="O210" s="597"/>
      <c r="P210" s="584"/>
      <c r="Q210" s="910">
        <f>SUM(Q211:Q215)</f>
        <v>13.747</v>
      </c>
      <c r="R210" s="901"/>
      <c r="S210" s="582">
        <v>1</v>
      </c>
      <c r="T210" s="585">
        <v>11.2</v>
      </c>
      <c r="U210" s="586"/>
      <c r="V210" s="586"/>
      <c r="W210" s="2426">
        <v>27</v>
      </c>
      <c r="X210" s="2427">
        <v>387.98</v>
      </c>
      <c r="Y210" s="1679">
        <v>1</v>
      </c>
      <c r="Z210" s="1791">
        <v>10</v>
      </c>
      <c r="AB210" s="78">
        <v>1</v>
      </c>
      <c r="AE210" s="2461"/>
      <c r="AF210" s="68"/>
      <c r="AI210" s="2475"/>
    </row>
    <row r="211" spans="1:35" ht="15.5" x14ac:dyDescent="0.35">
      <c r="A211" s="605"/>
      <c r="B211" s="375">
        <v>10543</v>
      </c>
      <c r="C211" s="375"/>
      <c r="D211" s="377"/>
      <c r="E211" s="1584" t="s">
        <v>441</v>
      </c>
      <c r="F211" s="596">
        <v>4</v>
      </c>
      <c r="G211" s="596">
        <v>4</v>
      </c>
      <c r="H211" s="2268">
        <v>6</v>
      </c>
      <c r="I211" s="589"/>
      <c r="J211" s="589"/>
      <c r="K211" s="588"/>
      <c r="L211" s="588"/>
      <c r="M211" s="981"/>
      <c r="N211" s="2860">
        <v>4</v>
      </c>
      <c r="O211" s="915"/>
      <c r="P211" s="588"/>
      <c r="Q211" s="911"/>
      <c r="R211" s="902"/>
      <c r="S211" s="582"/>
      <c r="T211" s="585"/>
      <c r="U211" s="586"/>
      <c r="V211" s="586"/>
      <c r="W211" s="2426"/>
      <c r="X211" s="2427"/>
      <c r="Y211" s="1679"/>
      <c r="Z211" s="1791"/>
      <c r="AE211" s="2461"/>
      <c r="AF211" s="68"/>
    </row>
    <row r="212" spans="1:35" ht="15.5" x14ac:dyDescent="0.35">
      <c r="A212" s="605"/>
      <c r="B212" s="375"/>
      <c r="C212" s="375"/>
      <c r="D212" s="377"/>
      <c r="E212" s="1583" t="s">
        <v>442</v>
      </c>
      <c r="F212" s="596">
        <v>4</v>
      </c>
      <c r="G212" s="596">
        <v>4</v>
      </c>
      <c r="H212" s="2268">
        <v>6</v>
      </c>
      <c r="I212" s="589"/>
      <c r="J212" s="589"/>
      <c r="K212" s="588"/>
      <c r="L212" s="588"/>
      <c r="M212" s="981"/>
      <c r="N212" s="2860"/>
      <c r="O212" s="915"/>
      <c r="P212" s="588"/>
      <c r="Q212" s="911">
        <f>5-4</f>
        <v>1</v>
      </c>
      <c r="R212" s="902"/>
      <c r="S212" s="582"/>
      <c r="T212" s="585"/>
      <c r="U212" s="586"/>
      <c r="V212" s="586"/>
      <c r="W212" s="2426"/>
      <c r="X212" s="2427"/>
      <c r="Y212" s="1679"/>
      <c r="Z212" s="1791"/>
      <c r="AE212" s="2461"/>
      <c r="AF212" s="68"/>
    </row>
    <row r="213" spans="1:35" ht="15.5" x14ac:dyDescent="0.35">
      <c r="A213" s="605"/>
      <c r="B213" s="375"/>
      <c r="C213" s="375"/>
      <c r="D213" s="377"/>
      <c r="E213" s="1584" t="s">
        <v>11396</v>
      </c>
      <c r="F213" s="596">
        <v>4</v>
      </c>
      <c r="G213" s="596">
        <v>4</v>
      </c>
      <c r="H213" s="2268">
        <v>6</v>
      </c>
      <c r="I213" s="589"/>
      <c r="J213" s="589"/>
      <c r="K213" s="588"/>
      <c r="L213" s="588"/>
      <c r="M213" s="981"/>
      <c r="N213" s="2860">
        <f>5.925-5</f>
        <v>0.92499999999999982</v>
      </c>
      <c r="O213" s="915"/>
      <c r="P213" s="588"/>
      <c r="Q213" s="911"/>
      <c r="R213" s="902"/>
      <c r="S213" s="582"/>
      <c r="T213" s="585"/>
      <c r="U213" s="586"/>
      <c r="V213" s="586"/>
      <c r="W213" s="2426"/>
      <c r="X213" s="2427"/>
      <c r="Y213" s="1679"/>
      <c r="Z213" s="1791"/>
      <c r="AE213" s="2461"/>
      <c r="AF213" s="68"/>
    </row>
    <row r="214" spans="1:35" ht="15.5" x14ac:dyDescent="0.35">
      <c r="A214" s="605"/>
      <c r="B214" s="375">
        <v>10543</v>
      </c>
      <c r="C214" s="375"/>
      <c r="D214" s="377"/>
      <c r="E214" s="1583" t="s">
        <v>2535</v>
      </c>
      <c r="F214" s="596">
        <v>4</v>
      </c>
      <c r="G214" s="596">
        <v>4</v>
      </c>
      <c r="H214" s="2268">
        <v>6</v>
      </c>
      <c r="I214" s="589"/>
      <c r="J214" s="589"/>
      <c r="K214" s="588"/>
      <c r="L214" s="588"/>
      <c r="M214" s="981"/>
      <c r="N214" s="2860"/>
      <c r="O214" s="915"/>
      <c r="P214" s="588"/>
      <c r="Q214" s="911">
        <f>18.672-5.925</f>
        <v>12.747</v>
      </c>
      <c r="R214" s="902"/>
      <c r="S214" s="582"/>
      <c r="T214" s="585"/>
      <c r="U214" s="586"/>
      <c r="V214" s="586"/>
      <c r="W214" s="2426"/>
      <c r="X214" s="2427"/>
      <c r="Y214" s="1679"/>
      <c r="Z214" s="1791"/>
      <c r="AE214" s="2461"/>
      <c r="AF214" s="68"/>
    </row>
    <row r="215" spans="1:35" ht="15.5" x14ac:dyDescent="0.35">
      <c r="A215" s="2410"/>
      <c r="B215" s="375">
        <v>10543</v>
      </c>
      <c r="C215" s="375"/>
      <c r="D215" s="377"/>
      <c r="E215" s="610" t="s">
        <v>2536</v>
      </c>
      <c r="F215" s="596">
        <v>4</v>
      </c>
      <c r="G215" s="596">
        <v>4</v>
      </c>
      <c r="H215" s="2268">
        <v>6</v>
      </c>
      <c r="I215" s="589"/>
      <c r="J215" s="589"/>
      <c r="K215" s="588"/>
      <c r="L215" s="588"/>
      <c r="M215" s="981"/>
      <c r="N215" s="2860">
        <f>18.69-18.672</f>
        <v>1.8000000000000682E-2</v>
      </c>
      <c r="O215" s="915"/>
      <c r="P215" s="588"/>
      <c r="Q215" s="911"/>
      <c r="R215" s="902"/>
      <c r="S215" s="582"/>
      <c r="T215" s="585"/>
      <c r="U215" s="586"/>
      <c r="V215" s="586"/>
      <c r="W215" s="2426"/>
      <c r="X215" s="2427"/>
      <c r="Y215" s="1679"/>
      <c r="Z215" s="1791"/>
      <c r="AE215" s="2461"/>
      <c r="AF215" s="68"/>
    </row>
    <row r="216" spans="1:35" ht="45.5" x14ac:dyDescent="0.35">
      <c r="A216" s="1593">
        <v>95</v>
      </c>
      <c r="B216" s="375">
        <v>10543</v>
      </c>
      <c r="C216" s="358" t="s">
        <v>1656</v>
      </c>
      <c r="D216" s="2465" t="s">
        <v>4664</v>
      </c>
      <c r="E216" s="372" t="s">
        <v>9244</v>
      </c>
      <c r="F216" s="591">
        <v>4</v>
      </c>
      <c r="G216" s="596">
        <v>5</v>
      </c>
      <c r="H216" s="2268">
        <v>6</v>
      </c>
      <c r="I216" s="297">
        <f>J216+K216+L216</f>
        <v>0.41699999999999998</v>
      </c>
      <c r="J216" s="297">
        <f>SUM(M216:R216)</f>
        <v>0.41699999999999998</v>
      </c>
      <c r="K216" s="588"/>
      <c r="L216" s="588"/>
      <c r="M216" s="981"/>
      <c r="N216" s="2364"/>
      <c r="O216" s="2365">
        <v>0.41699999999999998</v>
      </c>
      <c r="P216" s="2364"/>
      <c r="Q216" s="1792"/>
      <c r="R216" s="2366"/>
      <c r="S216" s="586"/>
      <c r="T216" s="590"/>
      <c r="U216" s="586"/>
      <c r="V216" s="586"/>
      <c r="W216" s="1679"/>
      <c r="X216" s="1678"/>
      <c r="Y216" s="1679"/>
      <c r="Z216" s="1791"/>
      <c r="AB216" s="78">
        <v>1</v>
      </c>
      <c r="AE216" s="2461"/>
      <c r="AF216" s="68"/>
      <c r="AI216" s="2475"/>
    </row>
    <row r="217" spans="1:35" ht="45.5" x14ac:dyDescent="0.35">
      <c r="A217" s="603">
        <v>96</v>
      </c>
      <c r="B217" s="1100">
        <v>10543</v>
      </c>
      <c r="C217" s="1100"/>
      <c r="D217" s="2465" t="s">
        <v>4665</v>
      </c>
      <c r="E217" s="371" t="s">
        <v>7667</v>
      </c>
      <c r="F217" s="596" t="s">
        <v>664</v>
      </c>
      <c r="G217" s="596">
        <v>5</v>
      </c>
      <c r="H217" s="2268">
        <v>6</v>
      </c>
      <c r="I217" s="583">
        <f>J217+K217+L217</f>
        <v>0.4</v>
      </c>
      <c r="J217" s="583">
        <f>SUM(M217:R217)</f>
        <v>0.4</v>
      </c>
      <c r="K217" s="584"/>
      <c r="L217" s="584"/>
      <c r="M217" s="980"/>
      <c r="N217" s="583"/>
      <c r="O217" s="597"/>
      <c r="P217" s="584"/>
      <c r="Q217" s="908"/>
      <c r="R217" s="903">
        <v>0.4</v>
      </c>
      <c r="S217" s="586"/>
      <c r="T217" s="590"/>
      <c r="U217" s="586"/>
      <c r="V217" s="586"/>
      <c r="W217" s="2426"/>
      <c r="X217" s="2427"/>
      <c r="Y217" s="1679"/>
      <c r="Z217" s="1791"/>
      <c r="AB217" s="78">
        <v>1</v>
      </c>
      <c r="AE217" s="2461"/>
      <c r="AF217" s="68"/>
      <c r="AI217" s="2475"/>
    </row>
    <row r="218" spans="1:35" ht="45.5" x14ac:dyDescent="0.35">
      <c r="A218" s="1593">
        <v>97</v>
      </c>
      <c r="B218" s="375">
        <v>10543</v>
      </c>
      <c r="C218" s="358" t="s">
        <v>1656</v>
      </c>
      <c r="D218" s="2465" t="s">
        <v>4666</v>
      </c>
      <c r="E218" s="372" t="s">
        <v>8413</v>
      </c>
      <c r="F218" s="591" t="s">
        <v>664</v>
      </c>
      <c r="G218" s="596">
        <v>5</v>
      </c>
      <c r="H218" s="2268">
        <v>6</v>
      </c>
      <c r="I218" s="297">
        <f>J218+K218+L218</f>
        <v>0.48499999999999999</v>
      </c>
      <c r="J218" s="297">
        <f>SUM(M218:R218)</f>
        <v>0.48499999999999999</v>
      </c>
      <c r="K218" s="589"/>
      <c r="L218" s="588"/>
      <c r="M218" s="981"/>
      <c r="N218" s="2364"/>
      <c r="O218" s="2365"/>
      <c r="P218" s="2364"/>
      <c r="Q218" s="1792"/>
      <c r="R218" s="2366">
        <v>0.48499999999999999</v>
      </c>
      <c r="S218" s="586"/>
      <c r="T218" s="590"/>
      <c r="U218" s="586"/>
      <c r="V218" s="586"/>
      <c r="W218" s="1679"/>
      <c r="X218" s="1678"/>
      <c r="Y218" s="1679"/>
      <c r="Z218" s="1791"/>
      <c r="AB218" s="78">
        <v>1</v>
      </c>
      <c r="AE218" s="2461"/>
      <c r="AF218" s="68"/>
      <c r="AI218" s="2475"/>
    </row>
    <row r="219" spans="1:35" ht="45.5" x14ac:dyDescent="0.35">
      <c r="A219" s="603">
        <v>98</v>
      </c>
      <c r="B219" s="1100">
        <v>10543</v>
      </c>
      <c r="C219" s="1100"/>
      <c r="D219" s="2465" t="s">
        <v>4667</v>
      </c>
      <c r="E219" s="371" t="s">
        <v>7668</v>
      </c>
      <c r="F219" s="596"/>
      <c r="G219" s="596"/>
      <c r="H219" s="2268" t="s">
        <v>191</v>
      </c>
      <c r="I219" s="583">
        <f>J219+K219+L219</f>
        <v>0.8</v>
      </c>
      <c r="J219" s="583">
        <f>SUM(M219:R219)</f>
        <v>0.8</v>
      </c>
      <c r="K219" s="584"/>
      <c r="L219" s="584"/>
      <c r="M219" s="980"/>
      <c r="N219" s="583">
        <f>SUM(N220:N221)</f>
        <v>0.32</v>
      </c>
      <c r="O219" s="597"/>
      <c r="P219" s="584"/>
      <c r="Q219" s="908"/>
      <c r="R219" s="903">
        <f>SUM(R220:R221)</f>
        <v>0.48000000000000004</v>
      </c>
      <c r="S219" s="586"/>
      <c r="T219" s="590"/>
      <c r="U219" s="586"/>
      <c r="V219" s="586"/>
      <c r="W219" s="2426">
        <v>2</v>
      </c>
      <c r="X219" s="2427">
        <v>21.2</v>
      </c>
      <c r="Y219" s="1679"/>
      <c r="Z219" s="1791"/>
      <c r="AB219" s="78">
        <v>1</v>
      </c>
      <c r="AE219" s="2461"/>
      <c r="AF219" s="68"/>
      <c r="AI219" s="2475"/>
    </row>
    <row r="220" spans="1:35" ht="15.5" x14ac:dyDescent="0.35">
      <c r="A220" s="605"/>
      <c r="B220" s="1100">
        <v>10543</v>
      </c>
      <c r="C220" s="1100"/>
      <c r="D220" s="377"/>
      <c r="E220" s="610" t="s">
        <v>350</v>
      </c>
      <c r="F220" s="596">
        <v>5</v>
      </c>
      <c r="G220" s="596">
        <v>5</v>
      </c>
      <c r="H220" s="2268">
        <v>6</v>
      </c>
      <c r="I220" s="589"/>
      <c r="J220" s="589"/>
      <c r="K220" s="588"/>
      <c r="L220" s="588"/>
      <c r="M220" s="981"/>
      <c r="N220" s="589">
        <v>0.32</v>
      </c>
      <c r="O220" s="915"/>
      <c r="P220" s="588"/>
      <c r="Q220" s="909"/>
      <c r="R220" s="904"/>
      <c r="S220" s="586"/>
      <c r="T220" s="590"/>
      <c r="U220" s="586"/>
      <c r="V220" s="586"/>
      <c r="W220" s="2426"/>
      <c r="X220" s="2427"/>
      <c r="Y220" s="1679"/>
      <c r="Z220" s="1791"/>
      <c r="AE220" s="2461"/>
      <c r="AF220" s="68"/>
    </row>
    <row r="221" spans="1:35" ht="15.5" x14ac:dyDescent="0.35">
      <c r="A221" s="605"/>
      <c r="B221" s="1100">
        <v>10543</v>
      </c>
      <c r="C221" s="1100"/>
      <c r="D221" s="377"/>
      <c r="E221" s="1585" t="s">
        <v>2537</v>
      </c>
      <c r="F221" s="596" t="s">
        <v>827</v>
      </c>
      <c r="G221" s="596">
        <v>5</v>
      </c>
      <c r="H221" s="2268">
        <v>6</v>
      </c>
      <c r="I221" s="589"/>
      <c r="J221" s="589"/>
      <c r="K221" s="588"/>
      <c r="L221" s="588"/>
      <c r="M221" s="981"/>
      <c r="N221" s="589"/>
      <c r="O221" s="915"/>
      <c r="P221" s="588"/>
      <c r="Q221" s="909"/>
      <c r="R221" s="904">
        <f>0.8-0.32</f>
        <v>0.48000000000000004</v>
      </c>
      <c r="S221" s="586"/>
      <c r="T221" s="590"/>
      <c r="U221" s="586"/>
      <c r="V221" s="586"/>
      <c r="W221" s="2426"/>
      <c r="X221" s="2427"/>
      <c r="Y221" s="1679"/>
      <c r="Z221" s="1791"/>
      <c r="AE221" s="2461"/>
      <c r="AF221" s="68"/>
    </row>
    <row r="222" spans="1:35" ht="45.5" x14ac:dyDescent="0.35">
      <c r="A222" s="603">
        <v>99</v>
      </c>
      <c r="B222" s="1100">
        <v>10543</v>
      </c>
      <c r="C222" s="1100"/>
      <c r="D222" s="2465" t="s">
        <v>4668</v>
      </c>
      <c r="E222" s="371" t="s">
        <v>7669</v>
      </c>
      <c r="F222" s="596"/>
      <c r="G222" s="596"/>
      <c r="H222" s="2268" t="s">
        <v>191</v>
      </c>
      <c r="I222" s="583">
        <f>J222+K222+L222</f>
        <v>1.1000000000000001</v>
      </c>
      <c r="J222" s="583">
        <f>SUM(M222:R222)</f>
        <v>1.1000000000000001</v>
      </c>
      <c r="K222" s="584"/>
      <c r="L222" s="584"/>
      <c r="M222" s="980"/>
      <c r="N222" s="583"/>
      <c r="O222" s="597"/>
      <c r="P222" s="584"/>
      <c r="Q222" s="908"/>
      <c r="R222" s="903">
        <f>SUM(R223:R224)</f>
        <v>1.1000000000000001</v>
      </c>
      <c r="S222" s="586">
        <v>1</v>
      </c>
      <c r="T222" s="590">
        <v>18.399999999999999</v>
      </c>
      <c r="U222" s="586"/>
      <c r="V222" s="586"/>
      <c r="W222" s="2426"/>
      <c r="X222" s="2427"/>
      <c r="Y222" s="1679"/>
      <c r="Z222" s="1791"/>
      <c r="AB222" s="78">
        <v>1</v>
      </c>
      <c r="AE222" s="2461"/>
      <c r="AF222" s="68"/>
      <c r="AI222" s="2475"/>
    </row>
    <row r="223" spans="1:35" ht="15.5" x14ac:dyDescent="0.35">
      <c r="A223" s="603"/>
      <c r="B223" s="1100">
        <v>10543</v>
      </c>
      <c r="C223" s="1100"/>
      <c r="D223" s="375"/>
      <c r="E223" s="1585" t="s">
        <v>2585</v>
      </c>
      <c r="F223" s="2268">
        <v>5</v>
      </c>
      <c r="G223" s="596">
        <v>5</v>
      </c>
      <c r="H223" s="2268">
        <v>6</v>
      </c>
      <c r="I223" s="583"/>
      <c r="J223" s="583"/>
      <c r="K223" s="584"/>
      <c r="L223" s="584"/>
      <c r="M223" s="980"/>
      <c r="N223" s="583"/>
      <c r="O223" s="597"/>
      <c r="P223" s="584"/>
      <c r="Q223" s="908"/>
      <c r="R223" s="903">
        <v>0.7</v>
      </c>
      <c r="S223" s="586"/>
      <c r="T223" s="590"/>
      <c r="U223" s="586"/>
      <c r="V223" s="586"/>
      <c r="W223" s="2426"/>
      <c r="X223" s="2427"/>
      <c r="Y223" s="1679"/>
      <c r="Z223" s="1791"/>
      <c r="AE223" s="2461"/>
      <c r="AF223" s="68"/>
    </row>
    <row r="224" spans="1:35" ht="15.5" x14ac:dyDescent="0.35">
      <c r="A224" s="603"/>
      <c r="B224" s="1100">
        <v>10543</v>
      </c>
      <c r="C224" s="1100"/>
      <c r="D224" s="375"/>
      <c r="E224" s="1585" t="s">
        <v>539</v>
      </c>
      <c r="F224" s="2268" t="s">
        <v>664</v>
      </c>
      <c r="G224" s="596">
        <v>5</v>
      </c>
      <c r="H224" s="2268">
        <v>6</v>
      </c>
      <c r="I224" s="583"/>
      <c r="J224" s="583"/>
      <c r="K224" s="584"/>
      <c r="L224" s="584"/>
      <c r="M224" s="980"/>
      <c r="N224" s="583"/>
      <c r="O224" s="597"/>
      <c r="P224" s="584"/>
      <c r="Q224" s="908"/>
      <c r="R224" s="903">
        <v>0.4</v>
      </c>
      <c r="S224" s="586"/>
      <c r="T224" s="590"/>
      <c r="U224" s="586"/>
      <c r="V224" s="586"/>
      <c r="W224" s="2426"/>
      <c r="X224" s="2427"/>
      <c r="Y224" s="1679"/>
      <c r="Z224" s="1791"/>
      <c r="AE224" s="2461"/>
      <c r="AF224" s="68"/>
    </row>
    <row r="225" spans="1:35" ht="60.5" x14ac:dyDescent="0.35">
      <c r="A225" s="1593">
        <v>100</v>
      </c>
      <c r="B225" s="693">
        <v>10543</v>
      </c>
      <c r="C225" s="358" t="s">
        <v>1656</v>
      </c>
      <c r="D225" s="2465" t="s">
        <v>4669</v>
      </c>
      <c r="E225" s="372" t="s">
        <v>8414</v>
      </c>
      <c r="F225" s="93" t="s">
        <v>664</v>
      </c>
      <c r="G225" s="596">
        <v>5</v>
      </c>
      <c r="H225" s="2268">
        <v>6</v>
      </c>
      <c r="I225" s="297">
        <f>J225+K225+L225</f>
        <v>9.2999999999999999E-2</v>
      </c>
      <c r="J225" s="297">
        <f>SUM(M225:R225)</f>
        <v>9.2999999999999999E-2</v>
      </c>
      <c r="K225" s="577"/>
      <c r="L225" s="577"/>
      <c r="M225" s="577"/>
      <c r="N225" s="577"/>
      <c r="O225" s="577"/>
      <c r="P225" s="577"/>
      <c r="Q225" s="577"/>
      <c r="R225" s="2207">
        <v>9.2999999999999999E-2</v>
      </c>
      <c r="S225" s="46"/>
      <c r="T225" s="46"/>
      <c r="U225" s="46"/>
      <c r="V225" s="46"/>
      <c r="W225" s="67"/>
      <c r="X225" s="46"/>
      <c r="Y225" s="46"/>
      <c r="Z225" s="47"/>
      <c r="AB225" s="78">
        <v>1</v>
      </c>
      <c r="AE225" s="2461"/>
      <c r="AF225" s="68"/>
      <c r="AI225" s="2475"/>
    </row>
    <row r="226" spans="1:35" ht="45.5" x14ac:dyDescent="0.35">
      <c r="A226" s="603">
        <v>101</v>
      </c>
      <c r="B226" s="1100">
        <v>10543</v>
      </c>
      <c r="C226" s="1100"/>
      <c r="D226" s="2465" t="s">
        <v>4670</v>
      </c>
      <c r="E226" s="371" t="s">
        <v>7670</v>
      </c>
      <c r="F226" s="596" t="s">
        <v>664</v>
      </c>
      <c r="G226" s="596">
        <v>5</v>
      </c>
      <c r="H226" s="2268">
        <v>6</v>
      </c>
      <c r="I226" s="583">
        <f>J226+K226+L226</f>
        <v>1</v>
      </c>
      <c r="J226" s="583">
        <f>SUM(M226:R226)</f>
        <v>1</v>
      </c>
      <c r="K226" s="584"/>
      <c r="L226" s="584"/>
      <c r="M226" s="980"/>
      <c r="N226" s="583"/>
      <c r="O226" s="597"/>
      <c r="P226" s="584"/>
      <c r="Q226" s="908"/>
      <c r="R226" s="903">
        <v>1</v>
      </c>
      <c r="S226" s="586"/>
      <c r="T226" s="590"/>
      <c r="U226" s="586"/>
      <c r="V226" s="586"/>
      <c r="W226" s="2426">
        <v>1</v>
      </c>
      <c r="X226" s="2427">
        <v>5</v>
      </c>
      <c r="Y226" s="1679"/>
      <c r="Z226" s="1791"/>
      <c r="AB226" s="78">
        <v>1</v>
      </c>
      <c r="AE226" s="2461"/>
      <c r="AF226" s="68"/>
      <c r="AI226" s="2475"/>
    </row>
    <row r="227" spans="1:35" ht="60.5" x14ac:dyDescent="0.35">
      <c r="A227" s="1593">
        <v>102</v>
      </c>
      <c r="B227" s="375">
        <v>10543</v>
      </c>
      <c r="C227" s="358" t="s">
        <v>1656</v>
      </c>
      <c r="D227" s="2465" t="s">
        <v>4671</v>
      </c>
      <c r="E227" s="372" t="s">
        <v>8415</v>
      </c>
      <c r="F227" s="596"/>
      <c r="G227" s="596"/>
      <c r="H227" s="2268" t="s">
        <v>191</v>
      </c>
      <c r="I227" s="297">
        <f>J227+K227+L227</f>
        <v>1.7170000000000001</v>
      </c>
      <c r="J227" s="297">
        <f>SUM(M227:R227)</f>
        <v>1.1070000000000002</v>
      </c>
      <c r="K227" s="583"/>
      <c r="L227" s="584">
        <f>SUM(L228:L229)</f>
        <v>0.61</v>
      </c>
      <c r="M227" s="980"/>
      <c r="N227" s="583"/>
      <c r="O227" s="597"/>
      <c r="P227" s="584"/>
      <c r="Q227" s="908"/>
      <c r="R227" s="901">
        <f>SUM(R228:R229)</f>
        <v>1.1070000000000002</v>
      </c>
      <c r="S227" s="582"/>
      <c r="T227" s="585"/>
      <c r="U227" s="586"/>
      <c r="V227" s="586"/>
      <c r="W227" s="2426"/>
      <c r="X227" s="2427"/>
      <c r="Y227" s="1679"/>
      <c r="Z227" s="1791"/>
      <c r="AB227" s="78">
        <v>1</v>
      </c>
      <c r="AE227" s="2461"/>
      <c r="AF227" s="68"/>
      <c r="AI227" s="2475"/>
    </row>
    <row r="228" spans="1:35" ht="31" x14ac:dyDescent="0.35">
      <c r="A228" s="1593"/>
      <c r="B228" s="375"/>
      <c r="C228" s="358"/>
      <c r="D228" s="2465"/>
      <c r="E228" s="289" t="s">
        <v>7019</v>
      </c>
      <c r="F228" s="596" t="s">
        <v>664</v>
      </c>
      <c r="G228" s="596">
        <v>5</v>
      </c>
      <c r="H228" s="2268" t="s">
        <v>191</v>
      </c>
      <c r="I228" s="298"/>
      <c r="J228" s="298"/>
      <c r="K228" s="594"/>
      <c r="L228" s="595">
        <v>0.61</v>
      </c>
      <c r="M228" s="982"/>
      <c r="N228" s="594"/>
      <c r="O228" s="917"/>
      <c r="P228" s="595"/>
      <c r="Q228" s="912"/>
      <c r="R228" s="905"/>
      <c r="S228" s="582"/>
      <c r="T228" s="585"/>
      <c r="U228" s="586"/>
      <c r="V228" s="586"/>
      <c r="W228" s="2426"/>
      <c r="X228" s="2427"/>
      <c r="Y228" s="1679"/>
      <c r="Z228" s="1791"/>
      <c r="AE228" s="2461"/>
      <c r="AF228" s="68"/>
      <c r="AI228" s="2475"/>
    </row>
    <row r="229" spans="1:35" ht="15.5" x14ac:dyDescent="0.35">
      <c r="A229" s="1593"/>
      <c r="B229" s="375"/>
      <c r="C229" s="358"/>
      <c r="D229" s="2465"/>
      <c r="E229" s="2280" t="s">
        <v>7020</v>
      </c>
      <c r="F229" s="596" t="s">
        <v>664</v>
      </c>
      <c r="G229" s="596">
        <v>5</v>
      </c>
      <c r="H229" s="2268">
        <v>6</v>
      </c>
      <c r="I229" s="298"/>
      <c r="J229" s="298"/>
      <c r="K229" s="594"/>
      <c r="L229" s="595"/>
      <c r="M229" s="982"/>
      <c r="N229" s="594"/>
      <c r="O229" s="917"/>
      <c r="P229" s="595"/>
      <c r="Q229" s="912"/>
      <c r="R229" s="905">
        <f>1.717-0.61</f>
        <v>1.1070000000000002</v>
      </c>
      <c r="S229" s="582"/>
      <c r="T229" s="585"/>
      <c r="U229" s="586"/>
      <c r="V229" s="586"/>
      <c r="W229" s="2426"/>
      <c r="X229" s="2427"/>
      <c r="Y229" s="1679"/>
      <c r="Z229" s="1791"/>
      <c r="AE229" s="2461"/>
      <c r="AF229" s="68"/>
      <c r="AI229" s="2475"/>
    </row>
    <row r="230" spans="1:35" ht="45.5" x14ac:dyDescent="0.35">
      <c r="A230" s="603">
        <v>103</v>
      </c>
      <c r="B230" s="1100">
        <v>10543</v>
      </c>
      <c r="C230" s="1100"/>
      <c r="D230" s="2465" t="s">
        <v>4672</v>
      </c>
      <c r="E230" s="371" t="s">
        <v>7671</v>
      </c>
      <c r="F230" s="596"/>
      <c r="G230" s="596"/>
      <c r="H230" s="2268" t="s">
        <v>191</v>
      </c>
      <c r="I230" s="583">
        <f>J230+K230+L230</f>
        <v>1.9650000000000001</v>
      </c>
      <c r="J230" s="583">
        <f>SUM(M230:R230)</f>
        <v>1.9650000000000001</v>
      </c>
      <c r="K230" s="584"/>
      <c r="L230" s="584"/>
      <c r="M230" s="980"/>
      <c r="N230" s="583">
        <f>SUM(N231:N232)</f>
        <v>1.6279999999999999</v>
      </c>
      <c r="O230" s="597"/>
      <c r="P230" s="584"/>
      <c r="Q230" s="908"/>
      <c r="R230" s="903">
        <f>SUM(R231:R232)</f>
        <v>0.33700000000000019</v>
      </c>
      <c r="S230" s="586"/>
      <c r="T230" s="590"/>
      <c r="U230" s="586"/>
      <c r="V230" s="586"/>
      <c r="W230" s="2426">
        <v>2</v>
      </c>
      <c r="X230" s="2427">
        <v>20.04</v>
      </c>
      <c r="Y230" s="1679"/>
      <c r="Z230" s="1791"/>
      <c r="AB230" s="78">
        <v>1</v>
      </c>
      <c r="AE230" s="2461"/>
      <c r="AF230" s="68"/>
      <c r="AI230" s="2475"/>
    </row>
    <row r="231" spans="1:35" ht="15.5" x14ac:dyDescent="0.35">
      <c r="A231" s="603"/>
      <c r="B231" s="1100">
        <v>10543</v>
      </c>
      <c r="C231" s="1100"/>
      <c r="D231" s="375"/>
      <c r="E231" s="1587" t="s">
        <v>2538</v>
      </c>
      <c r="F231" s="596">
        <v>5</v>
      </c>
      <c r="G231" s="596">
        <v>5</v>
      </c>
      <c r="H231" s="2268">
        <v>6</v>
      </c>
      <c r="I231" s="594"/>
      <c r="J231" s="594"/>
      <c r="K231" s="595"/>
      <c r="L231" s="595"/>
      <c r="M231" s="982"/>
      <c r="N231" s="594">
        <v>1.6279999999999999</v>
      </c>
      <c r="O231" s="917"/>
      <c r="P231" s="595"/>
      <c r="Q231" s="912"/>
      <c r="R231" s="905"/>
      <c r="S231" s="586"/>
      <c r="T231" s="590"/>
      <c r="U231" s="586"/>
      <c r="V231" s="586"/>
      <c r="W231" s="2426"/>
      <c r="X231" s="2427"/>
      <c r="Y231" s="1679"/>
      <c r="Z231" s="1791"/>
      <c r="AE231" s="2461"/>
      <c r="AF231" s="68"/>
    </row>
    <row r="232" spans="1:35" ht="15.5" x14ac:dyDescent="0.35">
      <c r="A232" s="603"/>
      <c r="B232" s="1100">
        <v>10543</v>
      </c>
      <c r="C232" s="1100"/>
      <c r="D232" s="375"/>
      <c r="E232" s="1585" t="s">
        <v>2539</v>
      </c>
      <c r="F232" s="2268" t="s">
        <v>664</v>
      </c>
      <c r="G232" s="596">
        <v>5</v>
      </c>
      <c r="H232" s="2268">
        <v>6</v>
      </c>
      <c r="I232" s="594"/>
      <c r="J232" s="594"/>
      <c r="K232" s="595"/>
      <c r="L232" s="595"/>
      <c r="M232" s="982"/>
      <c r="N232" s="594"/>
      <c r="O232" s="917"/>
      <c r="P232" s="595"/>
      <c r="Q232" s="912"/>
      <c r="R232" s="905">
        <f>1.965-1.628</f>
        <v>0.33700000000000019</v>
      </c>
      <c r="S232" s="586"/>
      <c r="T232" s="590"/>
      <c r="U232" s="586"/>
      <c r="V232" s="586"/>
      <c r="W232" s="2426"/>
      <c r="X232" s="2427"/>
      <c r="Y232" s="1679"/>
      <c r="Z232" s="1791"/>
      <c r="AE232" s="2461"/>
      <c r="AF232" s="68"/>
    </row>
    <row r="233" spans="1:35" ht="45.5" x14ac:dyDescent="0.35">
      <c r="A233" s="603">
        <v>104</v>
      </c>
      <c r="B233" s="1100">
        <v>10543</v>
      </c>
      <c r="C233" s="1100"/>
      <c r="D233" s="2465" t="s">
        <v>4673</v>
      </c>
      <c r="E233" s="371" t="s">
        <v>7672</v>
      </c>
      <c r="F233" s="596" t="s">
        <v>664</v>
      </c>
      <c r="G233" s="596">
        <v>5</v>
      </c>
      <c r="H233" s="2268">
        <v>6</v>
      </c>
      <c r="I233" s="583">
        <f>J233+K233+L233</f>
        <v>1</v>
      </c>
      <c r="J233" s="583">
        <f>SUM(M233:R233)</f>
        <v>1</v>
      </c>
      <c r="K233" s="584"/>
      <c r="L233" s="584"/>
      <c r="M233" s="980"/>
      <c r="N233" s="584"/>
      <c r="O233" s="597"/>
      <c r="P233" s="584"/>
      <c r="Q233" s="908"/>
      <c r="R233" s="903">
        <v>1</v>
      </c>
      <c r="S233" s="586"/>
      <c r="T233" s="590"/>
      <c r="U233" s="586"/>
      <c r="V233" s="586"/>
      <c r="W233" s="2426">
        <v>1</v>
      </c>
      <c r="X233" s="2427">
        <v>5</v>
      </c>
      <c r="Y233" s="1679"/>
      <c r="Z233" s="1791"/>
      <c r="AB233" s="78">
        <v>1</v>
      </c>
      <c r="AE233" s="2461"/>
      <c r="AF233" s="68"/>
      <c r="AI233" s="2475"/>
    </row>
    <row r="234" spans="1:35" ht="45.5" x14ac:dyDescent="0.35">
      <c r="A234" s="1593">
        <v>105</v>
      </c>
      <c r="B234" s="1100">
        <v>10543</v>
      </c>
      <c r="C234" s="358" t="s">
        <v>1656</v>
      </c>
      <c r="D234" s="2465" t="s">
        <v>4674</v>
      </c>
      <c r="E234" s="372" t="s">
        <v>8416</v>
      </c>
      <c r="F234" s="596" t="s">
        <v>664</v>
      </c>
      <c r="G234" s="596">
        <v>5</v>
      </c>
      <c r="H234" s="2268">
        <v>6</v>
      </c>
      <c r="I234" s="297">
        <f>J234+K234+L234</f>
        <v>0.104</v>
      </c>
      <c r="J234" s="297">
        <f>SUM(M234:R234)</f>
        <v>0.104</v>
      </c>
      <c r="K234" s="584"/>
      <c r="L234" s="584"/>
      <c r="M234" s="980"/>
      <c r="N234" s="583"/>
      <c r="O234" s="597"/>
      <c r="P234" s="584"/>
      <c r="Q234" s="908"/>
      <c r="R234" s="903">
        <v>0.104</v>
      </c>
      <c r="S234" s="586"/>
      <c r="T234" s="590"/>
      <c r="U234" s="586"/>
      <c r="V234" s="586"/>
      <c r="W234" s="2426"/>
      <c r="X234" s="2427"/>
      <c r="Y234" s="1679"/>
      <c r="Z234" s="1791"/>
      <c r="AB234" s="78">
        <v>1</v>
      </c>
      <c r="AE234" s="2461"/>
      <c r="AF234" s="68"/>
      <c r="AI234" s="2475"/>
    </row>
    <row r="235" spans="1:35" ht="15.5" x14ac:dyDescent="0.35">
      <c r="A235" s="603">
        <v>106</v>
      </c>
      <c r="B235" s="375">
        <v>10544</v>
      </c>
      <c r="C235" s="375"/>
      <c r="D235" s="375" t="s">
        <v>2514</v>
      </c>
      <c r="E235" s="371" t="s">
        <v>1783</v>
      </c>
      <c r="F235" s="596">
        <v>4</v>
      </c>
      <c r="G235" s="596">
        <v>5</v>
      </c>
      <c r="H235" s="2268">
        <v>6</v>
      </c>
      <c r="I235" s="583">
        <f>J235+K235+L235</f>
        <v>5.8</v>
      </c>
      <c r="J235" s="583">
        <f>SUM(M235:R235)</f>
        <v>5.8</v>
      </c>
      <c r="K235" s="584"/>
      <c r="L235" s="584"/>
      <c r="M235" s="980"/>
      <c r="N235" s="583">
        <v>5.8</v>
      </c>
      <c r="O235" s="597"/>
      <c r="P235" s="584"/>
      <c r="Q235" s="908"/>
      <c r="R235" s="901"/>
      <c r="S235" s="586"/>
      <c r="T235" s="590"/>
      <c r="U235" s="586"/>
      <c r="V235" s="586"/>
      <c r="W235" s="2426">
        <v>12</v>
      </c>
      <c r="X235" s="2427">
        <v>141.4</v>
      </c>
      <c r="Y235" s="1679">
        <v>8</v>
      </c>
      <c r="Z235" s="1791">
        <v>85</v>
      </c>
      <c r="AB235" s="78">
        <v>1</v>
      </c>
      <c r="AE235" s="2461"/>
      <c r="AF235" s="68"/>
      <c r="AI235" s="2475"/>
    </row>
    <row r="236" spans="1:35" ht="15.5" x14ac:dyDescent="0.35">
      <c r="A236" s="1593">
        <v>107</v>
      </c>
      <c r="B236" s="375">
        <v>10545</v>
      </c>
      <c r="C236" s="375"/>
      <c r="D236" s="375" t="s">
        <v>1929</v>
      </c>
      <c r="E236" s="371" t="s">
        <v>1784</v>
      </c>
      <c r="F236" s="596"/>
      <c r="G236" s="596"/>
      <c r="H236" s="2268" t="s">
        <v>191</v>
      </c>
      <c r="I236" s="583">
        <f>J236+K236+L236</f>
        <v>5.9</v>
      </c>
      <c r="J236" s="583">
        <f>SUM(M236:R236)</f>
        <v>5.9</v>
      </c>
      <c r="K236" s="584"/>
      <c r="L236" s="584"/>
      <c r="M236" s="980"/>
      <c r="N236" s="583">
        <f>SUM(N237:N238)</f>
        <v>5.0380000000000003</v>
      </c>
      <c r="O236" s="597"/>
      <c r="P236" s="584"/>
      <c r="Q236" s="908"/>
      <c r="R236" s="903">
        <f>SUM(R237:R238)</f>
        <v>0.8620000000000001</v>
      </c>
      <c r="S236" s="586"/>
      <c r="T236" s="590"/>
      <c r="U236" s="586"/>
      <c r="V236" s="586"/>
      <c r="W236" s="2426">
        <v>12</v>
      </c>
      <c r="X236" s="2427">
        <v>169.33</v>
      </c>
      <c r="Y236" s="1679">
        <v>5</v>
      </c>
      <c r="Z236" s="1791">
        <v>54</v>
      </c>
      <c r="AB236" s="78">
        <v>1</v>
      </c>
      <c r="AE236" s="2461"/>
      <c r="AF236" s="68"/>
      <c r="AI236" s="2475"/>
    </row>
    <row r="237" spans="1:35" ht="15.5" x14ac:dyDescent="0.35">
      <c r="A237" s="603"/>
      <c r="B237" s="375">
        <v>10545</v>
      </c>
      <c r="C237" s="375"/>
      <c r="D237" s="375"/>
      <c r="E237" s="1587" t="s">
        <v>98</v>
      </c>
      <c r="F237" s="596">
        <v>4</v>
      </c>
      <c r="G237" s="596">
        <v>5</v>
      </c>
      <c r="H237" s="2268">
        <v>6</v>
      </c>
      <c r="I237" s="594"/>
      <c r="J237" s="594"/>
      <c r="K237" s="595"/>
      <c r="L237" s="595"/>
      <c r="M237" s="982"/>
      <c r="N237" s="594">
        <v>5.0380000000000003</v>
      </c>
      <c r="O237" s="917"/>
      <c r="P237" s="595"/>
      <c r="Q237" s="912"/>
      <c r="R237" s="905"/>
      <c r="S237" s="586"/>
      <c r="T237" s="590"/>
      <c r="U237" s="586"/>
      <c r="V237" s="586"/>
      <c r="W237" s="2426"/>
      <c r="X237" s="2427"/>
      <c r="Y237" s="1679"/>
      <c r="Z237" s="1791"/>
      <c r="AE237" s="2461"/>
      <c r="AF237" s="68"/>
    </row>
    <row r="238" spans="1:35" ht="15.5" x14ac:dyDescent="0.35">
      <c r="A238" s="603"/>
      <c r="B238" s="375">
        <v>10545</v>
      </c>
      <c r="C238" s="375"/>
      <c r="D238" s="375"/>
      <c r="E238" s="1585" t="s">
        <v>99</v>
      </c>
      <c r="F238" s="2268" t="s">
        <v>664</v>
      </c>
      <c r="G238" s="596">
        <v>5</v>
      </c>
      <c r="H238" s="2268">
        <v>6</v>
      </c>
      <c r="I238" s="594"/>
      <c r="J238" s="594"/>
      <c r="K238" s="595"/>
      <c r="L238" s="595"/>
      <c r="M238" s="982"/>
      <c r="N238" s="594"/>
      <c r="O238" s="917"/>
      <c r="P238" s="595"/>
      <c r="Q238" s="912"/>
      <c r="R238" s="905">
        <f>5.9-5.038</f>
        <v>0.8620000000000001</v>
      </c>
      <c r="S238" s="586"/>
      <c r="T238" s="590"/>
      <c r="U238" s="586"/>
      <c r="V238" s="586"/>
      <c r="W238" s="2426"/>
      <c r="X238" s="2427"/>
      <c r="Y238" s="1679"/>
      <c r="Z238" s="1791"/>
      <c r="AE238" s="2461"/>
      <c r="AF238" s="68"/>
    </row>
    <row r="239" spans="1:35" ht="60.5" x14ac:dyDescent="0.35">
      <c r="A239" s="607">
        <v>108</v>
      </c>
      <c r="B239" s="1101">
        <v>10545</v>
      </c>
      <c r="C239" s="1101"/>
      <c r="D239" s="2465" t="s">
        <v>4675</v>
      </c>
      <c r="E239" s="371" t="s">
        <v>7374</v>
      </c>
      <c r="F239" s="596"/>
      <c r="G239" s="596"/>
      <c r="H239" s="2268" t="s">
        <v>191</v>
      </c>
      <c r="I239" s="583">
        <f>J239+K239+L239</f>
        <v>5.8</v>
      </c>
      <c r="J239" s="583">
        <f>SUM(M239:R239)</f>
        <v>5.8</v>
      </c>
      <c r="K239" s="584"/>
      <c r="L239" s="584"/>
      <c r="M239" s="983"/>
      <c r="N239" s="580"/>
      <c r="O239" s="918">
        <f>SUM(O240:O241)</f>
        <v>0.3</v>
      </c>
      <c r="P239" s="580"/>
      <c r="Q239" s="913">
        <f>SUM(Q240:Q241)</f>
        <v>5.5</v>
      </c>
      <c r="R239" s="906"/>
      <c r="S239" s="586"/>
      <c r="T239" s="590"/>
      <c r="U239" s="586"/>
      <c r="V239" s="586"/>
      <c r="W239" s="1679"/>
      <c r="X239" s="1678"/>
      <c r="Y239" s="1679"/>
      <c r="Z239" s="1791"/>
      <c r="AB239" s="78">
        <v>1</v>
      </c>
      <c r="AE239" s="2461"/>
      <c r="AF239" s="68"/>
      <c r="AI239" s="2475"/>
    </row>
    <row r="240" spans="1:35" ht="15.5" x14ac:dyDescent="0.35">
      <c r="A240" s="607"/>
      <c r="B240" s="1101">
        <v>10545</v>
      </c>
      <c r="C240" s="1101"/>
      <c r="D240" s="379"/>
      <c r="E240" s="921" t="s">
        <v>880</v>
      </c>
      <c r="F240" s="596">
        <v>5</v>
      </c>
      <c r="G240" s="596">
        <v>5</v>
      </c>
      <c r="H240" s="2268">
        <v>6</v>
      </c>
      <c r="I240" s="594"/>
      <c r="J240" s="594"/>
      <c r="K240" s="595"/>
      <c r="L240" s="595"/>
      <c r="M240" s="984"/>
      <c r="N240" s="581"/>
      <c r="O240" s="919">
        <v>0.3</v>
      </c>
      <c r="P240" s="581"/>
      <c r="Q240" s="914"/>
      <c r="R240" s="907"/>
      <c r="S240" s="586"/>
      <c r="T240" s="590"/>
      <c r="U240" s="586"/>
      <c r="V240" s="586"/>
      <c r="W240" s="1679"/>
      <c r="X240" s="1678"/>
      <c r="Y240" s="1679"/>
      <c r="Z240" s="1791"/>
      <c r="AE240" s="2461"/>
      <c r="AF240" s="68"/>
    </row>
    <row r="241" spans="1:35" ht="15.5" x14ac:dyDescent="0.35">
      <c r="A241" s="607"/>
      <c r="B241" s="1101">
        <v>10545</v>
      </c>
      <c r="C241" s="1101"/>
      <c r="D241" s="379"/>
      <c r="E241" s="900" t="s">
        <v>1786</v>
      </c>
      <c r="F241" s="596">
        <v>5</v>
      </c>
      <c r="G241" s="596">
        <v>5</v>
      </c>
      <c r="H241" s="2268">
        <v>6</v>
      </c>
      <c r="I241" s="594"/>
      <c r="J241" s="594"/>
      <c r="K241" s="595"/>
      <c r="L241" s="595"/>
      <c r="M241" s="984"/>
      <c r="N241" s="581"/>
      <c r="O241" s="919"/>
      <c r="P241" s="581"/>
      <c r="Q241" s="914">
        <v>5.5</v>
      </c>
      <c r="R241" s="907"/>
      <c r="S241" s="586"/>
      <c r="T241" s="590"/>
      <c r="U241" s="586"/>
      <c r="V241" s="586"/>
      <c r="W241" s="1679"/>
      <c r="X241" s="1678"/>
      <c r="Y241" s="1679"/>
      <c r="Z241" s="1791"/>
      <c r="AE241" s="2461"/>
      <c r="AF241" s="68"/>
    </row>
    <row r="242" spans="1:35" ht="30.5" x14ac:dyDescent="0.35">
      <c r="A242" s="603">
        <v>109</v>
      </c>
      <c r="B242" s="375">
        <v>10546</v>
      </c>
      <c r="C242" s="375"/>
      <c r="D242" s="375" t="s">
        <v>1930</v>
      </c>
      <c r="E242" s="371" t="s">
        <v>9525</v>
      </c>
      <c r="F242" s="596"/>
      <c r="G242" s="596"/>
      <c r="H242" s="2268" t="s">
        <v>191</v>
      </c>
      <c r="I242" s="583">
        <f>J242+K242+L242</f>
        <v>11.372999999999999</v>
      </c>
      <c r="J242" s="583">
        <f>SUM(M242:R242)</f>
        <v>11.372999999999999</v>
      </c>
      <c r="K242" s="584"/>
      <c r="L242" s="584"/>
      <c r="M242" s="980"/>
      <c r="N242" s="583">
        <f>SUM(N243:N244)</f>
        <v>0.89400000000000002</v>
      </c>
      <c r="O242" s="597"/>
      <c r="P242" s="584"/>
      <c r="Q242" s="910">
        <f>SUM(Q243:Q244)</f>
        <v>10.478999999999999</v>
      </c>
      <c r="R242" s="901"/>
      <c r="S242" s="586"/>
      <c r="T242" s="590"/>
      <c r="U242" s="586"/>
      <c r="V242" s="586"/>
      <c r="W242" s="2426">
        <v>27</v>
      </c>
      <c r="X242" s="2427">
        <v>360.78</v>
      </c>
      <c r="Y242" s="1679">
        <v>15</v>
      </c>
      <c r="Z242" s="1791">
        <v>182.5</v>
      </c>
      <c r="AB242" s="78">
        <v>1</v>
      </c>
      <c r="AE242" s="2461"/>
      <c r="AF242" s="68"/>
      <c r="AI242" s="2475"/>
    </row>
    <row r="243" spans="1:35" ht="15.5" x14ac:dyDescent="0.35">
      <c r="A243" s="605"/>
      <c r="B243" s="375">
        <v>10546</v>
      </c>
      <c r="C243" s="375"/>
      <c r="D243" s="377"/>
      <c r="E243" s="610" t="s">
        <v>100</v>
      </c>
      <c r="F243" s="596">
        <v>4</v>
      </c>
      <c r="G243" s="596">
        <v>5</v>
      </c>
      <c r="H243" s="2268">
        <v>6</v>
      </c>
      <c r="I243" s="589"/>
      <c r="J243" s="589"/>
      <c r="K243" s="588"/>
      <c r="L243" s="588"/>
      <c r="M243" s="981"/>
      <c r="N243" s="589">
        <v>0.89400000000000002</v>
      </c>
      <c r="O243" s="915"/>
      <c r="P243" s="588"/>
      <c r="Q243" s="911"/>
      <c r="R243" s="902"/>
      <c r="S243" s="586"/>
      <c r="T243" s="590"/>
      <c r="U243" s="586"/>
      <c r="V243" s="586"/>
      <c r="W243" s="2426"/>
      <c r="X243" s="2427"/>
      <c r="Y243" s="1679"/>
      <c r="Z243" s="1791"/>
      <c r="AE243" s="2461"/>
      <c r="AF243" s="68"/>
    </row>
    <row r="244" spans="1:35" ht="15.5" x14ac:dyDescent="0.35">
      <c r="A244" s="605"/>
      <c r="B244" s="375">
        <v>10546</v>
      </c>
      <c r="C244" s="375"/>
      <c r="D244" s="377"/>
      <c r="E244" s="1583" t="s">
        <v>101</v>
      </c>
      <c r="F244" s="596">
        <v>4</v>
      </c>
      <c r="G244" s="596">
        <v>5</v>
      </c>
      <c r="H244" s="2268">
        <v>6</v>
      </c>
      <c r="I244" s="589"/>
      <c r="J244" s="589"/>
      <c r="K244" s="588"/>
      <c r="L244" s="588"/>
      <c r="M244" s="981"/>
      <c r="N244" s="589"/>
      <c r="O244" s="915"/>
      <c r="P244" s="588"/>
      <c r="Q244" s="911">
        <f>11.373-0.894</f>
        <v>10.478999999999999</v>
      </c>
      <c r="R244" s="902"/>
      <c r="S244" s="586"/>
      <c r="T244" s="590"/>
      <c r="U244" s="586"/>
      <c r="V244" s="586"/>
      <c r="W244" s="2426"/>
      <c r="X244" s="2427"/>
      <c r="Y244" s="1679"/>
      <c r="Z244" s="1791"/>
      <c r="AE244" s="2461"/>
      <c r="AF244" s="68"/>
    </row>
    <row r="245" spans="1:35" ht="45.5" x14ac:dyDescent="0.35">
      <c r="A245" s="603">
        <v>110</v>
      </c>
      <c r="B245" s="1100">
        <v>10546</v>
      </c>
      <c r="C245" s="1100"/>
      <c r="D245" s="2465" t="s">
        <v>4676</v>
      </c>
      <c r="E245" s="371" t="s">
        <v>9526</v>
      </c>
      <c r="F245" s="596"/>
      <c r="G245" s="596"/>
      <c r="H245" s="2268" t="s">
        <v>191</v>
      </c>
      <c r="I245" s="583">
        <f t="shared" ref="I245:I253" si="18">J245+K245+L245</f>
        <v>1</v>
      </c>
      <c r="J245" s="583">
        <f t="shared" ref="J245:J253" si="19">SUM(M245:R245)</f>
        <v>1</v>
      </c>
      <c r="K245" s="584"/>
      <c r="L245" s="584"/>
      <c r="M245" s="980"/>
      <c r="N245" s="583"/>
      <c r="O245" s="597"/>
      <c r="P245" s="584"/>
      <c r="Q245" s="908"/>
      <c r="R245" s="903">
        <f>SUM(R246:R247)</f>
        <v>1</v>
      </c>
      <c r="S245" s="586"/>
      <c r="T245" s="590"/>
      <c r="U245" s="586"/>
      <c r="V245" s="586"/>
      <c r="W245" s="2426">
        <v>2</v>
      </c>
      <c r="X245" s="2427">
        <v>15</v>
      </c>
      <c r="Y245" s="1679"/>
      <c r="Z245" s="1791"/>
      <c r="AB245" s="78">
        <v>1</v>
      </c>
      <c r="AE245" s="2461"/>
      <c r="AF245" s="68"/>
      <c r="AI245" s="2475"/>
    </row>
    <row r="246" spans="1:35" ht="15.5" x14ac:dyDescent="0.35">
      <c r="A246" s="603"/>
      <c r="B246" s="1100">
        <v>10546</v>
      </c>
      <c r="C246" s="1100"/>
      <c r="D246" s="375"/>
      <c r="E246" s="2267" t="s">
        <v>2490</v>
      </c>
      <c r="F246" s="2268" t="s">
        <v>827</v>
      </c>
      <c r="G246" s="596">
        <v>5</v>
      </c>
      <c r="H246" s="2268">
        <v>6</v>
      </c>
      <c r="I246" s="594"/>
      <c r="J246" s="594"/>
      <c r="K246" s="595"/>
      <c r="L246" s="595"/>
      <c r="M246" s="982"/>
      <c r="N246" s="594"/>
      <c r="O246" s="917"/>
      <c r="P246" s="595"/>
      <c r="Q246" s="912"/>
      <c r="R246" s="2269">
        <v>0.5</v>
      </c>
      <c r="S246" s="586"/>
      <c r="T246" s="590"/>
      <c r="U246" s="586"/>
      <c r="V246" s="586"/>
      <c r="W246" s="2426"/>
      <c r="X246" s="2427"/>
      <c r="Y246" s="1679"/>
      <c r="Z246" s="1791"/>
      <c r="AE246" s="2461"/>
      <c r="AF246" s="68"/>
    </row>
    <row r="247" spans="1:35" ht="15.5" x14ac:dyDescent="0.35">
      <c r="A247" s="603"/>
      <c r="B247" s="1100">
        <v>10546</v>
      </c>
      <c r="C247" s="1100"/>
      <c r="D247" s="375"/>
      <c r="E247" s="2267" t="s">
        <v>1555</v>
      </c>
      <c r="F247" s="2268" t="s">
        <v>1490</v>
      </c>
      <c r="G247" s="596">
        <v>5</v>
      </c>
      <c r="H247" s="2268">
        <v>6</v>
      </c>
      <c r="I247" s="594"/>
      <c r="J247" s="594"/>
      <c r="K247" s="595"/>
      <c r="L247" s="595"/>
      <c r="M247" s="982"/>
      <c r="N247" s="594"/>
      <c r="O247" s="917"/>
      <c r="P247" s="595"/>
      <c r="Q247" s="912"/>
      <c r="R247" s="2269">
        <v>0.5</v>
      </c>
      <c r="S247" s="586"/>
      <c r="T247" s="590"/>
      <c r="U247" s="586"/>
      <c r="V247" s="586"/>
      <c r="W247" s="2426"/>
      <c r="X247" s="2427"/>
      <c r="Y247" s="1679"/>
      <c r="Z247" s="1791"/>
      <c r="AC247" s="78" t="s">
        <v>2570</v>
      </c>
      <c r="AE247" s="2461"/>
      <c r="AF247" s="68"/>
    </row>
    <row r="248" spans="1:35" ht="45.5" x14ac:dyDescent="0.35">
      <c r="A248" s="603">
        <v>111</v>
      </c>
      <c r="B248" s="1100">
        <v>10546</v>
      </c>
      <c r="C248" s="1100"/>
      <c r="D248" s="2465" t="s">
        <v>4677</v>
      </c>
      <c r="E248" s="371" t="s">
        <v>9527</v>
      </c>
      <c r="F248" s="596" t="s">
        <v>827</v>
      </c>
      <c r="G248" s="596">
        <v>5</v>
      </c>
      <c r="H248" s="2268">
        <v>6</v>
      </c>
      <c r="I248" s="583">
        <f t="shared" si="18"/>
        <v>1.3</v>
      </c>
      <c r="J248" s="583">
        <f t="shared" si="19"/>
        <v>1.3</v>
      </c>
      <c r="K248" s="584"/>
      <c r="L248" s="584"/>
      <c r="M248" s="980"/>
      <c r="N248" s="583"/>
      <c r="O248" s="597"/>
      <c r="P248" s="584"/>
      <c r="Q248" s="908"/>
      <c r="R248" s="903">
        <v>1.3</v>
      </c>
      <c r="S248" s="586"/>
      <c r="T248" s="590"/>
      <c r="U248" s="586"/>
      <c r="V248" s="586"/>
      <c r="W248" s="2426">
        <v>1</v>
      </c>
      <c r="X248" s="2427">
        <v>10</v>
      </c>
      <c r="Y248" s="1679"/>
      <c r="Z248" s="1791"/>
      <c r="AB248" s="78">
        <v>1</v>
      </c>
      <c r="AC248" s="78" t="s">
        <v>2570</v>
      </c>
      <c r="AE248" s="2461"/>
      <c r="AF248" s="68"/>
      <c r="AI248" s="2475"/>
    </row>
    <row r="249" spans="1:35" ht="60.5" x14ac:dyDescent="0.35">
      <c r="A249" s="1593">
        <v>112</v>
      </c>
      <c r="B249" s="1100">
        <v>10546</v>
      </c>
      <c r="C249" s="358" t="s">
        <v>1656</v>
      </c>
      <c r="D249" s="2465" t="s">
        <v>4678</v>
      </c>
      <c r="E249" s="372" t="s">
        <v>9528</v>
      </c>
      <c r="F249" s="596" t="s">
        <v>664</v>
      </c>
      <c r="G249" s="596">
        <v>5</v>
      </c>
      <c r="H249" s="2268">
        <v>6</v>
      </c>
      <c r="I249" s="297">
        <f>J249+K249+L249</f>
        <v>0.15</v>
      </c>
      <c r="J249" s="297">
        <f>SUM(M249:R249)</f>
        <v>0.15</v>
      </c>
      <c r="K249" s="584"/>
      <c r="L249" s="584"/>
      <c r="M249" s="980"/>
      <c r="N249" s="583"/>
      <c r="O249" s="597"/>
      <c r="P249" s="584"/>
      <c r="Q249" s="908"/>
      <c r="R249" s="903">
        <v>0.15</v>
      </c>
      <c r="S249" s="586"/>
      <c r="T249" s="590"/>
      <c r="U249" s="586"/>
      <c r="V249" s="586"/>
      <c r="W249" s="2426"/>
      <c r="X249" s="2427"/>
      <c r="Y249" s="1679"/>
      <c r="Z249" s="1791"/>
      <c r="AB249" s="78">
        <v>1</v>
      </c>
      <c r="AE249" s="2461"/>
      <c r="AF249" s="68"/>
      <c r="AI249" s="2475"/>
    </row>
    <row r="250" spans="1:35" ht="45.5" x14ac:dyDescent="0.35">
      <c r="A250" s="603">
        <v>113</v>
      </c>
      <c r="B250" s="1101">
        <v>10546</v>
      </c>
      <c r="C250" s="1099" t="s">
        <v>1656</v>
      </c>
      <c r="D250" s="2465" t="s">
        <v>4679</v>
      </c>
      <c r="E250" s="371" t="s">
        <v>9529</v>
      </c>
      <c r="F250" s="596" t="s">
        <v>664</v>
      </c>
      <c r="G250" s="596">
        <v>5</v>
      </c>
      <c r="H250" s="2268">
        <v>6</v>
      </c>
      <c r="I250" s="583">
        <f t="shared" si="18"/>
        <v>0.6</v>
      </c>
      <c r="J250" s="583">
        <f t="shared" si="19"/>
        <v>0.6</v>
      </c>
      <c r="K250" s="584"/>
      <c r="L250" s="584"/>
      <c r="M250" s="983"/>
      <c r="N250" s="580"/>
      <c r="O250" s="918"/>
      <c r="P250" s="580"/>
      <c r="Q250" s="913"/>
      <c r="R250" s="906">
        <v>0.6</v>
      </c>
      <c r="S250" s="586"/>
      <c r="T250" s="590"/>
      <c r="U250" s="586"/>
      <c r="V250" s="586"/>
      <c r="W250" s="1679"/>
      <c r="X250" s="1678"/>
      <c r="Y250" s="1679"/>
      <c r="Z250" s="1791"/>
      <c r="AB250" s="78">
        <v>1</v>
      </c>
      <c r="AE250" s="2461"/>
      <c r="AF250" s="68"/>
      <c r="AI250" s="2475"/>
    </row>
    <row r="251" spans="1:35" ht="15.5" x14ac:dyDescent="0.35">
      <c r="A251" s="1593">
        <v>114</v>
      </c>
      <c r="B251" s="375">
        <v>10547</v>
      </c>
      <c r="C251" s="375"/>
      <c r="D251" s="375" t="s">
        <v>1931</v>
      </c>
      <c r="E251" s="371" t="s">
        <v>102</v>
      </c>
      <c r="F251" s="596">
        <v>4</v>
      </c>
      <c r="G251" s="596">
        <v>5</v>
      </c>
      <c r="H251" s="2268">
        <v>6</v>
      </c>
      <c r="I251" s="583">
        <f t="shared" si="18"/>
        <v>4.1120000000000001</v>
      </c>
      <c r="J251" s="583">
        <f t="shared" si="19"/>
        <v>4.1120000000000001</v>
      </c>
      <c r="K251" s="584"/>
      <c r="L251" s="584"/>
      <c r="M251" s="980"/>
      <c r="N251" s="584"/>
      <c r="O251" s="597"/>
      <c r="P251" s="584"/>
      <c r="Q251" s="910">
        <v>4.1120000000000001</v>
      </c>
      <c r="R251" s="901"/>
      <c r="S251" s="582">
        <v>1</v>
      </c>
      <c r="T251" s="585">
        <v>27</v>
      </c>
      <c r="U251" s="586"/>
      <c r="V251" s="586"/>
      <c r="W251" s="2426">
        <v>12</v>
      </c>
      <c r="X251" s="2427">
        <v>185.87</v>
      </c>
      <c r="Y251" s="1679">
        <v>3</v>
      </c>
      <c r="Z251" s="1791">
        <v>50</v>
      </c>
      <c r="AB251" s="78">
        <v>1</v>
      </c>
      <c r="AE251" s="2461"/>
      <c r="AF251" s="68"/>
      <c r="AI251" s="2475"/>
    </row>
    <row r="252" spans="1:35" ht="30.5" x14ac:dyDescent="0.35">
      <c r="A252" s="603">
        <v>115</v>
      </c>
      <c r="B252" s="1101">
        <v>10547</v>
      </c>
      <c r="C252" s="1099" t="s">
        <v>1656</v>
      </c>
      <c r="D252" s="2465" t="s">
        <v>4680</v>
      </c>
      <c r="E252" s="374" t="s">
        <v>8417</v>
      </c>
      <c r="F252" s="596" t="s">
        <v>664</v>
      </c>
      <c r="G252" s="596">
        <v>5</v>
      </c>
      <c r="H252" s="2268">
        <v>6</v>
      </c>
      <c r="I252" s="583">
        <f t="shared" si="18"/>
        <v>0.3</v>
      </c>
      <c r="J252" s="583">
        <f t="shared" si="19"/>
        <v>0.3</v>
      </c>
      <c r="K252" s="588"/>
      <c r="L252" s="588"/>
      <c r="M252" s="983"/>
      <c r="N252" s="580"/>
      <c r="O252" s="918"/>
      <c r="P252" s="580"/>
      <c r="Q252" s="913"/>
      <c r="R252" s="906">
        <v>0.3</v>
      </c>
      <c r="S252" s="586"/>
      <c r="T252" s="590"/>
      <c r="U252" s="586"/>
      <c r="V252" s="586"/>
      <c r="W252" s="1679"/>
      <c r="X252" s="1678"/>
      <c r="Y252" s="1679"/>
      <c r="Z252" s="1791"/>
      <c r="AB252" s="78">
        <v>1</v>
      </c>
      <c r="AE252" s="2461"/>
      <c r="AF252" s="68"/>
      <c r="AI252" s="2475"/>
    </row>
    <row r="253" spans="1:35" ht="30.5" x14ac:dyDescent="0.35">
      <c r="A253" s="1593">
        <v>116</v>
      </c>
      <c r="B253" s="375">
        <v>10548</v>
      </c>
      <c r="C253" s="375"/>
      <c r="D253" s="375" t="s">
        <v>1932</v>
      </c>
      <c r="E253" s="371" t="s">
        <v>7021</v>
      </c>
      <c r="F253" s="591"/>
      <c r="G253" s="591" t="s">
        <v>191</v>
      </c>
      <c r="H253" s="2268" t="s">
        <v>191</v>
      </c>
      <c r="I253" s="583">
        <f t="shared" si="18"/>
        <v>14.8</v>
      </c>
      <c r="J253" s="583">
        <f t="shared" si="19"/>
        <v>14.8</v>
      </c>
      <c r="K253" s="584"/>
      <c r="L253" s="584"/>
      <c r="M253" s="980"/>
      <c r="N253" s="583">
        <f>SUM(N254:N260)</f>
        <v>2.9</v>
      </c>
      <c r="O253" s="597"/>
      <c r="P253" s="584"/>
      <c r="Q253" s="910">
        <f>SUM(Q254:Q260)</f>
        <v>8.5</v>
      </c>
      <c r="R253" s="903">
        <f>SUM(R254:R260)</f>
        <v>3.4</v>
      </c>
      <c r="S253" s="586"/>
      <c r="T253" s="590"/>
      <c r="U253" s="586"/>
      <c r="V253" s="586"/>
      <c r="W253" s="2426">
        <v>37</v>
      </c>
      <c r="X253" s="2427">
        <v>401</v>
      </c>
      <c r="Y253" s="1679">
        <v>15</v>
      </c>
      <c r="Z253" s="1791">
        <v>153</v>
      </c>
      <c r="AB253" s="78">
        <v>1</v>
      </c>
      <c r="AE253" s="2461"/>
      <c r="AF253" s="68"/>
      <c r="AI253" s="2475"/>
    </row>
    <row r="254" spans="1:35" ht="15.5" x14ac:dyDescent="0.35">
      <c r="A254" s="605"/>
      <c r="B254" s="375">
        <v>10548</v>
      </c>
      <c r="C254" s="375"/>
      <c r="D254" s="377"/>
      <c r="E254" s="1583" t="s">
        <v>2628</v>
      </c>
      <c r="F254" s="591">
        <v>4</v>
      </c>
      <c r="G254" s="591">
        <v>4</v>
      </c>
      <c r="H254" s="2268">
        <v>6</v>
      </c>
      <c r="I254" s="589"/>
      <c r="J254" s="589"/>
      <c r="K254" s="588"/>
      <c r="L254" s="588"/>
      <c r="M254" s="981"/>
      <c r="N254" s="589"/>
      <c r="O254" s="915"/>
      <c r="P254" s="588"/>
      <c r="Q254" s="911">
        <v>1</v>
      </c>
      <c r="R254" s="904"/>
      <c r="S254" s="586"/>
      <c r="T254" s="590"/>
      <c r="U254" s="586"/>
      <c r="V254" s="586"/>
      <c r="W254" s="2426"/>
      <c r="X254" s="2427"/>
      <c r="Y254" s="1679"/>
      <c r="Z254" s="1791"/>
      <c r="AE254" s="2461"/>
      <c r="AF254" s="68"/>
    </row>
    <row r="255" spans="1:35" ht="15.5" x14ac:dyDescent="0.35">
      <c r="A255" s="605"/>
      <c r="B255" s="375">
        <v>10548</v>
      </c>
      <c r="C255" s="375"/>
      <c r="D255" s="377"/>
      <c r="E255" s="1583" t="s">
        <v>1667</v>
      </c>
      <c r="F255" s="591">
        <v>5</v>
      </c>
      <c r="G255" s="591">
        <v>4</v>
      </c>
      <c r="H255" s="2268">
        <v>6</v>
      </c>
      <c r="I255" s="589"/>
      <c r="J255" s="589"/>
      <c r="K255" s="588"/>
      <c r="L255" s="588"/>
      <c r="M255" s="981"/>
      <c r="N255" s="589"/>
      <c r="O255" s="915"/>
      <c r="P255" s="588"/>
      <c r="Q255" s="911">
        <v>5.8</v>
      </c>
      <c r="R255" s="904"/>
      <c r="S255" s="586"/>
      <c r="T255" s="590"/>
      <c r="U255" s="586"/>
      <c r="V255" s="586"/>
      <c r="W255" s="2426"/>
      <c r="X255" s="2427"/>
      <c r="Y255" s="1679"/>
      <c r="Z255" s="1791"/>
      <c r="AE255" s="2461"/>
      <c r="AF255" s="68"/>
    </row>
    <row r="256" spans="1:35" ht="15.5" x14ac:dyDescent="0.35">
      <c r="A256" s="605"/>
      <c r="B256" s="1102">
        <v>10548</v>
      </c>
      <c r="C256" s="1102"/>
      <c r="D256" s="377"/>
      <c r="E256" s="1793" t="s">
        <v>1668</v>
      </c>
      <c r="F256" s="591">
        <v>5</v>
      </c>
      <c r="G256" s="591">
        <v>4</v>
      </c>
      <c r="H256" s="2268">
        <v>6</v>
      </c>
      <c r="I256" s="589"/>
      <c r="J256" s="589"/>
      <c r="K256" s="588"/>
      <c r="L256" s="588"/>
      <c r="M256" s="981"/>
      <c r="N256" s="589">
        <v>0.1</v>
      </c>
      <c r="O256" s="915"/>
      <c r="P256" s="588"/>
      <c r="Q256" s="911"/>
      <c r="R256" s="904"/>
      <c r="S256" s="586"/>
      <c r="T256" s="590"/>
      <c r="U256" s="586"/>
      <c r="V256" s="586"/>
      <c r="W256" s="2426"/>
      <c r="X256" s="2427"/>
      <c r="Y256" s="1679"/>
      <c r="Z256" s="1791"/>
      <c r="AE256" s="2461"/>
      <c r="AF256" s="68"/>
    </row>
    <row r="257" spans="1:35" ht="15.5" x14ac:dyDescent="0.35">
      <c r="A257" s="605"/>
      <c r="B257" s="1102">
        <v>10548</v>
      </c>
      <c r="C257" s="1102"/>
      <c r="D257" s="377"/>
      <c r="E257" s="610" t="s">
        <v>3429</v>
      </c>
      <c r="F257" s="591">
        <v>4</v>
      </c>
      <c r="G257" s="591">
        <v>4</v>
      </c>
      <c r="H257" s="2268">
        <v>6</v>
      </c>
      <c r="I257" s="589"/>
      <c r="J257" s="589"/>
      <c r="K257" s="588"/>
      <c r="L257" s="588"/>
      <c r="M257" s="981"/>
      <c r="N257" s="589">
        <v>2.8</v>
      </c>
      <c r="O257" s="915"/>
      <c r="P257" s="588"/>
      <c r="Q257" s="911"/>
      <c r="R257" s="904"/>
      <c r="S257" s="586"/>
      <c r="T257" s="590"/>
      <c r="U257" s="586"/>
      <c r="V257" s="586"/>
      <c r="W257" s="2426"/>
      <c r="X257" s="2427"/>
      <c r="Y257" s="1679"/>
      <c r="Z257" s="1791"/>
      <c r="AE257" s="2461"/>
      <c r="AF257" s="68"/>
    </row>
    <row r="258" spans="1:35" ht="15.5" x14ac:dyDescent="0.35">
      <c r="A258" s="605"/>
      <c r="B258" s="1102">
        <v>10548</v>
      </c>
      <c r="C258" s="1102"/>
      <c r="D258" s="377"/>
      <c r="E258" s="1585" t="s">
        <v>3430</v>
      </c>
      <c r="F258" s="591">
        <v>5</v>
      </c>
      <c r="G258" s="591">
        <v>5</v>
      </c>
      <c r="H258" s="2268">
        <v>6</v>
      </c>
      <c r="I258" s="589"/>
      <c r="J258" s="589"/>
      <c r="K258" s="588"/>
      <c r="L258" s="588"/>
      <c r="M258" s="981"/>
      <c r="N258" s="589"/>
      <c r="O258" s="915"/>
      <c r="P258" s="588"/>
      <c r="Q258" s="911"/>
      <c r="R258" s="904">
        <v>2.9</v>
      </c>
      <c r="S258" s="586"/>
      <c r="T258" s="590"/>
      <c r="U258" s="586"/>
      <c r="V258" s="586"/>
      <c r="W258" s="2426"/>
      <c r="X258" s="2427"/>
      <c r="Y258" s="1679"/>
      <c r="Z258" s="1791"/>
      <c r="AE258" s="2461"/>
      <c r="AF258" s="68"/>
    </row>
    <row r="259" spans="1:35" ht="15.5" x14ac:dyDescent="0.35">
      <c r="A259" s="605"/>
      <c r="B259" s="1102">
        <v>10548</v>
      </c>
      <c r="C259" s="1102"/>
      <c r="D259" s="377"/>
      <c r="E259" s="1583" t="s">
        <v>3431</v>
      </c>
      <c r="F259" s="591">
        <v>5</v>
      </c>
      <c r="G259" s="591">
        <v>5</v>
      </c>
      <c r="H259" s="2268">
        <v>6</v>
      </c>
      <c r="I259" s="589"/>
      <c r="J259" s="589"/>
      <c r="K259" s="588"/>
      <c r="L259" s="588"/>
      <c r="M259" s="981"/>
      <c r="N259" s="589"/>
      <c r="O259" s="915"/>
      <c r="P259" s="588"/>
      <c r="Q259" s="911">
        <f>14.3-12.6</f>
        <v>1.7000000000000011</v>
      </c>
      <c r="R259" s="904"/>
      <c r="S259" s="586"/>
      <c r="T259" s="590"/>
      <c r="U259" s="586"/>
      <c r="V259" s="586"/>
      <c r="W259" s="2426"/>
      <c r="X259" s="2427"/>
      <c r="Y259" s="1679"/>
      <c r="Z259" s="1791"/>
      <c r="AE259" s="2461"/>
      <c r="AF259" s="68"/>
    </row>
    <row r="260" spans="1:35" ht="15.5" x14ac:dyDescent="0.35">
      <c r="A260" s="605"/>
      <c r="B260" s="1102">
        <v>10548</v>
      </c>
      <c r="C260" s="1102"/>
      <c r="D260" s="377"/>
      <c r="E260" s="1585" t="s">
        <v>2694</v>
      </c>
      <c r="F260" s="2268" t="s">
        <v>664</v>
      </c>
      <c r="G260" s="591">
        <v>5</v>
      </c>
      <c r="H260" s="2268">
        <v>6</v>
      </c>
      <c r="I260" s="589"/>
      <c r="J260" s="589"/>
      <c r="K260" s="588"/>
      <c r="L260" s="588"/>
      <c r="M260" s="981"/>
      <c r="N260" s="589"/>
      <c r="O260" s="915"/>
      <c r="P260" s="588"/>
      <c r="Q260" s="911"/>
      <c r="R260" s="904">
        <v>0.5</v>
      </c>
      <c r="S260" s="586"/>
      <c r="T260" s="590"/>
      <c r="U260" s="586"/>
      <c r="V260" s="586"/>
      <c r="W260" s="2426"/>
      <c r="X260" s="2427"/>
      <c r="Y260" s="1679"/>
      <c r="Z260" s="1791"/>
      <c r="AE260" s="2461"/>
      <c r="AF260" s="68"/>
    </row>
    <row r="261" spans="1:35" ht="45.5" x14ac:dyDescent="0.35">
      <c r="A261" s="603">
        <v>117</v>
      </c>
      <c r="B261" s="1035">
        <v>10548</v>
      </c>
      <c r="C261" s="1035"/>
      <c r="D261" s="2465" t="s">
        <v>4681</v>
      </c>
      <c r="E261" s="371" t="s">
        <v>7673</v>
      </c>
      <c r="F261" s="596" t="s">
        <v>664</v>
      </c>
      <c r="G261" s="596">
        <v>5</v>
      </c>
      <c r="H261" s="2268">
        <v>6</v>
      </c>
      <c r="I261" s="583">
        <f t="shared" ref="I261:I269" si="20">J261+K261+L261</f>
        <v>1.3</v>
      </c>
      <c r="J261" s="583">
        <f t="shared" ref="J261:J269" si="21">SUM(M261:R261)</f>
        <v>1.3</v>
      </c>
      <c r="K261" s="584"/>
      <c r="L261" s="584"/>
      <c r="M261" s="980"/>
      <c r="N261" s="583"/>
      <c r="O261" s="597"/>
      <c r="P261" s="584"/>
      <c r="Q261" s="908"/>
      <c r="R261" s="903">
        <v>1.3</v>
      </c>
      <c r="S261" s="586"/>
      <c r="T261" s="590"/>
      <c r="U261" s="586"/>
      <c r="V261" s="586"/>
      <c r="W261" s="2426"/>
      <c r="X261" s="2427"/>
      <c r="Y261" s="1679"/>
      <c r="Z261" s="1791"/>
      <c r="AB261" s="78">
        <v>1</v>
      </c>
      <c r="AE261" s="2461"/>
      <c r="AF261" s="68"/>
      <c r="AI261" s="2475"/>
    </row>
    <row r="262" spans="1:35" ht="60.5" x14ac:dyDescent="0.35">
      <c r="A262" s="1593">
        <v>118</v>
      </c>
      <c r="B262" s="1101">
        <v>10548</v>
      </c>
      <c r="C262" s="358" t="s">
        <v>1656</v>
      </c>
      <c r="D262" s="2465" t="s">
        <v>4682</v>
      </c>
      <c r="E262" s="372" t="s">
        <v>8418</v>
      </c>
      <c r="F262" s="596" t="s">
        <v>664</v>
      </c>
      <c r="G262" s="596">
        <v>5</v>
      </c>
      <c r="H262" s="2268">
        <v>6</v>
      </c>
      <c r="I262" s="297">
        <f t="shared" si="20"/>
        <v>3.5999999999999997E-2</v>
      </c>
      <c r="J262" s="297">
        <f t="shared" si="21"/>
        <v>3.5999999999999997E-2</v>
      </c>
      <c r="K262" s="584"/>
      <c r="L262" s="584"/>
      <c r="M262" s="983"/>
      <c r="N262" s="580"/>
      <c r="O262" s="918"/>
      <c r="P262" s="580"/>
      <c r="Q262" s="913"/>
      <c r="R262" s="906">
        <v>3.5999999999999997E-2</v>
      </c>
      <c r="S262" s="586"/>
      <c r="T262" s="590"/>
      <c r="U262" s="586"/>
      <c r="V262" s="586"/>
      <c r="W262" s="1679"/>
      <c r="X262" s="1678"/>
      <c r="Y262" s="1679"/>
      <c r="Z262" s="1791"/>
      <c r="AB262" s="78">
        <v>1</v>
      </c>
      <c r="AE262" s="2461"/>
      <c r="AF262" s="68"/>
      <c r="AI262" s="2475"/>
    </row>
    <row r="263" spans="1:35" ht="45.5" x14ac:dyDescent="0.35">
      <c r="A263" s="603">
        <v>119</v>
      </c>
      <c r="B263" s="1037">
        <v>10548</v>
      </c>
      <c r="C263" s="1099" t="s">
        <v>1656</v>
      </c>
      <c r="D263" s="2465" t="s">
        <v>4683</v>
      </c>
      <c r="E263" s="371" t="s">
        <v>8419</v>
      </c>
      <c r="F263" s="596" t="s">
        <v>664</v>
      </c>
      <c r="G263" s="596">
        <v>5</v>
      </c>
      <c r="H263" s="2268">
        <v>6</v>
      </c>
      <c r="I263" s="583">
        <f t="shared" si="20"/>
        <v>0.7</v>
      </c>
      <c r="J263" s="583">
        <f t="shared" si="21"/>
        <v>0.7</v>
      </c>
      <c r="K263" s="598"/>
      <c r="L263" s="598"/>
      <c r="M263" s="983"/>
      <c r="N263" s="580"/>
      <c r="O263" s="918"/>
      <c r="P263" s="580"/>
      <c r="Q263" s="913"/>
      <c r="R263" s="906">
        <v>0.7</v>
      </c>
      <c r="S263" s="600"/>
      <c r="T263" s="600"/>
      <c r="U263" s="600"/>
      <c r="V263" s="600"/>
      <c r="W263" s="1676"/>
      <c r="X263" s="1789"/>
      <c r="Y263" s="1676"/>
      <c r="Z263" s="1790"/>
      <c r="AB263" s="78">
        <v>1</v>
      </c>
      <c r="AE263" s="2461"/>
      <c r="AF263" s="68"/>
      <c r="AI263" s="2475"/>
    </row>
    <row r="264" spans="1:35" ht="45.5" x14ac:dyDescent="0.35">
      <c r="A264" s="1593">
        <v>120</v>
      </c>
      <c r="B264" s="1101">
        <v>10548</v>
      </c>
      <c r="C264" s="358" t="s">
        <v>1656</v>
      </c>
      <c r="D264" s="2465" t="s">
        <v>4684</v>
      </c>
      <c r="E264" s="372" t="s">
        <v>9245</v>
      </c>
      <c r="F264" s="596"/>
      <c r="G264" s="596"/>
      <c r="H264" s="2268" t="s">
        <v>191</v>
      </c>
      <c r="I264" s="297">
        <f t="shared" si="20"/>
        <v>1.117</v>
      </c>
      <c r="J264" s="297">
        <f t="shared" si="21"/>
        <v>0.66700000000000004</v>
      </c>
      <c r="K264" s="595"/>
      <c r="L264" s="584">
        <f>SUM(L265:L266)</f>
        <v>0.45</v>
      </c>
      <c r="M264" s="982"/>
      <c r="N264" s="583"/>
      <c r="O264" s="597"/>
      <c r="P264" s="584"/>
      <c r="Q264" s="908"/>
      <c r="R264" s="901">
        <f>SUM(R265:R266)</f>
        <v>0.66700000000000004</v>
      </c>
      <c r="S264" s="586"/>
      <c r="T264" s="590"/>
      <c r="U264" s="586"/>
      <c r="V264" s="586"/>
      <c r="W264" s="1679"/>
      <c r="X264" s="1678"/>
      <c r="Y264" s="1679"/>
      <c r="Z264" s="1791"/>
      <c r="AB264" s="78">
        <v>1</v>
      </c>
      <c r="AE264" s="2461"/>
      <c r="AF264" s="68"/>
      <c r="AI264" s="2475"/>
    </row>
    <row r="265" spans="1:35" ht="31" x14ac:dyDescent="0.35">
      <c r="A265" s="1593"/>
      <c r="B265" s="1101"/>
      <c r="C265" s="358"/>
      <c r="D265" s="2465"/>
      <c r="E265" s="289" t="s">
        <v>9246</v>
      </c>
      <c r="F265" s="596" t="s">
        <v>664</v>
      </c>
      <c r="G265" s="596">
        <v>5</v>
      </c>
      <c r="H265" s="2268" t="s">
        <v>191</v>
      </c>
      <c r="I265" s="298"/>
      <c r="J265" s="298"/>
      <c r="K265" s="595"/>
      <c r="L265" s="595">
        <v>0.45</v>
      </c>
      <c r="M265" s="982"/>
      <c r="N265" s="594"/>
      <c r="O265" s="917"/>
      <c r="P265" s="595"/>
      <c r="Q265" s="912"/>
      <c r="R265" s="905"/>
      <c r="S265" s="586"/>
      <c r="T265" s="590"/>
      <c r="U265" s="586"/>
      <c r="V265" s="586"/>
      <c r="W265" s="1679"/>
      <c r="X265" s="1678"/>
      <c r="Y265" s="1679"/>
      <c r="Z265" s="1791"/>
      <c r="AE265" s="2461"/>
      <c r="AF265" s="68"/>
      <c r="AI265" s="2475"/>
    </row>
    <row r="266" spans="1:35" ht="15.5" x14ac:dyDescent="0.35">
      <c r="A266" s="1593"/>
      <c r="B266" s="1101"/>
      <c r="C266" s="358"/>
      <c r="D266" s="2465"/>
      <c r="E266" s="2280" t="s">
        <v>7022</v>
      </c>
      <c r="F266" s="596" t="s">
        <v>664</v>
      </c>
      <c r="G266" s="596">
        <v>5</v>
      </c>
      <c r="H266" s="2268">
        <v>6</v>
      </c>
      <c r="I266" s="298"/>
      <c r="J266" s="298"/>
      <c r="K266" s="595"/>
      <c r="L266" s="595"/>
      <c r="M266" s="982"/>
      <c r="N266" s="594"/>
      <c r="O266" s="917"/>
      <c r="P266" s="595"/>
      <c r="Q266" s="912"/>
      <c r="R266" s="905">
        <f>1.117-0.45</f>
        <v>0.66700000000000004</v>
      </c>
      <c r="S266" s="586"/>
      <c r="T266" s="590"/>
      <c r="U266" s="586"/>
      <c r="V266" s="586"/>
      <c r="W266" s="1679"/>
      <c r="X266" s="1678"/>
      <c r="Y266" s="1679"/>
      <c r="Z266" s="1791"/>
      <c r="AE266" s="2461"/>
      <c r="AF266" s="68"/>
      <c r="AI266" s="2475"/>
    </row>
    <row r="267" spans="1:35" ht="45.5" x14ac:dyDescent="0.35">
      <c r="A267" s="603">
        <v>121</v>
      </c>
      <c r="B267" s="1101">
        <v>10548</v>
      </c>
      <c r="C267" s="358" t="s">
        <v>1656</v>
      </c>
      <c r="D267" s="2465" t="s">
        <v>4685</v>
      </c>
      <c r="E267" s="372" t="s">
        <v>8420</v>
      </c>
      <c r="F267" s="2268" t="s">
        <v>664</v>
      </c>
      <c r="G267" s="596">
        <v>5</v>
      </c>
      <c r="H267" s="2268">
        <v>6</v>
      </c>
      <c r="I267" s="297">
        <f t="shared" si="20"/>
        <v>0.57499999999999996</v>
      </c>
      <c r="J267" s="297">
        <f t="shared" si="21"/>
        <v>0.57499999999999996</v>
      </c>
      <c r="K267" s="595"/>
      <c r="L267" s="595"/>
      <c r="M267" s="982"/>
      <c r="N267" s="583"/>
      <c r="O267" s="597"/>
      <c r="P267" s="584"/>
      <c r="Q267" s="908"/>
      <c r="R267" s="901">
        <v>0.57499999999999996</v>
      </c>
      <c r="S267" s="586"/>
      <c r="T267" s="590"/>
      <c r="U267" s="586"/>
      <c r="V267" s="586"/>
      <c r="W267" s="1679"/>
      <c r="X267" s="1678"/>
      <c r="Y267" s="1679"/>
      <c r="Z267" s="1791"/>
      <c r="AB267" s="78">
        <v>1</v>
      </c>
      <c r="AE267" s="2461"/>
      <c r="AF267" s="68"/>
      <c r="AI267" s="2475"/>
    </row>
    <row r="268" spans="1:35" ht="45.5" x14ac:dyDescent="0.35">
      <c r="A268" s="1593">
        <v>122</v>
      </c>
      <c r="B268" s="375">
        <v>10548</v>
      </c>
      <c r="C268" s="358" t="s">
        <v>1656</v>
      </c>
      <c r="D268" s="2465" t="s">
        <v>4686</v>
      </c>
      <c r="E268" s="372" t="s">
        <v>8421</v>
      </c>
      <c r="F268" s="591" t="s">
        <v>664</v>
      </c>
      <c r="G268" s="596">
        <v>5</v>
      </c>
      <c r="H268" s="2268">
        <v>6</v>
      </c>
      <c r="I268" s="297">
        <f t="shared" si="20"/>
        <v>0.32700000000000001</v>
      </c>
      <c r="J268" s="297">
        <f t="shared" si="21"/>
        <v>0.32700000000000001</v>
      </c>
      <c r="K268" s="589"/>
      <c r="L268" s="588"/>
      <c r="M268" s="981"/>
      <c r="N268" s="2364"/>
      <c r="O268" s="2365"/>
      <c r="P268" s="2364"/>
      <c r="Q268" s="1792"/>
      <c r="R268" s="2366">
        <v>0.32700000000000001</v>
      </c>
      <c r="S268" s="586"/>
      <c r="T268" s="590"/>
      <c r="U268" s="586"/>
      <c r="V268" s="586"/>
      <c r="W268" s="1679"/>
      <c r="X268" s="1678"/>
      <c r="Y268" s="1679"/>
      <c r="Z268" s="1791"/>
      <c r="AB268" s="78">
        <v>1</v>
      </c>
      <c r="AE268" s="2461"/>
      <c r="AF268" s="68"/>
      <c r="AI268" s="2475"/>
    </row>
    <row r="269" spans="1:35" ht="30.5" x14ac:dyDescent="0.35">
      <c r="A269" s="603">
        <v>123</v>
      </c>
      <c r="B269" s="1102">
        <v>10549</v>
      </c>
      <c r="C269" s="1102"/>
      <c r="D269" s="375" t="s">
        <v>1933</v>
      </c>
      <c r="E269" s="371" t="s">
        <v>103</v>
      </c>
      <c r="F269" s="596"/>
      <c r="G269" s="596"/>
      <c r="H269" s="2268" t="s">
        <v>191</v>
      </c>
      <c r="I269" s="583">
        <f t="shared" si="20"/>
        <v>7.3</v>
      </c>
      <c r="J269" s="583">
        <f t="shared" si="21"/>
        <v>7.3</v>
      </c>
      <c r="K269" s="584"/>
      <c r="L269" s="584"/>
      <c r="M269" s="980"/>
      <c r="N269" s="583">
        <f>SUM(N270:N271)</f>
        <v>3.2050000000000001</v>
      </c>
      <c r="O269" s="597"/>
      <c r="P269" s="584"/>
      <c r="Q269" s="910">
        <f>SUM(Q270:Q271)</f>
        <v>4.0949999999999998</v>
      </c>
      <c r="R269" s="903"/>
      <c r="S269" s="586"/>
      <c r="T269" s="590"/>
      <c r="U269" s="586"/>
      <c r="V269" s="586"/>
      <c r="W269" s="2426">
        <v>12</v>
      </c>
      <c r="X269" s="2427">
        <v>177.43</v>
      </c>
      <c r="Y269" s="1679">
        <v>6</v>
      </c>
      <c r="Z269" s="1791">
        <v>87</v>
      </c>
      <c r="AB269" s="78">
        <v>1</v>
      </c>
      <c r="AE269" s="2461"/>
      <c r="AF269" s="68"/>
      <c r="AI269" s="2475"/>
    </row>
    <row r="270" spans="1:35" ht="15.5" x14ac:dyDescent="0.35">
      <c r="A270" s="605"/>
      <c r="B270" s="1102">
        <v>10549</v>
      </c>
      <c r="C270" s="1102"/>
      <c r="D270" s="377"/>
      <c r="E270" s="610" t="s">
        <v>104</v>
      </c>
      <c r="F270" s="596">
        <v>5</v>
      </c>
      <c r="G270" s="596">
        <v>5</v>
      </c>
      <c r="H270" s="2268">
        <v>6</v>
      </c>
      <c r="I270" s="589"/>
      <c r="J270" s="589"/>
      <c r="K270" s="588"/>
      <c r="L270" s="588"/>
      <c r="M270" s="981"/>
      <c r="N270" s="589">
        <v>3.2050000000000001</v>
      </c>
      <c r="O270" s="915"/>
      <c r="P270" s="588"/>
      <c r="Q270" s="911"/>
      <c r="R270" s="904"/>
      <c r="S270" s="586"/>
      <c r="T270" s="590"/>
      <c r="U270" s="586"/>
      <c r="V270" s="586"/>
      <c r="W270" s="2426"/>
      <c r="X270" s="2427"/>
      <c r="Y270" s="1679"/>
      <c r="Z270" s="1791"/>
      <c r="AE270" s="2461"/>
      <c r="AF270" s="68"/>
    </row>
    <row r="271" spans="1:35" ht="15.5" x14ac:dyDescent="0.35">
      <c r="A271" s="605"/>
      <c r="B271" s="1102">
        <v>10549</v>
      </c>
      <c r="C271" s="1102"/>
      <c r="D271" s="377"/>
      <c r="E271" s="1583" t="s">
        <v>105</v>
      </c>
      <c r="F271" s="596">
        <v>5</v>
      </c>
      <c r="G271" s="596">
        <v>5</v>
      </c>
      <c r="H271" s="2268">
        <v>6</v>
      </c>
      <c r="I271" s="589"/>
      <c r="J271" s="589"/>
      <c r="K271" s="588"/>
      <c r="L271" s="588"/>
      <c r="M271" s="981"/>
      <c r="N271" s="589"/>
      <c r="O271" s="915"/>
      <c r="P271" s="588"/>
      <c r="Q271" s="911">
        <f>7.3-3.205</f>
        <v>4.0949999999999998</v>
      </c>
      <c r="R271" s="904"/>
      <c r="S271" s="586"/>
      <c r="T271" s="590"/>
      <c r="U271" s="586"/>
      <c r="V271" s="586"/>
      <c r="W271" s="2426"/>
      <c r="X271" s="2427"/>
      <c r="Y271" s="1679"/>
      <c r="Z271" s="1791"/>
      <c r="AE271" s="2461"/>
      <c r="AF271" s="68"/>
    </row>
    <row r="272" spans="1:35" ht="30.5" x14ac:dyDescent="0.35">
      <c r="A272" s="525">
        <v>124</v>
      </c>
      <c r="B272" s="1040">
        <v>10549</v>
      </c>
      <c r="C272" s="1040"/>
      <c r="D272" s="2465" t="s">
        <v>4687</v>
      </c>
      <c r="E272" s="372" t="s">
        <v>7674</v>
      </c>
      <c r="F272" s="2566"/>
      <c r="G272" s="92"/>
      <c r="H272" s="2268" t="s">
        <v>191</v>
      </c>
      <c r="I272" s="702">
        <f>J272+K272+L272</f>
        <v>2</v>
      </c>
      <c r="J272" s="702">
        <f>SUM(M272:R272)</f>
        <v>2</v>
      </c>
      <c r="K272" s="622"/>
      <c r="L272" s="622"/>
      <c r="M272" s="622"/>
      <c r="N272" s="622"/>
      <c r="O272" s="622"/>
      <c r="P272" s="622"/>
      <c r="Q272" s="622"/>
      <c r="R272" s="906">
        <f>SUM(R273:R274)</f>
        <v>2</v>
      </c>
      <c r="S272" s="46"/>
      <c r="T272" s="46"/>
      <c r="U272" s="46"/>
      <c r="V272" s="46"/>
      <c r="W272" s="67"/>
      <c r="X272" s="46"/>
      <c r="Y272" s="46"/>
      <c r="Z272" s="47"/>
      <c r="AB272" s="78">
        <v>1</v>
      </c>
      <c r="AE272" s="2461"/>
      <c r="AF272" s="68"/>
      <c r="AI272" s="2475"/>
    </row>
    <row r="273" spans="1:35" ht="15.5" x14ac:dyDescent="0.35">
      <c r="A273" s="525"/>
      <c r="B273" s="1040">
        <v>10549</v>
      </c>
      <c r="C273" s="1040"/>
      <c r="D273" s="375"/>
      <c r="E273" s="1585" t="s">
        <v>3285</v>
      </c>
      <c r="F273" s="92" t="s">
        <v>827</v>
      </c>
      <c r="G273" s="92">
        <v>5</v>
      </c>
      <c r="H273" s="2268">
        <v>6</v>
      </c>
      <c r="I273" s="726"/>
      <c r="J273" s="726"/>
      <c r="K273" s="395"/>
      <c r="L273" s="395"/>
      <c r="M273" s="395"/>
      <c r="N273" s="395"/>
      <c r="O273" s="395"/>
      <c r="P273" s="395"/>
      <c r="Q273" s="395"/>
      <c r="R273" s="907">
        <v>1.6</v>
      </c>
      <c r="S273" s="46"/>
      <c r="T273" s="46"/>
      <c r="U273" s="46"/>
      <c r="V273" s="46"/>
      <c r="W273" s="67"/>
      <c r="X273" s="46"/>
      <c r="Y273" s="46"/>
      <c r="Z273" s="47"/>
      <c r="AE273" s="2461"/>
      <c r="AF273" s="68"/>
    </row>
    <row r="274" spans="1:35" ht="15.5" x14ac:dyDescent="0.35">
      <c r="A274" s="525"/>
      <c r="B274" s="1040">
        <v>10549</v>
      </c>
      <c r="C274" s="1040"/>
      <c r="D274" s="375"/>
      <c r="E274" s="1585" t="s">
        <v>380</v>
      </c>
      <c r="F274" s="92" t="s">
        <v>664</v>
      </c>
      <c r="G274" s="92">
        <v>5</v>
      </c>
      <c r="H274" s="2268">
        <v>6</v>
      </c>
      <c r="I274" s="726"/>
      <c r="J274" s="726"/>
      <c r="K274" s="395"/>
      <c r="L274" s="395"/>
      <c r="M274" s="395"/>
      <c r="N274" s="395"/>
      <c r="O274" s="395"/>
      <c r="P274" s="395"/>
      <c r="Q274" s="395"/>
      <c r="R274" s="907">
        <v>0.4</v>
      </c>
      <c r="S274" s="46"/>
      <c r="T274" s="46"/>
      <c r="U274" s="46"/>
      <c r="V274" s="46"/>
      <c r="W274" s="67"/>
      <c r="X274" s="46"/>
      <c r="Y274" s="46"/>
      <c r="Z274" s="47"/>
      <c r="AE274" s="2461"/>
      <c r="AF274" s="68"/>
    </row>
    <row r="275" spans="1:35" ht="45.5" x14ac:dyDescent="0.35">
      <c r="A275" s="1593">
        <v>125</v>
      </c>
      <c r="B275" s="1100">
        <v>10549</v>
      </c>
      <c r="C275" s="358" t="s">
        <v>1656</v>
      </c>
      <c r="D275" s="2465" t="s">
        <v>4688</v>
      </c>
      <c r="E275" s="372" t="s">
        <v>8422</v>
      </c>
      <c r="F275" s="596" t="s">
        <v>664</v>
      </c>
      <c r="G275" s="596">
        <v>5</v>
      </c>
      <c r="H275" s="2268">
        <v>6</v>
      </c>
      <c r="I275" s="297">
        <f>J275+K275+L275</f>
        <v>9.8000000000000004E-2</v>
      </c>
      <c r="J275" s="297">
        <f>SUM(M275:R275)</f>
        <v>9.8000000000000004E-2</v>
      </c>
      <c r="K275" s="584"/>
      <c r="L275" s="584"/>
      <c r="M275" s="980"/>
      <c r="N275" s="584"/>
      <c r="O275" s="597"/>
      <c r="P275" s="584"/>
      <c r="Q275" s="910"/>
      <c r="R275" s="903">
        <v>9.8000000000000004E-2</v>
      </c>
      <c r="S275" s="586"/>
      <c r="T275" s="590"/>
      <c r="U275" s="586"/>
      <c r="V275" s="586"/>
      <c r="W275" s="2426"/>
      <c r="X275" s="2427"/>
      <c r="Y275" s="1679"/>
      <c r="Z275" s="1791"/>
      <c r="AB275" s="78">
        <v>1</v>
      </c>
      <c r="AE275" s="2461"/>
      <c r="AF275" s="68"/>
      <c r="AI275" s="2475"/>
    </row>
    <row r="276" spans="1:35" ht="45.5" x14ac:dyDescent="0.35">
      <c r="A276" s="1593">
        <v>126</v>
      </c>
      <c r="B276" s="375">
        <v>10549</v>
      </c>
      <c r="C276" s="358" t="s">
        <v>1656</v>
      </c>
      <c r="D276" s="2465" t="s">
        <v>4689</v>
      </c>
      <c r="E276" s="372" t="s">
        <v>8423</v>
      </c>
      <c r="F276" s="596" t="s">
        <v>664</v>
      </c>
      <c r="G276" s="596">
        <v>5</v>
      </c>
      <c r="H276" s="2268">
        <v>6</v>
      </c>
      <c r="I276" s="297">
        <f>J276+K276+L276</f>
        <v>0.22</v>
      </c>
      <c r="J276" s="297">
        <f>SUM(M276:R276)</f>
        <v>0.22</v>
      </c>
      <c r="K276" s="584"/>
      <c r="L276" s="584"/>
      <c r="M276" s="980"/>
      <c r="N276" s="583"/>
      <c r="O276" s="597"/>
      <c r="P276" s="584"/>
      <c r="Q276" s="908"/>
      <c r="R276" s="903">
        <v>0.22</v>
      </c>
      <c r="S276" s="586"/>
      <c r="T276" s="590"/>
      <c r="U276" s="586"/>
      <c r="V276" s="586"/>
      <c r="W276" s="2426"/>
      <c r="X276" s="2427"/>
      <c r="Y276" s="1679"/>
      <c r="Z276" s="1791"/>
      <c r="AB276" s="78">
        <v>1</v>
      </c>
      <c r="AE276" s="2461"/>
      <c r="AF276" s="68"/>
      <c r="AI276" s="2475"/>
    </row>
    <row r="277" spans="1:35" ht="30.5" x14ac:dyDescent="0.35">
      <c r="A277" s="603">
        <v>127</v>
      </c>
      <c r="B277" s="1102">
        <v>10550</v>
      </c>
      <c r="C277" s="1102"/>
      <c r="D277" s="375" t="s">
        <v>1934</v>
      </c>
      <c r="E277" s="371" t="s">
        <v>2181</v>
      </c>
      <c r="F277" s="596"/>
      <c r="G277" s="596"/>
      <c r="H277" s="2268" t="s">
        <v>191</v>
      </c>
      <c r="I277" s="583">
        <f>J277+K277+L277</f>
        <v>7.6</v>
      </c>
      <c r="J277" s="583">
        <f>SUM(M277:R277)</f>
        <v>7.6</v>
      </c>
      <c r="K277" s="584"/>
      <c r="L277" s="584"/>
      <c r="M277" s="980"/>
      <c r="N277" s="584"/>
      <c r="O277" s="597"/>
      <c r="P277" s="584"/>
      <c r="Q277" s="910">
        <f>SUM(Q278:Q280)</f>
        <v>4.5</v>
      </c>
      <c r="R277" s="903">
        <f>SUM(R278:R280)</f>
        <v>3.1</v>
      </c>
      <c r="S277" s="586"/>
      <c r="T277" s="590"/>
      <c r="U277" s="586"/>
      <c r="V277" s="586"/>
      <c r="W277" s="2426">
        <v>19</v>
      </c>
      <c r="X277" s="2427">
        <v>226</v>
      </c>
      <c r="Y277" s="1679">
        <v>9</v>
      </c>
      <c r="Z277" s="1791">
        <v>92</v>
      </c>
      <c r="AB277" s="78">
        <v>1</v>
      </c>
      <c r="AE277" s="2461"/>
      <c r="AF277" s="68"/>
      <c r="AI277" s="2475"/>
    </row>
    <row r="278" spans="1:35" ht="15.5" x14ac:dyDescent="0.35">
      <c r="A278" s="605"/>
      <c r="B278" s="1102">
        <v>10550</v>
      </c>
      <c r="C278" s="1102"/>
      <c r="D278" s="377"/>
      <c r="E278" s="1583" t="s">
        <v>3357</v>
      </c>
      <c r="F278" s="596">
        <v>4</v>
      </c>
      <c r="G278" s="596">
        <v>5</v>
      </c>
      <c r="H278" s="2268">
        <v>6</v>
      </c>
      <c r="I278" s="589"/>
      <c r="J278" s="589"/>
      <c r="K278" s="588"/>
      <c r="L278" s="588"/>
      <c r="M278" s="981"/>
      <c r="N278" s="588"/>
      <c r="O278" s="915"/>
      <c r="P278" s="588"/>
      <c r="Q278" s="911">
        <v>2.7</v>
      </c>
      <c r="R278" s="904"/>
      <c r="S278" s="586"/>
      <c r="T278" s="590"/>
      <c r="U278" s="586"/>
      <c r="V278" s="586"/>
      <c r="W278" s="2426"/>
      <c r="X278" s="2427"/>
      <c r="Y278" s="1679"/>
      <c r="Z278" s="1791"/>
      <c r="AE278" s="2461"/>
      <c r="AF278" s="68"/>
    </row>
    <row r="279" spans="1:35" ht="15.5" x14ac:dyDescent="0.35">
      <c r="A279" s="605"/>
      <c r="B279" s="1102">
        <v>10550</v>
      </c>
      <c r="C279" s="1102"/>
      <c r="D279" s="377"/>
      <c r="E279" s="1583" t="s">
        <v>2182</v>
      </c>
      <c r="F279" s="596">
        <v>5</v>
      </c>
      <c r="G279" s="596">
        <v>5</v>
      </c>
      <c r="H279" s="2268">
        <v>6</v>
      </c>
      <c r="I279" s="589"/>
      <c r="J279" s="589"/>
      <c r="K279" s="588"/>
      <c r="L279" s="588"/>
      <c r="M279" s="981"/>
      <c r="N279" s="588"/>
      <c r="O279" s="915"/>
      <c r="P279" s="588"/>
      <c r="Q279" s="911">
        <v>1.8</v>
      </c>
      <c r="R279" s="904"/>
      <c r="S279" s="586"/>
      <c r="T279" s="590"/>
      <c r="U279" s="586"/>
      <c r="V279" s="586"/>
      <c r="W279" s="2426"/>
      <c r="X279" s="2427"/>
      <c r="Y279" s="1679"/>
      <c r="Z279" s="1791"/>
      <c r="AE279" s="2461"/>
      <c r="AF279" s="68"/>
    </row>
    <row r="280" spans="1:35" ht="15.5" x14ac:dyDescent="0.35">
      <c r="A280" s="605"/>
      <c r="B280" s="1102">
        <v>10550</v>
      </c>
      <c r="C280" s="1102"/>
      <c r="D280" s="377"/>
      <c r="E280" s="1585" t="s">
        <v>2183</v>
      </c>
      <c r="F280" s="2268" t="s">
        <v>664</v>
      </c>
      <c r="G280" s="596">
        <v>5</v>
      </c>
      <c r="H280" s="2268">
        <v>6</v>
      </c>
      <c r="I280" s="589"/>
      <c r="J280" s="589"/>
      <c r="K280" s="588"/>
      <c r="L280" s="588"/>
      <c r="M280" s="981"/>
      <c r="N280" s="588"/>
      <c r="O280" s="915"/>
      <c r="P280" s="588"/>
      <c r="Q280" s="911"/>
      <c r="R280" s="904">
        <v>3.1</v>
      </c>
      <c r="S280" s="586"/>
      <c r="T280" s="590"/>
      <c r="U280" s="586"/>
      <c r="V280" s="586"/>
      <c r="W280" s="2426"/>
      <c r="X280" s="2427"/>
      <c r="Y280" s="1679"/>
      <c r="Z280" s="1791"/>
      <c r="AE280" s="2461"/>
      <c r="AF280" s="68"/>
    </row>
    <row r="281" spans="1:35" ht="45.5" x14ac:dyDescent="0.35">
      <c r="A281" s="525">
        <v>128</v>
      </c>
      <c r="B281" s="1040">
        <v>10550</v>
      </c>
      <c r="C281" s="1040"/>
      <c r="D281" s="2465" t="s">
        <v>4690</v>
      </c>
      <c r="E281" s="372" t="s">
        <v>7675</v>
      </c>
      <c r="F281" s="93" t="s">
        <v>664</v>
      </c>
      <c r="G281" s="93">
        <v>5</v>
      </c>
      <c r="H281" s="2268">
        <v>6</v>
      </c>
      <c r="I281" s="2143">
        <f t="shared" ref="I281:I298" si="22">J281+K281+L281</f>
        <v>1.6</v>
      </c>
      <c r="J281" s="2143">
        <f t="shared" ref="J281:J298" si="23">SUM(M281:R281)</f>
        <v>1.6</v>
      </c>
      <c r="K281" s="2096"/>
      <c r="L281" s="2096"/>
      <c r="M281" s="2096"/>
      <c r="N281" s="2096"/>
      <c r="O281" s="2096"/>
      <c r="P281" s="2096"/>
      <c r="Q281" s="2096"/>
      <c r="R281" s="2207">
        <v>1.6</v>
      </c>
      <c r="S281" s="46"/>
      <c r="T281" s="46"/>
      <c r="U281" s="46"/>
      <c r="V281" s="46"/>
      <c r="W281" s="67"/>
      <c r="X281" s="46"/>
      <c r="Y281" s="46"/>
      <c r="Z281" s="47"/>
      <c r="AB281" s="78">
        <v>1</v>
      </c>
      <c r="AE281" s="2461"/>
      <c r="AF281" s="68"/>
      <c r="AI281" s="2475"/>
    </row>
    <row r="282" spans="1:35" ht="45.5" x14ac:dyDescent="0.35">
      <c r="A282" s="1593">
        <v>129</v>
      </c>
      <c r="B282" s="375">
        <v>10550</v>
      </c>
      <c r="C282" s="358" t="s">
        <v>1656</v>
      </c>
      <c r="D282" s="2465" t="s">
        <v>4691</v>
      </c>
      <c r="E282" s="372" t="s">
        <v>8424</v>
      </c>
      <c r="F282" s="591" t="s">
        <v>664</v>
      </c>
      <c r="G282" s="596">
        <v>5</v>
      </c>
      <c r="H282" s="2268">
        <v>6</v>
      </c>
      <c r="I282" s="297">
        <f>J282+K282+L282</f>
        <v>0.2</v>
      </c>
      <c r="J282" s="297">
        <f>SUM(M282:R282)</f>
        <v>0.2</v>
      </c>
      <c r="K282" s="589"/>
      <c r="L282" s="588"/>
      <c r="M282" s="981"/>
      <c r="N282" s="1794"/>
      <c r="O282" s="2365"/>
      <c r="P282" s="2364"/>
      <c r="Q282" s="1792"/>
      <c r="R282" s="2366">
        <v>0.2</v>
      </c>
      <c r="S282" s="586"/>
      <c r="T282" s="590"/>
      <c r="U282" s="586"/>
      <c r="V282" s="586"/>
      <c r="W282" s="1679"/>
      <c r="X282" s="1678"/>
      <c r="Y282" s="1679"/>
      <c r="Z282" s="1791"/>
      <c r="AB282" s="78">
        <v>1</v>
      </c>
      <c r="AE282" s="2461"/>
      <c r="AF282" s="68"/>
      <c r="AI282" s="2475"/>
    </row>
    <row r="283" spans="1:35" ht="15.5" x14ac:dyDescent="0.35">
      <c r="A283" s="525">
        <v>130</v>
      </c>
      <c r="B283" s="1102">
        <v>10551</v>
      </c>
      <c r="C283" s="1102"/>
      <c r="D283" s="375" t="s">
        <v>3207</v>
      </c>
      <c r="E283" s="371" t="s">
        <v>1299</v>
      </c>
      <c r="F283" s="596">
        <v>5</v>
      </c>
      <c r="G283" s="596">
        <v>5</v>
      </c>
      <c r="H283" s="2268">
        <v>6</v>
      </c>
      <c r="I283" s="583">
        <f t="shared" si="22"/>
        <v>3.5</v>
      </c>
      <c r="J283" s="583">
        <f t="shared" si="23"/>
        <v>3.5</v>
      </c>
      <c r="K283" s="584"/>
      <c r="L283" s="584"/>
      <c r="M283" s="980"/>
      <c r="N283" s="584"/>
      <c r="O283" s="597"/>
      <c r="P283" s="584"/>
      <c r="Q283" s="910">
        <v>3.5</v>
      </c>
      <c r="R283" s="901"/>
      <c r="S283" s="586"/>
      <c r="T283" s="590"/>
      <c r="U283" s="586"/>
      <c r="V283" s="586"/>
      <c r="W283" s="2426">
        <v>3</v>
      </c>
      <c r="X283" s="2427">
        <v>40</v>
      </c>
      <c r="Y283" s="1679"/>
      <c r="Z283" s="1791"/>
      <c r="AB283" s="78">
        <v>1</v>
      </c>
      <c r="AE283" s="2461"/>
      <c r="AF283" s="68"/>
      <c r="AI283" s="2475"/>
    </row>
    <row r="284" spans="1:35" ht="15.5" x14ac:dyDescent="0.35">
      <c r="A284" s="1593">
        <v>131</v>
      </c>
      <c r="B284" s="1102">
        <v>10552</v>
      </c>
      <c r="C284" s="1102"/>
      <c r="D284" s="375" t="s">
        <v>3208</v>
      </c>
      <c r="E284" s="371" t="s">
        <v>2739</v>
      </c>
      <c r="F284" s="596"/>
      <c r="G284" s="596"/>
      <c r="H284" s="2268" t="s">
        <v>191</v>
      </c>
      <c r="I284" s="583">
        <f t="shared" si="22"/>
        <v>1.55</v>
      </c>
      <c r="J284" s="583">
        <f t="shared" si="23"/>
        <v>1.55</v>
      </c>
      <c r="K284" s="584"/>
      <c r="L284" s="584"/>
      <c r="M284" s="980"/>
      <c r="N284" s="584">
        <f>SUM(N285:N286)</f>
        <v>9.6000000000000085E-2</v>
      </c>
      <c r="O284" s="597"/>
      <c r="P284" s="584"/>
      <c r="Q284" s="910">
        <f>SUM(Q285:Q286)</f>
        <v>1.454</v>
      </c>
      <c r="R284" s="901"/>
      <c r="S284" s="586"/>
      <c r="T284" s="590"/>
      <c r="U284" s="586"/>
      <c r="V284" s="586"/>
      <c r="W284" s="2426">
        <v>6</v>
      </c>
      <c r="X284" s="2427">
        <v>91.9</v>
      </c>
      <c r="Y284" s="1679"/>
      <c r="Z284" s="1791"/>
      <c r="AB284" s="78">
        <v>1</v>
      </c>
      <c r="AE284" s="2461"/>
      <c r="AF284" s="68"/>
      <c r="AI284" s="2475"/>
    </row>
    <row r="285" spans="1:35" ht="15.5" x14ac:dyDescent="0.35">
      <c r="A285" s="1593"/>
      <c r="B285" s="1102">
        <v>10552</v>
      </c>
      <c r="C285" s="1102"/>
      <c r="D285" s="375"/>
      <c r="E285" s="1583" t="s">
        <v>2740</v>
      </c>
      <c r="F285" s="596">
        <v>5</v>
      </c>
      <c r="G285" s="596">
        <v>5</v>
      </c>
      <c r="H285" s="2268">
        <v>6</v>
      </c>
      <c r="I285" s="594"/>
      <c r="J285" s="594"/>
      <c r="K285" s="595"/>
      <c r="L285" s="595"/>
      <c r="M285" s="982"/>
      <c r="N285" s="595"/>
      <c r="O285" s="917"/>
      <c r="P285" s="595"/>
      <c r="Q285" s="2409">
        <v>1.454</v>
      </c>
      <c r="R285" s="901"/>
      <c r="S285" s="586"/>
      <c r="T285" s="590"/>
      <c r="U285" s="586"/>
      <c r="V285" s="586"/>
      <c r="W285" s="2426"/>
      <c r="X285" s="2427"/>
      <c r="Y285" s="1679"/>
      <c r="Z285" s="1791"/>
      <c r="AE285" s="2461"/>
      <c r="AF285" s="68"/>
    </row>
    <row r="286" spans="1:35" ht="15.5" x14ac:dyDescent="0.35">
      <c r="A286" s="1593"/>
      <c r="B286" s="1102">
        <v>10552</v>
      </c>
      <c r="C286" s="1102"/>
      <c r="D286" s="375"/>
      <c r="E286" s="610" t="s">
        <v>2738</v>
      </c>
      <c r="F286" s="596">
        <v>5</v>
      </c>
      <c r="G286" s="596">
        <v>5</v>
      </c>
      <c r="H286" s="2268">
        <v>6</v>
      </c>
      <c r="I286" s="594"/>
      <c r="J286" s="594"/>
      <c r="K286" s="595"/>
      <c r="L286" s="595"/>
      <c r="M286" s="982"/>
      <c r="N286" s="595">
        <f>1.55-1.454</f>
        <v>9.6000000000000085E-2</v>
      </c>
      <c r="O286" s="917"/>
      <c r="P286" s="595"/>
      <c r="Q286" s="2409"/>
      <c r="R286" s="901"/>
      <c r="S286" s="586"/>
      <c r="T286" s="590"/>
      <c r="U286" s="586"/>
      <c r="V286" s="586"/>
      <c r="W286" s="2426"/>
      <c r="X286" s="2427"/>
      <c r="Y286" s="1679"/>
      <c r="Z286" s="1791"/>
      <c r="AE286" s="2461"/>
      <c r="AF286" s="68"/>
    </row>
    <row r="287" spans="1:35" ht="15.5" x14ac:dyDescent="0.35">
      <c r="A287" s="1593">
        <v>132</v>
      </c>
      <c r="B287" s="1102">
        <v>10553</v>
      </c>
      <c r="C287" s="1102"/>
      <c r="D287" s="375" t="s">
        <v>2150</v>
      </c>
      <c r="E287" s="371" t="s">
        <v>106</v>
      </c>
      <c r="F287" s="596">
        <v>4</v>
      </c>
      <c r="G287" s="596">
        <v>5</v>
      </c>
      <c r="H287" s="2268">
        <v>6</v>
      </c>
      <c r="I287" s="583">
        <f t="shared" si="22"/>
        <v>2.5539999999999998</v>
      </c>
      <c r="J287" s="583">
        <f t="shared" si="23"/>
        <v>2.5539999999999998</v>
      </c>
      <c r="K287" s="584"/>
      <c r="L287" s="584"/>
      <c r="M287" s="980"/>
      <c r="N287" s="584"/>
      <c r="O287" s="597"/>
      <c r="P287" s="584"/>
      <c r="Q287" s="910">
        <v>2.5539999999999998</v>
      </c>
      <c r="R287" s="901"/>
      <c r="S287" s="586"/>
      <c r="T287" s="590"/>
      <c r="U287" s="586"/>
      <c r="V287" s="586"/>
      <c r="W287" s="2426">
        <v>7</v>
      </c>
      <c r="X287" s="2427">
        <v>106.06</v>
      </c>
      <c r="Y287" s="1679">
        <v>5</v>
      </c>
      <c r="Z287" s="1791">
        <v>76</v>
      </c>
      <c r="AB287" s="78">
        <v>1</v>
      </c>
      <c r="AE287" s="2461"/>
      <c r="AF287" s="68"/>
      <c r="AI287" s="2475"/>
    </row>
    <row r="288" spans="1:35" ht="30.5" x14ac:dyDescent="0.35">
      <c r="A288" s="525">
        <v>133</v>
      </c>
      <c r="B288" s="1035">
        <v>10553</v>
      </c>
      <c r="C288" s="1035"/>
      <c r="D288" s="2465" t="s">
        <v>4693</v>
      </c>
      <c r="E288" s="371" t="s">
        <v>7676</v>
      </c>
      <c r="F288" s="596">
        <v>5</v>
      </c>
      <c r="G288" s="596">
        <v>5</v>
      </c>
      <c r="H288" s="2268">
        <v>6</v>
      </c>
      <c r="I288" s="583">
        <f t="shared" si="22"/>
        <v>1.0720000000000001</v>
      </c>
      <c r="J288" s="583">
        <f t="shared" si="23"/>
        <v>1.0720000000000001</v>
      </c>
      <c r="K288" s="584"/>
      <c r="L288" s="584"/>
      <c r="M288" s="980"/>
      <c r="N288" s="583"/>
      <c r="O288" s="597"/>
      <c r="P288" s="584"/>
      <c r="Q288" s="908">
        <v>1.0720000000000001</v>
      </c>
      <c r="R288" s="903"/>
      <c r="S288" s="586"/>
      <c r="T288" s="590"/>
      <c r="U288" s="586"/>
      <c r="V288" s="586"/>
      <c r="W288" s="2426">
        <v>2</v>
      </c>
      <c r="X288" s="2427">
        <v>24.03</v>
      </c>
      <c r="Y288" s="1679"/>
      <c r="Z288" s="1791"/>
      <c r="AB288" s="78">
        <v>1</v>
      </c>
      <c r="AE288" s="2461"/>
      <c r="AF288" s="68"/>
      <c r="AI288" s="2475"/>
    </row>
    <row r="289" spans="1:35" ht="30.5" x14ac:dyDescent="0.35">
      <c r="A289" s="1593">
        <v>134</v>
      </c>
      <c r="B289" s="1102">
        <v>10554</v>
      </c>
      <c r="C289" s="1102"/>
      <c r="D289" s="375" t="s">
        <v>2151</v>
      </c>
      <c r="E289" s="371" t="s">
        <v>9530</v>
      </c>
      <c r="F289" s="596">
        <v>5</v>
      </c>
      <c r="G289" s="596">
        <v>5</v>
      </c>
      <c r="H289" s="2268">
        <v>6</v>
      </c>
      <c r="I289" s="583">
        <f t="shared" si="22"/>
        <v>8.5540000000000003</v>
      </c>
      <c r="J289" s="583">
        <f t="shared" si="23"/>
        <v>8.5540000000000003</v>
      </c>
      <c r="K289" s="584"/>
      <c r="L289" s="584"/>
      <c r="M289" s="980"/>
      <c r="N289" s="583">
        <v>8.5540000000000003</v>
      </c>
      <c r="O289" s="597"/>
      <c r="P289" s="584"/>
      <c r="Q289" s="908"/>
      <c r="R289" s="901"/>
      <c r="S289" s="586"/>
      <c r="T289" s="590"/>
      <c r="U289" s="586"/>
      <c r="V289" s="586"/>
      <c r="W289" s="2426">
        <v>10</v>
      </c>
      <c r="X289" s="2427">
        <v>114.5</v>
      </c>
      <c r="Y289" s="1679">
        <v>1</v>
      </c>
      <c r="Z289" s="1791">
        <v>10</v>
      </c>
      <c r="AB289" s="78">
        <v>1</v>
      </c>
      <c r="AE289" s="2461"/>
      <c r="AF289" s="68"/>
      <c r="AI289" s="2475"/>
    </row>
    <row r="290" spans="1:35" ht="45.5" x14ac:dyDescent="0.35">
      <c r="A290" s="525">
        <v>135</v>
      </c>
      <c r="B290" s="1035">
        <v>10554</v>
      </c>
      <c r="C290" s="1035"/>
      <c r="D290" s="2465" t="s">
        <v>4694</v>
      </c>
      <c r="E290" s="371" t="s">
        <v>9531</v>
      </c>
      <c r="F290" s="596" t="s">
        <v>664</v>
      </c>
      <c r="G290" s="596">
        <v>5</v>
      </c>
      <c r="H290" s="2268">
        <v>6</v>
      </c>
      <c r="I290" s="583">
        <f t="shared" si="22"/>
        <v>0.5</v>
      </c>
      <c r="J290" s="583">
        <f t="shared" si="23"/>
        <v>0.5</v>
      </c>
      <c r="K290" s="584"/>
      <c r="L290" s="584"/>
      <c r="M290" s="980"/>
      <c r="N290" s="583"/>
      <c r="O290" s="597"/>
      <c r="P290" s="584"/>
      <c r="Q290" s="908"/>
      <c r="R290" s="903">
        <v>0.5</v>
      </c>
      <c r="S290" s="586"/>
      <c r="T290" s="590"/>
      <c r="U290" s="586"/>
      <c r="V290" s="586"/>
      <c r="W290" s="2426"/>
      <c r="X290" s="2427"/>
      <c r="Y290" s="1679"/>
      <c r="Z290" s="1791"/>
      <c r="AB290" s="78">
        <v>1</v>
      </c>
      <c r="AE290" s="2461"/>
      <c r="AF290" s="68"/>
      <c r="AI290" s="2475"/>
    </row>
    <row r="291" spans="1:35" ht="60.5" x14ac:dyDescent="0.35">
      <c r="A291" s="1593">
        <v>136</v>
      </c>
      <c r="B291" s="375">
        <v>10554</v>
      </c>
      <c r="C291" s="358" t="s">
        <v>1656</v>
      </c>
      <c r="D291" s="2465" t="s">
        <v>4695</v>
      </c>
      <c r="E291" s="372" t="s">
        <v>9532</v>
      </c>
      <c r="F291" s="591"/>
      <c r="G291" s="596"/>
      <c r="H291" s="2268" t="s">
        <v>191</v>
      </c>
      <c r="I291" s="297">
        <f>J291+K291+L291</f>
        <v>0.55100000000000005</v>
      </c>
      <c r="J291" s="297">
        <f>SUM(M291:R291)</f>
        <v>0.35100000000000003</v>
      </c>
      <c r="K291" s="588"/>
      <c r="L291" s="584">
        <f>SUM(L292:L293)</f>
        <v>0.2</v>
      </c>
      <c r="M291" s="981"/>
      <c r="N291" s="2364"/>
      <c r="O291" s="2365"/>
      <c r="P291" s="2364"/>
      <c r="Q291" s="1792"/>
      <c r="R291" s="2366">
        <f>SUM(R292:R293)</f>
        <v>0.35100000000000003</v>
      </c>
      <c r="S291" s="586"/>
      <c r="T291" s="590"/>
      <c r="U291" s="586"/>
      <c r="V291" s="586"/>
      <c r="W291" s="1679"/>
      <c r="X291" s="1678"/>
      <c r="Y291" s="1679"/>
      <c r="Z291" s="1791"/>
      <c r="AB291" s="78">
        <v>1</v>
      </c>
      <c r="AE291" s="2461"/>
      <c r="AF291" s="68"/>
      <c r="AI291" s="2475"/>
    </row>
    <row r="292" spans="1:35" ht="31" x14ac:dyDescent="0.35">
      <c r="A292" s="1593"/>
      <c r="B292" s="1102"/>
      <c r="C292" s="1024"/>
      <c r="D292" s="2465"/>
      <c r="E292" s="289" t="s">
        <v>8425</v>
      </c>
      <c r="F292" s="591" t="s">
        <v>664</v>
      </c>
      <c r="G292" s="596">
        <v>5</v>
      </c>
      <c r="H292" s="2268" t="s">
        <v>191</v>
      </c>
      <c r="I292" s="298"/>
      <c r="J292" s="298"/>
      <c r="K292" s="588"/>
      <c r="L292" s="588">
        <v>0.2</v>
      </c>
      <c r="M292" s="981"/>
      <c r="N292" s="588"/>
      <c r="O292" s="915"/>
      <c r="P292" s="588"/>
      <c r="Q292" s="909"/>
      <c r="R292" s="902"/>
      <c r="S292" s="586"/>
      <c r="T292" s="590"/>
      <c r="U292" s="586"/>
      <c r="V292" s="586"/>
      <c r="W292" s="1679"/>
      <c r="X292" s="1678"/>
      <c r="Y292" s="1679"/>
      <c r="Z292" s="1791"/>
      <c r="AE292" s="2461"/>
      <c r="AF292" s="68"/>
      <c r="AI292" s="2475"/>
    </row>
    <row r="293" spans="1:35" ht="15.5" x14ac:dyDescent="0.35">
      <c r="A293" s="1593"/>
      <c r="B293" s="1102"/>
      <c r="C293" s="1024"/>
      <c r="D293" s="2465"/>
      <c r="E293" s="2280" t="s">
        <v>7023</v>
      </c>
      <c r="F293" s="591" t="s">
        <v>664</v>
      </c>
      <c r="G293" s="596">
        <v>5</v>
      </c>
      <c r="H293" s="2268">
        <v>6</v>
      </c>
      <c r="I293" s="298"/>
      <c r="J293" s="298"/>
      <c r="K293" s="588"/>
      <c r="L293" s="588"/>
      <c r="M293" s="981"/>
      <c r="N293" s="588"/>
      <c r="O293" s="915"/>
      <c r="P293" s="588"/>
      <c r="Q293" s="909"/>
      <c r="R293" s="902">
        <f>0.551-0.2</f>
        <v>0.35100000000000003</v>
      </c>
      <c r="S293" s="586"/>
      <c r="T293" s="590"/>
      <c r="U293" s="586"/>
      <c r="V293" s="586"/>
      <c r="W293" s="1679"/>
      <c r="X293" s="1678"/>
      <c r="Y293" s="1679"/>
      <c r="Z293" s="1791"/>
      <c r="AE293" s="2461"/>
      <c r="AF293" s="68"/>
      <c r="AI293" s="2475"/>
    </row>
    <row r="294" spans="1:35" ht="15.5" x14ac:dyDescent="0.35">
      <c r="A294" s="525">
        <v>137</v>
      </c>
      <c r="B294" s="1102">
        <v>10555</v>
      </c>
      <c r="C294" s="1102"/>
      <c r="D294" s="375" t="s">
        <v>1611</v>
      </c>
      <c r="E294" s="371" t="s">
        <v>107</v>
      </c>
      <c r="F294" s="596">
        <v>5</v>
      </c>
      <c r="G294" s="596">
        <v>5</v>
      </c>
      <c r="H294" s="2268">
        <v>6</v>
      </c>
      <c r="I294" s="583">
        <f t="shared" si="22"/>
        <v>2.6869999999999998</v>
      </c>
      <c r="J294" s="583">
        <f t="shared" si="23"/>
        <v>2.6869999999999998</v>
      </c>
      <c r="K294" s="584"/>
      <c r="L294" s="584"/>
      <c r="M294" s="980"/>
      <c r="N294" s="583">
        <v>2.6869999999999998</v>
      </c>
      <c r="O294" s="597"/>
      <c r="P294" s="584"/>
      <c r="Q294" s="908"/>
      <c r="R294" s="901"/>
      <c r="S294" s="586"/>
      <c r="T294" s="590"/>
      <c r="U294" s="586"/>
      <c r="V294" s="586"/>
      <c r="W294" s="2426">
        <v>2</v>
      </c>
      <c r="X294" s="2427">
        <v>20.100000000000001</v>
      </c>
      <c r="Y294" s="1679">
        <v>1</v>
      </c>
      <c r="Z294" s="1791">
        <v>10</v>
      </c>
      <c r="AB294" s="78">
        <v>1</v>
      </c>
      <c r="AE294" s="2461"/>
      <c r="AF294" s="68"/>
      <c r="AI294" s="2475"/>
    </row>
    <row r="295" spans="1:35" ht="30.5" x14ac:dyDescent="0.35">
      <c r="A295" s="1593">
        <v>138</v>
      </c>
      <c r="B295" s="375">
        <v>10555</v>
      </c>
      <c r="C295" s="358" t="s">
        <v>1656</v>
      </c>
      <c r="D295" s="2465" t="s">
        <v>4696</v>
      </c>
      <c r="E295" s="372" t="s">
        <v>8426</v>
      </c>
      <c r="F295" s="596" t="s">
        <v>664</v>
      </c>
      <c r="G295" s="596">
        <v>5</v>
      </c>
      <c r="H295" s="2268">
        <v>6</v>
      </c>
      <c r="I295" s="297">
        <f>J295+K295+L295</f>
        <v>0.42000000000000004</v>
      </c>
      <c r="J295" s="297">
        <f>SUM(M295:R295)</f>
        <v>0.42000000000000004</v>
      </c>
      <c r="K295" s="584"/>
      <c r="L295" s="583"/>
      <c r="M295" s="980"/>
      <c r="N295" s="583"/>
      <c r="O295" s="597"/>
      <c r="P295" s="584"/>
      <c r="Q295" s="910"/>
      <c r="R295" s="903">
        <f>0.258+0.162</f>
        <v>0.42000000000000004</v>
      </c>
      <c r="S295" s="586"/>
      <c r="T295" s="590"/>
      <c r="U295" s="586"/>
      <c r="V295" s="586"/>
      <c r="W295" s="2426"/>
      <c r="X295" s="2427"/>
      <c r="Y295" s="1679"/>
      <c r="Z295" s="1791"/>
      <c r="AB295" s="78">
        <v>1</v>
      </c>
      <c r="AE295" s="2461"/>
      <c r="AF295" s="68"/>
      <c r="AI295" s="2475"/>
    </row>
    <row r="296" spans="1:35" ht="30.5" x14ac:dyDescent="0.35">
      <c r="A296" s="525">
        <v>139</v>
      </c>
      <c r="B296" s="1102">
        <v>10556</v>
      </c>
      <c r="C296" s="1102"/>
      <c r="D296" s="375" t="s">
        <v>1801</v>
      </c>
      <c r="E296" s="371" t="s">
        <v>9533</v>
      </c>
      <c r="F296" s="596">
        <v>5</v>
      </c>
      <c r="G296" s="596">
        <v>5</v>
      </c>
      <c r="H296" s="2268">
        <v>6</v>
      </c>
      <c r="I296" s="583">
        <f t="shared" si="22"/>
        <v>1.5</v>
      </c>
      <c r="J296" s="583">
        <f t="shared" si="23"/>
        <v>1.5</v>
      </c>
      <c r="K296" s="584"/>
      <c r="L296" s="584"/>
      <c r="M296" s="980"/>
      <c r="N296" s="583">
        <v>1.5</v>
      </c>
      <c r="O296" s="597"/>
      <c r="P296" s="584"/>
      <c r="Q296" s="908"/>
      <c r="R296" s="901"/>
      <c r="S296" s="586"/>
      <c r="T296" s="590"/>
      <c r="U296" s="586"/>
      <c r="V296" s="586"/>
      <c r="W296" s="2426"/>
      <c r="X296" s="2427"/>
      <c r="Y296" s="1679"/>
      <c r="Z296" s="1791"/>
      <c r="AB296" s="78">
        <v>1</v>
      </c>
      <c r="AE296" s="2461"/>
      <c r="AF296" s="68"/>
      <c r="AI296" s="2475"/>
    </row>
    <row r="297" spans="1:35" ht="60.5" x14ac:dyDescent="0.35">
      <c r="A297" s="1593">
        <v>140</v>
      </c>
      <c r="B297" s="375">
        <v>10527</v>
      </c>
      <c r="C297" s="358" t="s">
        <v>1656</v>
      </c>
      <c r="D297" s="2465" t="s">
        <v>4604</v>
      </c>
      <c r="E297" s="372" t="s">
        <v>9534</v>
      </c>
      <c r="F297" s="2268" t="s">
        <v>664</v>
      </c>
      <c r="G297" s="596">
        <v>5</v>
      </c>
      <c r="H297" s="2268">
        <v>6</v>
      </c>
      <c r="I297" s="297">
        <f>J297+K297+L297</f>
        <v>2.101</v>
      </c>
      <c r="J297" s="297">
        <f>SUM(M297:R297)</f>
        <v>2.101</v>
      </c>
      <c r="K297" s="588"/>
      <c r="L297" s="588"/>
      <c r="M297" s="981"/>
      <c r="N297" s="1794"/>
      <c r="O297" s="2365"/>
      <c r="P297" s="2364"/>
      <c r="Q297" s="1792"/>
      <c r="R297" s="2367">
        <f>1.664+0.118+0.319</f>
        <v>2.101</v>
      </c>
      <c r="S297" s="586"/>
      <c r="T297" s="590"/>
      <c r="U297" s="586"/>
      <c r="V297" s="586"/>
      <c r="W297" s="2426"/>
      <c r="X297" s="2427"/>
      <c r="Y297" s="1679"/>
      <c r="Z297" s="1791"/>
      <c r="AB297" s="78">
        <v>1</v>
      </c>
      <c r="AE297" s="2461"/>
      <c r="AF297" s="68"/>
      <c r="AI297" s="2475"/>
    </row>
    <row r="298" spans="1:35" ht="30.5" x14ac:dyDescent="0.35">
      <c r="A298" s="525">
        <v>141</v>
      </c>
      <c r="B298" s="1102">
        <v>10557</v>
      </c>
      <c r="C298" s="1102"/>
      <c r="D298" s="375" t="s">
        <v>2365</v>
      </c>
      <c r="E298" s="371" t="s">
        <v>1740</v>
      </c>
      <c r="F298" s="596"/>
      <c r="G298" s="596"/>
      <c r="H298" s="2268" t="s">
        <v>191</v>
      </c>
      <c r="I298" s="583">
        <f t="shared" si="22"/>
        <v>6.7460000000000004</v>
      </c>
      <c r="J298" s="583">
        <f t="shared" si="23"/>
        <v>6.7460000000000004</v>
      </c>
      <c r="K298" s="584"/>
      <c r="L298" s="584"/>
      <c r="M298" s="980"/>
      <c r="N298" s="584"/>
      <c r="O298" s="597"/>
      <c r="P298" s="584"/>
      <c r="Q298" s="910">
        <f>SUM(Q299:Q301)</f>
        <v>6.7460000000000004</v>
      </c>
      <c r="R298" s="901"/>
      <c r="S298" s="586"/>
      <c r="T298" s="590"/>
      <c r="U298" s="582"/>
      <c r="V298" s="582"/>
      <c r="W298" s="2426">
        <v>16</v>
      </c>
      <c r="X298" s="2427">
        <v>233.71</v>
      </c>
      <c r="Y298" s="1679">
        <v>2</v>
      </c>
      <c r="Z298" s="1791">
        <v>20</v>
      </c>
      <c r="AB298" s="78">
        <v>1</v>
      </c>
      <c r="AE298" s="2461"/>
      <c r="AF298" s="68"/>
      <c r="AI298" s="2475"/>
    </row>
    <row r="299" spans="1:35" ht="15.5" x14ac:dyDescent="0.35">
      <c r="A299" s="605"/>
      <c r="B299" s="1102">
        <v>10557</v>
      </c>
      <c r="C299" s="1102"/>
      <c r="D299" s="377"/>
      <c r="E299" s="1583" t="s">
        <v>430</v>
      </c>
      <c r="F299" s="596" t="s">
        <v>827</v>
      </c>
      <c r="G299" s="596">
        <v>5</v>
      </c>
      <c r="H299" s="2268">
        <v>6</v>
      </c>
      <c r="I299" s="589"/>
      <c r="J299" s="589"/>
      <c r="K299" s="588"/>
      <c r="L299" s="588"/>
      <c r="M299" s="981"/>
      <c r="N299" s="588"/>
      <c r="O299" s="915"/>
      <c r="P299" s="588"/>
      <c r="Q299" s="911">
        <v>1.9</v>
      </c>
      <c r="R299" s="902"/>
      <c r="S299" s="586"/>
      <c r="T299" s="590"/>
      <c r="U299" s="582"/>
      <c r="V299" s="582"/>
      <c r="W299" s="2426"/>
      <c r="X299" s="2427"/>
      <c r="Y299" s="1679"/>
      <c r="Z299" s="1791"/>
      <c r="AE299" s="2461"/>
      <c r="AF299" s="68"/>
    </row>
    <row r="300" spans="1:35" ht="15.5" x14ac:dyDescent="0.35">
      <c r="A300" s="605"/>
      <c r="B300" s="1102"/>
      <c r="C300" s="1102"/>
      <c r="D300" s="377"/>
      <c r="E300" s="1583" t="s">
        <v>3550</v>
      </c>
      <c r="F300" s="596">
        <v>5</v>
      </c>
      <c r="G300" s="596">
        <v>5</v>
      </c>
      <c r="H300" s="2268">
        <v>6</v>
      </c>
      <c r="I300" s="589"/>
      <c r="J300" s="589"/>
      <c r="K300" s="588"/>
      <c r="L300" s="588"/>
      <c r="M300" s="981"/>
      <c r="N300" s="588"/>
      <c r="O300" s="915"/>
      <c r="P300" s="588"/>
      <c r="Q300" s="911">
        <f>6.5-1.9</f>
        <v>4.5999999999999996</v>
      </c>
      <c r="R300" s="902"/>
      <c r="S300" s="586"/>
      <c r="T300" s="590"/>
      <c r="U300" s="582"/>
      <c r="V300" s="582"/>
      <c r="W300" s="2426"/>
      <c r="X300" s="2427"/>
      <c r="Y300" s="1679"/>
      <c r="Z300" s="1791"/>
      <c r="AE300" s="2461"/>
      <c r="AF300" s="68"/>
    </row>
    <row r="301" spans="1:35" ht="15.5" x14ac:dyDescent="0.35">
      <c r="A301" s="605"/>
      <c r="B301" s="1102">
        <v>10557</v>
      </c>
      <c r="C301" s="1102"/>
      <c r="D301" s="377"/>
      <c r="E301" s="1583" t="s">
        <v>3551</v>
      </c>
      <c r="F301" s="596" t="s">
        <v>827</v>
      </c>
      <c r="G301" s="596">
        <v>5</v>
      </c>
      <c r="H301" s="2268">
        <v>6</v>
      </c>
      <c r="I301" s="589"/>
      <c r="J301" s="589"/>
      <c r="K301" s="588"/>
      <c r="L301" s="588"/>
      <c r="M301" s="981"/>
      <c r="N301" s="588"/>
      <c r="O301" s="915"/>
      <c r="P301" s="588"/>
      <c r="Q301" s="911">
        <f>6.746-6.5</f>
        <v>0.24600000000000044</v>
      </c>
      <c r="R301" s="902"/>
      <c r="S301" s="586"/>
      <c r="T301" s="590"/>
      <c r="U301" s="582"/>
      <c r="V301" s="582"/>
      <c r="W301" s="2426"/>
      <c r="X301" s="2427"/>
      <c r="Y301" s="1679"/>
      <c r="Z301" s="1791"/>
      <c r="AE301" s="2461"/>
      <c r="AF301" s="68"/>
    </row>
    <row r="302" spans="1:35" ht="45.5" x14ac:dyDescent="0.35">
      <c r="A302" s="603">
        <v>142</v>
      </c>
      <c r="B302" s="1102">
        <v>10557</v>
      </c>
      <c r="C302" s="1099" t="s">
        <v>1656</v>
      </c>
      <c r="D302" s="2465" t="s">
        <v>4697</v>
      </c>
      <c r="E302" s="371" t="s">
        <v>8427</v>
      </c>
      <c r="F302" s="2268">
        <v>5</v>
      </c>
      <c r="G302" s="2268">
        <v>5</v>
      </c>
      <c r="H302" s="2268">
        <v>6</v>
      </c>
      <c r="I302" s="583">
        <f>J302+K302+L302</f>
        <v>0.3</v>
      </c>
      <c r="J302" s="1794">
        <v>0.3</v>
      </c>
      <c r="K302" s="588"/>
      <c r="L302" s="588"/>
      <c r="M302" s="981"/>
      <c r="N302" s="588"/>
      <c r="O302" s="915"/>
      <c r="P302" s="588"/>
      <c r="Q302" s="1795">
        <v>0.3</v>
      </c>
      <c r="R302" s="902"/>
      <c r="S302" s="586"/>
      <c r="T302" s="590"/>
      <c r="U302" s="582"/>
      <c r="V302" s="582"/>
      <c r="W302" s="2426"/>
      <c r="X302" s="2427"/>
      <c r="Y302" s="1679"/>
      <c r="Z302" s="1791"/>
      <c r="AB302" s="78">
        <v>1</v>
      </c>
      <c r="AE302" s="2461"/>
      <c r="AF302" s="68"/>
      <c r="AI302" s="2475"/>
    </row>
    <row r="303" spans="1:35" ht="30.5" x14ac:dyDescent="0.35">
      <c r="A303" s="603">
        <v>143</v>
      </c>
      <c r="B303" s="1102">
        <v>10558</v>
      </c>
      <c r="C303" s="1102"/>
      <c r="D303" s="375" t="s">
        <v>2366</v>
      </c>
      <c r="E303" s="371" t="s">
        <v>9535</v>
      </c>
      <c r="F303" s="596"/>
      <c r="G303" s="596"/>
      <c r="H303" s="2268" t="s">
        <v>191</v>
      </c>
      <c r="I303" s="583">
        <f>J303+K303+L303</f>
        <v>3.2</v>
      </c>
      <c r="J303" s="583">
        <f>SUM(M303:R303)</f>
        <v>3.2</v>
      </c>
      <c r="K303" s="584"/>
      <c r="L303" s="584"/>
      <c r="M303" s="980"/>
      <c r="N303" s="584"/>
      <c r="O303" s="597"/>
      <c r="P303" s="584"/>
      <c r="Q303" s="910">
        <f>SUM(Q304:Q305)</f>
        <v>2.7</v>
      </c>
      <c r="R303" s="903">
        <f>SUM(R304:R305)</f>
        <v>0.5</v>
      </c>
      <c r="S303" s="586"/>
      <c r="T303" s="590"/>
      <c r="U303" s="586"/>
      <c r="V303" s="586"/>
      <c r="W303" s="2426">
        <v>4</v>
      </c>
      <c r="X303" s="2427">
        <v>45</v>
      </c>
      <c r="Y303" s="1679"/>
      <c r="Z303" s="1791"/>
      <c r="AB303" s="78">
        <v>1</v>
      </c>
      <c r="AE303" s="2461"/>
      <c r="AF303" s="68"/>
      <c r="AI303" s="2475"/>
    </row>
    <row r="304" spans="1:35" ht="15.5" x14ac:dyDescent="0.35">
      <c r="A304" s="605"/>
      <c r="B304" s="1102">
        <v>10558</v>
      </c>
      <c r="C304" s="1102"/>
      <c r="D304" s="377"/>
      <c r="E304" s="1583" t="s">
        <v>3357</v>
      </c>
      <c r="F304" s="596">
        <v>5</v>
      </c>
      <c r="G304" s="596">
        <v>5</v>
      </c>
      <c r="H304" s="2268">
        <v>6</v>
      </c>
      <c r="I304" s="589"/>
      <c r="J304" s="589"/>
      <c r="K304" s="588"/>
      <c r="L304" s="588"/>
      <c r="M304" s="981"/>
      <c r="N304" s="588"/>
      <c r="O304" s="915"/>
      <c r="P304" s="588"/>
      <c r="Q304" s="911">
        <v>2.7</v>
      </c>
      <c r="R304" s="904"/>
      <c r="S304" s="586"/>
      <c r="T304" s="590"/>
      <c r="U304" s="586"/>
      <c r="V304" s="586"/>
      <c r="W304" s="2426"/>
      <c r="X304" s="2427"/>
      <c r="Y304" s="1679"/>
      <c r="Z304" s="1791"/>
      <c r="AE304" s="2461"/>
      <c r="AF304" s="68"/>
    </row>
    <row r="305" spans="1:35" ht="15.5" x14ac:dyDescent="0.35">
      <c r="A305" s="605"/>
      <c r="B305" s="1102">
        <v>10558</v>
      </c>
      <c r="C305" s="1102"/>
      <c r="D305" s="377"/>
      <c r="E305" s="1585" t="s">
        <v>523</v>
      </c>
      <c r="F305" s="596">
        <v>5</v>
      </c>
      <c r="G305" s="596">
        <v>5</v>
      </c>
      <c r="H305" s="2268">
        <v>6</v>
      </c>
      <c r="I305" s="589"/>
      <c r="J305" s="589"/>
      <c r="K305" s="588"/>
      <c r="L305" s="588"/>
      <c r="M305" s="981"/>
      <c r="N305" s="588"/>
      <c r="O305" s="915"/>
      <c r="P305" s="588"/>
      <c r="Q305" s="911"/>
      <c r="R305" s="904">
        <v>0.5</v>
      </c>
      <c r="S305" s="586"/>
      <c r="T305" s="590"/>
      <c r="U305" s="586"/>
      <c r="V305" s="586"/>
      <c r="W305" s="2426"/>
      <c r="X305" s="2427"/>
      <c r="Y305" s="1679"/>
      <c r="Z305" s="1791"/>
      <c r="AE305" s="2461"/>
      <c r="AF305" s="68"/>
    </row>
    <row r="306" spans="1:35" ht="45.5" x14ac:dyDescent="0.35">
      <c r="A306" s="1593">
        <v>144</v>
      </c>
      <c r="B306" s="1099">
        <v>10558</v>
      </c>
      <c r="C306" s="358" t="s">
        <v>1656</v>
      </c>
      <c r="D306" s="2465" t="s">
        <v>4698</v>
      </c>
      <c r="E306" s="372" t="s">
        <v>9805</v>
      </c>
      <c r="F306" s="596" t="s">
        <v>664</v>
      </c>
      <c r="G306" s="596">
        <v>5</v>
      </c>
      <c r="H306" s="2268">
        <v>6</v>
      </c>
      <c r="I306" s="297">
        <f>J306+K306+L306</f>
        <v>0.19600000000000001</v>
      </c>
      <c r="J306" s="297">
        <f>SUM(M306:R306)</f>
        <v>0.19600000000000001</v>
      </c>
      <c r="K306" s="598"/>
      <c r="L306" s="598"/>
      <c r="M306" s="2204"/>
      <c r="N306" s="2203"/>
      <c r="O306" s="2205"/>
      <c r="P306" s="2203"/>
      <c r="Q306" s="2206"/>
      <c r="R306" s="2207">
        <v>0.19600000000000001</v>
      </c>
      <c r="S306" s="600"/>
      <c r="T306" s="600"/>
      <c r="U306" s="600"/>
      <c r="V306" s="600"/>
      <c r="W306" s="1676"/>
      <c r="X306" s="1789"/>
      <c r="Y306" s="1676"/>
      <c r="Z306" s="1790"/>
      <c r="AB306" s="78">
        <v>1</v>
      </c>
      <c r="AE306" s="2461"/>
      <c r="AF306" s="68"/>
      <c r="AI306" s="2475"/>
    </row>
    <row r="307" spans="1:35" ht="60.5" x14ac:dyDescent="0.35">
      <c r="A307" s="603">
        <v>145</v>
      </c>
      <c r="B307" s="1102">
        <v>10559</v>
      </c>
      <c r="C307" s="1102"/>
      <c r="D307" s="375" t="s">
        <v>2367</v>
      </c>
      <c r="E307" s="371" t="s">
        <v>11273</v>
      </c>
      <c r="F307" s="596"/>
      <c r="G307" s="596"/>
      <c r="H307" s="2268" t="s">
        <v>191</v>
      </c>
      <c r="I307" s="583">
        <f>J307+K307+L307</f>
        <v>6.87</v>
      </c>
      <c r="J307" s="583">
        <f>SUM(M307:R307)</f>
        <v>6.87</v>
      </c>
      <c r="K307" s="584"/>
      <c r="L307" s="584"/>
      <c r="M307" s="980"/>
      <c r="N307" s="584">
        <f>SUM(N308:N311)</f>
        <v>2.4E-2</v>
      </c>
      <c r="O307" s="597"/>
      <c r="P307" s="584"/>
      <c r="Q307" s="910">
        <f>SUM(Q308:Q311)</f>
        <v>6.2140000000000004</v>
      </c>
      <c r="R307" s="903">
        <f>SUM(R308:R311)</f>
        <v>0.63199999999999967</v>
      </c>
      <c r="S307" s="586"/>
      <c r="T307" s="590"/>
      <c r="U307" s="586"/>
      <c r="V307" s="586"/>
      <c r="W307" s="2426">
        <v>3</v>
      </c>
      <c r="X307" s="2427">
        <v>40.6</v>
      </c>
      <c r="Y307" s="1679"/>
      <c r="Z307" s="1791"/>
      <c r="AB307" s="78">
        <v>1</v>
      </c>
      <c r="AE307" s="2461"/>
      <c r="AF307" s="68"/>
      <c r="AI307" s="2475"/>
    </row>
    <row r="308" spans="1:35" ht="15.5" x14ac:dyDescent="0.35">
      <c r="A308" s="603"/>
      <c r="B308" s="1102"/>
      <c r="C308" s="1102"/>
      <c r="D308" s="375"/>
      <c r="E308" s="610" t="s">
        <v>747</v>
      </c>
      <c r="F308" s="2268">
        <v>5</v>
      </c>
      <c r="G308" s="2268">
        <v>5</v>
      </c>
      <c r="H308" s="2268">
        <v>6</v>
      </c>
      <c r="I308" s="594"/>
      <c r="J308" s="594"/>
      <c r="K308" s="595"/>
      <c r="L308" s="595"/>
      <c r="M308" s="982"/>
      <c r="N308" s="595">
        <v>2.4E-2</v>
      </c>
      <c r="O308" s="917"/>
      <c r="P308" s="595"/>
      <c r="Q308" s="2409"/>
      <c r="R308" s="2269"/>
      <c r="S308" s="586"/>
      <c r="T308" s="590"/>
      <c r="U308" s="586"/>
      <c r="V308" s="586"/>
      <c r="W308" s="2426"/>
      <c r="X308" s="2427"/>
      <c r="Y308" s="1679"/>
      <c r="Z308" s="1791"/>
      <c r="AE308" s="2461"/>
      <c r="AF308" s="68"/>
    </row>
    <row r="309" spans="1:35" ht="15.5" x14ac:dyDescent="0.35">
      <c r="A309" s="605"/>
      <c r="B309" s="1102">
        <v>10559</v>
      </c>
      <c r="C309" s="1102"/>
      <c r="D309" s="377"/>
      <c r="E309" s="1583" t="s">
        <v>748</v>
      </c>
      <c r="F309" s="596">
        <v>5</v>
      </c>
      <c r="G309" s="596">
        <v>5</v>
      </c>
      <c r="H309" s="2268">
        <v>6</v>
      </c>
      <c r="I309" s="589"/>
      <c r="J309" s="589"/>
      <c r="K309" s="588"/>
      <c r="L309" s="588"/>
      <c r="M309" s="981"/>
      <c r="N309" s="588"/>
      <c r="O309" s="915"/>
      <c r="P309" s="588"/>
      <c r="Q309" s="911">
        <f>4.7-0.024</f>
        <v>4.6760000000000002</v>
      </c>
      <c r="R309" s="904"/>
      <c r="S309" s="586"/>
      <c r="T309" s="590"/>
      <c r="U309" s="586"/>
      <c r="V309" s="586"/>
      <c r="W309" s="2426"/>
      <c r="X309" s="2427"/>
      <c r="Y309" s="1679"/>
      <c r="Z309" s="1791"/>
      <c r="AE309" s="2461"/>
      <c r="AF309" s="68"/>
    </row>
    <row r="310" spans="1:35" ht="15.5" x14ac:dyDescent="0.35">
      <c r="A310" s="605"/>
      <c r="B310" s="1102"/>
      <c r="C310" s="1102"/>
      <c r="D310" s="377"/>
      <c r="E310" s="1583" t="s">
        <v>746</v>
      </c>
      <c r="F310" s="596" t="s">
        <v>1490</v>
      </c>
      <c r="G310" s="596">
        <v>5</v>
      </c>
      <c r="H310" s="2268">
        <v>6</v>
      </c>
      <c r="I310" s="589"/>
      <c r="J310" s="589"/>
      <c r="K310" s="588"/>
      <c r="L310" s="588"/>
      <c r="M310" s="981"/>
      <c r="N310" s="588"/>
      <c r="O310" s="915"/>
      <c r="P310" s="588"/>
      <c r="Q310" s="911">
        <f>6.238-4.7</f>
        <v>1.5380000000000003</v>
      </c>
      <c r="R310" s="904"/>
      <c r="S310" s="586"/>
      <c r="T310" s="590"/>
      <c r="U310" s="586"/>
      <c r="V310" s="586"/>
      <c r="W310" s="2426"/>
      <c r="X310" s="2427"/>
      <c r="Y310" s="1679"/>
      <c r="Z310" s="1791"/>
      <c r="AE310" s="2461"/>
      <c r="AF310" s="68"/>
    </row>
    <row r="311" spans="1:35" ht="15.5" x14ac:dyDescent="0.35">
      <c r="A311" s="605"/>
      <c r="B311" s="1102">
        <v>10559</v>
      </c>
      <c r="C311" s="1102"/>
      <c r="D311" s="377"/>
      <c r="E311" s="1585" t="s">
        <v>749</v>
      </c>
      <c r="F311" s="2268" t="s">
        <v>1490</v>
      </c>
      <c r="G311" s="596">
        <v>5</v>
      </c>
      <c r="H311" s="2268">
        <v>6</v>
      </c>
      <c r="I311" s="589"/>
      <c r="J311" s="589"/>
      <c r="K311" s="588"/>
      <c r="L311" s="588"/>
      <c r="M311" s="981"/>
      <c r="N311" s="588"/>
      <c r="O311" s="915"/>
      <c r="P311" s="588"/>
      <c r="Q311" s="911"/>
      <c r="R311" s="904">
        <f>6.87-6.238</f>
        <v>0.63199999999999967</v>
      </c>
      <c r="S311" s="586"/>
      <c r="T311" s="590"/>
      <c r="U311" s="586"/>
      <c r="V311" s="586"/>
      <c r="W311" s="2426"/>
      <c r="X311" s="2427"/>
      <c r="Y311" s="1679"/>
      <c r="Z311" s="1791"/>
      <c r="AE311" s="2461"/>
      <c r="AF311" s="68"/>
    </row>
    <row r="312" spans="1:35" ht="75.5" x14ac:dyDescent="0.35">
      <c r="A312" s="1593">
        <v>146</v>
      </c>
      <c r="B312" s="375">
        <v>10559</v>
      </c>
      <c r="C312" s="358" t="s">
        <v>1656</v>
      </c>
      <c r="D312" s="2465" t="s">
        <v>4699</v>
      </c>
      <c r="E312" s="372" t="s">
        <v>11274</v>
      </c>
      <c r="F312" s="596" t="s">
        <v>664</v>
      </c>
      <c r="G312" s="596">
        <v>5</v>
      </c>
      <c r="H312" s="2268">
        <v>6</v>
      </c>
      <c r="I312" s="297">
        <f>J312+K312+L312</f>
        <v>0.22</v>
      </c>
      <c r="J312" s="297">
        <f>SUM(M312:R312)</f>
        <v>0.22</v>
      </c>
      <c r="K312" s="588"/>
      <c r="L312" s="588"/>
      <c r="M312" s="981"/>
      <c r="N312" s="1794"/>
      <c r="O312" s="2365"/>
      <c r="P312" s="2364"/>
      <c r="Q312" s="1792"/>
      <c r="R312" s="2366">
        <v>0.22</v>
      </c>
      <c r="S312" s="582"/>
      <c r="T312" s="585"/>
      <c r="U312" s="586"/>
      <c r="V312" s="586"/>
      <c r="W312" s="2426"/>
      <c r="X312" s="2427"/>
      <c r="Y312" s="1679"/>
      <c r="Z312" s="1791"/>
      <c r="AB312" s="78">
        <v>1</v>
      </c>
      <c r="AE312" s="2461"/>
      <c r="AF312" s="68"/>
      <c r="AI312" s="2475"/>
    </row>
    <row r="313" spans="1:35" ht="75.5" x14ac:dyDescent="0.35">
      <c r="A313" s="1593">
        <v>147</v>
      </c>
      <c r="B313" s="375">
        <v>10559</v>
      </c>
      <c r="C313" s="358" t="s">
        <v>1656</v>
      </c>
      <c r="D313" s="2465" t="s">
        <v>4700</v>
      </c>
      <c r="E313" s="372" t="s">
        <v>11275</v>
      </c>
      <c r="F313" s="596" t="s">
        <v>664</v>
      </c>
      <c r="G313" s="596">
        <v>5</v>
      </c>
      <c r="H313" s="2268">
        <v>6</v>
      </c>
      <c r="I313" s="297">
        <f>J313+K313+L313</f>
        <v>0.15</v>
      </c>
      <c r="J313" s="297">
        <f>SUM(M313:R313)</f>
        <v>0.15</v>
      </c>
      <c r="K313" s="588"/>
      <c r="L313" s="588"/>
      <c r="M313" s="981"/>
      <c r="N313" s="1794"/>
      <c r="O313" s="2365"/>
      <c r="P313" s="2364"/>
      <c r="Q313" s="1792"/>
      <c r="R313" s="2366">
        <v>0.15</v>
      </c>
      <c r="S313" s="582"/>
      <c r="T313" s="585"/>
      <c r="U313" s="586"/>
      <c r="V313" s="586"/>
      <c r="W313" s="2426"/>
      <c r="X313" s="2427"/>
      <c r="Y313" s="1679"/>
      <c r="Z313" s="1791"/>
      <c r="AB313" s="78">
        <v>1</v>
      </c>
      <c r="AE313" s="2461"/>
      <c r="AF313" s="68"/>
      <c r="AI313" s="2475"/>
    </row>
    <row r="314" spans="1:35" ht="75.5" x14ac:dyDescent="0.35">
      <c r="A314" s="1593">
        <v>148</v>
      </c>
      <c r="B314" s="1100">
        <v>10559</v>
      </c>
      <c r="C314" s="358" t="s">
        <v>1656</v>
      </c>
      <c r="D314" s="2465" t="s">
        <v>4701</v>
      </c>
      <c r="E314" s="372" t="s">
        <v>11276</v>
      </c>
      <c r="F314" s="596"/>
      <c r="G314" s="596"/>
      <c r="H314" s="2268" t="s">
        <v>191</v>
      </c>
      <c r="I314" s="297">
        <f>J314+K314+L314</f>
        <v>1.5669999999999999</v>
      </c>
      <c r="J314" s="297">
        <f>SUM(M314:R314)</f>
        <v>0.31699999999999995</v>
      </c>
      <c r="K314" s="584"/>
      <c r="L314" s="584">
        <f>SUM(L315:L316)</f>
        <v>1.25</v>
      </c>
      <c r="M314" s="980"/>
      <c r="N314" s="583"/>
      <c r="O314" s="597"/>
      <c r="P314" s="584"/>
      <c r="Q314" s="908"/>
      <c r="R314" s="903">
        <f>SUM(R315:R316)</f>
        <v>0.31699999999999995</v>
      </c>
      <c r="S314" s="586"/>
      <c r="T314" s="590"/>
      <c r="U314" s="586"/>
      <c r="V314" s="586"/>
      <c r="W314" s="2426"/>
      <c r="X314" s="2427"/>
      <c r="Y314" s="1679"/>
      <c r="Z314" s="1791"/>
      <c r="AB314" s="78">
        <v>1</v>
      </c>
      <c r="AE314" s="2461"/>
      <c r="AF314" s="68"/>
      <c r="AI314" s="2475"/>
    </row>
    <row r="315" spans="1:35" ht="31" x14ac:dyDescent="0.35">
      <c r="A315" s="1593"/>
      <c r="B315" s="1035"/>
      <c r="C315" s="1024"/>
      <c r="D315" s="2465"/>
      <c r="E315" s="459" t="s">
        <v>10999</v>
      </c>
      <c r="F315" s="596" t="s">
        <v>664</v>
      </c>
      <c r="G315" s="596">
        <v>5</v>
      </c>
      <c r="H315" s="2268" t="s">
        <v>191</v>
      </c>
      <c r="I315" s="298"/>
      <c r="J315" s="298"/>
      <c r="K315" s="595"/>
      <c r="L315" s="595">
        <v>1.25</v>
      </c>
      <c r="M315" s="982"/>
      <c r="N315" s="594"/>
      <c r="O315" s="917"/>
      <c r="P315" s="595"/>
      <c r="Q315" s="912"/>
      <c r="R315" s="2269"/>
      <c r="S315" s="586"/>
      <c r="T315" s="590"/>
      <c r="U315" s="586"/>
      <c r="V315" s="586"/>
      <c r="W315" s="2426"/>
      <c r="X315" s="2427"/>
      <c r="Y315" s="1679"/>
      <c r="Z315" s="1791"/>
      <c r="AE315" s="2461"/>
      <c r="AF315" s="68"/>
      <c r="AI315" s="2475"/>
    </row>
    <row r="316" spans="1:35" ht="15.5" x14ac:dyDescent="0.35">
      <c r="A316" s="1593"/>
      <c r="B316" s="1035"/>
      <c r="C316" s="1024"/>
      <c r="D316" s="2465"/>
      <c r="E316" s="2280" t="s">
        <v>7024</v>
      </c>
      <c r="F316" s="596" t="s">
        <v>664</v>
      </c>
      <c r="G316" s="596">
        <v>5</v>
      </c>
      <c r="H316" s="2268">
        <v>6</v>
      </c>
      <c r="I316" s="298"/>
      <c r="J316" s="298"/>
      <c r="K316" s="595"/>
      <c r="L316" s="595"/>
      <c r="M316" s="982"/>
      <c r="N316" s="594"/>
      <c r="O316" s="917"/>
      <c r="P316" s="595"/>
      <c r="Q316" s="912"/>
      <c r="R316" s="2269">
        <f>1.567-1.25</f>
        <v>0.31699999999999995</v>
      </c>
      <c r="S316" s="586"/>
      <c r="T316" s="590"/>
      <c r="U316" s="586"/>
      <c r="V316" s="586"/>
      <c r="W316" s="2426"/>
      <c r="X316" s="2427"/>
      <c r="Y316" s="1679"/>
      <c r="Z316" s="1791"/>
      <c r="AE316" s="2461"/>
      <c r="AF316" s="68"/>
      <c r="AI316" s="2475"/>
    </row>
    <row r="317" spans="1:35" ht="15.5" x14ac:dyDescent="0.35">
      <c r="A317" s="1593">
        <v>149</v>
      </c>
      <c r="B317" s="1102">
        <v>10560</v>
      </c>
      <c r="C317" s="1102"/>
      <c r="D317" s="375" t="s">
        <v>2368</v>
      </c>
      <c r="E317" s="371" t="s">
        <v>252</v>
      </c>
      <c r="F317" s="596"/>
      <c r="G317" s="596"/>
      <c r="H317" s="2268" t="s">
        <v>191</v>
      </c>
      <c r="I317" s="583">
        <f>J317+K317+L317</f>
        <v>3.871</v>
      </c>
      <c r="J317" s="583">
        <f>SUM(M317:R317)</f>
        <v>3.871</v>
      </c>
      <c r="K317" s="584"/>
      <c r="L317" s="584"/>
      <c r="M317" s="980"/>
      <c r="N317" s="2342">
        <f>SUM(N318:N320)</f>
        <v>0.1699999999999999</v>
      </c>
      <c r="O317" s="597"/>
      <c r="P317" s="584"/>
      <c r="Q317" s="908">
        <f>SUM(Q318:Q320)</f>
        <v>3.7010000000000001</v>
      </c>
      <c r="R317" s="903"/>
      <c r="S317" s="586"/>
      <c r="T317" s="590"/>
      <c r="U317" s="586"/>
      <c r="V317" s="586"/>
      <c r="W317" s="2426">
        <v>1</v>
      </c>
      <c r="X317" s="2427">
        <v>10</v>
      </c>
      <c r="Y317" s="1679">
        <v>1</v>
      </c>
      <c r="Z317" s="1791">
        <v>10</v>
      </c>
      <c r="AB317" s="78">
        <v>1</v>
      </c>
      <c r="AE317" s="2461"/>
      <c r="AF317" s="68"/>
      <c r="AI317" s="2475"/>
    </row>
    <row r="318" spans="1:35" ht="15.5" x14ac:dyDescent="0.35">
      <c r="A318" s="1593"/>
      <c r="B318" s="1102">
        <v>10560</v>
      </c>
      <c r="C318" s="1102"/>
      <c r="D318" s="375"/>
      <c r="E318" s="610" t="s">
        <v>3209</v>
      </c>
      <c r="F318" s="596">
        <v>5</v>
      </c>
      <c r="G318" s="596">
        <v>5</v>
      </c>
      <c r="H318" s="2268">
        <v>6</v>
      </c>
      <c r="I318" s="594"/>
      <c r="J318" s="594"/>
      <c r="K318" s="595"/>
      <c r="L318" s="595"/>
      <c r="M318" s="982"/>
      <c r="N318" s="2412">
        <v>0.02</v>
      </c>
      <c r="O318" s="917"/>
      <c r="P318" s="595"/>
      <c r="Q318" s="912"/>
      <c r="R318" s="2269"/>
      <c r="S318" s="586"/>
      <c r="T318" s="590"/>
      <c r="U318" s="586"/>
      <c r="V318" s="586"/>
      <c r="W318" s="2426"/>
      <c r="X318" s="2427"/>
      <c r="Y318" s="1679"/>
      <c r="Z318" s="1791"/>
      <c r="AE318" s="2461"/>
      <c r="AF318" s="68"/>
    </row>
    <row r="319" spans="1:35" ht="15.5" x14ac:dyDescent="0.35">
      <c r="A319" s="605"/>
      <c r="B319" s="1102">
        <v>10560</v>
      </c>
      <c r="C319" s="1102"/>
      <c r="D319" s="377"/>
      <c r="E319" s="1583" t="s">
        <v>253</v>
      </c>
      <c r="F319" s="596">
        <v>5</v>
      </c>
      <c r="G319" s="596">
        <v>5</v>
      </c>
      <c r="H319" s="2268">
        <v>6</v>
      </c>
      <c r="I319" s="589"/>
      <c r="J319" s="589"/>
      <c r="K319" s="588"/>
      <c r="L319" s="588"/>
      <c r="M319" s="981"/>
      <c r="N319" s="589"/>
      <c r="O319" s="915"/>
      <c r="P319" s="588"/>
      <c r="Q319" s="909">
        <f>3.721-0.02</f>
        <v>3.7010000000000001</v>
      </c>
      <c r="R319" s="904"/>
      <c r="S319" s="586"/>
      <c r="T319" s="590"/>
      <c r="U319" s="586"/>
      <c r="V319" s="586"/>
      <c r="W319" s="2426"/>
      <c r="X319" s="2427"/>
      <c r="Y319" s="1679"/>
      <c r="Z319" s="1791"/>
      <c r="AE319" s="2461"/>
      <c r="AF319" s="68"/>
    </row>
    <row r="320" spans="1:35" ht="15.5" x14ac:dyDescent="0.35">
      <c r="A320" s="605"/>
      <c r="B320" s="1102">
        <v>10560</v>
      </c>
      <c r="C320" s="1102"/>
      <c r="D320" s="377"/>
      <c r="E320" s="610" t="s">
        <v>254</v>
      </c>
      <c r="F320" s="596">
        <v>5</v>
      </c>
      <c r="G320" s="596">
        <v>5</v>
      </c>
      <c r="H320" s="2268">
        <v>6</v>
      </c>
      <c r="I320" s="589"/>
      <c r="J320" s="589"/>
      <c r="K320" s="588"/>
      <c r="L320" s="588"/>
      <c r="M320" s="981"/>
      <c r="N320" s="589">
        <f>3.871-3.721</f>
        <v>0.14999999999999991</v>
      </c>
      <c r="O320" s="915"/>
      <c r="P320" s="588"/>
      <c r="Q320" s="909"/>
      <c r="R320" s="904"/>
      <c r="S320" s="586"/>
      <c r="T320" s="590"/>
      <c r="U320" s="586"/>
      <c r="V320" s="586"/>
      <c r="W320" s="2426"/>
      <c r="X320" s="2427"/>
      <c r="Y320" s="1679"/>
      <c r="Z320" s="1791"/>
      <c r="AE320" s="2461"/>
      <c r="AF320" s="68"/>
    </row>
    <row r="321" spans="1:35" ht="15.5" x14ac:dyDescent="0.35">
      <c r="A321" s="603">
        <v>150</v>
      </c>
      <c r="B321" s="1102">
        <v>10561</v>
      </c>
      <c r="C321" s="1102"/>
      <c r="D321" s="375" t="s">
        <v>700</v>
      </c>
      <c r="E321" s="371" t="s">
        <v>174</v>
      </c>
      <c r="F321" s="596"/>
      <c r="G321" s="596" t="s">
        <v>191</v>
      </c>
      <c r="H321" s="2268" t="s">
        <v>191</v>
      </c>
      <c r="I321" s="583">
        <f>J321+K321+L321</f>
        <v>3.6</v>
      </c>
      <c r="J321" s="583">
        <f>SUM(M321:R321)</f>
        <v>3.6</v>
      </c>
      <c r="K321" s="584"/>
      <c r="L321" s="584"/>
      <c r="M321" s="980"/>
      <c r="N321" s="583">
        <f>SUM(N322:N323)</f>
        <v>1.8</v>
      </c>
      <c r="O321" s="597"/>
      <c r="P321" s="584"/>
      <c r="Q321" s="908"/>
      <c r="R321" s="903">
        <f>SUM(R322:R323)</f>
        <v>1.8</v>
      </c>
      <c r="S321" s="586"/>
      <c r="T321" s="590"/>
      <c r="U321" s="586"/>
      <c r="V321" s="586"/>
      <c r="W321" s="2426">
        <v>4</v>
      </c>
      <c r="X321" s="2427">
        <v>40</v>
      </c>
      <c r="Y321" s="1679"/>
      <c r="Z321" s="1791"/>
      <c r="AB321" s="78">
        <v>1</v>
      </c>
      <c r="AE321" s="2461"/>
      <c r="AF321" s="68"/>
      <c r="AI321" s="2475"/>
    </row>
    <row r="322" spans="1:35" ht="15.5" x14ac:dyDescent="0.35">
      <c r="A322" s="605"/>
      <c r="B322" s="1102">
        <v>10561</v>
      </c>
      <c r="C322" s="1102"/>
      <c r="D322" s="377"/>
      <c r="E322" s="610" t="s">
        <v>3437</v>
      </c>
      <c r="F322" s="596">
        <v>5</v>
      </c>
      <c r="G322" s="596">
        <v>5</v>
      </c>
      <c r="H322" s="2268">
        <v>6</v>
      </c>
      <c r="I322" s="589"/>
      <c r="J322" s="589"/>
      <c r="K322" s="588"/>
      <c r="L322" s="588"/>
      <c r="M322" s="981"/>
      <c r="N322" s="589">
        <v>1.8</v>
      </c>
      <c r="O322" s="915"/>
      <c r="P322" s="588"/>
      <c r="Q322" s="909"/>
      <c r="R322" s="904"/>
      <c r="S322" s="586"/>
      <c r="T322" s="590"/>
      <c r="U322" s="586"/>
      <c r="V322" s="586"/>
      <c r="W322" s="2426"/>
      <c r="X322" s="2427"/>
      <c r="Y322" s="1679"/>
      <c r="Z322" s="1791"/>
      <c r="AE322" s="2461"/>
      <c r="AF322" s="68"/>
    </row>
    <row r="323" spans="1:35" ht="15.5" x14ac:dyDescent="0.35">
      <c r="A323" s="605"/>
      <c r="B323" s="1102">
        <v>10561</v>
      </c>
      <c r="C323" s="1102"/>
      <c r="D323" s="377"/>
      <c r="E323" s="1585" t="s">
        <v>175</v>
      </c>
      <c r="F323" s="596" t="s">
        <v>827</v>
      </c>
      <c r="G323" s="596">
        <v>5</v>
      </c>
      <c r="H323" s="2268">
        <v>6</v>
      </c>
      <c r="I323" s="589"/>
      <c r="J323" s="589"/>
      <c r="K323" s="588"/>
      <c r="L323" s="588"/>
      <c r="M323" s="981"/>
      <c r="N323" s="589"/>
      <c r="O323" s="915"/>
      <c r="P323" s="588"/>
      <c r="Q323" s="909"/>
      <c r="R323" s="904">
        <v>1.8</v>
      </c>
      <c r="S323" s="586"/>
      <c r="T323" s="590"/>
      <c r="U323" s="586"/>
      <c r="V323" s="586"/>
      <c r="W323" s="2426"/>
      <c r="X323" s="2427"/>
      <c r="Y323" s="1679"/>
      <c r="Z323" s="1791"/>
      <c r="AE323" s="2461"/>
      <c r="AF323" s="68"/>
    </row>
    <row r="324" spans="1:35" ht="30.5" x14ac:dyDescent="0.35">
      <c r="A324" s="1593">
        <v>151</v>
      </c>
      <c r="B324" s="1100">
        <v>10561</v>
      </c>
      <c r="C324" s="358" t="s">
        <v>1656</v>
      </c>
      <c r="D324" s="2465" t="s">
        <v>4702</v>
      </c>
      <c r="E324" s="372" t="s">
        <v>8428</v>
      </c>
      <c r="F324" s="591" t="s">
        <v>664</v>
      </c>
      <c r="G324" s="596">
        <v>5</v>
      </c>
      <c r="H324" s="2268">
        <v>6</v>
      </c>
      <c r="I324" s="297">
        <f>J324+K324+L324</f>
        <v>0.8</v>
      </c>
      <c r="J324" s="297">
        <f>SUM(M324:R324)</f>
        <v>0.8</v>
      </c>
      <c r="K324" s="584"/>
      <c r="L324" s="584"/>
      <c r="M324" s="980"/>
      <c r="N324" s="584"/>
      <c r="O324" s="597"/>
      <c r="P324" s="584"/>
      <c r="Q324" s="908"/>
      <c r="R324" s="901">
        <v>0.8</v>
      </c>
      <c r="S324" s="586"/>
      <c r="T324" s="590"/>
      <c r="U324" s="586"/>
      <c r="V324" s="586"/>
      <c r="W324" s="1679"/>
      <c r="X324" s="1678"/>
      <c r="Y324" s="1679"/>
      <c r="Z324" s="1791"/>
      <c r="AB324" s="78">
        <v>1</v>
      </c>
      <c r="AE324" s="2461"/>
      <c r="AF324" s="68"/>
      <c r="AI324" s="2475"/>
    </row>
    <row r="325" spans="1:35" ht="15.5" x14ac:dyDescent="0.35">
      <c r="A325" s="603">
        <v>152</v>
      </c>
      <c r="B325" s="1102">
        <v>10562</v>
      </c>
      <c r="C325" s="1102"/>
      <c r="D325" s="375" t="s">
        <v>701</v>
      </c>
      <c r="E325" s="371" t="s">
        <v>2540</v>
      </c>
      <c r="F325" s="596"/>
      <c r="G325" s="596"/>
      <c r="H325" s="2268" t="s">
        <v>191</v>
      </c>
      <c r="I325" s="583">
        <f>J325+K325+L325</f>
        <v>4.6859999999999999</v>
      </c>
      <c r="J325" s="583">
        <f>SUM(M325:R325)</f>
        <v>4.6859999999999999</v>
      </c>
      <c r="K325" s="584"/>
      <c r="L325" s="584"/>
      <c r="M325" s="980"/>
      <c r="N325" s="583">
        <f>SUM(N326:N327)</f>
        <v>0.439</v>
      </c>
      <c r="O325" s="597"/>
      <c r="P325" s="584"/>
      <c r="Q325" s="910">
        <f>SUM(Q326:Q327)</f>
        <v>4.2469999999999999</v>
      </c>
      <c r="R325" s="903"/>
      <c r="S325" s="582">
        <v>1</v>
      </c>
      <c r="T325" s="585">
        <v>12.399999618530273</v>
      </c>
      <c r="U325" s="586"/>
      <c r="V325" s="586"/>
      <c r="W325" s="2426">
        <v>5</v>
      </c>
      <c r="X325" s="2427">
        <v>70.8</v>
      </c>
      <c r="Y325" s="1679">
        <v>1</v>
      </c>
      <c r="Z325" s="1791">
        <v>15.1</v>
      </c>
      <c r="AB325" s="78">
        <v>1</v>
      </c>
      <c r="AE325" s="2461"/>
      <c r="AF325" s="68"/>
      <c r="AI325" s="2475"/>
    </row>
    <row r="326" spans="1:35" ht="15.5" x14ac:dyDescent="0.35">
      <c r="A326" s="605"/>
      <c r="B326" s="1102">
        <v>10562</v>
      </c>
      <c r="C326" s="1102"/>
      <c r="D326" s="377"/>
      <c r="E326" s="610" t="s">
        <v>2541</v>
      </c>
      <c r="F326" s="596">
        <v>5</v>
      </c>
      <c r="G326" s="596">
        <v>5</v>
      </c>
      <c r="H326" s="2268">
        <v>6</v>
      </c>
      <c r="I326" s="589"/>
      <c r="J326" s="589"/>
      <c r="K326" s="588"/>
      <c r="L326" s="588"/>
      <c r="M326" s="981"/>
      <c r="N326" s="589">
        <v>0.439</v>
      </c>
      <c r="O326" s="915"/>
      <c r="P326" s="588"/>
      <c r="Q326" s="911"/>
      <c r="R326" s="904"/>
      <c r="S326" s="582"/>
      <c r="T326" s="585"/>
      <c r="U326" s="586"/>
      <c r="V326" s="586"/>
      <c r="W326" s="2426"/>
      <c r="X326" s="2427"/>
      <c r="Y326" s="1679"/>
      <c r="Z326" s="1791"/>
      <c r="AE326" s="2461"/>
      <c r="AF326" s="68"/>
    </row>
    <row r="327" spans="1:35" ht="15.5" x14ac:dyDescent="0.35">
      <c r="A327" s="2199"/>
      <c r="B327" s="375">
        <v>10562</v>
      </c>
      <c r="C327" s="375"/>
      <c r="D327" s="377"/>
      <c r="E327" s="1583" t="s">
        <v>2542</v>
      </c>
      <c r="F327" s="596">
        <v>5</v>
      </c>
      <c r="G327" s="596">
        <v>5</v>
      </c>
      <c r="H327" s="2268">
        <v>6</v>
      </c>
      <c r="I327" s="589"/>
      <c r="J327" s="589"/>
      <c r="K327" s="588"/>
      <c r="L327" s="588"/>
      <c r="M327" s="981"/>
      <c r="N327" s="589"/>
      <c r="O327" s="915"/>
      <c r="P327" s="588"/>
      <c r="Q327" s="911">
        <f>4.686-0.439</f>
        <v>4.2469999999999999</v>
      </c>
      <c r="R327" s="904"/>
      <c r="S327" s="582"/>
      <c r="T327" s="585"/>
      <c r="U327" s="586"/>
      <c r="V327" s="586"/>
      <c r="W327" s="2426"/>
      <c r="X327" s="2427"/>
      <c r="Y327" s="1679"/>
      <c r="Z327" s="2428"/>
      <c r="AA327" s="78" t="s">
        <v>2780</v>
      </c>
      <c r="AE327" s="2461"/>
      <c r="AF327" s="68"/>
    </row>
    <row r="328" spans="1:35" ht="30.5" x14ac:dyDescent="0.35">
      <c r="A328" s="1593">
        <v>153</v>
      </c>
      <c r="B328" s="375">
        <v>10562</v>
      </c>
      <c r="C328" s="358" t="s">
        <v>1656</v>
      </c>
      <c r="D328" s="2465" t="s">
        <v>4703</v>
      </c>
      <c r="E328" s="372" t="s">
        <v>8429</v>
      </c>
      <c r="F328" s="591" t="s">
        <v>664</v>
      </c>
      <c r="G328" s="596">
        <v>5</v>
      </c>
      <c r="H328" s="2268">
        <v>6</v>
      </c>
      <c r="I328" s="297">
        <f>J328+K328+L328</f>
        <v>0.54500000000000004</v>
      </c>
      <c r="J328" s="297">
        <f>SUM(M328:R328)</f>
        <v>0.54500000000000004</v>
      </c>
      <c r="K328" s="589"/>
      <c r="L328" s="588"/>
      <c r="M328" s="981"/>
      <c r="N328" s="2364"/>
      <c r="O328" s="2365"/>
      <c r="P328" s="2364"/>
      <c r="Q328" s="1792"/>
      <c r="R328" s="2366">
        <v>0.54500000000000004</v>
      </c>
      <c r="S328" s="586"/>
      <c r="T328" s="590"/>
      <c r="U328" s="586"/>
      <c r="V328" s="586"/>
      <c r="W328" s="1679"/>
      <c r="X328" s="1678"/>
      <c r="Y328" s="1679"/>
      <c r="Z328" s="1791"/>
      <c r="AB328" s="78">
        <v>1</v>
      </c>
      <c r="AE328" s="2461"/>
      <c r="AF328" s="68"/>
      <c r="AI328" s="2475"/>
    </row>
    <row r="329" spans="1:35" ht="30.5" x14ac:dyDescent="0.35">
      <c r="A329" s="1593">
        <v>154</v>
      </c>
      <c r="B329" s="1099">
        <v>10562</v>
      </c>
      <c r="C329" s="358" t="s">
        <v>1656</v>
      </c>
      <c r="D329" s="2465" t="s">
        <v>4704</v>
      </c>
      <c r="E329" s="372" t="s">
        <v>8430</v>
      </c>
      <c r="F329" s="596" t="s">
        <v>664</v>
      </c>
      <c r="G329" s="596">
        <v>5</v>
      </c>
      <c r="H329" s="2268">
        <v>6</v>
      </c>
      <c r="I329" s="297">
        <f>J329+K329+L329</f>
        <v>1.0369999999999999</v>
      </c>
      <c r="J329" s="297">
        <f>SUM(M329:R329)</f>
        <v>1.0369999999999999</v>
      </c>
      <c r="K329" s="598"/>
      <c r="L329" s="598"/>
      <c r="M329" s="983"/>
      <c r="N329" s="580"/>
      <c r="O329" s="918"/>
      <c r="P329" s="580"/>
      <c r="Q329" s="913"/>
      <c r="R329" s="906">
        <v>1.0369999999999999</v>
      </c>
      <c r="S329" s="600"/>
      <c r="T329" s="600"/>
      <c r="U329" s="600"/>
      <c r="V329" s="600"/>
      <c r="W329" s="1676"/>
      <c r="X329" s="1789"/>
      <c r="Y329" s="1676"/>
      <c r="Z329" s="1790"/>
      <c r="AB329" s="78">
        <v>1</v>
      </c>
      <c r="AE329" s="2461"/>
      <c r="AF329" s="68"/>
      <c r="AI329" s="2475"/>
    </row>
    <row r="330" spans="1:35" ht="15.5" x14ac:dyDescent="0.35">
      <c r="A330" s="603">
        <v>155</v>
      </c>
      <c r="B330" s="1102">
        <v>10563</v>
      </c>
      <c r="C330" s="1102"/>
      <c r="D330" s="375" t="s">
        <v>293</v>
      </c>
      <c r="E330" s="371" t="s">
        <v>109</v>
      </c>
      <c r="F330" s="596"/>
      <c r="G330" s="596"/>
      <c r="H330" s="2268" t="s">
        <v>191</v>
      </c>
      <c r="I330" s="583">
        <f>J330+K330+L330</f>
        <v>3.133</v>
      </c>
      <c r="J330" s="583">
        <f>SUM(M330:R330)</f>
        <v>3.133</v>
      </c>
      <c r="K330" s="584"/>
      <c r="L330" s="584"/>
      <c r="M330" s="980"/>
      <c r="N330" s="583">
        <f>SUM(N331:N333)</f>
        <v>1.0869999999999997</v>
      </c>
      <c r="O330" s="597"/>
      <c r="P330" s="584"/>
      <c r="Q330" s="908"/>
      <c r="R330" s="903">
        <f>SUM(R331:R333)</f>
        <v>2.0460000000000003</v>
      </c>
      <c r="S330" s="586"/>
      <c r="T330" s="590"/>
      <c r="U330" s="586"/>
      <c r="V330" s="586"/>
      <c r="W330" s="2426">
        <v>7</v>
      </c>
      <c r="X330" s="2427">
        <v>70</v>
      </c>
      <c r="Y330" s="1679">
        <v>4</v>
      </c>
      <c r="Z330" s="1791">
        <v>37</v>
      </c>
      <c r="AB330" s="78">
        <v>1</v>
      </c>
      <c r="AE330" s="2461"/>
      <c r="AF330" s="68"/>
      <c r="AI330" s="2475"/>
    </row>
    <row r="331" spans="1:35" ht="15.5" x14ac:dyDescent="0.35">
      <c r="A331" s="2199"/>
      <c r="B331" s="1102">
        <v>10563</v>
      </c>
      <c r="C331" s="1102"/>
      <c r="D331" s="377"/>
      <c r="E331" s="610" t="s">
        <v>108</v>
      </c>
      <c r="F331" s="596">
        <v>5</v>
      </c>
      <c r="G331" s="596">
        <v>5</v>
      </c>
      <c r="H331" s="2268">
        <v>6</v>
      </c>
      <c r="I331" s="589"/>
      <c r="J331" s="589"/>
      <c r="K331" s="588"/>
      <c r="L331" s="588"/>
      <c r="M331" s="981"/>
      <c r="N331" s="589">
        <v>0.38400000000000001</v>
      </c>
      <c r="O331" s="915"/>
      <c r="P331" s="588"/>
      <c r="Q331" s="909"/>
      <c r="R331" s="904"/>
      <c r="S331" s="586"/>
      <c r="T331" s="590"/>
      <c r="U331" s="586"/>
      <c r="V331" s="586"/>
      <c r="W331" s="2426"/>
      <c r="X331" s="2427"/>
      <c r="Y331" s="1679"/>
      <c r="Z331" s="1791"/>
      <c r="AE331" s="2461"/>
      <c r="AF331" s="68"/>
    </row>
    <row r="332" spans="1:35" ht="15.5" x14ac:dyDescent="0.35">
      <c r="A332" s="605"/>
      <c r="B332" s="1102">
        <v>10563</v>
      </c>
      <c r="C332" s="1102"/>
      <c r="D332" s="377"/>
      <c r="E332" s="1585" t="s">
        <v>110</v>
      </c>
      <c r="F332" s="596">
        <v>5</v>
      </c>
      <c r="G332" s="596">
        <v>5</v>
      </c>
      <c r="H332" s="2268">
        <v>6</v>
      </c>
      <c r="I332" s="589"/>
      <c r="J332" s="589"/>
      <c r="K332" s="588"/>
      <c r="L332" s="588"/>
      <c r="M332" s="981"/>
      <c r="N332" s="589"/>
      <c r="O332" s="915"/>
      <c r="P332" s="588"/>
      <c r="Q332" s="909"/>
      <c r="R332" s="904">
        <f>2.43-0.384</f>
        <v>2.0460000000000003</v>
      </c>
      <c r="S332" s="586"/>
      <c r="T332" s="590"/>
      <c r="U332" s="586"/>
      <c r="V332" s="586"/>
      <c r="W332" s="2426"/>
      <c r="X332" s="2427"/>
      <c r="Y332" s="1679"/>
      <c r="Z332" s="1791"/>
      <c r="AC332" s="78" t="s">
        <v>2570</v>
      </c>
      <c r="AE332" s="2461"/>
      <c r="AF332" s="68"/>
    </row>
    <row r="333" spans="1:35" ht="15.5" x14ac:dyDescent="0.35">
      <c r="A333" s="2199"/>
      <c r="B333" s="1102">
        <v>10563</v>
      </c>
      <c r="C333" s="1102"/>
      <c r="D333" s="377"/>
      <c r="E333" s="610" t="s">
        <v>111</v>
      </c>
      <c r="F333" s="596">
        <v>5</v>
      </c>
      <c r="G333" s="596">
        <v>5</v>
      </c>
      <c r="H333" s="2268">
        <v>6</v>
      </c>
      <c r="I333" s="589"/>
      <c r="J333" s="589"/>
      <c r="K333" s="588"/>
      <c r="L333" s="588"/>
      <c r="M333" s="981"/>
      <c r="N333" s="589">
        <f>3.133-2.43</f>
        <v>0.70299999999999985</v>
      </c>
      <c r="O333" s="915"/>
      <c r="P333" s="588"/>
      <c r="Q333" s="909"/>
      <c r="R333" s="904"/>
      <c r="S333" s="586"/>
      <c r="T333" s="590"/>
      <c r="U333" s="586"/>
      <c r="V333" s="586"/>
      <c r="W333" s="2426"/>
      <c r="X333" s="2427"/>
      <c r="Y333" s="1679"/>
      <c r="Z333" s="1791"/>
      <c r="AE333" s="2461"/>
      <c r="AF333" s="68"/>
    </row>
    <row r="334" spans="1:35" ht="30.5" x14ac:dyDescent="0.35">
      <c r="A334" s="1593">
        <v>156</v>
      </c>
      <c r="B334" s="1099">
        <v>10563</v>
      </c>
      <c r="C334" s="358" t="s">
        <v>1656</v>
      </c>
      <c r="D334" s="2465" t="s">
        <v>4705</v>
      </c>
      <c r="E334" s="372" t="s">
        <v>8431</v>
      </c>
      <c r="F334" s="596" t="s">
        <v>664</v>
      </c>
      <c r="G334" s="596">
        <v>5</v>
      </c>
      <c r="H334" s="2268">
        <v>6</v>
      </c>
      <c r="I334" s="297">
        <f>J334+K334+L334</f>
        <v>0.12</v>
      </c>
      <c r="J334" s="297">
        <f>SUM(M334:R334)</f>
        <v>0.12</v>
      </c>
      <c r="K334" s="598"/>
      <c r="L334" s="598"/>
      <c r="M334" s="983"/>
      <c r="N334" s="580"/>
      <c r="O334" s="918"/>
      <c r="P334" s="580"/>
      <c r="Q334" s="913"/>
      <c r="R334" s="906">
        <v>0.12</v>
      </c>
      <c r="S334" s="600"/>
      <c r="T334" s="600"/>
      <c r="U334" s="600"/>
      <c r="V334" s="600"/>
      <c r="W334" s="1676"/>
      <c r="X334" s="1789"/>
      <c r="Y334" s="1676"/>
      <c r="Z334" s="1790"/>
      <c r="AB334" s="78">
        <v>1</v>
      </c>
      <c r="AE334" s="2461"/>
      <c r="AF334" s="68"/>
      <c r="AI334" s="2475"/>
    </row>
    <row r="335" spans="1:35" ht="15.5" x14ac:dyDescent="0.35">
      <c r="A335" s="603">
        <v>157</v>
      </c>
      <c r="B335" s="1102">
        <v>10564</v>
      </c>
      <c r="C335" s="1102"/>
      <c r="D335" s="375" t="s">
        <v>3187</v>
      </c>
      <c r="E335" s="371" t="s">
        <v>7025</v>
      </c>
      <c r="F335" s="596"/>
      <c r="G335" s="596" t="s">
        <v>191</v>
      </c>
      <c r="H335" s="2268" t="s">
        <v>191</v>
      </c>
      <c r="I335" s="583">
        <f>J335+K335+L335</f>
        <v>4.9000000000000004</v>
      </c>
      <c r="J335" s="583">
        <f>SUM(M335:R335)</f>
        <v>4.9000000000000004</v>
      </c>
      <c r="K335" s="584"/>
      <c r="L335" s="584"/>
      <c r="M335" s="980"/>
      <c r="N335" s="583">
        <f>SUM(N336:N337)</f>
        <v>1.4</v>
      </c>
      <c r="O335" s="597"/>
      <c r="P335" s="584"/>
      <c r="Q335" s="908"/>
      <c r="R335" s="903">
        <f>SUM(R336:R337)</f>
        <v>3.5</v>
      </c>
      <c r="S335" s="586"/>
      <c r="T335" s="590"/>
      <c r="U335" s="586"/>
      <c r="V335" s="586"/>
      <c r="W335" s="2426">
        <v>5</v>
      </c>
      <c r="X335" s="2427">
        <v>78</v>
      </c>
      <c r="Y335" s="1679"/>
      <c r="Z335" s="1791"/>
      <c r="AB335" s="78">
        <v>1</v>
      </c>
      <c r="AE335" s="2461"/>
      <c r="AF335" s="68"/>
      <c r="AI335" s="2475"/>
    </row>
    <row r="336" spans="1:35" ht="15.5" x14ac:dyDescent="0.35">
      <c r="A336" s="605"/>
      <c r="B336" s="1102">
        <v>10564</v>
      </c>
      <c r="C336" s="1102"/>
      <c r="D336" s="377"/>
      <c r="E336" s="610" t="s">
        <v>1844</v>
      </c>
      <c r="F336" s="596">
        <v>4</v>
      </c>
      <c r="G336" s="596">
        <v>5</v>
      </c>
      <c r="H336" s="2268">
        <v>6</v>
      </c>
      <c r="I336" s="589"/>
      <c r="J336" s="589"/>
      <c r="K336" s="588"/>
      <c r="L336" s="588"/>
      <c r="M336" s="981"/>
      <c r="N336" s="589">
        <v>1.4</v>
      </c>
      <c r="O336" s="915"/>
      <c r="P336" s="588"/>
      <c r="Q336" s="909"/>
      <c r="R336" s="904"/>
      <c r="S336" s="586"/>
      <c r="T336" s="590"/>
      <c r="U336" s="586"/>
      <c r="V336" s="586"/>
      <c r="W336" s="2426"/>
      <c r="X336" s="2427"/>
      <c r="Y336" s="1679"/>
      <c r="Z336" s="1791"/>
      <c r="AE336" s="2461"/>
      <c r="AF336" s="68"/>
    </row>
    <row r="337" spans="1:35" ht="15.5" x14ac:dyDescent="0.35">
      <c r="A337" s="605"/>
      <c r="B337" s="1102">
        <v>10564</v>
      </c>
      <c r="C337" s="1102"/>
      <c r="D337" s="377"/>
      <c r="E337" s="1585" t="s">
        <v>2652</v>
      </c>
      <c r="F337" s="596">
        <v>5</v>
      </c>
      <c r="G337" s="596">
        <v>5</v>
      </c>
      <c r="H337" s="2268">
        <v>6</v>
      </c>
      <c r="I337" s="589"/>
      <c r="J337" s="589"/>
      <c r="K337" s="588"/>
      <c r="L337" s="588"/>
      <c r="M337" s="981"/>
      <c r="N337" s="589"/>
      <c r="O337" s="915"/>
      <c r="P337" s="588"/>
      <c r="Q337" s="909"/>
      <c r="R337" s="904">
        <v>3.5</v>
      </c>
      <c r="S337" s="586"/>
      <c r="T337" s="590"/>
      <c r="U337" s="586"/>
      <c r="V337" s="586"/>
      <c r="W337" s="2426"/>
      <c r="X337" s="2427"/>
      <c r="Y337" s="1679"/>
      <c r="Z337" s="1791"/>
      <c r="AE337" s="2461"/>
      <c r="AF337" s="68"/>
    </row>
    <row r="338" spans="1:35" ht="45" x14ac:dyDescent="0.35">
      <c r="A338" s="525">
        <v>158</v>
      </c>
      <c r="B338" s="1040">
        <v>10564</v>
      </c>
      <c r="C338" s="1099" t="s">
        <v>1656</v>
      </c>
      <c r="D338" s="2465" t="s">
        <v>4706</v>
      </c>
      <c r="E338" s="2187" t="s">
        <v>8432</v>
      </c>
      <c r="F338" s="92" t="s">
        <v>664</v>
      </c>
      <c r="G338" s="92">
        <v>5</v>
      </c>
      <c r="H338" s="2268">
        <v>6</v>
      </c>
      <c r="I338" s="702">
        <f>J338+K338+L338</f>
        <v>0.5</v>
      </c>
      <c r="J338" s="702">
        <f>SUM(M338:R338)</f>
        <v>0.5</v>
      </c>
      <c r="K338" s="46"/>
      <c r="L338" s="46"/>
      <c r="M338" s="46"/>
      <c r="N338" s="46"/>
      <c r="O338" s="46"/>
      <c r="P338" s="46"/>
      <c r="Q338" s="46"/>
      <c r="R338" s="906">
        <v>0.5</v>
      </c>
      <c r="S338" s="46"/>
      <c r="T338" s="46"/>
      <c r="U338" s="46"/>
      <c r="V338" s="46"/>
      <c r="W338" s="67">
        <v>1</v>
      </c>
      <c r="X338" s="46">
        <v>5</v>
      </c>
      <c r="Y338" s="46"/>
      <c r="Z338" s="47"/>
      <c r="AB338" s="78">
        <v>1</v>
      </c>
      <c r="AE338" s="2461"/>
      <c r="AF338" s="68"/>
      <c r="AI338" s="2475"/>
    </row>
    <row r="339" spans="1:35" ht="15.5" x14ac:dyDescent="0.35">
      <c r="A339" s="603">
        <v>159</v>
      </c>
      <c r="B339" s="1102">
        <v>10565</v>
      </c>
      <c r="C339" s="1102"/>
      <c r="D339" s="375" t="s">
        <v>3188</v>
      </c>
      <c r="E339" s="371" t="s">
        <v>7026</v>
      </c>
      <c r="F339" s="596"/>
      <c r="G339" s="596"/>
      <c r="H339" s="2268" t="s">
        <v>191</v>
      </c>
      <c r="I339" s="583">
        <f>J339+K339+L339</f>
        <v>2.6</v>
      </c>
      <c r="J339" s="583">
        <f>SUM(M339:R339)</f>
        <v>2.6</v>
      </c>
      <c r="K339" s="584"/>
      <c r="L339" s="584"/>
      <c r="M339" s="980"/>
      <c r="N339" s="583"/>
      <c r="O339" s="597"/>
      <c r="P339" s="584"/>
      <c r="Q339" s="908"/>
      <c r="R339" s="903">
        <f>SUM(R340:R341)</f>
        <v>2.6</v>
      </c>
      <c r="S339" s="586"/>
      <c r="T339" s="590"/>
      <c r="U339" s="586"/>
      <c r="V339" s="586"/>
      <c r="W339" s="2426">
        <v>2</v>
      </c>
      <c r="X339" s="2427">
        <v>15</v>
      </c>
      <c r="Y339" s="1679"/>
      <c r="Z339" s="1791"/>
      <c r="AB339" s="78">
        <v>1</v>
      </c>
      <c r="AE339" s="2461"/>
      <c r="AF339" s="68"/>
      <c r="AI339" s="2475"/>
    </row>
    <row r="340" spans="1:35" ht="15.5" x14ac:dyDescent="0.35">
      <c r="A340" s="603"/>
      <c r="B340" s="1102">
        <v>10565</v>
      </c>
      <c r="C340" s="1102"/>
      <c r="D340" s="375"/>
      <c r="E340" s="2270" t="s">
        <v>2628</v>
      </c>
      <c r="F340" s="2268" t="s">
        <v>1490</v>
      </c>
      <c r="G340" s="596">
        <v>5</v>
      </c>
      <c r="H340" s="2268">
        <v>6</v>
      </c>
      <c r="I340" s="583"/>
      <c r="J340" s="583"/>
      <c r="K340" s="584"/>
      <c r="L340" s="584"/>
      <c r="M340" s="980"/>
      <c r="N340" s="583"/>
      <c r="O340" s="597"/>
      <c r="P340" s="584"/>
      <c r="Q340" s="908"/>
      <c r="R340" s="2269">
        <v>1</v>
      </c>
      <c r="S340" s="586"/>
      <c r="T340" s="590"/>
      <c r="U340" s="586"/>
      <c r="V340" s="586"/>
      <c r="W340" s="2426"/>
      <c r="X340" s="2427"/>
      <c r="Y340" s="1679"/>
      <c r="Z340" s="1791"/>
      <c r="AC340" s="78" t="s">
        <v>2570</v>
      </c>
      <c r="AE340" s="2461"/>
      <c r="AF340" s="68"/>
    </row>
    <row r="341" spans="1:35" ht="15.5" x14ac:dyDescent="0.35">
      <c r="A341" s="603"/>
      <c r="B341" s="1102">
        <v>10565</v>
      </c>
      <c r="C341" s="1102"/>
      <c r="D341" s="375"/>
      <c r="E341" s="2270" t="s">
        <v>820</v>
      </c>
      <c r="F341" s="2268" t="s">
        <v>664</v>
      </c>
      <c r="G341" s="596">
        <v>5</v>
      </c>
      <c r="H341" s="2268">
        <v>6</v>
      </c>
      <c r="I341" s="583"/>
      <c r="J341" s="583"/>
      <c r="K341" s="584"/>
      <c r="L341" s="584"/>
      <c r="M341" s="980"/>
      <c r="N341" s="583"/>
      <c r="O341" s="597"/>
      <c r="P341" s="584"/>
      <c r="Q341" s="908"/>
      <c r="R341" s="2269">
        <v>1.6</v>
      </c>
      <c r="S341" s="586"/>
      <c r="T341" s="590"/>
      <c r="U341" s="586"/>
      <c r="V341" s="586"/>
      <c r="W341" s="2426"/>
      <c r="X341" s="2427"/>
      <c r="Y341" s="1679"/>
      <c r="Z341" s="1791"/>
      <c r="AE341" s="2461"/>
      <c r="AF341" s="68"/>
    </row>
    <row r="342" spans="1:35" ht="15.5" x14ac:dyDescent="0.35">
      <c r="A342" s="525">
        <v>160</v>
      </c>
      <c r="B342" s="1102">
        <v>10566</v>
      </c>
      <c r="C342" s="1102"/>
      <c r="D342" s="375" t="s">
        <v>3189</v>
      </c>
      <c r="E342" s="371" t="s">
        <v>716</v>
      </c>
      <c r="F342" s="596"/>
      <c r="G342" s="596"/>
      <c r="H342" s="2268" t="s">
        <v>191</v>
      </c>
      <c r="I342" s="583">
        <f>J342+K342+L342</f>
        <v>2.6970000000000001</v>
      </c>
      <c r="J342" s="583">
        <f>SUM(M342:R342)</f>
        <v>2.6970000000000001</v>
      </c>
      <c r="K342" s="584"/>
      <c r="L342" s="584"/>
      <c r="M342" s="980"/>
      <c r="N342" s="583"/>
      <c r="O342" s="597"/>
      <c r="P342" s="584"/>
      <c r="Q342" s="908"/>
      <c r="R342" s="903">
        <f>SUM(R343:R344)</f>
        <v>2.6970000000000001</v>
      </c>
      <c r="S342" s="586"/>
      <c r="T342" s="590"/>
      <c r="U342" s="586"/>
      <c r="V342" s="586"/>
      <c r="W342" s="2426">
        <v>1</v>
      </c>
      <c r="X342" s="2427">
        <v>10</v>
      </c>
      <c r="Y342" s="1679"/>
      <c r="Z342" s="1791"/>
      <c r="AB342" s="78">
        <v>1</v>
      </c>
      <c r="AE342" s="2461"/>
      <c r="AF342" s="68"/>
      <c r="AI342" s="2475"/>
    </row>
    <row r="343" spans="1:35" ht="15.5" x14ac:dyDescent="0.35">
      <c r="A343" s="525"/>
      <c r="B343" s="1102">
        <v>10566</v>
      </c>
      <c r="C343" s="1102"/>
      <c r="D343" s="375"/>
      <c r="E343" s="2270" t="s">
        <v>1738</v>
      </c>
      <c r="F343" s="2268" t="s">
        <v>827</v>
      </c>
      <c r="G343" s="596">
        <v>5</v>
      </c>
      <c r="H343" s="2268">
        <v>6</v>
      </c>
      <c r="I343" s="594"/>
      <c r="J343" s="594"/>
      <c r="K343" s="595"/>
      <c r="L343" s="595"/>
      <c r="M343" s="982"/>
      <c r="N343" s="594"/>
      <c r="O343" s="917"/>
      <c r="P343" s="595"/>
      <c r="Q343" s="912"/>
      <c r="R343" s="2269">
        <v>1.7</v>
      </c>
      <c r="S343" s="586"/>
      <c r="T343" s="590"/>
      <c r="U343" s="586"/>
      <c r="V343" s="586"/>
      <c r="W343" s="2426"/>
      <c r="X343" s="2427"/>
      <c r="Y343" s="1679"/>
      <c r="Z343" s="1791"/>
      <c r="AC343" s="78" t="s">
        <v>2570</v>
      </c>
      <c r="AE343" s="2461"/>
      <c r="AF343" s="68"/>
    </row>
    <row r="344" spans="1:35" ht="15.5" x14ac:dyDescent="0.35">
      <c r="A344" s="525"/>
      <c r="B344" s="1102">
        <v>10566</v>
      </c>
      <c r="C344" s="1102"/>
      <c r="D344" s="375"/>
      <c r="E344" s="2270" t="s">
        <v>367</v>
      </c>
      <c r="F344" s="2268" t="s">
        <v>664</v>
      </c>
      <c r="G344" s="596">
        <v>5</v>
      </c>
      <c r="H344" s="2268">
        <v>6</v>
      </c>
      <c r="I344" s="594"/>
      <c r="J344" s="594"/>
      <c r="K344" s="595"/>
      <c r="L344" s="595"/>
      <c r="M344" s="982"/>
      <c r="N344" s="594"/>
      <c r="O344" s="917"/>
      <c r="P344" s="595"/>
      <c r="Q344" s="912"/>
      <c r="R344" s="2269">
        <f>2.697-1.7</f>
        <v>0.99700000000000011</v>
      </c>
      <c r="S344" s="586"/>
      <c r="T344" s="590"/>
      <c r="U344" s="586"/>
      <c r="V344" s="586"/>
      <c r="W344" s="2426"/>
      <c r="X344" s="2427"/>
      <c r="Y344" s="1679"/>
      <c r="Z344" s="1791"/>
      <c r="AE344" s="2461"/>
      <c r="AF344" s="68"/>
    </row>
    <row r="345" spans="1:35" ht="15.5" x14ac:dyDescent="0.35">
      <c r="A345" s="603">
        <v>161</v>
      </c>
      <c r="B345" s="1102">
        <v>10567</v>
      </c>
      <c r="C345" s="1102"/>
      <c r="D345" s="375" t="s">
        <v>3190</v>
      </c>
      <c r="E345" s="371" t="s">
        <v>665</v>
      </c>
      <c r="F345" s="596" t="s">
        <v>827</v>
      </c>
      <c r="G345" s="596">
        <v>5</v>
      </c>
      <c r="H345" s="2268">
        <v>6</v>
      </c>
      <c r="I345" s="583">
        <f>J345+K345+L345</f>
        <v>4</v>
      </c>
      <c r="J345" s="583">
        <f>SUM(M345:R345)</f>
        <v>4</v>
      </c>
      <c r="K345" s="584"/>
      <c r="L345" s="584"/>
      <c r="M345" s="980"/>
      <c r="N345" s="583"/>
      <c r="O345" s="597"/>
      <c r="P345" s="584"/>
      <c r="Q345" s="908"/>
      <c r="R345" s="903">
        <v>4</v>
      </c>
      <c r="S345" s="586"/>
      <c r="T345" s="590"/>
      <c r="U345" s="586"/>
      <c r="V345" s="586"/>
      <c r="W345" s="2426">
        <v>2</v>
      </c>
      <c r="X345" s="2427">
        <v>20</v>
      </c>
      <c r="Y345" s="1679"/>
      <c r="Z345" s="1791"/>
      <c r="AB345" s="78">
        <v>1</v>
      </c>
      <c r="AE345" s="2461"/>
      <c r="AF345" s="68"/>
      <c r="AI345" s="2475"/>
    </row>
    <row r="346" spans="1:35" ht="15.5" x14ac:dyDescent="0.35">
      <c r="A346" s="525">
        <v>162</v>
      </c>
      <c r="B346" s="1102">
        <v>10568</v>
      </c>
      <c r="C346" s="1102"/>
      <c r="D346" s="375" t="s">
        <v>3191</v>
      </c>
      <c r="E346" s="371" t="s">
        <v>1756</v>
      </c>
      <c r="F346" s="596"/>
      <c r="G346" s="596"/>
      <c r="H346" s="2268" t="s">
        <v>191</v>
      </c>
      <c r="I346" s="583">
        <f>J346+K346+L346</f>
        <v>2.4</v>
      </c>
      <c r="J346" s="583">
        <f>SUM(M346:R346)</f>
        <v>2.4</v>
      </c>
      <c r="K346" s="584"/>
      <c r="L346" s="584"/>
      <c r="M346" s="980"/>
      <c r="N346" s="583"/>
      <c r="O346" s="597"/>
      <c r="P346" s="584"/>
      <c r="Q346" s="908"/>
      <c r="R346" s="903">
        <f>SUM(R347:R348)</f>
        <v>2.4</v>
      </c>
      <c r="S346" s="586">
        <v>1</v>
      </c>
      <c r="T346" s="590">
        <v>16</v>
      </c>
      <c r="U346" s="587">
        <v>1</v>
      </c>
      <c r="V346" s="590">
        <v>16</v>
      </c>
      <c r="W346" s="2426">
        <v>1</v>
      </c>
      <c r="X346" s="2427">
        <v>7.5</v>
      </c>
      <c r="Y346" s="1679"/>
      <c r="Z346" s="1791"/>
      <c r="AB346" s="78">
        <v>1</v>
      </c>
      <c r="AE346" s="2461"/>
      <c r="AF346" s="68"/>
      <c r="AI346" s="2475"/>
    </row>
    <row r="347" spans="1:35" ht="15.5" x14ac:dyDescent="0.35">
      <c r="A347" s="525"/>
      <c r="B347" s="1102">
        <v>10568</v>
      </c>
      <c r="C347" s="1102"/>
      <c r="D347" s="375"/>
      <c r="E347" s="2270" t="s">
        <v>2409</v>
      </c>
      <c r="F347" s="2268" t="s">
        <v>827</v>
      </c>
      <c r="G347" s="596">
        <v>5</v>
      </c>
      <c r="H347" s="2268">
        <v>6</v>
      </c>
      <c r="I347" s="583"/>
      <c r="J347" s="583"/>
      <c r="K347" s="584"/>
      <c r="L347" s="584"/>
      <c r="M347" s="980"/>
      <c r="N347" s="583"/>
      <c r="O347" s="597"/>
      <c r="P347" s="584"/>
      <c r="Q347" s="908"/>
      <c r="R347" s="2269">
        <v>2.1</v>
      </c>
      <c r="S347" s="586"/>
      <c r="T347" s="590"/>
      <c r="U347" s="587"/>
      <c r="V347" s="590"/>
      <c r="W347" s="2426"/>
      <c r="X347" s="2427"/>
      <c r="Y347" s="1679"/>
      <c r="Z347" s="1791"/>
      <c r="AC347" s="78" t="s">
        <v>2570</v>
      </c>
      <c r="AE347" s="2461"/>
      <c r="AF347" s="68"/>
    </row>
    <row r="348" spans="1:35" ht="15.5" x14ac:dyDescent="0.35">
      <c r="A348" s="525"/>
      <c r="B348" s="1102">
        <v>10568</v>
      </c>
      <c r="C348" s="1102"/>
      <c r="D348" s="375"/>
      <c r="E348" s="2270" t="s">
        <v>2898</v>
      </c>
      <c r="F348" s="2268" t="s">
        <v>664</v>
      </c>
      <c r="G348" s="596">
        <v>5</v>
      </c>
      <c r="H348" s="2268">
        <v>6</v>
      </c>
      <c r="I348" s="583"/>
      <c r="J348" s="583"/>
      <c r="K348" s="584"/>
      <c r="L348" s="584"/>
      <c r="M348" s="980"/>
      <c r="N348" s="583"/>
      <c r="O348" s="597"/>
      <c r="P348" s="584"/>
      <c r="Q348" s="908"/>
      <c r="R348" s="2269">
        <f>2.4-2.1</f>
        <v>0.29999999999999982</v>
      </c>
      <c r="S348" s="586"/>
      <c r="T348" s="590"/>
      <c r="U348" s="587"/>
      <c r="V348" s="590"/>
      <c r="W348" s="2426"/>
      <c r="X348" s="2427"/>
      <c r="Y348" s="1679"/>
      <c r="Z348" s="1791"/>
      <c r="AE348" s="2461"/>
      <c r="AF348" s="68"/>
    </row>
    <row r="349" spans="1:35" ht="30.5" x14ac:dyDescent="0.35">
      <c r="A349" s="603">
        <v>163</v>
      </c>
      <c r="B349" s="693">
        <v>10568</v>
      </c>
      <c r="C349" s="358" t="s">
        <v>1656</v>
      </c>
      <c r="D349" s="2465" t="s">
        <v>4707</v>
      </c>
      <c r="E349" s="372" t="s">
        <v>8433</v>
      </c>
      <c r="F349" s="92" t="s">
        <v>664</v>
      </c>
      <c r="G349" s="596">
        <v>5</v>
      </c>
      <c r="H349" s="2268">
        <v>6</v>
      </c>
      <c r="I349" s="297">
        <f>J349+K349+L349</f>
        <v>0.6</v>
      </c>
      <c r="J349" s="297">
        <f>SUM(M349:R349)</f>
        <v>0.6</v>
      </c>
      <c r="K349" s="622"/>
      <c r="L349" s="622"/>
      <c r="M349" s="622"/>
      <c r="N349" s="622"/>
      <c r="O349" s="622"/>
      <c r="P349" s="622"/>
      <c r="Q349" s="622"/>
      <c r="R349" s="906">
        <v>0.6</v>
      </c>
      <c r="S349" s="46"/>
      <c r="T349" s="46"/>
      <c r="U349" s="46"/>
      <c r="V349" s="46"/>
      <c r="W349" s="67"/>
      <c r="X349" s="46"/>
      <c r="Y349" s="46"/>
      <c r="Z349" s="47"/>
      <c r="AB349" s="78">
        <v>1</v>
      </c>
      <c r="AE349" s="2461"/>
      <c r="AF349" s="68"/>
      <c r="AI349" s="2475"/>
    </row>
    <row r="350" spans="1:35" ht="30.5" x14ac:dyDescent="0.35">
      <c r="A350" s="525">
        <v>164</v>
      </c>
      <c r="B350" s="375">
        <v>10568</v>
      </c>
      <c r="C350" s="358" t="s">
        <v>1656</v>
      </c>
      <c r="D350" s="2465" t="s">
        <v>4708</v>
      </c>
      <c r="E350" s="372" t="s">
        <v>8434</v>
      </c>
      <c r="F350" s="596"/>
      <c r="G350" s="596"/>
      <c r="H350" s="2268" t="s">
        <v>191</v>
      </c>
      <c r="I350" s="297">
        <f>J350+K350+L350</f>
        <v>0.316</v>
      </c>
      <c r="J350" s="297">
        <f>SUM(M350:R350)</f>
        <v>0.126</v>
      </c>
      <c r="K350" s="583"/>
      <c r="L350" s="584">
        <f>SUM(L351:L352)</f>
        <v>0.19</v>
      </c>
      <c r="M350" s="980"/>
      <c r="N350" s="583"/>
      <c r="O350" s="597"/>
      <c r="P350" s="584"/>
      <c r="Q350" s="908"/>
      <c r="R350" s="901">
        <f>SUM(R351:R352)</f>
        <v>0.126</v>
      </c>
      <c r="S350" s="582"/>
      <c r="T350" s="585"/>
      <c r="U350" s="586"/>
      <c r="V350" s="586"/>
      <c r="W350" s="2426"/>
      <c r="X350" s="2427"/>
      <c r="Y350" s="1679"/>
      <c r="Z350" s="1791"/>
      <c r="AB350" s="78">
        <v>1</v>
      </c>
      <c r="AE350" s="2461"/>
      <c r="AF350" s="68"/>
      <c r="AI350" s="2475"/>
    </row>
    <row r="351" spans="1:35" ht="31" x14ac:dyDescent="0.35">
      <c r="A351" s="525"/>
      <c r="B351" s="1102"/>
      <c r="C351" s="1024"/>
      <c r="D351" s="2465"/>
      <c r="E351" s="289" t="s">
        <v>7027</v>
      </c>
      <c r="F351" s="596" t="s">
        <v>664</v>
      </c>
      <c r="G351" s="596">
        <v>5</v>
      </c>
      <c r="H351" s="2268" t="s">
        <v>191</v>
      </c>
      <c r="I351" s="298"/>
      <c r="J351" s="298"/>
      <c r="K351" s="594"/>
      <c r="L351" s="595">
        <v>0.19</v>
      </c>
      <c r="M351" s="982"/>
      <c r="N351" s="594"/>
      <c r="O351" s="917"/>
      <c r="P351" s="595"/>
      <c r="Q351" s="912"/>
      <c r="R351" s="905"/>
      <c r="S351" s="582"/>
      <c r="T351" s="585"/>
      <c r="U351" s="586"/>
      <c r="V351" s="586"/>
      <c r="W351" s="2426"/>
      <c r="X351" s="2427"/>
      <c r="Y351" s="1679"/>
      <c r="Z351" s="1791"/>
      <c r="AE351" s="2461"/>
      <c r="AF351" s="68"/>
      <c r="AI351" s="2475"/>
    </row>
    <row r="352" spans="1:35" ht="15.5" x14ac:dyDescent="0.35">
      <c r="A352" s="525"/>
      <c r="B352" s="1102"/>
      <c r="C352" s="1024"/>
      <c r="D352" s="2465"/>
      <c r="E352" s="2280" t="s">
        <v>7028</v>
      </c>
      <c r="F352" s="596" t="s">
        <v>664</v>
      </c>
      <c r="G352" s="596">
        <v>5</v>
      </c>
      <c r="H352" s="2268">
        <v>6</v>
      </c>
      <c r="I352" s="298"/>
      <c r="J352" s="298"/>
      <c r="K352" s="594"/>
      <c r="L352" s="595"/>
      <c r="M352" s="982"/>
      <c r="N352" s="594"/>
      <c r="O352" s="917"/>
      <c r="P352" s="595"/>
      <c r="Q352" s="912"/>
      <c r="R352" s="905">
        <f>0.316-0.19</f>
        <v>0.126</v>
      </c>
      <c r="S352" s="582"/>
      <c r="T352" s="585"/>
      <c r="U352" s="586"/>
      <c r="V352" s="586"/>
      <c r="W352" s="2426"/>
      <c r="X352" s="2427"/>
      <c r="Y352" s="1679"/>
      <c r="Z352" s="1791"/>
      <c r="AE352" s="2461"/>
      <c r="AF352" s="68"/>
      <c r="AI352" s="2475"/>
    </row>
    <row r="353" spans="1:35" ht="15.5" x14ac:dyDescent="0.35">
      <c r="A353" s="603">
        <v>165</v>
      </c>
      <c r="B353" s="1102">
        <v>10569</v>
      </c>
      <c r="C353" s="1102"/>
      <c r="D353" s="375" t="s">
        <v>3192</v>
      </c>
      <c r="E353" s="371" t="s">
        <v>1421</v>
      </c>
      <c r="F353" s="596"/>
      <c r="G353" s="596" t="s">
        <v>191</v>
      </c>
      <c r="H353" s="2268" t="s">
        <v>191</v>
      </c>
      <c r="I353" s="583">
        <f>J353+K353+L353</f>
        <v>3.3559999999999999</v>
      </c>
      <c r="J353" s="583">
        <f>SUM(M353:R353)</f>
        <v>3.3559999999999999</v>
      </c>
      <c r="K353" s="584"/>
      <c r="L353" s="584"/>
      <c r="M353" s="980"/>
      <c r="N353" s="583"/>
      <c r="O353" s="597">
        <f>SUM(O354:O356)</f>
        <v>0.5</v>
      </c>
      <c r="P353" s="584"/>
      <c r="Q353" s="908"/>
      <c r="R353" s="901">
        <f>SUM(R354:R356)</f>
        <v>2.8559999999999999</v>
      </c>
      <c r="S353" s="586"/>
      <c r="T353" s="590"/>
      <c r="U353" s="586"/>
      <c r="V353" s="586"/>
      <c r="W353" s="2426"/>
      <c r="X353" s="2427"/>
      <c r="Y353" s="1679"/>
      <c r="Z353" s="1791"/>
      <c r="AB353" s="78">
        <v>1</v>
      </c>
      <c r="AE353" s="2461"/>
      <c r="AF353" s="68"/>
      <c r="AI353" s="2475"/>
    </row>
    <row r="354" spans="1:35" ht="15.5" x14ac:dyDescent="0.35">
      <c r="A354" s="605"/>
      <c r="B354" s="1102">
        <v>10569</v>
      </c>
      <c r="C354" s="1102"/>
      <c r="D354" s="377"/>
      <c r="E354" s="1586" t="s">
        <v>2490</v>
      </c>
      <c r="F354" s="596">
        <v>5</v>
      </c>
      <c r="G354" s="596">
        <v>5</v>
      </c>
      <c r="H354" s="2268">
        <v>6</v>
      </c>
      <c r="I354" s="589"/>
      <c r="J354" s="589"/>
      <c r="K354" s="588"/>
      <c r="L354" s="588"/>
      <c r="M354" s="981"/>
      <c r="N354" s="589"/>
      <c r="O354" s="915">
        <v>0.5</v>
      </c>
      <c r="P354" s="588"/>
      <c r="Q354" s="909"/>
      <c r="R354" s="904"/>
      <c r="S354" s="586"/>
      <c r="T354" s="590"/>
      <c r="U354" s="586"/>
      <c r="V354" s="586"/>
      <c r="W354" s="2426"/>
      <c r="X354" s="2427"/>
      <c r="Y354" s="1679"/>
      <c r="Z354" s="1791"/>
      <c r="AE354" s="2461"/>
      <c r="AF354" s="68"/>
    </row>
    <row r="355" spans="1:35" ht="15.5" x14ac:dyDescent="0.35">
      <c r="A355" s="605"/>
      <c r="B355" s="1102">
        <v>10569</v>
      </c>
      <c r="C355" s="1102"/>
      <c r="D355" s="377"/>
      <c r="E355" s="1585" t="s">
        <v>2753</v>
      </c>
      <c r="F355" s="596">
        <v>5</v>
      </c>
      <c r="G355" s="596">
        <v>5</v>
      </c>
      <c r="H355" s="2268">
        <v>6</v>
      </c>
      <c r="I355" s="589"/>
      <c r="J355" s="589"/>
      <c r="K355" s="588"/>
      <c r="L355" s="588"/>
      <c r="M355" s="981"/>
      <c r="N355" s="589"/>
      <c r="O355" s="915"/>
      <c r="P355" s="588"/>
      <c r="Q355" s="909"/>
      <c r="R355" s="904">
        <v>2.1</v>
      </c>
      <c r="S355" s="586"/>
      <c r="T355" s="590"/>
      <c r="U355" s="586"/>
      <c r="V355" s="586"/>
      <c r="W355" s="2426"/>
      <c r="X355" s="2427"/>
      <c r="Y355" s="1679"/>
      <c r="Z355" s="1791"/>
      <c r="AE355" s="2461"/>
      <c r="AF355" s="68"/>
    </row>
    <row r="356" spans="1:35" ht="15.5" x14ac:dyDescent="0.35">
      <c r="A356" s="605"/>
      <c r="B356" s="1102">
        <v>10569</v>
      </c>
      <c r="C356" s="1102"/>
      <c r="D356" s="377"/>
      <c r="E356" s="1585" t="s">
        <v>1420</v>
      </c>
      <c r="F356" s="2268" t="s">
        <v>664</v>
      </c>
      <c r="G356" s="596">
        <v>5</v>
      </c>
      <c r="H356" s="2268">
        <v>6</v>
      </c>
      <c r="I356" s="589"/>
      <c r="J356" s="589"/>
      <c r="K356" s="588"/>
      <c r="L356" s="588"/>
      <c r="M356" s="981"/>
      <c r="N356" s="589"/>
      <c r="O356" s="915"/>
      <c r="P356" s="588"/>
      <c r="Q356" s="909"/>
      <c r="R356" s="904">
        <f>3.356-2.6</f>
        <v>0.75599999999999978</v>
      </c>
      <c r="S356" s="586"/>
      <c r="T356" s="590"/>
      <c r="U356" s="586"/>
      <c r="V356" s="586"/>
      <c r="W356" s="2426"/>
      <c r="X356" s="2427"/>
      <c r="Y356" s="1679"/>
      <c r="Z356" s="1791"/>
      <c r="AE356" s="2461"/>
      <c r="AF356" s="68"/>
    </row>
    <row r="357" spans="1:35" ht="30.5" x14ac:dyDescent="0.35">
      <c r="A357" s="603">
        <v>166</v>
      </c>
      <c r="B357" s="1102">
        <v>10570</v>
      </c>
      <c r="C357" s="1102"/>
      <c r="D357" s="375" t="s">
        <v>3193</v>
      </c>
      <c r="E357" s="374" t="s">
        <v>7029</v>
      </c>
      <c r="F357" s="596"/>
      <c r="G357" s="596"/>
      <c r="H357" s="2268" t="s">
        <v>191</v>
      </c>
      <c r="I357" s="583">
        <f>J357+K357+L357</f>
        <v>5.7</v>
      </c>
      <c r="J357" s="583">
        <f>SUM(M357:R357)</f>
        <v>5.7</v>
      </c>
      <c r="K357" s="584"/>
      <c r="L357" s="584"/>
      <c r="M357" s="980"/>
      <c r="N357" s="583"/>
      <c r="O357" s="597"/>
      <c r="P357" s="584"/>
      <c r="Q357" s="908">
        <f>SUM(Q358:Q359)</f>
        <v>0.9</v>
      </c>
      <c r="R357" s="901">
        <f>SUM(R358:R359)</f>
        <v>4.8</v>
      </c>
      <c r="S357" s="586">
        <v>1</v>
      </c>
      <c r="T357" s="590">
        <v>9.5</v>
      </c>
      <c r="U357" s="586"/>
      <c r="V357" s="586"/>
      <c r="W357" s="2426">
        <v>3</v>
      </c>
      <c r="X357" s="2427">
        <v>30</v>
      </c>
      <c r="Y357" s="1679"/>
      <c r="Z357" s="1791"/>
      <c r="AB357" s="78">
        <v>1</v>
      </c>
      <c r="AE357" s="2461"/>
      <c r="AF357" s="68"/>
      <c r="AI357" s="2475"/>
    </row>
    <row r="358" spans="1:35" ht="15.5" x14ac:dyDescent="0.35">
      <c r="A358" s="605"/>
      <c r="B358" s="1102">
        <v>10570</v>
      </c>
      <c r="C358" s="1102"/>
      <c r="D358" s="377"/>
      <c r="E358" s="1588" t="s">
        <v>282</v>
      </c>
      <c r="F358" s="596">
        <v>5</v>
      </c>
      <c r="G358" s="596">
        <v>5</v>
      </c>
      <c r="H358" s="2268">
        <v>6</v>
      </c>
      <c r="I358" s="589"/>
      <c r="J358" s="589"/>
      <c r="K358" s="588"/>
      <c r="L358" s="588"/>
      <c r="M358" s="981"/>
      <c r="N358" s="589"/>
      <c r="O358" s="915"/>
      <c r="P358" s="588"/>
      <c r="Q358" s="909">
        <v>0.9</v>
      </c>
      <c r="R358" s="904"/>
      <c r="S358" s="586"/>
      <c r="T358" s="590"/>
      <c r="U358" s="586"/>
      <c r="V358" s="586"/>
      <c r="W358" s="2426"/>
      <c r="X358" s="2427"/>
      <c r="Y358" s="1679"/>
      <c r="Z358" s="1791"/>
      <c r="AE358" s="2461"/>
      <c r="AF358" s="68"/>
    </row>
    <row r="359" spans="1:35" ht="15.5" x14ac:dyDescent="0.35">
      <c r="A359" s="605"/>
      <c r="B359" s="1102">
        <v>10570</v>
      </c>
      <c r="C359" s="1102"/>
      <c r="D359" s="377"/>
      <c r="E359" s="1589" t="s">
        <v>3456</v>
      </c>
      <c r="F359" s="596">
        <v>5</v>
      </c>
      <c r="G359" s="596">
        <v>5</v>
      </c>
      <c r="H359" s="2268">
        <v>6</v>
      </c>
      <c r="I359" s="589"/>
      <c r="J359" s="589"/>
      <c r="K359" s="588"/>
      <c r="L359" s="588"/>
      <c r="M359" s="981"/>
      <c r="N359" s="589"/>
      <c r="O359" s="915"/>
      <c r="P359" s="588"/>
      <c r="Q359" s="909"/>
      <c r="R359" s="904">
        <v>4.8</v>
      </c>
      <c r="S359" s="586"/>
      <c r="T359" s="590"/>
      <c r="U359" s="586"/>
      <c r="V359" s="586"/>
      <c r="W359" s="2426"/>
      <c r="X359" s="2427"/>
      <c r="Y359" s="1679"/>
      <c r="Z359" s="1791"/>
      <c r="AE359" s="2461"/>
      <c r="AF359" s="68"/>
    </row>
    <row r="360" spans="1:35" ht="45.5" x14ac:dyDescent="0.35">
      <c r="A360" s="525">
        <v>167</v>
      </c>
      <c r="B360" s="1040">
        <v>10570</v>
      </c>
      <c r="C360" s="1040"/>
      <c r="D360" s="2465" t="s">
        <v>4709</v>
      </c>
      <c r="E360" s="372" t="s">
        <v>7677</v>
      </c>
      <c r="F360" s="93" t="s">
        <v>664</v>
      </c>
      <c r="G360" s="93">
        <v>5</v>
      </c>
      <c r="H360" s="2268">
        <v>6</v>
      </c>
      <c r="I360" s="2202">
        <f>J360+K360+L360</f>
        <v>0.4</v>
      </c>
      <c r="J360" s="2202">
        <f>SUM(M360:R360)</f>
        <v>0.4</v>
      </c>
      <c r="K360" s="577"/>
      <c r="L360" s="577"/>
      <c r="M360" s="577"/>
      <c r="N360" s="577"/>
      <c r="O360" s="577"/>
      <c r="P360" s="577"/>
      <c r="Q360" s="577"/>
      <c r="R360" s="2207">
        <v>0.4</v>
      </c>
      <c r="S360" s="46"/>
      <c r="T360" s="46"/>
      <c r="U360" s="46"/>
      <c r="V360" s="46"/>
      <c r="W360" s="67"/>
      <c r="X360" s="46"/>
      <c r="Y360" s="46"/>
      <c r="Z360" s="47"/>
      <c r="AB360" s="78">
        <v>1</v>
      </c>
      <c r="AE360" s="2461"/>
      <c r="AF360" s="68"/>
      <c r="AI360" s="2475"/>
    </row>
    <row r="361" spans="1:35" ht="30.5" x14ac:dyDescent="0.35">
      <c r="A361" s="603">
        <v>168</v>
      </c>
      <c r="B361" s="1102">
        <v>10571</v>
      </c>
      <c r="C361" s="1102"/>
      <c r="D361" s="375" t="s">
        <v>1983</v>
      </c>
      <c r="E361" s="374" t="s">
        <v>9536</v>
      </c>
      <c r="F361" s="596"/>
      <c r="G361" s="596" t="s">
        <v>191</v>
      </c>
      <c r="H361" s="2268" t="s">
        <v>191</v>
      </c>
      <c r="I361" s="583">
        <f>J361+K361+L361</f>
        <v>2.5</v>
      </c>
      <c r="J361" s="583">
        <f>SUM(M361:R361)</f>
        <v>2.5</v>
      </c>
      <c r="K361" s="584"/>
      <c r="L361" s="584"/>
      <c r="M361" s="980"/>
      <c r="N361" s="583"/>
      <c r="O361" s="597">
        <f>SUM(O362:O362)</f>
        <v>2.5</v>
      </c>
      <c r="P361" s="584"/>
      <c r="Q361" s="908"/>
      <c r="R361" s="901"/>
      <c r="S361" s="586"/>
      <c r="T361" s="590"/>
      <c r="U361" s="586"/>
      <c r="V361" s="586"/>
      <c r="W361" s="2426">
        <v>1</v>
      </c>
      <c r="X361" s="2427">
        <v>10</v>
      </c>
      <c r="Y361" s="1679"/>
      <c r="Z361" s="1791"/>
      <c r="AB361" s="78">
        <v>1</v>
      </c>
      <c r="AE361" s="2461"/>
      <c r="AF361" s="68"/>
      <c r="AI361" s="2475"/>
    </row>
    <row r="362" spans="1:35" ht="15.5" x14ac:dyDescent="0.35">
      <c r="A362" s="605"/>
      <c r="B362" s="1102">
        <v>10571</v>
      </c>
      <c r="C362" s="1102"/>
      <c r="D362" s="377"/>
      <c r="E362" s="1590" t="s">
        <v>3284</v>
      </c>
      <c r="F362" s="596" t="s">
        <v>827</v>
      </c>
      <c r="G362" s="596">
        <v>5</v>
      </c>
      <c r="H362" s="2268">
        <v>6</v>
      </c>
      <c r="I362" s="589"/>
      <c r="J362" s="589"/>
      <c r="K362" s="588"/>
      <c r="L362" s="588"/>
      <c r="M362" s="981"/>
      <c r="N362" s="589"/>
      <c r="O362" s="915">
        <v>2.5</v>
      </c>
      <c r="P362" s="588"/>
      <c r="Q362" s="909"/>
      <c r="R362" s="904"/>
      <c r="S362" s="586"/>
      <c r="T362" s="590"/>
      <c r="U362" s="586"/>
      <c r="V362" s="586"/>
      <c r="W362" s="2426"/>
      <c r="X362" s="2427"/>
      <c r="Y362" s="1679"/>
      <c r="Z362" s="1791"/>
      <c r="AE362" s="2461"/>
      <c r="AF362" s="68"/>
    </row>
    <row r="363" spans="1:35" ht="15.5" x14ac:dyDescent="0.35">
      <c r="A363" s="603">
        <v>169</v>
      </c>
      <c r="B363" s="1102">
        <v>10572</v>
      </c>
      <c r="C363" s="1102"/>
      <c r="D363" s="375" t="s">
        <v>1984</v>
      </c>
      <c r="E363" s="371" t="s">
        <v>2543</v>
      </c>
      <c r="F363" s="596"/>
      <c r="G363" s="596"/>
      <c r="H363" s="2268" t="s">
        <v>191</v>
      </c>
      <c r="I363" s="583">
        <f>J363+K363+L363</f>
        <v>2.819</v>
      </c>
      <c r="J363" s="583">
        <f>SUM(M363:R363)</f>
        <v>2.819</v>
      </c>
      <c r="K363" s="584"/>
      <c r="L363" s="584"/>
      <c r="M363" s="980"/>
      <c r="N363" s="583">
        <f>SUM(N364:N366)</f>
        <v>0.80600000000000005</v>
      </c>
      <c r="O363" s="597"/>
      <c r="P363" s="584"/>
      <c r="Q363" s="908">
        <f>SUM(Q364:Q366)</f>
        <v>2.0129999999999999</v>
      </c>
      <c r="R363" s="903"/>
      <c r="S363" s="586"/>
      <c r="T363" s="590"/>
      <c r="U363" s="586"/>
      <c r="V363" s="586"/>
      <c r="W363" s="2426">
        <v>5</v>
      </c>
      <c r="X363" s="2427">
        <v>63.5</v>
      </c>
      <c r="Y363" s="1679"/>
      <c r="Z363" s="1791"/>
      <c r="AB363" s="78">
        <v>1</v>
      </c>
      <c r="AE363" s="2461"/>
      <c r="AF363" s="68"/>
      <c r="AI363" s="2475"/>
    </row>
    <row r="364" spans="1:35" ht="15.5" x14ac:dyDescent="0.35">
      <c r="A364" s="605"/>
      <c r="B364" s="1102">
        <v>10572</v>
      </c>
      <c r="C364" s="1102"/>
      <c r="D364" s="377"/>
      <c r="E364" s="1584" t="s">
        <v>2544</v>
      </c>
      <c r="F364" s="596">
        <v>5</v>
      </c>
      <c r="G364" s="596">
        <v>5</v>
      </c>
      <c r="H364" s="2268">
        <v>6</v>
      </c>
      <c r="I364" s="589"/>
      <c r="J364" s="589"/>
      <c r="K364" s="588"/>
      <c r="L364" s="588"/>
      <c r="M364" s="981"/>
      <c r="N364" s="589">
        <v>0.435</v>
      </c>
      <c r="O364" s="915"/>
      <c r="P364" s="588"/>
      <c r="Q364" s="909"/>
      <c r="R364" s="904"/>
      <c r="S364" s="586"/>
      <c r="T364" s="590"/>
      <c r="U364" s="586"/>
      <c r="V364" s="586"/>
      <c r="W364" s="2426"/>
      <c r="X364" s="2427"/>
      <c r="Y364" s="1679"/>
      <c r="Z364" s="1791"/>
      <c r="AE364" s="2461"/>
      <c r="AF364" s="68"/>
    </row>
    <row r="365" spans="1:35" ht="15.5" x14ac:dyDescent="0.35">
      <c r="A365" s="605"/>
      <c r="B365" s="1102">
        <v>10572</v>
      </c>
      <c r="C365" s="1102"/>
      <c r="D365" s="377"/>
      <c r="E365" s="1583" t="s">
        <v>2546</v>
      </c>
      <c r="F365" s="596">
        <v>5</v>
      </c>
      <c r="G365" s="596">
        <v>5</v>
      </c>
      <c r="H365" s="2268">
        <v>6</v>
      </c>
      <c r="I365" s="589"/>
      <c r="J365" s="589"/>
      <c r="K365" s="588"/>
      <c r="L365" s="588"/>
      <c r="M365" s="981"/>
      <c r="N365" s="589"/>
      <c r="O365" s="915"/>
      <c r="P365" s="588"/>
      <c r="Q365" s="909">
        <f>2.448-0.435</f>
        <v>2.0129999999999999</v>
      </c>
      <c r="R365" s="904"/>
      <c r="S365" s="586"/>
      <c r="T365" s="590"/>
      <c r="U365" s="586"/>
      <c r="V365" s="586"/>
      <c r="W365" s="2426"/>
      <c r="X365" s="2427"/>
      <c r="Y365" s="1679"/>
      <c r="Z365" s="1791"/>
      <c r="AE365" s="2461"/>
      <c r="AF365" s="68"/>
    </row>
    <row r="366" spans="1:35" ht="15.5" x14ac:dyDescent="0.35">
      <c r="A366" s="605"/>
      <c r="B366" s="1102">
        <v>10572</v>
      </c>
      <c r="C366" s="1102"/>
      <c r="D366" s="377"/>
      <c r="E366" s="1584" t="s">
        <v>2545</v>
      </c>
      <c r="F366" s="596">
        <v>5</v>
      </c>
      <c r="G366" s="596">
        <v>5</v>
      </c>
      <c r="H366" s="2268">
        <v>6</v>
      </c>
      <c r="I366" s="589"/>
      <c r="J366" s="589"/>
      <c r="K366" s="588"/>
      <c r="L366" s="588"/>
      <c r="M366" s="981"/>
      <c r="N366" s="589">
        <v>0.371</v>
      </c>
      <c r="O366" s="915"/>
      <c r="P366" s="588"/>
      <c r="Q366" s="909"/>
      <c r="R366" s="904"/>
      <c r="S366" s="586"/>
      <c r="T366" s="590"/>
      <c r="U366" s="586"/>
      <c r="V366" s="586"/>
      <c r="W366" s="2426"/>
      <c r="X366" s="2427"/>
      <c r="Y366" s="1679"/>
      <c r="Z366" s="1791"/>
      <c r="AE366" s="2461"/>
      <c r="AF366" s="68"/>
    </row>
    <row r="367" spans="1:35" ht="30.5" x14ac:dyDescent="0.35">
      <c r="A367" s="1593">
        <v>170</v>
      </c>
      <c r="B367" s="1100">
        <v>10572</v>
      </c>
      <c r="C367" s="358" t="s">
        <v>1656</v>
      </c>
      <c r="D367" s="2465" t="s">
        <v>4710</v>
      </c>
      <c r="E367" s="372" t="s">
        <v>8435</v>
      </c>
      <c r="F367" s="596" t="s">
        <v>664</v>
      </c>
      <c r="G367" s="596">
        <v>5</v>
      </c>
      <c r="H367" s="2268">
        <v>6</v>
      </c>
      <c r="I367" s="297">
        <f>J367+K367+L367</f>
        <v>0.3</v>
      </c>
      <c r="J367" s="297">
        <f>SUM(M367:R367)</f>
        <v>0.3</v>
      </c>
      <c r="K367" s="584"/>
      <c r="L367" s="584"/>
      <c r="M367" s="980"/>
      <c r="N367" s="583"/>
      <c r="O367" s="597"/>
      <c r="P367" s="584"/>
      <c r="Q367" s="908"/>
      <c r="R367" s="901">
        <v>0.3</v>
      </c>
      <c r="S367" s="586"/>
      <c r="T367" s="590"/>
      <c r="U367" s="586"/>
      <c r="V367" s="586"/>
      <c r="W367" s="2426"/>
      <c r="X367" s="2427"/>
      <c r="Y367" s="1679"/>
      <c r="Z367" s="1791"/>
      <c r="AB367" s="78">
        <v>1</v>
      </c>
      <c r="AE367" s="2461"/>
      <c r="AF367" s="68"/>
      <c r="AI367" s="2475"/>
    </row>
    <row r="368" spans="1:35" ht="60.5" x14ac:dyDescent="0.35">
      <c r="A368" s="603">
        <v>171</v>
      </c>
      <c r="B368" s="1102">
        <v>10573</v>
      </c>
      <c r="C368" s="1102"/>
      <c r="D368" s="375" t="s">
        <v>209</v>
      </c>
      <c r="E368" s="371" t="s">
        <v>9806</v>
      </c>
      <c r="F368" s="596" t="s">
        <v>1516</v>
      </c>
      <c r="G368" s="596" t="s">
        <v>191</v>
      </c>
      <c r="H368" s="2268" t="s">
        <v>191</v>
      </c>
      <c r="I368" s="583">
        <f>J368+K368+L368</f>
        <v>4.4000000000000004</v>
      </c>
      <c r="J368" s="583">
        <f>SUM(M368:R368)</f>
        <v>4.4000000000000004</v>
      </c>
      <c r="K368" s="584"/>
      <c r="L368" s="584"/>
      <c r="M368" s="980"/>
      <c r="N368" s="583">
        <f>SUM(N369:N372)</f>
        <v>1.8</v>
      </c>
      <c r="O368" s="916">
        <f>SUM(O369:O372)</f>
        <v>0.2</v>
      </c>
      <c r="P368" s="584"/>
      <c r="Q368" s="908">
        <f>SUM(Q369:Q372)</f>
        <v>1.6</v>
      </c>
      <c r="R368" s="903">
        <f>SUM(R369:R372)</f>
        <v>0.8</v>
      </c>
      <c r="S368" s="586"/>
      <c r="T368" s="590"/>
      <c r="U368" s="586"/>
      <c r="V368" s="586"/>
      <c r="W368" s="2426">
        <v>4</v>
      </c>
      <c r="X368" s="2427">
        <v>50</v>
      </c>
      <c r="Y368" s="1679"/>
      <c r="Z368" s="1791"/>
      <c r="AB368" s="78">
        <v>1</v>
      </c>
      <c r="AE368" s="2461"/>
      <c r="AF368" s="68"/>
      <c r="AI368" s="2475"/>
    </row>
    <row r="369" spans="1:35" ht="15.5" x14ac:dyDescent="0.35">
      <c r="A369" s="605"/>
      <c r="B369" s="1102">
        <v>10573</v>
      </c>
      <c r="C369" s="1102"/>
      <c r="D369" s="377"/>
      <c r="E369" s="1584" t="s">
        <v>3437</v>
      </c>
      <c r="F369" s="596">
        <v>4</v>
      </c>
      <c r="G369" s="596">
        <v>5</v>
      </c>
      <c r="H369" s="2268">
        <v>6</v>
      </c>
      <c r="I369" s="589"/>
      <c r="J369" s="589"/>
      <c r="K369" s="588"/>
      <c r="L369" s="588"/>
      <c r="M369" s="981"/>
      <c r="N369" s="589">
        <v>1.8</v>
      </c>
      <c r="O369" s="915"/>
      <c r="P369" s="588"/>
      <c r="Q369" s="909"/>
      <c r="R369" s="904"/>
      <c r="S369" s="586"/>
      <c r="T369" s="590"/>
      <c r="U369" s="586"/>
      <c r="V369" s="586"/>
      <c r="W369" s="2426"/>
      <c r="X369" s="2427"/>
      <c r="Y369" s="1679"/>
      <c r="Z369" s="1791"/>
      <c r="AE369" s="2461"/>
      <c r="AF369" s="68"/>
    </row>
    <row r="370" spans="1:35" ht="15.5" x14ac:dyDescent="0.35">
      <c r="A370" s="605"/>
      <c r="B370" s="1102">
        <v>10573</v>
      </c>
      <c r="C370" s="1102"/>
      <c r="D370" s="377"/>
      <c r="E370" s="1586" t="s">
        <v>3436</v>
      </c>
      <c r="F370" s="596">
        <v>4</v>
      </c>
      <c r="G370" s="596">
        <v>5</v>
      </c>
      <c r="H370" s="2268">
        <v>6</v>
      </c>
      <c r="I370" s="589"/>
      <c r="J370" s="589"/>
      <c r="K370" s="588"/>
      <c r="L370" s="588"/>
      <c r="M370" s="981"/>
      <c r="N370" s="589"/>
      <c r="O370" s="915">
        <v>0.2</v>
      </c>
      <c r="P370" s="588"/>
      <c r="Q370" s="909"/>
      <c r="R370" s="904"/>
      <c r="S370" s="586"/>
      <c r="T370" s="590"/>
      <c r="U370" s="586"/>
      <c r="V370" s="586"/>
      <c r="W370" s="2426"/>
      <c r="X370" s="2427"/>
      <c r="Y370" s="1679"/>
      <c r="Z370" s="1791"/>
      <c r="AE370" s="2461"/>
      <c r="AF370" s="68"/>
    </row>
    <row r="371" spans="1:35" ht="15.5" x14ac:dyDescent="0.35">
      <c r="A371" s="605"/>
      <c r="B371" s="1102">
        <v>10573</v>
      </c>
      <c r="C371" s="1102"/>
      <c r="D371" s="377"/>
      <c r="E371" s="1583" t="s">
        <v>3434</v>
      </c>
      <c r="F371" s="2281" t="s">
        <v>664</v>
      </c>
      <c r="G371" s="596">
        <v>5</v>
      </c>
      <c r="H371" s="2912">
        <v>6</v>
      </c>
      <c r="I371" s="589"/>
      <c r="J371" s="589"/>
      <c r="K371" s="588"/>
      <c r="L371" s="588"/>
      <c r="M371" s="981"/>
      <c r="N371" s="589"/>
      <c r="O371" s="915"/>
      <c r="P371" s="588"/>
      <c r="Q371" s="2914">
        <f>3.6-2</f>
        <v>1.6</v>
      </c>
      <c r="R371" s="2913">
        <v>0</v>
      </c>
      <c r="S371" s="586"/>
      <c r="T371" s="590"/>
      <c r="U371" s="586"/>
      <c r="V371" s="586"/>
      <c r="W371" s="2426"/>
      <c r="X371" s="2427"/>
      <c r="Y371" s="1679"/>
      <c r="Z371" s="1791"/>
      <c r="AE371" s="2461"/>
      <c r="AF371" s="68"/>
    </row>
    <row r="372" spans="1:35" ht="15.5" x14ac:dyDescent="0.35">
      <c r="A372" s="605"/>
      <c r="B372" s="1102">
        <v>10573</v>
      </c>
      <c r="C372" s="1102"/>
      <c r="D372" s="377"/>
      <c r="E372" s="1585" t="s">
        <v>3435</v>
      </c>
      <c r="F372" s="596" t="s">
        <v>827</v>
      </c>
      <c r="G372" s="596">
        <v>5</v>
      </c>
      <c r="H372" s="2268">
        <v>6</v>
      </c>
      <c r="I372" s="589"/>
      <c r="J372" s="589"/>
      <c r="K372" s="588"/>
      <c r="L372" s="588"/>
      <c r="M372" s="981"/>
      <c r="N372" s="589"/>
      <c r="O372" s="915"/>
      <c r="P372" s="588"/>
      <c r="Q372" s="909"/>
      <c r="R372" s="904">
        <v>0.8</v>
      </c>
      <c r="S372" s="586"/>
      <c r="T372" s="590"/>
      <c r="U372" s="586"/>
      <c r="V372" s="586"/>
      <c r="W372" s="2426"/>
      <c r="X372" s="2427"/>
      <c r="Y372" s="1679"/>
      <c r="Z372" s="1791"/>
      <c r="AE372" s="2461"/>
      <c r="AF372" s="68"/>
    </row>
    <row r="373" spans="1:35" ht="15.5" x14ac:dyDescent="0.35">
      <c r="A373" s="603">
        <v>172</v>
      </c>
      <c r="B373" s="1102">
        <v>10574</v>
      </c>
      <c r="C373" s="1102"/>
      <c r="D373" s="375" t="s">
        <v>2882</v>
      </c>
      <c r="E373" s="372" t="s">
        <v>235</v>
      </c>
      <c r="F373" s="596"/>
      <c r="G373" s="596" t="s">
        <v>191</v>
      </c>
      <c r="H373" s="2268" t="s">
        <v>191</v>
      </c>
      <c r="I373" s="583">
        <f>J373+K373+L373</f>
        <v>7.3999999999999995</v>
      </c>
      <c r="J373" s="583">
        <f>SUM(M373:R373)</f>
        <v>6.6999999999999993</v>
      </c>
      <c r="K373" s="584">
        <f>SUM(K374:K376)</f>
        <v>0.7</v>
      </c>
      <c r="L373" s="584"/>
      <c r="M373" s="980"/>
      <c r="N373" s="584"/>
      <c r="O373" s="597">
        <f>SUM(O374:O376)</f>
        <v>1.6</v>
      </c>
      <c r="P373" s="584"/>
      <c r="Q373" s="908"/>
      <c r="R373" s="901">
        <f>SUM(R374:R376)</f>
        <v>5.0999999999999996</v>
      </c>
      <c r="S373" s="586"/>
      <c r="T373" s="590"/>
      <c r="U373" s="586"/>
      <c r="V373" s="586"/>
      <c r="W373" s="2426">
        <v>2</v>
      </c>
      <c r="X373" s="2427">
        <v>25</v>
      </c>
      <c r="Y373" s="1679"/>
      <c r="Z373" s="1791"/>
      <c r="AB373" s="78">
        <v>1</v>
      </c>
      <c r="AE373" s="2461"/>
      <c r="AF373" s="68"/>
      <c r="AI373" s="2475"/>
    </row>
    <row r="374" spans="1:35" ht="46.5" x14ac:dyDescent="0.35">
      <c r="A374" s="605"/>
      <c r="B374" s="1102">
        <v>10574</v>
      </c>
      <c r="C374" s="1102"/>
      <c r="D374" s="375"/>
      <c r="E374" s="1591" t="s">
        <v>9984</v>
      </c>
      <c r="F374" s="596">
        <v>5</v>
      </c>
      <c r="G374" s="596">
        <v>5</v>
      </c>
      <c r="H374" s="2268" t="s">
        <v>191</v>
      </c>
      <c r="I374" s="589"/>
      <c r="J374" s="589"/>
      <c r="K374" s="588">
        <v>0.7</v>
      </c>
      <c r="L374" s="588"/>
      <c r="M374" s="981"/>
      <c r="N374" s="589"/>
      <c r="O374" s="915"/>
      <c r="P374" s="588"/>
      <c r="Q374" s="909"/>
      <c r="R374" s="904"/>
      <c r="S374" s="586"/>
      <c r="T374" s="590"/>
      <c r="U374" s="586"/>
      <c r="V374" s="586"/>
      <c r="W374" s="2426"/>
      <c r="X374" s="2427"/>
      <c r="Y374" s="1679"/>
      <c r="Z374" s="1791"/>
      <c r="AE374" s="2461"/>
      <c r="AF374" s="68"/>
    </row>
    <row r="375" spans="1:35" ht="15.5" x14ac:dyDescent="0.35">
      <c r="A375" s="605"/>
      <c r="B375" s="1102">
        <v>10574</v>
      </c>
      <c r="C375" s="1102"/>
      <c r="D375" s="375"/>
      <c r="E375" s="1586" t="s">
        <v>236</v>
      </c>
      <c r="F375" s="596">
        <v>5</v>
      </c>
      <c r="G375" s="596">
        <v>5</v>
      </c>
      <c r="H375" s="2268">
        <v>6</v>
      </c>
      <c r="I375" s="589"/>
      <c r="J375" s="589"/>
      <c r="K375" s="588"/>
      <c r="L375" s="588"/>
      <c r="M375" s="981"/>
      <c r="N375" s="589"/>
      <c r="O375" s="915">
        <v>1.6</v>
      </c>
      <c r="P375" s="588"/>
      <c r="Q375" s="909"/>
      <c r="R375" s="904"/>
      <c r="S375" s="586"/>
      <c r="T375" s="590"/>
      <c r="U375" s="586"/>
      <c r="V375" s="586"/>
      <c r="W375" s="2426"/>
      <c r="X375" s="2427"/>
      <c r="Y375" s="1679"/>
      <c r="Z375" s="1791"/>
      <c r="AE375" s="2461"/>
      <c r="AF375" s="68"/>
    </row>
    <row r="376" spans="1:35" ht="15.5" x14ac:dyDescent="0.35">
      <c r="A376" s="605"/>
      <c r="B376" s="1102">
        <v>10574</v>
      </c>
      <c r="C376" s="1102"/>
      <c r="D376" s="375"/>
      <c r="E376" s="1585" t="s">
        <v>237</v>
      </c>
      <c r="F376" s="596">
        <v>5</v>
      </c>
      <c r="G376" s="596">
        <v>5</v>
      </c>
      <c r="H376" s="2268">
        <v>6</v>
      </c>
      <c r="I376" s="589"/>
      <c r="J376" s="589"/>
      <c r="K376" s="588"/>
      <c r="L376" s="588"/>
      <c r="M376" s="981"/>
      <c r="N376" s="589"/>
      <c r="O376" s="915"/>
      <c r="P376" s="588"/>
      <c r="Q376" s="909"/>
      <c r="R376" s="904">
        <v>5.0999999999999996</v>
      </c>
      <c r="S376" s="586"/>
      <c r="T376" s="590"/>
      <c r="U376" s="586"/>
      <c r="V376" s="586"/>
      <c r="W376" s="2426"/>
      <c r="X376" s="2427"/>
      <c r="Y376" s="1679"/>
      <c r="Z376" s="1791"/>
      <c r="AE376" s="2461"/>
      <c r="AF376" s="68"/>
    </row>
    <row r="377" spans="1:35" ht="15.5" x14ac:dyDescent="0.35">
      <c r="A377" s="603">
        <v>173</v>
      </c>
      <c r="B377" s="1102">
        <v>10575</v>
      </c>
      <c r="C377" s="1102"/>
      <c r="D377" s="375" t="s">
        <v>2881</v>
      </c>
      <c r="E377" s="372" t="s">
        <v>7031</v>
      </c>
      <c r="F377" s="596"/>
      <c r="G377" s="596"/>
      <c r="H377" s="2268" t="s">
        <v>191</v>
      </c>
      <c r="I377" s="583">
        <f>J377+K377+L377</f>
        <v>5.82</v>
      </c>
      <c r="J377" s="583">
        <f>SUM(M377:R377)</f>
        <v>5.82</v>
      </c>
      <c r="K377" s="584"/>
      <c r="L377" s="584"/>
      <c r="M377" s="980"/>
      <c r="N377" s="583">
        <f>SUM(N378:N379)</f>
        <v>0.4</v>
      </c>
      <c r="O377" s="597"/>
      <c r="P377" s="584"/>
      <c r="Q377" s="908"/>
      <c r="R377" s="903">
        <f>SUM(R378:R379)</f>
        <v>5.42</v>
      </c>
      <c r="S377" s="586"/>
      <c r="T377" s="590"/>
      <c r="U377" s="586"/>
      <c r="V377" s="586"/>
      <c r="W377" s="2426">
        <v>3</v>
      </c>
      <c r="X377" s="2427">
        <v>30</v>
      </c>
      <c r="Y377" s="1679"/>
      <c r="Z377" s="1791"/>
      <c r="AB377" s="78">
        <v>1</v>
      </c>
      <c r="AE377" s="2461"/>
      <c r="AF377" s="68"/>
      <c r="AI377" s="2475"/>
    </row>
    <row r="378" spans="1:35" ht="15.5" x14ac:dyDescent="0.35">
      <c r="A378" s="603"/>
      <c r="B378" s="1102">
        <v>10575</v>
      </c>
      <c r="C378" s="1102"/>
      <c r="D378" s="375"/>
      <c r="E378" s="1584" t="s">
        <v>1074</v>
      </c>
      <c r="F378" s="2268">
        <v>5</v>
      </c>
      <c r="G378" s="596">
        <v>5</v>
      </c>
      <c r="H378" s="2268">
        <v>6</v>
      </c>
      <c r="I378" s="583"/>
      <c r="J378" s="583"/>
      <c r="K378" s="584"/>
      <c r="L378" s="584"/>
      <c r="M378" s="980"/>
      <c r="N378" s="589">
        <v>0.4</v>
      </c>
      <c r="O378" s="597"/>
      <c r="P378" s="584"/>
      <c r="Q378" s="908"/>
      <c r="R378" s="903"/>
      <c r="S378" s="586"/>
      <c r="T378" s="590"/>
      <c r="U378" s="586"/>
      <c r="V378" s="586"/>
      <c r="W378" s="2426"/>
      <c r="X378" s="2427"/>
      <c r="Y378" s="1679"/>
      <c r="Z378" s="1791"/>
      <c r="AE378" s="2461"/>
      <c r="AF378" s="68"/>
    </row>
    <row r="379" spans="1:35" ht="15.5" x14ac:dyDescent="0.35">
      <c r="A379" s="603"/>
      <c r="B379" s="1102">
        <v>10575</v>
      </c>
      <c r="C379" s="1102"/>
      <c r="D379" s="375"/>
      <c r="E379" s="1585" t="s">
        <v>7030</v>
      </c>
      <c r="F379" s="2268" t="s">
        <v>827</v>
      </c>
      <c r="G379" s="596">
        <v>5</v>
      </c>
      <c r="H379" s="2268">
        <v>6</v>
      </c>
      <c r="I379" s="583"/>
      <c r="J379" s="583"/>
      <c r="K379" s="584"/>
      <c r="L379" s="584"/>
      <c r="M379" s="980"/>
      <c r="N379" s="583"/>
      <c r="O379" s="597"/>
      <c r="P379" s="584"/>
      <c r="Q379" s="908"/>
      <c r="R379" s="904">
        <f>5.82-0.4</f>
        <v>5.42</v>
      </c>
      <c r="S379" s="586"/>
      <c r="T379" s="590"/>
      <c r="U379" s="586"/>
      <c r="V379" s="586"/>
      <c r="W379" s="2426"/>
      <c r="X379" s="2427"/>
      <c r="Y379" s="1679"/>
      <c r="Z379" s="1791"/>
      <c r="AE379" s="2461"/>
      <c r="AF379" s="68"/>
    </row>
    <row r="380" spans="1:35" ht="45.5" x14ac:dyDescent="0.35">
      <c r="A380" s="1593">
        <v>174</v>
      </c>
      <c r="B380" s="375">
        <v>10575</v>
      </c>
      <c r="C380" s="358" t="s">
        <v>1656</v>
      </c>
      <c r="D380" s="2465" t="s">
        <v>4711</v>
      </c>
      <c r="E380" s="372" t="s">
        <v>8436</v>
      </c>
      <c r="F380" s="591" t="s">
        <v>664</v>
      </c>
      <c r="G380" s="596">
        <v>5</v>
      </c>
      <c r="H380" s="2268">
        <v>6</v>
      </c>
      <c r="I380" s="297">
        <f>J380+K380+L380</f>
        <v>1.704</v>
      </c>
      <c r="J380" s="297">
        <f>SUM(M380:R380)</f>
        <v>1.704</v>
      </c>
      <c r="K380" s="589"/>
      <c r="L380" s="588"/>
      <c r="M380" s="981"/>
      <c r="N380" s="2364"/>
      <c r="O380" s="2365"/>
      <c r="P380" s="2364"/>
      <c r="Q380" s="1792"/>
      <c r="R380" s="2366">
        <v>1.704</v>
      </c>
      <c r="S380" s="586"/>
      <c r="T380" s="590"/>
      <c r="U380" s="586"/>
      <c r="V380" s="586"/>
      <c r="W380" s="1679"/>
      <c r="X380" s="1678"/>
      <c r="Y380" s="1679"/>
      <c r="Z380" s="1791"/>
      <c r="AB380" s="78">
        <v>1</v>
      </c>
      <c r="AE380" s="2461"/>
      <c r="AF380" s="68"/>
      <c r="AI380" s="2475"/>
    </row>
    <row r="381" spans="1:35" ht="45.5" x14ac:dyDescent="0.35">
      <c r="A381" s="1593">
        <v>175</v>
      </c>
      <c r="B381" s="1100">
        <v>10575</v>
      </c>
      <c r="C381" s="358" t="s">
        <v>1656</v>
      </c>
      <c r="D381" s="2465" t="s">
        <v>4712</v>
      </c>
      <c r="E381" s="372" t="s">
        <v>8437</v>
      </c>
      <c r="F381" s="596" t="s">
        <v>664</v>
      </c>
      <c r="G381" s="596">
        <v>5</v>
      </c>
      <c r="H381" s="2268">
        <v>6</v>
      </c>
      <c r="I381" s="297">
        <f>J381+K381+L381</f>
        <v>1.48</v>
      </c>
      <c r="J381" s="297">
        <f>SUM(M381:R381)</f>
        <v>1.48</v>
      </c>
      <c r="K381" s="584"/>
      <c r="L381" s="584"/>
      <c r="M381" s="980"/>
      <c r="N381" s="583"/>
      <c r="O381" s="597"/>
      <c r="P381" s="584"/>
      <c r="Q381" s="908"/>
      <c r="R381" s="903">
        <v>1.48</v>
      </c>
      <c r="S381" s="586"/>
      <c r="T381" s="590"/>
      <c r="U381" s="586"/>
      <c r="V381" s="586"/>
      <c r="W381" s="2426"/>
      <c r="X381" s="2427"/>
      <c r="Y381" s="1679"/>
      <c r="Z381" s="1791"/>
      <c r="AB381" s="78">
        <v>1</v>
      </c>
      <c r="AE381" s="2461"/>
      <c r="AF381" s="68"/>
      <c r="AI381" s="2475"/>
    </row>
    <row r="382" spans="1:35" ht="30.5" x14ac:dyDescent="0.35">
      <c r="A382" s="603"/>
      <c r="B382" s="1035" t="s">
        <v>982</v>
      </c>
      <c r="C382" s="1035"/>
      <c r="D382" s="375"/>
      <c r="E382" s="1596" t="s">
        <v>1457</v>
      </c>
      <c r="F382" s="596"/>
      <c r="G382" s="596"/>
      <c r="H382" s="2268"/>
      <c r="I382" s="583"/>
      <c r="J382" s="583"/>
      <c r="K382" s="584"/>
      <c r="L382" s="584"/>
      <c r="M382" s="980"/>
      <c r="N382" s="583"/>
      <c r="O382" s="597"/>
      <c r="P382" s="584"/>
      <c r="Q382" s="908"/>
      <c r="R382" s="903"/>
      <c r="S382" s="586"/>
      <c r="T382" s="590"/>
      <c r="U382" s="586"/>
      <c r="V382" s="586"/>
      <c r="W382" s="2426"/>
      <c r="X382" s="2427"/>
      <c r="Y382" s="1679"/>
      <c r="Z382" s="1791"/>
      <c r="AE382" s="2461"/>
      <c r="AF382" s="68"/>
    </row>
    <row r="383" spans="1:35" ht="30.5" x14ac:dyDescent="0.35">
      <c r="A383" s="603">
        <v>176</v>
      </c>
      <c r="B383" s="1035" t="s">
        <v>982</v>
      </c>
      <c r="C383" s="1035"/>
      <c r="D383" s="2465" t="s">
        <v>4713</v>
      </c>
      <c r="E383" s="371" t="s">
        <v>7678</v>
      </c>
      <c r="F383" s="596">
        <v>4</v>
      </c>
      <c r="G383" s="596">
        <v>5</v>
      </c>
      <c r="H383" s="2268">
        <v>6</v>
      </c>
      <c r="I383" s="583">
        <f>J383+K383+L383</f>
        <v>1.2</v>
      </c>
      <c r="J383" s="583">
        <f>SUM(M383:R383)</f>
        <v>1.2</v>
      </c>
      <c r="K383" s="584"/>
      <c r="L383" s="584"/>
      <c r="M383" s="980"/>
      <c r="N383" s="583">
        <v>1.2</v>
      </c>
      <c r="O383" s="597"/>
      <c r="P383" s="584"/>
      <c r="Q383" s="908"/>
      <c r="R383" s="901"/>
      <c r="S383" s="586"/>
      <c r="T383" s="590"/>
      <c r="U383" s="586"/>
      <c r="V383" s="586"/>
      <c r="W383" s="2426">
        <v>4</v>
      </c>
      <c r="X383" s="2427">
        <v>80</v>
      </c>
      <c r="Y383" s="1679"/>
      <c r="Z383" s="1791"/>
      <c r="AB383" s="78">
        <v>1</v>
      </c>
      <c r="AE383" s="2461"/>
      <c r="AF383" s="68"/>
      <c r="AI383" s="2475"/>
    </row>
    <row r="384" spans="1:35" ht="45.5" x14ac:dyDescent="0.35">
      <c r="A384" s="603">
        <v>177</v>
      </c>
      <c r="B384" s="1035" t="s">
        <v>982</v>
      </c>
      <c r="C384" s="1035" t="s">
        <v>1656</v>
      </c>
      <c r="D384" s="2465" t="s">
        <v>4714</v>
      </c>
      <c r="E384" s="371" t="s">
        <v>8438</v>
      </c>
      <c r="F384" s="596" t="s">
        <v>664</v>
      </c>
      <c r="G384" s="596">
        <v>5</v>
      </c>
      <c r="H384" s="2268">
        <v>6</v>
      </c>
      <c r="I384" s="583">
        <f>J384+K384+L384</f>
        <v>4.9000000000000002E-2</v>
      </c>
      <c r="J384" s="583">
        <f>SUM(M384:R384)</f>
        <v>4.9000000000000002E-2</v>
      </c>
      <c r="K384" s="584"/>
      <c r="L384" s="584"/>
      <c r="M384" s="980"/>
      <c r="N384" s="583"/>
      <c r="O384" s="597"/>
      <c r="P384" s="584"/>
      <c r="Q384" s="908"/>
      <c r="R384" s="901">
        <v>4.9000000000000002E-2</v>
      </c>
      <c r="S384" s="586"/>
      <c r="T384" s="590"/>
      <c r="U384" s="586"/>
      <c r="V384" s="586"/>
      <c r="W384" s="2426"/>
      <c r="X384" s="2427"/>
      <c r="Y384" s="1679"/>
      <c r="Z384" s="1791"/>
      <c r="AB384" s="78">
        <v>1</v>
      </c>
      <c r="AE384" s="2461"/>
      <c r="AF384" s="68"/>
      <c r="AI384" s="2475"/>
    </row>
    <row r="385" spans="1:35" ht="45.5" x14ac:dyDescent="0.35">
      <c r="A385" s="603">
        <v>178</v>
      </c>
      <c r="B385" s="1035" t="s">
        <v>982</v>
      </c>
      <c r="C385" s="1035" t="s">
        <v>1656</v>
      </c>
      <c r="D385" s="2465" t="s">
        <v>4715</v>
      </c>
      <c r="E385" s="371" t="s">
        <v>8439</v>
      </c>
      <c r="F385" s="596" t="s">
        <v>664</v>
      </c>
      <c r="G385" s="596">
        <v>5</v>
      </c>
      <c r="H385" s="2268">
        <v>6</v>
      </c>
      <c r="I385" s="583">
        <f>J385+K385+L385</f>
        <v>1.0669999999999999</v>
      </c>
      <c r="J385" s="583">
        <f>SUM(M385:R385)</f>
        <v>1.0669999999999999</v>
      </c>
      <c r="K385" s="584"/>
      <c r="L385" s="584"/>
      <c r="M385" s="980"/>
      <c r="N385" s="583"/>
      <c r="O385" s="597"/>
      <c r="P385" s="584"/>
      <c r="Q385" s="908"/>
      <c r="R385" s="901">
        <f>0.116+0.951</f>
        <v>1.0669999999999999</v>
      </c>
      <c r="S385" s="586"/>
      <c r="T385" s="590"/>
      <c r="U385" s="586"/>
      <c r="V385" s="586"/>
      <c r="W385" s="2426"/>
      <c r="X385" s="2427"/>
      <c r="Y385" s="1679"/>
      <c r="Z385" s="1791"/>
      <c r="AB385" s="78">
        <v>1</v>
      </c>
      <c r="AE385" s="2461"/>
      <c r="AF385" s="68"/>
      <c r="AI385" s="2475"/>
    </row>
    <row r="386" spans="1:35" ht="45.5" x14ac:dyDescent="0.35">
      <c r="A386" s="603">
        <v>179</v>
      </c>
      <c r="B386" s="1035" t="s">
        <v>982</v>
      </c>
      <c r="C386" s="1035" t="s">
        <v>1656</v>
      </c>
      <c r="D386" s="2465" t="s">
        <v>4716</v>
      </c>
      <c r="E386" s="371" t="s">
        <v>8440</v>
      </c>
      <c r="F386" s="596" t="s">
        <v>664</v>
      </c>
      <c r="G386" s="596">
        <v>5</v>
      </c>
      <c r="H386" s="2268">
        <v>6</v>
      </c>
      <c r="I386" s="583">
        <f>J386+K386+L386</f>
        <v>5.0999999999999996</v>
      </c>
      <c r="J386" s="583">
        <f>SUM(M386:R386)</f>
        <v>5.0999999999999996</v>
      </c>
      <c r="K386" s="584"/>
      <c r="L386" s="584"/>
      <c r="M386" s="980"/>
      <c r="N386" s="583"/>
      <c r="O386" s="597"/>
      <c r="P386" s="584"/>
      <c r="Q386" s="908"/>
      <c r="R386" s="901">
        <v>5.0999999999999996</v>
      </c>
      <c r="S386" s="586"/>
      <c r="T386" s="590"/>
      <c r="U386" s="586"/>
      <c r="V386" s="586"/>
      <c r="W386" s="2426"/>
      <c r="X386" s="2427"/>
      <c r="Y386" s="1679"/>
      <c r="Z386" s="1791"/>
      <c r="AB386" s="78">
        <v>1</v>
      </c>
      <c r="AE386" s="2461"/>
      <c r="AF386" s="68"/>
      <c r="AI386" s="2475"/>
    </row>
    <row r="387" spans="1:35" ht="30" x14ac:dyDescent="0.35">
      <c r="A387" s="603"/>
      <c r="B387" s="1035" t="s">
        <v>2164</v>
      </c>
      <c r="C387" s="1035"/>
      <c r="D387" s="375"/>
      <c r="E387" s="2010" t="s">
        <v>2989</v>
      </c>
      <c r="F387" s="596"/>
      <c r="G387" s="596"/>
      <c r="H387" s="2268"/>
      <c r="I387" s="583"/>
      <c r="J387" s="583"/>
      <c r="K387" s="584"/>
      <c r="L387" s="584"/>
      <c r="M387" s="980"/>
      <c r="N387" s="583"/>
      <c r="O387" s="597"/>
      <c r="P387" s="584"/>
      <c r="Q387" s="908"/>
      <c r="R387" s="901"/>
      <c r="S387" s="586"/>
      <c r="T387" s="590"/>
      <c r="U387" s="586"/>
      <c r="V387" s="586"/>
      <c r="W387" s="2426"/>
      <c r="X387" s="2427"/>
      <c r="Y387" s="1679"/>
      <c r="Z387" s="1791"/>
      <c r="AE387" s="2461"/>
      <c r="AF387" s="68"/>
    </row>
    <row r="388" spans="1:35" ht="30.5" x14ac:dyDescent="0.35">
      <c r="A388" s="1593">
        <v>180</v>
      </c>
      <c r="B388" s="1101" t="s">
        <v>2164</v>
      </c>
      <c r="C388" s="358" t="s">
        <v>1656</v>
      </c>
      <c r="D388" s="2465" t="s">
        <v>4717</v>
      </c>
      <c r="E388" s="372" t="s">
        <v>8441</v>
      </c>
      <c r="F388" s="596" t="s">
        <v>664</v>
      </c>
      <c r="G388" s="596">
        <v>5</v>
      </c>
      <c r="H388" s="2268">
        <v>6</v>
      </c>
      <c r="I388" s="297">
        <f>J388+K388+L388</f>
        <v>0.83199999999999996</v>
      </c>
      <c r="J388" s="297">
        <f>SUM(M388:R388)</f>
        <v>0.83199999999999996</v>
      </c>
      <c r="K388" s="584"/>
      <c r="L388" s="584"/>
      <c r="M388" s="980"/>
      <c r="N388" s="583"/>
      <c r="O388" s="597"/>
      <c r="P388" s="584"/>
      <c r="Q388" s="908"/>
      <c r="R388" s="901">
        <v>0.83199999999999996</v>
      </c>
      <c r="S388" s="586"/>
      <c r="T388" s="590"/>
      <c r="U388" s="586"/>
      <c r="V388" s="586"/>
      <c r="W388" s="1679"/>
      <c r="X388" s="1678"/>
      <c r="Y388" s="1679"/>
      <c r="Z388" s="1791"/>
      <c r="AB388" s="78">
        <v>1</v>
      </c>
      <c r="AE388" s="2461"/>
      <c r="AF388" s="68"/>
      <c r="AI388" s="2475"/>
    </row>
    <row r="389" spans="1:35" ht="60.5" x14ac:dyDescent="0.35">
      <c r="A389" s="603"/>
      <c r="B389" s="1035" t="s">
        <v>164</v>
      </c>
      <c r="C389" s="1035"/>
      <c r="D389" s="375"/>
      <c r="E389" s="1596" t="s">
        <v>1115</v>
      </c>
      <c r="F389" s="596"/>
      <c r="G389" s="596"/>
      <c r="H389" s="2268"/>
      <c r="I389" s="583"/>
      <c r="J389" s="583"/>
      <c r="K389" s="584"/>
      <c r="L389" s="584"/>
      <c r="M389" s="980"/>
      <c r="N389" s="583"/>
      <c r="O389" s="597"/>
      <c r="P389" s="584"/>
      <c r="Q389" s="908"/>
      <c r="R389" s="901"/>
      <c r="S389" s="586"/>
      <c r="T389" s="590"/>
      <c r="U389" s="586"/>
      <c r="V389" s="586"/>
      <c r="W389" s="2426"/>
      <c r="X389" s="2427"/>
      <c r="Y389" s="1679"/>
      <c r="Z389" s="1791"/>
      <c r="AE389" s="2461"/>
      <c r="AF389" s="68"/>
    </row>
    <row r="390" spans="1:35" ht="60.5" x14ac:dyDescent="0.35">
      <c r="A390" s="603">
        <v>181</v>
      </c>
      <c r="B390" s="1035" t="s">
        <v>164</v>
      </c>
      <c r="C390" s="1035"/>
      <c r="D390" s="2465" t="s">
        <v>4718</v>
      </c>
      <c r="E390" s="371" t="s">
        <v>7679</v>
      </c>
      <c r="F390" s="596"/>
      <c r="G390" s="596"/>
      <c r="H390" s="2268" t="s">
        <v>191</v>
      </c>
      <c r="I390" s="583">
        <f>J390+K390+L390</f>
        <v>3.3769999999999998</v>
      </c>
      <c r="J390" s="583">
        <f>SUM(M390:R390)</f>
        <v>3.3769999999999998</v>
      </c>
      <c r="K390" s="584"/>
      <c r="L390" s="584"/>
      <c r="M390" s="980">
        <f>SUM(M391:M393)</f>
        <v>1.323</v>
      </c>
      <c r="N390" s="583"/>
      <c r="O390" s="597"/>
      <c r="P390" s="584"/>
      <c r="Q390" s="908"/>
      <c r="R390" s="901">
        <f>SUM(R391:R393)</f>
        <v>2.0539999999999998</v>
      </c>
      <c r="S390" s="586"/>
      <c r="T390" s="590"/>
      <c r="U390" s="586"/>
      <c r="V390" s="586"/>
      <c r="W390" s="2426">
        <v>8</v>
      </c>
      <c r="X390" s="2427">
        <v>113.57</v>
      </c>
      <c r="Y390" s="1679"/>
      <c r="Z390" s="1791"/>
      <c r="AB390" s="78">
        <v>1</v>
      </c>
      <c r="AE390" s="2461"/>
      <c r="AF390" s="68"/>
      <c r="AI390" s="2475"/>
    </row>
    <row r="391" spans="1:35" ht="15.5" x14ac:dyDescent="0.35">
      <c r="A391" s="605"/>
      <c r="B391" s="1035" t="s">
        <v>164</v>
      </c>
      <c r="C391" s="1035"/>
      <c r="D391" s="377"/>
      <c r="E391" s="1592" t="s">
        <v>1739</v>
      </c>
      <c r="F391" s="596">
        <v>4</v>
      </c>
      <c r="G391" s="596">
        <v>5</v>
      </c>
      <c r="H391" s="2268">
        <v>10</v>
      </c>
      <c r="I391" s="589"/>
      <c r="J391" s="589"/>
      <c r="K391" s="588"/>
      <c r="L391" s="588"/>
      <c r="M391" s="981">
        <v>1.323</v>
      </c>
      <c r="N391" s="589"/>
      <c r="O391" s="915"/>
      <c r="P391" s="588"/>
      <c r="Q391" s="909"/>
      <c r="R391" s="904"/>
      <c r="S391" s="586"/>
      <c r="T391" s="590"/>
      <c r="U391" s="586"/>
      <c r="V391" s="586"/>
      <c r="W391" s="2426"/>
      <c r="X391" s="2427"/>
      <c r="Y391" s="1679"/>
      <c r="Z391" s="1791"/>
      <c r="AE391" s="2461"/>
      <c r="AF391" s="68"/>
    </row>
    <row r="392" spans="1:35" ht="15.5" x14ac:dyDescent="0.35">
      <c r="A392" s="605"/>
      <c r="B392" s="1035"/>
      <c r="C392" s="1035"/>
      <c r="D392" s="377"/>
      <c r="E392" s="1585" t="s">
        <v>3545</v>
      </c>
      <c r="F392" s="596">
        <v>5</v>
      </c>
      <c r="G392" s="596">
        <v>5</v>
      </c>
      <c r="H392" s="2268">
        <v>6</v>
      </c>
      <c r="I392" s="589"/>
      <c r="J392" s="589"/>
      <c r="K392" s="588"/>
      <c r="L392" s="588"/>
      <c r="M392" s="981"/>
      <c r="N392" s="589"/>
      <c r="O392" s="915"/>
      <c r="P392" s="588"/>
      <c r="Q392" s="909"/>
      <c r="R392" s="904">
        <f>2.351-1.323</f>
        <v>1.028</v>
      </c>
      <c r="S392" s="586"/>
      <c r="T392" s="590"/>
      <c r="U392" s="586"/>
      <c r="V392" s="586"/>
      <c r="W392" s="2426"/>
      <c r="X392" s="2427"/>
      <c r="Y392" s="1679"/>
      <c r="Z392" s="1791"/>
      <c r="AE392" s="2461"/>
      <c r="AF392" s="68"/>
    </row>
    <row r="393" spans="1:35" ht="15.5" x14ac:dyDescent="0.35">
      <c r="A393" s="605"/>
      <c r="B393" s="1035" t="s">
        <v>164</v>
      </c>
      <c r="C393" s="1035"/>
      <c r="D393" s="377"/>
      <c r="E393" s="1585" t="s">
        <v>3546</v>
      </c>
      <c r="F393" s="596" t="s">
        <v>827</v>
      </c>
      <c r="G393" s="596">
        <v>5</v>
      </c>
      <c r="H393" s="2268">
        <v>6</v>
      </c>
      <c r="I393" s="589"/>
      <c r="J393" s="589"/>
      <c r="K393" s="588"/>
      <c r="L393" s="588"/>
      <c r="M393" s="981"/>
      <c r="N393" s="589"/>
      <c r="O393" s="915"/>
      <c r="P393" s="588"/>
      <c r="Q393" s="909"/>
      <c r="R393" s="904">
        <f>3.377-2.351</f>
        <v>1.0259999999999998</v>
      </c>
      <c r="S393" s="586"/>
      <c r="T393" s="590"/>
      <c r="U393" s="586"/>
      <c r="V393" s="586"/>
      <c r="W393" s="2426"/>
      <c r="X393" s="2427"/>
      <c r="Y393" s="1679"/>
      <c r="Z393" s="1791"/>
      <c r="AE393" s="2461"/>
      <c r="AF393" s="68"/>
    </row>
    <row r="394" spans="1:35" ht="60.5" x14ac:dyDescent="0.35">
      <c r="A394" s="603">
        <v>182</v>
      </c>
      <c r="B394" s="1035" t="s">
        <v>164</v>
      </c>
      <c r="C394" s="1035"/>
      <c r="D394" s="2465" t="s">
        <v>7075</v>
      </c>
      <c r="E394" s="371" t="s">
        <v>7680</v>
      </c>
      <c r="F394" s="596" t="s">
        <v>664</v>
      </c>
      <c r="G394" s="596">
        <v>5</v>
      </c>
      <c r="H394" s="2268">
        <v>6</v>
      </c>
      <c r="I394" s="583">
        <f>J394+K394+L394</f>
        <v>1.2</v>
      </c>
      <c r="J394" s="583">
        <f>SUM(M394:R394)</f>
        <v>1.2</v>
      </c>
      <c r="K394" s="584"/>
      <c r="L394" s="584"/>
      <c r="M394" s="980"/>
      <c r="N394" s="583"/>
      <c r="O394" s="597"/>
      <c r="P394" s="584"/>
      <c r="Q394" s="908"/>
      <c r="R394" s="903">
        <v>1.2</v>
      </c>
      <c r="S394" s="586"/>
      <c r="T394" s="590"/>
      <c r="U394" s="586"/>
      <c r="V394" s="586"/>
      <c r="W394" s="2426">
        <v>1</v>
      </c>
      <c r="X394" s="2427">
        <v>10</v>
      </c>
      <c r="Y394" s="1679"/>
      <c r="Z394" s="1791"/>
      <c r="AB394" s="78">
        <v>1</v>
      </c>
      <c r="AE394" s="2461"/>
      <c r="AF394" s="68"/>
      <c r="AI394" s="2475"/>
    </row>
    <row r="395" spans="1:35" ht="60.5" x14ac:dyDescent="0.35">
      <c r="A395" s="603">
        <v>183</v>
      </c>
      <c r="B395" s="1035" t="s">
        <v>164</v>
      </c>
      <c r="C395" s="1035"/>
      <c r="D395" s="2465" t="s">
        <v>4719</v>
      </c>
      <c r="E395" s="371" t="s">
        <v>7681</v>
      </c>
      <c r="F395" s="596" t="s">
        <v>664</v>
      </c>
      <c r="G395" s="596">
        <v>5</v>
      </c>
      <c r="H395" s="2268">
        <v>6</v>
      </c>
      <c r="I395" s="583">
        <f>J395+K395+L395</f>
        <v>1</v>
      </c>
      <c r="J395" s="583">
        <f>SUM(M395:R395)</f>
        <v>1</v>
      </c>
      <c r="K395" s="584"/>
      <c r="L395" s="584"/>
      <c r="M395" s="980"/>
      <c r="N395" s="583"/>
      <c r="O395" s="597"/>
      <c r="P395" s="584"/>
      <c r="Q395" s="908"/>
      <c r="R395" s="903">
        <v>1</v>
      </c>
      <c r="S395" s="586"/>
      <c r="T395" s="590"/>
      <c r="U395" s="586"/>
      <c r="V395" s="586"/>
      <c r="W395" s="2426"/>
      <c r="X395" s="2427"/>
      <c r="Y395" s="1679"/>
      <c r="Z395" s="1791"/>
      <c r="AB395" s="78">
        <v>1</v>
      </c>
      <c r="AE395" s="2461"/>
      <c r="AF395" s="68"/>
      <c r="AI395" s="2475"/>
    </row>
    <row r="396" spans="1:35" ht="60.5" x14ac:dyDescent="0.35">
      <c r="A396" s="603">
        <v>184</v>
      </c>
      <c r="B396" s="1035" t="s">
        <v>164</v>
      </c>
      <c r="C396" s="1035"/>
      <c r="D396" s="2465" t="s">
        <v>4720</v>
      </c>
      <c r="E396" s="372" t="s">
        <v>9353</v>
      </c>
      <c r="F396" s="596"/>
      <c r="G396" s="596"/>
      <c r="H396" s="2268" t="s">
        <v>191</v>
      </c>
      <c r="I396" s="583">
        <f>J396+K396+L396</f>
        <v>0.8</v>
      </c>
      <c r="J396" s="583">
        <f>SUM(M396:R396)</f>
        <v>0.8</v>
      </c>
      <c r="K396" s="584"/>
      <c r="L396" s="584"/>
      <c r="M396" s="980"/>
      <c r="N396" s="583">
        <f>SUM(N397:N398)</f>
        <v>0.8</v>
      </c>
      <c r="O396" s="597"/>
      <c r="P396" s="584"/>
      <c r="Q396" s="908"/>
      <c r="R396" s="901"/>
      <c r="S396" s="586"/>
      <c r="T396" s="590"/>
      <c r="U396" s="586"/>
      <c r="V396" s="586"/>
      <c r="W396" s="1679"/>
      <c r="X396" s="1678"/>
      <c r="Y396" s="1679"/>
      <c r="Z396" s="1791"/>
      <c r="AB396" s="78">
        <v>1</v>
      </c>
      <c r="AE396" s="2461"/>
      <c r="AF396" s="68"/>
      <c r="AI396" s="2475"/>
    </row>
    <row r="397" spans="1:35" ht="15.5" x14ac:dyDescent="0.35">
      <c r="A397" s="603"/>
      <c r="B397" s="1035" t="s">
        <v>164</v>
      </c>
      <c r="C397" s="1035"/>
      <c r="D397" s="375"/>
      <c r="E397" s="610" t="s">
        <v>1074</v>
      </c>
      <c r="F397" s="2268">
        <v>4</v>
      </c>
      <c r="G397" s="596">
        <v>5</v>
      </c>
      <c r="H397" s="2268">
        <v>6</v>
      </c>
      <c r="I397" s="594"/>
      <c r="J397" s="594"/>
      <c r="K397" s="595"/>
      <c r="L397" s="595"/>
      <c r="M397" s="982"/>
      <c r="N397" s="594">
        <v>0.4</v>
      </c>
      <c r="O397" s="917"/>
      <c r="P397" s="595"/>
      <c r="Q397" s="912"/>
      <c r="R397" s="905"/>
      <c r="S397" s="586"/>
      <c r="T397" s="590"/>
      <c r="U397" s="586"/>
      <c r="V397" s="586"/>
      <c r="W397" s="1679"/>
      <c r="X397" s="1678"/>
      <c r="Y397" s="1679"/>
      <c r="Z397" s="1791"/>
      <c r="AE397" s="2461"/>
      <c r="AF397" s="68"/>
    </row>
    <row r="398" spans="1:35" ht="15.5" x14ac:dyDescent="0.35">
      <c r="A398" s="603"/>
      <c r="B398" s="1035" t="s">
        <v>164</v>
      </c>
      <c r="C398" s="1035"/>
      <c r="D398" s="375"/>
      <c r="E398" s="1584" t="s">
        <v>1279</v>
      </c>
      <c r="F398" s="2268">
        <v>5</v>
      </c>
      <c r="G398" s="596">
        <v>5</v>
      </c>
      <c r="H398" s="2268">
        <v>6</v>
      </c>
      <c r="I398" s="594"/>
      <c r="J398" s="594"/>
      <c r="K398" s="595"/>
      <c r="L398" s="595"/>
      <c r="M398" s="982"/>
      <c r="N398" s="594">
        <v>0.4</v>
      </c>
      <c r="O398" s="917"/>
      <c r="P398" s="595"/>
      <c r="Q398" s="912"/>
      <c r="R398" s="905"/>
      <c r="S398" s="586"/>
      <c r="T398" s="590"/>
      <c r="U398" s="586"/>
      <c r="V398" s="586"/>
      <c r="W398" s="1679"/>
      <c r="X398" s="1678"/>
      <c r="Y398" s="1679"/>
      <c r="Z398" s="1791"/>
      <c r="AE398" s="2461"/>
      <c r="AF398" s="68"/>
    </row>
    <row r="399" spans="1:35" ht="60.5" x14ac:dyDescent="0.35">
      <c r="A399" s="603">
        <v>185</v>
      </c>
      <c r="B399" s="1035" t="s">
        <v>164</v>
      </c>
      <c r="C399" s="1035"/>
      <c r="D399" s="2465" t="s">
        <v>4721</v>
      </c>
      <c r="E399" s="371" t="s">
        <v>7682</v>
      </c>
      <c r="F399" s="591" t="s">
        <v>1516</v>
      </c>
      <c r="G399" s="591" t="s">
        <v>191</v>
      </c>
      <c r="H399" s="2268" t="s">
        <v>191</v>
      </c>
      <c r="I399" s="583">
        <f>J399+K399+L399</f>
        <v>7.8780000000000001</v>
      </c>
      <c r="J399" s="583">
        <f>SUM(M399:R399)</f>
        <v>7.8780000000000001</v>
      </c>
      <c r="K399" s="584"/>
      <c r="L399" s="584"/>
      <c r="M399" s="980"/>
      <c r="N399" s="584">
        <f>SUM(N400:N401)</f>
        <v>7.8780000000000001</v>
      </c>
      <c r="O399" s="597"/>
      <c r="P399" s="584"/>
      <c r="Q399" s="908"/>
      <c r="R399" s="901"/>
      <c r="S399" s="586">
        <v>2</v>
      </c>
      <c r="T399" s="590">
        <v>130.19999999999999</v>
      </c>
      <c r="U399" s="586"/>
      <c r="V399" s="586"/>
      <c r="W399" s="1679">
        <v>18</v>
      </c>
      <c r="X399" s="1678">
        <v>208.53</v>
      </c>
      <c r="Y399" s="1679">
        <v>4</v>
      </c>
      <c r="Z399" s="1791">
        <v>45</v>
      </c>
      <c r="AB399" s="78">
        <v>1</v>
      </c>
      <c r="AE399" s="2461"/>
      <c r="AF399" s="68"/>
      <c r="AI399" s="2475"/>
    </row>
    <row r="400" spans="1:35" ht="15.5" x14ac:dyDescent="0.35">
      <c r="A400" s="604"/>
      <c r="B400" s="1035" t="s">
        <v>164</v>
      </c>
      <c r="C400" s="1035"/>
      <c r="D400" s="376"/>
      <c r="E400" s="610" t="s">
        <v>3543</v>
      </c>
      <c r="F400" s="591">
        <v>4</v>
      </c>
      <c r="G400" s="591">
        <v>4</v>
      </c>
      <c r="H400" s="2268">
        <v>6</v>
      </c>
      <c r="I400" s="588"/>
      <c r="J400" s="588"/>
      <c r="K400" s="588"/>
      <c r="L400" s="588"/>
      <c r="M400" s="981"/>
      <c r="N400" s="588">
        <v>5.2850000000000001</v>
      </c>
      <c r="O400" s="915"/>
      <c r="P400" s="588"/>
      <c r="Q400" s="909"/>
      <c r="R400" s="902"/>
      <c r="S400" s="586"/>
      <c r="T400" s="590"/>
      <c r="U400" s="586"/>
      <c r="V400" s="586"/>
      <c r="W400" s="1679"/>
      <c r="X400" s="1678"/>
      <c r="Y400" s="1679"/>
      <c r="Z400" s="1791"/>
      <c r="AE400" s="2461"/>
      <c r="AF400" s="68"/>
    </row>
    <row r="401" spans="1:35" ht="15.5" x14ac:dyDescent="0.35">
      <c r="A401" s="604"/>
      <c r="B401" s="1035" t="s">
        <v>164</v>
      </c>
      <c r="C401" s="1035"/>
      <c r="D401" s="376"/>
      <c r="E401" s="610" t="s">
        <v>3544</v>
      </c>
      <c r="F401" s="591">
        <v>5</v>
      </c>
      <c r="G401" s="591">
        <v>4</v>
      </c>
      <c r="H401" s="2268">
        <v>6</v>
      </c>
      <c r="I401" s="588"/>
      <c r="J401" s="588"/>
      <c r="K401" s="588"/>
      <c r="L401" s="588"/>
      <c r="M401" s="981"/>
      <c r="N401" s="588">
        <f>7.878-5.285</f>
        <v>2.593</v>
      </c>
      <c r="O401" s="915"/>
      <c r="P401" s="588"/>
      <c r="Q401" s="909"/>
      <c r="R401" s="902"/>
      <c r="S401" s="586"/>
      <c r="T401" s="590"/>
      <c r="U401" s="586"/>
      <c r="V401" s="586"/>
      <c r="W401" s="1679"/>
      <c r="X401" s="1678"/>
      <c r="Y401" s="1679"/>
      <c r="Z401" s="1791"/>
      <c r="AE401" s="2461"/>
      <c r="AF401" s="68"/>
    </row>
    <row r="402" spans="1:35" ht="90.5" x14ac:dyDescent="0.35">
      <c r="A402" s="603">
        <v>186</v>
      </c>
      <c r="B402" s="1037" t="s">
        <v>164</v>
      </c>
      <c r="C402" s="1099" t="s">
        <v>1656</v>
      </c>
      <c r="D402" s="2465" t="s">
        <v>4722</v>
      </c>
      <c r="E402" s="371" t="s">
        <v>8442</v>
      </c>
      <c r="F402" s="596" t="s">
        <v>664</v>
      </c>
      <c r="G402" s="596">
        <v>5</v>
      </c>
      <c r="H402" s="2268">
        <v>6</v>
      </c>
      <c r="I402" s="583">
        <f t="shared" ref="I402:I407" si="24">J402+K402+L402</f>
        <v>0.6</v>
      </c>
      <c r="J402" s="583">
        <f t="shared" ref="J402:J407" si="25">SUM(M402:R402)</f>
        <v>0.6</v>
      </c>
      <c r="K402" s="598"/>
      <c r="L402" s="598"/>
      <c r="M402" s="983"/>
      <c r="N402" s="580"/>
      <c r="O402" s="918"/>
      <c r="P402" s="580"/>
      <c r="Q402" s="913"/>
      <c r="R402" s="906">
        <v>0.6</v>
      </c>
      <c r="S402" s="600"/>
      <c r="T402" s="600"/>
      <c r="U402" s="600"/>
      <c r="V402" s="600"/>
      <c r="W402" s="1676"/>
      <c r="X402" s="1789"/>
      <c r="Y402" s="1676"/>
      <c r="Z402" s="1790"/>
      <c r="AB402" s="78">
        <v>1</v>
      </c>
      <c r="AE402" s="2461"/>
      <c r="AF402" s="68"/>
      <c r="AI402" s="2475"/>
    </row>
    <row r="403" spans="1:35" ht="90.5" x14ac:dyDescent="0.35">
      <c r="A403" s="603">
        <v>187</v>
      </c>
      <c r="B403" s="1037" t="s">
        <v>164</v>
      </c>
      <c r="C403" s="1099" t="s">
        <v>1656</v>
      </c>
      <c r="D403" s="2465" t="s">
        <v>4723</v>
      </c>
      <c r="E403" s="371" t="s">
        <v>8443</v>
      </c>
      <c r="F403" s="596" t="s">
        <v>664</v>
      </c>
      <c r="G403" s="596">
        <v>5</v>
      </c>
      <c r="H403" s="2268">
        <v>6</v>
      </c>
      <c r="I403" s="583">
        <f t="shared" si="24"/>
        <v>0.89</v>
      </c>
      <c r="J403" s="583">
        <f t="shared" si="25"/>
        <v>0.89</v>
      </c>
      <c r="K403" s="598"/>
      <c r="L403" s="598"/>
      <c r="M403" s="983"/>
      <c r="N403" s="580"/>
      <c r="O403" s="918"/>
      <c r="P403" s="580"/>
      <c r="Q403" s="913"/>
      <c r="R403" s="906">
        <v>0.89</v>
      </c>
      <c r="S403" s="600"/>
      <c r="T403" s="600"/>
      <c r="U403" s="600"/>
      <c r="V403" s="600"/>
      <c r="W403" s="1676"/>
      <c r="X403" s="1789"/>
      <c r="Y403" s="1676"/>
      <c r="Z403" s="1790"/>
      <c r="AB403" s="78">
        <v>1</v>
      </c>
      <c r="AE403" s="2461"/>
      <c r="AF403" s="68"/>
      <c r="AI403" s="2475"/>
    </row>
    <row r="404" spans="1:35" ht="60.5" x14ac:dyDescent="0.35">
      <c r="A404" s="603">
        <v>188</v>
      </c>
      <c r="B404" s="1035" t="s">
        <v>164</v>
      </c>
      <c r="C404" s="1035"/>
      <c r="D404" s="2465" t="s">
        <v>4724</v>
      </c>
      <c r="E404" s="371" t="s">
        <v>7683</v>
      </c>
      <c r="F404" s="591">
        <v>5</v>
      </c>
      <c r="G404" s="591">
        <v>5</v>
      </c>
      <c r="H404" s="2268">
        <v>6</v>
      </c>
      <c r="I404" s="583">
        <f t="shared" si="24"/>
        <v>0.4</v>
      </c>
      <c r="J404" s="583">
        <f t="shared" si="25"/>
        <v>0.4</v>
      </c>
      <c r="K404" s="584"/>
      <c r="L404" s="584"/>
      <c r="M404" s="980"/>
      <c r="N404" s="584">
        <v>0.4</v>
      </c>
      <c r="O404" s="597"/>
      <c r="P404" s="584"/>
      <c r="Q404" s="908"/>
      <c r="R404" s="901"/>
      <c r="S404" s="586"/>
      <c r="T404" s="590"/>
      <c r="U404" s="586"/>
      <c r="V404" s="586"/>
      <c r="W404" s="1679"/>
      <c r="X404" s="1678"/>
      <c r="Y404" s="1679"/>
      <c r="Z404" s="1791"/>
      <c r="AB404" s="78">
        <v>1</v>
      </c>
      <c r="AE404" s="2461"/>
      <c r="AF404" s="68"/>
      <c r="AI404" s="2475"/>
    </row>
    <row r="405" spans="1:35" ht="60.5" x14ac:dyDescent="0.35">
      <c r="A405" s="603">
        <v>189</v>
      </c>
      <c r="B405" s="1036" t="s">
        <v>164</v>
      </c>
      <c r="C405" s="1099" t="s">
        <v>1656</v>
      </c>
      <c r="D405" s="2465" t="s">
        <v>4725</v>
      </c>
      <c r="E405" s="373" t="s">
        <v>8444</v>
      </c>
      <c r="F405" s="596" t="s">
        <v>664</v>
      </c>
      <c r="G405" s="596">
        <v>5</v>
      </c>
      <c r="H405" s="2268">
        <v>6</v>
      </c>
      <c r="I405" s="583">
        <f t="shared" si="24"/>
        <v>0.6</v>
      </c>
      <c r="J405" s="583">
        <f t="shared" si="25"/>
        <v>0.6</v>
      </c>
      <c r="K405" s="584"/>
      <c r="L405" s="584"/>
      <c r="M405" s="983"/>
      <c r="N405" s="580"/>
      <c r="O405" s="918"/>
      <c r="P405" s="580"/>
      <c r="Q405" s="913"/>
      <c r="R405" s="906">
        <v>0.6</v>
      </c>
      <c r="S405" s="586"/>
      <c r="T405" s="590"/>
      <c r="U405" s="586"/>
      <c r="V405" s="586"/>
      <c r="W405" s="1679"/>
      <c r="X405" s="1678"/>
      <c r="Y405" s="1679"/>
      <c r="Z405" s="1791"/>
      <c r="AB405" s="78">
        <v>1</v>
      </c>
      <c r="AE405" s="2461"/>
      <c r="AF405" s="68"/>
      <c r="AI405" s="2475"/>
    </row>
    <row r="406" spans="1:35" ht="60.5" x14ac:dyDescent="0.35">
      <c r="A406" s="603">
        <v>190</v>
      </c>
      <c r="B406" s="1037" t="s">
        <v>164</v>
      </c>
      <c r="C406" s="1099" t="s">
        <v>1656</v>
      </c>
      <c r="D406" s="2465" t="s">
        <v>4726</v>
      </c>
      <c r="E406" s="371" t="s">
        <v>8445</v>
      </c>
      <c r="F406" s="596" t="s">
        <v>664</v>
      </c>
      <c r="G406" s="596">
        <v>5</v>
      </c>
      <c r="H406" s="2268">
        <v>6</v>
      </c>
      <c r="I406" s="583">
        <f t="shared" si="24"/>
        <v>1.2</v>
      </c>
      <c r="J406" s="583">
        <f t="shared" si="25"/>
        <v>1.2</v>
      </c>
      <c r="K406" s="598"/>
      <c r="L406" s="598"/>
      <c r="M406" s="983"/>
      <c r="N406" s="580"/>
      <c r="O406" s="918"/>
      <c r="P406" s="580"/>
      <c r="Q406" s="913"/>
      <c r="R406" s="906">
        <v>1.2</v>
      </c>
      <c r="S406" s="600"/>
      <c r="T406" s="600"/>
      <c r="U406" s="600"/>
      <c r="V406" s="600"/>
      <c r="W406" s="1676"/>
      <c r="X406" s="1789"/>
      <c r="Y406" s="1676"/>
      <c r="Z406" s="1790"/>
      <c r="AB406" s="78">
        <v>1</v>
      </c>
      <c r="AE406" s="2461"/>
      <c r="AF406" s="68"/>
      <c r="AI406" s="2475"/>
    </row>
    <row r="407" spans="1:35" ht="75.5" x14ac:dyDescent="0.35">
      <c r="A407" s="603">
        <v>191</v>
      </c>
      <c r="B407" s="1037" t="s">
        <v>164</v>
      </c>
      <c r="C407" s="1099" t="s">
        <v>1656</v>
      </c>
      <c r="D407" s="2465" t="s">
        <v>4727</v>
      </c>
      <c r="E407" s="371" t="s">
        <v>9807</v>
      </c>
      <c r="F407" s="599"/>
      <c r="G407" s="599"/>
      <c r="H407" s="2268" t="s">
        <v>191</v>
      </c>
      <c r="I407" s="583">
        <f t="shared" si="24"/>
        <v>1.4</v>
      </c>
      <c r="J407" s="583">
        <f t="shared" si="25"/>
        <v>1.4</v>
      </c>
      <c r="K407" s="602"/>
      <c r="L407" s="602"/>
      <c r="M407" s="983"/>
      <c r="N407" s="580"/>
      <c r="O407" s="918">
        <f>SUM(O408:O409)</f>
        <v>1</v>
      </c>
      <c r="P407" s="580"/>
      <c r="Q407" s="913"/>
      <c r="R407" s="906">
        <f>SUM(R408:R409)</f>
        <v>0.4</v>
      </c>
      <c r="S407" s="600"/>
      <c r="T407" s="600"/>
      <c r="U407" s="600"/>
      <c r="V407" s="600"/>
      <c r="W407" s="1676">
        <v>1</v>
      </c>
      <c r="X407" s="1789">
        <v>5</v>
      </c>
      <c r="Y407" s="1676"/>
      <c r="Z407" s="1790"/>
      <c r="AB407" s="78">
        <v>1</v>
      </c>
      <c r="AE407" s="2461"/>
      <c r="AF407" s="68"/>
      <c r="AI407" s="2475"/>
    </row>
    <row r="408" spans="1:35" ht="15.5" x14ac:dyDescent="0.35">
      <c r="A408" s="608"/>
      <c r="B408" s="1037" t="s">
        <v>164</v>
      </c>
      <c r="C408" s="1037"/>
      <c r="D408" s="380"/>
      <c r="E408" s="920" t="s">
        <v>2628</v>
      </c>
      <c r="F408" s="599">
        <v>5</v>
      </c>
      <c r="G408" s="599">
        <v>5</v>
      </c>
      <c r="H408" s="2268">
        <v>6</v>
      </c>
      <c r="I408" s="598"/>
      <c r="J408" s="598"/>
      <c r="K408" s="598"/>
      <c r="L408" s="598"/>
      <c r="M408" s="984"/>
      <c r="N408" s="581"/>
      <c r="O408" s="919">
        <v>1</v>
      </c>
      <c r="P408" s="581"/>
      <c r="Q408" s="914"/>
      <c r="R408" s="907"/>
      <c r="S408" s="600"/>
      <c r="T408" s="600"/>
      <c r="U408" s="600"/>
      <c r="V408" s="600"/>
      <c r="W408" s="1676"/>
      <c r="X408" s="1789"/>
      <c r="Y408" s="1676"/>
      <c r="Z408" s="1790"/>
      <c r="AE408" s="2461"/>
      <c r="AF408" s="68"/>
    </row>
    <row r="409" spans="1:35" ht="15.5" x14ac:dyDescent="0.35">
      <c r="A409" s="608"/>
      <c r="B409" s="1037" t="s">
        <v>164</v>
      </c>
      <c r="C409" s="1037"/>
      <c r="D409" s="380"/>
      <c r="E409" s="922" t="s">
        <v>3438</v>
      </c>
      <c r="F409" s="2268" t="s">
        <v>664</v>
      </c>
      <c r="G409" s="599">
        <v>5</v>
      </c>
      <c r="H409" s="2268">
        <v>6</v>
      </c>
      <c r="I409" s="598"/>
      <c r="J409" s="598"/>
      <c r="K409" s="598"/>
      <c r="L409" s="598"/>
      <c r="M409" s="984"/>
      <c r="N409" s="581"/>
      <c r="O409" s="919"/>
      <c r="P409" s="581"/>
      <c r="Q409" s="914"/>
      <c r="R409" s="907">
        <v>0.4</v>
      </c>
      <c r="S409" s="600"/>
      <c r="T409" s="600"/>
      <c r="U409" s="600"/>
      <c r="V409" s="600"/>
      <c r="W409" s="1676"/>
      <c r="X409" s="1789"/>
      <c r="Y409" s="1676"/>
      <c r="Z409" s="1790"/>
      <c r="AE409" s="2461"/>
      <c r="AF409" s="68"/>
    </row>
    <row r="410" spans="1:35" ht="60.5" x14ac:dyDescent="0.35">
      <c r="A410" s="608">
        <v>192</v>
      </c>
      <c r="B410" s="1037" t="s">
        <v>164</v>
      </c>
      <c r="C410" s="1099" t="s">
        <v>1656</v>
      </c>
      <c r="D410" s="2465" t="s">
        <v>4728</v>
      </c>
      <c r="E410" s="371" t="s">
        <v>8446</v>
      </c>
      <c r="F410" s="596" t="s">
        <v>1490</v>
      </c>
      <c r="G410" s="596">
        <v>5</v>
      </c>
      <c r="H410" s="2268">
        <v>6</v>
      </c>
      <c r="I410" s="583">
        <f>J410+K410+L410</f>
        <v>1.4</v>
      </c>
      <c r="J410" s="583">
        <f>SUM(M410:R410)</f>
        <v>1.4</v>
      </c>
      <c r="K410" s="598"/>
      <c r="L410" s="598"/>
      <c r="M410" s="983"/>
      <c r="N410" s="580"/>
      <c r="O410" s="918"/>
      <c r="P410" s="580"/>
      <c r="Q410" s="913"/>
      <c r="R410" s="906">
        <v>1.4</v>
      </c>
      <c r="S410" s="600"/>
      <c r="T410" s="600"/>
      <c r="U410" s="600"/>
      <c r="V410" s="600"/>
      <c r="W410" s="1676">
        <v>3</v>
      </c>
      <c r="X410" s="1789">
        <v>25</v>
      </c>
      <c r="Y410" s="1676"/>
      <c r="Z410" s="1790"/>
      <c r="AB410" s="78">
        <v>1</v>
      </c>
      <c r="AE410" s="2461"/>
      <c r="AF410" s="68"/>
      <c r="AI410" s="2475"/>
    </row>
    <row r="411" spans="1:35" ht="60.5" x14ac:dyDescent="0.35">
      <c r="A411" s="1593">
        <v>193</v>
      </c>
      <c r="B411" s="1099" t="s">
        <v>164</v>
      </c>
      <c r="C411" s="358" t="s">
        <v>1656</v>
      </c>
      <c r="D411" s="2465" t="s">
        <v>4729</v>
      </c>
      <c r="E411" s="372" t="s">
        <v>8447</v>
      </c>
      <c r="F411" s="596" t="s">
        <v>664</v>
      </c>
      <c r="G411" s="596">
        <v>5</v>
      </c>
      <c r="H411" s="2268">
        <v>6</v>
      </c>
      <c r="I411" s="297">
        <f>J411+K411+L411</f>
        <v>0.26200000000000001</v>
      </c>
      <c r="J411" s="297">
        <f>SUM(M411:R411)</f>
        <v>0.26200000000000001</v>
      </c>
      <c r="K411" s="598"/>
      <c r="L411" s="598"/>
      <c r="M411" s="983"/>
      <c r="N411" s="580"/>
      <c r="O411" s="918"/>
      <c r="P411" s="580"/>
      <c r="Q411" s="913"/>
      <c r="R411" s="906">
        <v>0.26200000000000001</v>
      </c>
      <c r="S411" s="600"/>
      <c r="T411" s="600"/>
      <c r="U411" s="600"/>
      <c r="V411" s="600"/>
      <c r="W411" s="1676"/>
      <c r="X411" s="1789"/>
      <c r="Y411" s="1676"/>
      <c r="Z411" s="1790"/>
      <c r="AB411" s="78">
        <v>1</v>
      </c>
      <c r="AE411" s="2461"/>
      <c r="AF411" s="68"/>
      <c r="AI411" s="2475"/>
    </row>
    <row r="412" spans="1:35" ht="45.5" x14ac:dyDescent="0.35">
      <c r="A412" s="608"/>
      <c r="B412" s="1035" t="s">
        <v>2918</v>
      </c>
      <c r="C412" s="1035"/>
      <c r="D412" s="379"/>
      <c r="E412" s="1596" t="s">
        <v>2061</v>
      </c>
      <c r="F412" s="596"/>
      <c r="G412" s="596"/>
      <c r="H412" s="2268"/>
      <c r="I412" s="583"/>
      <c r="J412" s="583"/>
      <c r="K412" s="598"/>
      <c r="L412" s="598"/>
      <c r="M412" s="983"/>
      <c r="N412" s="580"/>
      <c r="O412" s="918"/>
      <c r="P412" s="580"/>
      <c r="Q412" s="913"/>
      <c r="R412" s="906"/>
      <c r="S412" s="600"/>
      <c r="T412" s="600"/>
      <c r="U412" s="600"/>
      <c r="V412" s="600"/>
      <c r="W412" s="1676"/>
      <c r="X412" s="1789"/>
      <c r="Y412" s="1676"/>
      <c r="Z412" s="1790"/>
      <c r="AE412" s="2461"/>
      <c r="AF412" s="68"/>
    </row>
    <row r="413" spans="1:35" ht="60.5" x14ac:dyDescent="0.35">
      <c r="A413" s="608">
        <v>194</v>
      </c>
      <c r="B413" s="1035" t="s">
        <v>2918</v>
      </c>
      <c r="C413" s="1035"/>
      <c r="D413" s="2465" t="s">
        <v>4730</v>
      </c>
      <c r="E413" s="371" t="s">
        <v>7684</v>
      </c>
      <c r="F413" s="596">
        <v>5</v>
      </c>
      <c r="G413" s="596">
        <v>5</v>
      </c>
      <c r="H413" s="2268">
        <v>6</v>
      </c>
      <c r="I413" s="583">
        <f>J413+K413+L413</f>
        <v>0.8</v>
      </c>
      <c r="J413" s="583">
        <f>SUM(M413:R413)</f>
        <v>0.8</v>
      </c>
      <c r="K413" s="584"/>
      <c r="L413" s="584"/>
      <c r="M413" s="980"/>
      <c r="N413" s="583"/>
      <c r="O413" s="597"/>
      <c r="P413" s="584"/>
      <c r="Q413" s="908"/>
      <c r="R413" s="903">
        <v>0.8</v>
      </c>
      <c r="S413" s="586"/>
      <c r="T413" s="590"/>
      <c r="U413" s="586"/>
      <c r="V413" s="586"/>
      <c r="W413" s="2426">
        <v>1</v>
      </c>
      <c r="X413" s="2427">
        <v>10</v>
      </c>
      <c r="Y413" s="1679"/>
      <c r="Z413" s="1791"/>
      <c r="AB413" s="78">
        <v>1</v>
      </c>
      <c r="AE413" s="2461"/>
      <c r="AF413" s="68"/>
      <c r="AI413" s="2475"/>
    </row>
    <row r="414" spans="1:35" ht="60.5" x14ac:dyDescent="0.35">
      <c r="A414" s="608">
        <v>195</v>
      </c>
      <c r="B414" s="1035" t="s">
        <v>2918</v>
      </c>
      <c r="C414" s="1035"/>
      <c r="D414" s="2465" t="s">
        <v>4731</v>
      </c>
      <c r="E414" s="371" t="s">
        <v>7685</v>
      </c>
      <c r="F414" s="596"/>
      <c r="G414" s="596"/>
      <c r="H414" s="2268" t="s">
        <v>191</v>
      </c>
      <c r="I414" s="583">
        <f>J414+K414+L414</f>
        <v>2.2650000000000001</v>
      </c>
      <c r="J414" s="583">
        <f>SUM(M414:R414)</f>
        <v>2.2650000000000001</v>
      </c>
      <c r="K414" s="584"/>
      <c r="L414" s="584"/>
      <c r="M414" s="980"/>
      <c r="N414" s="583">
        <f>SUM(N415:N417)</f>
        <v>0.45300000000000007</v>
      </c>
      <c r="O414" s="597"/>
      <c r="P414" s="584"/>
      <c r="Q414" s="908">
        <f>SUM(Q415:Q417)</f>
        <v>1.8120000000000001</v>
      </c>
      <c r="R414" s="903"/>
      <c r="S414" s="586"/>
      <c r="T414" s="590"/>
      <c r="U414" s="586"/>
      <c r="V414" s="586"/>
      <c r="W414" s="2426">
        <v>3</v>
      </c>
      <c r="X414" s="2427">
        <v>28.19</v>
      </c>
      <c r="Y414" s="1679">
        <v>1</v>
      </c>
      <c r="Z414" s="1791">
        <v>5</v>
      </c>
      <c r="AB414" s="78">
        <v>1</v>
      </c>
      <c r="AE414" s="2461"/>
      <c r="AF414" s="68"/>
      <c r="AI414" s="2475"/>
    </row>
    <row r="415" spans="1:35" ht="15.5" x14ac:dyDescent="0.35">
      <c r="A415" s="608"/>
      <c r="B415" s="1035"/>
      <c r="C415" s="1035"/>
      <c r="D415" s="375"/>
      <c r="E415" s="610" t="s">
        <v>3608</v>
      </c>
      <c r="F415" s="596">
        <v>5</v>
      </c>
      <c r="G415" s="596">
        <v>5</v>
      </c>
      <c r="H415" s="2268">
        <v>6</v>
      </c>
      <c r="I415" s="594"/>
      <c r="J415" s="594"/>
      <c r="K415" s="595"/>
      <c r="L415" s="595"/>
      <c r="M415" s="982"/>
      <c r="N415" s="594">
        <v>3.4000000000000002E-2</v>
      </c>
      <c r="O415" s="917"/>
      <c r="P415" s="584"/>
      <c r="Q415" s="908"/>
      <c r="R415" s="903"/>
      <c r="S415" s="586"/>
      <c r="T415" s="590"/>
      <c r="U415" s="586"/>
      <c r="V415" s="586"/>
      <c r="W415" s="2426"/>
      <c r="X415" s="2427"/>
      <c r="Y415" s="1679"/>
      <c r="Z415" s="1791"/>
      <c r="AE415" s="2461"/>
      <c r="AF415" s="68"/>
    </row>
    <row r="416" spans="1:35" ht="15.5" x14ac:dyDescent="0.35">
      <c r="A416" s="608"/>
      <c r="B416" s="1035"/>
      <c r="C416" s="1035"/>
      <c r="D416" s="375"/>
      <c r="E416" s="1583" t="s">
        <v>3609</v>
      </c>
      <c r="F416" s="596">
        <v>5</v>
      </c>
      <c r="G416" s="596">
        <v>5</v>
      </c>
      <c r="H416" s="2268">
        <v>6</v>
      </c>
      <c r="I416" s="594"/>
      <c r="J416" s="594"/>
      <c r="K416" s="595"/>
      <c r="L416" s="595"/>
      <c r="M416" s="982"/>
      <c r="N416" s="594"/>
      <c r="O416" s="917"/>
      <c r="P416" s="584"/>
      <c r="Q416" s="912">
        <f>1.846-0.034</f>
        <v>1.8120000000000001</v>
      </c>
      <c r="R416" s="903"/>
      <c r="S416" s="586"/>
      <c r="T416" s="590"/>
      <c r="U416" s="586"/>
      <c r="V416" s="586"/>
      <c r="W416" s="2426"/>
      <c r="X416" s="2427"/>
      <c r="Y416" s="1679"/>
      <c r="Z416" s="1791"/>
      <c r="AE416" s="2461"/>
      <c r="AF416" s="68"/>
    </row>
    <row r="417" spans="1:35" ht="15.5" x14ac:dyDescent="0.35">
      <c r="A417" s="608"/>
      <c r="B417" s="1035"/>
      <c r="C417" s="1035"/>
      <c r="D417" s="375"/>
      <c r="E417" s="2453" t="s">
        <v>3610</v>
      </c>
      <c r="F417" s="596">
        <v>5</v>
      </c>
      <c r="G417" s="596">
        <v>5</v>
      </c>
      <c r="H417" s="2268">
        <v>6</v>
      </c>
      <c r="I417" s="594"/>
      <c r="J417" s="594"/>
      <c r="K417" s="595"/>
      <c r="L417" s="595"/>
      <c r="M417" s="982"/>
      <c r="N417" s="594">
        <f>2.265-1.846</f>
        <v>0.41900000000000004</v>
      </c>
      <c r="O417" s="917"/>
      <c r="P417" s="584"/>
      <c r="Q417" s="908"/>
      <c r="R417" s="903"/>
      <c r="S417" s="586"/>
      <c r="T417" s="590"/>
      <c r="U417" s="586"/>
      <c r="V417" s="586"/>
      <c r="W417" s="2426"/>
      <c r="X417" s="2427"/>
      <c r="Y417" s="1679"/>
      <c r="Z417" s="1791"/>
      <c r="AE417" s="2461"/>
      <c r="AF417" s="68"/>
    </row>
    <row r="418" spans="1:35" ht="60.5" x14ac:dyDescent="0.35">
      <c r="A418" s="608">
        <v>196</v>
      </c>
      <c r="B418" s="1035" t="s">
        <v>2918</v>
      </c>
      <c r="C418" s="1035"/>
      <c r="D418" s="2465" t="s">
        <v>4732</v>
      </c>
      <c r="E418" s="371" t="s">
        <v>7323</v>
      </c>
      <c r="F418" s="596">
        <v>4</v>
      </c>
      <c r="G418" s="596">
        <v>5</v>
      </c>
      <c r="H418" s="2268">
        <v>6</v>
      </c>
      <c r="I418" s="583">
        <f>J418+K418+L418</f>
        <v>2.4</v>
      </c>
      <c r="J418" s="583">
        <f>SUM(M418:R418)</f>
        <v>2.4</v>
      </c>
      <c r="K418" s="584"/>
      <c r="L418" s="584"/>
      <c r="M418" s="980"/>
      <c r="N418" s="583">
        <v>2.4</v>
      </c>
      <c r="O418" s="597"/>
      <c r="P418" s="584"/>
      <c r="Q418" s="908"/>
      <c r="R418" s="903"/>
      <c r="S418" s="586"/>
      <c r="T418" s="590"/>
      <c r="U418" s="586"/>
      <c r="V418" s="586"/>
      <c r="W418" s="2426">
        <v>2</v>
      </c>
      <c r="X418" s="2427">
        <v>35</v>
      </c>
      <c r="Y418" s="1679"/>
      <c r="Z418" s="1791"/>
      <c r="AA418" s="2257" t="s">
        <v>3101</v>
      </c>
      <c r="AB418" s="78">
        <v>1</v>
      </c>
      <c r="AE418" s="2461"/>
      <c r="AF418" s="68"/>
      <c r="AI418" s="2475"/>
    </row>
    <row r="419" spans="1:35" ht="60.5" x14ac:dyDescent="0.35">
      <c r="A419" s="608">
        <v>197</v>
      </c>
      <c r="B419" s="1100" t="s">
        <v>2918</v>
      </c>
      <c r="C419" s="1100"/>
      <c r="D419" s="2465" t="s">
        <v>4733</v>
      </c>
      <c r="E419" s="371" t="s">
        <v>7686</v>
      </c>
      <c r="F419" s="596"/>
      <c r="G419" s="596"/>
      <c r="H419" s="2268" t="s">
        <v>191</v>
      </c>
      <c r="I419" s="583">
        <f>J419+K419+L419</f>
        <v>4.9000000000000004</v>
      </c>
      <c r="J419" s="583">
        <f>SUM(M419:R419)</f>
        <v>4.9000000000000004</v>
      </c>
      <c r="K419" s="584"/>
      <c r="L419" s="584"/>
      <c r="M419" s="980"/>
      <c r="N419" s="583"/>
      <c r="O419" s="597"/>
      <c r="P419" s="584"/>
      <c r="Q419" s="908"/>
      <c r="R419" s="903">
        <f>SUM(R420:R421)</f>
        <v>4.9000000000000004</v>
      </c>
      <c r="S419" s="586"/>
      <c r="T419" s="590"/>
      <c r="U419" s="586"/>
      <c r="V419" s="586"/>
      <c r="W419" s="2426">
        <v>1</v>
      </c>
      <c r="X419" s="2427">
        <v>10</v>
      </c>
      <c r="Y419" s="1679"/>
      <c r="Z419" s="2428"/>
      <c r="AB419" s="78">
        <v>1</v>
      </c>
      <c r="AE419" s="2461"/>
      <c r="AF419" s="68"/>
      <c r="AI419" s="2475"/>
    </row>
    <row r="420" spans="1:35" ht="15.5" x14ac:dyDescent="0.35">
      <c r="A420" s="1100"/>
      <c r="B420" s="1100" t="s">
        <v>2918</v>
      </c>
      <c r="C420" s="1100"/>
      <c r="D420" s="375"/>
      <c r="E420" s="922" t="s">
        <v>441</v>
      </c>
      <c r="F420" s="2268">
        <v>5</v>
      </c>
      <c r="G420" s="596">
        <v>5</v>
      </c>
      <c r="H420" s="2268">
        <v>6</v>
      </c>
      <c r="I420" s="594"/>
      <c r="J420" s="594"/>
      <c r="K420" s="595"/>
      <c r="L420" s="595"/>
      <c r="M420" s="982"/>
      <c r="N420" s="594"/>
      <c r="O420" s="917"/>
      <c r="P420" s="595"/>
      <c r="Q420" s="912"/>
      <c r="R420" s="2269">
        <v>4</v>
      </c>
      <c r="S420" s="586"/>
      <c r="T420" s="590"/>
      <c r="U420" s="586"/>
      <c r="V420" s="586"/>
      <c r="W420" s="2426"/>
      <c r="X420" s="2427"/>
      <c r="Y420" s="1679"/>
      <c r="Z420" s="2428"/>
      <c r="AE420" s="2461"/>
      <c r="AF420" s="68"/>
    </row>
    <row r="421" spans="1:35" ht="15.5" x14ac:dyDescent="0.35">
      <c r="A421" s="1100"/>
      <c r="B421" s="1100" t="s">
        <v>2918</v>
      </c>
      <c r="C421" s="1100"/>
      <c r="D421" s="375"/>
      <c r="E421" s="922" t="s">
        <v>1188</v>
      </c>
      <c r="F421" s="2268" t="s">
        <v>664</v>
      </c>
      <c r="G421" s="596">
        <v>5</v>
      </c>
      <c r="H421" s="2268">
        <v>6</v>
      </c>
      <c r="I421" s="594"/>
      <c r="J421" s="594"/>
      <c r="K421" s="595"/>
      <c r="L421" s="595"/>
      <c r="M421" s="982"/>
      <c r="N421" s="594"/>
      <c r="O421" s="917"/>
      <c r="P421" s="595"/>
      <c r="Q421" s="912"/>
      <c r="R421" s="2269">
        <v>0.9</v>
      </c>
      <c r="S421" s="586"/>
      <c r="T421" s="590"/>
      <c r="U421" s="586"/>
      <c r="V421" s="586"/>
      <c r="W421" s="2426"/>
      <c r="X421" s="2427"/>
      <c r="Y421" s="1679"/>
      <c r="Z421" s="2428"/>
      <c r="AE421" s="2461"/>
      <c r="AF421" s="68"/>
    </row>
    <row r="422" spans="1:35" ht="75.5" x14ac:dyDescent="0.35">
      <c r="A422" s="1593">
        <v>198</v>
      </c>
      <c r="B422" s="375" t="s">
        <v>2918</v>
      </c>
      <c r="C422" s="358" t="s">
        <v>1656</v>
      </c>
      <c r="D422" s="2465" t="s">
        <v>4734</v>
      </c>
      <c r="E422" s="372" t="s">
        <v>8448</v>
      </c>
      <c r="F422" s="591"/>
      <c r="G422" s="596"/>
      <c r="H422" s="2268" t="s">
        <v>191</v>
      </c>
      <c r="I422" s="297">
        <f>J422+K422+L422</f>
        <v>0.44600000000000001</v>
      </c>
      <c r="J422" s="297">
        <f>SUM(M422:R422)</f>
        <v>0.15600000000000003</v>
      </c>
      <c r="K422" s="589"/>
      <c r="L422" s="584">
        <f>SUM(L423:L424)</f>
        <v>0.28999999999999998</v>
      </c>
      <c r="M422" s="981"/>
      <c r="N422" s="1794"/>
      <c r="O422" s="2365"/>
      <c r="P422" s="2364"/>
      <c r="Q422" s="1792"/>
      <c r="R422" s="2366">
        <f>SUM(R423:R424)</f>
        <v>0.15600000000000003</v>
      </c>
      <c r="S422" s="586"/>
      <c r="T422" s="590"/>
      <c r="U422" s="586"/>
      <c r="V422" s="586"/>
      <c r="W422" s="1679"/>
      <c r="X422" s="1678"/>
      <c r="Y422" s="1679"/>
      <c r="Z422" s="1791"/>
      <c r="AB422" s="78">
        <v>1</v>
      </c>
      <c r="AE422" s="2461"/>
      <c r="AF422" s="68"/>
      <c r="AI422" s="2475"/>
    </row>
    <row r="423" spans="1:35" ht="15.5" x14ac:dyDescent="0.35">
      <c r="A423" s="2562"/>
      <c r="B423" s="375"/>
      <c r="C423" s="358"/>
      <c r="D423" s="2465"/>
      <c r="E423" s="289" t="s">
        <v>7032</v>
      </c>
      <c r="F423" s="591" t="s">
        <v>664</v>
      </c>
      <c r="G423" s="596">
        <v>5</v>
      </c>
      <c r="H423" s="2268" t="s">
        <v>191</v>
      </c>
      <c r="I423" s="298"/>
      <c r="J423" s="298"/>
      <c r="K423" s="589"/>
      <c r="L423" s="588">
        <v>0.28999999999999998</v>
      </c>
      <c r="M423" s="981"/>
      <c r="N423" s="589"/>
      <c r="O423" s="915"/>
      <c r="P423" s="588"/>
      <c r="Q423" s="909"/>
      <c r="R423" s="902"/>
      <c r="S423" s="586"/>
      <c r="T423" s="590"/>
      <c r="U423" s="586"/>
      <c r="V423" s="586"/>
      <c r="W423" s="1679"/>
      <c r="X423" s="1678"/>
      <c r="Y423" s="1679"/>
      <c r="Z423" s="2563"/>
      <c r="AE423" s="2461"/>
      <c r="AF423" s="68"/>
      <c r="AI423" s="2475"/>
    </row>
    <row r="424" spans="1:35" ht="15.5" x14ac:dyDescent="0.35">
      <c r="A424" s="2562"/>
      <c r="B424" s="375"/>
      <c r="C424" s="358"/>
      <c r="D424" s="2465"/>
      <c r="E424" s="2280" t="s">
        <v>7033</v>
      </c>
      <c r="F424" s="591" t="s">
        <v>664</v>
      </c>
      <c r="G424" s="596">
        <v>5</v>
      </c>
      <c r="H424" s="2268">
        <v>6</v>
      </c>
      <c r="I424" s="298"/>
      <c r="J424" s="298"/>
      <c r="K424" s="589"/>
      <c r="L424" s="588"/>
      <c r="M424" s="981"/>
      <c r="N424" s="589"/>
      <c r="O424" s="915"/>
      <c r="P424" s="588"/>
      <c r="Q424" s="909"/>
      <c r="R424" s="902">
        <f>0.446-0.29</f>
        <v>0.15600000000000003</v>
      </c>
      <c r="S424" s="586"/>
      <c r="T424" s="590"/>
      <c r="U424" s="586"/>
      <c r="V424" s="586"/>
      <c r="W424" s="1679"/>
      <c r="X424" s="1678"/>
      <c r="Y424" s="1679"/>
      <c r="Z424" s="2563"/>
      <c r="AE424" s="2461"/>
      <c r="AF424" s="68"/>
      <c r="AI424" s="2475"/>
    </row>
    <row r="425" spans="1:35" ht="60.5" x14ac:dyDescent="0.35">
      <c r="A425" s="1100">
        <v>199</v>
      </c>
      <c r="B425" s="1100" t="s">
        <v>2918</v>
      </c>
      <c r="C425" s="1100"/>
      <c r="D425" s="2465" t="s">
        <v>4735</v>
      </c>
      <c r="E425" s="371" t="s">
        <v>7687</v>
      </c>
      <c r="F425" s="596" t="s">
        <v>1490</v>
      </c>
      <c r="G425" s="596">
        <v>5</v>
      </c>
      <c r="H425" s="2268">
        <v>6</v>
      </c>
      <c r="I425" s="583">
        <f>J425+K425+L425</f>
        <v>0.6</v>
      </c>
      <c r="J425" s="583">
        <f>SUM(M425:R425)</f>
        <v>0.6</v>
      </c>
      <c r="K425" s="584"/>
      <c r="L425" s="584"/>
      <c r="M425" s="980"/>
      <c r="N425" s="583"/>
      <c r="O425" s="597"/>
      <c r="P425" s="584"/>
      <c r="Q425" s="908"/>
      <c r="R425" s="903">
        <v>0.6</v>
      </c>
      <c r="S425" s="586"/>
      <c r="T425" s="590"/>
      <c r="U425" s="586"/>
      <c r="V425" s="586"/>
      <c r="W425" s="2426">
        <v>2</v>
      </c>
      <c r="X425" s="2427">
        <v>10</v>
      </c>
      <c r="Y425" s="1679"/>
      <c r="Z425" s="2428"/>
      <c r="AB425" s="78">
        <v>1</v>
      </c>
      <c r="AE425" s="2461"/>
      <c r="AF425" s="68"/>
      <c r="AI425" s="2475"/>
    </row>
    <row r="426" spans="1:35" ht="60.5" x14ac:dyDescent="0.35">
      <c r="A426" s="1593">
        <v>200</v>
      </c>
      <c r="B426" s="1100" t="s">
        <v>2918</v>
      </c>
      <c r="C426" s="1100"/>
      <c r="D426" s="2465" t="s">
        <v>4736</v>
      </c>
      <c r="E426" s="371" t="s">
        <v>7688</v>
      </c>
      <c r="F426" s="596" t="s">
        <v>664</v>
      </c>
      <c r="G426" s="596">
        <v>5</v>
      </c>
      <c r="H426" s="2268">
        <v>6</v>
      </c>
      <c r="I426" s="583">
        <f>J426+K426+L426</f>
        <v>0.5</v>
      </c>
      <c r="J426" s="583">
        <f>SUM(M426:R426)</f>
        <v>0.5</v>
      </c>
      <c r="K426" s="584"/>
      <c r="L426" s="584"/>
      <c r="M426" s="980"/>
      <c r="N426" s="583"/>
      <c r="O426" s="597"/>
      <c r="P426" s="584"/>
      <c r="Q426" s="908"/>
      <c r="R426" s="903">
        <v>0.5</v>
      </c>
      <c r="S426" s="586"/>
      <c r="T426" s="590"/>
      <c r="U426" s="586"/>
      <c r="V426" s="586"/>
      <c r="W426" s="2426"/>
      <c r="X426" s="2427"/>
      <c r="Y426" s="1679"/>
      <c r="Z426" s="2428"/>
      <c r="AB426" s="78">
        <v>1</v>
      </c>
      <c r="AE426" s="2461"/>
      <c r="AF426" s="68"/>
      <c r="AI426" s="2475"/>
    </row>
    <row r="427" spans="1:35" ht="60.5" x14ac:dyDescent="0.35">
      <c r="A427" s="1100">
        <v>201</v>
      </c>
      <c r="B427" s="1100" t="s">
        <v>2918</v>
      </c>
      <c r="C427" s="1100"/>
      <c r="D427" s="2465" t="s">
        <v>4737</v>
      </c>
      <c r="E427" s="371" t="s">
        <v>7689</v>
      </c>
      <c r="F427" s="591"/>
      <c r="G427" s="591"/>
      <c r="H427" s="2268" t="s">
        <v>191</v>
      </c>
      <c r="I427" s="583">
        <f>J427+K427+L427</f>
        <v>6.1050000000000004</v>
      </c>
      <c r="J427" s="583">
        <f>SUM(M427:R427)</f>
        <v>6.1050000000000004</v>
      </c>
      <c r="K427" s="584"/>
      <c r="L427" s="584"/>
      <c r="M427" s="980"/>
      <c r="N427" s="584">
        <f>SUM(N428:N429)</f>
        <v>5.4749999999999996</v>
      </c>
      <c r="O427" s="597"/>
      <c r="P427" s="584"/>
      <c r="Q427" s="908">
        <f>SUM(Q428:Q429)</f>
        <v>0.63000000000000078</v>
      </c>
      <c r="R427" s="901"/>
      <c r="S427" s="586">
        <v>1</v>
      </c>
      <c r="T427" s="590">
        <v>46</v>
      </c>
      <c r="U427" s="586"/>
      <c r="V427" s="586"/>
      <c r="W427" s="1679">
        <v>7</v>
      </c>
      <c r="X427" s="1678">
        <v>109</v>
      </c>
      <c r="Y427" s="1679"/>
      <c r="Z427" s="2428"/>
      <c r="AB427" s="78">
        <v>1</v>
      </c>
      <c r="AE427" s="2461"/>
      <c r="AF427" s="68"/>
      <c r="AI427" s="2475"/>
    </row>
    <row r="428" spans="1:35" ht="15.5" x14ac:dyDescent="0.35">
      <c r="A428" s="2200"/>
      <c r="B428" s="1100" t="s">
        <v>2918</v>
      </c>
      <c r="C428" s="1100"/>
      <c r="D428" s="376"/>
      <c r="E428" s="610" t="s">
        <v>1164</v>
      </c>
      <c r="F428" s="591">
        <v>4</v>
      </c>
      <c r="G428" s="591">
        <v>4</v>
      </c>
      <c r="H428" s="2268">
        <v>6</v>
      </c>
      <c r="I428" s="588"/>
      <c r="J428" s="588"/>
      <c r="K428" s="588"/>
      <c r="L428" s="588"/>
      <c r="M428" s="981"/>
      <c r="N428" s="588">
        <v>5.4749999999999996</v>
      </c>
      <c r="O428" s="915"/>
      <c r="P428" s="588"/>
      <c r="Q428" s="909"/>
      <c r="R428" s="902"/>
      <c r="S428" s="586"/>
      <c r="T428" s="590"/>
      <c r="U428" s="586"/>
      <c r="V428" s="586"/>
      <c r="W428" s="1679"/>
      <c r="X428" s="1678"/>
      <c r="Y428" s="1679"/>
      <c r="Z428" s="2428"/>
      <c r="AE428" s="2461"/>
      <c r="AF428" s="68"/>
    </row>
    <row r="429" spans="1:35" ht="15.5" x14ac:dyDescent="0.35">
      <c r="A429" s="2200"/>
      <c r="B429" s="1100" t="s">
        <v>2918</v>
      </c>
      <c r="C429" s="1100"/>
      <c r="D429" s="376"/>
      <c r="E429" s="1583" t="s">
        <v>1165</v>
      </c>
      <c r="F429" s="591">
        <v>4</v>
      </c>
      <c r="G429" s="591">
        <v>4</v>
      </c>
      <c r="H429" s="2268">
        <v>6</v>
      </c>
      <c r="I429" s="588"/>
      <c r="J429" s="588"/>
      <c r="K429" s="588"/>
      <c r="L429" s="588"/>
      <c r="M429" s="981"/>
      <c r="N429" s="588"/>
      <c r="O429" s="915"/>
      <c r="P429" s="588"/>
      <c r="Q429" s="909">
        <f>6.105-5.475</f>
        <v>0.63000000000000078</v>
      </c>
      <c r="R429" s="902"/>
      <c r="S429" s="586"/>
      <c r="T429" s="590"/>
      <c r="U429" s="586"/>
      <c r="V429" s="586"/>
      <c r="W429" s="1679"/>
      <c r="X429" s="1678"/>
      <c r="Y429" s="1679"/>
      <c r="Z429" s="2428"/>
      <c r="AE429" s="2461"/>
      <c r="AF429" s="68"/>
    </row>
    <row r="430" spans="1:35" ht="75.5" x14ac:dyDescent="0.35">
      <c r="A430" s="1101">
        <v>202</v>
      </c>
      <c r="B430" s="1101" t="s">
        <v>2918</v>
      </c>
      <c r="C430" s="1099" t="s">
        <v>1656</v>
      </c>
      <c r="D430" s="2465" t="s">
        <v>4738</v>
      </c>
      <c r="E430" s="371" t="s">
        <v>8449</v>
      </c>
      <c r="F430" s="596" t="s">
        <v>664</v>
      </c>
      <c r="G430" s="596">
        <v>5</v>
      </c>
      <c r="H430" s="2268">
        <v>6</v>
      </c>
      <c r="I430" s="583">
        <f>J430+K430+L430</f>
        <v>0.4</v>
      </c>
      <c r="J430" s="583">
        <f>SUM(M430:R430)</f>
        <v>0.4</v>
      </c>
      <c r="K430" s="588"/>
      <c r="L430" s="588"/>
      <c r="M430" s="983"/>
      <c r="N430" s="580"/>
      <c r="O430" s="918"/>
      <c r="P430" s="580"/>
      <c r="Q430" s="913"/>
      <c r="R430" s="906">
        <v>0.4</v>
      </c>
      <c r="S430" s="586"/>
      <c r="T430" s="586"/>
      <c r="U430" s="586"/>
      <c r="V430" s="586"/>
      <c r="W430" s="1679"/>
      <c r="X430" s="1678"/>
      <c r="Y430" s="1676"/>
      <c r="Z430" s="2201"/>
      <c r="AB430" s="78">
        <v>1</v>
      </c>
      <c r="AE430" s="2461"/>
      <c r="AF430" s="68"/>
      <c r="AI430" s="2475"/>
    </row>
    <row r="431" spans="1:35" ht="60.5" x14ac:dyDescent="0.35">
      <c r="A431" s="1593">
        <v>203</v>
      </c>
      <c r="B431" s="375" t="s">
        <v>2918</v>
      </c>
      <c r="C431" s="358" t="s">
        <v>1656</v>
      </c>
      <c r="D431" s="2465" t="s">
        <v>4739</v>
      </c>
      <c r="E431" s="372" t="s">
        <v>9247</v>
      </c>
      <c r="F431" s="591"/>
      <c r="G431" s="596"/>
      <c r="H431" s="2268" t="s">
        <v>191</v>
      </c>
      <c r="I431" s="297">
        <f>J431+K431+L431</f>
        <v>0.51</v>
      </c>
      <c r="J431" s="297">
        <f>SUM(M431:R431)</f>
        <v>0.29000000000000004</v>
      </c>
      <c r="K431" s="589"/>
      <c r="L431" s="584">
        <f>SUM(L432:L434)</f>
        <v>0.22</v>
      </c>
      <c r="M431" s="981"/>
      <c r="N431" s="1794">
        <f>SUM(N432:N434)</f>
        <v>0.15</v>
      </c>
      <c r="O431" s="2365"/>
      <c r="P431" s="2364"/>
      <c r="Q431" s="1792"/>
      <c r="R431" s="2366">
        <f>SUM(R432:R434)</f>
        <v>0.14000000000000001</v>
      </c>
      <c r="S431" s="586"/>
      <c r="T431" s="590"/>
      <c r="U431" s="586"/>
      <c r="V431" s="586"/>
      <c r="W431" s="1679"/>
      <c r="X431" s="1678"/>
      <c r="Y431" s="1679"/>
      <c r="Z431" s="1791"/>
      <c r="AB431" s="78">
        <v>1</v>
      </c>
      <c r="AE431" s="2461"/>
      <c r="AF431" s="68"/>
      <c r="AI431" s="2475"/>
    </row>
    <row r="432" spans="1:35" ht="15.5" x14ac:dyDescent="0.35">
      <c r="A432" s="1593"/>
      <c r="B432" s="375"/>
      <c r="C432" s="358"/>
      <c r="D432" s="2465"/>
      <c r="E432" s="289" t="s">
        <v>7034</v>
      </c>
      <c r="F432" s="591" t="s">
        <v>827</v>
      </c>
      <c r="G432" s="596">
        <v>5</v>
      </c>
      <c r="H432" s="2268" t="s">
        <v>191</v>
      </c>
      <c r="I432" s="297"/>
      <c r="J432" s="297"/>
      <c r="K432" s="589"/>
      <c r="L432" s="588">
        <v>0.22</v>
      </c>
      <c r="M432" s="981"/>
      <c r="N432" s="1794"/>
      <c r="O432" s="2365"/>
      <c r="P432" s="2364"/>
      <c r="Q432" s="1792"/>
      <c r="R432" s="2366"/>
      <c r="S432" s="586"/>
      <c r="T432" s="590"/>
      <c r="U432" s="586"/>
      <c r="V432" s="586"/>
      <c r="W432" s="1679"/>
      <c r="X432" s="1678"/>
      <c r="Y432" s="1679"/>
      <c r="Z432" s="1791"/>
      <c r="AE432" s="2461"/>
      <c r="AF432" s="68"/>
      <c r="AI432" s="2475"/>
    </row>
    <row r="433" spans="1:35" ht="15.5" x14ac:dyDescent="0.35">
      <c r="A433" s="2368"/>
      <c r="B433" s="375" t="s">
        <v>2918</v>
      </c>
      <c r="C433" s="375"/>
      <c r="D433" s="358"/>
      <c r="E433" s="1591" t="s">
        <v>7035</v>
      </c>
      <c r="F433" s="591" t="s">
        <v>827</v>
      </c>
      <c r="G433" s="591">
        <v>5</v>
      </c>
      <c r="H433" s="2268">
        <v>6</v>
      </c>
      <c r="I433" s="298"/>
      <c r="J433" s="298"/>
      <c r="K433" s="589"/>
      <c r="L433" s="588"/>
      <c r="M433" s="981"/>
      <c r="N433" s="589">
        <f>0.37-0.22</f>
        <v>0.15</v>
      </c>
      <c r="O433" s="915"/>
      <c r="P433" s="588"/>
      <c r="Q433" s="909"/>
      <c r="R433" s="902"/>
      <c r="S433" s="586"/>
      <c r="T433" s="590"/>
      <c r="U433" s="586"/>
      <c r="V433" s="586"/>
      <c r="W433" s="1679"/>
      <c r="X433" s="1678"/>
      <c r="Y433" s="1679"/>
      <c r="Z433" s="1791"/>
      <c r="AE433" s="2461"/>
      <c r="AF433" s="68"/>
    </row>
    <row r="434" spans="1:35" ht="15.5" x14ac:dyDescent="0.35">
      <c r="A434" s="2368"/>
      <c r="B434" s="375" t="s">
        <v>2918</v>
      </c>
      <c r="C434" s="375"/>
      <c r="D434" s="358"/>
      <c r="E434" s="2267" t="s">
        <v>7036</v>
      </c>
      <c r="F434" s="591" t="s">
        <v>664</v>
      </c>
      <c r="G434" s="591">
        <v>5</v>
      </c>
      <c r="H434" s="2268">
        <v>6</v>
      </c>
      <c r="I434" s="298"/>
      <c r="J434" s="298"/>
      <c r="K434" s="589"/>
      <c r="L434" s="588"/>
      <c r="M434" s="981"/>
      <c r="N434" s="589"/>
      <c r="O434" s="915"/>
      <c r="P434" s="588"/>
      <c r="Q434" s="909"/>
      <c r="R434" s="902">
        <f>0.51-0.37</f>
        <v>0.14000000000000001</v>
      </c>
      <c r="S434" s="586"/>
      <c r="T434" s="590"/>
      <c r="U434" s="586"/>
      <c r="V434" s="586"/>
      <c r="W434" s="1679"/>
      <c r="X434" s="1678"/>
      <c r="Y434" s="1679"/>
      <c r="Z434" s="1791"/>
      <c r="AE434" s="2461"/>
      <c r="AF434" s="68"/>
    </row>
    <row r="435" spans="1:35" ht="60.5" x14ac:dyDescent="0.35">
      <c r="A435" s="1593">
        <v>204</v>
      </c>
      <c r="B435" s="1100" t="s">
        <v>2918</v>
      </c>
      <c r="C435" s="358" t="s">
        <v>1656</v>
      </c>
      <c r="D435" s="2465" t="s">
        <v>4740</v>
      </c>
      <c r="E435" s="372" t="s">
        <v>8450</v>
      </c>
      <c r="F435" s="596" t="s">
        <v>664</v>
      </c>
      <c r="G435" s="596">
        <v>5</v>
      </c>
      <c r="H435" s="2268">
        <v>6</v>
      </c>
      <c r="I435" s="297">
        <f>J435+K435+L435</f>
        <v>1</v>
      </c>
      <c r="J435" s="297">
        <f>SUM(M435:R435)</f>
        <v>1</v>
      </c>
      <c r="K435" s="584"/>
      <c r="L435" s="584"/>
      <c r="M435" s="980"/>
      <c r="N435" s="584"/>
      <c r="O435" s="597"/>
      <c r="P435" s="584"/>
      <c r="Q435" s="910"/>
      <c r="R435" s="903">
        <v>1</v>
      </c>
      <c r="S435" s="586"/>
      <c r="T435" s="590"/>
      <c r="U435" s="586"/>
      <c r="V435" s="586"/>
      <c r="W435" s="2426"/>
      <c r="X435" s="2427"/>
      <c r="Y435" s="1679"/>
      <c r="Z435" s="1791"/>
      <c r="AB435" s="78">
        <v>1</v>
      </c>
      <c r="AE435" s="2461"/>
      <c r="AF435" s="68"/>
      <c r="AI435" s="2475"/>
    </row>
    <row r="436" spans="1:35" ht="75.5" x14ac:dyDescent="0.35">
      <c r="A436" s="1593">
        <v>205</v>
      </c>
      <c r="B436" s="1100" t="s">
        <v>2918</v>
      </c>
      <c r="C436" s="358" t="s">
        <v>1656</v>
      </c>
      <c r="D436" s="2465" t="s">
        <v>4741</v>
      </c>
      <c r="E436" s="372" t="s">
        <v>8451</v>
      </c>
      <c r="F436" s="596" t="s">
        <v>664</v>
      </c>
      <c r="G436" s="596">
        <v>5</v>
      </c>
      <c r="H436" s="2268">
        <v>6</v>
      </c>
      <c r="I436" s="297">
        <f>J436+K436+L436</f>
        <v>0.6</v>
      </c>
      <c r="J436" s="297">
        <f>SUM(M436:R436)</f>
        <v>0.6</v>
      </c>
      <c r="K436" s="588"/>
      <c r="L436" s="588"/>
      <c r="M436" s="981"/>
      <c r="N436" s="2364"/>
      <c r="O436" s="2365"/>
      <c r="P436" s="2364"/>
      <c r="Q436" s="1795"/>
      <c r="R436" s="2367">
        <v>0.6</v>
      </c>
      <c r="S436" s="586"/>
      <c r="T436" s="590"/>
      <c r="U436" s="586"/>
      <c r="V436" s="586"/>
      <c r="W436" s="2426"/>
      <c r="X436" s="2427"/>
      <c r="Y436" s="1679"/>
      <c r="Z436" s="1791"/>
      <c r="AB436" s="78">
        <v>1</v>
      </c>
      <c r="AE436" s="2461"/>
      <c r="AF436" s="68"/>
      <c r="AI436" s="2475"/>
    </row>
    <row r="437" spans="1:35" ht="60.5" x14ac:dyDescent="0.35">
      <c r="A437" s="1593">
        <v>206</v>
      </c>
      <c r="B437" s="1101" t="s">
        <v>2918</v>
      </c>
      <c r="C437" s="1101"/>
      <c r="D437" s="2465" t="s">
        <v>4742</v>
      </c>
      <c r="E437" s="371" t="s">
        <v>7690</v>
      </c>
      <c r="F437" s="596" t="s">
        <v>664</v>
      </c>
      <c r="G437" s="596">
        <v>5</v>
      </c>
      <c r="H437" s="2268">
        <v>6</v>
      </c>
      <c r="I437" s="583">
        <f>J437+K437+L437</f>
        <v>0.5</v>
      </c>
      <c r="J437" s="583">
        <f>SUM(M437:R437)</f>
        <v>0.5</v>
      </c>
      <c r="K437" s="584"/>
      <c r="L437" s="584"/>
      <c r="M437" s="980"/>
      <c r="N437" s="583"/>
      <c r="O437" s="597"/>
      <c r="P437" s="584"/>
      <c r="Q437" s="908"/>
      <c r="R437" s="901">
        <v>0.5</v>
      </c>
      <c r="S437" s="586"/>
      <c r="T437" s="590"/>
      <c r="U437" s="586"/>
      <c r="V437" s="586"/>
      <c r="W437" s="1679"/>
      <c r="X437" s="1678"/>
      <c r="Y437" s="1679"/>
      <c r="Z437" s="2428"/>
      <c r="AB437" s="78">
        <v>1</v>
      </c>
      <c r="AE437" s="2461"/>
      <c r="AF437" s="68"/>
      <c r="AI437" s="2475"/>
    </row>
    <row r="438" spans="1:35" ht="75.5" x14ac:dyDescent="0.35">
      <c r="A438" s="1593">
        <v>207</v>
      </c>
      <c r="B438" s="693" t="s">
        <v>2918</v>
      </c>
      <c r="C438" s="358" t="s">
        <v>1656</v>
      </c>
      <c r="D438" s="2465" t="s">
        <v>4743</v>
      </c>
      <c r="E438" s="372" t="s">
        <v>8452</v>
      </c>
      <c r="F438" s="93" t="s">
        <v>664</v>
      </c>
      <c r="G438" s="93">
        <v>5</v>
      </c>
      <c r="H438" s="2268">
        <v>6</v>
      </c>
      <c r="I438" s="2202">
        <f>J438+K438+L438</f>
        <v>1.4</v>
      </c>
      <c r="J438" s="2202">
        <f>SUM(M438:R438)</f>
        <v>1.4</v>
      </c>
      <c r="K438" s="577"/>
      <c r="L438" s="577"/>
      <c r="M438" s="577"/>
      <c r="N438" s="577"/>
      <c r="O438" s="577"/>
      <c r="P438" s="577"/>
      <c r="Q438" s="577"/>
      <c r="R438" s="2207">
        <v>1.4</v>
      </c>
      <c r="S438" s="46"/>
      <c r="T438" s="46"/>
      <c r="U438" s="46"/>
      <c r="V438" s="46"/>
      <c r="W438" s="67"/>
      <c r="X438" s="46"/>
      <c r="Y438" s="46"/>
      <c r="Z438" s="2104"/>
      <c r="AB438" s="78">
        <v>1</v>
      </c>
      <c r="AE438" s="2461"/>
      <c r="AF438" s="68"/>
      <c r="AI438" s="2475"/>
    </row>
    <row r="439" spans="1:35" ht="45.5" x14ac:dyDescent="0.35">
      <c r="A439" s="1593"/>
      <c r="B439" s="375"/>
      <c r="C439" s="358"/>
      <c r="D439" s="358"/>
      <c r="E439" s="1596" t="s">
        <v>7224</v>
      </c>
      <c r="F439" s="591"/>
      <c r="G439" s="596"/>
      <c r="H439" s="2268"/>
      <c r="I439" s="297"/>
      <c r="J439" s="297"/>
      <c r="K439" s="584"/>
      <c r="L439" s="584"/>
      <c r="M439" s="980"/>
      <c r="N439" s="583"/>
      <c r="O439" s="597"/>
      <c r="P439" s="584"/>
      <c r="Q439" s="910"/>
      <c r="R439" s="901"/>
      <c r="S439" s="582"/>
      <c r="T439" s="585"/>
      <c r="U439" s="586"/>
      <c r="V439" s="586"/>
      <c r="W439" s="2426"/>
      <c r="X439" s="2427"/>
      <c r="Y439" s="1679"/>
      <c r="Z439" s="1791"/>
      <c r="AE439" s="2461"/>
      <c r="AF439" s="68"/>
    </row>
    <row r="440" spans="1:35" ht="45.5" x14ac:dyDescent="0.35">
      <c r="A440" s="1593">
        <v>208</v>
      </c>
      <c r="B440" s="375" t="s">
        <v>2918</v>
      </c>
      <c r="C440" s="358" t="s">
        <v>1656</v>
      </c>
      <c r="D440" s="2465" t="s">
        <v>4744</v>
      </c>
      <c r="E440" s="372" t="s">
        <v>8453</v>
      </c>
      <c r="F440" s="591" t="s">
        <v>664</v>
      </c>
      <c r="G440" s="596">
        <v>5</v>
      </c>
      <c r="H440" s="2268">
        <v>6</v>
      </c>
      <c r="I440" s="297">
        <f>J440+K440+L440</f>
        <v>3.3000000000000002E-2</v>
      </c>
      <c r="J440" s="297">
        <f>SUM(M440:R440)</f>
        <v>3.3000000000000002E-2</v>
      </c>
      <c r="K440" s="584"/>
      <c r="L440" s="584"/>
      <c r="M440" s="980"/>
      <c r="N440" s="583"/>
      <c r="O440" s="597"/>
      <c r="P440" s="584"/>
      <c r="Q440" s="910"/>
      <c r="R440" s="901">
        <v>3.3000000000000002E-2</v>
      </c>
      <c r="S440" s="582"/>
      <c r="T440" s="585"/>
      <c r="U440" s="586"/>
      <c r="V440" s="586"/>
      <c r="W440" s="2426"/>
      <c r="X440" s="2427"/>
      <c r="Y440" s="1679"/>
      <c r="Z440" s="1791"/>
      <c r="AB440" s="78">
        <v>1</v>
      </c>
      <c r="AE440" s="2461"/>
      <c r="AF440" s="68"/>
      <c r="AI440" s="2475"/>
    </row>
  </sheetData>
  <autoFilter ref="A29:AB440"/>
  <mergeCells count="35">
    <mergeCell ref="L6:L8"/>
    <mergeCell ref="B5:B8"/>
    <mergeCell ref="I6:I8"/>
    <mergeCell ref="J6:J8"/>
    <mergeCell ref="K6:K8"/>
    <mergeCell ref="H5:H8"/>
    <mergeCell ref="P6:P8"/>
    <mergeCell ref="Z7:Z8"/>
    <mergeCell ref="T7:T8"/>
    <mergeCell ref="Q6:Q8"/>
    <mergeCell ref="R6:R8"/>
    <mergeCell ref="V7:V8"/>
    <mergeCell ref="W6:X6"/>
    <mergeCell ref="S7:S8"/>
    <mergeCell ref="W7:W8"/>
    <mergeCell ref="S6:T6"/>
    <mergeCell ref="X7:X8"/>
    <mergeCell ref="U6:V6"/>
    <mergeCell ref="U7:U8"/>
    <mergeCell ref="S5:V5"/>
    <mergeCell ref="W5:Z5"/>
    <mergeCell ref="Y6:Z6"/>
    <mergeCell ref="Y7:Y8"/>
    <mergeCell ref="A2:Z2"/>
    <mergeCell ref="A3:Z3"/>
    <mergeCell ref="A5:A8"/>
    <mergeCell ref="D5:D8"/>
    <mergeCell ref="E5:E8"/>
    <mergeCell ref="F5:F8"/>
    <mergeCell ref="G5:G8"/>
    <mergeCell ref="I5:L5"/>
    <mergeCell ref="M5:R5"/>
    <mergeCell ref="M6:M8"/>
    <mergeCell ref="N6:N8"/>
    <mergeCell ref="O6:O8"/>
  </mergeCells>
  <phoneticPr fontId="0" type="noConversion"/>
  <printOptions horizontalCentered="1"/>
  <pageMargins left="0.19685039370078741" right="0.19685039370078741" top="0.65" bottom="0.31" header="0.31496062992125984" footer="0.17"/>
  <pageSetup scale="55" fitToHeight="0" orientation="landscape" r:id="rId1"/>
  <headerFooter alignWithMargins="0">
    <oddFooter>&amp;L&amp;"Times New Roman,обычный"&amp;10Климовичское ДРСУ-172&amp;R&amp;"Times New Roman,обычный"&amp;10&amp;P</oddFooter>
  </headerFooter>
  <rowBreaks count="8" manualBreakCount="8">
    <brk id="77" max="24" man="1"/>
    <brk id="116" max="24" man="1"/>
    <brk id="153" max="24" man="1"/>
    <brk id="195" max="24" man="1"/>
    <brk id="288" max="24" man="1"/>
    <brk id="341" max="24" man="1"/>
    <brk id="388" max="24" man="1"/>
    <brk id="418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AM260"/>
  <sheetViews>
    <sheetView zoomScale="90" zoomScaleNormal="90" workbookViewId="0">
      <pane xSplit="5" ySplit="10" topLeftCell="F12" activePane="bottomRight" state="frozen"/>
      <selection activeCell="A30" sqref="A30"/>
      <selection pane="topRight" activeCell="A30" sqref="A30"/>
      <selection pane="bottomLeft" activeCell="A30" sqref="A30"/>
      <selection pane="bottomRight" activeCell="H5" sqref="H5:H8"/>
    </sheetView>
  </sheetViews>
  <sheetFormatPr defaultColWidth="8.9140625" defaultRowHeight="15.5" x14ac:dyDescent="0.35"/>
  <cols>
    <col min="1" max="1" width="4.4140625" style="5" customWidth="1"/>
    <col min="2" max="3" width="8.33203125" style="5" hidden="1" customWidth="1"/>
    <col min="4" max="4" width="7.33203125" style="5" customWidth="1"/>
    <col min="5" max="5" width="43.33203125" style="3" customWidth="1"/>
    <col min="6" max="6" width="6.75" style="3" customWidth="1"/>
    <col min="7" max="8" width="7.25" style="3" customWidth="1"/>
    <col min="9" max="11" width="6.75" style="3" customWidth="1"/>
    <col min="12" max="13" width="6.6640625" style="3" customWidth="1"/>
    <col min="14" max="15" width="6.75" style="3" customWidth="1"/>
    <col min="16" max="16" width="6.6640625" style="3" customWidth="1"/>
    <col min="17" max="18" width="6.75" style="3" customWidth="1"/>
    <col min="19" max="19" width="4.4140625" style="3" customWidth="1"/>
    <col min="20" max="20" width="7.33203125" style="3" customWidth="1"/>
    <col min="21" max="21" width="4.4140625" style="3" customWidth="1"/>
    <col min="22" max="22" width="5.75" style="3" customWidth="1"/>
    <col min="23" max="23" width="4.4140625" style="3" customWidth="1"/>
    <col min="24" max="24" width="7.9140625" style="3" customWidth="1"/>
    <col min="25" max="25" width="4.58203125" style="3" customWidth="1"/>
    <col min="26" max="26" width="7.6640625" style="3" customWidth="1"/>
    <col min="27" max="36" width="8.9140625" style="3"/>
    <col min="37" max="37" width="22.08203125" style="3" customWidth="1"/>
    <col min="38" max="16384" width="8.9140625" style="3"/>
  </cols>
  <sheetData>
    <row r="1" spans="1:39" x14ac:dyDescent="0.35">
      <c r="D1" s="117"/>
      <c r="R1" s="5"/>
    </row>
    <row r="2" spans="1:39" ht="16.149999999999999" customHeight="1" x14ac:dyDescent="0.35">
      <c r="A2" s="3084" t="s">
        <v>10623</v>
      </c>
      <c r="B2" s="3084"/>
      <c r="C2" s="3084"/>
      <c r="D2" s="3084"/>
      <c r="E2" s="3084"/>
      <c r="F2" s="3084"/>
      <c r="G2" s="3084"/>
      <c r="H2" s="3084"/>
      <c r="I2" s="3084"/>
      <c r="J2" s="3084"/>
      <c r="K2" s="3084"/>
      <c r="L2" s="3084"/>
      <c r="M2" s="3084"/>
      <c r="N2" s="3084"/>
      <c r="O2" s="3084"/>
      <c r="P2" s="3084"/>
      <c r="Q2" s="3084"/>
      <c r="R2" s="3084"/>
      <c r="S2" s="3084"/>
      <c r="T2" s="3084"/>
      <c r="U2" s="3084"/>
      <c r="V2" s="3084"/>
      <c r="W2" s="3084"/>
      <c r="X2" s="3084"/>
      <c r="Y2" s="3084"/>
      <c r="Z2" s="3084"/>
    </row>
    <row r="3" spans="1:39" customFormat="1" ht="20" x14ac:dyDescent="0.25">
      <c r="A3" s="3084" t="s">
        <v>11343</v>
      </c>
      <c r="B3" s="3084"/>
      <c r="C3" s="3084"/>
      <c r="D3" s="3084"/>
      <c r="E3" s="3084"/>
      <c r="F3" s="3084"/>
      <c r="G3" s="3084"/>
      <c r="H3" s="3084"/>
      <c r="I3" s="3084"/>
      <c r="J3" s="3084"/>
      <c r="K3" s="3084"/>
      <c r="L3" s="3084"/>
      <c r="M3" s="3084"/>
      <c r="N3" s="3084"/>
      <c r="O3" s="3084"/>
      <c r="P3" s="3084"/>
      <c r="Q3" s="3084"/>
      <c r="R3" s="3084"/>
      <c r="S3" s="3084"/>
      <c r="T3" s="3084"/>
      <c r="U3" s="3084"/>
      <c r="V3" s="3084"/>
      <c r="W3" s="3084"/>
      <c r="X3" s="3084"/>
      <c r="Y3" s="3084"/>
      <c r="Z3" s="3084"/>
    </row>
    <row r="4" spans="1:39" ht="16.149999999999999" customHeight="1" thickBot="1" x14ac:dyDescent="0.4">
      <c r="A4" s="29"/>
      <c r="B4" s="29"/>
      <c r="C4" s="29"/>
      <c r="D4" s="118"/>
      <c r="E4" s="28"/>
      <c r="F4" s="27"/>
      <c r="G4" s="27"/>
      <c r="H4" s="27"/>
      <c r="I4" s="27"/>
      <c r="J4" s="1788"/>
      <c r="K4" s="27"/>
      <c r="L4" s="27"/>
      <c r="M4" s="27"/>
      <c r="N4" s="27"/>
      <c r="R4" s="1798"/>
    </row>
    <row r="5" spans="1:39" ht="16.149999999999999" customHeight="1" x14ac:dyDescent="0.35">
      <c r="A5" s="3085" t="s">
        <v>969</v>
      </c>
      <c r="B5" s="3087" t="s">
        <v>970</v>
      </c>
      <c r="C5" s="2238"/>
      <c r="D5" s="3087" t="s">
        <v>6760</v>
      </c>
      <c r="E5" s="3090" t="s">
        <v>45</v>
      </c>
      <c r="F5" s="3092" t="s">
        <v>3195</v>
      </c>
      <c r="G5" s="3092" t="s">
        <v>210</v>
      </c>
      <c r="H5" s="3065" t="s">
        <v>3371</v>
      </c>
      <c r="I5" s="3093" t="s">
        <v>776</v>
      </c>
      <c r="J5" s="3094"/>
      <c r="K5" s="3094"/>
      <c r="L5" s="3095"/>
      <c r="M5" s="3093" t="s">
        <v>3085</v>
      </c>
      <c r="N5" s="3094"/>
      <c r="O5" s="3094"/>
      <c r="P5" s="3094"/>
      <c r="Q5" s="3094"/>
      <c r="R5" s="3095"/>
      <c r="S5" s="3076" t="s">
        <v>3086</v>
      </c>
      <c r="T5" s="3077"/>
      <c r="U5" s="3077"/>
      <c r="V5" s="3078"/>
      <c r="W5" s="3076" t="s">
        <v>2907</v>
      </c>
      <c r="X5" s="3077"/>
      <c r="Y5" s="3077"/>
      <c r="Z5" s="3096"/>
    </row>
    <row r="6" spans="1:39" ht="33" customHeight="1" x14ac:dyDescent="0.35">
      <c r="A6" s="3086"/>
      <c r="B6" s="3088"/>
      <c r="C6" s="2239"/>
      <c r="D6" s="3088"/>
      <c r="E6" s="3091"/>
      <c r="F6" s="3068"/>
      <c r="G6" s="3068"/>
      <c r="H6" s="3066"/>
      <c r="I6" s="3067" t="s">
        <v>2908</v>
      </c>
      <c r="J6" s="3067" t="s">
        <v>2909</v>
      </c>
      <c r="K6" s="3097" t="s">
        <v>3196</v>
      </c>
      <c r="L6" s="3067" t="s">
        <v>3197</v>
      </c>
      <c r="M6" s="3068" t="s">
        <v>778</v>
      </c>
      <c r="N6" s="3068" t="s">
        <v>2966</v>
      </c>
      <c r="O6" s="3073" t="s">
        <v>2967</v>
      </c>
      <c r="P6" s="3068" t="s">
        <v>2996</v>
      </c>
      <c r="Q6" s="3073" t="s">
        <v>3105</v>
      </c>
      <c r="R6" s="3073" t="s">
        <v>910</v>
      </c>
      <c r="S6" s="3071" t="s">
        <v>911</v>
      </c>
      <c r="T6" s="3072"/>
      <c r="U6" s="3083" t="s">
        <v>24</v>
      </c>
      <c r="V6" s="3083"/>
      <c r="W6" s="3079" t="s">
        <v>911</v>
      </c>
      <c r="X6" s="3080"/>
      <c r="Y6" s="3081" t="s">
        <v>926</v>
      </c>
      <c r="Z6" s="3082"/>
    </row>
    <row r="7" spans="1:39" ht="16.149999999999999" customHeight="1" x14ac:dyDescent="0.35">
      <c r="A7" s="3086"/>
      <c r="B7" s="3088"/>
      <c r="C7" s="2239"/>
      <c r="D7" s="3088"/>
      <c r="E7" s="3091"/>
      <c r="F7" s="3068"/>
      <c r="G7" s="3068"/>
      <c r="H7" s="3066"/>
      <c r="I7" s="3068"/>
      <c r="J7" s="3068"/>
      <c r="K7" s="3098"/>
      <c r="L7" s="3068"/>
      <c r="M7" s="3068"/>
      <c r="N7" s="3068"/>
      <c r="O7" s="3073"/>
      <c r="P7" s="3068"/>
      <c r="Q7" s="3073"/>
      <c r="R7" s="3073"/>
      <c r="S7" s="3068" t="s">
        <v>3087</v>
      </c>
      <c r="T7" s="3068" t="s">
        <v>2487</v>
      </c>
      <c r="U7" s="3074" t="s">
        <v>3087</v>
      </c>
      <c r="V7" s="3074" t="s">
        <v>2487</v>
      </c>
      <c r="W7" s="3067" t="s">
        <v>3087</v>
      </c>
      <c r="X7" s="3067" t="s">
        <v>2487</v>
      </c>
      <c r="Y7" s="3067" t="s">
        <v>3087</v>
      </c>
      <c r="Z7" s="3069" t="s">
        <v>2487</v>
      </c>
    </row>
    <row r="8" spans="1:39" ht="16.149999999999999" customHeight="1" thickBot="1" x14ac:dyDescent="0.4">
      <c r="A8" s="3086"/>
      <c r="B8" s="3089"/>
      <c r="C8" s="2240"/>
      <c r="D8" s="3089"/>
      <c r="E8" s="3091"/>
      <c r="F8" s="3068"/>
      <c r="G8" s="3068"/>
      <c r="H8" s="3066"/>
      <c r="I8" s="3068"/>
      <c r="J8" s="3068"/>
      <c r="K8" s="3098"/>
      <c r="L8" s="3068"/>
      <c r="M8" s="3068"/>
      <c r="N8" s="3068"/>
      <c r="O8" s="3073"/>
      <c r="P8" s="3068"/>
      <c r="Q8" s="3073"/>
      <c r="R8" s="3073"/>
      <c r="S8" s="3068"/>
      <c r="T8" s="3068"/>
      <c r="U8" s="3075"/>
      <c r="V8" s="3075"/>
      <c r="W8" s="3068"/>
      <c r="X8" s="3068"/>
      <c r="Y8" s="3068"/>
      <c r="Z8" s="3070"/>
    </row>
    <row r="9" spans="1:39" ht="16.149999999999999" customHeight="1" thickBot="1" x14ac:dyDescent="0.4">
      <c r="A9" s="1269">
        <v>1</v>
      </c>
      <c r="B9" s="1270"/>
      <c r="C9" s="1270"/>
      <c r="D9" s="1271">
        <v>2</v>
      </c>
      <c r="E9" s="1272">
        <v>3</v>
      </c>
      <c r="F9" s="1272">
        <v>4</v>
      </c>
      <c r="G9" s="1272">
        <v>5</v>
      </c>
      <c r="H9" s="1272"/>
      <c r="I9" s="1273">
        <v>6</v>
      </c>
      <c r="J9" s="1273">
        <v>7</v>
      </c>
      <c r="K9" s="1273">
        <v>8</v>
      </c>
      <c r="L9" s="1273">
        <v>9</v>
      </c>
      <c r="M9" s="1273">
        <v>10</v>
      </c>
      <c r="N9" s="1273">
        <v>11</v>
      </c>
      <c r="O9" s="1274">
        <v>12</v>
      </c>
      <c r="P9" s="1273">
        <v>13</v>
      </c>
      <c r="Q9" s="1274">
        <v>14</v>
      </c>
      <c r="R9" s="1274">
        <v>15</v>
      </c>
      <c r="S9" s="1273">
        <v>16</v>
      </c>
      <c r="T9" s="1273">
        <v>17</v>
      </c>
      <c r="U9" s="1273">
        <v>18</v>
      </c>
      <c r="V9" s="1273">
        <v>19</v>
      </c>
      <c r="W9" s="1273">
        <v>20</v>
      </c>
      <c r="X9" s="1273">
        <v>21</v>
      </c>
      <c r="Y9" s="1273">
        <v>22</v>
      </c>
      <c r="Z9" s="1275">
        <v>23</v>
      </c>
    </row>
    <row r="10" spans="1:39" ht="16.149999999999999" customHeight="1" thickBot="1" x14ac:dyDescent="0.4">
      <c r="A10" s="450"/>
      <c r="B10" s="995"/>
      <c r="C10" s="995"/>
      <c r="D10" s="462"/>
      <c r="E10" s="839" t="s">
        <v>2392</v>
      </c>
      <c r="F10" s="1207"/>
      <c r="G10" s="1207"/>
      <c r="H10" s="1207"/>
      <c r="I10" s="803">
        <f>J10+K10+L10</f>
        <v>455.42699999999991</v>
      </c>
      <c r="J10" s="803">
        <f>M10+N10+O10+P10+Q10+R10</f>
        <v>454.34499999999991</v>
      </c>
      <c r="K10" s="803">
        <f t="shared" ref="K10:R10" si="0">K11+K12+K13+K14</f>
        <v>0</v>
      </c>
      <c r="L10" s="803">
        <f t="shared" si="0"/>
        <v>1.0819999999999996</v>
      </c>
      <c r="M10" s="803">
        <f t="shared" si="0"/>
        <v>0</v>
      </c>
      <c r="N10" s="803">
        <f t="shared" si="0"/>
        <v>233.49599999999992</v>
      </c>
      <c r="O10" s="803">
        <f t="shared" si="0"/>
        <v>0</v>
      </c>
      <c r="P10" s="803">
        <f t="shared" si="0"/>
        <v>0</v>
      </c>
      <c r="Q10" s="930">
        <f t="shared" si="0"/>
        <v>120.474</v>
      </c>
      <c r="R10" s="923">
        <f t="shared" si="0"/>
        <v>100.375</v>
      </c>
      <c r="S10" s="846">
        <f>SUM(S30:S945)</f>
        <v>20</v>
      </c>
      <c r="T10" s="847">
        <f t="shared" ref="T10:Z10" si="1">SUM(T30:T945)</f>
        <v>357.50000000000006</v>
      </c>
      <c r="U10" s="846">
        <f t="shared" si="1"/>
        <v>0</v>
      </c>
      <c r="V10" s="847">
        <f t="shared" si="1"/>
        <v>0</v>
      </c>
      <c r="W10" s="846">
        <f t="shared" si="1"/>
        <v>578</v>
      </c>
      <c r="X10" s="847">
        <f t="shared" si="1"/>
        <v>7065.33</v>
      </c>
      <c r="Y10" s="846">
        <f t="shared" si="1"/>
        <v>203</v>
      </c>
      <c r="Z10" s="1669">
        <f t="shared" si="1"/>
        <v>2204.88</v>
      </c>
      <c r="AB10" s="846">
        <f>SUM(AB30:AB390)</f>
        <v>104</v>
      </c>
      <c r="AK10" s="2150" t="s">
        <v>11226</v>
      </c>
      <c r="AL10" s="43"/>
      <c r="AM10" s="2812" t="s">
        <v>11227</v>
      </c>
    </row>
    <row r="11" spans="1:39" ht="16.149999999999999" customHeight="1" x14ac:dyDescent="0.35">
      <c r="A11" s="445"/>
      <c r="B11" s="1028"/>
      <c r="C11" s="1028"/>
      <c r="D11" s="528"/>
      <c r="E11" s="1264" t="s">
        <v>909</v>
      </c>
      <c r="F11" s="1245">
        <v>3</v>
      </c>
      <c r="G11" s="1245"/>
      <c r="H11" s="1658"/>
      <c r="I11" s="1324"/>
      <c r="J11" s="1324"/>
      <c r="K11" s="1324"/>
      <c r="L11" s="1324"/>
      <c r="M11" s="1324"/>
      <c r="N11" s="1324"/>
      <c r="O11" s="1325"/>
      <c r="P11" s="1324"/>
      <c r="Q11" s="1326"/>
      <c r="R11" s="1327"/>
      <c r="S11" s="529"/>
      <c r="T11" s="446"/>
      <c r="U11" s="529"/>
      <c r="V11" s="529"/>
      <c r="W11" s="529"/>
      <c r="X11" s="1206"/>
      <c r="Y11" s="529"/>
      <c r="Z11" s="1688"/>
      <c r="AD11" s="2782" t="s">
        <v>11132</v>
      </c>
      <c r="AE11" s="2776"/>
      <c r="AF11" s="2776"/>
      <c r="AG11" s="2779" t="s">
        <v>11129</v>
      </c>
      <c r="AH11" s="2780" t="s">
        <v>11130</v>
      </c>
      <c r="AI11" s="2781" t="s">
        <v>11131</v>
      </c>
      <c r="AK11" s="2813" t="s">
        <v>11228</v>
      </c>
      <c r="AL11" s="2576">
        <f>AL13+AL19+AL25</f>
        <v>0</v>
      </c>
      <c r="AM11" s="2814">
        <f>AL11-J18</f>
        <v>0</v>
      </c>
    </row>
    <row r="12" spans="1:39" ht="16.149999999999999" customHeight="1" x14ac:dyDescent="0.35">
      <c r="A12" s="285"/>
      <c r="B12" s="993"/>
      <c r="C12" s="993"/>
      <c r="D12" s="274"/>
      <c r="E12" s="640"/>
      <c r="F12" s="1249">
        <v>4</v>
      </c>
      <c r="G12" s="1249"/>
      <c r="H12" s="1249"/>
      <c r="I12" s="1250">
        <f t="shared" ref="I12:I20" si="2">J12+K12+L12</f>
        <v>277.36799999999994</v>
      </c>
      <c r="J12" s="1250">
        <f t="shared" ref="J12:J20" si="3">R12+Q12+P12+O12+N12+M12</f>
        <v>276.32799999999992</v>
      </c>
      <c r="K12" s="1250">
        <f>SUMIF(F30:F877,4,K30:K877)</f>
        <v>0</v>
      </c>
      <c r="L12" s="1250">
        <f>SUMIF(F30:F877,4,L30:L877)</f>
        <v>1.0399999999999996</v>
      </c>
      <c r="M12" s="1250">
        <f>SUMIF(F30:F877,4,M30:M877)</f>
        <v>0</v>
      </c>
      <c r="N12" s="1250">
        <f>SUMIF(F30:F877,4,N30:N877)</f>
        <v>201.09899999999993</v>
      </c>
      <c r="O12" s="1251">
        <f>SUMIF(F30:F877,4,O30:O877)</f>
        <v>0</v>
      </c>
      <c r="P12" s="1250">
        <f>SUMIF(F30:F877,4,P30:P877)</f>
        <v>0</v>
      </c>
      <c r="Q12" s="1252">
        <f>SUMIF(F30:F877,4,Q30:Q877)</f>
        <v>75.228999999999999</v>
      </c>
      <c r="R12" s="1256">
        <f>SUMIF(F30:F877,4,R30:R877)</f>
        <v>0</v>
      </c>
      <c r="S12" s="286"/>
      <c r="T12" s="275"/>
      <c r="U12" s="286"/>
      <c r="V12" s="286"/>
      <c r="W12" s="286"/>
      <c r="X12" s="136"/>
      <c r="Y12" s="286"/>
      <c r="Z12" s="276"/>
      <c r="AD12" s="2777" t="s">
        <v>11125</v>
      </c>
      <c r="AE12" s="2776"/>
      <c r="AF12" s="2778"/>
      <c r="AG12" s="2776"/>
      <c r="AH12" s="2776"/>
      <c r="AI12" s="2776"/>
      <c r="AK12" s="2815" t="s">
        <v>11229</v>
      </c>
      <c r="AL12" s="2816"/>
      <c r="AM12" s="2817"/>
    </row>
    <row r="13" spans="1:39" ht="16.149999999999999" customHeight="1" x14ac:dyDescent="0.35">
      <c r="A13" s="285"/>
      <c r="B13" s="993"/>
      <c r="C13" s="993"/>
      <c r="D13" s="274"/>
      <c r="E13" s="640"/>
      <c r="F13" s="1249">
        <v>5</v>
      </c>
      <c r="G13" s="1249"/>
      <c r="H13" s="1249"/>
      <c r="I13" s="1250">
        <f t="shared" si="2"/>
        <v>82.028999999999996</v>
      </c>
      <c r="J13" s="1250">
        <f t="shared" si="3"/>
        <v>81.986999999999995</v>
      </c>
      <c r="K13" s="1250">
        <f>SUMIF(F30:F877,5,K30:K877)</f>
        <v>0</v>
      </c>
      <c r="L13" s="1250">
        <f>SUMIF(F30:F877,5,L30:L877)</f>
        <v>4.2000000000000037E-2</v>
      </c>
      <c r="M13" s="1250">
        <f>SUMIF(F30:F877,5,M30:M877)</f>
        <v>0</v>
      </c>
      <c r="N13" s="1250">
        <f>SUMIF(F30:F877,5,N30:N877)</f>
        <v>28.451999999999998</v>
      </c>
      <c r="O13" s="1251">
        <f>SUMIF(F30:F877,5,O30:O877)</f>
        <v>0</v>
      </c>
      <c r="P13" s="1250">
        <f>SUMIF(F30:F877,5,P30:P877)</f>
        <v>0</v>
      </c>
      <c r="Q13" s="1252">
        <f>SUMIF(F30:F877,5,Q30:Q877)</f>
        <v>33.902999999999999</v>
      </c>
      <c r="R13" s="1256">
        <f>SUMIF(F30:F877,5,R30:R877)</f>
        <v>19.631999999999998</v>
      </c>
      <c r="S13" s="286"/>
      <c r="T13" s="275"/>
      <c r="U13" s="286"/>
      <c r="V13" s="286"/>
      <c r="W13" s="286"/>
      <c r="X13" s="136"/>
      <c r="Y13" s="286"/>
      <c r="Z13" s="276"/>
      <c r="AD13" s="2777" t="s">
        <v>11126</v>
      </c>
      <c r="AE13" s="2776"/>
      <c r="AF13" s="2778">
        <v>79</v>
      </c>
      <c r="AG13" s="2783">
        <f>M12+N12+O12</f>
        <v>201.09899999999993</v>
      </c>
      <c r="AH13" s="2783">
        <f>M13+N13+O13</f>
        <v>28.451999999999998</v>
      </c>
      <c r="AI13" s="2784">
        <f>M14+N14+O14</f>
        <v>3.9450000000000003</v>
      </c>
      <c r="AK13" s="2818" t="s">
        <v>7184</v>
      </c>
      <c r="AL13" s="2819">
        <f>AL14+AL15+AL16+AL17+AL18</f>
        <v>0</v>
      </c>
      <c r="AM13" s="2820">
        <f>AL13-AF29</f>
        <v>0</v>
      </c>
    </row>
    <row r="14" spans="1:39" ht="16.149999999999999" customHeight="1" x14ac:dyDescent="0.35">
      <c r="A14" s="285"/>
      <c r="B14" s="993"/>
      <c r="C14" s="993"/>
      <c r="D14" s="274"/>
      <c r="E14" s="640"/>
      <c r="F14" s="1249" t="s">
        <v>448</v>
      </c>
      <c r="G14" s="1249"/>
      <c r="H14" s="1249"/>
      <c r="I14" s="1250">
        <f t="shared" si="2"/>
        <v>96.03</v>
      </c>
      <c r="J14" s="1250">
        <f t="shared" si="3"/>
        <v>96.03</v>
      </c>
      <c r="K14" s="1250">
        <f>K15+K16+K17</f>
        <v>0</v>
      </c>
      <c r="L14" s="1250">
        <f>L15+L16+L17</f>
        <v>0</v>
      </c>
      <c r="M14" s="1250">
        <f t="shared" ref="M14:R14" si="4">M15+M16+M17</f>
        <v>0</v>
      </c>
      <c r="N14" s="1250">
        <f t="shared" si="4"/>
        <v>3.9450000000000003</v>
      </c>
      <c r="O14" s="1251">
        <f t="shared" si="4"/>
        <v>0</v>
      </c>
      <c r="P14" s="1317">
        <f t="shared" si="4"/>
        <v>0</v>
      </c>
      <c r="Q14" s="1252">
        <f t="shared" si="4"/>
        <v>11.342000000000001</v>
      </c>
      <c r="R14" s="1256">
        <f t="shared" si="4"/>
        <v>80.742999999999995</v>
      </c>
      <c r="S14" s="286"/>
      <c r="T14" s="275"/>
      <c r="U14" s="286"/>
      <c r="V14" s="286"/>
      <c r="W14" s="286"/>
      <c r="X14" s="136"/>
      <c r="Y14" s="286"/>
      <c r="Z14" s="276"/>
      <c r="AD14" s="2777" t="s">
        <v>11127</v>
      </c>
      <c r="AE14" s="2776"/>
      <c r="AF14" s="2778">
        <v>80</v>
      </c>
      <c r="AG14" s="2785">
        <f>P12+Q12</f>
        <v>75.228999999999999</v>
      </c>
      <c r="AH14" s="2785">
        <f>P13+Q13</f>
        <v>33.902999999999999</v>
      </c>
      <c r="AI14" s="2786">
        <f>P14+Q14</f>
        <v>11.342000000000001</v>
      </c>
      <c r="AK14" s="2815" t="s">
        <v>11230</v>
      </c>
      <c r="AL14" s="2579">
        <f>SUMIFS(M30:M950,F30:F950,4,G30:G950,3)</f>
        <v>0</v>
      </c>
      <c r="AM14" s="2817"/>
    </row>
    <row r="15" spans="1:39" ht="16.149999999999999" customHeight="1" x14ac:dyDescent="0.35">
      <c r="A15" s="285"/>
      <c r="B15" s="993"/>
      <c r="C15" s="993"/>
      <c r="D15" s="274"/>
      <c r="E15" s="640"/>
      <c r="F15" s="1253" t="s">
        <v>827</v>
      </c>
      <c r="G15" s="1249"/>
      <c r="H15" s="1249"/>
      <c r="I15" s="1318">
        <f t="shared" si="2"/>
        <v>49.940000000000005</v>
      </c>
      <c r="J15" s="1318">
        <f t="shared" si="3"/>
        <v>49.940000000000005</v>
      </c>
      <c r="K15" s="1318">
        <f>SUMIF(F30:F941,"=6а",K30:K941)</f>
        <v>0</v>
      </c>
      <c r="L15" s="1318">
        <f>SUMIF(F30:F941,"=6а",L30:L941)</f>
        <v>0</v>
      </c>
      <c r="M15" s="1318">
        <f>SUMIF(F30:F941,"=6а",M30:M941)</f>
        <v>0</v>
      </c>
      <c r="N15" s="1318">
        <f>SUMIF(F30:F941,"=6а",N30:N941)</f>
        <v>3.7350000000000003</v>
      </c>
      <c r="O15" s="1319">
        <f>SUMIF(F30:F941,"=6а",O30:O941)</f>
        <v>0</v>
      </c>
      <c r="P15" s="1320">
        <f>SUMIF(F30:F941,"=6а",P30:P941)</f>
        <v>0</v>
      </c>
      <c r="Q15" s="1321">
        <f>SUMIF(F30:F941,"=6а",Q30:Q941)</f>
        <v>9.8450000000000006</v>
      </c>
      <c r="R15" s="1322">
        <f>SUMIF(F30:F941,"=6а",R30:R941)</f>
        <v>36.360000000000007</v>
      </c>
      <c r="S15" s="286"/>
      <c r="T15" s="275"/>
      <c r="U15" s="286"/>
      <c r="V15" s="286"/>
      <c r="W15" s="286"/>
      <c r="X15" s="136"/>
      <c r="Y15" s="286"/>
      <c r="Z15" s="276"/>
      <c r="AD15" s="2777" t="s">
        <v>11128</v>
      </c>
      <c r="AE15" s="2776"/>
      <c r="AF15" s="2778">
        <v>81</v>
      </c>
      <c r="AG15" s="2787">
        <f>R12</f>
        <v>0</v>
      </c>
      <c r="AH15" s="2787">
        <f>R13</f>
        <v>19.631999999999998</v>
      </c>
      <c r="AI15" s="2788">
        <f>R14</f>
        <v>80.742999999999995</v>
      </c>
      <c r="AK15" s="2815" t="s">
        <v>11231</v>
      </c>
      <c r="AL15" s="2579">
        <f>SUMIFS(N30:N950,F30:F950,4,G30:G950,3)</f>
        <v>0</v>
      </c>
      <c r="AM15" s="2817"/>
    </row>
    <row r="16" spans="1:39" ht="16.149999999999999" customHeight="1" x14ac:dyDescent="0.35">
      <c r="A16" s="285"/>
      <c r="B16" s="993"/>
      <c r="C16" s="993"/>
      <c r="D16" s="274"/>
      <c r="E16" s="1265"/>
      <c r="F16" s="1254" t="s">
        <v>1490</v>
      </c>
      <c r="G16" s="1249"/>
      <c r="H16" s="1249"/>
      <c r="I16" s="1318">
        <f t="shared" si="2"/>
        <v>46.089999999999996</v>
      </c>
      <c r="J16" s="1318">
        <f t="shared" si="3"/>
        <v>46.089999999999996</v>
      </c>
      <c r="K16" s="1318">
        <f>SUMIF(F30:F942,"=6б",K30:K942)</f>
        <v>0</v>
      </c>
      <c r="L16" s="1318">
        <f>SUMIF(F30:F942,"=6б",L30:L942)</f>
        <v>0</v>
      </c>
      <c r="M16" s="1318">
        <f>SUMIF(F30:F942,"=6б",M30:M942)</f>
        <v>0</v>
      </c>
      <c r="N16" s="1318">
        <f>SUMIF(F30:F942,"=6б",N30:N942)</f>
        <v>0.21</v>
      </c>
      <c r="O16" s="1319">
        <f>SUMIF(F30:F942,"=6б",O30:O942)</f>
        <v>0</v>
      </c>
      <c r="P16" s="1320">
        <f>SUMIF(F30:F942,"=6б",P30:P942)</f>
        <v>0</v>
      </c>
      <c r="Q16" s="1321">
        <f>SUMIF(F30:F942,"=6б",Q30:Q942)</f>
        <v>1.4970000000000001</v>
      </c>
      <c r="R16" s="1322">
        <f>SUMIF(F30:F942,"=6б",R30:R942)</f>
        <v>44.382999999999996</v>
      </c>
      <c r="S16" s="286"/>
      <c r="T16" s="275"/>
      <c r="U16" s="286"/>
      <c r="V16" s="286"/>
      <c r="W16" s="286"/>
      <c r="X16" s="136"/>
      <c r="Y16" s="286"/>
      <c r="Z16" s="276"/>
      <c r="AK16" s="2815" t="s">
        <v>11232</v>
      </c>
      <c r="AL16" s="2579">
        <f>SUMIFS(O30:O950,F30:F950,4,G30:G950,3)</f>
        <v>0</v>
      </c>
      <c r="AM16" s="2817"/>
    </row>
    <row r="17" spans="1:39" ht="16.149999999999999" customHeight="1" x14ac:dyDescent="0.35">
      <c r="A17" s="285"/>
      <c r="B17" s="993"/>
      <c r="C17" s="993"/>
      <c r="D17" s="274"/>
      <c r="E17" s="1265"/>
      <c r="F17" s="2271" t="s">
        <v>449</v>
      </c>
      <c r="G17" s="1249"/>
      <c r="H17" s="1249"/>
      <c r="I17" s="2272">
        <f t="shared" si="2"/>
        <v>0</v>
      </c>
      <c r="J17" s="2272">
        <f t="shared" si="3"/>
        <v>0</v>
      </c>
      <c r="K17" s="2272">
        <f>SUMIF(F30:F943,"=б/к",K30:K943)</f>
        <v>0</v>
      </c>
      <c r="L17" s="2272">
        <f>SUMIF(F30:F943,"=б/к",L30:L943)</f>
        <v>0</v>
      </c>
      <c r="M17" s="2272">
        <f>SUMIF(F30:F943,"=б/к",M30:M943)</f>
        <v>0</v>
      </c>
      <c r="N17" s="2272">
        <f>SUMIF(F30:F943,"=б/к",N30:N943)</f>
        <v>0</v>
      </c>
      <c r="O17" s="2310">
        <f>SUMIF(F30:F943,"=б/к",O30:O943)</f>
        <v>0</v>
      </c>
      <c r="P17" s="2272">
        <f>SUMIF(F30:F943,"=б/к",P30:P943)</f>
        <v>0</v>
      </c>
      <c r="Q17" s="2273">
        <f>SUMIF(F30:F943,"=б/к",Q30:Q943)</f>
        <v>0</v>
      </c>
      <c r="R17" s="2274">
        <f>SUMIF(F30:F943,"=б/к",R30:R943)</f>
        <v>0</v>
      </c>
      <c r="S17" s="286"/>
      <c r="T17" s="275"/>
      <c r="U17" s="286"/>
      <c r="V17" s="286"/>
      <c r="W17" s="286"/>
      <c r="X17" s="136"/>
      <c r="Y17" s="286"/>
      <c r="Z17" s="276"/>
      <c r="AK17" s="2815" t="s">
        <v>11233</v>
      </c>
      <c r="AL17" s="2579">
        <f>SUMIFS(P30:P950,F30:F950,4,G30:G950,3)+SUMIFS(Q30:Q950,F30:F950,4,G30:G950,3)</f>
        <v>0</v>
      </c>
      <c r="AM17" s="2817"/>
    </row>
    <row r="18" spans="1:39" ht="16.149999999999999" customHeight="1" x14ac:dyDescent="0.35">
      <c r="A18" s="285"/>
      <c r="B18" s="993"/>
      <c r="C18" s="993"/>
      <c r="D18" s="274"/>
      <c r="E18" s="1266"/>
      <c r="F18" s="1266" t="s">
        <v>3303</v>
      </c>
      <c r="G18" s="1241">
        <v>3</v>
      </c>
      <c r="H18" s="1241"/>
      <c r="I18" s="1242">
        <f t="shared" si="2"/>
        <v>0</v>
      </c>
      <c r="J18" s="1242">
        <f t="shared" si="3"/>
        <v>0</v>
      </c>
      <c r="K18" s="1242">
        <f>SUMIF(G30:G877,3,K30:K877)</f>
        <v>0</v>
      </c>
      <c r="L18" s="1242">
        <f>SUMIF(G30:G877,3,L30:L877)</f>
        <v>0</v>
      </c>
      <c r="M18" s="1242">
        <f>SUMIF(G30:G877,3,M30:M877)</f>
        <v>0</v>
      </c>
      <c r="N18" s="1242">
        <f>SUMIF(G30:G877,3,N30:N877)</f>
        <v>0</v>
      </c>
      <c r="O18" s="1243">
        <f>SUMIF(G30:G877,3,O30:O877)</f>
        <v>0</v>
      </c>
      <c r="P18" s="1242">
        <f>SUMIF(G30:G877,3,P30:P877)</f>
        <v>0</v>
      </c>
      <c r="Q18" s="1244">
        <f>SUMIF(G30:G877,3,Q30:Q877)</f>
        <v>0</v>
      </c>
      <c r="R18" s="1257">
        <f>SUMIF(G30:G877,3,R30:R877)</f>
        <v>0</v>
      </c>
      <c r="S18" s="286"/>
      <c r="T18" s="275"/>
      <c r="U18" s="286"/>
      <c r="V18" s="286"/>
      <c r="W18" s="286"/>
      <c r="X18" s="136"/>
      <c r="Y18" s="286"/>
      <c r="Z18" s="276"/>
      <c r="AK18" s="2815" t="s">
        <v>910</v>
      </c>
      <c r="AL18" s="2579">
        <f>SUMIFS(R30:R950,F30:F950,4,G30:G950,3)</f>
        <v>0</v>
      </c>
      <c r="AM18" s="2817"/>
    </row>
    <row r="19" spans="1:39" ht="16.149999999999999" customHeight="1" x14ac:dyDescent="0.35">
      <c r="A19" s="285"/>
      <c r="B19" s="993"/>
      <c r="C19" s="993"/>
      <c r="D19" s="274"/>
      <c r="E19" s="98"/>
      <c r="F19" s="1240"/>
      <c r="G19" s="1241">
        <v>4</v>
      </c>
      <c r="H19" s="1241"/>
      <c r="I19" s="1242">
        <f t="shared" si="2"/>
        <v>238.05199999999999</v>
      </c>
      <c r="J19" s="1242">
        <f t="shared" si="3"/>
        <v>238.03199999999998</v>
      </c>
      <c r="K19" s="1242">
        <f>SUMIF(G30:G877,4,K30:K877)</f>
        <v>0</v>
      </c>
      <c r="L19" s="1242">
        <f>SUMIF(G30:G877,4,L30:L877)</f>
        <v>0.02</v>
      </c>
      <c r="M19" s="1242">
        <f>SUMIF(G30:G877,4,M30:M877)</f>
        <v>0</v>
      </c>
      <c r="N19" s="1242">
        <f>SUMIF(G30:G877,4,N30:N877)</f>
        <v>196.26599999999999</v>
      </c>
      <c r="O19" s="1243">
        <f>SUMIF(G30:G877,4,O30:O877)</f>
        <v>0</v>
      </c>
      <c r="P19" s="1242">
        <f>SUMIF(G30:G877,4,P30:P877)</f>
        <v>0</v>
      </c>
      <c r="Q19" s="1244">
        <f>SUMIF(G30:G877,4,Q30:Q877)</f>
        <v>41.766000000000005</v>
      </c>
      <c r="R19" s="1257">
        <f>SUMIF(G30:G877,4,R30:R877)</f>
        <v>0</v>
      </c>
      <c r="S19" s="286"/>
      <c r="T19" s="275"/>
      <c r="U19" s="286"/>
      <c r="V19" s="286"/>
      <c r="W19" s="286"/>
      <c r="X19" s="136"/>
      <c r="Y19" s="286"/>
      <c r="Z19" s="276"/>
      <c r="AK19" s="2818" t="s">
        <v>7185</v>
      </c>
      <c r="AL19" s="2821">
        <f>AL20+AL21+AL22+AL23+AL24</f>
        <v>0</v>
      </c>
      <c r="AM19" s="2820">
        <f>AL19-AG29</f>
        <v>0</v>
      </c>
    </row>
    <row r="20" spans="1:39" ht="16.149999999999999" customHeight="1" x14ac:dyDescent="0.35">
      <c r="A20" s="387"/>
      <c r="B20" s="994"/>
      <c r="C20" s="994"/>
      <c r="D20" s="388"/>
      <c r="E20" s="319"/>
      <c r="F20" s="1258"/>
      <c r="G20" s="1259">
        <v>5</v>
      </c>
      <c r="H20" s="1259"/>
      <c r="I20" s="1260">
        <f t="shared" si="2"/>
        <v>217.37500000000006</v>
      </c>
      <c r="J20" s="1260">
        <f t="shared" si="3"/>
        <v>216.31300000000005</v>
      </c>
      <c r="K20" s="1260">
        <f>SUMIF(G30:G877,5,K30:K877)</f>
        <v>0</v>
      </c>
      <c r="L20" s="1260">
        <f>SUMIF(G30:G877,5,L30:L877)</f>
        <v>1.0619999999999996</v>
      </c>
      <c r="M20" s="1260">
        <f>SUMIF(G30:G877,5,M30:M877)</f>
        <v>0</v>
      </c>
      <c r="N20" s="1260">
        <f>SUMIF(G30:G877,5,N30:N877)</f>
        <v>37.230000000000004</v>
      </c>
      <c r="O20" s="1261">
        <f>SUMIF(G30:G877,5,O30:O877)</f>
        <v>0</v>
      </c>
      <c r="P20" s="1260">
        <f>SUMIF(G30:G877,5,P30:P877)</f>
        <v>0</v>
      </c>
      <c r="Q20" s="1262">
        <f>SUMIF(G30:G877,5,Q30:Q877)</f>
        <v>78.707999999999984</v>
      </c>
      <c r="R20" s="1263">
        <f>SUMIF(G30:G877,5,R30:R877)</f>
        <v>100.37500000000003</v>
      </c>
      <c r="S20" s="391"/>
      <c r="T20" s="404"/>
      <c r="U20" s="391"/>
      <c r="V20" s="391"/>
      <c r="W20" s="391"/>
      <c r="X20" s="612"/>
      <c r="Y20" s="391"/>
      <c r="Z20" s="1689"/>
      <c r="AK20" s="2815" t="s">
        <v>11230</v>
      </c>
      <c r="AL20" s="2579">
        <f>SUMIFS(M30:M950,F30:F950,5,G30:G950,3)</f>
        <v>0</v>
      </c>
      <c r="AM20" s="2817"/>
    </row>
    <row r="21" spans="1:39" customFormat="1" x14ac:dyDescent="0.35">
      <c r="A21" s="285"/>
      <c r="B21" s="993"/>
      <c r="C21" s="993"/>
      <c r="D21" s="274"/>
      <c r="E21" s="226" t="s">
        <v>2764</v>
      </c>
      <c r="F21" s="98"/>
      <c r="G21" s="226"/>
      <c r="H21" s="226"/>
      <c r="I21" s="2011"/>
      <c r="J21" s="2011"/>
      <c r="K21" s="2011"/>
      <c r="L21" s="2011"/>
      <c r="M21" s="2011"/>
      <c r="N21" s="2011"/>
      <c r="O21" s="611"/>
      <c r="P21" s="2011"/>
      <c r="Q21" s="888"/>
      <c r="R21" s="886"/>
      <c r="S21" s="275"/>
      <c r="T21" s="275"/>
      <c r="U21" s="275"/>
      <c r="V21" s="275"/>
      <c r="W21" s="275"/>
      <c r="X21" s="275"/>
      <c r="Y21" s="275"/>
      <c r="Z21" s="412"/>
      <c r="AA21" s="3"/>
      <c r="AK21" s="2815" t="s">
        <v>11231</v>
      </c>
      <c r="AL21" s="2579">
        <f>SUMIFS(N30:N950,F30:F950,5,G30:G950,3)</f>
        <v>0</v>
      </c>
      <c r="AM21" s="2817"/>
    </row>
    <row r="22" spans="1:39" customFormat="1" x14ac:dyDescent="0.35">
      <c r="A22" s="285"/>
      <c r="B22" s="993"/>
      <c r="C22" s="993"/>
      <c r="D22" s="538">
        <f>SUMIF(C30:C873,"=сад",AB30:AB873)</f>
        <v>7</v>
      </c>
      <c r="E22" s="2241" t="s">
        <v>2763</v>
      </c>
      <c r="F22" s="98"/>
      <c r="G22" s="226"/>
      <c r="H22" s="226"/>
      <c r="I22" s="2247">
        <f>J22+K22+L22</f>
        <v>5.4</v>
      </c>
      <c r="J22" s="2247">
        <f>R22+Q22+P22+O22+N22+M22</f>
        <v>5.4</v>
      </c>
      <c r="K22" s="2247">
        <f>SUMIF(C30:C873,"=сад",K30:K873)</f>
        <v>0</v>
      </c>
      <c r="L22" s="2247">
        <f>SUMIF(C30:C873,"=сад",L30:L873)</f>
        <v>0</v>
      </c>
      <c r="M22" s="2247">
        <f>SUMIF(C30:C873,"=сад",M30:M873)</f>
        <v>0</v>
      </c>
      <c r="N22" s="2247">
        <f>SUMIF(C30:C873,"=сад",N30:N873)</f>
        <v>0</v>
      </c>
      <c r="O22" s="2248">
        <f>SUMIF(C30:C873,"=сад",O30:O873)</f>
        <v>0</v>
      </c>
      <c r="P22" s="2247">
        <f>SUMIF(C30:C873,"=сад",P30:P873)</f>
        <v>0</v>
      </c>
      <c r="Q22" s="2249">
        <f>SUMIF(C30:C873,"=сад",Q30:Q873)</f>
        <v>0</v>
      </c>
      <c r="R22" s="2250">
        <f>SUMIF(C30:C873,"=сад",R30:R873)</f>
        <v>5.4</v>
      </c>
      <c r="S22" s="275"/>
      <c r="T22" s="275"/>
      <c r="U22" s="275"/>
      <c r="V22" s="275"/>
      <c r="W22" s="275"/>
      <c r="X22" s="275"/>
      <c r="Y22" s="275"/>
      <c r="Z22" s="412"/>
      <c r="AA22" s="3"/>
      <c r="AK22" s="2815" t="s">
        <v>11232</v>
      </c>
      <c r="AL22" s="2579">
        <f>SUMIFS(O30:O950,F30:F950,5,G30:G950,3)</f>
        <v>0</v>
      </c>
      <c r="AM22" s="2817"/>
    </row>
    <row r="23" spans="1:39" customFormat="1" x14ac:dyDescent="0.35">
      <c r="A23" s="285"/>
      <c r="B23" s="993"/>
      <c r="C23" s="993"/>
      <c r="D23" s="538">
        <f>SUMIF(C30:C874,"=индив",AB30:AB874)</f>
        <v>0</v>
      </c>
      <c r="E23" s="2241" t="s">
        <v>2762</v>
      </c>
      <c r="F23" s="98"/>
      <c r="G23" s="226"/>
      <c r="H23" s="226"/>
      <c r="I23" s="2247">
        <f>J23+K23+L23</f>
        <v>0</v>
      </c>
      <c r="J23" s="2247">
        <f>R23+Q23+P23+O23+N23+M23</f>
        <v>0</v>
      </c>
      <c r="K23" s="2247">
        <f>SUMIF(C30:C874,"=индив",K30:K874)</f>
        <v>0</v>
      </c>
      <c r="L23" s="2247">
        <f>SUMIF(C30:C874,"=индив",L30:L874)</f>
        <v>0</v>
      </c>
      <c r="M23" s="2247">
        <f>SUMIF(C30:C874,"=индив",M30:M874)</f>
        <v>0</v>
      </c>
      <c r="N23" s="2247">
        <f>SUMIF(C30:C874,"=индив",N30:N874)</f>
        <v>0</v>
      </c>
      <c r="O23" s="2248">
        <f>SUMIF(C30:C874,"=индив",O30:O874)</f>
        <v>0</v>
      </c>
      <c r="P23" s="2247">
        <f>SUMIF(C30:C874,"=индив",P30:P874)</f>
        <v>0</v>
      </c>
      <c r="Q23" s="2249">
        <f>SUMIF(C30:C874,"=индив",Q30:Q874)</f>
        <v>0</v>
      </c>
      <c r="R23" s="2250">
        <f>SUMIF(C30:C874,"=индив",R30:R874)</f>
        <v>0</v>
      </c>
      <c r="S23" s="275"/>
      <c r="T23" s="275"/>
      <c r="U23" s="275"/>
      <c r="V23" s="275"/>
      <c r="W23" s="275"/>
      <c r="X23" s="275"/>
      <c r="Y23" s="275"/>
      <c r="Z23" s="412"/>
      <c r="AA23" s="3"/>
      <c r="AK23" s="2815" t="s">
        <v>11233</v>
      </c>
      <c r="AL23" s="2579">
        <f>SUMIFS(P30:P950,F30:F950,5,G30:G950,3)+SUMIFS(Q30:Q950,F30:F950,5,G30:G950,3)</f>
        <v>0</v>
      </c>
      <c r="AM23" s="2817"/>
    </row>
    <row r="24" spans="1:39" customFormat="1" x14ac:dyDescent="0.35">
      <c r="A24" s="285"/>
      <c r="B24" s="993"/>
      <c r="C24" s="993"/>
      <c r="D24" s="538">
        <f>SUMIF(C30:C875,"=кладб",AB30:AB875)</f>
        <v>31</v>
      </c>
      <c r="E24" s="2241" t="s">
        <v>2761</v>
      </c>
      <c r="F24" s="98"/>
      <c r="G24" s="226"/>
      <c r="H24" s="226"/>
      <c r="I24" s="2247">
        <f>J24+K24+L24</f>
        <v>17.34</v>
      </c>
      <c r="J24" s="2247">
        <f>R24+Q24+P24+O24+N24+M24</f>
        <v>17.34</v>
      </c>
      <c r="K24" s="2247">
        <f>SUMIF(C30:C875,"=кладб",K30:K875)</f>
        <v>0</v>
      </c>
      <c r="L24" s="2247">
        <f>SUMIF(C30:C875,"=кладб",L30:L875)</f>
        <v>0</v>
      </c>
      <c r="M24" s="2247">
        <f>SUMIF(C30:C875,"=кладб",M30:M875)</f>
        <v>0</v>
      </c>
      <c r="N24" s="2247">
        <f>SUMIF(C30:C875,"=кладб",N30:N875)</f>
        <v>2.6469999999999998</v>
      </c>
      <c r="O24" s="2248">
        <f>SUMIF(C30:C875,"=кладб",O30:O875)</f>
        <v>0</v>
      </c>
      <c r="P24" s="2247">
        <f>SUMIF(C30:C875,"=кладб",P30:P875)</f>
        <v>0</v>
      </c>
      <c r="Q24" s="2249">
        <f>SUMIF(C30:C875,"=кладб",Q30:Q875)</f>
        <v>1.6579999999999999</v>
      </c>
      <c r="R24" s="2250">
        <f>SUMIF(C30:C875,"=кладб",R30:R875)</f>
        <v>13.035</v>
      </c>
      <c r="S24" s="275"/>
      <c r="T24" s="275"/>
      <c r="U24" s="275"/>
      <c r="V24" s="275"/>
      <c r="W24" s="275"/>
      <c r="X24" s="275"/>
      <c r="Y24" s="275"/>
      <c r="Z24" s="412"/>
      <c r="AA24" s="3"/>
      <c r="AK24" s="2815" t="s">
        <v>910</v>
      </c>
      <c r="AL24" s="2579">
        <f>SUMIFS(R30:R950,F30:F950,5,G30:G950,3)</f>
        <v>0</v>
      </c>
      <c r="AM24" s="2817"/>
    </row>
    <row r="25" spans="1:39" customFormat="1" x14ac:dyDescent="0.35">
      <c r="A25" s="387"/>
      <c r="B25" s="994"/>
      <c r="C25" s="994"/>
      <c r="D25" s="538">
        <f>SUMIF(C30:C876,"=прир",AB30:AB876)</f>
        <v>0</v>
      </c>
      <c r="E25" s="2241" t="s">
        <v>2760</v>
      </c>
      <c r="F25" s="319"/>
      <c r="G25" s="2258"/>
      <c r="H25" s="2258"/>
      <c r="I25" s="2259">
        <f>J25+K25+L25</f>
        <v>0</v>
      </c>
      <c r="J25" s="2259">
        <f>R25+Q25+P25+O25+N25+M25</f>
        <v>0</v>
      </c>
      <c r="K25" s="2259">
        <f>SUMIF(C30:C876,"=прир",K30:K876)</f>
        <v>0</v>
      </c>
      <c r="L25" s="2259">
        <f>SUMIF(C30:C876,"=прир",L30:L876)</f>
        <v>0</v>
      </c>
      <c r="M25" s="2259">
        <f>SUMIF(C30:C876,"=прир",M30:M876)</f>
        <v>0</v>
      </c>
      <c r="N25" s="2259">
        <f>SUMIF(C30:C876,"=прир",N30:N876)</f>
        <v>0</v>
      </c>
      <c r="O25" s="2260">
        <f>SUMIF(C30:C876,"=прир",O30:O876)</f>
        <v>0</v>
      </c>
      <c r="P25" s="2259">
        <f>SUMIF(C30:C876,"=прир",P30:P876)</f>
        <v>0</v>
      </c>
      <c r="Q25" s="2261">
        <f>SUMIF(C30:C876,"=прир",Q30:Q876)</f>
        <v>0</v>
      </c>
      <c r="R25" s="2262">
        <f>SUMIF(C30:C876,"=прир",R30:R876)</f>
        <v>0</v>
      </c>
      <c r="S25" s="404"/>
      <c r="T25" s="404"/>
      <c r="U25" s="404"/>
      <c r="V25" s="404"/>
      <c r="W25" s="404"/>
      <c r="X25" s="404"/>
      <c r="Y25" s="404"/>
      <c r="Z25" s="1610"/>
      <c r="AA25" s="3"/>
      <c r="AK25" s="2818" t="s">
        <v>11234</v>
      </c>
      <c r="AL25" s="2821">
        <f>AL26+AL27+AL28+AL29+AL30</f>
        <v>0</v>
      </c>
      <c r="AM25" s="2820">
        <f>AL25-AH29-AI29-AJ29</f>
        <v>0</v>
      </c>
    </row>
    <row r="26" spans="1:39" customFormat="1" x14ac:dyDescent="0.35">
      <c r="A26" s="387"/>
      <c r="B26" s="994"/>
      <c r="C26" s="994"/>
      <c r="D26" s="538">
        <f>SUMIF(C30:C877,"=ист",AB30:AB877)</f>
        <v>0</v>
      </c>
      <c r="E26" s="2241" t="s">
        <v>1628</v>
      </c>
      <c r="F26" s="319"/>
      <c r="G26" s="2258"/>
      <c r="H26" s="2258"/>
      <c r="I26" s="2259">
        <f>J26+K26+L26</f>
        <v>0</v>
      </c>
      <c r="J26" s="2259">
        <f>R26+Q26+P26+O26+N26+M26</f>
        <v>0</v>
      </c>
      <c r="K26" s="2259">
        <f>SUMIF(C30:C877,"=ист",K30:K877)</f>
        <v>0</v>
      </c>
      <c r="L26" s="2259">
        <f>SUMIF(C30:C877,"=ист",L30:L877)</f>
        <v>0</v>
      </c>
      <c r="M26" s="2259">
        <f>SUMIF(C30:C877,"=ист",M30:M877)</f>
        <v>0</v>
      </c>
      <c r="N26" s="2259">
        <f>SUMIF(C30:C877,"=ист",N30:N877)</f>
        <v>0</v>
      </c>
      <c r="O26" s="2260">
        <f>SUMIF(C30:C877,"=ист",O30:O877)</f>
        <v>0</v>
      </c>
      <c r="P26" s="2259">
        <f>SUMIF(C30:C877,"=ист",P30:P877)</f>
        <v>0</v>
      </c>
      <c r="Q26" s="2261">
        <f>SUMIF(C30:C877,"=ист",Q30:Q877)</f>
        <v>0</v>
      </c>
      <c r="R26" s="2262">
        <f>SUMIF(C30:C877,"=ист",R30:R877)</f>
        <v>0</v>
      </c>
      <c r="S26" s="404"/>
      <c r="T26" s="404"/>
      <c r="U26" s="404"/>
      <c r="V26" s="404"/>
      <c r="W26" s="404"/>
      <c r="X26" s="404"/>
      <c r="Y26" s="404"/>
      <c r="Z26" s="1610"/>
      <c r="AA26" s="3"/>
      <c r="AK26" s="2815" t="s">
        <v>11230</v>
      </c>
      <c r="AL26" s="2579">
        <f>SUMIFS(M30:M950,F30:F950,"6а",G30:G950,3)+SUMIFS(M30:M950,F30:F950,"6б",G30:G950,3)+SUMIFS(M30:M950,F30:F950,"б/к",G30:G950,3)</f>
        <v>0</v>
      </c>
      <c r="AM26" s="2817"/>
    </row>
    <row r="27" spans="1:39" customFormat="1" ht="16" thickBot="1" x14ac:dyDescent="0.4">
      <c r="A27" s="287"/>
      <c r="B27" s="1031"/>
      <c r="C27" s="1031"/>
      <c r="D27" s="277"/>
      <c r="E27" s="100"/>
      <c r="F27" s="100"/>
      <c r="G27" s="2242"/>
      <c r="H27" s="2242"/>
      <c r="I27" s="2243"/>
      <c r="J27" s="2243"/>
      <c r="K27" s="2243"/>
      <c r="L27" s="2243"/>
      <c r="M27" s="2243"/>
      <c r="N27" s="2243"/>
      <c r="O27" s="2244"/>
      <c r="P27" s="2243"/>
      <c r="Q27" s="2245"/>
      <c r="R27" s="2246"/>
      <c r="S27" s="278"/>
      <c r="T27" s="278"/>
      <c r="U27" s="278"/>
      <c r="V27" s="278"/>
      <c r="W27" s="278"/>
      <c r="X27" s="278"/>
      <c r="Y27" s="278"/>
      <c r="Z27" s="413"/>
      <c r="AA27" s="3"/>
      <c r="AK27" s="2815" t="s">
        <v>11231</v>
      </c>
      <c r="AL27" s="2579">
        <f>SUMIFS(N30:N950,F30:F950,"6а",G30:G950,3)+SUMIFS(N30:N950,F30:F950,"6б",G30:G950,3)+SUMIFS(N30:N950,F30:F950,"б/к",G30:G950,3)</f>
        <v>0</v>
      </c>
      <c r="AM27" s="2817"/>
    </row>
    <row r="28" spans="1:39" ht="16.149999999999999" customHeight="1" thickBot="1" x14ac:dyDescent="0.4">
      <c r="A28" s="450"/>
      <c r="B28" s="995"/>
      <c r="C28" s="995"/>
      <c r="D28" s="462"/>
      <c r="E28" s="451"/>
      <c r="F28" s="451"/>
      <c r="G28" s="451"/>
      <c r="H28" s="451"/>
      <c r="I28" s="2324">
        <f t="shared" ref="I28:R28" si="5">SUBTOTAL(9,I30:I390)</f>
        <v>455.42699999999985</v>
      </c>
      <c r="J28" s="2324">
        <f t="shared" si="5"/>
        <v>454.3449999999998</v>
      </c>
      <c r="K28" s="2324">
        <f t="shared" si="5"/>
        <v>0</v>
      </c>
      <c r="L28" s="2324">
        <f t="shared" si="5"/>
        <v>2.1639999999999988</v>
      </c>
      <c r="M28" s="2324">
        <f t="shared" si="5"/>
        <v>0</v>
      </c>
      <c r="N28" s="2324">
        <f t="shared" si="5"/>
        <v>390.58900000000006</v>
      </c>
      <c r="O28" s="2324">
        <f t="shared" si="5"/>
        <v>0</v>
      </c>
      <c r="P28" s="2324">
        <f t="shared" si="5"/>
        <v>0</v>
      </c>
      <c r="Q28" s="2324">
        <f t="shared" si="5"/>
        <v>223.94399999999996</v>
      </c>
      <c r="R28" s="2324">
        <f t="shared" si="5"/>
        <v>153.59999999999994</v>
      </c>
      <c r="S28" s="480"/>
      <c r="T28" s="452"/>
      <c r="U28" s="480"/>
      <c r="V28" s="480"/>
      <c r="W28" s="480"/>
      <c r="X28" s="614"/>
      <c r="Y28" s="480"/>
      <c r="Z28" s="1673"/>
      <c r="AB28" s="2334">
        <f>SUBTOTAL(9,AB30:AB390)</f>
        <v>104</v>
      </c>
      <c r="AD28" s="2575"/>
      <c r="AE28" s="2576">
        <v>3</v>
      </c>
      <c r="AF28" s="2576">
        <v>4</v>
      </c>
      <c r="AG28" s="2576">
        <v>5</v>
      </c>
      <c r="AH28" s="2576" t="s">
        <v>827</v>
      </c>
      <c r="AI28" s="2576" t="s">
        <v>1490</v>
      </c>
      <c r="AJ28" s="2577" t="s">
        <v>664</v>
      </c>
      <c r="AK28" s="2815" t="s">
        <v>11232</v>
      </c>
      <c r="AL28" s="2579">
        <f>SUMIFS(O30:O950,F30:F950,"6а",G30:G950,3)+SUMIFS(O30:O950,F30:F950,"6б",G30:G950,3)+SUMIFS(O30:O950,F30:F950,"б/к",G30:G950,3)</f>
        <v>0</v>
      </c>
      <c r="AM28" s="2817"/>
    </row>
    <row r="29" spans="1:39" ht="16.149999999999999" customHeight="1" x14ac:dyDescent="0.35">
      <c r="A29" s="52"/>
      <c r="B29" s="996"/>
      <c r="C29" s="996"/>
      <c r="D29" s="53"/>
      <c r="E29" s="476" t="s">
        <v>2871</v>
      </c>
      <c r="F29" s="24"/>
      <c r="G29" s="24"/>
      <c r="H29" s="24"/>
      <c r="I29" s="296"/>
      <c r="J29" s="296"/>
      <c r="K29" s="296"/>
      <c r="L29" s="296"/>
      <c r="M29" s="296"/>
      <c r="N29" s="296"/>
      <c r="O29" s="615"/>
      <c r="P29" s="296"/>
      <c r="Q29" s="931"/>
      <c r="R29" s="924"/>
      <c r="S29" s="24"/>
      <c r="T29" s="232"/>
      <c r="U29" s="24"/>
      <c r="V29" s="24"/>
      <c r="W29" s="24"/>
      <c r="X29" s="24"/>
      <c r="Y29" s="24"/>
      <c r="Z29" s="54"/>
      <c r="AD29" s="2578" t="s">
        <v>7180</v>
      </c>
      <c r="AE29" s="2579">
        <f>SUMIFS(M30:M887,F30:F887,3,G30:G887,3)+SUMIFS(N30:N887,F30:F887,3,G30:G887,3)+SUMIFS(O30:O887,F30:F887,3,G30:G887,3)+SUMIFS(P30:P887,F30:F887,3,G30:G887,3)+SUMIFS(Q30:Q887,F30:F887,3,G30:G887,3)+SUMIFS(R30:R887,F30:F887,3,G30:G887,3)</f>
        <v>0</v>
      </c>
      <c r="AF29" s="2579">
        <f>SUMIFS(M30:M887,F30:F887,4,G30:G887,3)+SUMIFS(N30:N887,F30:F887,4,G30:G887,3)+SUMIFS(O30:O887,F30:F887,4,G30:G887,3)+SUMIFS(P30:P887,F30:F887,4,G30:G887,3)+SUMIFS(Q30:Q887,F30:F887,4,G30:G887,3)+SUMIFS(R30:R887,F30:F887,4,G30:G887,3)</f>
        <v>0</v>
      </c>
      <c r="AG29" s="2579">
        <f>SUMIFS(M30:M887,F30:F887,5,G30:G887,3)+SUMIFS(N30:N887,F30:F887,5,G30:G887,3)+SUMIFS(O30:O887,F30:F887,5,G30:G887,3)+SUMIFS(P30:P887,F30:F887,5,G30:G887,3)+SUMIFS(Q30:Q887,F30:F887,5,G30:G887,3)+SUMIFS(R30:R887,F30:F887,5,G30:G887,3)</f>
        <v>0</v>
      </c>
      <c r="AH29" s="2579">
        <f>SUMIFS(M30:M887,F30:F887,"6а",G30:G887,3)+SUMIFS(N30:N887,F30:F887,"6а",G30:G887,3)+SUMIFS(O30:O887,F30:F887,"6а",G30:G887,3)+SUMIFS(P30:P887,F30:F887,"6а",G30:G887,3)+SUMIFS(Q30:Q887,F30:F887,"6а",G30:G887,3)+SUMIFS(R30:R887,F30:F887,"6а",G30:G887,3)</f>
        <v>0</v>
      </c>
      <c r="AI29" s="2579">
        <f>SUMIFS(M30:M887,F30:F887,"6б",G30:G887,3)+SUMIFS(N30:N887,F30:F887,"6б",G30:G887,3)+SUMIFS(O30:O887,F30:F887,"6б",G30:G887,3)+SUMIFS(P30:P887,F30:F887,"6б",G30:G887,3)+SUMIFS(Q30:Q887,F30:F887,"6б",G30:G887,3)+SUMIFS(R30:R887,F30:F887,"6б",G30:G887,3)</f>
        <v>0</v>
      </c>
      <c r="AJ29" s="2580">
        <f>SUMIFS(M30:M887,F30:F887,"б/к",G30:G887,3)+SUMIFS(N30:N887,F30:F887,"б/к",G30:G887,3)+SUMIFS(O30:O887,F30:F887,"б/к",G30:G887,3)+SUMIFS(P30:P887,F30:F887,"б/к",G30:G887,3)+SUMIFS(Q30:Q887,F30:F887,"б/к",G30:G887,3)+SUMIFS(R30:R887,F30:F887,"б/к",G30:G887,3)</f>
        <v>0</v>
      </c>
      <c r="AK29" s="2815" t="s">
        <v>11233</v>
      </c>
      <c r="AL29" s="2579">
        <f>SUMIFS(P30:P950,F30:F950,"6а",G30:G950,3)+SUMIFS(Q30:Q950,F30:F950,"6а",G30:G950,3)+SUMIFS(P30:P950,F30:F950,"6б",G30:G950,3)+SUMIFS(Q30:Q950,F30:F950,"6б",G30:G950,3)+SUMIFS(P30:P950,F30:F950,"б/к",G30:G950,3)+SUMIFS(Q30:Q950,F30:F950,"б/к",G30:G950,3)</f>
        <v>0</v>
      </c>
      <c r="AM29" s="2817"/>
    </row>
    <row r="30" spans="1:39" ht="30.5" x14ac:dyDescent="0.35">
      <c r="A30" s="294">
        <v>1</v>
      </c>
      <c r="B30" s="997">
        <v>10451</v>
      </c>
      <c r="C30" s="997"/>
      <c r="D30" s="293" t="s">
        <v>1212</v>
      </c>
      <c r="E30" s="511" t="s">
        <v>11331</v>
      </c>
      <c r="F30" s="1138"/>
      <c r="G30" s="1138" t="s">
        <v>191</v>
      </c>
      <c r="H30" s="1138" t="s">
        <v>191</v>
      </c>
      <c r="I30" s="486">
        <f>J30+K30+L30</f>
        <v>28.8</v>
      </c>
      <c r="J30" s="486">
        <f>SUM(M30:R30)</f>
        <v>28.78</v>
      </c>
      <c r="K30" s="486"/>
      <c r="L30" s="486">
        <f>SUM(L31:L33)</f>
        <v>0.02</v>
      </c>
      <c r="M30" s="486"/>
      <c r="N30" s="486">
        <f>SUM(N31:N33)</f>
        <v>28.78</v>
      </c>
      <c r="O30" s="486"/>
      <c r="P30" s="486"/>
      <c r="Q30" s="486"/>
      <c r="R30" s="486"/>
      <c r="S30" s="55">
        <v>5</v>
      </c>
      <c r="T30" s="1962">
        <f>6+17.55+18+34.4+28</f>
        <v>103.94999999999999</v>
      </c>
      <c r="U30" s="55"/>
      <c r="V30" s="55"/>
      <c r="W30" s="154">
        <f>28+31</f>
        <v>59</v>
      </c>
      <c r="X30" s="55">
        <f>388.4+324.65+5.1</f>
        <v>718.15</v>
      </c>
      <c r="Y30" s="154">
        <v>31</v>
      </c>
      <c r="Z30" s="47">
        <v>324.64999999999998</v>
      </c>
      <c r="AB30" s="3">
        <v>1</v>
      </c>
      <c r="AD30" s="2578" t="s">
        <v>7181</v>
      </c>
      <c r="AE30" s="2579">
        <f>SUMIFS(M30:M887,F30:F887,3,G30:G887,4)+SUMIFS(N30:N887,F30:F887,3,G30:G887,4)+SUMIFS(O30:O887,F30:F887,3,G30:G887,4)+SUMIFS(P30:P887,F30:F887,3,G30:G887,4)+SUMIFS(Q30:Q887,F30:F887,3,G30:G887,4)+SUMIFS(R30:R887,F30:F887,3,G30:G887,4)</f>
        <v>0</v>
      </c>
      <c r="AF30" s="2579">
        <f>SUMIFS(M30:M887,F30:F887,4,G30:G887,4)+SUMIFS(N30:N887,F30:F887,4,G30:G887,4)+SUMIFS(O30:O887,F30:F887,4,G30:G887,4)+SUMIFS(P30:P887,F30:F887,4,G30:G887,4)+SUMIFS(Q30:Q887,F30:F887,4,G30:G887,4)+SUMIFS(R30:R887,F30:F887,4,G30:G887,4)</f>
        <v>233.05199999999996</v>
      </c>
      <c r="AG30" s="2579">
        <f>SUMIFS(M30:M887,F30:F887,5,G30:G887,4)+SUMIFS(N30:N887,F30:F887,5,G30:G887,4)+SUMIFS(O30:O887,F30:F887,5,G30:G887,4)+SUMIFS(P30:P887,F30:F887,5,G30:G887,4)+SUMIFS(Q30:Q887,F30:F887,5,G30:G887,4)+SUMIFS(R30:R887,F30:F887,5,G30:G887,4)</f>
        <v>4.9800000000000004</v>
      </c>
      <c r="AH30" s="2579">
        <f>SUMIFS(M30:M887,F30:F887,"6а",G30:G887,4)+SUMIFS(N30:N887,F30:F887,"6а",G30:G887,4)+SUMIFS(O30:O887,F30:F887,"6а",G30:G887,4)+SUMIFS(P30:P887,F30:F887,"6а",G30:G887,4)+SUMIFS(Q30:Q887,F30:F887,"6а",G30:G887,4)+SUMIFS(R30:R887,F30:F887,"6а",G30:G887,4)</f>
        <v>0</v>
      </c>
      <c r="AI30" s="2579">
        <f>SUMIFS(M30:M887,F30:F887,"6б",G30:G887,4)+SUMIFS(N30:N887,F30:F887,"6б",G30:G887,4)+SUMIFS(O30:O887,F30:F887,"6б",G30:G887,4)+SUMIFS(P30:P887,F30:F887,"6б",G30:G887,4)+SUMIFS(Q30:Q887,F30:F887,"6б",G30:G887,4)+SUMIFS(R30:R887,F30:F887,"6б",G30:G887,4)</f>
        <v>0</v>
      </c>
      <c r="AJ30" s="2580">
        <f>SUMIFS(M30:M887,F30:F887,"б/к",G30:G887,4)+SUMIFS(N30:N887,F30:F887,"б/к",G30:G887,4)+SUMIFS(O30:O887,F30:F887,"б/к",G30:G887,4)+SUMIFS(P30:P887,F30:F887,"б/к",G30:G887,4)+SUMIFS(Q30:Q887,F30:F887,"б/к",G30:G887,4)+SUMIFS(R30:R887,F30:F887,"б/к",G30:G887,4)</f>
        <v>0</v>
      </c>
      <c r="AK30" s="2815" t="s">
        <v>910</v>
      </c>
      <c r="AL30" s="2579">
        <f>SUMIFS(R30:R950,F30:F950,"6а",G30:G950,3)+SUMIFS(R30:R950,F30:F950,"6б",G30:G950,3)+SUMIFS(R30:R950,F30:F950,"б/к",G30:G950,3)</f>
        <v>0</v>
      </c>
      <c r="AM30" s="2817"/>
    </row>
    <row r="31" spans="1:39" ht="31" x14ac:dyDescent="0.35">
      <c r="A31" s="294"/>
      <c r="B31" s="997"/>
      <c r="C31" s="997"/>
      <c r="D31" s="293"/>
      <c r="E31" s="289" t="s">
        <v>10662</v>
      </c>
      <c r="F31" s="1138">
        <v>4</v>
      </c>
      <c r="G31" s="1138">
        <v>4</v>
      </c>
      <c r="H31" s="1138" t="s">
        <v>191</v>
      </c>
      <c r="I31" s="298"/>
      <c r="J31" s="298"/>
      <c r="K31" s="298"/>
      <c r="L31" s="487">
        <f>0.02-0</f>
        <v>0.02</v>
      </c>
      <c r="M31" s="298"/>
      <c r="N31" s="298"/>
      <c r="O31" s="299"/>
      <c r="P31" s="298"/>
      <c r="Q31" s="1836"/>
      <c r="R31" s="2049"/>
      <c r="S31" s="15"/>
      <c r="T31" s="2446"/>
      <c r="U31" s="55"/>
      <c r="V31" s="55"/>
      <c r="W31" s="2441"/>
      <c r="X31" s="2530"/>
      <c r="Y31" s="2441"/>
      <c r="Z31" s="2695"/>
      <c r="AD31" s="2581" t="s">
        <v>7182</v>
      </c>
      <c r="AE31" s="2582">
        <f>SUMIFS(M30:M920,F30:F920,3,G30:G920,5)+SUMIFS(N30:N920,F30:F920,3,G30:G920,5)+SUMIFS(O30:O920,F30:F920,3,G30:G920,5)+SUMIFS(P30:P920,F30:F920,3,G30:G920,5)+SUMIFS(Q30:Q920,F30:F920,3,G30:G920,5)+SUMIFS(R30:R920,F30:F920,3,G30:G920,5)</f>
        <v>0</v>
      </c>
      <c r="AF31" s="2582">
        <f>SUMIFS(M30:M920,F30:F920,4,G30:G920,5)+SUMIFS(N30:N920,F30:F920,4,G30:G920,5)+SUMIFS(O30:O920,F30:F920,4,G30:G920,5)+SUMIFS(P30:P920,F30:F920,4,G30:G920,5)+SUMIFS(Q30:Q920,F30:F920,4,G30:G920,5)+SUMIFS(R30:R920,F30:F920,4,G30:G920,5)</f>
        <v>43.276000000000003</v>
      </c>
      <c r="AG31" s="2582">
        <f>SUMIFS(M30:M920,F30:F920,5,G30:G920,5)+SUMIFS(N30:N920,F30:F920,5,G30:G920,5)+SUMIFS(O30:O920,F30:F920,5,G30:G920,5)+SUMIFS(P30:P920,F30:F920,5,G30:G920,5)+SUMIFS(Q30:Q920,F30:F920,5,G30:G920,5)+SUMIFS(R30:R920,F30:F920,5,G30:G920,5)</f>
        <v>77.007000000000005</v>
      </c>
      <c r="AH31" s="2582">
        <f>SUMIFS(M30:M920,F30:F920,"6а",G30:G920,5)+SUMIFS(N30:N920,F30:F920,"6а",G30:G920,5)+SUMIFS(O30:O920,F30:F920,"6а",G30:G920,5)+SUMIFS(P30:P920,F30:F920,"6а",G30:G920,5)+SUMIFS(Q30:Q920,F30:F920,"6а",G30:G920,5)+SUMIFS(R30:R920,F30:F920,"6а",G30:G920,5)</f>
        <v>49.940000000000012</v>
      </c>
      <c r="AI31" s="2582">
        <f>SUMIFS(M30:M920,F30:F920,"6б",G30:G920,5)+SUMIFS(N30:N920,F30:F920,"6б",G30:G920,5)+SUMIFS(O30:O920,F30:F920,"6б",G30:G920,5)+SUMIFS(P30:P920,F30:F920,"6б",G30:G920,5)+SUMIFS(Q30:Q920,F30:F920,"6б",G30:G920,5)+SUMIFS(R30:R920,F30:F920,"6б",G30:G920,5)</f>
        <v>46.089999999999996</v>
      </c>
      <c r="AJ31" s="2583">
        <f>SUMIFS(M30:M920,F30:F920,"б/к",G30:G920,5)+SUMIFS(N30:N920,F30:F920,"б/к",G30:G920,5)+SUMIFS(O30:O920,F30:F920,"б/к",G30:G920,5)+SUMIFS(P30:P920,F30:F920,"б/к",G30:G920,5)+SUMIFS(Q30:Q920,F30:F920,"б/к",G30:G920,5)+SUMIFS(R30:R920,F30:F920,"б/к",G30:G920,5)</f>
        <v>0</v>
      </c>
      <c r="AK31" s="2815"/>
      <c r="AL31" s="2579"/>
      <c r="AM31" s="2817"/>
    </row>
    <row r="32" spans="1:39" ht="46.5" x14ac:dyDescent="0.35">
      <c r="A32" s="295"/>
      <c r="B32" s="997">
        <v>10451</v>
      </c>
      <c r="C32" s="997"/>
      <c r="D32" s="824"/>
      <c r="E32" s="459" t="s">
        <v>11397</v>
      </c>
      <c r="F32" s="1944"/>
      <c r="G32" s="1944" t="s">
        <v>191</v>
      </c>
      <c r="H32" s="1944" t="s">
        <v>191</v>
      </c>
      <c r="I32" s="298"/>
      <c r="J32" s="298"/>
      <c r="K32" s="298"/>
      <c r="L32" s="298"/>
      <c r="M32" s="298"/>
      <c r="N32" s="298"/>
      <c r="O32" s="299"/>
      <c r="P32" s="298"/>
      <c r="Q32" s="1836"/>
      <c r="R32" s="2049"/>
      <c r="S32" s="17"/>
      <c r="T32" s="234"/>
      <c r="U32" s="17"/>
      <c r="V32" s="17"/>
      <c r="W32" s="154"/>
      <c r="X32" s="154"/>
      <c r="Y32" s="154"/>
      <c r="Z32" s="47"/>
      <c r="AD32" s="2811"/>
      <c r="AE32" s="1572"/>
      <c r="AF32" s="2811"/>
      <c r="AG32" s="2811"/>
      <c r="AH32" s="2811"/>
      <c r="AI32" s="2584" t="s">
        <v>7183</v>
      </c>
      <c r="AJ32" s="2585">
        <f>SUMIF(AB30:AB920,"=1",J30:J920)</f>
        <v>454.3449999999998</v>
      </c>
      <c r="AK32" s="2818" t="s">
        <v>11235</v>
      </c>
      <c r="AL32" s="2821">
        <f>AL34+AL40+AL46</f>
        <v>238.03199999999995</v>
      </c>
      <c r="AM32" s="2820">
        <f>AL32-J19</f>
        <v>0</v>
      </c>
    </row>
    <row r="33" spans="1:39" x14ac:dyDescent="0.35">
      <c r="A33" s="295"/>
      <c r="B33" s="997"/>
      <c r="C33" s="997"/>
      <c r="D33" s="824"/>
      <c r="E33" s="289" t="s">
        <v>10661</v>
      </c>
      <c r="F33" s="1138">
        <v>4</v>
      </c>
      <c r="G33" s="1138">
        <v>4</v>
      </c>
      <c r="H33" s="1138">
        <v>6</v>
      </c>
      <c r="I33" s="298"/>
      <c r="J33" s="298"/>
      <c r="K33" s="298"/>
      <c r="L33" s="298"/>
      <c r="M33" s="298"/>
      <c r="N33" s="298">
        <f>28.8-0.02</f>
        <v>28.78</v>
      </c>
      <c r="O33" s="299"/>
      <c r="P33" s="298"/>
      <c r="Q33" s="1836"/>
      <c r="R33" s="2049"/>
      <c r="S33" s="17"/>
      <c r="T33" s="234"/>
      <c r="U33" s="17"/>
      <c r="V33" s="17"/>
      <c r="W33" s="154"/>
      <c r="X33" s="154"/>
      <c r="Y33" s="154"/>
      <c r="Z33" s="47"/>
      <c r="AD33" s="2811"/>
      <c r="AE33" s="1572"/>
      <c r="AF33" s="2811"/>
      <c r="AG33" s="2811"/>
      <c r="AH33" s="2811"/>
      <c r="AI33" s="2811"/>
      <c r="AJ33" s="2585">
        <f>SUM(AE29:AJ31)-AJ32</f>
        <v>0</v>
      </c>
      <c r="AK33" s="2815" t="s">
        <v>11229</v>
      </c>
      <c r="AL33" s="2579"/>
      <c r="AM33" s="2817"/>
    </row>
    <row r="34" spans="1:39" ht="45.5" x14ac:dyDescent="0.35">
      <c r="A34" s="295">
        <v>2</v>
      </c>
      <c r="B34" s="997">
        <v>10451</v>
      </c>
      <c r="C34" s="997"/>
      <c r="D34" s="2466" t="s">
        <v>4745</v>
      </c>
      <c r="E34" s="473" t="s">
        <v>7691</v>
      </c>
      <c r="F34" s="1944"/>
      <c r="G34" s="1944" t="s">
        <v>191</v>
      </c>
      <c r="H34" s="1944" t="s">
        <v>191</v>
      </c>
      <c r="I34" s="297">
        <f t="shared" ref="I34:I45" si="6">J34+K34+L34</f>
        <v>2.09</v>
      </c>
      <c r="J34" s="297">
        <f t="shared" ref="J34:J45" si="7">SUM(M34:R34)</f>
        <v>2.09</v>
      </c>
      <c r="K34" s="297"/>
      <c r="L34" s="297"/>
      <c r="M34" s="297"/>
      <c r="N34" s="297"/>
      <c r="O34" s="618"/>
      <c r="P34" s="297"/>
      <c r="Q34" s="932"/>
      <c r="R34" s="925">
        <f>SUM(R35:R36)</f>
        <v>2.09</v>
      </c>
      <c r="S34" s="17"/>
      <c r="T34" s="234"/>
      <c r="U34" s="17"/>
      <c r="V34" s="17"/>
      <c r="W34" s="154"/>
      <c r="X34" s="154"/>
      <c r="Y34" s="164"/>
      <c r="Z34" s="58"/>
      <c r="AB34" s="3">
        <v>1</v>
      </c>
      <c r="AD34" s="2811"/>
      <c r="AE34" s="1572"/>
      <c r="AF34" s="2811"/>
      <c r="AG34" s="2811"/>
      <c r="AH34" s="2811"/>
      <c r="AI34" s="2811"/>
      <c r="AJ34" s="2585"/>
      <c r="AK34" s="2818" t="s">
        <v>7184</v>
      </c>
      <c r="AL34" s="2821">
        <f>AL35+AL36+AL37+AL38+AL39</f>
        <v>233.05199999999996</v>
      </c>
      <c r="AM34" s="2820">
        <f>AL34-AF30</f>
        <v>0</v>
      </c>
    </row>
    <row r="35" spans="1:39" x14ac:dyDescent="0.35">
      <c r="A35" s="295"/>
      <c r="B35" s="997">
        <v>10451</v>
      </c>
      <c r="C35" s="997"/>
      <c r="D35" s="824"/>
      <c r="E35" s="2297" t="s">
        <v>1966</v>
      </c>
      <c r="F35" s="1944" t="s">
        <v>827</v>
      </c>
      <c r="G35" s="1944">
        <v>5</v>
      </c>
      <c r="H35" s="1944">
        <v>6</v>
      </c>
      <c r="I35" s="297"/>
      <c r="J35" s="297"/>
      <c r="K35" s="297"/>
      <c r="L35" s="297"/>
      <c r="M35" s="297"/>
      <c r="N35" s="297"/>
      <c r="O35" s="618"/>
      <c r="P35" s="297"/>
      <c r="Q35" s="932"/>
      <c r="R35" s="2049">
        <v>0.8</v>
      </c>
      <c r="S35" s="17"/>
      <c r="T35" s="234"/>
      <c r="U35" s="17"/>
      <c r="V35" s="17"/>
      <c r="W35" s="154"/>
      <c r="X35" s="154"/>
      <c r="Y35" s="164"/>
      <c r="Z35" s="58"/>
      <c r="AD35"/>
      <c r="AE35" s="1572"/>
      <c r="AF35"/>
      <c r="AG35"/>
      <c r="AH35"/>
      <c r="AI35"/>
      <c r="AJ35" s="2585">
        <f>SUM(AE29:AJ32)-AJ34</f>
        <v>908.68999999999971</v>
      </c>
      <c r="AK35" s="2815" t="s">
        <v>11230</v>
      </c>
      <c r="AL35" s="2579">
        <f>SUMIFS(M30:M950,F30:F950,4,G30:G950,4)</f>
        <v>0</v>
      </c>
      <c r="AM35" s="2817"/>
    </row>
    <row r="36" spans="1:39" x14ac:dyDescent="0.35">
      <c r="A36" s="295"/>
      <c r="B36" s="997">
        <v>10451</v>
      </c>
      <c r="C36" s="997"/>
      <c r="D36" s="824"/>
      <c r="E36" s="2297" t="s">
        <v>3230</v>
      </c>
      <c r="F36" s="1944" t="s">
        <v>1490</v>
      </c>
      <c r="G36" s="1944">
        <v>5</v>
      </c>
      <c r="H36" s="1944">
        <v>6</v>
      </c>
      <c r="I36" s="297"/>
      <c r="J36" s="297"/>
      <c r="K36" s="297"/>
      <c r="L36" s="297"/>
      <c r="M36" s="297"/>
      <c r="N36" s="297"/>
      <c r="O36" s="618"/>
      <c r="P36" s="297"/>
      <c r="Q36" s="932"/>
      <c r="R36" s="2049">
        <f>2.09-0.8</f>
        <v>1.2899999999999998</v>
      </c>
      <c r="S36" s="17"/>
      <c r="T36" s="234"/>
      <c r="U36" s="17"/>
      <c r="V36" s="17"/>
      <c r="W36" s="154"/>
      <c r="X36" s="154"/>
      <c r="Y36" s="164"/>
      <c r="Z36" s="58"/>
      <c r="AE36" s="2461"/>
      <c r="AF36" s="68"/>
      <c r="AK36" s="2815" t="s">
        <v>11231</v>
      </c>
      <c r="AL36" s="2579">
        <f>SUMIFS(N30:N950,F30:F950,4,G30:G950,4)</f>
        <v>191.28599999999997</v>
      </c>
      <c r="AM36" s="2817"/>
    </row>
    <row r="37" spans="1:39" ht="45.5" x14ac:dyDescent="0.35">
      <c r="A37" s="295">
        <v>3</v>
      </c>
      <c r="B37" s="997">
        <v>10451</v>
      </c>
      <c r="C37" s="997"/>
      <c r="D37" s="2466" t="s">
        <v>4746</v>
      </c>
      <c r="E37" s="288" t="s">
        <v>9771</v>
      </c>
      <c r="F37" s="1138">
        <v>5</v>
      </c>
      <c r="G37" s="1138">
        <v>4</v>
      </c>
      <c r="H37" s="1138">
        <v>6</v>
      </c>
      <c r="I37" s="297">
        <f t="shared" si="6"/>
        <v>2.48</v>
      </c>
      <c r="J37" s="297">
        <f t="shared" si="7"/>
        <v>2.48</v>
      </c>
      <c r="K37" s="297"/>
      <c r="L37" s="297"/>
      <c r="M37" s="297"/>
      <c r="N37" s="297">
        <v>2.48</v>
      </c>
      <c r="O37" s="618"/>
      <c r="P37" s="297"/>
      <c r="Q37" s="932"/>
      <c r="R37" s="925"/>
      <c r="S37" s="17"/>
      <c r="T37" s="234"/>
      <c r="U37" s="17"/>
      <c r="V37" s="17"/>
      <c r="W37" s="154">
        <v>2</v>
      </c>
      <c r="X37" s="55">
        <v>20.2</v>
      </c>
      <c r="Y37" s="154"/>
      <c r="Z37" s="47"/>
      <c r="AA37" s="3" t="s">
        <v>762</v>
      </c>
      <c r="AB37" s="3">
        <v>1</v>
      </c>
      <c r="AE37" s="2461"/>
      <c r="AF37" s="68"/>
      <c r="AK37" s="2815" t="s">
        <v>11232</v>
      </c>
      <c r="AL37" s="2579">
        <f>SUMIFS(O30:O950,F30:F950,4,G30:G950,4)</f>
        <v>0</v>
      </c>
      <c r="AM37" s="2817"/>
    </row>
    <row r="38" spans="1:39" ht="45.5" x14ac:dyDescent="0.35">
      <c r="A38" s="295">
        <v>4</v>
      </c>
      <c r="B38" s="997">
        <v>10451</v>
      </c>
      <c r="C38" s="997"/>
      <c r="D38" s="2466" t="s">
        <v>4747</v>
      </c>
      <c r="E38" s="288" t="s">
        <v>7692</v>
      </c>
      <c r="F38" s="1138">
        <v>4</v>
      </c>
      <c r="G38" s="1138">
        <v>4</v>
      </c>
      <c r="H38" s="1138">
        <v>6</v>
      </c>
      <c r="I38" s="297">
        <f t="shared" si="6"/>
        <v>6.3849999999999998</v>
      </c>
      <c r="J38" s="297">
        <f t="shared" si="7"/>
        <v>6.3849999999999998</v>
      </c>
      <c r="K38" s="297"/>
      <c r="L38" s="297"/>
      <c r="M38" s="297"/>
      <c r="N38" s="297">
        <v>6.3849999999999998</v>
      </c>
      <c r="O38" s="618"/>
      <c r="P38" s="297"/>
      <c r="Q38" s="932"/>
      <c r="R38" s="925"/>
      <c r="S38" s="17"/>
      <c r="T38" s="234"/>
      <c r="U38" s="17"/>
      <c r="V38" s="17"/>
      <c r="W38" s="154">
        <v>11</v>
      </c>
      <c r="X38" s="55">
        <v>121.2</v>
      </c>
      <c r="Y38" s="154">
        <v>5</v>
      </c>
      <c r="Z38" s="47">
        <v>50.4</v>
      </c>
      <c r="AB38" s="3">
        <v>1</v>
      </c>
      <c r="AE38" s="2461"/>
      <c r="AF38" s="68"/>
      <c r="AK38" s="2815" t="s">
        <v>11233</v>
      </c>
      <c r="AL38" s="2579">
        <f>SUMIFS(P30:P950,F30:F950,4,G30:G950,4)+SUMIFS(Q30:Q950,F30:F950,4,G30:G950,4)</f>
        <v>41.766000000000005</v>
      </c>
      <c r="AM38" s="2817"/>
    </row>
    <row r="39" spans="1:39" ht="60.5" x14ac:dyDescent="0.35">
      <c r="A39" s="295">
        <v>5</v>
      </c>
      <c r="B39" s="997">
        <v>10451</v>
      </c>
      <c r="C39" s="997" t="s">
        <v>1656</v>
      </c>
      <c r="D39" s="2466" t="s">
        <v>4748</v>
      </c>
      <c r="E39" s="473" t="s">
        <v>8454</v>
      </c>
      <c r="F39" s="92" t="s">
        <v>1490</v>
      </c>
      <c r="G39" s="92">
        <v>5</v>
      </c>
      <c r="H39" s="1944">
        <v>6</v>
      </c>
      <c r="I39" s="297">
        <f t="shared" si="6"/>
        <v>0.62</v>
      </c>
      <c r="J39" s="297">
        <f t="shared" si="7"/>
        <v>0.62</v>
      </c>
      <c r="K39" s="622"/>
      <c r="L39" s="622"/>
      <c r="M39" s="622"/>
      <c r="N39" s="622"/>
      <c r="O39" s="1209"/>
      <c r="P39" s="622"/>
      <c r="Q39" s="934"/>
      <c r="R39" s="926">
        <v>0.62</v>
      </c>
      <c r="S39" s="106"/>
      <c r="T39" s="236"/>
      <c r="U39" s="106"/>
      <c r="V39" s="106"/>
      <c r="W39" s="106"/>
      <c r="X39" s="106"/>
      <c r="Y39" s="106"/>
      <c r="Z39" s="119"/>
      <c r="AB39" s="3">
        <v>1</v>
      </c>
      <c r="AE39" s="2461"/>
      <c r="AF39" s="68"/>
      <c r="AK39" s="2815" t="s">
        <v>910</v>
      </c>
      <c r="AL39" s="2579">
        <f>SUMIFS(R30:R950,F30:F950,4,G30:G950,4)</f>
        <v>0</v>
      </c>
      <c r="AM39" s="2817"/>
    </row>
    <row r="40" spans="1:39" ht="30.5" x14ac:dyDescent="0.35">
      <c r="A40" s="295">
        <v>6</v>
      </c>
      <c r="B40" s="998">
        <v>10452</v>
      </c>
      <c r="C40" s="998"/>
      <c r="D40" s="293" t="s">
        <v>2676</v>
      </c>
      <c r="E40" s="288" t="s">
        <v>7208</v>
      </c>
      <c r="F40" s="1138">
        <v>4</v>
      </c>
      <c r="G40" s="1138">
        <v>4</v>
      </c>
      <c r="H40" s="1138">
        <v>6</v>
      </c>
      <c r="I40" s="297">
        <f t="shared" si="6"/>
        <v>4.8840000000000003</v>
      </c>
      <c r="J40" s="297">
        <f t="shared" si="7"/>
        <v>4.8840000000000003</v>
      </c>
      <c r="K40" s="297"/>
      <c r="L40" s="297"/>
      <c r="M40" s="297"/>
      <c r="N40" s="297">
        <v>4.8840000000000003</v>
      </c>
      <c r="O40" s="618"/>
      <c r="P40" s="297"/>
      <c r="Q40" s="932"/>
      <c r="R40" s="925"/>
      <c r="S40" s="17"/>
      <c r="T40" s="234"/>
      <c r="U40" s="17"/>
      <c r="V40" s="17"/>
      <c r="W40" s="154">
        <v>6</v>
      </c>
      <c r="X40" s="55">
        <v>65</v>
      </c>
      <c r="Y40" s="154">
        <v>4</v>
      </c>
      <c r="Z40" s="47">
        <v>40</v>
      </c>
      <c r="AB40" s="3">
        <v>1</v>
      </c>
      <c r="AE40" s="2461"/>
      <c r="AF40" s="68"/>
      <c r="AK40" s="2818" t="s">
        <v>7185</v>
      </c>
      <c r="AL40" s="2821">
        <f>AL41+AL42+AL43+AL44+AL45</f>
        <v>4.9800000000000004</v>
      </c>
      <c r="AM40" s="2820">
        <f>AL40-AG30</f>
        <v>0</v>
      </c>
    </row>
    <row r="41" spans="1:39" ht="45" x14ac:dyDescent="0.35">
      <c r="A41" s="525">
        <v>7</v>
      </c>
      <c r="B41" s="1040">
        <v>10452</v>
      </c>
      <c r="C41" s="997" t="s">
        <v>1656</v>
      </c>
      <c r="D41" s="2466" t="s">
        <v>4749</v>
      </c>
      <c r="E41" s="2187" t="s">
        <v>9248</v>
      </c>
      <c r="F41" s="92" t="s">
        <v>827</v>
      </c>
      <c r="G41" s="92">
        <v>5</v>
      </c>
      <c r="H41" s="1944">
        <v>6</v>
      </c>
      <c r="I41" s="702">
        <f t="shared" si="6"/>
        <v>1.05</v>
      </c>
      <c r="J41" s="702">
        <f t="shared" si="7"/>
        <v>1.05</v>
      </c>
      <c r="K41" s="622"/>
      <c r="L41" s="622"/>
      <c r="M41" s="622"/>
      <c r="N41" s="622"/>
      <c r="O41" s="622"/>
      <c r="P41" s="622"/>
      <c r="Q41" s="622"/>
      <c r="R41" s="906">
        <v>1.05</v>
      </c>
      <c r="S41" s="106"/>
      <c r="T41" s="106"/>
      <c r="U41" s="106"/>
      <c r="V41" s="106"/>
      <c r="W41" s="105">
        <v>2</v>
      </c>
      <c r="X41" s="105">
        <v>20</v>
      </c>
      <c r="Y41" s="105">
        <v>1</v>
      </c>
      <c r="Z41" s="323">
        <v>10</v>
      </c>
      <c r="AB41" s="3">
        <v>1</v>
      </c>
      <c r="AC41" s="3" t="s">
        <v>2570</v>
      </c>
      <c r="AE41" s="2461"/>
      <c r="AF41" s="68"/>
      <c r="AK41" s="2815" t="s">
        <v>11230</v>
      </c>
      <c r="AL41" s="2579">
        <f>SUMIFS(M30:M950,F30:F950,5,G30:G950,4)</f>
        <v>0</v>
      </c>
      <c r="AM41" s="2817"/>
    </row>
    <row r="42" spans="1:39" ht="30.5" x14ac:dyDescent="0.35">
      <c r="A42" s="295">
        <v>8</v>
      </c>
      <c r="B42" s="998">
        <v>10453</v>
      </c>
      <c r="C42" s="998"/>
      <c r="D42" s="293" t="s">
        <v>2951</v>
      </c>
      <c r="E42" s="288" t="s">
        <v>2824</v>
      </c>
      <c r="F42" s="1138"/>
      <c r="G42" s="1138" t="s">
        <v>191</v>
      </c>
      <c r="H42" s="1138" t="s">
        <v>191</v>
      </c>
      <c r="I42" s="297">
        <f t="shared" si="6"/>
        <v>34.590000000000003</v>
      </c>
      <c r="J42" s="297">
        <f t="shared" si="7"/>
        <v>34.590000000000003</v>
      </c>
      <c r="K42" s="297"/>
      <c r="L42" s="297"/>
      <c r="M42" s="297"/>
      <c r="N42" s="297">
        <v>34.590000000000003</v>
      </c>
      <c r="O42" s="618"/>
      <c r="P42" s="297"/>
      <c r="Q42" s="932"/>
      <c r="R42" s="925"/>
      <c r="S42" s="15">
        <v>4</v>
      </c>
      <c r="T42" s="233">
        <v>45.9</v>
      </c>
      <c r="U42" s="15"/>
      <c r="V42" s="15"/>
      <c r="W42" s="154">
        <v>35</v>
      </c>
      <c r="X42" s="1962">
        <f>458.8+2.5</f>
        <v>461.3</v>
      </c>
      <c r="Y42" s="154">
        <v>11</v>
      </c>
      <c r="Z42" s="47">
        <v>114.8</v>
      </c>
      <c r="AB42" s="3">
        <v>1</v>
      </c>
      <c r="AE42" s="2461"/>
      <c r="AF42" s="68"/>
      <c r="AK42" s="2815" t="s">
        <v>11231</v>
      </c>
      <c r="AL42" s="2579">
        <f>SUMIFS(N30:N950,F30:F950,5,G30:G950,4)</f>
        <v>4.9800000000000004</v>
      </c>
      <c r="AM42" s="2817"/>
    </row>
    <row r="43" spans="1:39" x14ac:dyDescent="0.35">
      <c r="A43" s="295"/>
      <c r="B43" s="998">
        <v>10453</v>
      </c>
      <c r="C43" s="998"/>
      <c r="D43" s="293"/>
      <c r="E43" s="289" t="s">
        <v>141</v>
      </c>
      <c r="F43" s="1138">
        <v>4</v>
      </c>
      <c r="G43" s="1138">
        <v>4</v>
      </c>
      <c r="H43" s="1138">
        <v>6</v>
      </c>
      <c r="I43" s="298"/>
      <c r="J43" s="298"/>
      <c r="K43" s="298"/>
      <c r="L43" s="298"/>
      <c r="M43" s="298"/>
      <c r="N43" s="298">
        <v>30.36</v>
      </c>
      <c r="O43" s="618"/>
      <c r="P43" s="297"/>
      <c r="Q43" s="932"/>
      <c r="R43" s="925"/>
      <c r="S43" s="15"/>
      <c r="T43" s="233"/>
      <c r="U43" s="15"/>
      <c r="V43" s="15"/>
      <c r="W43" s="154"/>
      <c r="X43" s="1962"/>
      <c r="Y43" s="154"/>
      <c r="Z43" s="47"/>
      <c r="AE43" s="2461"/>
      <c r="AF43" s="68"/>
      <c r="AK43" s="2815" t="s">
        <v>11232</v>
      </c>
      <c r="AL43" s="2579">
        <f>SUMIFS(O30:O950,F30:F950,5,G30:G950,4)</f>
        <v>0</v>
      </c>
      <c r="AM43" s="2817"/>
    </row>
    <row r="44" spans="1:39" x14ac:dyDescent="0.35">
      <c r="A44" s="295"/>
      <c r="B44" s="998">
        <v>10453</v>
      </c>
      <c r="C44" s="998"/>
      <c r="D44" s="293"/>
      <c r="E44" s="289" t="s">
        <v>140</v>
      </c>
      <c r="F44" s="1138">
        <v>4</v>
      </c>
      <c r="G44" s="1138">
        <v>4</v>
      </c>
      <c r="H44" s="1138">
        <v>10</v>
      </c>
      <c r="I44" s="298"/>
      <c r="J44" s="298"/>
      <c r="K44" s="298"/>
      <c r="L44" s="298"/>
      <c r="M44" s="298"/>
      <c r="N44" s="298">
        <f>34.59-30.36</f>
        <v>4.230000000000004</v>
      </c>
      <c r="O44" s="618"/>
      <c r="P44" s="297"/>
      <c r="Q44" s="932"/>
      <c r="R44" s="925"/>
      <c r="S44" s="15"/>
      <c r="T44" s="233"/>
      <c r="U44" s="15"/>
      <c r="V44" s="15"/>
      <c r="W44" s="154"/>
      <c r="X44" s="1962"/>
      <c r="Y44" s="154"/>
      <c r="Z44" s="47"/>
      <c r="AE44" s="2461"/>
      <c r="AF44" s="68"/>
      <c r="AK44" s="2815" t="s">
        <v>11233</v>
      </c>
      <c r="AL44" s="2579">
        <f>SUMIFS(P30:P950,F30:F950,5,G30:G950,4)+SUMIFS(Q30:Q950,F30:F950,5,G30:G950,4)</f>
        <v>0</v>
      </c>
      <c r="AM44" s="2817"/>
    </row>
    <row r="45" spans="1:39" ht="45.5" x14ac:dyDescent="0.35">
      <c r="A45" s="295">
        <v>9</v>
      </c>
      <c r="B45" s="998">
        <v>10453</v>
      </c>
      <c r="C45" s="998"/>
      <c r="D45" s="2466" t="s">
        <v>4750</v>
      </c>
      <c r="E45" s="288" t="s">
        <v>9985</v>
      </c>
      <c r="F45" s="1138"/>
      <c r="G45" s="1138" t="s">
        <v>191</v>
      </c>
      <c r="H45" s="1138" t="s">
        <v>191</v>
      </c>
      <c r="I45" s="297">
        <f t="shared" si="6"/>
        <v>2.85</v>
      </c>
      <c r="J45" s="297">
        <f t="shared" si="7"/>
        <v>2.85</v>
      </c>
      <c r="K45" s="297"/>
      <c r="L45" s="297"/>
      <c r="M45" s="297"/>
      <c r="N45" s="297">
        <f>SUM(N46:N48)</f>
        <v>1.593</v>
      </c>
      <c r="O45" s="618"/>
      <c r="P45" s="297"/>
      <c r="Q45" s="932">
        <f>SUM(Q46:Q48)</f>
        <v>0.20699999999999999</v>
      </c>
      <c r="R45" s="925">
        <f>SUM(R46:R48)</f>
        <v>1.05</v>
      </c>
      <c r="S45" s="17"/>
      <c r="T45" s="234"/>
      <c r="U45" s="17"/>
      <c r="V45" s="17"/>
      <c r="W45" s="154">
        <v>1</v>
      </c>
      <c r="X45" s="55">
        <v>15.1</v>
      </c>
      <c r="Y45" s="154"/>
      <c r="Z45" s="47"/>
      <c r="AB45" s="3">
        <v>1</v>
      </c>
      <c r="AE45" s="2461"/>
      <c r="AF45" s="68"/>
      <c r="AK45" s="2815" t="s">
        <v>910</v>
      </c>
      <c r="AL45" s="2579">
        <f>SUMIFS(R30:R950,F30:F950,5,G30:G950,4)</f>
        <v>0</v>
      </c>
      <c r="AM45" s="2817"/>
    </row>
    <row r="46" spans="1:39" x14ac:dyDescent="0.35">
      <c r="A46" s="295"/>
      <c r="B46" s="998">
        <v>10453</v>
      </c>
      <c r="C46" s="998"/>
      <c r="D46" s="293"/>
      <c r="E46" s="289" t="s">
        <v>1044</v>
      </c>
      <c r="F46" s="1138">
        <v>5</v>
      </c>
      <c r="G46" s="1138">
        <v>5</v>
      </c>
      <c r="H46" s="1138">
        <v>6</v>
      </c>
      <c r="I46" s="298"/>
      <c r="J46" s="298"/>
      <c r="K46" s="298"/>
      <c r="L46" s="298"/>
      <c r="M46" s="298"/>
      <c r="N46" s="298">
        <v>1.593</v>
      </c>
      <c r="O46" s="620"/>
      <c r="P46" s="298"/>
      <c r="Q46" s="933"/>
      <c r="R46" s="927"/>
      <c r="S46" s="14"/>
      <c r="T46" s="235"/>
      <c r="U46" s="14"/>
      <c r="V46" s="14"/>
      <c r="W46" s="1944"/>
      <c r="X46" s="1138"/>
      <c r="Y46" s="1944"/>
      <c r="Z46" s="70"/>
      <c r="AE46" s="2461"/>
      <c r="AF46" s="68"/>
      <c r="AK46" s="2818" t="s">
        <v>11234</v>
      </c>
      <c r="AL46" s="2821">
        <f>AL47+AL48+AL49+AL50+AL51</f>
        <v>0</v>
      </c>
      <c r="AM46" s="2820">
        <f>AL46-AH30-AI30-AJ30</f>
        <v>0</v>
      </c>
    </row>
    <row r="47" spans="1:39" x14ac:dyDescent="0.35">
      <c r="A47" s="295"/>
      <c r="B47" s="998">
        <v>10453</v>
      </c>
      <c r="C47" s="998"/>
      <c r="D47" s="293"/>
      <c r="E47" s="837" t="s">
        <v>1693</v>
      </c>
      <c r="F47" s="1138" t="s">
        <v>1490</v>
      </c>
      <c r="G47" s="1138">
        <v>5</v>
      </c>
      <c r="H47" s="1138">
        <v>6</v>
      </c>
      <c r="I47" s="298"/>
      <c r="J47" s="298"/>
      <c r="K47" s="298"/>
      <c r="L47" s="298"/>
      <c r="M47" s="298"/>
      <c r="N47" s="298"/>
      <c r="O47" s="620"/>
      <c r="P47" s="298"/>
      <c r="Q47" s="933">
        <v>0.20699999999999999</v>
      </c>
      <c r="R47" s="927"/>
      <c r="S47" s="14"/>
      <c r="T47" s="235"/>
      <c r="U47" s="14"/>
      <c r="V47" s="14"/>
      <c r="W47" s="1944"/>
      <c r="X47" s="1138"/>
      <c r="Y47" s="1944"/>
      <c r="Z47" s="70"/>
      <c r="AE47" s="2461"/>
      <c r="AF47" s="68"/>
      <c r="AK47" s="2815" t="s">
        <v>11230</v>
      </c>
      <c r="AL47" s="2579">
        <f>SUMIFS(M30:M950,F30:F950,"6а",G30:G950,4)+SUMIFS(M30:M950,F30:F950,"6б",G30:G950,4)+SUMIFS(M30:M950,F30:F950,"б/к",G30:G950,4)</f>
        <v>0</v>
      </c>
      <c r="AM47" s="2817"/>
    </row>
    <row r="48" spans="1:39" x14ac:dyDescent="0.35">
      <c r="A48" s="295"/>
      <c r="B48" s="998">
        <v>10453</v>
      </c>
      <c r="C48" s="998"/>
      <c r="D48" s="293"/>
      <c r="E48" s="838" t="s">
        <v>1694</v>
      </c>
      <c r="F48" s="1138" t="s">
        <v>1490</v>
      </c>
      <c r="G48" s="1138">
        <v>5</v>
      </c>
      <c r="H48" s="1944">
        <v>6</v>
      </c>
      <c r="I48" s="298"/>
      <c r="J48" s="298"/>
      <c r="K48" s="298"/>
      <c r="L48" s="298"/>
      <c r="M48" s="298"/>
      <c r="N48" s="298"/>
      <c r="O48" s="620"/>
      <c r="P48" s="298"/>
      <c r="Q48" s="933"/>
      <c r="R48" s="927">
        <v>1.05</v>
      </c>
      <c r="S48" s="14"/>
      <c r="T48" s="235"/>
      <c r="U48" s="14"/>
      <c r="V48" s="14"/>
      <c r="W48" s="1944"/>
      <c r="X48" s="1138"/>
      <c r="Y48" s="1944"/>
      <c r="Z48" s="70"/>
      <c r="AE48" s="2461"/>
      <c r="AF48" s="68"/>
      <c r="AK48" s="2815" t="s">
        <v>11231</v>
      </c>
      <c r="AL48" s="2579">
        <f>SUMIFS(N30:N950,F30:F950,"6а",G30:G950,4)+SUMIFS(N30:N950,F30:F950,"6б",G30:G950,4)+SUMIFS(N30:N950,F30:F950,"б/к",G30:G950,4)</f>
        <v>0</v>
      </c>
      <c r="AM48" s="2817"/>
    </row>
    <row r="49" spans="1:39" ht="60" x14ac:dyDescent="0.35">
      <c r="A49" s="525">
        <v>10</v>
      </c>
      <c r="B49" s="1040">
        <v>10453</v>
      </c>
      <c r="C49" s="997" t="s">
        <v>1656</v>
      </c>
      <c r="D49" s="2466" t="s">
        <v>4751</v>
      </c>
      <c r="E49" s="2187" t="s">
        <v>9986</v>
      </c>
      <c r="F49" s="92" t="s">
        <v>1490</v>
      </c>
      <c r="G49" s="92">
        <v>5</v>
      </c>
      <c r="H49" s="1944">
        <v>6</v>
      </c>
      <c r="I49" s="702">
        <f>J49+K49+L49</f>
        <v>1.3</v>
      </c>
      <c r="J49" s="702">
        <f>SUM(M49:R49)</f>
        <v>1.3</v>
      </c>
      <c r="K49" s="622"/>
      <c r="L49" s="622"/>
      <c r="M49" s="622"/>
      <c r="N49" s="622"/>
      <c r="O49" s="622"/>
      <c r="P49" s="622"/>
      <c r="Q49" s="622"/>
      <c r="R49" s="906">
        <v>1.3</v>
      </c>
      <c r="S49" s="106"/>
      <c r="T49" s="106"/>
      <c r="U49" s="106"/>
      <c r="V49" s="106"/>
      <c r="W49" s="105"/>
      <c r="X49" s="105"/>
      <c r="Y49" s="105"/>
      <c r="Z49" s="323"/>
      <c r="AB49" s="3">
        <v>1</v>
      </c>
      <c r="AE49" s="2461"/>
      <c r="AF49" s="68"/>
      <c r="AK49" s="2815" t="s">
        <v>11232</v>
      </c>
      <c r="AL49" s="2579">
        <f>SUMIFS(O30:O950,F30:F950,"6а",G30:G950,4)+SUMIFS(O30:O950,F30:F950,"6б",G30:G950,4)+SUMIFS(O30:O950,F30:F950,"б/к",G30:G950,4)</f>
        <v>0</v>
      </c>
      <c r="AM49" s="2817"/>
    </row>
    <row r="50" spans="1:39" ht="45" x14ac:dyDescent="0.35">
      <c r="A50" s="525">
        <v>11</v>
      </c>
      <c r="B50" s="1040">
        <v>10453</v>
      </c>
      <c r="C50" s="997" t="s">
        <v>1656</v>
      </c>
      <c r="D50" s="2466" t="s">
        <v>4752</v>
      </c>
      <c r="E50" s="2187" t="s">
        <v>8455</v>
      </c>
      <c r="F50" s="92" t="s">
        <v>1490</v>
      </c>
      <c r="G50" s="92">
        <v>5</v>
      </c>
      <c r="H50" s="1944">
        <v>6</v>
      </c>
      <c r="I50" s="702">
        <f>J50+K50+L50</f>
        <v>0.23</v>
      </c>
      <c r="J50" s="702">
        <f>SUM(M50:R50)</f>
        <v>0.23</v>
      </c>
      <c r="K50" s="622"/>
      <c r="L50" s="622"/>
      <c r="M50" s="622"/>
      <c r="N50" s="622"/>
      <c r="O50" s="622"/>
      <c r="P50" s="622"/>
      <c r="Q50" s="622"/>
      <c r="R50" s="906">
        <v>0.23</v>
      </c>
      <c r="S50" s="106"/>
      <c r="T50" s="106"/>
      <c r="U50" s="106"/>
      <c r="V50" s="106"/>
      <c r="W50" s="105"/>
      <c r="X50" s="105"/>
      <c r="Y50" s="105"/>
      <c r="Z50" s="323"/>
      <c r="AB50" s="3">
        <v>1</v>
      </c>
      <c r="AC50" s="3" t="s">
        <v>2570</v>
      </c>
      <c r="AE50" s="2461"/>
      <c r="AF50" s="68"/>
      <c r="AK50" s="2815" t="s">
        <v>11233</v>
      </c>
      <c r="AL50" s="2579">
        <f>SUMIFS(P30:P950,F30:F950,"6а",G30:G950,4)+SUMIFS(Q30:Q950,F30:F950,"6а",G30:G950,4)+SUMIFS(P30:P950,F30:F950,"6б",G30:G950,4)+SUMIFS(Q30:Q950,F30:F950,"6б",G30:G950,4)+SUMIFS(O30:O950,F30:F950,"б/к",G30:G950,4)+SUMIFS(P30:P950,F30:F950,"б/к",G30:G950,4)+SUMIFS(Q30:Q950,F30:F950,"б/к",G30:G950,4)</f>
        <v>0</v>
      </c>
      <c r="AM50" s="2817"/>
    </row>
    <row r="51" spans="1:39" ht="60" x14ac:dyDescent="0.35">
      <c r="A51" s="693">
        <v>12</v>
      </c>
      <c r="B51" s="693">
        <v>10453</v>
      </c>
      <c r="C51" s="693"/>
      <c r="D51" s="2466" t="s">
        <v>4753</v>
      </c>
      <c r="E51" s="2187" t="s">
        <v>9772</v>
      </c>
      <c r="F51" s="1138">
        <v>4</v>
      </c>
      <c r="G51" s="92">
        <v>5</v>
      </c>
      <c r="H51" s="1138">
        <v>6</v>
      </c>
      <c r="I51" s="702">
        <f>J51+K51+L51</f>
        <v>0.12</v>
      </c>
      <c r="J51" s="702">
        <f>SUM(M51:R51)</f>
        <v>0.12</v>
      </c>
      <c r="K51" s="46"/>
      <c r="L51" s="46"/>
      <c r="M51" s="46"/>
      <c r="N51" s="622">
        <v>0.12</v>
      </c>
      <c r="O51" s="46"/>
      <c r="P51" s="46"/>
      <c r="Q51" s="46"/>
      <c r="R51" s="527"/>
      <c r="S51" s="106"/>
      <c r="T51" s="106"/>
      <c r="U51" s="106"/>
      <c r="V51" s="106"/>
      <c r="W51" s="105"/>
      <c r="X51" s="105"/>
      <c r="Y51" s="105"/>
      <c r="Z51" s="181"/>
      <c r="AB51" s="3">
        <v>1</v>
      </c>
      <c r="AE51" s="2461"/>
      <c r="AF51" s="68"/>
      <c r="AK51" s="2815" t="s">
        <v>910</v>
      </c>
      <c r="AL51" s="2579">
        <f>SUMIFS(R30:R950,F30:F950,"6а",G30:G950,4)+SUMIFS(R30:R950,F30:F950,"6б",G30:G950,4)+SUMIFS(R30:R950,F30:F950,"б/к",G30:G950,4)</f>
        <v>0</v>
      </c>
      <c r="AM51" s="2817"/>
    </row>
    <row r="52" spans="1:39" ht="45.5" x14ac:dyDescent="0.35">
      <c r="A52" s="295">
        <v>13</v>
      </c>
      <c r="B52" s="997">
        <v>10453</v>
      </c>
      <c r="C52" s="1024" t="s">
        <v>1656</v>
      </c>
      <c r="D52" s="2466" t="s">
        <v>4754</v>
      </c>
      <c r="E52" s="312" t="s">
        <v>8456</v>
      </c>
      <c r="F52" s="92" t="s">
        <v>1490</v>
      </c>
      <c r="G52" s="1944">
        <v>5</v>
      </c>
      <c r="H52" s="1944">
        <v>6</v>
      </c>
      <c r="I52" s="297">
        <f>J52+K52+L52</f>
        <v>0.3</v>
      </c>
      <c r="J52" s="297">
        <f>SUM(M52:R52)</f>
        <v>0.3</v>
      </c>
      <c r="K52" s="622"/>
      <c r="L52" s="622"/>
      <c r="M52" s="622"/>
      <c r="N52" s="622"/>
      <c r="O52" s="795"/>
      <c r="P52" s="622"/>
      <c r="Q52" s="2085"/>
      <c r="R52" s="2106">
        <v>0.3</v>
      </c>
      <c r="S52" s="106"/>
      <c r="T52" s="236"/>
      <c r="U52" s="106"/>
      <c r="V52" s="106"/>
      <c r="W52" s="106"/>
      <c r="X52" s="106"/>
      <c r="Y52" s="106"/>
      <c r="Z52" s="119"/>
      <c r="AB52" s="3">
        <v>1</v>
      </c>
      <c r="AE52" s="2461"/>
      <c r="AF52" s="68"/>
      <c r="AK52" s="2815"/>
      <c r="AL52" s="2579"/>
      <c r="AM52" s="2817"/>
    </row>
    <row r="53" spans="1:39" x14ac:dyDescent="0.35">
      <c r="A53" s="295">
        <v>14</v>
      </c>
      <c r="B53" s="998">
        <v>10454</v>
      </c>
      <c r="C53" s="998"/>
      <c r="D53" s="293" t="s">
        <v>574</v>
      </c>
      <c r="E53" s="288" t="s">
        <v>1260</v>
      </c>
      <c r="F53" s="1138"/>
      <c r="G53" s="1138" t="s">
        <v>191</v>
      </c>
      <c r="H53" s="1138" t="s">
        <v>191</v>
      </c>
      <c r="I53" s="297">
        <f>J53+K53+L53</f>
        <v>15.063000000000001</v>
      </c>
      <c r="J53" s="297">
        <f>SUM(M53:R53)</f>
        <v>15.063000000000001</v>
      </c>
      <c r="K53" s="297"/>
      <c r="L53" s="297"/>
      <c r="M53" s="297"/>
      <c r="N53" s="297">
        <f>SUM(N54:N55)</f>
        <v>1.5</v>
      </c>
      <c r="O53" s="618"/>
      <c r="P53" s="297"/>
      <c r="Q53" s="932">
        <f>SUM(Q54:Q55)</f>
        <v>13.563000000000001</v>
      </c>
      <c r="R53" s="925"/>
      <c r="S53" s="17"/>
      <c r="T53" s="234"/>
      <c r="U53" s="17"/>
      <c r="V53" s="17"/>
      <c r="W53" s="154">
        <v>23</v>
      </c>
      <c r="X53" s="55">
        <v>320.39999999999998</v>
      </c>
      <c r="Y53" s="154">
        <v>5</v>
      </c>
      <c r="Z53" s="47">
        <v>48</v>
      </c>
      <c r="AB53" s="3">
        <v>1</v>
      </c>
      <c r="AE53" s="2461"/>
      <c r="AF53" s="68"/>
      <c r="AK53" s="2818" t="s">
        <v>11236</v>
      </c>
      <c r="AL53" s="2821">
        <f>AL55+AL61+AL67</f>
        <v>216.31300000000002</v>
      </c>
      <c r="AM53" s="2820">
        <f>AL53-J20</f>
        <v>0</v>
      </c>
    </row>
    <row r="54" spans="1:39" x14ac:dyDescent="0.35">
      <c r="A54" s="295"/>
      <c r="B54" s="998">
        <v>10454</v>
      </c>
      <c r="C54" s="998"/>
      <c r="D54" s="293"/>
      <c r="E54" s="289" t="s">
        <v>2020</v>
      </c>
      <c r="F54" s="1138">
        <v>4</v>
      </c>
      <c r="G54" s="1138">
        <v>4</v>
      </c>
      <c r="H54" s="1138">
        <v>6</v>
      </c>
      <c r="I54" s="297"/>
      <c r="J54" s="297"/>
      <c r="K54" s="297"/>
      <c r="L54" s="297"/>
      <c r="M54" s="297"/>
      <c r="N54" s="298">
        <v>1.5</v>
      </c>
      <c r="O54" s="620"/>
      <c r="P54" s="298"/>
      <c r="Q54" s="933"/>
      <c r="R54" s="925"/>
      <c r="S54" s="17"/>
      <c r="T54" s="234"/>
      <c r="U54" s="17"/>
      <c r="V54" s="17"/>
      <c r="W54" s="154"/>
      <c r="X54" s="55"/>
      <c r="Y54" s="154"/>
      <c r="Z54" s="47"/>
      <c r="AE54" s="2461"/>
      <c r="AF54" s="68"/>
      <c r="AK54" s="2815" t="s">
        <v>11229</v>
      </c>
      <c r="AL54" s="2579"/>
      <c r="AM54" s="2817"/>
    </row>
    <row r="55" spans="1:39" x14ac:dyDescent="0.35">
      <c r="A55" s="295"/>
      <c r="B55" s="998">
        <v>10454</v>
      </c>
      <c r="C55" s="998"/>
      <c r="D55" s="293"/>
      <c r="E55" s="837" t="s">
        <v>10430</v>
      </c>
      <c r="F55" s="1138">
        <v>4</v>
      </c>
      <c r="G55" s="1138">
        <v>4</v>
      </c>
      <c r="H55" s="1138">
        <v>6</v>
      </c>
      <c r="I55" s="297"/>
      <c r="J55" s="297"/>
      <c r="K55" s="297"/>
      <c r="L55" s="297"/>
      <c r="M55" s="297"/>
      <c r="N55" s="298"/>
      <c r="O55" s="620"/>
      <c r="P55" s="298"/>
      <c r="Q55" s="2610">
        <f>15.063-1.5</f>
        <v>13.563000000000001</v>
      </c>
      <c r="R55" s="925"/>
      <c r="S55" s="17"/>
      <c r="T55" s="234"/>
      <c r="U55" s="17"/>
      <c r="V55" s="17"/>
      <c r="W55" s="154"/>
      <c r="X55" s="55"/>
      <c r="Y55" s="154"/>
      <c r="Z55" s="47"/>
      <c r="AE55" s="2461"/>
      <c r="AF55" s="68"/>
      <c r="AK55" s="2818" t="s">
        <v>7184</v>
      </c>
      <c r="AL55" s="2821">
        <f>AL56+AL57+AL58+AL59+AL60</f>
        <v>43.276000000000003</v>
      </c>
      <c r="AM55" s="2820">
        <f>AL55-AF31</f>
        <v>0</v>
      </c>
    </row>
    <row r="56" spans="1:39" ht="30.5" x14ac:dyDescent="0.35">
      <c r="A56" s="295">
        <v>15</v>
      </c>
      <c r="B56" s="998">
        <v>10454</v>
      </c>
      <c r="C56" s="998"/>
      <c r="D56" s="2466" t="s">
        <v>4755</v>
      </c>
      <c r="E56" s="473" t="s">
        <v>7693</v>
      </c>
      <c r="F56" s="1944" t="s">
        <v>827</v>
      </c>
      <c r="G56" s="1944">
        <v>5</v>
      </c>
      <c r="H56" s="1944">
        <v>6</v>
      </c>
      <c r="I56" s="297">
        <f>J56+K56+L56</f>
        <v>1.8</v>
      </c>
      <c r="J56" s="297">
        <f>SUM(M56:R56)</f>
        <v>1.8</v>
      </c>
      <c r="K56" s="297"/>
      <c r="L56" s="297"/>
      <c r="M56" s="297"/>
      <c r="N56" s="297"/>
      <c r="O56" s="618"/>
      <c r="P56" s="297"/>
      <c r="Q56" s="932"/>
      <c r="R56" s="925">
        <v>1.8</v>
      </c>
      <c r="S56" s="17"/>
      <c r="T56" s="234"/>
      <c r="U56" s="17"/>
      <c r="V56" s="17"/>
      <c r="W56" s="154"/>
      <c r="X56" s="154"/>
      <c r="Y56" s="164"/>
      <c r="Z56" s="58"/>
      <c r="AB56" s="3">
        <v>1</v>
      </c>
      <c r="AE56" s="2461"/>
      <c r="AF56" s="68"/>
      <c r="AK56" s="2815" t="s">
        <v>11230</v>
      </c>
      <c r="AL56" s="2579">
        <f>SUMIFS(M30:M950,F30:F950,4,G30:G950,5)</f>
        <v>0</v>
      </c>
      <c r="AM56" s="2817"/>
    </row>
    <row r="57" spans="1:39" ht="30.5" x14ac:dyDescent="0.35">
      <c r="A57" s="295">
        <v>16</v>
      </c>
      <c r="B57" s="998">
        <v>10454</v>
      </c>
      <c r="C57" s="998"/>
      <c r="D57" s="2466" t="s">
        <v>4756</v>
      </c>
      <c r="E57" s="288" t="s">
        <v>7694</v>
      </c>
      <c r="F57" s="1138"/>
      <c r="G57" s="1138" t="s">
        <v>191</v>
      </c>
      <c r="H57" s="1138" t="s">
        <v>191</v>
      </c>
      <c r="I57" s="297">
        <f>J57+K57+L57</f>
        <v>3.9359999999999999</v>
      </c>
      <c r="J57" s="297">
        <f>SUM(M57:R57)</f>
        <v>3.9359999999999999</v>
      </c>
      <c r="K57" s="297"/>
      <c r="L57" s="297"/>
      <c r="M57" s="297"/>
      <c r="N57" s="297">
        <f>SUM(N58:N59)</f>
        <v>0.61099999999999999</v>
      </c>
      <c r="O57" s="618"/>
      <c r="P57" s="297"/>
      <c r="Q57" s="932">
        <f>SUM(Q58:Q59)</f>
        <v>3.3250000000000002</v>
      </c>
      <c r="R57" s="925"/>
      <c r="S57" s="17"/>
      <c r="T57" s="234"/>
      <c r="U57" s="17"/>
      <c r="V57" s="17"/>
      <c r="W57" s="154">
        <v>4</v>
      </c>
      <c r="X57" s="55">
        <v>61</v>
      </c>
      <c r="Y57" s="164"/>
      <c r="Z57" s="58"/>
      <c r="AB57" s="3">
        <v>1</v>
      </c>
      <c r="AE57" s="2461"/>
      <c r="AF57" s="68"/>
      <c r="AK57" s="2815" t="s">
        <v>11231</v>
      </c>
      <c r="AL57" s="2579">
        <f>SUMIFS(N30:N950,F30:F950,4,G30:G950,5)</f>
        <v>9.8130000000000024</v>
      </c>
      <c r="AM57" s="2817"/>
    </row>
    <row r="58" spans="1:39" x14ac:dyDescent="0.35">
      <c r="A58" s="295"/>
      <c r="B58" s="998">
        <v>10454</v>
      </c>
      <c r="C58" s="998"/>
      <c r="D58" s="293"/>
      <c r="E58" s="837" t="s">
        <v>1261</v>
      </c>
      <c r="F58" s="1138">
        <v>4</v>
      </c>
      <c r="G58" s="1138">
        <v>5</v>
      </c>
      <c r="H58" s="1138">
        <v>6</v>
      </c>
      <c r="I58" s="298"/>
      <c r="J58" s="298"/>
      <c r="K58" s="298"/>
      <c r="L58" s="298"/>
      <c r="M58" s="298"/>
      <c r="N58" s="298"/>
      <c r="O58" s="620"/>
      <c r="P58" s="298"/>
      <c r="Q58" s="933">
        <v>3.3250000000000002</v>
      </c>
      <c r="R58" s="927"/>
      <c r="S58" s="17"/>
      <c r="T58" s="234"/>
      <c r="U58" s="17"/>
      <c r="V58" s="17"/>
      <c r="W58" s="154"/>
      <c r="X58" s="55"/>
      <c r="Y58" s="164"/>
      <c r="Z58" s="58"/>
      <c r="AE58" s="2461"/>
      <c r="AF58" s="68"/>
      <c r="AK58" s="2815" t="s">
        <v>11232</v>
      </c>
      <c r="AL58" s="2579">
        <f>SUMIFS(O30:O950,F30:F950,4,G30:G950,5)</f>
        <v>0</v>
      </c>
      <c r="AM58" s="2817"/>
    </row>
    <row r="59" spans="1:39" x14ac:dyDescent="0.35">
      <c r="A59" s="295"/>
      <c r="B59" s="998">
        <v>10454</v>
      </c>
      <c r="C59" s="998"/>
      <c r="D59" s="293"/>
      <c r="E59" s="289" t="s">
        <v>1363</v>
      </c>
      <c r="F59" s="1138">
        <v>4</v>
      </c>
      <c r="G59" s="1138">
        <v>5</v>
      </c>
      <c r="H59" s="1138">
        <v>6</v>
      </c>
      <c r="I59" s="298"/>
      <c r="J59" s="298"/>
      <c r="K59" s="298"/>
      <c r="L59" s="298"/>
      <c r="M59" s="298"/>
      <c r="N59" s="298">
        <v>0.61099999999999999</v>
      </c>
      <c r="O59" s="620"/>
      <c r="P59" s="298"/>
      <c r="Q59" s="933"/>
      <c r="R59" s="927"/>
      <c r="S59" s="17"/>
      <c r="T59" s="234"/>
      <c r="U59" s="17"/>
      <c r="V59" s="17"/>
      <c r="W59" s="154"/>
      <c r="X59" s="55"/>
      <c r="Y59" s="164"/>
      <c r="Z59" s="58"/>
      <c r="AE59" s="2461"/>
      <c r="AF59" s="68"/>
      <c r="AK59" s="2815" t="s">
        <v>11233</v>
      </c>
      <c r="AL59" s="2579">
        <f>SUMIFS(P30:P950,F30:F950,4,G30:G950,5)+SUMIFS(Q30:Q950,F30:F950,4,G30:G950,5)</f>
        <v>33.463000000000001</v>
      </c>
      <c r="AM59" s="2817"/>
    </row>
    <row r="60" spans="1:39" ht="30.5" x14ac:dyDescent="0.35">
      <c r="A60" s="295">
        <v>17</v>
      </c>
      <c r="B60" s="998">
        <v>10454</v>
      </c>
      <c r="C60" s="997" t="s">
        <v>1656</v>
      </c>
      <c r="D60" s="2466" t="s">
        <v>4757</v>
      </c>
      <c r="E60" s="473" t="s">
        <v>8457</v>
      </c>
      <c r="F60" s="92" t="s">
        <v>1490</v>
      </c>
      <c r="G60" s="92">
        <v>5</v>
      </c>
      <c r="H60" s="1944">
        <v>6</v>
      </c>
      <c r="I60" s="297">
        <f>J60+K60+L60</f>
        <v>0.8</v>
      </c>
      <c r="J60" s="297">
        <f>SUM(M60:R60)</f>
        <v>0.8</v>
      </c>
      <c r="K60" s="622"/>
      <c r="L60" s="622"/>
      <c r="M60" s="622"/>
      <c r="N60" s="622"/>
      <c r="O60" s="1209"/>
      <c r="P60" s="622"/>
      <c r="Q60" s="934"/>
      <c r="R60" s="926">
        <v>0.8</v>
      </c>
      <c r="S60" s="106"/>
      <c r="T60" s="236"/>
      <c r="U60" s="106"/>
      <c r="V60" s="106"/>
      <c r="W60" s="106"/>
      <c r="X60" s="106"/>
      <c r="Y60" s="106"/>
      <c r="Z60" s="119"/>
      <c r="AB60" s="3">
        <v>1</v>
      </c>
      <c r="AE60" s="2461"/>
      <c r="AF60" s="68"/>
      <c r="AK60" s="2815" t="s">
        <v>910</v>
      </c>
      <c r="AL60" s="2579">
        <f>SUMIFS(R30:R950,F30:F950,4,G30:G950,5)</f>
        <v>0</v>
      </c>
      <c r="AM60" s="2817"/>
    </row>
    <row r="61" spans="1:39" x14ac:dyDescent="0.35">
      <c r="A61" s="295">
        <v>18</v>
      </c>
      <c r="B61" s="998">
        <v>10455</v>
      </c>
      <c r="C61" s="998"/>
      <c r="D61" s="293" t="s">
        <v>2355</v>
      </c>
      <c r="E61" s="288" t="s">
        <v>3082</v>
      </c>
      <c r="F61" s="1138">
        <v>4</v>
      </c>
      <c r="G61" s="1138">
        <v>4</v>
      </c>
      <c r="H61" s="1138">
        <v>6</v>
      </c>
      <c r="I61" s="297">
        <f>J61+K61+L61</f>
        <v>19.382999999999999</v>
      </c>
      <c r="J61" s="297">
        <f>SUM(M61:R61)</f>
        <v>19.382999999999999</v>
      </c>
      <c r="K61" s="297"/>
      <c r="L61" s="297"/>
      <c r="M61" s="297"/>
      <c r="N61" s="297">
        <v>19.382999999999999</v>
      </c>
      <c r="O61" s="618"/>
      <c r="P61" s="297"/>
      <c r="Q61" s="932"/>
      <c r="R61" s="925"/>
      <c r="S61" s="15">
        <v>1</v>
      </c>
      <c r="T61" s="233">
        <v>31.15</v>
      </c>
      <c r="U61" s="15"/>
      <c r="V61" s="15"/>
      <c r="W61" s="154">
        <v>21</v>
      </c>
      <c r="X61" s="55">
        <v>257.3</v>
      </c>
      <c r="Y61" s="154">
        <v>11</v>
      </c>
      <c r="Z61" s="47">
        <v>124.2</v>
      </c>
      <c r="AB61" s="3">
        <v>1</v>
      </c>
      <c r="AE61" s="2461"/>
      <c r="AF61" s="68"/>
      <c r="AK61" s="2818" t="s">
        <v>7185</v>
      </c>
      <c r="AL61" s="2821">
        <f>AL62+AL63+AL64+AL65+AL66</f>
        <v>77.007000000000005</v>
      </c>
      <c r="AM61" s="2820">
        <f>AL61-AG31</f>
        <v>0</v>
      </c>
    </row>
    <row r="62" spans="1:39" ht="46.5" x14ac:dyDescent="0.35">
      <c r="A62" s="295"/>
      <c r="B62" s="998">
        <v>10455</v>
      </c>
      <c r="C62" s="998"/>
      <c r="D62" s="293"/>
      <c r="E62" s="289" t="s">
        <v>9987</v>
      </c>
      <c r="F62" s="1138"/>
      <c r="G62" s="1138" t="s">
        <v>191</v>
      </c>
      <c r="H62" s="1138" t="s">
        <v>191</v>
      </c>
      <c r="I62" s="297"/>
      <c r="J62" s="297"/>
      <c r="K62" s="297"/>
      <c r="L62" s="297"/>
      <c r="M62" s="297"/>
      <c r="N62" s="297"/>
      <c r="O62" s="618"/>
      <c r="P62" s="297"/>
      <c r="Q62" s="932"/>
      <c r="R62" s="925"/>
      <c r="S62" s="15"/>
      <c r="T62" s="233"/>
      <c r="U62" s="15"/>
      <c r="V62" s="15"/>
      <c r="W62" s="154"/>
      <c r="X62" s="55"/>
      <c r="Y62" s="154"/>
      <c r="Z62" s="47"/>
      <c r="AE62" s="2461"/>
      <c r="AF62" s="68"/>
      <c r="AK62" s="2815" t="s">
        <v>11230</v>
      </c>
      <c r="AL62" s="2579">
        <f>SUMIFS(M30:M950,F30:F950,5,G30:G950,5)</f>
        <v>0</v>
      </c>
      <c r="AM62" s="2817"/>
    </row>
    <row r="63" spans="1:39" ht="30.5" x14ac:dyDescent="0.35">
      <c r="A63" s="295">
        <v>19</v>
      </c>
      <c r="B63" s="998">
        <v>10455</v>
      </c>
      <c r="C63" s="998"/>
      <c r="D63" s="2466" t="s">
        <v>4758</v>
      </c>
      <c r="E63" s="288" t="s">
        <v>7695</v>
      </c>
      <c r="F63" s="1138" t="s">
        <v>827</v>
      </c>
      <c r="G63" s="1138">
        <v>5</v>
      </c>
      <c r="H63" s="1944">
        <v>6</v>
      </c>
      <c r="I63" s="297">
        <f t="shared" ref="I63:I70" si="8">J63+K63+L63</f>
        <v>2.37</v>
      </c>
      <c r="J63" s="297">
        <f t="shared" ref="J63:J70" si="9">SUM(M63:R63)</f>
        <v>2.37</v>
      </c>
      <c r="K63" s="489"/>
      <c r="L63" s="489"/>
      <c r="M63" s="489"/>
      <c r="N63" s="489"/>
      <c r="O63" s="1210"/>
      <c r="P63" s="489"/>
      <c r="Q63" s="935"/>
      <c r="R63" s="925">
        <v>2.37</v>
      </c>
      <c r="S63" s="17"/>
      <c r="T63" s="234"/>
      <c r="U63" s="17"/>
      <c r="V63" s="17"/>
      <c r="W63" s="154">
        <v>4</v>
      </c>
      <c r="X63" s="55">
        <v>40.799999999999997</v>
      </c>
      <c r="Y63" s="154"/>
      <c r="Z63" s="47"/>
      <c r="AB63" s="3">
        <v>1</v>
      </c>
      <c r="AC63" s="62" t="s">
        <v>1799</v>
      </c>
      <c r="AD63" s="353">
        <v>33372</v>
      </c>
      <c r="AE63" s="2461"/>
      <c r="AF63" s="68"/>
      <c r="AK63" s="2815" t="s">
        <v>11231</v>
      </c>
      <c r="AL63" s="2579">
        <f>SUMIFS(N30:N950,F30:F950,5,G30:G950,5)</f>
        <v>23.472000000000001</v>
      </c>
      <c r="AM63" s="2817"/>
    </row>
    <row r="64" spans="1:39" ht="30.5" x14ac:dyDescent="0.35">
      <c r="A64" s="295">
        <v>20</v>
      </c>
      <c r="B64" s="997">
        <v>10455</v>
      </c>
      <c r="C64" s="358" t="s">
        <v>1656</v>
      </c>
      <c r="D64" s="2466" t="s">
        <v>4759</v>
      </c>
      <c r="E64" s="312" t="s">
        <v>9249</v>
      </c>
      <c r="F64" s="1944" t="s">
        <v>827</v>
      </c>
      <c r="G64" s="1944">
        <v>5</v>
      </c>
      <c r="H64" s="1944">
        <v>6</v>
      </c>
      <c r="I64" s="297">
        <f>J64+K64+L64</f>
        <v>7.0000000000000007E-2</v>
      </c>
      <c r="J64" s="297">
        <f>SUM(M64:R64)</f>
        <v>7.0000000000000007E-2</v>
      </c>
      <c r="K64" s="297"/>
      <c r="L64" s="297"/>
      <c r="M64" s="297"/>
      <c r="N64" s="297"/>
      <c r="O64" s="302"/>
      <c r="P64" s="297"/>
      <c r="Q64" s="2369"/>
      <c r="R64" s="1498">
        <v>7.0000000000000007E-2</v>
      </c>
      <c r="S64" s="17"/>
      <c r="T64" s="234"/>
      <c r="U64" s="17"/>
      <c r="V64" s="17"/>
      <c r="W64" s="154"/>
      <c r="X64" s="154"/>
      <c r="Y64" s="164"/>
      <c r="Z64" s="58"/>
      <c r="AB64" s="3">
        <v>1</v>
      </c>
      <c r="AE64" s="2461"/>
      <c r="AF64" s="68"/>
      <c r="AK64" s="2815" t="s">
        <v>11232</v>
      </c>
      <c r="AL64" s="2579">
        <f>SUMIFS(O30:O950,F30:F950,5,G30:G950,5)</f>
        <v>0</v>
      </c>
      <c r="AM64" s="2817"/>
    </row>
    <row r="65" spans="1:39" ht="30.5" x14ac:dyDescent="0.35">
      <c r="A65" s="295">
        <v>21</v>
      </c>
      <c r="B65" s="998">
        <v>10455</v>
      </c>
      <c r="C65" s="358" t="s">
        <v>1656</v>
      </c>
      <c r="D65" s="2466" t="s">
        <v>4760</v>
      </c>
      <c r="E65" s="511" t="s">
        <v>8458</v>
      </c>
      <c r="F65" s="1138" t="s">
        <v>827</v>
      </c>
      <c r="G65" s="1944">
        <v>5</v>
      </c>
      <c r="H65" s="1944">
        <v>6</v>
      </c>
      <c r="I65" s="297">
        <f>J65+K65+L65</f>
        <v>0.17</v>
      </c>
      <c r="J65" s="297">
        <f>SUM(M65:R65)</f>
        <v>0.17</v>
      </c>
      <c r="K65" s="297"/>
      <c r="L65" s="297"/>
      <c r="M65" s="297"/>
      <c r="N65" s="297"/>
      <c r="O65" s="302"/>
      <c r="P65" s="297"/>
      <c r="Q65" s="2369"/>
      <c r="R65" s="1498">
        <v>0.17</v>
      </c>
      <c r="S65" s="17"/>
      <c r="T65" s="234"/>
      <c r="U65" s="17"/>
      <c r="V65" s="17"/>
      <c r="W65" s="154"/>
      <c r="X65" s="55"/>
      <c r="Y65" s="154"/>
      <c r="Z65" s="47"/>
      <c r="AB65" s="3">
        <v>1</v>
      </c>
      <c r="AE65" s="2461"/>
      <c r="AF65" s="68"/>
      <c r="AK65" s="2815" t="s">
        <v>11233</v>
      </c>
      <c r="AL65" s="2579">
        <f>SUMIFS(P30:P950,F30:F950,5,G30:G950,5)+SUMIFS(Q30:Q950,F30:F950,5,G30:G950,5)</f>
        <v>33.902999999999999</v>
      </c>
      <c r="AM65" s="2817"/>
    </row>
    <row r="66" spans="1:39" ht="30.5" x14ac:dyDescent="0.35">
      <c r="A66" s="295">
        <v>22</v>
      </c>
      <c r="B66" s="998">
        <v>10456</v>
      </c>
      <c r="C66" s="998"/>
      <c r="D66" s="824" t="s">
        <v>2453</v>
      </c>
      <c r="E66" s="288" t="s">
        <v>9773</v>
      </c>
      <c r="F66" s="1138">
        <v>4</v>
      </c>
      <c r="G66" s="1138">
        <v>4</v>
      </c>
      <c r="H66" s="1138">
        <v>6</v>
      </c>
      <c r="I66" s="297">
        <f t="shared" si="8"/>
        <v>13.612</v>
      </c>
      <c r="J66" s="297">
        <f t="shared" si="9"/>
        <v>13.612</v>
      </c>
      <c r="K66" s="297"/>
      <c r="L66" s="297"/>
      <c r="M66" s="297"/>
      <c r="N66" s="297">
        <v>13.612</v>
      </c>
      <c r="O66" s="618"/>
      <c r="P66" s="297"/>
      <c r="Q66" s="932"/>
      <c r="R66" s="925"/>
      <c r="S66" s="15">
        <v>1</v>
      </c>
      <c r="T66" s="233">
        <v>19.05</v>
      </c>
      <c r="U66" s="15"/>
      <c r="V66" s="15"/>
      <c r="W66" s="154">
        <v>18</v>
      </c>
      <c r="X66" s="55">
        <v>250.4</v>
      </c>
      <c r="Y66" s="154">
        <v>8</v>
      </c>
      <c r="Z66" s="47">
        <v>96</v>
      </c>
      <c r="AB66" s="3">
        <v>1</v>
      </c>
      <c r="AE66" s="2461"/>
      <c r="AF66" s="68"/>
      <c r="AK66" s="2815" t="s">
        <v>910</v>
      </c>
      <c r="AL66" s="2579">
        <f>SUMIFS(R30:R950,F30:F950,5,G30:G950,5)</f>
        <v>19.631999999999998</v>
      </c>
      <c r="AM66" s="2817"/>
    </row>
    <row r="67" spans="1:39" ht="45.5" x14ac:dyDescent="0.35">
      <c r="A67" s="295">
        <v>23</v>
      </c>
      <c r="B67" s="998">
        <v>10456</v>
      </c>
      <c r="C67" s="998"/>
      <c r="D67" s="2466" t="s">
        <v>4761</v>
      </c>
      <c r="E67" s="288" t="s">
        <v>9774</v>
      </c>
      <c r="F67" s="1138">
        <v>4</v>
      </c>
      <c r="G67" s="1138">
        <v>4</v>
      </c>
      <c r="H67" s="1138">
        <v>6</v>
      </c>
      <c r="I67" s="297">
        <f t="shared" si="8"/>
        <v>3.6240000000000001</v>
      </c>
      <c r="J67" s="297">
        <f t="shared" si="9"/>
        <v>3.6240000000000001</v>
      </c>
      <c r="K67" s="297"/>
      <c r="L67" s="297"/>
      <c r="M67" s="297"/>
      <c r="N67" s="297"/>
      <c r="O67" s="618"/>
      <c r="P67" s="297"/>
      <c r="Q67" s="932">
        <v>3.6240000000000001</v>
      </c>
      <c r="R67" s="925"/>
      <c r="S67" s="17"/>
      <c r="T67" s="234"/>
      <c r="U67" s="17"/>
      <c r="V67" s="17"/>
      <c r="W67" s="154">
        <v>11</v>
      </c>
      <c r="X67" s="55">
        <v>147.9</v>
      </c>
      <c r="Y67" s="164">
        <v>7</v>
      </c>
      <c r="Z67" s="460">
        <v>77.2</v>
      </c>
      <c r="AB67" s="3">
        <v>1</v>
      </c>
      <c r="AE67" s="2461"/>
      <c r="AF67" s="68"/>
      <c r="AK67" s="2818" t="s">
        <v>11234</v>
      </c>
      <c r="AL67" s="2821">
        <f>AL68+AL69+AL70+AL71+AL72</f>
        <v>96.03</v>
      </c>
      <c r="AM67" s="2820">
        <f>AL67-AH31-AI31-AJ31</f>
        <v>-7.1054273576010019E-15</v>
      </c>
    </row>
    <row r="68" spans="1:39" ht="30.5" x14ac:dyDescent="0.35">
      <c r="A68" s="295">
        <v>24</v>
      </c>
      <c r="B68" s="998">
        <v>10457</v>
      </c>
      <c r="C68" s="998"/>
      <c r="D68" s="293" t="s">
        <v>2455</v>
      </c>
      <c r="E68" s="288" t="s">
        <v>9775</v>
      </c>
      <c r="F68" s="1944">
        <v>4</v>
      </c>
      <c r="G68" s="1944">
        <v>4</v>
      </c>
      <c r="H68" s="1138">
        <v>6</v>
      </c>
      <c r="I68" s="297">
        <f t="shared" si="8"/>
        <v>9.093</v>
      </c>
      <c r="J68" s="297">
        <f t="shared" si="9"/>
        <v>9.093</v>
      </c>
      <c r="K68" s="297"/>
      <c r="L68" s="297"/>
      <c r="M68" s="297"/>
      <c r="N68" s="297">
        <v>9.093</v>
      </c>
      <c r="O68" s="618"/>
      <c r="P68" s="297"/>
      <c r="Q68" s="932"/>
      <c r="R68" s="925"/>
      <c r="S68" s="17">
        <v>1</v>
      </c>
      <c r="T68" s="234">
        <v>45.8</v>
      </c>
      <c r="U68" s="17"/>
      <c r="V68" s="17"/>
      <c r="W68" s="154">
        <v>10</v>
      </c>
      <c r="X68" s="154">
        <v>107</v>
      </c>
      <c r="Y68" s="154">
        <v>2</v>
      </c>
      <c r="Z68" s="47">
        <v>20</v>
      </c>
      <c r="AB68" s="3">
        <v>1</v>
      </c>
      <c r="AE68" s="2461"/>
      <c r="AF68" s="68"/>
      <c r="AK68" s="2815" t="s">
        <v>11230</v>
      </c>
      <c r="AL68" s="2579">
        <f>SUMIFS(M30:M950,F30:F950,"6а",G30:G950,5)+SUMIFS(M30:M950,F30:F950,"6б",G30:G950,5)+SUMIFS(M30:M950,F30:F950,"б/к",G30:G950,5)</f>
        <v>0</v>
      </c>
      <c r="AM68" s="2817"/>
    </row>
    <row r="69" spans="1:39" ht="45.5" x14ac:dyDescent="0.35">
      <c r="A69" s="295">
        <v>25</v>
      </c>
      <c r="B69" s="998">
        <v>10457</v>
      </c>
      <c r="C69" s="998"/>
      <c r="D69" s="2466" t="s">
        <v>4762</v>
      </c>
      <c r="E69" s="288" t="s">
        <v>9776</v>
      </c>
      <c r="F69" s="1138">
        <v>4</v>
      </c>
      <c r="G69" s="1138">
        <v>5</v>
      </c>
      <c r="H69" s="1138">
        <v>6</v>
      </c>
      <c r="I69" s="297">
        <f t="shared" si="8"/>
        <v>1.3</v>
      </c>
      <c r="J69" s="297">
        <f t="shared" si="9"/>
        <v>1.3</v>
      </c>
      <c r="K69" s="297"/>
      <c r="L69" s="297"/>
      <c r="M69" s="297"/>
      <c r="N69" s="297">
        <v>1.3</v>
      </c>
      <c r="O69" s="618"/>
      <c r="P69" s="297"/>
      <c r="Q69" s="932"/>
      <c r="R69" s="925"/>
      <c r="S69" s="17"/>
      <c r="T69" s="234"/>
      <c r="U69" s="17"/>
      <c r="V69" s="17"/>
      <c r="W69" s="154"/>
      <c r="X69" s="154"/>
      <c r="Y69" s="164"/>
      <c r="Z69" s="58"/>
      <c r="AA69" s="3" t="s">
        <v>761</v>
      </c>
      <c r="AB69" s="3">
        <v>1</v>
      </c>
      <c r="AE69" s="2461"/>
      <c r="AF69" s="68"/>
      <c r="AK69" s="2815" t="s">
        <v>11231</v>
      </c>
      <c r="AL69" s="2579">
        <f>SUMIFS(N30:N950,F30:F950,"6а",G30:G950,5)+SUMIFS(N30:N950,F30:F950,"6б",G30:G950,5)+SUMIFS(N30:N950,F30:F950,"б/к",G30:G950,5)</f>
        <v>3.9450000000000003</v>
      </c>
      <c r="AM69" s="2817"/>
    </row>
    <row r="70" spans="1:39" ht="30.5" x14ac:dyDescent="0.35">
      <c r="A70" s="295">
        <v>26</v>
      </c>
      <c r="B70" s="997">
        <v>10458</v>
      </c>
      <c r="C70" s="997"/>
      <c r="D70" s="293" t="s">
        <v>2879</v>
      </c>
      <c r="E70" s="288" t="s">
        <v>7118</v>
      </c>
      <c r="F70" s="1138"/>
      <c r="G70" s="1138" t="s">
        <v>191</v>
      </c>
      <c r="H70" s="1138" t="s">
        <v>191</v>
      </c>
      <c r="I70" s="297">
        <f t="shared" si="8"/>
        <v>22.895000000000003</v>
      </c>
      <c r="J70" s="297">
        <f t="shared" si="9"/>
        <v>22.895000000000003</v>
      </c>
      <c r="K70" s="297"/>
      <c r="L70" s="297"/>
      <c r="M70" s="297"/>
      <c r="N70" s="297">
        <f>SUM(N71:N75)</f>
        <v>20.181000000000001</v>
      </c>
      <c r="O70" s="618"/>
      <c r="P70" s="297"/>
      <c r="Q70" s="932">
        <f>SUM(Q71:Q75)</f>
        <v>2.7140000000000004</v>
      </c>
      <c r="R70" s="925"/>
      <c r="S70" s="17">
        <v>1</v>
      </c>
      <c r="T70" s="234">
        <v>9.9499999999999993</v>
      </c>
      <c r="U70" s="17"/>
      <c r="V70" s="17"/>
      <c r="W70" s="154">
        <v>39</v>
      </c>
      <c r="X70" s="55">
        <v>509.3</v>
      </c>
      <c r="Y70" s="154">
        <v>9</v>
      </c>
      <c r="Z70" s="55">
        <v>121</v>
      </c>
      <c r="AB70" s="3">
        <v>1</v>
      </c>
      <c r="AE70" s="2461"/>
      <c r="AF70" s="68"/>
      <c r="AK70" s="2815" t="s">
        <v>11232</v>
      </c>
      <c r="AL70" s="2579">
        <f>SUMIFS(O30:O950,F30:F950,"6а",G30:G950,5)+SUMIFS(O30:O950,F30:F950,"6б",G30:G950,5)+SUMIFS(O30:O950,F30:F950,"б/к",G30:G950,5)</f>
        <v>0</v>
      </c>
      <c r="AM70" s="2817"/>
    </row>
    <row r="71" spans="1:39" x14ac:dyDescent="0.35">
      <c r="A71" s="294"/>
      <c r="B71" s="997">
        <v>10458</v>
      </c>
      <c r="C71" s="997"/>
      <c r="D71" s="293"/>
      <c r="E71" s="289" t="s">
        <v>2475</v>
      </c>
      <c r="F71" s="1138">
        <v>4</v>
      </c>
      <c r="G71" s="1138">
        <v>4</v>
      </c>
      <c r="H71" s="1138">
        <v>6</v>
      </c>
      <c r="I71" s="298"/>
      <c r="J71" s="298"/>
      <c r="K71" s="298"/>
      <c r="L71" s="298"/>
      <c r="M71" s="298"/>
      <c r="N71" s="298">
        <v>12.8</v>
      </c>
      <c r="O71" s="620"/>
      <c r="P71" s="298"/>
      <c r="Q71" s="933"/>
      <c r="R71" s="927"/>
      <c r="S71" s="17"/>
      <c r="T71" s="234"/>
      <c r="U71" s="17"/>
      <c r="V71" s="17"/>
      <c r="W71" s="154"/>
      <c r="X71" s="55"/>
      <c r="Y71" s="154"/>
      <c r="Z71" s="47"/>
      <c r="AE71" s="2461"/>
      <c r="AF71" s="68"/>
      <c r="AK71" s="2815" t="s">
        <v>11233</v>
      </c>
      <c r="AL71" s="2579">
        <f>SUMIFS(P30:P950,F30:F950,"6а",G30:G950,5)+SUMIFS(Q30:Q950,F30:F950,"6а",G30:G950,5)+SUMIFS(P30:P950,F30:F950,"6б",G30:G950,5)+SUMIFS(Q30:Q950,F30:F950,"6б",G30:G950,5)+SUMIFS(P30:P950,F30:F950,"б/к",G30:G950,5)+SUMIFS(Q30:Q950,F30:F950,"б/к",G30:G950,5)</f>
        <v>11.342000000000001</v>
      </c>
      <c r="AM71" s="2817"/>
    </row>
    <row r="72" spans="1:39" x14ac:dyDescent="0.35">
      <c r="A72" s="294"/>
      <c r="B72" s="997">
        <v>10458</v>
      </c>
      <c r="C72" s="997"/>
      <c r="D72" s="293"/>
      <c r="E72" s="837" t="s">
        <v>2043</v>
      </c>
      <c r="F72" s="1138">
        <v>4</v>
      </c>
      <c r="G72" s="1138">
        <v>4</v>
      </c>
      <c r="H72" s="1138">
        <v>6</v>
      </c>
      <c r="I72" s="298"/>
      <c r="J72" s="298"/>
      <c r="K72" s="298"/>
      <c r="L72" s="298"/>
      <c r="M72" s="298"/>
      <c r="N72" s="298"/>
      <c r="O72" s="620"/>
      <c r="P72" s="298"/>
      <c r="Q72" s="933">
        <v>1.6</v>
      </c>
      <c r="R72" s="927"/>
      <c r="S72" s="17"/>
      <c r="T72" s="234"/>
      <c r="U72" s="17"/>
      <c r="V72" s="17"/>
      <c r="W72" s="154"/>
      <c r="X72" s="55"/>
      <c r="Y72" s="154"/>
      <c r="Z72" s="47"/>
      <c r="AE72" s="2461"/>
      <c r="AF72" s="68"/>
      <c r="AK72" s="2815" t="s">
        <v>910</v>
      </c>
      <c r="AL72" s="2579">
        <f>SUMIFS(R30:R950,F30:F950,"6а",G30:G950,5)+SUMIFS(R30:R950,F30:F950,"6б",G30:G950,5)+SUMIFS(R30:R950,F30:F950,"б/к",G30:G950,5)</f>
        <v>80.742999999999995</v>
      </c>
      <c r="AM72" s="2817"/>
    </row>
    <row r="73" spans="1:39" x14ac:dyDescent="0.35">
      <c r="A73" s="294"/>
      <c r="B73" s="997">
        <v>10458</v>
      </c>
      <c r="C73" s="997"/>
      <c r="D73" s="293"/>
      <c r="E73" s="289" t="s">
        <v>2044</v>
      </c>
      <c r="F73" s="1138">
        <v>4</v>
      </c>
      <c r="G73" s="1138">
        <v>4</v>
      </c>
      <c r="H73" s="1138">
        <v>6</v>
      </c>
      <c r="I73" s="298"/>
      <c r="J73" s="298"/>
      <c r="K73" s="298"/>
      <c r="L73" s="298"/>
      <c r="M73" s="298"/>
      <c r="N73" s="298">
        <v>1</v>
      </c>
      <c r="O73" s="620"/>
      <c r="P73" s="298"/>
      <c r="Q73" s="933"/>
      <c r="R73" s="927"/>
      <c r="S73" s="17"/>
      <c r="T73" s="234"/>
      <c r="U73" s="17"/>
      <c r="V73" s="17"/>
      <c r="W73" s="154"/>
      <c r="X73" s="55"/>
      <c r="Y73" s="154"/>
      <c r="Z73" s="47"/>
      <c r="AE73" s="2461"/>
      <c r="AF73" s="68"/>
      <c r="AK73" s="2815"/>
      <c r="AL73" s="2579"/>
      <c r="AM73" s="2817"/>
    </row>
    <row r="74" spans="1:39" x14ac:dyDescent="0.35">
      <c r="A74" s="294"/>
      <c r="B74" s="997">
        <v>10458</v>
      </c>
      <c r="C74" s="997"/>
      <c r="D74" s="293"/>
      <c r="E74" s="837" t="s">
        <v>2045</v>
      </c>
      <c r="F74" s="1138">
        <v>4</v>
      </c>
      <c r="G74" s="1138">
        <v>4</v>
      </c>
      <c r="H74" s="1138">
        <v>6</v>
      </c>
      <c r="I74" s="298"/>
      <c r="J74" s="298"/>
      <c r="K74" s="298"/>
      <c r="L74" s="298"/>
      <c r="M74" s="298"/>
      <c r="N74" s="298"/>
      <c r="O74" s="620"/>
      <c r="P74" s="298"/>
      <c r="Q74" s="933">
        <v>1.1140000000000001</v>
      </c>
      <c r="R74" s="927"/>
      <c r="S74" s="17"/>
      <c r="T74" s="234"/>
      <c r="U74" s="17"/>
      <c r="V74" s="17"/>
      <c r="W74" s="154"/>
      <c r="X74" s="55"/>
      <c r="Y74" s="154"/>
      <c r="Z74" s="47"/>
      <c r="AE74" s="2461"/>
      <c r="AF74" s="68"/>
      <c r="AK74" s="2822" t="s">
        <v>11237</v>
      </c>
      <c r="AL74" s="2823">
        <f>AL11+AL32+AL53</f>
        <v>454.34499999999997</v>
      </c>
      <c r="AM74" s="2824">
        <f>AL74-J10</f>
        <v>0</v>
      </c>
    </row>
    <row r="75" spans="1:39" x14ac:dyDescent="0.35">
      <c r="A75" s="294"/>
      <c r="B75" s="997">
        <v>10458</v>
      </c>
      <c r="C75" s="997"/>
      <c r="D75" s="293"/>
      <c r="E75" s="289" t="s">
        <v>2469</v>
      </c>
      <c r="F75" s="1138">
        <v>4</v>
      </c>
      <c r="G75" s="1138">
        <v>4</v>
      </c>
      <c r="H75" s="1138">
        <v>6</v>
      </c>
      <c r="I75" s="298"/>
      <c r="J75" s="298"/>
      <c r="K75" s="298"/>
      <c r="L75" s="298"/>
      <c r="M75" s="298"/>
      <c r="N75" s="298">
        <v>6.3810000000000002</v>
      </c>
      <c r="O75" s="620"/>
      <c r="P75" s="298"/>
      <c r="Q75" s="933"/>
      <c r="R75" s="927"/>
      <c r="S75" s="17"/>
      <c r="T75" s="234"/>
      <c r="U75" s="17"/>
      <c r="V75" s="17"/>
      <c r="W75" s="154"/>
      <c r="X75" s="55"/>
      <c r="Y75" s="154"/>
      <c r="Z75" s="47"/>
      <c r="AE75" s="2461"/>
      <c r="AF75" s="68"/>
      <c r="AK75" s="2825" t="s">
        <v>11238</v>
      </c>
      <c r="AL75" s="2826">
        <f>AL34+AL55+AL13</f>
        <v>276.32799999999997</v>
      </c>
      <c r="AM75" s="2827">
        <f>AL75-J12</f>
        <v>0</v>
      </c>
    </row>
    <row r="76" spans="1:39" ht="30.5" x14ac:dyDescent="0.35">
      <c r="A76" s="294">
        <v>27</v>
      </c>
      <c r="B76" s="997">
        <v>10458</v>
      </c>
      <c r="C76" s="997"/>
      <c r="D76" s="2466" t="s">
        <v>4763</v>
      </c>
      <c r="E76" s="288" t="s">
        <v>7696</v>
      </c>
      <c r="F76" s="1138"/>
      <c r="G76" s="1138" t="s">
        <v>191</v>
      </c>
      <c r="H76" s="1138" t="s">
        <v>191</v>
      </c>
      <c r="I76" s="297">
        <f>J76+K76+L76</f>
        <v>2.85</v>
      </c>
      <c r="J76" s="297">
        <f>SUM(M76:R76)</f>
        <v>2.85</v>
      </c>
      <c r="K76" s="297"/>
      <c r="L76" s="297"/>
      <c r="M76" s="297"/>
      <c r="N76" s="297">
        <f>SUM(N77:N78)</f>
        <v>2.85</v>
      </c>
      <c r="O76" s="618"/>
      <c r="P76" s="297"/>
      <c r="Q76" s="932"/>
      <c r="R76" s="925"/>
      <c r="S76" s="17"/>
      <c r="T76" s="234"/>
      <c r="U76" s="17"/>
      <c r="V76" s="17"/>
      <c r="W76" s="154">
        <v>3</v>
      </c>
      <c r="X76" s="55">
        <v>42.1</v>
      </c>
      <c r="Y76" s="164"/>
      <c r="Z76" s="58"/>
      <c r="AB76" s="3">
        <v>1</v>
      </c>
      <c r="AE76" s="2461"/>
      <c r="AF76" s="68"/>
      <c r="AK76" s="2828" t="s">
        <v>11239</v>
      </c>
      <c r="AL76" s="2826">
        <f>AL19+AL40+AL61</f>
        <v>81.987000000000009</v>
      </c>
      <c r="AM76" s="2827">
        <f>AL76-J13</f>
        <v>0</v>
      </c>
    </row>
    <row r="77" spans="1:39" x14ac:dyDescent="0.35">
      <c r="A77" s="294"/>
      <c r="B77" s="997">
        <v>10458</v>
      </c>
      <c r="C77" s="997"/>
      <c r="D77" s="293"/>
      <c r="E77" s="289" t="s">
        <v>1074</v>
      </c>
      <c r="F77" s="1138">
        <v>5</v>
      </c>
      <c r="G77" s="1138">
        <v>4</v>
      </c>
      <c r="H77" s="1138">
        <v>6</v>
      </c>
      <c r="I77" s="298"/>
      <c r="J77" s="298"/>
      <c r="K77" s="298"/>
      <c r="L77" s="298"/>
      <c r="M77" s="298"/>
      <c r="N77" s="298">
        <v>0.4</v>
      </c>
      <c r="O77" s="620"/>
      <c r="P77" s="298"/>
      <c r="Q77" s="933"/>
      <c r="R77" s="927"/>
      <c r="S77" s="17"/>
      <c r="T77" s="234"/>
      <c r="U77" s="17"/>
      <c r="V77" s="17"/>
      <c r="W77" s="154"/>
      <c r="X77" s="55"/>
      <c r="Y77" s="164"/>
      <c r="Z77" s="58"/>
      <c r="AE77" s="2461"/>
      <c r="AF77" s="68"/>
      <c r="AK77" s="2828" t="s">
        <v>11240</v>
      </c>
      <c r="AL77" s="2826">
        <f>AL25+AL46+AL67</f>
        <v>96.03</v>
      </c>
      <c r="AM77" s="2827">
        <f>AL77-J14</f>
        <v>0</v>
      </c>
    </row>
    <row r="78" spans="1:39" x14ac:dyDescent="0.35">
      <c r="A78" s="294"/>
      <c r="B78" s="997">
        <v>10458</v>
      </c>
      <c r="C78" s="997"/>
      <c r="D78" s="293"/>
      <c r="E78" s="289" t="s">
        <v>915</v>
      </c>
      <c r="F78" s="1138">
        <v>4</v>
      </c>
      <c r="G78" s="1138">
        <v>4</v>
      </c>
      <c r="H78" s="1138">
        <v>6</v>
      </c>
      <c r="I78" s="298"/>
      <c r="J78" s="298"/>
      <c r="K78" s="298"/>
      <c r="L78" s="298"/>
      <c r="M78" s="298"/>
      <c r="N78" s="298">
        <f>2.85-0.4</f>
        <v>2.4500000000000002</v>
      </c>
      <c r="O78" s="620"/>
      <c r="P78" s="298"/>
      <c r="Q78" s="933"/>
      <c r="R78" s="927"/>
      <c r="S78" s="17"/>
      <c r="T78" s="234"/>
      <c r="U78" s="17"/>
      <c r="V78" s="17"/>
      <c r="W78" s="154"/>
      <c r="X78" s="55"/>
      <c r="Y78" s="164"/>
      <c r="Z78" s="58"/>
      <c r="AE78" s="2461"/>
      <c r="AF78" s="68"/>
    </row>
    <row r="79" spans="1:39" ht="45" x14ac:dyDescent="0.35">
      <c r="A79" s="693">
        <v>28</v>
      </c>
      <c r="B79" s="693">
        <v>10458</v>
      </c>
      <c r="C79" s="997" t="s">
        <v>1656</v>
      </c>
      <c r="D79" s="2466" t="s">
        <v>4764</v>
      </c>
      <c r="E79" s="2187" t="s">
        <v>8459</v>
      </c>
      <c r="F79" s="1138" t="s">
        <v>827</v>
      </c>
      <c r="G79" s="92">
        <v>5</v>
      </c>
      <c r="H79" s="1944">
        <v>6</v>
      </c>
      <c r="I79" s="702">
        <f>J79+K79+L79</f>
        <v>0.7</v>
      </c>
      <c r="J79" s="702">
        <f>SUM(M79:R79)</f>
        <v>0.7</v>
      </c>
      <c r="K79" s="46"/>
      <c r="L79" s="46"/>
      <c r="M79" s="46"/>
      <c r="N79" s="46"/>
      <c r="O79" s="46"/>
      <c r="P79" s="46"/>
      <c r="Q79" s="46"/>
      <c r="R79" s="906">
        <v>0.7</v>
      </c>
      <c r="S79" s="106"/>
      <c r="T79" s="106"/>
      <c r="U79" s="106"/>
      <c r="V79" s="106"/>
      <c r="W79" s="105"/>
      <c r="X79" s="105"/>
      <c r="Y79" s="105"/>
      <c r="Z79" s="181"/>
      <c r="AB79" s="3">
        <v>1</v>
      </c>
      <c r="AE79" s="2461"/>
      <c r="AF79" s="68"/>
    </row>
    <row r="80" spans="1:39" x14ac:dyDescent="0.35">
      <c r="A80" s="294">
        <v>29</v>
      </c>
      <c r="B80" s="997">
        <v>10459</v>
      </c>
      <c r="C80" s="997"/>
      <c r="D80" s="293" t="s">
        <v>2880</v>
      </c>
      <c r="E80" s="288" t="s">
        <v>2470</v>
      </c>
      <c r="F80" s="1138"/>
      <c r="G80" s="1138" t="s">
        <v>191</v>
      </c>
      <c r="H80" s="1138" t="s">
        <v>191</v>
      </c>
      <c r="I80" s="297">
        <f>J80+K80+L80</f>
        <v>19.774999999999999</v>
      </c>
      <c r="J80" s="297">
        <f>SUM(M80:R80)</f>
        <v>19.774999999999999</v>
      </c>
      <c r="K80" s="297"/>
      <c r="L80" s="297"/>
      <c r="M80" s="297"/>
      <c r="N80" s="297">
        <f>SUM(N81:N87)</f>
        <v>10.135</v>
      </c>
      <c r="O80" s="618"/>
      <c r="P80" s="297"/>
      <c r="Q80" s="932">
        <f>SUM(Q81:Q87)</f>
        <v>9.64</v>
      </c>
      <c r="R80" s="925"/>
      <c r="S80" s="17"/>
      <c r="T80" s="234"/>
      <c r="U80" s="17"/>
      <c r="V80" s="17"/>
      <c r="W80" s="154">
        <v>31</v>
      </c>
      <c r="X80" s="55">
        <v>385.2</v>
      </c>
      <c r="Y80" s="154">
        <v>8</v>
      </c>
      <c r="Z80" s="47">
        <v>80</v>
      </c>
      <c r="AB80" s="3">
        <v>1</v>
      </c>
      <c r="AE80" s="2461"/>
      <c r="AF80" s="68"/>
    </row>
    <row r="81" spans="1:32" x14ac:dyDescent="0.35">
      <c r="A81" s="294"/>
      <c r="B81" s="997">
        <v>10459</v>
      </c>
      <c r="C81" s="997"/>
      <c r="D81" s="293"/>
      <c r="E81" s="289" t="s">
        <v>3452</v>
      </c>
      <c r="F81" s="1138">
        <v>4</v>
      </c>
      <c r="G81" s="1138">
        <v>4</v>
      </c>
      <c r="H81" s="1138">
        <v>6</v>
      </c>
      <c r="I81" s="297"/>
      <c r="J81" s="297"/>
      <c r="K81" s="297"/>
      <c r="L81" s="297"/>
      <c r="M81" s="297"/>
      <c r="N81" s="298">
        <v>6.45</v>
      </c>
      <c r="O81" s="620"/>
      <c r="P81" s="298"/>
      <c r="Q81" s="933"/>
      <c r="R81" s="925"/>
      <c r="S81" s="17"/>
      <c r="T81" s="234"/>
      <c r="U81" s="17"/>
      <c r="V81" s="17"/>
      <c r="W81" s="154"/>
      <c r="X81" s="55"/>
      <c r="Y81" s="154"/>
      <c r="Z81" s="47"/>
      <c r="AE81" s="2461"/>
      <c r="AF81" s="68"/>
    </row>
    <row r="82" spans="1:32" x14ac:dyDescent="0.35">
      <c r="A82" s="294"/>
      <c r="B82" s="997">
        <v>10459</v>
      </c>
      <c r="C82" s="997"/>
      <c r="D82" s="293"/>
      <c r="E82" s="837" t="s">
        <v>3453</v>
      </c>
      <c r="F82" s="1138">
        <v>4</v>
      </c>
      <c r="G82" s="1138">
        <v>4</v>
      </c>
      <c r="H82" s="1138">
        <v>6</v>
      </c>
      <c r="I82" s="297"/>
      <c r="J82" s="297"/>
      <c r="K82" s="297"/>
      <c r="L82" s="297"/>
      <c r="M82" s="297"/>
      <c r="N82" s="298"/>
      <c r="O82" s="620"/>
      <c r="P82" s="298"/>
      <c r="Q82" s="933">
        <f>8.88-6.45</f>
        <v>2.4300000000000006</v>
      </c>
      <c r="R82" s="925"/>
      <c r="S82" s="17"/>
      <c r="T82" s="234"/>
      <c r="U82" s="17"/>
      <c r="V82" s="17"/>
      <c r="W82" s="154"/>
      <c r="X82" s="55"/>
      <c r="Y82" s="154"/>
      <c r="Z82" s="47"/>
      <c r="AE82" s="2461"/>
      <c r="AF82" s="68"/>
    </row>
    <row r="83" spans="1:32" x14ac:dyDescent="0.35">
      <c r="A83" s="294"/>
      <c r="B83" s="997">
        <v>10459</v>
      </c>
      <c r="C83" s="997"/>
      <c r="D83" s="293"/>
      <c r="E83" s="289" t="s">
        <v>659</v>
      </c>
      <c r="F83" s="1138">
        <v>4</v>
      </c>
      <c r="G83" s="1138">
        <v>4</v>
      </c>
      <c r="H83" s="1138">
        <v>6</v>
      </c>
      <c r="I83" s="297"/>
      <c r="J83" s="297"/>
      <c r="K83" s="297"/>
      <c r="L83" s="297"/>
      <c r="M83" s="297"/>
      <c r="N83" s="298">
        <f>10.7-8.88</f>
        <v>1.8199999999999985</v>
      </c>
      <c r="O83" s="620"/>
      <c r="P83" s="298"/>
      <c r="Q83" s="933"/>
      <c r="R83" s="925"/>
      <c r="S83" s="17"/>
      <c r="T83" s="234"/>
      <c r="U83" s="17"/>
      <c r="V83" s="17"/>
      <c r="W83" s="154"/>
      <c r="X83" s="55"/>
      <c r="Y83" s="154"/>
      <c r="Z83" s="47"/>
      <c r="AE83" s="2461"/>
      <c r="AF83" s="68"/>
    </row>
    <row r="84" spans="1:32" x14ac:dyDescent="0.35">
      <c r="A84" s="294"/>
      <c r="B84" s="997">
        <v>10459</v>
      </c>
      <c r="C84" s="997"/>
      <c r="D84" s="293"/>
      <c r="E84" s="837" t="s">
        <v>660</v>
      </c>
      <c r="F84" s="1138">
        <v>4</v>
      </c>
      <c r="G84" s="1138">
        <v>4</v>
      </c>
      <c r="H84" s="1138">
        <v>6</v>
      </c>
      <c r="I84" s="297"/>
      <c r="J84" s="297"/>
      <c r="K84" s="297"/>
      <c r="L84" s="297"/>
      <c r="M84" s="297"/>
      <c r="N84" s="298"/>
      <c r="O84" s="620"/>
      <c r="P84" s="298"/>
      <c r="Q84" s="933">
        <f>11.45-10.7</f>
        <v>0.75</v>
      </c>
      <c r="R84" s="925"/>
      <c r="S84" s="17"/>
      <c r="T84" s="234"/>
      <c r="U84" s="17"/>
      <c r="V84" s="17"/>
      <c r="W84" s="154"/>
      <c r="X84" s="55"/>
      <c r="Y84" s="154"/>
      <c r="Z84" s="47"/>
      <c r="AE84" s="2461"/>
      <c r="AF84" s="68"/>
    </row>
    <row r="85" spans="1:32" x14ac:dyDescent="0.35">
      <c r="A85" s="294"/>
      <c r="B85" s="997">
        <v>10459</v>
      </c>
      <c r="C85" s="997"/>
      <c r="D85" s="293"/>
      <c r="E85" s="289" t="s">
        <v>661</v>
      </c>
      <c r="F85" s="1138">
        <v>4</v>
      </c>
      <c r="G85" s="1138">
        <v>4</v>
      </c>
      <c r="H85" s="1138">
        <v>6</v>
      </c>
      <c r="I85" s="297"/>
      <c r="J85" s="297"/>
      <c r="K85" s="297"/>
      <c r="L85" s="297"/>
      <c r="M85" s="297"/>
      <c r="N85" s="298">
        <f>12.5-11.45</f>
        <v>1.0500000000000007</v>
      </c>
      <c r="O85" s="620"/>
      <c r="P85" s="298"/>
      <c r="Q85" s="933"/>
      <c r="R85" s="925"/>
      <c r="S85" s="17"/>
      <c r="T85" s="234"/>
      <c r="U85" s="17"/>
      <c r="V85" s="17"/>
      <c r="W85" s="154"/>
      <c r="X85" s="55"/>
      <c r="Y85" s="154"/>
      <c r="Z85" s="47"/>
      <c r="AE85" s="2461"/>
      <c r="AF85" s="68"/>
    </row>
    <row r="86" spans="1:32" x14ac:dyDescent="0.35">
      <c r="A86" s="294"/>
      <c r="B86" s="997">
        <v>10459</v>
      </c>
      <c r="C86" s="997"/>
      <c r="D86" s="293"/>
      <c r="E86" s="837" t="s">
        <v>1110</v>
      </c>
      <c r="F86" s="1138">
        <v>4</v>
      </c>
      <c r="G86" s="1138">
        <v>4</v>
      </c>
      <c r="H86" s="1138">
        <v>6</v>
      </c>
      <c r="I86" s="297"/>
      <c r="J86" s="297"/>
      <c r="K86" s="297"/>
      <c r="L86" s="297"/>
      <c r="M86" s="297"/>
      <c r="N86" s="298"/>
      <c r="O86" s="620"/>
      <c r="P86" s="298"/>
      <c r="Q86" s="933">
        <v>6.46</v>
      </c>
      <c r="R86" s="925"/>
      <c r="S86" s="17"/>
      <c r="T86" s="234"/>
      <c r="U86" s="17"/>
      <c r="V86" s="17"/>
      <c r="W86" s="154"/>
      <c r="X86" s="55"/>
      <c r="Y86" s="154"/>
      <c r="Z86" s="47"/>
      <c r="AE86" s="2461"/>
      <c r="AF86" s="68"/>
    </row>
    <row r="87" spans="1:32" x14ac:dyDescent="0.35">
      <c r="A87" s="294"/>
      <c r="B87" s="997">
        <v>10459</v>
      </c>
      <c r="C87" s="997"/>
      <c r="D87" s="293"/>
      <c r="E87" s="289" t="s">
        <v>851</v>
      </c>
      <c r="F87" s="1138">
        <v>4</v>
      </c>
      <c r="G87" s="1138">
        <v>4</v>
      </c>
      <c r="H87" s="1138">
        <v>6</v>
      </c>
      <c r="I87" s="297"/>
      <c r="J87" s="297"/>
      <c r="K87" s="297"/>
      <c r="L87" s="297"/>
      <c r="M87" s="297"/>
      <c r="N87" s="298">
        <v>0.81499999999999995</v>
      </c>
      <c r="O87" s="620"/>
      <c r="P87" s="298"/>
      <c r="Q87" s="933"/>
      <c r="R87" s="925"/>
      <c r="S87" s="17"/>
      <c r="T87" s="234"/>
      <c r="U87" s="17"/>
      <c r="V87" s="17"/>
      <c r="W87" s="154"/>
      <c r="X87" s="55"/>
      <c r="Y87" s="154"/>
      <c r="Z87" s="47"/>
      <c r="AE87" s="2461"/>
      <c r="AF87" s="68"/>
    </row>
    <row r="88" spans="1:32" ht="30.5" x14ac:dyDescent="0.35">
      <c r="A88" s="295">
        <v>30</v>
      </c>
      <c r="B88" s="997">
        <v>10459</v>
      </c>
      <c r="C88" s="358" t="s">
        <v>1656</v>
      </c>
      <c r="D88" s="2466" t="s">
        <v>4765</v>
      </c>
      <c r="E88" s="511" t="s">
        <v>8460</v>
      </c>
      <c r="F88" s="1138" t="s">
        <v>827</v>
      </c>
      <c r="G88" s="1944">
        <v>5</v>
      </c>
      <c r="H88" s="1944">
        <v>6</v>
      </c>
      <c r="I88" s="297">
        <f>J88+K88+L88</f>
        <v>0.5</v>
      </c>
      <c r="J88" s="297">
        <f>SUM(M88:R88)</f>
        <v>0.5</v>
      </c>
      <c r="K88" s="297"/>
      <c r="L88" s="297"/>
      <c r="M88" s="297"/>
      <c r="N88" s="297"/>
      <c r="O88" s="302"/>
      <c r="P88" s="297"/>
      <c r="Q88" s="2369"/>
      <c r="R88" s="1498">
        <v>0.5</v>
      </c>
      <c r="S88" s="17"/>
      <c r="T88" s="234"/>
      <c r="U88" s="17"/>
      <c r="V88" s="17"/>
      <c r="W88" s="154"/>
      <c r="X88" s="55"/>
      <c r="Y88" s="154"/>
      <c r="Z88" s="47"/>
      <c r="AB88" s="3">
        <v>1</v>
      </c>
      <c r="AE88" s="2461"/>
      <c r="AF88" s="68"/>
    </row>
    <row r="89" spans="1:32" x14ac:dyDescent="0.35">
      <c r="A89" s="294">
        <v>31</v>
      </c>
      <c r="B89" s="997">
        <v>10460</v>
      </c>
      <c r="C89" s="997"/>
      <c r="D89" s="293" t="s">
        <v>1703</v>
      </c>
      <c r="E89" s="288" t="s">
        <v>852</v>
      </c>
      <c r="F89" s="1138"/>
      <c r="G89" s="1138" t="s">
        <v>191</v>
      </c>
      <c r="H89" s="1138" t="s">
        <v>191</v>
      </c>
      <c r="I89" s="297">
        <f>J89+K89+L89</f>
        <v>14.849999999999998</v>
      </c>
      <c r="J89" s="297">
        <f>SUM(M89:R89)</f>
        <v>14.849999999999998</v>
      </c>
      <c r="K89" s="297"/>
      <c r="L89" s="297"/>
      <c r="M89" s="297"/>
      <c r="N89" s="297">
        <f>SUM(N90:N93)</f>
        <v>9.3379999999999992</v>
      </c>
      <c r="O89" s="618"/>
      <c r="P89" s="297"/>
      <c r="Q89" s="932">
        <f>SUM(Q90:Q93)</f>
        <v>5.5119999999999996</v>
      </c>
      <c r="R89" s="925"/>
      <c r="S89" s="15">
        <v>2</v>
      </c>
      <c r="T89" s="233">
        <v>18.75</v>
      </c>
      <c r="U89" s="15"/>
      <c r="V89" s="15"/>
      <c r="W89" s="154">
        <v>30</v>
      </c>
      <c r="X89" s="55">
        <v>417.9</v>
      </c>
      <c r="Y89" s="154">
        <v>14</v>
      </c>
      <c r="Z89" s="47">
        <v>190</v>
      </c>
      <c r="AB89" s="3">
        <v>1</v>
      </c>
      <c r="AE89" s="2461"/>
      <c r="AF89" s="68"/>
    </row>
    <row r="90" spans="1:32" ht="46.5" x14ac:dyDescent="0.35">
      <c r="A90" s="294"/>
      <c r="B90" s="997">
        <v>10460</v>
      </c>
      <c r="C90" s="997"/>
      <c r="D90" s="293"/>
      <c r="E90" s="289" t="s">
        <v>9988</v>
      </c>
      <c r="F90" s="1138"/>
      <c r="G90" s="1138" t="s">
        <v>191</v>
      </c>
      <c r="H90" s="1138" t="s">
        <v>191</v>
      </c>
      <c r="I90" s="297"/>
      <c r="J90" s="297"/>
      <c r="K90" s="297"/>
      <c r="L90" s="297"/>
      <c r="M90" s="297"/>
      <c r="N90" s="297"/>
      <c r="O90" s="618"/>
      <c r="P90" s="297"/>
      <c r="Q90" s="932"/>
      <c r="R90" s="925"/>
      <c r="S90" s="15"/>
      <c r="T90" s="233"/>
      <c r="U90" s="15"/>
      <c r="V90" s="15"/>
      <c r="W90" s="154"/>
      <c r="X90" s="55"/>
      <c r="Y90" s="154"/>
      <c r="Z90" s="47"/>
      <c r="AE90" s="2461"/>
      <c r="AF90" s="68"/>
    </row>
    <row r="91" spans="1:32" x14ac:dyDescent="0.35">
      <c r="A91" s="294"/>
      <c r="B91" s="997">
        <v>10460</v>
      </c>
      <c r="C91" s="997"/>
      <c r="D91" s="293"/>
      <c r="E91" s="289" t="s">
        <v>3284</v>
      </c>
      <c r="F91" s="1138">
        <v>4</v>
      </c>
      <c r="G91" s="1138">
        <v>4</v>
      </c>
      <c r="H91" s="1138">
        <v>10</v>
      </c>
      <c r="I91" s="298"/>
      <c r="J91" s="298"/>
      <c r="K91" s="298"/>
      <c r="L91" s="298"/>
      <c r="M91" s="298"/>
      <c r="N91" s="298">
        <v>2.5</v>
      </c>
      <c r="O91" s="620"/>
      <c r="P91" s="298"/>
      <c r="Q91" s="933"/>
      <c r="R91" s="927"/>
      <c r="S91" s="15"/>
      <c r="T91" s="233"/>
      <c r="U91" s="15"/>
      <c r="V91" s="15"/>
      <c r="W91" s="154"/>
      <c r="X91" s="55"/>
      <c r="Y91" s="154"/>
      <c r="Z91" s="47"/>
      <c r="AE91" s="2461"/>
      <c r="AF91" s="68"/>
    </row>
    <row r="92" spans="1:32" x14ac:dyDescent="0.35">
      <c r="A92" s="294"/>
      <c r="B92" s="997">
        <v>10460</v>
      </c>
      <c r="C92" s="997"/>
      <c r="D92" s="293"/>
      <c r="E92" s="289" t="s">
        <v>139</v>
      </c>
      <c r="F92" s="1138">
        <v>4</v>
      </c>
      <c r="G92" s="1138">
        <v>4</v>
      </c>
      <c r="H92" s="1138">
        <v>6</v>
      </c>
      <c r="I92" s="298"/>
      <c r="J92" s="298"/>
      <c r="K92" s="298"/>
      <c r="L92" s="298"/>
      <c r="M92" s="298"/>
      <c r="N92" s="298">
        <f>9.338-2.5</f>
        <v>6.8379999999999992</v>
      </c>
      <c r="O92" s="620"/>
      <c r="P92" s="298"/>
      <c r="Q92" s="933"/>
      <c r="R92" s="927"/>
      <c r="S92" s="15"/>
      <c r="T92" s="233"/>
      <c r="U92" s="15"/>
      <c r="V92" s="15"/>
      <c r="W92" s="154"/>
      <c r="X92" s="55"/>
      <c r="Y92" s="154"/>
      <c r="Z92" s="47"/>
      <c r="AE92" s="2461"/>
      <c r="AF92" s="68"/>
    </row>
    <row r="93" spans="1:32" x14ac:dyDescent="0.35">
      <c r="A93" s="294"/>
      <c r="B93" s="997">
        <v>10460</v>
      </c>
      <c r="C93" s="997"/>
      <c r="D93" s="293"/>
      <c r="E93" s="837" t="s">
        <v>496</v>
      </c>
      <c r="F93" s="1138">
        <v>4</v>
      </c>
      <c r="G93" s="1138">
        <v>5</v>
      </c>
      <c r="H93" s="1138">
        <v>6</v>
      </c>
      <c r="I93" s="298"/>
      <c r="J93" s="298"/>
      <c r="K93" s="298"/>
      <c r="L93" s="298"/>
      <c r="M93" s="298"/>
      <c r="N93" s="298"/>
      <c r="O93" s="620"/>
      <c r="P93" s="298"/>
      <c r="Q93" s="933">
        <v>5.5119999999999996</v>
      </c>
      <c r="R93" s="927"/>
      <c r="S93" s="15"/>
      <c r="T93" s="233"/>
      <c r="U93" s="15"/>
      <c r="V93" s="15"/>
      <c r="W93" s="154"/>
      <c r="X93" s="55"/>
      <c r="Y93" s="154"/>
      <c r="Z93" s="47"/>
      <c r="AE93" s="2461"/>
      <c r="AF93" s="68"/>
    </row>
    <row r="94" spans="1:32" ht="30.5" x14ac:dyDescent="0.35">
      <c r="A94" s="294">
        <v>32</v>
      </c>
      <c r="B94" s="997">
        <v>10460</v>
      </c>
      <c r="C94" s="997"/>
      <c r="D94" s="2466" t="s">
        <v>4766</v>
      </c>
      <c r="E94" s="288" t="s">
        <v>7697</v>
      </c>
      <c r="F94" s="1138"/>
      <c r="G94" s="1138" t="s">
        <v>191</v>
      </c>
      <c r="H94" s="1138" t="s">
        <v>191</v>
      </c>
      <c r="I94" s="297">
        <f>J94+K94+L94</f>
        <v>7.9849999999999994</v>
      </c>
      <c r="J94" s="297">
        <f>SUM(M94:R94)</f>
        <v>7.9849999999999994</v>
      </c>
      <c r="K94" s="297"/>
      <c r="L94" s="297"/>
      <c r="M94" s="297"/>
      <c r="N94" s="297"/>
      <c r="O94" s="618"/>
      <c r="P94" s="297"/>
      <c r="Q94" s="932">
        <f>SUM(Q95:Q96)</f>
        <v>3.56</v>
      </c>
      <c r="R94" s="925">
        <f>SUM(R95:R96)</f>
        <v>4.4249999999999998</v>
      </c>
      <c r="S94" s="17"/>
      <c r="T94" s="234"/>
      <c r="U94" s="17"/>
      <c r="V94" s="17"/>
      <c r="W94" s="154">
        <v>5</v>
      </c>
      <c r="X94" s="55">
        <v>50.5</v>
      </c>
      <c r="Y94" s="164"/>
      <c r="Z94" s="58"/>
      <c r="AB94" s="3">
        <v>1</v>
      </c>
      <c r="AE94" s="2461"/>
      <c r="AF94" s="68"/>
    </row>
    <row r="95" spans="1:32" x14ac:dyDescent="0.35">
      <c r="A95" s="294"/>
      <c r="B95" s="997">
        <v>10460</v>
      </c>
      <c r="C95" s="997"/>
      <c r="D95" s="293"/>
      <c r="E95" s="837" t="s">
        <v>497</v>
      </c>
      <c r="F95" s="1138" t="s">
        <v>827</v>
      </c>
      <c r="G95" s="1138">
        <v>5</v>
      </c>
      <c r="H95" s="1138">
        <v>6</v>
      </c>
      <c r="I95" s="298"/>
      <c r="J95" s="298"/>
      <c r="K95" s="298"/>
      <c r="L95" s="298"/>
      <c r="M95" s="298"/>
      <c r="N95" s="298"/>
      <c r="O95" s="620"/>
      <c r="P95" s="298"/>
      <c r="Q95" s="933">
        <v>3.56</v>
      </c>
      <c r="R95" s="927"/>
      <c r="S95" s="17"/>
      <c r="T95" s="234"/>
      <c r="U95" s="17"/>
      <c r="V95" s="17"/>
      <c r="W95" s="154"/>
      <c r="X95" s="55"/>
      <c r="Y95" s="164"/>
      <c r="Z95" s="58"/>
      <c r="AE95" s="2461"/>
      <c r="AF95" s="68"/>
    </row>
    <row r="96" spans="1:32" x14ac:dyDescent="0.35">
      <c r="A96" s="294"/>
      <c r="B96" s="997">
        <v>10460</v>
      </c>
      <c r="C96" s="997"/>
      <c r="D96" s="293"/>
      <c r="E96" s="838" t="s">
        <v>498</v>
      </c>
      <c r="F96" s="1138" t="s">
        <v>1490</v>
      </c>
      <c r="G96" s="1138">
        <v>5</v>
      </c>
      <c r="H96" s="1944">
        <v>6</v>
      </c>
      <c r="I96" s="298"/>
      <c r="J96" s="298"/>
      <c r="K96" s="298"/>
      <c r="L96" s="298"/>
      <c r="M96" s="298"/>
      <c r="N96" s="298"/>
      <c r="O96" s="620"/>
      <c r="P96" s="298"/>
      <c r="Q96" s="933"/>
      <c r="R96" s="927">
        <v>4.4249999999999998</v>
      </c>
      <c r="S96" s="17"/>
      <c r="T96" s="234"/>
      <c r="U96" s="17"/>
      <c r="V96" s="17"/>
      <c r="W96" s="154"/>
      <c r="X96" s="55"/>
      <c r="Y96" s="164"/>
      <c r="Z96" s="58"/>
      <c r="AE96" s="2461"/>
      <c r="AF96" s="68"/>
    </row>
    <row r="97" spans="1:32" ht="30" x14ac:dyDescent="0.35">
      <c r="A97" s="525">
        <v>33</v>
      </c>
      <c r="B97" s="1040">
        <v>10460</v>
      </c>
      <c r="C97" s="997" t="s">
        <v>1656</v>
      </c>
      <c r="D97" s="2466" t="s">
        <v>4767</v>
      </c>
      <c r="E97" s="2187" t="s">
        <v>8461</v>
      </c>
      <c r="F97" s="92" t="s">
        <v>1490</v>
      </c>
      <c r="G97" s="92">
        <v>5</v>
      </c>
      <c r="H97" s="1944">
        <v>6</v>
      </c>
      <c r="I97" s="702">
        <f>J97+K97+L97</f>
        <v>0.5</v>
      </c>
      <c r="J97" s="702">
        <f>SUM(M97:R97)</f>
        <v>0.5</v>
      </c>
      <c r="K97" s="622"/>
      <c r="L97" s="622"/>
      <c r="M97" s="622"/>
      <c r="N97" s="622"/>
      <c r="O97" s="622"/>
      <c r="P97" s="622"/>
      <c r="Q97" s="622"/>
      <c r="R97" s="906">
        <v>0.5</v>
      </c>
      <c r="S97" s="106"/>
      <c r="T97" s="106"/>
      <c r="U97" s="106"/>
      <c r="V97" s="106"/>
      <c r="W97" s="105"/>
      <c r="X97" s="105"/>
      <c r="Y97" s="105"/>
      <c r="Z97" s="323"/>
      <c r="AB97" s="3">
        <v>1</v>
      </c>
      <c r="AE97" s="2461"/>
      <c r="AF97" s="68"/>
    </row>
    <row r="98" spans="1:32" x14ac:dyDescent="0.35">
      <c r="A98" s="294">
        <v>34</v>
      </c>
      <c r="B98" s="997">
        <v>10461</v>
      </c>
      <c r="C98" s="997"/>
      <c r="D98" s="293" t="s">
        <v>1704</v>
      </c>
      <c r="E98" s="288" t="s">
        <v>239</v>
      </c>
      <c r="F98" s="1138">
        <v>4</v>
      </c>
      <c r="G98" s="1138">
        <v>4</v>
      </c>
      <c r="H98" s="1138">
        <v>6</v>
      </c>
      <c r="I98" s="297">
        <f>J98+K98+L98</f>
        <v>8.4260000000000002</v>
      </c>
      <c r="J98" s="297">
        <f>SUM(M98:R98)</f>
        <v>8.4260000000000002</v>
      </c>
      <c r="K98" s="297"/>
      <c r="L98" s="297"/>
      <c r="M98" s="297"/>
      <c r="N98" s="297">
        <v>8.4260000000000002</v>
      </c>
      <c r="O98" s="618"/>
      <c r="P98" s="297"/>
      <c r="Q98" s="932"/>
      <c r="R98" s="925"/>
      <c r="S98" s="15">
        <v>1</v>
      </c>
      <c r="T98" s="233">
        <v>9.9499999999999993</v>
      </c>
      <c r="U98" s="15"/>
      <c r="V98" s="15"/>
      <c r="W98" s="154">
        <v>13</v>
      </c>
      <c r="X98" s="55">
        <v>155.4</v>
      </c>
      <c r="Y98" s="154">
        <v>6</v>
      </c>
      <c r="Z98" s="47">
        <v>64</v>
      </c>
      <c r="AB98" s="3">
        <v>1</v>
      </c>
      <c r="AE98" s="2461"/>
      <c r="AF98" s="68"/>
    </row>
    <row r="99" spans="1:32" ht="45.5" x14ac:dyDescent="0.35">
      <c r="A99" s="525">
        <v>35</v>
      </c>
      <c r="B99" s="997">
        <v>10461</v>
      </c>
      <c r="C99" s="997" t="s">
        <v>1656</v>
      </c>
      <c r="D99" s="2466" t="s">
        <v>4768</v>
      </c>
      <c r="E99" s="312" t="s">
        <v>9250</v>
      </c>
      <c r="F99" s="92"/>
      <c r="G99" s="92" t="s">
        <v>191</v>
      </c>
      <c r="H99" s="1138" t="s">
        <v>191</v>
      </c>
      <c r="I99" s="297">
        <f>J99+K99+L99</f>
        <v>1</v>
      </c>
      <c r="J99" s="297">
        <f>SUM(M99:R99)</f>
        <v>1</v>
      </c>
      <c r="K99" s="622"/>
      <c r="L99" s="622"/>
      <c r="M99" s="622"/>
      <c r="N99" s="622">
        <f>SUM(N100:N101)</f>
        <v>0.5</v>
      </c>
      <c r="O99" s="1209"/>
      <c r="P99" s="622"/>
      <c r="Q99" s="934"/>
      <c r="R99" s="926">
        <f>SUM(R100:R101)</f>
        <v>0.5</v>
      </c>
      <c r="S99" s="106"/>
      <c r="T99" s="236"/>
      <c r="U99" s="106"/>
      <c r="V99" s="106"/>
      <c r="W99" s="106"/>
      <c r="X99" s="106"/>
      <c r="Y99" s="106"/>
      <c r="Z99" s="119"/>
      <c r="AB99" s="3">
        <v>1</v>
      </c>
      <c r="AE99" s="2461"/>
      <c r="AF99" s="68"/>
    </row>
    <row r="100" spans="1:32" x14ac:dyDescent="0.35">
      <c r="A100" s="294"/>
      <c r="B100" s="997">
        <v>10461</v>
      </c>
      <c r="C100" s="997"/>
      <c r="D100" s="693"/>
      <c r="E100" s="623" t="s">
        <v>412</v>
      </c>
      <c r="F100" s="92">
        <v>5</v>
      </c>
      <c r="G100" s="92">
        <v>5</v>
      </c>
      <c r="H100" s="1138">
        <v>6</v>
      </c>
      <c r="I100" s="298"/>
      <c r="J100" s="298"/>
      <c r="K100" s="395"/>
      <c r="L100" s="395"/>
      <c r="M100" s="395"/>
      <c r="N100" s="395">
        <v>0.5</v>
      </c>
      <c r="O100" s="1211"/>
      <c r="P100" s="395"/>
      <c r="Q100" s="1212"/>
      <c r="R100" s="928"/>
      <c r="S100" s="91"/>
      <c r="T100" s="383"/>
      <c r="U100" s="91"/>
      <c r="V100" s="91"/>
      <c r="W100" s="91"/>
      <c r="X100" s="91"/>
      <c r="Y100" s="91"/>
      <c r="Z100" s="282"/>
      <c r="AE100" s="2461"/>
      <c r="AF100" s="68"/>
    </row>
    <row r="101" spans="1:32" x14ac:dyDescent="0.35">
      <c r="A101" s="294"/>
      <c r="B101" s="997">
        <v>10461</v>
      </c>
      <c r="C101" s="997"/>
      <c r="D101" s="693"/>
      <c r="E101" s="838" t="s">
        <v>1555</v>
      </c>
      <c r="F101" s="92" t="s">
        <v>1490</v>
      </c>
      <c r="G101" s="92">
        <v>5</v>
      </c>
      <c r="H101" s="1944">
        <v>6</v>
      </c>
      <c r="I101" s="298"/>
      <c r="J101" s="298"/>
      <c r="K101" s="395"/>
      <c r="L101" s="395"/>
      <c r="M101" s="395"/>
      <c r="N101" s="395"/>
      <c r="O101" s="1211"/>
      <c r="P101" s="395"/>
      <c r="Q101" s="1212"/>
      <c r="R101" s="928">
        <v>0.5</v>
      </c>
      <c r="S101" s="91"/>
      <c r="T101" s="383"/>
      <c r="U101" s="91"/>
      <c r="V101" s="91"/>
      <c r="W101" s="91"/>
      <c r="X101" s="91"/>
      <c r="Y101" s="91"/>
      <c r="Z101" s="282"/>
      <c r="AE101" s="2461"/>
      <c r="AF101" s="68"/>
    </row>
    <row r="102" spans="1:32" ht="45.5" x14ac:dyDescent="0.35">
      <c r="A102" s="294">
        <v>36</v>
      </c>
      <c r="B102" s="997">
        <v>10461</v>
      </c>
      <c r="C102" s="997" t="s">
        <v>1656</v>
      </c>
      <c r="D102" s="2466" t="s">
        <v>4769</v>
      </c>
      <c r="E102" s="473" t="s">
        <v>9777</v>
      </c>
      <c r="F102" s="92" t="s">
        <v>1490</v>
      </c>
      <c r="G102" s="92">
        <v>5</v>
      </c>
      <c r="H102" s="1944">
        <v>6</v>
      </c>
      <c r="I102" s="297">
        <f>J102+K102+L102</f>
        <v>1.2</v>
      </c>
      <c r="J102" s="297">
        <f>SUM(M102:R102)</f>
        <v>1.2</v>
      </c>
      <c r="K102" s="622"/>
      <c r="L102" s="622"/>
      <c r="M102" s="622"/>
      <c r="N102" s="622"/>
      <c r="O102" s="1209"/>
      <c r="P102" s="622"/>
      <c r="Q102" s="934"/>
      <c r="R102" s="926">
        <v>1.2</v>
      </c>
      <c r="S102" s="106"/>
      <c r="T102" s="236"/>
      <c r="U102" s="106"/>
      <c r="V102" s="106"/>
      <c r="W102" s="106"/>
      <c r="X102" s="106"/>
      <c r="Y102" s="106"/>
      <c r="Z102" s="119"/>
      <c r="AB102" s="3">
        <v>1</v>
      </c>
      <c r="AE102" s="2461"/>
      <c r="AF102" s="68"/>
    </row>
    <row r="103" spans="1:32" ht="45.5" x14ac:dyDescent="0.35">
      <c r="A103" s="294">
        <v>37</v>
      </c>
      <c r="B103" s="997">
        <v>10461</v>
      </c>
      <c r="C103" s="997" t="s">
        <v>1656</v>
      </c>
      <c r="D103" s="2466" t="s">
        <v>4770</v>
      </c>
      <c r="E103" s="473" t="s">
        <v>8462</v>
      </c>
      <c r="F103" s="92" t="s">
        <v>1490</v>
      </c>
      <c r="G103" s="92">
        <v>5</v>
      </c>
      <c r="H103" s="1944">
        <v>6</v>
      </c>
      <c r="I103" s="297">
        <f>J103+K103+L103</f>
        <v>0.9</v>
      </c>
      <c r="J103" s="297">
        <f>SUM(M103:R103)</f>
        <v>0.9</v>
      </c>
      <c r="K103" s="622"/>
      <c r="L103" s="622"/>
      <c r="M103" s="622"/>
      <c r="N103" s="622"/>
      <c r="O103" s="1209"/>
      <c r="P103" s="622"/>
      <c r="Q103" s="934"/>
      <c r="R103" s="926">
        <v>0.9</v>
      </c>
      <c r="S103" s="106"/>
      <c r="T103" s="236"/>
      <c r="U103" s="106"/>
      <c r="V103" s="106"/>
      <c r="W103" s="106"/>
      <c r="X103" s="106"/>
      <c r="Y103" s="106"/>
      <c r="Z103" s="119"/>
      <c r="AB103" s="3">
        <v>1</v>
      </c>
      <c r="AE103" s="2461"/>
      <c r="AF103" s="68"/>
    </row>
    <row r="104" spans="1:32" x14ac:dyDescent="0.35">
      <c r="A104" s="294">
        <v>38</v>
      </c>
      <c r="B104" s="997">
        <v>10462</v>
      </c>
      <c r="C104" s="997"/>
      <c r="D104" s="293" t="s">
        <v>898</v>
      </c>
      <c r="E104" s="288" t="s">
        <v>1951</v>
      </c>
      <c r="F104" s="1138">
        <v>4</v>
      </c>
      <c r="G104" s="1138">
        <v>4</v>
      </c>
      <c r="H104" s="1138">
        <v>6</v>
      </c>
      <c r="I104" s="297">
        <f>J104+K104+L104</f>
        <v>2.835</v>
      </c>
      <c r="J104" s="297">
        <f>SUM(M104:R104)</f>
        <v>2.835</v>
      </c>
      <c r="K104" s="297"/>
      <c r="L104" s="297"/>
      <c r="M104" s="297"/>
      <c r="N104" s="297">
        <v>2.835</v>
      </c>
      <c r="O104" s="618"/>
      <c r="P104" s="297"/>
      <c r="Q104" s="932"/>
      <c r="R104" s="925"/>
      <c r="S104" s="15"/>
      <c r="T104" s="233"/>
      <c r="U104" s="15"/>
      <c r="V104" s="15"/>
      <c r="W104" s="154">
        <v>2</v>
      </c>
      <c r="X104" s="55">
        <v>26.5</v>
      </c>
      <c r="Y104" s="154"/>
      <c r="Z104" s="47"/>
      <c r="AB104" s="3">
        <v>1</v>
      </c>
      <c r="AE104" s="2461"/>
      <c r="AF104" s="68"/>
    </row>
    <row r="105" spans="1:32" ht="45.5" x14ac:dyDescent="0.35">
      <c r="A105" s="294">
        <v>39</v>
      </c>
      <c r="B105" s="997">
        <v>10463</v>
      </c>
      <c r="C105" s="997"/>
      <c r="D105" s="293" t="s">
        <v>899</v>
      </c>
      <c r="E105" s="288" t="s">
        <v>7119</v>
      </c>
      <c r="F105" s="1944"/>
      <c r="G105" s="1944" t="s">
        <v>191</v>
      </c>
      <c r="H105" s="1138" t="s">
        <v>191</v>
      </c>
      <c r="I105" s="297">
        <f>J105+K105+L105</f>
        <v>6.827</v>
      </c>
      <c r="J105" s="297">
        <f>SUM(M105:R105)</f>
        <v>6.827</v>
      </c>
      <c r="K105" s="297"/>
      <c r="L105" s="297"/>
      <c r="M105" s="297"/>
      <c r="N105" s="297">
        <f>SUM(N106:N110)</f>
        <v>1.9350000000000001</v>
      </c>
      <c r="O105" s="618"/>
      <c r="P105" s="297"/>
      <c r="Q105" s="932">
        <f>SUM(Q106:Q110)</f>
        <v>4.8919999999999995</v>
      </c>
      <c r="R105" s="925"/>
      <c r="S105" s="17">
        <v>1</v>
      </c>
      <c r="T105" s="234">
        <v>12.5</v>
      </c>
      <c r="U105" s="17"/>
      <c r="V105" s="17"/>
      <c r="W105" s="154">
        <v>13</v>
      </c>
      <c r="X105" s="154">
        <v>182</v>
      </c>
      <c r="Y105" s="154">
        <v>8</v>
      </c>
      <c r="Z105" s="47">
        <v>100</v>
      </c>
      <c r="AB105" s="3">
        <v>1</v>
      </c>
      <c r="AE105" s="2461"/>
      <c r="AF105" s="68"/>
    </row>
    <row r="106" spans="1:32" x14ac:dyDescent="0.35">
      <c r="A106" s="294"/>
      <c r="B106" s="997">
        <v>10463</v>
      </c>
      <c r="C106" s="997"/>
      <c r="D106" s="293"/>
      <c r="E106" s="289" t="s">
        <v>1887</v>
      </c>
      <c r="F106" s="1944">
        <v>4</v>
      </c>
      <c r="G106" s="1944">
        <v>4</v>
      </c>
      <c r="H106" s="1138">
        <v>6</v>
      </c>
      <c r="I106" s="298"/>
      <c r="J106" s="298"/>
      <c r="K106" s="298"/>
      <c r="L106" s="298"/>
      <c r="M106" s="298"/>
      <c r="N106" s="298">
        <v>0.55000000000000004</v>
      </c>
      <c r="O106" s="620"/>
      <c r="P106" s="298"/>
      <c r="Q106" s="933"/>
      <c r="R106" s="927"/>
      <c r="S106" s="17"/>
      <c r="T106" s="234"/>
      <c r="U106" s="17"/>
      <c r="V106" s="17"/>
      <c r="W106" s="154"/>
      <c r="X106" s="154"/>
      <c r="Y106" s="154"/>
      <c r="Z106" s="47"/>
      <c r="AE106" s="2461"/>
      <c r="AF106" s="68"/>
    </row>
    <row r="107" spans="1:32" x14ac:dyDescent="0.35">
      <c r="A107" s="294"/>
      <c r="B107" s="997">
        <v>10463</v>
      </c>
      <c r="C107" s="997"/>
      <c r="D107" s="293"/>
      <c r="E107" s="837" t="s">
        <v>11306</v>
      </c>
      <c r="F107" s="1944">
        <v>4</v>
      </c>
      <c r="G107" s="1944">
        <v>4</v>
      </c>
      <c r="H107" s="1138">
        <v>6</v>
      </c>
      <c r="I107" s="298"/>
      <c r="J107" s="298"/>
      <c r="K107" s="298"/>
      <c r="L107" s="298"/>
      <c r="M107" s="298"/>
      <c r="N107" s="298"/>
      <c r="O107" s="620"/>
      <c r="P107" s="298"/>
      <c r="Q107" s="933">
        <f>1.445-0.55</f>
        <v>0.89500000000000002</v>
      </c>
      <c r="R107" s="927"/>
      <c r="S107" s="17"/>
      <c r="T107" s="234"/>
      <c r="U107" s="17"/>
      <c r="V107" s="17"/>
      <c r="W107" s="154"/>
      <c r="X107" s="154"/>
      <c r="Y107" s="154"/>
      <c r="Z107" s="47"/>
      <c r="AE107" s="2461"/>
      <c r="AF107" s="68"/>
    </row>
    <row r="108" spans="1:32" x14ac:dyDescent="0.35">
      <c r="A108" s="294"/>
      <c r="B108" s="997">
        <v>10463</v>
      </c>
      <c r="C108" s="997"/>
      <c r="D108" s="293"/>
      <c r="E108" s="459" t="s">
        <v>11398</v>
      </c>
      <c r="F108" s="1944">
        <v>4</v>
      </c>
      <c r="G108" s="1944">
        <v>4</v>
      </c>
      <c r="H108" s="1138">
        <v>6</v>
      </c>
      <c r="I108" s="298"/>
      <c r="J108" s="298"/>
      <c r="K108" s="298"/>
      <c r="L108" s="298"/>
      <c r="M108" s="298"/>
      <c r="N108" s="487">
        <f>2.83-1.445</f>
        <v>1.385</v>
      </c>
      <c r="O108" s="620"/>
      <c r="P108" s="298"/>
      <c r="Q108" s="933"/>
      <c r="R108" s="927"/>
      <c r="S108" s="17"/>
      <c r="T108" s="234"/>
      <c r="U108" s="17"/>
      <c r="V108" s="17"/>
      <c r="W108" s="154"/>
      <c r="X108" s="154"/>
      <c r="Y108" s="154"/>
      <c r="Z108" s="47"/>
      <c r="AE108" s="2461"/>
      <c r="AF108" s="68"/>
    </row>
    <row r="109" spans="1:32" x14ac:dyDescent="0.35">
      <c r="A109" s="294"/>
      <c r="B109" s="997">
        <v>10463</v>
      </c>
      <c r="C109" s="997"/>
      <c r="D109" s="293"/>
      <c r="E109" s="837" t="s">
        <v>1259</v>
      </c>
      <c r="F109" s="1944">
        <v>4</v>
      </c>
      <c r="G109" s="1944">
        <v>4</v>
      </c>
      <c r="H109" s="1138">
        <v>6</v>
      </c>
      <c r="I109" s="298"/>
      <c r="J109" s="298"/>
      <c r="K109" s="298"/>
      <c r="L109" s="298"/>
      <c r="M109" s="298"/>
      <c r="N109" s="298"/>
      <c r="O109" s="620"/>
      <c r="P109" s="298"/>
      <c r="Q109" s="933">
        <f>5.8-2.83</f>
        <v>2.9699999999999998</v>
      </c>
      <c r="R109" s="927"/>
      <c r="S109" s="17"/>
      <c r="T109" s="234"/>
      <c r="U109" s="17"/>
      <c r="V109" s="17"/>
      <c r="W109" s="154"/>
      <c r="X109" s="154"/>
      <c r="Y109" s="154"/>
      <c r="Z109" s="47"/>
      <c r="AE109" s="2461"/>
      <c r="AF109" s="68"/>
    </row>
    <row r="110" spans="1:32" x14ac:dyDescent="0.35">
      <c r="A110" s="294"/>
      <c r="B110" s="997">
        <v>10463</v>
      </c>
      <c r="C110" s="997"/>
      <c r="D110" s="293"/>
      <c r="E110" s="837" t="s">
        <v>1471</v>
      </c>
      <c r="F110" s="1944">
        <v>5</v>
      </c>
      <c r="G110" s="1944">
        <v>5</v>
      </c>
      <c r="H110" s="1138">
        <v>6</v>
      </c>
      <c r="I110" s="298"/>
      <c r="J110" s="298"/>
      <c r="K110" s="298"/>
      <c r="L110" s="298"/>
      <c r="M110" s="298"/>
      <c r="N110" s="298"/>
      <c r="O110" s="620"/>
      <c r="P110" s="298"/>
      <c r="Q110" s="933">
        <f>6.827-5.8</f>
        <v>1.0270000000000001</v>
      </c>
      <c r="R110" s="927"/>
      <c r="S110" s="17"/>
      <c r="T110" s="234"/>
      <c r="U110" s="17"/>
      <c r="V110" s="17"/>
      <c r="W110" s="154"/>
      <c r="X110" s="154"/>
      <c r="Y110" s="154"/>
      <c r="Z110" s="47"/>
      <c r="AE110" s="2461"/>
      <c r="AF110" s="68"/>
    </row>
    <row r="111" spans="1:32" ht="60.5" x14ac:dyDescent="0.35">
      <c r="A111" s="294">
        <v>40</v>
      </c>
      <c r="B111" s="997">
        <v>10463</v>
      </c>
      <c r="C111" s="997"/>
      <c r="D111" s="2466" t="s">
        <v>4771</v>
      </c>
      <c r="E111" s="288" t="s">
        <v>7698</v>
      </c>
      <c r="F111" s="1138">
        <v>5</v>
      </c>
      <c r="G111" s="1138">
        <v>5</v>
      </c>
      <c r="H111" s="1138">
        <v>6</v>
      </c>
      <c r="I111" s="297">
        <f>J111+K111+L111</f>
        <v>3.7</v>
      </c>
      <c r="J111" s="297">
        <f>SUM(M111:R111)</f>
        <v>3.7</v>
      </c>
      <c r="K111" s="489"/>
      <c r="L111" s="489"/>
      <c r="M111" s="489"/>
      <c r="N111" s="489"/>
      <c r="O111" s="1210"/>
      <c r="P111" s="489"/>
      <c r="Q111" s="935">
        <v>3.7</v>
      </c>
      <c r="R111" s="925"/>
      <c r="S111" s="17"/>
      <c r="T111" s="234"/>
      <c r="U111" s="17"/>
      <c r="V111" s="17"/>
      <c r="W111" s="154">
        <v>1</v>
      </c>
      <c r="X111" s="55">
        <v>10.1</v>
      </c>
      <c r="Y111" s="154"/>
      <c r="Z111" s="47"/>
      <c r="AB111" s="3">
        <v>1</v>
      </c>
      <c r="AE111" s="2461"/>
      <c r="AF111" s="68"/>
    </row>
    <row r="112" spans="1:32" ht="90.5" x14ac:dyDescent="0.35">
      <c r="A112" s="295">
        <v>41</v>
      </c>
      <c r="B112" s="998">
        <v>10463</v>
      </c>
      <c r="C112" s="358" t="s">
        <v>1655</v>
      </c>
      <c r="D112" s="2466" t="s">
        <v>4772</v>
      </c>
      <c r="E112" s="511" t="s">
        <v>7699</v>
      </c>
      <c r="F112" s="1138" t="s">
        <v>1490</v>
      </c>
      <c r="G112" s="1944">
        <v>5</v>
      </c>
      <c r="H112" s="1944">
        <v>6</v>
      </c>
      <c r="I112" s="297">
        <f>J112+K112+L112</f>
        <v>0.4</v>
      </c>
      <c r="J112" s="297">
        <f>SUM(M112:R112)</f>
        <v>0.4</v>
      </c>
      <c r="K112" s="297"/>
      <c r="L112" s="297"/>
      <c r="M112" s="297"/>
      <c r="N112" s="297"/>
      <c r="O112" s="302"/>
      <c r="P112" s="297"/>
      <c r="Q112" s="2369"/>
      <c r="R112" s="1498">
        <v>0.4</v>
      </c>
      <c r="S112" s="15"/>
      <c r="T112" s="233"/>
      <c r="U112" s="15"/>
      <c r="V112" s="15"/>
      <c r="W112" s="154"/>
      <c r="X112" s="55"/>
      <c r="Y112" s="154"/>
      <c r="Z112" s="47"/>
      <c r="AB112" s="3">
        <v>1</v>
      </c>
      <c r="AE112" s="2461"/>
      <c r="AF112" s="68"/>
    </row>
    <row r="113" spans="1:32" x14ac:dyDescent="0.35">
      <c r="A113" s="294">
        <v>42</v>
      </c>
      <c r="B113" s="997">
        <v>10464</v>
      </c>
      <c r="C113" s="997"/>
      <c r="D113" s="293" t="s">
        <v>1146</v>
      </c>
      <c r="E113" s="288" t="s">
        <v>2296</v>
      </c>
      <c r="F113" s="1138"/>
      <c r="G113" s="1138" t="s">
        <v>191</v>
      </c>
      <c r="H113" s="1138" t="s">
        <v>191</v>
      </c>
      <c r="I113" s="297">
        <f>J113+K113+L113</f>
        <v>10.222</v>
      </c>
      <c r="J113" s="297">
        <f>SUM(M113:R113)</f>
        <v>10.222</v>
      </c>
      <c r="K113" s="297"/>
      <c r="L113" s="297"/>
      <c r="M113" s="297"/>
      <c r="N113" s="297">
        <f>SUM(N114:N117)</f>
        <v>4.6689999999999996</v>
      </c>
      <c r="O113" s="618"/>
      <c r="P113" s="297"/>
      <c r="Q113" s="932">
        <f>SUM(Q114:Q117)</f>
        <v>5.5529999999999999</v>
      </c>
      <c r="R113" s="925"/>
      <c r="S113" s="15">
        <v>1</v>
      </c>
      <c r="T113" s="233">
        <v>18.100000000000001</v>
      </c>
      <c r="U113" s="15"/>
      <c r="V113" s="15"/>
      <c r="W113" s="154">
        <v>22</v>
      </c>
      <c r="X113" s="55">
        <v>282.8</v>
      </c>
      <c r="Y113" s="154">
        <v>7</v>
      </c>
      <c r="Z113" s="47">
        <v>74.45</v>
      </c>
      <c r="AB113" s="3">
        <v>1</v>
      </c>
      <c r="AE113" s="2461"/>
      <c r="AF113" s="68"/>
    </row>
    <row r="114" spans="1:32" x14ac:dyDescent="0.35">
      <c r="A114" s="294"/>
      <c r="B114" s="997">
        <v>10464</v>
      </c>
      <c r="C114" s="997"/>
      <c r="D114" s="293"/>
      <c r="E114" s="289" t="s">
        <v>1634</v>
      </c>
      <c r="F114" s="1138">
        <v>4</v>
      </c>
      <c r="G114" s="1138">
        <v>4</v>
      </c>
      <c r="H114" s="1138">
        <v>6</v>
      </c>
      <c r="I114" s="298"/>
      <c r="J114" s="298"/>
      <c r="K114" s="298"/>
      <c r="L114" s="298"/>
      <c r="M114" s="298"/>
      <c r="N114" s="298">
        <v>4.3</v>
      </c>
      <c r="O114" s="620"/>
      <c r="P114" s="298"/>
      <c r="Q114" s="933"/>
      <c r="R114" s="927"/>
      <c r="S114" s="15"/>
      <c r="T114" s="233"/>
      <c r="U114" s="15"/>
      <c r="V114" s="15"/>
      <c r="W114" s="154"/>
      <c r="X114" s="55"/>
      <c r="Y114" s="154"/>
      <c r="Z114" s="47"/>
      <c r="AE114" s="2461"/>
      <c r="AF114" s="68"/>
    </row>
    <row r="115" spans="1:32" x14ac:dyDescent="0.35">
      <c r="A115" s="294"/>
      <c r="B115" s="997">
        <v>10464</v>
      </c>
      <c r="C115" s="997"/>
      <c r="D115" s="293"/>
      <c r="E115" s="837" t="s">
        <v>1472</v>
      </c>
      <c r="F115" s="1138">
        <v>4</v>
      </c>
      <c r="G115" s="1138">
        <v>5</v>
      </c>
      <c r="H115" s="1138">
        <v>6</v>
      </c>
      <c r="I115" s="298"/>
      <c r="J115" s="298"/>
      <c r="K115" s="298"/>
      <c r="L115" s="298"/>
      <c r="M115" s="298"/>
      <c r="N115" s="298"/>
      <c r="O115" s="620"/>
      <c r="P115" s="298"/>
      <c r="Q115" s="933">
        <v>2.9</v>
      </c>
      <c r="R115" s="927"/>
      <c r="S115" s="15"/>
      <c r="T115" s="233"/>
      <c r="U115" s="15"/>
      <c r="V115" s="15"/>
      <c r="W115" s="154"/>
      <c r="X115" s="55"/>
      <c r="Y115" s="154"/>
      <c r="Z115" s="47"/>
      <c r="AE115" s="2461"/>
      <c r="AF115" s="68"/>
    </row>
    <row r="116" spans="1:32" x14ac:dyDescent="0.35">
      <c r="A116" s="294"/>
      <c r="B116" s="997">
        <v>10464</v>
      </c>
      <c r="C116" s="997"/>
      <c r="D116" s="293"/>
      <c r="E116" s="289" t="s">
        <v>737</v>
      </c>
      <c r="F116" s="1138">
        <v>4</v>
      </c>
      <c r="G116" s="1138">
        <v>5</v>
      </c>
      <c r="H116" s="1138">
        <v>6</v>
      </c>
      <c r="I116" s="298"/>
      <c r="J116" s="298"/>
      <c r="K116" s="298"/>
      <c r="L116" s="298"/>
      <c r="M116" s="298"/>
      <c r="N116" s="298">
        <v>0.36899999999999999</v>
      </c>
      <c r="O116" s="620"/>
      <c r="P116" s="298"/>
      <c r="Q116" s="933"/>
      <c r="R116" s="927"/>
      <c r="S116" s="15"/>
      <c r="T116" s="233"/>
      <c r="U116" s="15"/>
      <c r="V116" s="15"/>
      <c r="W116" s="154"/>
      <c r="X116" s="55"/>
      <c r="Y116" s="154"/>
      <c r="Z116" s="47"/>
      <c r="AE116" s="2461"/>
      <c r="AF116" s="68"/>
    </row>
    <row r="117" spans="1:32" x14ac:dyDescent="0.35">
      <c r="A117" s="294"/>
      <c r="B117" s="997">
        <v>10464</v>
      </c>
      <c r="C117" s="997"/>
      <c r="D117" s="293"/>
      <c r="E117" s="837" t="s">
        <v>826</v>
      </c>
      <c r="F117" s="1138">
        <v>4</v>
      </c>
      <c r="G117" s="1138">
        <v>5</v>
      </c>
      <c r="H117" s="1138">
        <v>6</v>
      </c>
      <c r="I117" s="298"/>
      <c r="J117" s="298"/>
      <c r="K117" s="298"/>
      <c r="L117" s="298"/>
      <c r="M117" s="298"/>
      <c r="N117" s="298"/>
      <c r="O117" s="620"/>
      <c r="P117" s="298"/>
      <c r="Q117" s="933">
        <v>2.653</v>
      </c>
      <c r="R117" s="927"/>
      <c r="S117" s="15"/>
      <c r="T117" s="233"/>
      <c r="U117" s="15"/>
      <c r="V117" s="15"/>
      <c r="W117" s="154"/>
      <c r="X117" s="55"/>
      <c r="Y117" s="154"/>
      <c r="Z117" s="47"/>
      <c r="AE117" s="2461"/>
      <c r="AF117" s="68"/>
    </row>
    <row r="118" spans="1:32" ht="45" x14ac:dyDescent="0.35">
      <c r="A118" s="525">
        <v>43</v>
      </c>
      <c r="B118" s="1040">
        <v>10464</v>
      </c>
      <c r="C118" s="997" t="s">
        <v>1656</v>
      </c>
      <c r="D118" s="2466" t="s">
        <v>4773</v>
      </c>
      <c r="E118" s="2187" t="s">
        <v>8463</v>
      </c>
      <c r="F118" s="92">
        <v>5</v>
      </c>
      <c r="G118" s="92">
        <v>5</v>
      </c>
      <c r="H118" s="1138">
        <v>6</v>
      </c>
      <c r="I118" s="702">
        <f>J118+K118+L118</f>
        <v>0.2</v>
      </c>
      <c r="J118" s="702">
        <f>SUM(M118:R118)</f>
        <v>0.2</v>
      </c>
      <c r="K118" s="622"/>
      <c r="L118" s="622"/>
      <c r="M118" s="622"/>
      <c r="N118" s="622">
        <v>0.2</v>
      </c>
      <c r="O118" s="622"/>
      <c r="P118" s="622"/>
      <c r="Q118" s="622"/>
      <c r="R118" s="906"/>
      <c r="S118" s="106"/>
      <c r="T118" s="106"/>
      <c r="U118" s="106"/>
      <c r="V118" s="106"/>
      <c r="W118" s="105"/>
      <c r="X118" s="105"/>
      <c r="Y118" s="105"/>
      <c r="Z118" s="323"/>
      <c r="AB118" s="3">
        <v>1</v>
      </c>
      <c r="AE118" s="2461"/>
      <c r="AF118" s="68"/>
    </row>
    <row r="119" spans="1:32" ht="45" x14ac:dyDescent="0.35">
      <c r="A119" s="525">
        <v>44</v>
      </c>
      <c r="B119" s="1040">
        <v>10464</v>
      </c>
      <c r="C119" s="997" t="s">
        <v>1656</v>
      </c>
      <c r="D119" s="2466" t="s">
        <v>4774</v>
      </c>
      <c r="E119" s="2187" t="s">
        <v>8464</v>
      </c>
      <c r="F119" s="1138" t="s">
        <v>1490</v>
      </c>
      <c r="G119" s="92">
        <v>5</v>
      </c>
      <c r="H119" s="1944">
        <v>6</v>
      </c>
      <c r="I119" s="702">
        <f>J119+K119+L119</f>
        <v>0.15</v>
      </c>
      <c r="J119" s="702">
        <f>SUM(M119:R119)</f>
        <v>0.15</v>
      </c>
      <c r="K119" s="622"/>
      <c r="L119" s="622"/>
      <c r="M119" s="622"/>
      <c r="N119" s="622"/>
      <c r="O119" s="622"/>
      <c r="P119" s="622"/>
      <c r="Q119" s="622"/>
      <c r="R119" s="906">
        <v>0.15</v>
      </c>
      <c r="S119" s="106"/>
      <c r="T119" s="106"/>
      <c r="U119" s="106"/>
      <c r="V119" s="106"/>
      <c r="W119" s="105"/>
      <c r="X119" s="105"/>
      <c r="Y119" s="105"/>
      <c r="Z119" s="323"/>
      <c r="AB119" s="3">
        <v>1</v>
      </c>
      <c r="AE119" s="2461"/>
      <c r="AF119" s="68"/>
    </row>
    <row r="120" spans="1:32" x14ac:dyDescent="0.35">
      <c r="A120" s="525">
        <v>45</v>
      </c>
      <c r="B120" s="997">
        <v>10465</v>
      </c>
      <c r="C120" s="997"/>
      <c r="D120" s="293" t="s">
        <v>1147</v>
      </c>
      <c r="E120" s="288" t="s">
        <v>7120</v>
      </c>
      <c r="F120" s="1138"/>
      <c r="G120" s="1138" t="s">
        <v>191</v>
      </c>
      <c r="H120" s="1138" t="s">
        <v>191</v>
      </c>
      <c r="I120" s="297">
        <f>J120+K120+L120</f>
        <v>6.9109999999999996</v>
      </c>
      <c r="J120" s="297">
        <f>SUM(M120:R120)</f>
        <v>6.9109999999999996</v>
      </c>
      <c r="K120" s="297"/>
      <c r="L120" s="297"/>
      <c r="M120" s="297"/>
      <c r="N120" s="297">
        <f>SUM(N121:N124)</f>
        <v>1.4500000000000006</v>
      </c>
      <c r="O120" s="618"/>
      <c r="P120" s="297"/>
      <c r="Q120" s="932">
        <f>SUM(Q121:Q124)</f>
        <v>5.4609999999999994</v>
      </c>
      <c r="R120" s="925"/>
      <c r="S120" s="15"/>
      <c r="T120" s="233"/>
      <c r="U120" s="15"/>
      <c r="V120" s="15"/>
      <c r="W120" s="154">
        <v>4</v>
      </c>
      <c r="X120" s="55">
        <v>65.7</v>
      </c>
      <c r="Y120" s="154"/>
      <c r="Z120" s="47"/>
      <c r="AB120" s="3">
        <v>1</v>
      </c>
      <c r="AE120" s="2461"/>
      <c r="AF120" s="68"/>
    </row>
    <row r="121" spans="1:32" x14ac:dyDescent="0.35">
      <c r="A121" s="294"/>
      <c r="B121" s="997">
        <v>10465</v>
      </c>
      <c r="C121" s="997"/>
      <c r="D121" s="293"/>
      <c r="E121" s="459" t="s">
        <v>3164</v>
      </c>
      <c r="F121" s="1138">
        <v>4</v>
      </c>
      <c r="G121" s="1138">
        <v>5</v>
      </c>
      <c r="H121" s="1138">
        <v>6</v>
      </c>
      <c r="I121" s="297"/>
      <c r="J121" s="297"/>
      <c r="K121" s="297"/>
      <c r="L121" s="297"/>
      <c r="M121" s="297"/>
      <c r="N121" s="298">
        <v>1.1000000000000001</v>
      </c>
      <c r="O121" s="620"/>
      <c r="P121" s="298"/>
      <c r="Q121" s="933"/>
      <c r="R121" s="925"/>
      <c r="S121" s="15"/>
      <c r="T121" s="233"/>
      <c r="U121" s="15"/>
      <c r="V121" s="15"/>
      <c r="W121" s="154"/>
      <c r="X121" s="55"/>
      <c r="Y121" s="154"/>
      <c r="Z121" s="47"/>
      <c r="AE121" s="2461"/>
      <c r="AF121" s="68"/>
    </row>
    <row r="122" spans="1:32" x14ac:dyDescent="0.35">
      <c r="A122" s="294"/>
      <c r="B122" s="997">
        <v>10465</v>
      </c>
      <c r="C122" s="997"/>
      <c r="D122" s="293"/>
      <c r="E122" s="837" t="s">
        <v>10431</v>
      </c>
      <c r="F122" s="1138">
        <v>4</v>
      </c>
      <c r="G122" s="1138">
        <v>5</v>
      </c>
      <c r="H122" s="1138">
        <v>6</v>
      </c>
      <c r="I122" s="297"/>
      <c r="J122" s="297"/>
      <c r="K122" s="297"/>
      <c r="L122" s="297"/>
      <c r="M122" s="297"/>
      <c r="N122" s="298"/>
      <c r="O122" s="620"/>
      <c r="P122" s="298"/>
      <c r="Q122" s="933">
        <f>6.1-1.1</f>
        <v>5</v>
      </c>
      <c r="R122" s="925"/>
      <c r="S122" s="15"/>
      <c r="T122" s="233"/>
      <c r="U122" s="15"/>
      <c r="V122" s="15"/>
      <c r="W122" s="154"/>
      <c r="X122" s="55"/>
      <c r="Y122" s="154"/>
      <c r="Z122" s="47"/>
      <c r="AE122" s="2461"/>
      <c r="AF122" s="68"/>
    </row>
    <row r="123" spans="1:32" x14ac:dyDescent="0.35">
      <c r="A123" s="294"/>
      <c r="B123" s="997"/>
      <c r="C123" s="997"/>
      <c r="D123" s="293"/>
      <c r="E123" s="459" t="s">
        <v>10974</v>
      </c>
      <c r="F123" s="1138">
        <v>4</v>
      </c>
      <c r="G123" s="1138">
        <v>5</v>
      </c>
      <c r="H123" s="1138">
        <v>6</v>
      </c>
      <c r="I123" s="486"/>
      <c r="J123" s="486"/>
      <c r="K123" s="486"/>
      <c r="L123" s="486"/>
      <c r="M123" s="486"/>
      <c r="N123" s="487">
        <f>6.45-6.1</f>
        <v>0.35000000000000053</v>
      </c>
      <c r="O123" s="620"/>
      <c r="P123" s="298"/>
      <c r="Q123" s="933"/>
      <c r="R123" s="925"/>
      <c r="S123" s="15"/>
      <c r="T123" s="233"/>
      <c r="U123" s="15"/>
      <c r="V123" s="15"/>
      <c r="W123" s="154"/>
      <c r="X123" s="55"/>
      <c r="Y123" s="154"/>
      <c r="Z123" s="47"/>
      <c r="AE123" s="2461"/>
      <c r="AF123" s="68"/>
    </row>
    <row r="124" spans="1:32" x14ac:dyDescent="0.35">
      <c r="A124" s="294"/>
      <c r="B124" s="997">
        <v>10465</v>
      </c>
      <c r="C124" s="997"/>
      <c r="D124" s="293"/>
      <c r="E124" s="837" t="s">
        <v>10975</v>
      </c>
      <c r="F124" s="1138">
        <v>4</v>
      </c>
      <c r="G124" s="1138">
        <v>5</v>
      </c>
      <c r="H124" s="1138">
        <v>6</v>
      </c>
      <c r="I124" s="297"/>
      <c r="J124" s="297"/>
      <c r="K124" s="297"/>
      <c r="L124" s="297"/>
      <c r="M124" s="297"/>
      <c r="N124" s="298"/>
      <c r="O124" s="620"/>
      <c r="P124" s="298"/>
      <c r="Q124" s="933">
        <f>6.911-6.45</f>
        <v>0.46099999999999941</v>
      </c>
      <c r="R124" s="925"/>
      <c r="S124" s="15"/>
      <c r="T124" s="233"/>
      <c r="U124" s="15"/>
      <c r="V124" s="15"/>
      <c r="W124" s="154"/>
      <c r="X124" s="55"/>
      <c r="Y124" s="154"/>
      <c r="Z124" s="47"/>
      <c r="AE124" s="2461"/>
      <c r="AF124" s="68"/>
    </row>
    <row r="125" spans="1:32" ht="30.5" x14ac:dyDescent="0.35">
      <c r="A125" s="294">
        <v>46</v>
      </c>
      <c r="B125" s="997">
        <v>10465</v>
      </c>
      <c r="C125" s="997"/>
      <c r="D125" s="2466" t="s">
        <v>4775</v>
      </c>
      <c r="E125" s="288" t="s">
        <v>9354</v>
      </c>
      <c r="F125" s="1138"/>
      <c r="G125" s="1138" t="s">
        <v>191</v>
      </c>
      <c r="H125" s="1138" t="s">
        <v>191</v>
      </c>
      <c r="I125" s="297">
        <f>J125+K125+L125</f>
        <v>4.8129999999999997</v>
      </c>
      <c r="J125" s="297">
        <f>SUM(M125:R125)</f>
        <v>4.8129999999999997</v>
      </c>
      <c r="K125" s="297"/>
      <c r="L125" s="297"/>
      <c r="M125" s="297"/>
      <c r="N125" s="297">
        <f>SUM(N126:N127)</f>
        <v>1.0629999999999999</v>
      </c>
      <c r="O125" s="618"/>
      <c r="P125" s="297"/>
      <c r="Q125" s="932">
        <f>SUM(Q126:Q127)</f>
        <v>3.75</v>
      </c>
      <c r="R125" s="925"/>
      <c r="S125" s="17"/>
      <c r="T125" s="234"/>
      <c r="U125" s="17"/>
      <c r="V125" s="17"/>
      <c r="W125" s="154">
        <v>9</v>
      </c>
      <c r="X125" s="55">
        <v>131</v>
      </c>
      <c r="Y125" s="164">
        <v>2</v>
      </c>
      <c r="Z125" s="460">
        <v>20.399999999999999</v>
      </c>
      <c r="AB125" s="3">
        <v>1</v>
      </c>
      <c r="AE125" s="2461"/>
      <c r="AF125" s="68"/>
    </row>
    <row r="126" spans="1:32" x14ac:dyDescent="0.35">
      <c r="A126" s="294"/>
      <c r="B126" s="997">
        <v>10465</v>
      </c>
      <c r="C126" s="997"/>
      <c r="D126" s="293"/>
      <c r="E126" s="837" t="s">
        <v>470</v>
      </c>
      <c r="F126" s="1138">
        <v>4</v>
      </c>
      <c r="G126" s="1138">
        <v>5</v>
      </c>
      <c r="H126" s="1138">
        <v>6</v>
      </c>
      <c r="I126" s="303"/>
      <c r="J126" s="303"/>
      <c r="K126" s="303"/>
      <c r="L126" s="303"/>
      <c r="M126" s="303"/>
      <c r="N126" s="303"/>
      <c r="O126" s="620"/>
      <c r="P126" s="303"/>
      <c r="Q126" s="933">
        <v>3.75</v>
      </c>
      <c r="R126" s="925"/>
      <c r="S126" s="17"/>
      <c r="T126" s="234"/>
      <c r="U126" s="17"/>
      <c r="V126" s="17"/>
      <c r="W126" s="154"/>
      <c r="X126" s="55"/>
      <c r="Y126" s="164"/>
      <c r="Z126" s="58"/>
      <c r="AE126" s="2461"/>
      <c r="AF126" s="68"/>
    </row>
    <row r="127" spans="1:32" x14ac:dyDescent="0.35">
      <c r="A127" s="294"/>
      <c r="B127" s="997">
        <v>10465</v>
      </c>
      <c r="C127" s="997"/>
      <c r="D127" s="293"/>
      <c r="E127" s="289" t="s">
        <v>3260</v>
      </c>
      <c r="F127" s="1138">
        <v>4</v>
      </c>
      <c r="G127" s="1138">
        <v>5</v>
      </c>
      <c r="H127" s="1138">
        <v>6</v>
      </c>
      <c r="I127" s="303"/>
      <c r="J127" s="303"/>
      <c r="K127" s="303"/>
      <c r="L127" s="303"/>
      <c r="M127" s="303"/>
      <c r="N127" s="303">
        <v>1.0629999999999999</v>
      </c>
      <c r="O127" s="620"/>
      <c r="P127" s="303"/>
      <c r="Q127" s="933"/>
      <c r="R127" s="925"/>
      <c r="S127" s="17"/>
      <c r="T127" s="234"/>
      <c r="U127" s="17"/>
      <c r="V127" s="17"/>
      <c r="W127" s="154"/>
      <c r="X127" s="55"/>
      <c r="Y127" s="164"/>
      <c r="Z127" s="58"/>
      <c r="AE127" s="2461"/>
      <c r="AF127" s="68"/>
    </row>
    <row r="128" spans="1:32" x14ac:dyDescent="0.35">
      <c r="A128" s="294">
        <v>47</v>
      </c>
      <c r="B128" s="997">
        <v>10466</v>
      </c>
      <c r="C128" s="997"/>
      <c r="D128" s="293" t="s">
        <v>1782</v>
      </c>
      <c r="E128" s="288" t="s">
        <v>3261</v>
      </c>
      <c r="F128" s="1138"/>
      <c r="G128" s="1138" t="s">
        <v>191</v>
      </c>
      <c r="H128" s="1138" t="s">
        <v>191</v>
      </c>
      <c r="I128" s="297">
        <f t="shared" ref="I128:I137" si="10">J128+K128+L128</f>
        <v>11.01</v>
      </c>
      <c r="J128" s="297">
        <f t="shared" ref="J128:J137" si="11">SUM(M128:R128)</f>
        <v>11.01</v>
      </c>
      <c r="K128" s="297"/>
      <c r="L128" s="297"/>
      <c r="M128" s="297"/>
      <c r="N128" s="2865">
        <f>SUM(N129:N131)</f>
        <v>3.35</v>
      </c>
      <c r="O128" s="618"/>
      <c r="P128" s="297"/>
      <c r="Q128" s="932">
        <f>SUM(Q129:Q131)</f>
        <v>7.66</v>
      </c>
      <c r="R128" s="925"/>
      <c r="S128" s="15"/>
      <c r="T128" s="233"/>
      <c r="U128" s="15"/>
      <c r="V128" s="15"/>
      <c r="W128" s="154">
        <v>21</v>
      </c>
      <c r="X128" s="55">
        <v>258.89999999999998</v>
      </c>
      <c r="Y128" s="154">
        <v>10</v>
      </c>
      <c r="Z128" s="47">
        <v>127.5</v>
      </c>
      <c r="AA128" s="3" t="s">
        <v>763</v>
      </c>
      <c r="AB128" s="3">
        <v>1</v>
      </c>
      <c r="AE128" s="2461"/>
      <c r="AF128" s="68"/>
    </row>
    <row r="129" spans="1:32" x14ac:dyDescent="0.35">
      <c r="A129" s="294"/>
      <c r="B129" s="997"/>
      <c r="C129" s="997"/>
      <c r="D129" s="293"/>
      <c r="E129" s="289" t="s">
        <v>2649</v>
      </c>
      <c r="F129" s="1138">
        <v>4</v>
      </c>
      <c r="G129" s="1138">
        <v>4</v>
      </c>
      <c r="H129" s="1138">
        <v>6</v>
      </c>
      <c r="I129" s="298"/>
      <c r="J129" s="298"/>
      <c r="K129" s="298"/>
      <c r="L129" s="298"/>
      <c r="M129" s="298"/>
      <c r="N129" s="487">
        <v>3.35</v>
      </c>
      <c r="O129" s="299"/>
      <c r="P129" s="298"/>
      <c r="Q129" s="1836"/>
      <c r="R129" s="925"/>
      <c r="S129" s="15"/>
      <c r="T129" s="233"/>
      <c r="U129" s="15"/>
      <c r="V129" s="15"/>
      <c r="W129" s="154"/>
      <c r="X129" s="55"/>
      <c r="Y129" s="154"/>
      <c r="Z129" s="47"/>
      <c r="AE129" s="2461"/>
      <c r="AF129" s="68"/>
    </row>
    <row r="130" spans="1:32" x14ac:dyDescent="0.35">
      <c r="A130" s="294"/>
      <c r="B130" s="997"/>
      <c r="C130" s="997"/>
      <c r="D130" s="293"/>
      <c r="E130" s="837" t="s">
        <v>10460</v>
      </c>
      <c r="F130" s="1138">
        <v>4</v>
      </c>
      <c r="G130" s="1138">
        <v>4</v>
      </c>
      <c r="H130" s="1138">
        <v>6</v>
      </c>
      <c r="I130" s="298"/>
      <c r="J130" s="298"/>
      <c r="K130" s="298"/>
      <c r="L130" s="298"/>
      <c r="M130" s="298"/>
      <c r="N130" s="487"/>
      <c r="O130" s="299"/>
      <c r="P130" s="298"/>
      <c r="Q130" s="1836">
        <f>4.15-3.35</f>
        <v>0.80000000000000027</v>
      </c>
      <c r="R130" s="925"/>
      <c r="S130" s="15"/>
      <c r="T130" s="233"/>
      <c r="U130" s="15"/>
      <c r="V130" s="15"/>
      <c r="W130" s="154"/>
      <c r="X130" s="55"/>
      <c r="Y130" s="154"/>
      <c r="Z130" s="47"/>
      <c r="AE130" s="2461"/>
      <c r="AF130" s="68"/>
    </row>
    <row r="131" spans="1:32" x14ac:dyDescent="0.35">
      <c r="A131" s="294"/>
      <c r="B131" s="997"/>
      <c r="C131" s="997"/>
      <c r="D131" s="293"/>
      <c r="E131" s="837" t="s">
        <v>10461</v>
      </c>
      <c r="F131" s="1138">
        <v>4</v>
      </c>
      <c r="G131" s="1138">
        <v>4</v>
      </c>
      <c r="H131" s="1138">
        <v>6</v>
      </c>
      <c r="I131" s="298"/>
      <c r="J131" s="298"/>
      <c r="K131" s="298"/>
      <c r="L131" s="298"/>
      <c r="M131" s="298"/>
      <c r="N131" s="2535">
        <v>0</v>
      </c>
      <c r="O131" s="299"/>
      <c r="P131" s="298"/>
      <c r="Q131" s="1836">
        <f>11.01-4.15</f>
        <v>6.8599999999999994</v>
      </c>
      <c r="R131" s="925"/>
      <c r="S131" s="15"/>
      <c r="T131" s="233"/>
      <c r="U131" s="15"/>
      <c r="V131" s="15"/>
      <c r="W131" s="154"/>
      <c r="X131" s="55"/>
      <c r="Y131" s="154"/>
      <c r="Z131" s="47"/>
      <c r="AE131" s="2461"/>
      <c r="AF131" s="68"/>
    </row>
    <row r="132" spans="1:32" ht="30.5" x14ac:dyDescent="0.35">
      <c r="A132" s="294">
        <v>48</v>
      </c>
      <c r="B132" s="997">
        <v>10466</v>
      </c>
      <c r="C132" s="358" t="s">
        <v>1656</v>
      </c>
      <c r="D132" s="2466" t="s">
        <v>4776</v>
      </c>
      <c r="E132" s="312" t="s">
        <v>8465</v>
      </c>
      <c r="F132" s="1944" t="s">
        <v>827</v>
      </c>
      <c r="G132" s="1944">
        <v>5</v>
      </c>
      <c r="H132" s="1944">
        <v>6</v>
      </c>
      <c r="I132" s="297">
        <f t="shared" si="10"/>
        <v>0.3</v>
      </c>
      <c r="J132" s="297">
        <f t="shared" si="11"/>
        <v>0.3</v>
      </c>
      <c r="K132" s="297"/>
      <c r="L132" s="297"/>
      <c r="M132" s="297"/>
      <c r="N132" s="297"/>
      <c r="O132" s="302"/>
      <c r="P132" s="297"/>
      <c r="Q132" s="2369"/>
      <c r="R132" s="1498">
        <v>0.3</v>
      </c>
      <c r="S132" s="17"/>
      <c r="T132" s="234"/>
      <c r="U132" s="17"/>
      <c r="V132" s="17"/>
      <c r="W132" s="154"/>
      <c r="X132" s="154"/>
      <c r="Y132" s="164"/>
      <c r="Z132" s="58"/>
      <c r="AB132" s="3">
        <v>1</v>
      </c>
      <c r="AE132" s="2461"/>
      <c r="AF132" s="68"/>
    </row>
    <row r="133" spans="1:32" x14ac:dyDescent="0.35">
      <c r="A133" s="525">
        <v>49</v>
      </c>
      <c r="B133" s="997">
        <v>10467</v>
      </c>
      <c r="C133" s="997"/>
      <c r="D133" s="293" t="s">
        <v>2675</v>
      </c>
      <c r="E133" s="288" t="s">
        <v>1696</v>
      </c>
      <c r="F133" s="1138"/>
      <c r="G133" s="1138" t="s">
        <v>191</v>
      </c>
      <c r="H133" s="1138" t="s">
        <v>191</v>
      </c>
      <c r="I133" s="297">
        <f t="shared" si="10"/>
        <v>6.25</v>
      </c>
      <c r="J133" s="297">
        <f t="shared" si="11"/>
        <v>6.25</v>
      </c>
      <c r="K133" s="297"/>
      <c r="L133" s="297"/>
      <c r="M133" s="297"/>
      <c r="N133" s="297"/>
      <c r="O133" s="618"/>
      <c r="P133" s="297"/>
      <c r="Q133" s="932">
        <f>SUM(Q134:Q135)</f>
        <v>6.25</v>
      </c>
      <c r="R133" s="925"/>
      <c r="S133" s="17"/>
      <c r="T133" s="234"/>
      <c r="U133" s="17"/>
      <c r="V133" s="17"/>
      <c r="W133" s="154">
        <v>12</v>
      </c>
      <c r="X133" s="55">
        <v>108.2</v>
      </c>
      <c r="Y133" s="154">
        <v>5</v>
      </c>
      <c r="Z133" s="47">
        <v>30</v>
      </c>
      <c r="AB133" s="3">
        <v>1</v>
      </c>
      <c r="AC133" s="62" t="s">
        <v>1799</v>
      </c>
      <c r="AD133" s="353">
        <v>33372</v>
      </c>
      <c r="AE133" s="2461"/>
      <c r="AF133" s="68"/>
    </row>
    <row r="134" spans="1:32" x14ac:dyDescent="0.35">
      <c r="A134" s="525"/>
      <c r="B134" s="997"/>
      <c r="C134" s="997"/>
      <c r="D134" s="293"/>
      <c r="E134" s="837" t="s">
        <v>2134</v>
      </c>
      <c r="F134" s="1138">
        <v>4</v>
      </c>
      <c r="G134" s="1138">
        <v>5</v>
      </c>
      <c r="H134" s="1138">
        <v>6</v>
      </c>
      <c r="I134" s="298"/>
      <c r="J134" s="298"/>
      <c r="K134" s="298"/>
      <c r="L134" s="298"/>
      <c r="M134" s="298"/>
      <c r="N134" s="298"/>
      <c r="O134" s="299"/>
      <c r="P134" s="298"/>
      <c r="Q134" s="1836">
        <v>0.25</v>
      </c>
      <c r="R134" s="925"/>
      <c r="S134" s="17"/>
      <c r="T134" s="234"/>
      <c r="U134" s="17"/>
      <c r="V134" s="17"/>
      <c r="W134" s="154"/>
      <c r="X134" s="55"/>
      <c r="Y134" s="154"/>
      <c r="Z134" s="47"/>
      <c r="AC134" s="62"/>
      <c r="AD134" s="353"/>
      <c r="AE134" s="2461"/>
      <c r="AF134" s="68"/>
    </row>
    <row r="135" spans="1:32" x14ac:dyDescent="0.35">
      <c r="A135" s="525"/>
      <c r="B135" s="997"/>
      <c r="C135" s="997"/>
      <c r="D135" s="293"/>
      <c r="E135" s="837" t="s">
        <v>1790</v>
      </c>
      <c r="F135" s="1138">
        <v>5</v>
      </c>
      <c r="G135" s="1138">
        <v>5</v>
      </c>
      <c r="H135" s="1138">
        <v>6</v>
      </c>
      <c r="I135" s="298"/>
      <c r="J135" s="298"/>
      <c r="K135" s="298"/>
      <c r="L135" s="298"/>
      <c r="M135" s="298"/>
      <c r="N135" s="298"/>
      <c r="O135" s="299"/>
      <c r="P135" s="298"/>
      <c r="Q135" s="1836">
        <f>6.25-0.25</f>
        <v>6</v>
      </c>
      <c r="R135" s="925"/>
      <c r="S135" s="17"/>
      <c r="T135" s="234"/>
      <c r="U135" s="17"/>
      <c r="V135" s="17"/>
      <c r="W135" s="154"/>
      <c r="X135" s="55"/>
      <c r="Y135" s="154"/>
      <c r="Z135" s="47"/>
      <c r="AC135" s="62"/>
      <c r="AD135" s="353"/>
      <c r="AE135" s="2461"/>
      <c r="AF135" s="68"/>
    </row>
    <row r="136" spans="1:32" x14ac:dyDescent="0.35">
      <c r="A136" s="294">
        <v>50</v>
      </c>
      <c r="B136" s="997">
        <v>10468</v>
      </c>
      <c r="C136" s="997"/>
      <c r="D136" s="293" t="s">
        <v>1549</v>
      </c>
      <c r="E136" s="288" t="s">
        <v>1697</v>
      </c>
      <c r="F136" s="1138">
        <v>5</v>
      </c>
      <c r="G136" s="1138">
        <v>5</v>
      </c>
      <c r="H136" s="1138">
        <v>6</v>
      </c>
      <c r="I136" s="297">
        <f t="shared" si="10"/>
        <v>4.45</v>
      </c>
      <c r="J136" s="297">
        <f t="shared" si="11"/>
        <v>4.45</v>
      </c>
      <c r="K136" s="297"/>
      <c r="L136" s="297"/>
      <c r="M136" s="297"/>
      <c r="N136" s="297"/>
      <c r="O136" s="618"/>
      <c r="P136" s="297"/>
      <c r="Q136" s="932">
        <v>4.45</v>
      </c>
      <c r="R136" s="925"/>
      <c r="S136" s="17"/>
      <c r="T136" s="234"/>
      <c r="U136" s="17"/>
      <c r="V136" s="17"/>
      <c r="W136" s="154">
        <v>7</v>
      </c>
      <c r="X136" s="55">
        <v>77.5</v>
      </c>
      <c r="Y136" s="154">
        <v>3</v>
      </c>
      <c r="Z136" s="47">
        <v>35</v>
      </c>
      <c r="AB136" s="3">
        <v>1</v>
      </c>
      <c r="AC136" s="62" t="s">
        <v>1799</v>
      </c>
      <c r="AD136" s="353">
        <v>33372</v>
      </c>
      <c r="AE136" s="2461"/>
      <c r="AF136" s="68"/>
    </row>
    <row r="137" spans="1:32" x14ac:dyDescent="0.35">
      <c r="A137" s="525">
        <v>51</v>
      </c>
      <c r="B137" s="997">
        <v>10469</v>
      </c>
      <c r="C137" s="997"/>
      <c r="D137" s="293" t="s">
        <v>1550</v>
      </c>
      <c r="E137" s="288" t="s">
        <v>2684</v>
      </c>
      <c r="F137" s="1138"/>
      <c r="G137" s="1138" t="s">
        <v>191</v>
      </c>
      <c r="H137" s="1138" t="s">
        <v>191</v>
      </c>
      <c r="I137" s="297">
        <f t="shared" si="10"/>
        <v>5.92</v>
      </c>
      <c r="J137" s="297">
        <f t="shared" si="11"/>
        <v>5.92</v>
      </c>
      <c r="K137" s="297"/>
      <c r="L137" s="297"/>
      <c r="M137" s="297"/>
      <c r="N137" s="297">
        <f>SUM(N138:N139)</f>
        <v>0.68500000000000005</v>
      </c>
      <c r="O137" s="618"/>
      <c r="P137" s="297"/>
      <c r="Q137" s="932"/>
      <c r="R137" s="925">
        <f>SUM(R138:R139)</f>
        <v>5.2350000000000003</v>
      </c>
      <c r="S137" s="17"/>
      <c r="T137" s="234"/>
      <c r="U137" s="17"/>
      <c r="V137" s="17"/>
      <c r="W137" s="154">
        <v>5</v>
      </c>
      <c r="X137" s="55">
        <v>55.5</v>
      </c>
      <c r="Y137" s="154"/>
      <c r="Z137" s="47"/>
      <c r="AB137" s="3">
        <v>1</v>
      </c>
      <c r="AE137" s="2461"/>
      <c r="AF137" s="68"/>
    </row>
    <row r="138" spans="1:32" x14ac:dyDescent="0.35">
      <c r="A138" s="294"/>
      <c r="B138" s="997">
        <v>10469</v>
      </c>
      <c r="C138" s="997"/>
      <c r="D138" s="293"/>
      <c r="E138" s="289" t="s">
        <v>2212</v>
      </c>
      <c r="F138" s="1138">
        <v>5</v>
      </c>
      <c r="G138" s="1138">
        <v>5</v>
      </c>
      <c r="H138" s="1138">
        <v>6</v>
      </c>
      <c r="I138" s="298"/>
      <c r="J138" s="298"/>
      <c r="K138" s="298"/>
      <c r="L138" s="298"/>
      <c r="M138" s="298"/>
      <c r="N138" s="298">
        <v>0.68500000000000005</v>
      </c>
      <c r="O138" s="620"/>
      <c r="P138" s="298"/>
      <c r="Q138" s="933"/>
      <c r="R138" s="927"/>
      <c r="S138" s="17"/>
      <c r="T138" s="234"/>
      <c r="U138" s="17"/>
      <c r="V138" s="17"/>
      <c r="W138" s="154"/>
      <c r="X138" s="55"/>
      <c r="Y138" s="154"/>
      <c r="Z138" s="47"/>
      <c r="AE138" s="2461"/>
      <c r="AF138" s="68"/>
    </row>
    <row r="139" spans="1:32" x14ac:dyDescent="0.35">
      <c r="A139" s="294"/>
      <c r="B139" s="997">
        <v>10469</v>
      </c>
      <c r="C139" s="997"/>
      <c r="D139" s="293"/>
      <c r="E139" s="838" t="s">
        <v>2685</v>
      </c>
      <c r="F139" s="1138" t="s">
        <v>827</v>
      </c>
      <c r="G139" s="1138">
        <v>5</v>
      </c>
      <c r="H139" s="1944">
        <v>6</v>
      </c>
      <c r="I139" s="298"/>
      <c r="J139" s="298"/>
      <c r="K139" s="298"/>
      <c r="L139" s="298"/>
      <c r="M139" s="298"/>
      <c r="N139" s="298"/>
      <c r="O139" s="620"/>
      <c r="P139" s="298"/>
      <c r="Q139" s="933"/>
      <c r="R139" s="927">
        <v>5.2350000000000003</v>
      </c>
      <c r="S139" s="17"/>
      <c r="T139" s="234"/>
      <c r="U139" s="17"/>
      <c r="V139" s="17"/>
      <c r="W139" s="154"/>
      <c r="X139" s="55"/>
      <c r="Y139" s="154"/>
      <c r="Z139" s="47"/>
      <c r="AE139" s="2461"/>
      <c r="AF139" s="68"/>
    </row>
    <row r="140" spans="1:32" ht="30.5" x14ac:dyDescent="0.35">
      <c r="A140" s="294">
        <v>52</v>
      </c>
      <c r="B140" s="997">
        <v>10470</v>
      </c>
      <c r="C140" s="997"/>
      <c r="D140" s="293" t="s">
        <v>3048</v>
      </c>
      <c r="E140" s="288" t="s">
        <v>2686</v>
      </c>
      <c r="F140" s="1138"/>
      <c r="G140" s="1138" t="s">
        <v>191</v>
      </c>
      <c r="H140" s="1138" t="s">
        <v>191</v>
      </c>
      <c r="I140" s="297">
        <f>J140+K140+L140</f>
        <v>8.8800000000000008</v>
      </c>
      <c r="J140" s="297">
        <f>SUM(M140:R140)</f>
        <v>8.8800000000000008</v>
      </c>
      <c r="K140" s="297"/>
      <c r="L140" s="297"/>
      <c r="M140" s="297"/>
      <c r="N140" s="297">
        <f>SUM(N141:N145)</f>
        <v>2.1870000000000003</v>
      </c>
      <c r="O140" s="618"/>
      <c r="P140" s="297"/>
      <c r="Q140" s="932">
        <f>SUM(Q141:Q145)</f>
        <v>6.2130000000000001</v>
      </c>
      <c r="R140" s="925">
        <f>SUM(R141:R145)</f>
        <v>0.48</v>
      </c>
      <c r="S140" s="17"/>
      <c r="T140" s="234"/>
      <c r="U140" s="17"/>
      <c r="V140" s="17"/>
      <c r="W140" s="154">
        <v>10</v>
      </c>
      <c r="X140" s="55">
        <v>119.6</v>
      </c>
      <c r="Y140" s="154">
        <v>1</v>
      </c>
      <c r="Z140" s="47">
        <v>12</v>
      </c>
      <c r="AB140" s="3">
        <v>1</v>
      </c>
      <c r="AE140" s="2461"/>
      <c r="AF140" s="68"/>
    </row>
    <row r="141" spans="1:32" x14ac:dyDescent="0.35">
      <c r="A141" s="294"/>
      <c r="B141" s="997">
        <v>10470</v>
      </c>
      <c r="C141" s="997"/>
      <c r="D141" s="293"/>
      <c r="E141" s="289" t="s">
        <v>2409</v>
      </c>
      <c r="F141" s="1138">
        <v>5</v>
      </c>
      <c r="G141" s="1138">
        <v>4</v>
      </c>
      <c r="H141" s="1138">
        <v>6</v>
      </c>
      <c r="I141" s="298"/>
      <c r="J141" s="298"/>
      <c r="K141" s="298"/>
      <c r="L141" s="298"/>
      <c r="M141" s="298"/>
      <c r="N141" s="298">
        <v>2.1</v>
      </c>
      <c r="O141" s="620"/>
      <c r="P141" s="298"/>
      <c r="Q141" s="933"/>
      <c r="R141" s="927"/>
      <c r="S141" s="17"/>
      <c r="T141" s="234"/>
      <c r="U141" s="17"/>
      <c r="V141" s="17"/>
      <c r="W141" s="154"/>
      <c r="X141" s="55"/>
      <c r="Y141" s="154"/>
      <c r="Z141" s="47"/>
      <c r="AE141" s="2461"/>
      <c r="AF141" s="68"/>
    </row>
    <row r="142" spans="1:32" x14ac:dyDescent="0.35">
      <c r="A142" s="294"/>
      <c r="B142" s="997">
        <v>10470</v>
      </c>
      <c r="C142" s="997"/>
      <c r="D142" s="293"/>
      <c r="E142" s="837" t="s">
        <v>2687</v>
      </c>
      <c r="F142" s="1138">
        <v>5</v>
      </c>
      <c r="G142" s="1138">
        <v>5</v>
      </c>
      <c r="H142" s="1138">
        <v>6</v>
      </c>
      <c r="I142" s="298"/>
      <c r="J142" s="298"/>
      <c r="K142" s="298"/>
      <c r="L142" s="298"/>
      <c r="M142" s="298"/>
      <c r="N142" s="298"/>
      <c r="O142" s="620"/>
      <c r="P142" s="298"/>
      <c r="Q142" s="933">
        <v>3.2</v>
      </c>
      <c r="R142" s="927"/>
      <c r="S142" s="17"/>
      <c r="T142" s="234"/>
      <c r="U142" s="17"/>
      <c r="V142" s="17"/>
      <c r="W142" s="154"/>
      <c r="X142" s="55"/>
      <c r="Y142" s="154"/>
      <c r="Z142" s="47"/>
      <c r="AE142" s="2461"/>
      <c r="AF142" s="68"/>
    </row>
    <row r="143" spans="1:32" x14ac:dyDescent="0.35">
      <c r="A143" s="294"/>
      <c r="B143" s="997">
        <v>10470</v>
      </c>
      <c r="C143" s="997"/>
      <c r="D143" s="293"/>
      <c r="E143" s="838" t="s">
        <v>2688</v>
      </c>
      <c r="F143" s="1138">
        <v>5</v>
      </c>
      <c r="G143" s="1138">
        <v>5</v>
      </c>
      <c r="H143" s="1944">
        <v>6</v>
      </c>
      <c r="I143" s="298"/>
      <c r="J143" s="298"/>
      <c r="K143" s="298"/>
      <c r="L143" s="298"/>
      <c r="M143" s="298"/>
      <c r="N143" s="298"/>
      <c r="O143" s="620"/>
      <c r="P143" s="298"/>
      <c r="Q143" s="933"/>
      <c r="R143" s="927">
        <v>0.48</v>
      </c>
      <c r="S143" s="17"/>
      <c r="T143" s="234"/>
      <c r="U143" s="17"/>
      <c r="V143" s="17"/>
      <c r="W143" s="154"/>
      <c r="X143" s="55"/>
      <c r="Y143" s="154"/>
      <c r="Z143" s="47"/>
      <c r="AE143" s="2461"/>
      <c r="AF143" s="68"/>
    </row>
    <row r="144" spans="1:32" x14ac:dyDescent="0.35">
      <c r="A144" s="294"/>
      <c r="B144" s="997">
        <v>10470</v>
      </c>
      <c r="C144" s="997"/>
      <c r="D144" s="293"/>
      <c r="E144" s="837" t="s">
        <v>2689</v>
      </c>
      <c r="F144" s="1138">
        <v>5</v>
      </c>
      <c r="G144" s="1138">
        <v>5</v>
      </c>
      <c r="H144" s="1138">
        <v>6</v>
      </c>
      <c r="I144" s="298"/>
      <c r="J144" s="298"/>
      <c r="K144" s="298"/>
      <c r="L144" s="298"/>
      <c r="M144" s="298"/>
      <c r="N144" s="298"/>
      <c r="O144" s="620"/>
      <c r="P144" s="298"/>
      <c r="Q144" s="933">
        <v>3.0129999999999999</v>
      </c>
      <c r="R144" s="927"/>
      <c r="S144" s="17"/>
      <c r="T144" s="234"/>
      <c r="U144" s="17"/>
      <c r="V144" s="17"/>
      <c r="W144" s="154"/>
      <c r="X144" s="55"/>
      <c r="Y144" s="154"/>
      <c r="Z144" s="47"/>
      <c r="AE144" s="2461"/>
      <c r="AF144" s="68"/>
    </row>
    <row r="145" spans="1:32" x14ac:dyDescent="0.35">
      <c r="A145" s="515"/>
      <c r="B145" s="515">
        <v>10470</v>
      </c>
      <c r="C145" s="515"/>
      <c r="D145" s="293"/>
      <c r="E145" s="459" t="s">
        <v>2690</v>
      </c>
      <c r="F145" s="1138">
        <v>5</v>
      </c>
      <c r="G145" s="1138">
        <v>5</v>
      </c>
      <c r="H145" s="1138">
        <v>6</v>
      </c>
      <c r="I145" s="298"/>
      <c r="J145" s="298"/>
      <c r="K145" s="298"/>
      <c r="L145" s="298"/>
      <c r="M145" s="298"/>
      <c r="N145" s="298">
        <v>8.6999999999999994E-2</v>
      </c>
      <c r="O145" s="620"/>
      <c r="P145" s="298"/>
      <c r="Q145" s="933"/>
      <c r="R145" s="927"/>
      <c r="S145" s="17"/>
      <c r="T145" s="234"/>
      <c r="U145" s="17"/>
      <c r="V145" s="17"/>
      <c r="W145" s="154"/>
      <c r="X145" s="55"/>
      <c r="Y145" s="154"/>
      <c r="Z145" s="46"/>
      <c r="AE145" s="2461"/>
      <c r="AF145" s="68"/>
    </row>
    <row r="146" spans="1:32" ht="45" x14ac:dyDescent="0.35">
      <c r="A146" s="693">
        <v>53</v>
      </c>
      <c r="B146" s="693">
        <v>10470</v>
      </c>
      <c r="C146" s="997" t="s">
        <v>1656</v>
      </c>
      <c r="D146" s="2466" t="s">
        <v>4777</v>
      </c>
      <c r="E146" s="2187" t="s">
        <v>8466</v>
      </c>
      <c r="F146" s="1138" t="s">
        <v>1490</v>
      </c>
      <c r="G146" s="92">
        <v>5</v>
      </c>
      <c r="H146" s="1944">
        <v>6</v>
      </c>
      <c r="I146" s="702">
        <f>J146+K146+L146</f>
        <v>0.2</v>
      </c>
      <c r="J146" s="702">
        <f>SUM(M146:R146)</f>
        <v>0.2</v>
      </c>
      <c r="K146" s="46"/>
      <c r="L146" s="46"/>
      <c r="M146" s="46"/>
      <c r="N146" s="46"/>
      <c r="O146" s="46"/>
      <c r="P146" s="46"/>
      <c r="Q146" s="46"/>
      <c r="R146" s="906">
        <v>0.2</v>
      </c>
      <c r="S146" s="106"/>
      <c r="T146" s="106"/>
      <c r="U146" s="106"/>
      <c r="V146" s="106"/>
      <c r="W146" s="105"/>
      <c r="X146" s="105"/>
      <c r="Y146" s="105"/>
      <c r="Z146" s="181"/>
      <c r="AB146" s="3">
        <v>1</v>
      </c>
      <c r="AE146" s="2461"/>
      <c r="AF146" s="68"/>
    </row>
    <row r="147" spans="1:32" ht="45" x14ac:dyDescent="0.35">
      <c r="A147" s="693">
        <v>54</v>
      </c>
      <c r="B147" s="693">
        <v>10470</v>
      </c>
      <c r="C147" s="997" t="s">
        <v>1656</v>
      </c>
      <c r="D147" s="2466" t="s">
        <v>4778</v>
      </c>
      <c r="E147" s="2187" t="s">
        <v>8467</v>
      </c>
      <c r="F147" s="1138" t="s">
        <v>1490</v>
      </c>
      <c r="G147" s="92">
        <v>5</v>
      </c>
      <c r="H147" s="1944">
        <v>6</v>
      </c>
      <c r="I147" s="702">
        <f>J147+K147+L147</f>
        <v>0.2</v>
      </c>
      <c r="J147" s="702">
        <f>SUM(M147:R147)</f>
        <v>0.2</v>
      </c>
      <c r="K147" s="622"/>
      <c r="L147" s="622"/>
      <c r="M147" s="622"/>
      <c r="N147" s="622"/>
      <c r="O147" s="622"/>
      <c r="P147" s="622"/>
      <c r="Q147" s="622"/>
      <c r="R147" s="906">
        <v>0.2</v>
      </c>
      <c r="S147" s="106"/>
      <c r="T147" s="106"/>
      <c r="U147" s="106"/>
      <c r="V147" s="106"/>
      <c r="W147" s="105"/>
      <c r="X147" s="105"/>
      <c r="Y147" s="105"/>
      <c r="Z147" s="105"/>
      <c r="AB147" s="3">
        <v>1</v>
      </c>
      <c r="AE147" s="2461"/>
      <c r="AF147" s="68"/>
    </row>
    <row r="148" spans="1:32" ht="30.5" x14ac:dyDescent="0.35">
      <c r="A148" s="515">
        <v>55</v>
      </c>
      <c r="B148" s="515">
        <v>10471</v>
      </c>
      <c r="C148" s="515"/>
      <c r="D148" s="293" t="s">
        <v>257</v>
      </c>
      <c r="E148" s="288" t="s">
        <v>2313</v>
      </c>
      <c r="F148" s="1138"/>
      <c r="G148" s="1138" t="s">
        <v>191</v>
      </c>
      <c r="H148" s="1138" t="s">
        <v>191</v>
      </c>
      <c r="I148" s="297">
        <f>J148+K148+L148</f>
        <v>17.866</v>
      </c>
      <c r="J148" s="297">
        <f>SUM(M148:R148)</f>
        <v>17.866</v>
      </c>
      <c r="K148" s="297"/>
      <c r="L148" s="297"/>
      <c r="M148" s="297"/>
      <c r="N148" s="297">
        <f>SUM(N149:N153)</f>
        <v>10.209</v>
      </c>
      <c r="O148" s="618"/>
      <c r="P148" s="297"/>
      <c r="Q148" s="932">
        <f>SUM(Q149:Q153)</f>
        <v>7.6569999999999991</v>
      </c>
      <c r="R148" s="925"/>
      <c r="S148" s="15">
        <v>1</v>
      </c>
      <c r="T148" s="233">
        <v>6.3</v>
      </c>
      <c r="U148" s="15"/>
      <c r="V148" s="15"/>
      <c r="W148" s="55">
        <v>32</v>
      </c>
      <c r="X148" s="55">
        <v>362.4</v>
      </c>
      <c r="Y148" s="154">
        <v>22</v>
      </c>
      <c r="Z148" s="46">
        <v>222</v>
      </c>
      <c r="AA148" s="3" t="s">
        <v>2415</v>
      </c>
      <c r="AB148" s="3">
        <v>1</v>
      </c>
      <c r="AE148" s="2461"/>
      <c r="AF148" s="68"/>
    </row>
    <row r="149" spans="1:32" x14ac:dyDescent="0.35">
      <c r="A149" s="515"/>
      <c r="B149" s="515">
        <v>10471</v>
      </c>
      <c r="C149" s="515"/>
      <c r="D149" s="293"/>
      <c r="E149" s="289" t="s">
        <v>765</v>
      </c>
      <c r="F149" s="1138">
        <v>4</v>
      </c>
      <c r="G149" s="1138">
        <v>4</v>
      </c>
      <c r="H149" s="1138">
        <v>6</v>
      </c>
      <c r="I149" s="303"/>
      <c r="J149" s="303"/>
      <c r="K149" s="303"/>
      <c r="L149" s="303"/>
      <c r="M149" s="303"/>
      <c r="N149" s="303">
        <v>7</v>
      </c>
      <c r="O149" s="620"/>
      <c r="P149" s="303"/>
      <c r="Q149" s="933"/>
      <c r="R149" s="925"/>
      <c r="S149" s="15"/>
      <c r="T149" s="233"/>
      <c r="U149" s="15"/>
      <c r="V149" s="15"/>
      <c r="W149" s="55"/>
      <c r="X149" s="55"/>
      <c r="Y149" s="154"/>
      <c r="Z149" s="46"/>
      <c r="AA149" s="3" t="s">
        <v>335</v>
      </c>
      <c r="AE149" s="2461"/>
      <c r="AF149" s="68"/>
    </row>
    <row r="150" spans="1:32" x14ac:dyDescent="0.35">
      <c r="A150" s="515"/>
      <c r="B150" s="515"/>
      <c r="C150" s="515"/>
      <c r="D150" s="293"/>
      <c r="E150" s="837" t="s">
        <v>934</v>
      </c>
      <c r="F150" s="1138">
        <v>4</v>
      </c>
      <c r="G150" s="1138">
        <v>4</v>
      </c>
      <c r="H150" s="1138">
        <v>6</v>
      </c>
      <c r="I150" s="303"/>
      <c r="J150" s="303"/>
      <c r="K150" s="303"/>
      <c r="L150" s="303"/>
      <c r="M150" s="303"/>
      <c r="N150" s="303"/>
      <c r="O150" s="620"/>
      <c r="P150" s="303"/>
      <c r="Q150" s="933">
        <f>7.7-7</f>
        <v>0.70000000000000018</v>
      </c>
      <c r="R150" s="925"/>
      <c r="S150" s="15"/>
      <c r="T150" s="233"/>
      <c r="U150" s="15"/>
      <c r="V150" s="15"/>
      <c r="W150" s="55"/>
      <c r="X150" s="55"/>
      <c r="Y150" s="154"/>
      <c r="Z150" s="46"/>
      <c r="AE150" s="2461"/>
      <c r="AF150" s="68"/>
    </row>
    <row r="151" spans="1:32" x14ac:dyDescent="0.35">
      <c r="A151" s="515"/>
      <c r="B151" s="515"/>
      <c r="C151" s="515"/>
      <c r="D151" s="293"/>
      <c r="E151" s="289" t="s">
        <v>935</v>
      </c>
      <c r="F151" s="1138">
        <v>4</v>
      </c>
      <c r="G151" s="1138">
        <v>4</v>
      </c>
      <c r="H151" s="1138">
        <v>6</v>
      </c>
      <c r="I151" s="303"/>
      <c r="J151" s="303"/>
      <c r="K151" s="303"/>
      <c r="L151" s="303"/>
      <c r="M151" s="303"/>
      <c r="N151" s="303">
        <f>10.809-7.7</f>
        <v>3.1089999999999991</v>
      </c>
      <c r="O151" s="620"/>
      <c r="P151" s="303"/>
      <c r="Q151" s="933"/>
      <c r="R151" s="925"/>
      <c r="S151" s="15"/>
      <c r="T151" s="233"/>
      <c r="U151" s="15"/>
      <c r="V151" s="15"/>
      <c r="W151" s="55"/>
      <c r="X151" s="55"/>
      <c r="Y151" s="154"/>
      <c r="Z151" s="46"/>
      <c r="AE151" s="2461"/>
      <c r="AF151" s="68"/>
    </row>
    <row r="152" spans="1:32" x14ac:dyDescent="0.35">
      <c r="A152" s="515"/>
      <c r="B152" s="515"/>
      <c r="C152" s="515"/>
      <c r="D152" s="293"/>
      <c r="E152" s="837" t="s">
        <v>936</v>
      </c>
      <c r="F152" s="1138">
        <v>4</v>
      </c>
      <c r="G152" s="1138">
        <v>5</v>
      </c>
      <c r="H152" s="1138">
        <v>6</v>
      </c>
      <c r="I152" s="303"/>
      <c r="J152" s="303"/>
      <c r="K152" s="303"/>
      <c r="L152" s="303"/>
      <c r="M152" s="303"/>
      <c r="N152" s="303"/>
      <c r="O152" s="620"/>
      <c r="P152" s="303"/>
      <c r="Q152" s="933">
        <f>17.766-10.809</f>
        <v>6.956999999999999</v>
      </c>
      <c r="R152" s="925"/>
      <c r="S152" s="15"/>
      <c r="T152" s="233"/>
      <c r="U152" s="15"/>
      <c r="V152" s="15"/>
      <c r="W152" s="55"/>
      <c r="X152" s="55"/>
      <c r="Y152" s="154"/>
      <c r="Z152" s="46"/>
      <c r="AE152" s="2461"/>
      <c r="AF152" s="68"/>
    </row>
    <row r="153" spans="1:32" x14ac:dyDescent="0.35">
      <c r="A153" s="294"/>
      <c r="B153" s="997">
        <v>10471</v>
      </c>
      <c r="C153" s="997"/>
      <c r="D153" s="293"/>
      <c r="E153" s="289" t="s">
        <v>937</v>
      </c>
      <c r="F153" s="1138">
        <v>4</v>
      </c>
      <c r="G153" s="1138">
        <v>5</v>
      </c>
      <c r="H153" s="1138">
        <v>6</v>
      </c>
      <c r="I153" s="303"/>
      <c r="J153" s="303"/>
      <c r="K153" s="303"/>
      <c r="L153" s="303"/>
      <c r="M153" s="303"/>
      <c r="N153" s="303">
        <f>17.866-17.766</f>
        <v>0.10000000000000142</v>
      </c>
      <c r="O153" s="620"/>
      <c r="P153" s="303"/>
      <c r="Q153" s="933"/>
      <c r="R153" s="925"/>
      <c r="S153" s="15"/>
      <c r="T153" s="233"/>
      <c r="U153" s="15"/>
      <c r="V153" s="15"/>
      <c r="W153" s="55"/>
      <c r="X153" s="55"/>
      <c r="Y153" s="154"/>
      <c r="Z153" s="47"/>
      <c r="AE153" s="2461"/>
      <c r="AF153" s="68"/>
    </row>
    <row r="154" spans="1:32" ht="45.5" x14ac:dyDescent="0.35">
      <c r="A154" s="294">
        <v>56</v>
      </c>
      <c r="B154" s="997">
        <v>10471</v>
      </c>
      <c r="C154" s="997" t="s">
        <v>1656</v>
      </c>
      <c r="D154" s="2466" t="s">
        <v>4779</v>
      </c>
      <c r="E154" s="473" t="s">
        <v>8468</v>
      </c>
      <c r="F154" s="92">
        <v>5</v>
      </c>
      <c r="G154" s="92">
        <v>5</v>
      </c>
      <c r="H154" s="1944">
        <v>6</v>
      </c>
      <c r="I154" s="297">
        <f>J154+K154+L154</f>
        <v>0.5</v>
      </c>
      <c r="J154" s="297">
        <f>SUM(M154:R154)</f>
        <v>0.5</v>
      </c>
      <c r="K154" s="622"/>
      <c r="L154" s="622"/>
      <c r="M154" s="622"/>
      <c r="N154" s="622"/>
      <c r="O154" s="1209"/>
      <c r="P154" s="622"/>
      <c r="Q154" s="934"/>
      <c r="R154" s="926">
        <v>0.5</v>
      </c>
      <c r="S154" s="106"/>
      <c r="T154" s="236"/>
      <c r="U154" s="106"/>
      <c r="V154" s="106"/>
      <c r="W154" s="106"/>
      <c r="X154" s="106"/>
      <c r="Y154" s="106"/>
      <c r="Z154" s="119"/>
      <c r="AB154" s="3">
        <v>1</v>
      </c>
      <c r="AC154" s="3" t="s">
        <v>2570</v>
      </c>
      <c r="AE154" s="2461"/>
      <c r="AF154" s="68"/>
    </row>
    <row r="155" spans="1:32" ht="45.5" x14ac:dyDescent="0.35">
      <c r="A155" s="295">
        <v>57</v>
      </c>
      <c r="B155" s="997">
        <v>10471</v>
      </c>
      <c r="C155" s="358" t="s">
        <v>1656</v>
      </c>
      <c r="D155" s="2466" t="s">
        <v>4780</v>
      </c>
      <c r="E155" s="312" t="s">
        <v>8469</v>
      </c>
      <c r="F155" s="1944" t="s">
        <v>827</v>
      </c>
      <c r="G155" s="1944">
        <v>5</v>
      </c>
      <c r="H155" s="1944">
        <v>6</v>
      </c>
      <c r="I155" s="297">
        <f>J155+K155+L155</f>
        <v>0.1</v>
      </c>
      <c r="J155" s="297">
        <f>SUM(M155:R155)</f>
        <v>0.1</v>
      </c>
      <c r="K155" s="297"/>
      <c r="L155" s="297"/>
      <c r="M155" s="297"/>
      <c r="N155" s="297"/>
      <c r="O155" s="302"/>
      <c r="P155" s="297"/>
      <c r="Q155" s="2369"/>
      <c r="R155" s="1498">
        <v>0.1</v>
      </c>
      <c r="S155" s="17"/>
      <c r="T155" s="234"/>
      <c r="U155" s="17"/>
      <c r="V155" s="17"/>
      <c r="W155" s="154"/>
      <c r="X155" s="154"/>
      <c r="Y155" s="164"/>
      <c r="Z155" s="58"/>
      <c r="AB155" s="3">
        <v>1</v>
      </c>
      <c r="AE155" s="2461"/>
      <c r="AF155" s="68"/>
    </row>
    <row r="156" spans="1:32" x14ac:dyDescent="0.35">
      <c r="A156" s="294">
        <v>58</v>
      </c>
      <c r="B156" s="997">
        <v>10472</v>
      </c>
      <c r="C156" s="997"/>
      <c r="D156" s="293" t="s">
        <v>575</v>
      </c>
      <c r="E156" s="288" t="s">
        <v>7121</v>
      </c>
      <c r="F156" s="1138">
        <v>5</v>
      </c>
      <c r="G156" s="1138">
        <v>5</v>
      </c>
      <c r="H156" s="1138">
        <v>6</v>
      </c>
      <c r="I156" s="297">
        <f>J156+K156+L156</f>
        <v>2.4849999999999999</v>
      </c>
      <c r="J156" s="297">
        <f>SUM(M156:R156)</f>
        <v>2.4849999999999999</v>
      </c>
      <c r="K156" s="297"/>
      <c r="L156" s="297"/>
      <c r="M156" s="297"/>
      <c r="N156" s="297">
        <v>2.4849999999999999</v>
      </c>
      <c r="O156" s="618"/>
      <c r="P156" s="297"/>
      <c r="Q156" s="932"/>
      <c r="R156" s="925"/>
      <c r="S156" s="17"/>
      <c r="T156" s="234"/>
      <c r="U156" s="17"/>
      <c r="V156" s="17"/>
      <c r="W156" s="154">
        <v>2</v>
      </c>
      <c r="X156" s="154">
        <v>17.3</v>
      </c>
      <c r="Y156" s="154"/>
      <c r="Z156" s="47"/>
      <c r="AB156" s="3">
        <v>1</v>
      </c>
      <c r="AE156" s="2461"/>
      <c r="AF156" s="68"/>
    </row>
    <row r="157" spans="1:32" ht="45" x14ac:dyDescent="0.35">
      <c r="A157" s="295">
        <v>59</v>
      </c>
      <c r="B157" s="1040">
        <v>10472</v>
      </c>
      <c r="C157" s="997" t="s">
        <v>1656</v>
      </c>
      <c r="D157" s="2466" t="s">
        <v>4781</v>
      </c>
      <c r="E157" s="2187" t="s">
        <v>7375</v>
      </c>
      <c r="F157" s="92"/>
      <c r="G157" s="92" t="s">
        <v>191</v>
      </c>
      <c r="H157" s="1138" t="s">
        <v>191</v>
      </c>
      <c r="I157" s="702">
        <f>J157+K157+L157</f>
        <v>3.0049999999999999</v>
      </c>
      <c r="J157" s="702">
        <f>SUM(M157:R157)</f>
        <v>3.0049999999999999</v>
      </c>
      <c r="K157" s="622"/>
      <c r="L157" s="622"/>
      <c r="M157" s="622"/>
      <c r="N157" s="622">
        <f>SUM(N158:N160)</f>
        <v>1.347</v>
      </c>
      <c r="O157" s="622"/>
      <c r="P157" s="622"/>
      <c r="Q157" s="2085">
        <f>SUM(Q158:Q160)</f>
        <v>1.6579999999999999</v>
      </c>
      <c r="R157" s="2106"/>
      <c r="S157" s="106"/>
      <c r="T157" s="106"/>
      <c r="U157" s="106"/>
      <c r="V157" s="106"/>
      <c r="W157" s="105"/>
      <c r="X157" s="105"/>
      <c r="Y157" s="105"/>
      <c r="Z157" s="323"/>
      <c r="AA157" s="3">
        <v>1</v>
      </c>
      <c r="AB157" s="3">
        <v>1</v>
      </c>
      <c r="AE157" s="2461"/>
      <c r="AF157" s="68"/>
    </row>
    <row r="158" spans="1:32" x14ac:dyDescent="0.35">
      <c r="A158" s="525"/>
      <c r="B158" s="1040">
        <v>10472</v>
      </c>
      <c r="C158" s="1040"/>
      <c r="D158" s="106"/>
      <c r="E158" s="2105" t="s">
        <v>559</v>
      </c>
      <c r="F158" s="92">
        <v>5</v>
      </c>
      <c r="G158" s="92">
        <v>5</v>
      </c>
      <c r="H158" s="1138">
        <v>6</v>
      </c>
      <c r="I158" s="702"/>
      <c r="J158" s="702"/>
      <c r="K158" s="622"/>
      <c r="L158" s="622"/>
      <c r="M158" s="622"/>
      <c r="N158" s="395"/>
      <c r="O158" s="395"/>
      <c r="P158" s="395"/>
      <c r="Q158" s="2086">
        <v>1.38</v>
      </c>
      <c r="R158" s="907"/>
      <c r="S158" s="106"/>
      <c r="T158" s="106"/>
      <c r="U158" s="106"/>
      <c r="V158" s="106"/>
      <c r="W158" s="105"/>
      <c r="X158" s="105"/>
      <c r="Y158" s="105"/>
      <c r="Z158" s="323"/>
      <c r="AE158" s="2461"/>
      <c r="AF158" s="68"/>
    </row>
    <row r="159" spans="1:32" x14ac:dyDescent="0.35">
      <c r="A159" s="525"/>
      <c r="B159" s="1040">
        <v>10472</v>
      </c>
      <c r="C159" s="1040"/>
      <c r="D159" s="106"/>
      <c r="E159" s="2092" t="s">
        <v>560</v>
      </c>
      <c r="F159" s="92">
        <v>5</v>
      </c>
      <c r="G159" s="92">
        <v>5</v>
      </c>
      <c r="H159" s="1138">
        <v>6</v>
      </c>
      <c r="I159" s="702"/>
      <c r="J159" s="702"/>
      <c r="K159" s="622"/>
      <c r="L159" s="622"/>
      <c r="M159" s="622"/>
      <c r="N159" s="395">
        <f>2.727-1.38</f>
        <v>1.347</v>
      </c>
      <c r="O159" s="395"/>
      <c r="P159" s="395"/>
      <c r="Q159" s="2086"/>
      <c r="R159" s="907"/>
      <c r="S159" s="106"/>
      <c r="T159" s="106"/>
      <c r="U159" s="106"/>
      <c r="V159" s="106"/>
      <c r="W159" s="105"/>
      <c r="X159" s="105"/>
      <c r="Y159" s="105"/>
      <c r="Z159" s="323"/>
      <c r="AE159" s="2461"/>
      <c r="AF159" s="68"/>
    </row>
    <row r="160" spans="1:32" x14ac:dyDescent="0.35">
      <c r="A160" s="525"/>
      <c r="B160" s="1040"/>
      <c r="C160" s="1040"/>
      <c r="D160" s="106"/>
      <c r="E160" s="2105" t="s">
        <v>561</v>
      </c>
      <c r="F160" s="92">
        <v>5</v>
      </c>
      <c r="G160" s="92">
        <v>5</v>
      </c>
      <c r="H160" s="1138">
        <v>6</v>
      </c>
      <c r="I160" s="702"/>
      <c r="J160" s="702"/>
      <c r="K160" s="622"/>
      <c r="L160" s="622"/>
      <c r="M160" s="622"/>
      <c r="N160" s="395"/>
      <c r="O160" s="395"/>
      <c r="P160" s="395"/>
      <c r="Q160" s="2086">
        <f>3.005-2.727</f>
        <v>0.27800000000000002</v>
      </c>
      <c r="R160" s="907"/>
      <c r="S160" s="106"/>
      <c r="T160" s="106"/>
      <c r="U160" s="106"/>
      <c r="V160" s="106"/>
      <c r="W160" s="105"/>
      <c r="X160" s="105"/>
      <c r="Y160" s="105"/>
      <c r="Z160" s="323"/>
      <c r="AE160" s="2461"/>
      <c r="AF160" s="68"/>
    </row>
    <row r="161" spans="1:32" ht="45" x14ac:dyDescent="0.35">
      <c r="A161" s="693">
        <v>60</v>
      </c>
      <c r="B161" s="693">
        <v>10472</v>
      </c>
      <c r="C161" s="693" t="s">
        <v>1656</v>
      </c>
      <c r="D161" s="2466" t="s">
        <v>4782</v>
      </c>
      <c r="E161" s="2187" t="s">
        <v>7700</v>
      </c>
      <c r="F161" s="2289" t="s">
        <v>1490</v>
      </c>
      <c r="G161" s="93">
        <v>5</v>
      </c>
      <c r="H161" s="1944">
        <v>6</v>
      </c>
      <c r="I161" s="2202">
        <f>J161+K161+L161</f>
        <v>0.8</v>
      </c>
      <c r="J161" s="2202">
        <f>SUM(M161:R161)</f>
        <v>0.8</v>
      </c>
      <c r="K161" s="105"/>
      <c r="L161" s="105"/>
      <c r="M161" s="105"/>
      <c r="N161" s="105"/>
      <c r="O161" s="105"/>
      <c r="P161" s="105"/>
      <c r="Q161" s="105"/>
      <c r="R161" s="2207">
        <v>0.8</v>
      </c>
      <c r="S161" s="106"/>
      <c r="T161" s="106"/>
      <c r="U161" s="106"/>
      <c r="V161" s="106"/>
      <c r="W161" s="105"/>
      <c r="X161" s="105"/>
      <c r="Y161" s="105"/>
      <c r="Z161" s="181"/>
      <c r="AB161" s="3">
        <v>1</v>
      </c>
      <c r="AC161" s="3" t="s">
        <v>2570</v>
      </c>
      <c r="AE161" s="2461"/>
      <c r="AF161" s="68"/>
    </row>
    <row r="162" spans="1:32" ht="30.5" x14ac:dyDescent="0.35">
      <c r="A162" s="294">
        <v>61</v>
      </c>
      <c r="B162" s="997">
        <v>10473</v>
      </c>
      <c r="C162" s="997"/>
      <c r="D162" s="293" t="s">
        <v>2454</v>
      </c>
      <c r="E162" s="288" t="s">
        <v>264</v>
      </c>
      <c r="F162" s="1138"/>
      <c r="G162" s="1138" t="s">
        <v>191</v>
      </c>
      <c r="H162" s="1138" t="s">
        <v>191</v>
      </c>
      <c r="I162" s="297">
        <f>J162+K162+L162</f>
        <v>4.0200000000000005</v>
      </c>
      <c r="J162" s="297">
        <f>SUM(M162:R162)</f>
        <v>4.0200000000000005</v>
      </c>
      <c r="K162" s="297"/>
      <c r="L162" s="297"/>
      <c r="M162" s="297"/>
      <c r="N162" s="297">
        <f>SUM(N163:N165)</f>
        <v>0.92500000000000004</v>
      </c>
      <c r="O162" s="618"/>
      <c r="P162" s="297"/>
      <c r="Q162" s="932"/>
      <c r="R162" s="925">
        <f>SUM(R163:R165)</f>
        <v>3.0950000000000002</v>
      </c>
      <c r="S162" s="17"/>
      <c r="T162" s="234"/>
      <c r="U162" s="17"/>
      <c r="V162" s="17"/>
      <c r="W162" s="154">
        <v>8</v>
      </c>
      <c r="X162" s="154">
        <v>79.5</v>
      </c>
      <c r="Y162" s="154">
        <v>1</v>
      </c>
      <c r="Z162" s="47">
        <v>10</v>
      </c>
      <c r="AB162" s="3">
        <v>1</v>
      </c>
      <c r="AE162" s="2461"/>
      <c r="AF162" s="68"/>
    </row>
    <row r="163" spans="1:32" x14ac:dyDescent="0.35">
      <c r="A163" s="294"/>
      <c r="B163" s="997">
        <v>10473</v>
      </c>
      <c r="C163" s="997"/>
      <c r="D163" s="293"/>
      <c r="E163" s="838" t="s">
        <v>2560</v>
      </c>
      <c r="F163" s="1138" t="s">
        <v>827</v>
      </c>
      <c r="G163" s="1138">
        <v>5</v>
      </c>
      <c r="H163" s="1944">
        <v>6</v>
      </c>
      <c r="I163" s="303"/>
      <c r="J163" s="303"/>
      <c r="K163" s="303"/>
      <c r="L163" s="303"/>
      <c r="M163" s="303"/>
      <c r="N163" s="303"/>
      <c r="O163" s="620"/>
      <c r="P163" s="303"/>
      <c r="Q163" s="933"/>
      <c r="R163" s="927">
        <v>2.4750000000000001</v>
      </c>
      <c r="S163" s="17"/>
      <c r="T163" s="234"/>
      <c r="U163" s="17"/>
      <c r="V163" s="17"/>
      <c r="W163" s="154"/>
      <c r="X163" s="154"/>
      <c r="Y163" s="154"/>
      <c r="Z163" s="47"/>
      <c r="AE163" s="2461"/>
      <c r="AF163" s="68"/>
    </row>
    <row r="164" spans="1:32" x14ac:dyDescent="0.35">
      <c r="A164" s="294"/>
      <c r="B164" s="997">
        <v>10473</v>
      </c>
      <c r="C164" s="997"/>
      <c r="D164" s="293"/>
      <c r="E164" s="289" t="s">
        <v>2691</v>
      </c>
      <c r="F164" s="1138" t="s">
        <v>827</v>
      </c>
      <c r="G164" s="1138">
        <v>5</v>
      </c>
      <c r="H164" s="1138">
        <v>6</v>
      </c>
      <c r="I164" s="303"/>
      <c r="J164" s="303"/>
      <c r="K164" s="303"/>
      <c r="L164" s="303"/>
      <c r="M164" s="303"/>
      <c r="N164" s="303">
        <v>0.92500000000000004</v>
      </c>
      <c r="O164" s="620"/>
      <c r="P164" s="303"/>
      <c r="Q164" s="933"/>
      <c r="R164" s="927"/>
      <c r="S164" s="17"/>
      <c r="T164" s="234"/>
      <c r="U164" s="17"/>
      <c r="V164" s="17"/>
      <c r="W164" s="154"/>
      <c r="X164" s="154"/>
      <c r="Y164" s="154"/>
      <c r="Z164" s="47"/>
      <c r="AE164" s="2461"/>
      <c r="AF164" s="68"/>
    </row>
    <row r="165" spans="1:32" x14ac:dyDescent="0.35">
      <c r="A165" s="294"/>
      <c r="B165" s="997">
        <v>10473</v>
      </c>
      <c r="C165" s="997"/>
      <c r="D165" s="293"/>
      <c r="E165" s="838" t="s">
        <v>383</v>
      </c>
      <c r="F165" s="1138">
        <v>5</v>
      </c>
      <c r="G165" s="1138">
        <v>5</v>
      </c>
      <c r="H165" s="1944">
        <v>6</v>
      </c>
      <c r="I165" s="303"/>
      <c r="J165" s="303"/>
      <c r="K165" s="303"/>
      <c r="L165" s="303"/>
      <c r="M165" s="303"/>
      <c r="N165" s="303"/>
      <c r="O165" s="620"/>
      <c r="P165" s="303"/>
      <c r="Q165" s="933"/>
      <c r="R165" s="927">
        <v>0.62</v>
      </c>
      <c r="S165" s="17"/>
      <c r="T165" s="234"/>
      <c r="U165" s="17"/>
      <c r="V165" s="17"/>
      <c r="W165" s="154"/>
      <c r="X165" s="154"/>
      <c r="Y165" s="154"/>
      <c r="Z165" s="47"/>
      <c r="AE165" s="2461"/>
      <c r="AF165" s="68"/>
    </row>
    <row r="166" spans="1:32" x14ac:dyDescent="0.35">
      <c r="A166" s="294">
        <v>62</v>
      </c>
      <c r="B166" s="997">
        <v>10474</v>
      </c>
      <c r="C166" s="997"/>
      <c r="D166" s="293" t="s">
        <v>256</v>
      </c>
      <c r="E166" s="288" t="s">
        <v>2853</v>
      </c>
      <c r="F166" s="1138">
        <v>5</v>
      </c>
      <c r="G166" s="1138">
        <v>5</v>
      </c>
      <c r="H166" s="1944">
        <v>6</v>
      </c>
      <c r="I166" s="297">
        <f>J166+K166+L166</f>
        <v>5.32</v>
      </c>
      <c r="J166" s="297">
        <f>SUM(M166:R166)</f>
        <v>5.32</v>
      </c>
      <c r="K166" s="297"/>
      <c r="L166" s="297"/>
      <c r="M166" s="297"/>
      <c r="N166" s="297"/>
      <c r="O166" s="618"/>
      <c r="P166" s="297"/>
      <c r="Q166" s="932"/>
      <c r="R166" s="925">
        <v>5.32</v>
      </c>
      <c r="S166" s="17"/>
      <c r="T166" s="234"/>
      <c r="U166" s="17"/>
      <c r="V166" s="17"/>
      <c r="W166" s="154">
        <v>10</v>
      </c>
      <c r="X166" s="154">
        <v>107.5</v>
      </c>
      <c r="Y166" s="154">
        <v>3</v>
      </c>
      <c r="Z166" s="47">
        <v>30</v>
      </c>
      <c r="AA166" s="3" t="s">
        <v>3140</v>
      </c>
      <c r="AB166" s="3">
        <v>1</v>
      </c>
      <c r="AE166" s="2461"/>
      <c r="AF166" s="68"/>
    </row>
    <row r="167" spans="1:32" x14ac:dyDescent="0.35">
      <c r="A167" s="294">
        <v>63</v>
      </c>
      <c r="B167" s="997">
        <v>10475</v>
      </c>
      <c r="C167" s="997"/>
      <c r="D167" s="293" t="s">
        <v>1496</v>
      </c>
      <c r="E167" s="288" t="s">
        <v>2692</v>
      </c>
      <c r="F167" s="1138"/>
      <c r="G167" s="1138" t="s">
        <v>191</v>
      </c>
      <c r="H167" s="1138" t="s">
        <v>191</v>
      </c>
      <c r="I167" s="297">
        <f>J167+K167+L167</f>
        <v>3.62</v>
      </c>
      <c r="J167" s="297">
        <f>SUM(M167:R167)</f>
        <v>3.62</v>
      </c>
      <c r="K167" s="297"/>
      <c r="L167" s="297"/>
      <c r="M167" s="297"/>
      <c r="N167" s="297">
        <f>SUM(N168:N172)</f>
        <v>0.21</v>
      </c>
      <c r="O167" s="618"/>
      <c r="P167" s="297"/>
      <c r="Q167" s="932">
        <f>SUM(Q168:Q172)</f>
        <v>1.29</v>
      </c>
      <c r="R167" s="925">
        <f>SUM(R168:R172)</f>
        <v>2.12</v>
      </c>
      <c r="S167" s="17"/>
      <c r="T167" s="234"/>
      <c r="U167" s="17"/>
      <c r="V167" s="17"/>
      <c r="W167" s="154">
        <v>1</v>
      </c>
      <c r="X167" s="154">
        <v>8.5</v>
      </c>
      <c r="Y167" s="154"/>
      <c r="Z167" s="47"/>
      <c r="AB167" s="3">
        <v>1</v>
      </c>
      <c r="AE167" s="2461"/>
      <c r="AF167" s="68"/>
    </row>
    <row r="168" spans="1:32" x14ac:dyDescent="0.35">
      <c r="A168" s="294"/>
      <c r="B168" s="997">
        <v>10475</v>
      </c>
      <c r="C168" s="997"/>
      <c r="D168" s="293"/>
      <c r="E168" s="289" t="s">
        <v>2629</v>
      </c>
      <c r="F168" s="1138" t="s">
        <v>1490</v>
      </c>
      <c r="G168" s="1138">
        <v>5</v>
      </c>
      <c r="H168" s="1138">
        <v>6</v>
      </c>
      <c r="I168" s="298"/>
      <c r="J168" s="298"/>
      <c r="K168" s="298"/>
      <c r="L168" s="298"/>
      <c r="M168" s="298"/>
      <c r="N168" s="298">
        <v>0.21</v>
      </c>
      <c r="O168" s="620"/>
      <c r="P168" s="298"/>
      <c r="Q168" s="933"/>
      <c r="R168" s="927"/>
      <c r="S168" s="17"/>
      <c r="T168" s="234"/>
      <c r="U168" s="17"/>
      <c r="V168" s="17"/>
      <c r="W168" s="154"/>
      <c r="X168" s="154"/>
      <c r="Y168" s="154"/>
      <c r="Z168" s="47"/>
      <c r="AE168" s="2461"/>
      <c r="AF168" s="68"/>
    </row>
    <row r="169" spans="1:32" x14ac:dyDescent="0.35">
      <c r="A169" s="294"/>
      <c r="B169" s="997"/>
      <c r="C169" s="997"/>
      <c r="D169" s="293"/>
      <c r="E169" s="2105" t="s">
        <v>3451</v>
      </c>
      <c r="F169" s="1138" t="s">
        <v>1490</v>
      </c>
      <c r="G169" s="1138">
        <v>5</v>
      </c>
      <c r="H169" s="1138">
        <v>6</v>
      </c>
      <c r="I169" s="298"/>
      <c r="J169" s="298"/>
      <c r="K169" s="298"/>
      <c r="L169" s="298"/>
      <c r="M169" s="298"/>
      <c r="N169" s="298"/>
      <c r="O169" s="620"/>
      <c r="P169" s="298"/>
      <c r="Q169" s="933">
        <f>1.5-0.21</f>
        <v>1.29</v>
      </c>
      <c r="R169" s="927"/>
      <c r="S169" s="17"/>
      <c r="T169" s="234"/>
      <c r="U169" s="17"/>
      <c r="V169" s="17"/>
      <c r="W169" s="154"/>
      <c r="X169" s="154"/>
      <c r="Y169" s="154"/>
      <c r="Z169" s="47"/>
      <c r="AE169" s="2461"/>
      <c r="AF169" s="68"/>
    </row>
    <row r="170" spans="1:32" x14ac:dyDescent="0.35">
      <c r="A170" s="294"/>
      <c r="B170" s="997">
        <v>10475</v>
      </c>
      <c r="C170" s="997"/>
      <c r="D170" s="293"/>
      <c r="E170" s="838" t="s">
        <v>610</v>
      </c>
      <c r="F170" s="1138" t="s">
        <v>1490</v>
      </c>
      <c r="G170" s="1138">
        <v>5</v>
      </c>
      <c r="H170" s="1944">
        <v>6</v>
      </c>
      <c r="I170" s="298"/>
      <c r="J170" s="298"/>
      <c r="K170" s="298"/>
      <c r="L170" s="298"/>
      <c r="M170" s="298"/>
      <c r="N170" s="298"/>
      <c r="O170" s="620"/>
      <c r="P170" s="298"/>
      <c r="Q170" s="933"/>
      <c r="R170" s="927">
        <f>1.78-1.5</f>
        <v>0.28000000000000003</v>
      </c>
      <c r="S170" s="17"/>
      <c r="T170" s="234"/>
      <c r="U170" s="17"/>
      <c r="V170" s="17"/>
      <c r="W170" s="154"/>
      <c r="X170" s="154"/>
      <c r="Y170" s="154"/>
      <c r="Z170" s="47"/>
      <c r="AE170" s="2461"/>
      <c r="AF170" s="68"/>
    </row>
    <row r="171" spans="1:32" x14ac:dyDescent="0.35">
      <c r="A171" s="294"/>
      <c r="B171" s="997">
        <v>10475</v>
      </c>
      <c r="C171" s="997"/>
      <c r="D171" s="293"/>
      <c r="E171" s="838" t="s">
        <v>611</v>
      </c>
      <c r="F171" s="1138" t="s">
        <v>827</v>
      </c>
      <c r="G171" s="1138">
        <v>5</v>
      </c>
      <c r="H171" s="1944">
        <v>6</v>
      </c>
      <c r="I171" s="298"/>
      <c r="J171" s="298"/>
      <c r="K171" s="298"/>
      <c r="L171" s="298"/>
      <c r="M171" s="298"/>
      <c r="N171" s="298"/>
      <c r="O171" s="620"/>
      <c r="P171" s="298"/>
      <c r="Q171" s="933"/>
      <c r="R171" s="927">
        <f>2.9-1.78</f>
        <v>1.1199999999999999</v>
      </c>
      <c r="S171" s="17"/>
      <c r="T171" s="234"/>
      <c r="U171" s="17"/>
      <c r="V171" s="17"/>
      <c r="W171" s="154"/>
      <c r="X171" s="154"/>
      <c r="Y171" s="154"/>
      <c r="Z171" s="47"/>
      <c r="AE171" s="2461"/>
      <c r="AF171" s="68"/>
    </row>
    <row r="172" spans="1:32" x14ac:dyDescent="0.35">
      <c r="A172" s="294"/>
      <c r="B172" s="997">
        <v>10475</v>
      </c>
      <c r="C172" s="997"/>
      <c r="D172" s="293"/>
      <c r="E172" s="838" t="s">
        <v>612</v>
      </c>
      <c r="F172" s="1138" t="s">
        <v>827</v>
      </c>
      <c r="G172" s="1138">
        <v>5</v>
      </c>
      <c r="H172" s="1944">
        <v>6</v>
      </c>
      <c r="I172" s="298"/>
      <c r="J172" s="298"/>
      <c r="K172" s="298"/>
      <c r="L172" s="298"/>
      <c r="M172" s="298"/>
      <c r="N172" s="298"/>
      <c r="O172" s="620"/>
      <c r="P172" s="298"/>
      <c r="Q172" s="933"/>
      <c r="R172" s="927">
        <f>3.62-2.9</f>
        <v>0.7200000000000002</v>
      </c>
      <c r="S172" s="17"/>
      <c r="T172" s="234"/>
      <c r="U172" s="17"/>
      <c r="V172" s="17"/>
      <c r="W172" s="154"/>
      <c r="X172" s="154"/>
      <c r="Y172" s="154"/>
      <c r="Z172" s="47"/>
      <c r="AE172" s="2461"/>
      <c r="AF172" s="68"/>
    </row>
    <row r="173" spans="1:32" x14ac:dyDescent="0.35">
      <c r="A173" s="294">
        <v>64</v>
      </c>
      <c r="B173" s="997">
        <v>10476</v>
      </c>
      <c r="C173" s="997"/>
      <c r="D173" s="293" t="s">
        <v>1430</v>
      </c>
      <c r="E173" s="288" t="s">
        <v>1084</v>
      </c>
      <c r="F173" s="1138">
        <v>4</v>
      </c>
      <c r="G173" s="1138">
        <v>5</v>
      </c>
      <c r="H173" s="1138">
        <v>6</v>
      </c>
      <c r="I173" s="297">
        <f>J173+K173+L173</f>
        <v>2.6549999999999998</v>
      </c>
      <c r="J173" s="297">
        <f>SUM(M173:R173)</f>
        <v>2.6549999999999998</v>
      </c>
      <c r="K173" s="489"/>
      <c r="L173" s="489"/>
      <c r="M173" s="489"/>
      <c r="N173" s="2865">
        <v>0</v>
      </c>
      <c r="O173" s="1210"/>
      <c r="P173" s="489"/>
      <c r="Q173" s="935">
        <v>2.6549999999999998</v>
      </c>
      <c r="R173" s="929"/>
      <c r="S173" s="17"/>
      <c r="T173" s="234"/>
      <c r="U173" s="17"/>
      <c r="V173" s="17"/>
      <c r="W173" s="154">
        <v>7</v>
      </c>
      <c r="X173" s="55">
        <v>88.9</v>
      </c>
      <c r="Y173" s="154">
        <v>3</v>
      </c>
      <c r="Z173" s="47">
        <v>30.8</v>
      </c>
      <c r="AB173" s="3">
        <v>1</v>
      </c>
      <c r="AE173" s="2461"/>
      <c r="AF173" s="68"/>
    </row>
    <row r="174" spans="1:32" ht="30.5" x14ac:dyDescent="0.35">
      <c r="A174" s="294">
        <v>65</v>
      </c>
      <c r="B174" s="997">
        <v>10477</v>
      </c>
      <c r="C174" s="997"/>
      <c r="D174" s="293" t="s">
        <v>1149</v>
      </c>
      <c r="E174" s="511" t="s">
        <v>124</v>
      </c>
      <c r="F174" s="1138"/>
      <c r="G174" s="1138" t="s">
        <v>191</v>
      </c>
      <c r="H174" s="1944" t="s">
        <v>191</v>
      </c>
      <c r="I174" s="297">
        <f>J174+K174+L174</f>
        <v>5.52</v>
      </c>
      <c r="J174" s="297">
        <f>SUM(M174:R174)</f>
        <v>5.52</v>
      </c>
      <c r="K174" s="489"/>
      <c r="L174" s="489"/>
      <c r="M174" s="489"/>
      <c r="N174" s="297"/>
      <c r="O174" s="1210"/>
      <c r="P174" s="489"/>
      <c r="Q174" s="932"/>
      <c r="R174" s="929">
        <f>SUM(R175:R176)</f>
        <v>5.52</v>
      </c>
      <c r="S174" s="17"/>
      <c r="T174" s="234"/>
      <c r="U174" s="17"/>
      <c r="V174" s="17"/>
      <c r="W174" s="154">
        <v>1</v>
      </c>
      <c r="X174" s="55">
        <v>9.1999999999999993</v>
      </c>
      <c r="Y174" s="154"/>
      <c r="Z174" s="47"/>
      <c r="AB174" s="3">
        <v>1</v>
      </c>
      <c r="AE174" s="2461"/>
      <c r="AF174" s="68"/>
    </row>
    <row r="175" spans="1:32" x14ac:dyDescent="0.35">
      <c r="A175" s="294"/>
      <c r="B175" s="997">
        <v>10477</v>
      </c>
      <c r="C175" s="997"/>
      <c r="D175" s="293"/>
      <c r="E175" s="838" t="s">
        <v>1191</v>
      </c>
      <c r="F175" s="1138" t="s">
        <v>827</v>
      </c>
      <c r="G175" s="1138">
        <v>5</v>
      </c>
      <c r="H175" s="1944">
        <v>6</v>
      </c>
      <c r="I175" s="298"/>
      <c r="J175" s="298"/>
      <c r="K175" s="492"/>
      <c r="L175" s="492"/>
      <c r="M175" s="492"/>
      <c r="N175" s="298"/>
      <c r="O175" s="494"/>
      <c r="P175" s="492"/>
      <c r="Q175" s="1836"/>
      <c r="R175" s="2209">
        <v>2</v>
      </c>
      <c r="S175" s="17"/>
      <c r="T175" s="234"/>
      <c r="U175" s="17"/>
      <c r="V175" s="17"/>
      <c r="W175" s="154"/>
      <c r="X175" s="55"/>
      <c r="Y175" s="154"/>
      <c r="Z175" s="47"/>
      <c r="AE175" s="2461"/>
      <c r="AF175" s="68"/>
    </row>
    <row r="176" spans="1:32" x14ac:dyDescent="0.35">
      <c r="A176" s="294"/>
      <c r="B176" s="997">
        <v>10477</v>
      </c>
      <c r="C176" s="997"/>
      <c r="D176" s="293"/>
      <c r="E176" s="838" t="s">
        <v>1085</v>
      </c>
      <c r="F176" s="1138" t="s">
        <v>1490</v>
      </c>
      <c r="G176" s="1138">
        <v>5</v>
      </c>
      <c r="H176" s="1944">
        <v>6</v>
      </c>
      <c r="I176" s="298"/>
      <c r="J176" s="298"/>
      <c r="K176" s="492"/>
      <c r="L176" s="492"/>
      <c r="M176" s="492"/>
      <c r="N176" s="298"/>
      <c r="O176" s="494"/>
      <c r="P176" s="492"/>
      <c r="Q176" s="1836"/>
      <c r="R176" s="2209">
        <v>3.52</v>
      </c>
      <c r="S176" s="17"/>
      <c r="T176" s="234"/>
      <c r="U176" s="17"/>
      <c r="V176" s="17"/>
      <c r="W176" s="154"/>
      <c r="X176" s="55"/>
      <c r="Y176" s="154"/>
      <c r="Z176" s="47"/>
      <c r="AE176" s="2461"/>
      <c r="AF176" s="68"/>
    </row>
    <row r="177" spans="1:32" ht="45" x14ac:dyDescent="0.35">
      <c r="A177" s="525">
        <v>66</v>
      </c>
      <c r="B177" s="1040">
        <v>10477</v>
      </c>
      <c r="C177" s="997" t="s">
        <v>1656</v>
      </c>
      <c r="D177" s="2466" t="s">
        <v>4783</v>
      </c>
      <c r="E177" s="2187" t="s">
        <v>8470</v>
      </c>
      <c r="F177" s="1138" t="s">
        <v>1490</v>
      </c>
      <c r="G177" s="92">
        <v>5</v>
      </c>
      <c r="H177" s="1944">
        <v>6</v>
      </c>
      <c r="I177" s="702">
        <f>J177+K177+L177</f>
        <v>0.8</v>
      </c>
      <c r="J177" s="702">
        <f>SUM(M177:R177)</f>
        <v>0.8</v>
      </c>
      <c r="K177" s="622"/>
      <c r="L177" s="622"/>
      <c r="M177" s="622"/>
      <c r="N177" s="622"/>
      <c r="O177" s="622"/>
      <c r="P177" s="622"/>
      <c r="Q177" s="622"/>
      <c r="R177" s="906">
        <v>0.8</v>
      </c>
      <c r="S177" s="106"/>
      <c r="T177" s="106"/>
      <c r="U177" s="106"/>
      <c r="V177" s="106"/>
      <c r="W177" s="105"/>
      <c r="X177" s="105"/>
      <c r="Y177" s="105"/>
      <c r="Z177" s="323"/>
      <c r="AB177" s="3">
        <v>1</v>
      </c>
      <c r="AE177" s="2461"/>
      <c r="AF177" s="68"/>
    </row>
    <row r="178" spans="1:32" x14ac:dyDescent="0.35">
      <c r="A178" s="294">
        <v>67</v>
      </c>
      <c r="B178" s="997">
        <v>10478</v>
      </c>
      <c r="C178" s="997"/>
      <c r="D178" s="293" t="s">
        <v>1150</v>
      </c>
      <c r="E178" s="288" t="s">
        <v>2491</v>
      </c>
      <c r="F178" s="1138">
        <v>5</v>
      </c>
      <c r="G178" s="1138">
        <v>5</v>
      </c>
      <c r="H178" s="1138">
        <v>6</v>
      </c>
      <c r="I178" s="297">
        <f>J178+K178+L178</f>
        <v>2.5750000000000002</v>
      </c>
      <c r="J178" s="297">
        <f>SUM(M178:R178)</f>
        <v>2.5750000000000002</v>
      </c>
      <c r="K178" s="489"/>
      <c r="L178" s="489"/>
      <c r="M178" s="489"/>
      <c r="N178" s="489"/>
      <c r="O178" s="1210"/>
      <c r="P178" s="489"/>
      <c r="Q178" s="935">
        <v>2.5750000000000002</v>
      </c>
      <c r="R178" s="925"/>
      <c r="S178" s="17"/>
      <c r="T178" s="234"/>
      <c r="U178" s="17"/>
      <c r="V178" s="17"/>
      <c r="W178" s="154">
        <v>9</v>
      </c>
      <c r="X178" s="55">
        <v>96.98</v>
      </c>
      <c r="Y178" s="154">
        <v>4</v>
      </c>
      <c r="Z178" s="47">
        <v>40.479999999999997</v>
      </c>
      <c r="AB178" s="3">
        <v>1</v>
      </c>
      <c r="AC178" s="62" t="s">
        <v>1799</v>
      </c>
      <c r="AD178" s="353">
        <v>33372</v>
      </c>
      <c r="AE178" s="2461"/>
      <c r="AF178" s="68"/>
    </row>
    <row r="179" spans="1:32" x14ac:dyDescent="0.35">
      <c r="A179" s="294">
        <v>68</v>
      </c>
      <c r="B179" s="997">
        <v>10479</v>
      </c>
      <c r="C179" s="997"/>
      <c r="D179" s="293" t="s">
        <v>1148</v>
      </c>
      <c r="E179" s="288" t="s">
        <v>1753</v>
      </c>
      <c r="F179" s="1138"/>
      <c r="G179" s="1138" t="s">
        <v>191</v>
      </c>
      <c r="H179" s="1138" t="s">
        <v>191</v>
      </c>
      <c r="I179" s="297">
        <f>J179+K179+L179</f>
        <v>9.3100000000000023</v>
      </c>
      <c r="J179" s="297">
        <f>SUM(M179:R179)</f>
        <v>8.9200000000000017</v>
      </c>
      <c r="K179" s="489"/>
      <c r="L179" s="489">
        <f>SUM(L180:L185)</f>
        <v>0.38999999999999968</v>
      </c>
      <c r="M179" s="489"/>
      <c r="N179" s="489">
        <f>SUM(N180:N185)</f>
        <v>3.22</v>
      </c>
      <c r="O179" s="1210"/>
      <c r="P179" s="489"/>
      <c r="Q179" s="935"/>
      <c r="R179" s="925">
        <f>SUM(R180:R185)</f>
        <v>5.7000000000000011</v>
      </c>
      <c r="S179" s="17"/>
      <c r="T179" s="234"/>
      <c r="U179" s="17"/>
      <c r="V179" s="17"/>
      <c r="W179" s="154">
        <v>10</v>
      </c>
      <c r="X179" s="154">
        <v>104.9</v>
      </c>
      <c r="Y179" s="154">
        <v>1</v>
      </c>
      <c r="Z179" s="47">
        <v>10</v>
      </c>
      <c r="AB179" s="3">
        <v>1</v>
      </c>
      <c r="AE179" s="2461"/>
      <c r="AF179" s="68"/>
    </row>
    <row r="180" spans="1:32" ht="46.5" x14ac:dyDescent="0.35">
      <c r="A180" s="294"/>
      <c r="B180" s="997">
        <v>10479</v>
      </c>
      <c r="C180" s="997"/>
      <c r="D180" s="293"/>
      <c r="E180" s="289" t="s">
        <v>9989</v>
      </c>
      <c r="F180" s="1138">
        <v>5</v>
      </c>
      <c r="G180" s="1138">
        <v>5</v>
      </c>
      <c r="H180" s="1138">
        <v>6</v>
      </c>
      <c r="I180" s="298"/>
      <c r="J180" s="298"/>
      <c r="K180" s="492"/>
      <c r="L180" s="492"/>
      <c r="M180" s="492"/>
      <c r="N180" s="492">
        <v>0.91</v>
      </c>
      <c r="O180" s="1213"/>
      <c r="P180" s="492"/>
      <c r="Q180" s="1018"/>
      <c r="R180" s="927"/>
      <c r="S180" s="17"/>
      <c r="T180" s="234"/>
      <c r="U180" s="17"/>
      <c r="V180" s="17"/>
      <c r="W180" s="154"/>
      <c r="X180" s="154"/>
      <c r="Y180" s="154"/>
      <c r="Z180" s="47"/>
      <c r="AE180" s="2461"/>
      <c r="AF180" s="68"/>
    </row>
    <row r="181" spans="1:32" x14ac:dyDescent="0.35">
      <c r="A181" s="294"/>
      <c r="B181" s="997"/>
      <c r="C181" s="997"/>
      <c r="D181" s="293"/>
      <c r="E181" s="534" t="s">
        <v>10755</v>
      </c>
      <c r="F181" s="337" t="s">
        <v>827</v>
      </c>
      <c r="G181" s="337">
        <v>5</v>
      </c>
      <c r="H181" s="337">
        <v>6</v>
      </c>
      <c r="I181" s="488"/>
      <c r="J181" s="488"/>
      <c r="K181" s="498"/>
      <c r="L181" s="498"/>
      <c r="M181" s="498"/>
      <c r="N181" s="498">
        <f>3.22-0.91</f>
        <v>2.31</v>
      </c>
      <c r="O181" s="1213"/>
      <c r="P181" s="492"/>
      <c r="Q181" s="1018"/>
      <c r="R181" s="927"/>
      <c r="S181" s="17"/>
      <c r="T181" s="234"/>
      <c r="U181" s="17"/>
      <c r="V181" s="17"/>
      <c r="W181" s="154"/>
      <c r="X181" s="154"/>
      <c r="Y181" s="154"/>
      <c r="Z181" s="47"/>
      <c r="AE181" s="2461"/>
      <c r="AF181" s="68"/>
    </row>
    <row r="182" spans="1:32" x14ac:dyDescent="0.35">
      <c r="A182" s="294"/>
      <c r="B182" s="997">
        <v>10479</v>
      </c>
      <c r="C182" s="997"/>
      <c r="D182" s="293"/>
      <c r="E182" s="838" t="s">
        <v>10756</v>
      </c>
      <c r="F182" s="1138" t="s">
        <v>827</v>
      </c>
      <c r="G182" s="1138">
        <v>5</v>
      </c>
      <c r="H182" s="1944">
        <v>6</v>
      </c>
      <c r="I182" s="298"/>
      <c r="J182" s="298"/>
      <c r="K182" s="492"/>
      <c r="L182" s="492"/>
      <c r="M182" s="492"/>
      <c r="N182" s="492"/>
      <c r="O182" s="1213"/>
      <c r="P182" s="492"/>
      <c r="Q182" s="1018"/>
      <c r="R182" s="927">
        <f>5.238-3.22</f>
        <v>2.0180000000000002</v>
      </c>
      <c r="S182" s="17"/>
      <c r="T182" s="234"/>
      <c r="U182" s="17"/>
      <c r="V182" s="17"/>
      <c r="W182" s="154"/>
      <c r="X182" s="154"/>
      <c r="Y182" s="154"/>
      <c r="Z182" s="47"/>
      <c r="AE182" s="2461"/>
      <c r="AF182" s="68"/>
    </row>
    <row r="183" spans="1:32" ht="31" x14ac:dyDescent="0.35">
      <c r="A183" s="294"/>
      <c r="B183" s="997">
        <v>10479</v>
      </c>
      <c r="C183" s="997"/>
      <c r="D183" s="293"/>
      <c r="E183" s="289" t="s">
        <v>1686</v>
      </c>
      <c r="F183" s="1138">
        <v>4</v>
      </c>
      <c r="G183" s="1138">
        <v>5</v>
      </c>
      <c r="H183" s="1138" t="s">
        <v>191</v>
      </c>
      <c r="I183" s="298"/>
      <c r="J183" s="298"/>
      <c r="K183" s="492"/>
      <c r="L183" s="492">
        <f>5.628-5.238</f>
        <v>0.38999999999999968</v>
      </c>
      <c r="M183" s="492"/>
      <c r="N183" s="492"/>
      <c r="O183" s="1213"/>
      <c r="P183" s="492"/>
      <c r="Q183" s="1018"/>
      <c r="R183" s="927"/>
      <c r="S183" s="17"/>
      <c r="T183" s="234"/>
      <c r="U183" s="17"/>
      <c r="V183" s="17"/>
      <c r="W183" s="154"/>
      <c r="X183" s="154"/>
      <c r="Y183" s="154"/>
      <c r="Z183" s="47"/>
      <c r="AE183" s="2461"/>
      <c r="AF183" s="68"/>
    </row>
    <row r="184" spans="1:32" x14ac:dyDescent="0.35">
      <c r="A184" s="294"/>
      <c r="B184" s="997">
        <v>10479</v>
      </c>
      <c r="C184" s="997"/>
      <c r="D184" s="293"/>
      <c r="E184" s="838" t="s">
        <v>1888</v>
      </c>
      <c r="F184" s="1138">
        <v>5</v>
      </c>
      <c r="G184" s="1138">
        <v>5</v>
      </c>
      <c r="H184" s="1944">
        <v>6</v>
      </c>
      <c r="I184" s="298"/>
      <c r="J184" s="298"/>
      <c r="K184" s="492"/>
      <c r="L184" s="492"/>
      <c r="M184" s="492"/>
      <c r="N184" s="492"/>
      <c r="O184" s="1213"/>
      <c r="P184" s="492"/>
      <c r="Q184" s="1018"/>
      <c r="R184" s="927">
        <f>8.7-5.628</f>
        <v>3.0719999999999992</v>
      </c>
      <c r="S184" s="17"/>
      <c r="T184" s="234"/>
      <c r="U184" s="17"/>
      <c r="V184" s="17"/>
      <c r="W184" s="154"/>
      <c r="X184" s="154"/>
      <c r="Y184" s="154"/>
      <c r="Z184" s="47"/>
      <c r="AE184" s="2461"/>
      <c r="AF184" s="68"/>
    </row>
    <row r="185" spans="1:32" x14ac:dyDescent="0.35">
      <c r="A185" s="294"/>
      <c r="B185" s="997">
        <v>10479</v>
      </c>
      <c r="C185" s="997"/>
      <c r="D185" s="293"/>
      <c r="E185" s="838" t="s">
        <v>312</v>
      </c>
      <c r="F185" s="1138" t="s">
        <v>827</v>
      </c>
      <c r="G185" s="1138">
        <v>5</v>
      </c>
      <c r="H185" s="1944">
        <v>6</v>
      </c>
      <c r="I185" s="298"/>
      <c r="J185" s="298"/>
      <c r="K185" s="492"/>
      <c r="L185" s="492"/>
      <c r="M185" s="492"/>
      <c r="N185" s="492"/>
      <c r="O185" s="1213"/>
      <c r="P185" s="492"/>
      <c r="Q185" s="1018"/>
      <c r="R185" s="927">
        <f>9.31-8.7</f>
        <v>0.61000000000000121</v>
      </c>
      <c r="S185" s="17"/>
      <c r="T185" s="234"/>
      <c r="U185" s="17"/>
      <c r="V185" s="17"/>
      <c r="W185" s="154"/>
      <c r="X185" s="154"/>
      <c r="Y185" s="154"/>
      <c r="Z185" s="47"/>
      <c r="AE185" s="2461"/>
      <c r="AF185" s="68"/>
    </row>
    <row r="186" spans="1:32" ht="30" x14ac:dyDescent="0.35">
      <c r="A186" s="525">
        <v>69</v>
      </c>
      <c r="B186" s="1040">
        <v>10479</v>
      </c>
      <c r="C186" s="997" t="s">
        <v>1656</v>
      </c>
      <c r="D186" s="2466" t="s">
        <v>4784</v>
      </c>
      <c r="E186" s="2187" t="s">
        <v>8471</v>
      </c>
      <c r="F186" s="1138" t="s">
        <v>1490</v>
      </c>
      <c r="G186" s="92">
        <v>5</v>
      </c>
      <c r="H186" s="1944">
        <v>6</v>
      </c>
      <c r="I186" s="702">
        <f>J186+K186+L186</f>
        <v>0.32</v>
      </c>
      <c r="J186" s="702">
        <f>SUM(M186:R186)</f>
        <v>0.32</v>
      </c>
      <c r="K186" s="622"/>
      <c r="L186" s="622"/>
      <c r="M186" s="622"/>
      <c r="N186" s="622"/>
      <c r="O186" s="622"/>
      <c r="P186" s="622"/>
      <c r="Q186" s="622"/>
      <c r="R186" s="906">
        <v>0.32</v>
      </c>
      <c r="S186" s="106"/>
      <c r="T186" s="106"/>
      <c r="U186" s="106"/>
      <c r="V186" s="106"/>
      <c r="W186" s="105"/>
      <c r="X186" s="105"/>
      <c r="Y186" s="105"/>
      <c r="Z186" s="323"/>
      <c r="AB186" s="3">
        <v>1</v>
      </c>
      <c r="AE186" s="2461"/>
      <c r="AF186" s="68"/>
    </row>
    <row r="187" spans="1:32" ht="45" x14ac:dyDescent="0.35">
      <c r="A187" s="295">
        <v>70</v>
      </c>
      <c r="B187" s="1040">
        <v>10479</v>
      </c>
      <c r="C187" s="358" t="s">
        <v>1655</v>
      </c>
      <c r="D187" s="2466" t="s">
        <v>4785</v>
      </c>
      <c r="E187" s="2187" t="s">
        <v>7376</v>
      </c>
      <c r="F187" s="92" t="s">
        <v>827</v>
      </c>
      <c r="G187" s="1944">
        <v>5</v>
      </c>
      <c r="H187" s="1944">
        <v>6</v>
      </c>
      <c r="I187" s="297">
        <f>J187+K187+L187</f>
        <v>0.2</v>
      </c>
      <c r="J187" s="297">
        <f>SUM(M187:R187)</f>
        <v>0.2</v>
      </c>
      <c r="K187" s="622"/>
      <c r="L187" s="622"/>
      <c r="M187" s="622"/>
      <c r="N187" s="622"/>
      <c r="O187" s="622"/>
      <c r="P187" s="622"/>
      <c r="Q187" s="622"/>
      <c r="R187" s="906">
        <v>0.2</v>
      </c>
      <c r="S187" s="106"/>
      <c r="T187" s="106"/>
      <c r="U187" s="106"/>
      <c r="V187" s="106"/>
      <c r="W187" s="105"/>
      <c r="X187" s="105"/>
      <c r="Y187" s="105"/>
      <c r="Z187" s="323"/>
      <c r="AB187" s="3">
        <v>1</v>
      </c>
      <c r="AE187" s="2461"/>
      <c r="AF187" s="68"/>
    </row>
    <row r="188" spans="1:32" x14ac:dyDescent="0.35">
      <c r="A188" s="294">
        <v>71</v>
      </c>
      <c r="B188" s="997">
        <v>10480</v>
      </c>
      <c r="C188" s="997"/>
      <c r="D188" s="293" t="s">
        <v>1431</v>
      </c>
      <c r="E188" s="288" t="s">
        <v>77</v>
      </c>
      <c r="F188" s="1138"/>
      <c r="G188" s="1138" t="s">
        <v>191</v>
      </c>
      <c r="H188" s="1138" t="s">
        <v>191</v>
      </c>
      <c r="I188" s="297">
        <f>J188+K188+L188</f>
        <v>5</v>
      </c>
      <c r="J188" s="297">
        <f>SUM(M188:R188)</f>
        <v>5</v>
      </c>
      <c r="K188" s="489"/>
      <c r="L188" s="489"/>
      <c r="M188" s="489"/>
      <c r="N188" s="489">
        <f>SUM(N189:N192)</f>
        <v>0.53</v>
      </c>
      <c r="O188" s="1210"/>
      <c r="P188" s="489"/>
      <c r="Q188" s="935">
        <f>SUM(Q189:Q192)</f>
        <v>3.15</v>
      </c>
      <c r="R188" s="929">
        <f>SUM(R189:R192)</f>
        <v>1.3199999999999998</v>
      </c>
      <c r="S188" s="17"/>
      <c r="T188" s="234"/>
      <c r="U188" s="17"/>
      <c r="V188" s="17"/>
      <c r="W188" s="154">
        <v>8</v>
      </c>
      <c r="X188" s="55">
        <v>98.7</v>
      </c>
      <c r="Y188" s="154">
        <v>1</v>
      </c>
      <c r="Z188" s="47">
        <v>10</v>
      </c>
      <c r="AB188" s="3">
        <v>1</v>
      </c>
      <c r="AE188" s="2461"/>
      <c r="AF188" s="68"/>
    </row>
    <row r="189" spans="1:32" x14ac:dyDescent="0.35">
      <c r="A189" s="787"/>
      <c r="B189" s="997">
        <v>10480</v>
      </c>
      <c r="C189" s="997"/>
      <c r="D189" s="825"/>
      <c r="E189" s="459" t="s">
        <v>3457</v>
      </c>
      <c r="F189" s="1138">
        <v>5</v>
      </c>
      <c r="G189" s="1138">
        <v>5</v>
      </c>
      <c r="H189" s="1138">
        <v>6</v>
      </c>
      <c r="I189" s="487"/>
      <c r="J189" s="487"/>
      <c r="K189" s="493"/>
      <c r="L189" s="493"/>
      <c r="M189" s="493"/>
      <c r="N189" s="493">
        <v>0.53</v>
      </c>
      <c r="O189" s="1213"/>
      <c r="P189" s="492"/>
      <c r="Q189" s="1018"/>
      <c r="R189" s="927"/>
      <c r="S189" s="14"/>
      <c r="T189" s="235"/>
      <c r="U189" s="14"/>
      <c r="V189" s="14"/>
      <c r="W189" s="1944"/>
      <c r="X189" s="1138"/>
      <c r="Y189" s="1944"/>
      <c r="Z189" s="70"/>
      <c r="AA189" s="3" t="s">
        <v>2851</v>
      </c>
      <c r="AC189" s="62" t="s">
        <v>1799</v>
      </c>
      <c r="AD189" s="353">
        <v>33372</v>
      </c>
      <c r="AE189" s="2461"/>
      <c r="AF189" s="68"/>
    </row>
    <row r="190" spans="1:32" x14ac:dyDescent="0.35">
      <c r="A190" s="787"/>
      <c r="B190" s="997">
        <v>10480</v>
      </c>
      <c r="C190" s="997"/>
      <c r="D190" s="825"/>
      <c r="E190" s="837" t="s">
        <v>11107</v>
      </c>
      <c r="F190" s="1138">
        <v>5</v>
      </c>
      <c r="G190" s="1138">
        <v>5</v>
      </c>
      <c r="H190" s="1138">
        <v>6</v>
      </c>
      <c r="I190" s="298"/>
      <c r="J190" s="298"/>
      <c r="K190" s="492"/>
      <c r="L190" s="492"/>
      <c r="M190" s="492"/>
      <c r="N190" s="492"/>
      <c r="O190" s="1213"/>
      <c r="P190" s="492"/>
      <c r="Q190" s="1018">
        <f>2.58-0.53</f>
        <v>2.0499999999999998</v>
      </c>
      <c r="R190" s="927"/>
      <c r="S190" s="14"/>
      <c r="T190" s="235"/>
      <c r="U190" s="14"/>
      <c r="V190" s="14"/>
      <c r="W190" s="1944"/>
      <c r="X190" s="1138"/>
      <c r="Y190" s="1944"/>
      <c r="Z190" s="70"/>
      <c r="AC190" s="2"/>
      <c r="AD190" s="2072"/>
      <c r="AE190" s="2461"/>
      <c r="AF190" s="68"/>
    </row>
    <row r="191" spans="1:32" x14ac:dyDescent="0.35">
      <c r="A191" s="787"/>
      <c r="B191" s="997">
        <v>10480</v>
      </c>
      <c r="C191" s="997"/>
      <c r="D191" s="825"/>
      <c r="E191" s="837" t="s">
        <v>78</v>
      </c>
      <c r="F191" s="1138" t="s">
        <v>827</v>
      </c>
      <c r="G191" s="1138">
        <v>5</v>
      </c>
      <c r="H191" s="1138">
        <v>6</v>
      </c>
      <c r="I191" s="298"/>
      <c r="J191" s="298"/>
      <c r="K191" s="492"/>
      <c r="L191" s="492"/>
      <c r="M191" s="492"/>
      <c r="N191" s="492"/>
      <c r="O191" s="1213"/>
      <c r="P191" s="492"/>
      <c r="Q191" s="1018">
        <f>3.68-2.58</f>
        <v>1.1000000000000001</v>
      </c>
      <c r="R191" s="927"/>
      <c r="S191" s="14"/>
      <c r="T191" s="235"/>
      <c r="U191" s="14"/>
      <c r="V191" s="14"/>
      <c r="W191" s="1944"/>
      <c r="X191" s="1138"/>
      <c r="Y191" s="1944"/>
      <c r="Z191" s="70"/>
      <c r="AE191" s="2461"/>
      <c r="AF191" s="68"/>
    </row>
    <row r="192" spans="1:32" x14ac:dyDescent="0.35">
      <c r="A192" s="787"/>
      <c r="B192" s="997">
        <v>10480</v>
      </c>
      <c r="C192" s="997"/>
      <c r="D192" s="825"/>
      <c r="E192" s="838" t="s">
        <v>145</v>
      </c>
      <c r="F192" s="1138" t="s">
        <v>827</v>
      </c>
      <c r="G192" s="1138">
        <v>5</v>
      </c>
      <c r="H192" s="1944">
        <v>6</v>
      </c>
      <c r="I192" s="298"/>
      <c r="J192" s="298"/>
      <c r="K192" s="492"/>
      <c r="L192" s="492"/>
      <c r="M192" s="492"/>
      <c r="N192" s="492"/>
      <c r="O192" s="1213"/>
      <c r="P192" s="492"/>
      <c r="Q192" s="1018"/>
      <c r="R192" s="927">
        <f>5-3.68</f>
        <v>1.3199999999999998</v>
      </c>
      <c r="S192" s="14"/>
      <c r="T192" s="235"/>
      <c r="U192" s="14"/>
      <c r="V192" s="14"/>
      <c r="W192" s="1944"/>
      <c r="X192" s="1138"/>
      <c r="Y192" s="1944"/>
      <c r="Z192" s="70"/>
      <c r="AE192" s="2461"/>
      <c r="AF192" s="68"/>
    </row>
    <row r="193" spans="1:32" ht="45.5" x14ac:dyDescent="0.35">
      <c r="A193" s="294">
        <v>72</v>
      </c>
      <c r="B193" s="997">
        <v>10481</v>
      </c>
      <c r="C193" s="997"/>
      <c r="D193" s="293" t="s">
        <v>1432</v>
      </c>
      <c r="E193" s="511" t="s">
        <v>10973</v>
      </c>
      <c r="F193" s="1138">
        <v>5</v>
      </c>
      <c r="G193" s="1138">
        <v>5</v>
      </c>
      <c r="H193" s="1944">
        <v>6</v>
      </c>
      <c r="I193" s="297">
        <f>J193+K193+L193</f>
        <v>2.2799999999999998</v>
      </c>
      <c r="J193" s="297">
        <f>SUM(M193:R193)</f>
        <v>2.2799999999999998</v>
      </c>
      <c r="K193" s="489"/>
      <c r="L193" s="489"/>
      <c r="M193" s="489"/>
      <c r="N193" s="489"/>
      <c r="O193" s="1210"/>
      <c r="P193" s="489"/>
      <c r="Q193" s="935"/>
      <c r="R193" s="925">
        <v>2.2799999999999998</v>
      </c>
      <c r="S193" s="17"/>
      <c r="T193" s="234"/>
      <c r="U193" s="17"/>
      <c r="V193" s="17"/>
      <c r="W193" s="154">
        <v>2</v>
      </c>
      <c r="X193" s="55">
        <v>19.2</v>
      </c>
      <c r="Y193" s="154"/>
      <c r="Z193" s="47"/>
      <c r="AB193" s="3">
        <v>1</v>
      </c>
      <c r="AE193" s="2461"/>
      <c r="AF193" s="68"/>
    </row>
    <row r="194" spans="1:32" x14ac:dyDescent="0.35">
      <c r="A194" s="294">
        <v>73</v>
      </c>
      <c r="B194" s="997">
        <v>10482</v>
      </c>
      <c r="C194" s="997"/>
      <c r="D194" s="293" t="s">
        <v>1433</v>
      </c>
      <c r="E194" s="288" t="s">
        <v>3352</v>
      </c>
      <c r="F194" s="1138"/>
      <c r="G194" s="1138" t="s">
        <v>191</v>
      </c>
      <c r="H194" s="1138" t="s">
        <v>191</v>
      </c>
      <c r="I194" s="297">
        <f>J194+K194+L194</f>
        <v>8.36</v>
      </c>
      <c r="J194" s="297">
        <f>SUM(M194:R194)</f>
        <v>8.36</v>
      </c>
      <c r="K194" s="489"/>
      <c r="L194" s="489"/>
      <c r="M194" s="489"/>
      <c r="N194" s="489">
        <f>SUM(N195:N198)</f>
        <v>0.22500000000000001</v>
      </c>
      <c r="O194" s="1210"/>
      <c r="P194" s="489"/>
      <c r="Q194" s="935">
        <f>SUM(Q195:Q198)</f>
        <v>1.83</v>
      </c>
      <c r="R194" s="929">
        <f>SUM(R195:R198)</f>
        <v>6.3049999999999997</v>
      </c>
      <c r="S194" s="17"/>
      <c r="T194" s="234"/>
      <c r="U194" s="17"/>
      <c r="V194" s="17"/>
      <c r="W194" s="154">
        <v>1</v>
      </c>
      <c r="X194" s="55">
        <v>12.6</v>
      </c>
      <c r="Y194" s="154"/>
      <c r="Z194" s="47"/>
      <c r="AB194" s="3">
        <v>1</v>
      </c>
      <c r="AE194" s="2461"/>
      <c r="AF194" s="68"/>
    </row>
    <row r="195" spans="1:32" x14ac:dyDescent="0.35">
      <c r="A195" s="787"/>
      <c r="B195" s="997">
        <v>10482</v>
      </c>
      <c r="C195" s="997"/>
      <c r="D195" s="825"/>
      <c r="E195" s="289" t="s">
        <v>939</v>
      </c>
      <c r="F195" s="1138">
        <v>5</v>
      </c>
      <c r="G195" s="1138">
        <v>5</v>
      </c>
      <c r="H195" s="1138">
        <v>6</v>
      </c>
      <c r="I195" s="298"/>
      <c r="J195" s="298"/>
      <c r="K195" s="492"/>
      <c r="L195" s="492"/>
      <c r="M195" s="492"/>
      <c r="N195" s="492">
        <f>0.225</f>
        <v>0.22500000000000001</v>
      </c>
      <c r="O195" s="1213"/>
      <c r="P195" s="492"/>
      <c r="Q195" s="1018"/>
      <c r="R195" s="927"/>
      <c r="S195" s="14"/>
      <c r="T195" s="235"/>
      <c r="U195" s="14"/>
      <c r="V195" s="14"/>
      <c r="W195" s="1944"/>
      <c r="X195" s="1138"/>
      <c r="Y195" s="1944"/>
      <c r="Z195" s="70"/>
      <c r="AE195" s="2461"/>
      <c r="AF195" s="68"/>
    </row>
    <row r="196" spans="1:32" x14ac:dyDescent="0.35">
      <c r="A196" s="787"/>
      <c r="B196" s="997"/>
      <c r="C196" s="997"/>
      <c r="D196" s="825"/>
      <c r="E196" s="837" t="s">
        <v>938</v>
      </c>
      <c r="F196" s="1138">
        <v>5</v>
      </c>
      <c r="G196" s="1138">
        <v>5</v>
      </c>
      <c r="H196" s="1138">
        <v>6</v>
      </c>
      <c r="I196" s="298"/>
      <c r="J196" s="298"/>
      <c r="K196" s="492"/>
      <c r="L196" s="492"/>
      <c r="M196" s="492"/>
      <c r="N196" s="492"/>
      <c r="O196" s="1213"/>
      <c r="P196" s="492"/>
      <c r="Q196" s="1018">
        <f>2.055-0.225</f>
        <v>1.83</v>
      </c>
      <c r="R196" s="927"/>
      <c r="S196" s="14"/>
      <c r="T196" s="235"/>
      <c r="U196" s="14"/>
      <c r="V196" s="14"/>
      <c r="W196" s="1944"/>
      <c r="X196" s="1138"/>
      <c r="Y196" s="1944"/>
      <c r="Z196" s="70"/>
      <c r="AE196" s="2461"/>
      <c r="AF196" s="68"/>
    </row>
    <row r="197" spans="1:32" x14ac:dyDescent="0.35">
      <c r="A197" s="787"/>
      <c r="B197" s="997">
        <v>10482</v>
      </c>
      <c r="C197" s="997"/>
      <c r="D197" s="825"/>
      <c r="E197" s="838" t="s">
        <v>3366</v>
      </c>
      <c r="F197" s="1138" t="s">
        <v>1490</v>
      </c>
      <c r="G197" s="1138">
        <v>5</v>
      </c>
      <c r="H197" s="1944">
        <v>6</v>
      </c>
      <c r="I197" s="298"/>
      <c r="J197" s="298"/>
      <c r="K197" s="492"/>
      <c r="L197" s="492"/>
      <c r="M197" s="492"/>
      <c r="N197" s="492"/>
      <c r="O197" s="1213"/>
      <c r="P197" s="492"/>
      <c r="Q197" s="1018"/>
      <c r="R197" s="927">
        <v>4.5449999999999999</v>
      </c>
      <c r="S197" s="14"/>
      <c r="T197" s="235"/>
      <c r="U197" s="14"/>
      <c r="V197" s="14"/>
      <c r="W197" s="1944"/>
      <c r="X197" s="1138"/>
      <c r="Y197" s="1944"/>
      <c r="Z197" s="70"/>
      <c r="AE197" s="2461"/>
      <c r="AF197" s="68"/>
    </row>
    <row r="198" spans="1:32" x14ac:dyDescent="0.35">
      <c r="A198" s="787"/>
      <c r="B198" s="997">
        <v>10482</v>
      </c>
      <c r="C198" s="997"/>
      <c r="D198" s="825"/>
      <c r="E198" s="838" t="s">
        <v>3353</v>
      </c>
      <c r="F198" s="1138">
        <v>5</v>
      </c>
      <c r="G198" s="1138">
        <v>5</v>
      </c>
      <c r="H198" s="1944">
        <v>6</v>
      </c>
      <c r="I198" s="298"/>
      <c r="J198" s="298"/>
      <c r="K198" s="492"/>
      <c r="L198" s="492"/>
      <c r="M198" s="492"/>
      <c r="N198" s="492"/>
      <c r="O198" s="1213"/>
      <c r="P198" s="492"/>
      <c r="Q198" s="1018"/>
      <c r="R198" s="927">
        <v>1.76</v>
      </c>
      <c r="S198" s="14"/>
      <c r="T198" s="235"/>
      <c r="U198" s="14"/>
      <c r="V198" s="14"/>
      <c r="W198" s="1944"/>
      <c r="X198" s="1138"/>
      <c r="Y198" s="1944"/>
      <c r="Z198" s="70"/>
      <c r="AE198" s="2461"/>
      <c r="AF198" s="68"/>
    </row>
    <row r="199" spans="1:32" ht="45.5" x14ac:dyDescent="0.35">
      <c r="A199" s="295">
        <v>74</v>
      </c>
      <c r="B199" s="997">
        <v>10482</v>
      </c>
      <c r="C199" s="358" t="s">
        <v>1656</v>
      </c>
      <c r="D199" s="2466" t="s">
        <v>4786</v>
      </c>
      <c r="E199" s="511" t="s">
        <v>8472</v>
      </c>
      <c r="F199" s="1944" t="s">
        <v>1490</v>
      </c>
      <c r="G199" s="1944">
        <v>5</v>
      </c>
      <c r="H199" s="1944">
        <v>6</v>
      </c>
      <c r="I199" s="297">
        <f>J199+K199+L199</f>
        <v>0.1</v>
      </c>
      <c r="J199" s="297">
        <f>SUM(M199:R199)</f>
        <v>0.1</v>
      </c>
      <c r="K199" s="297"/>
      <c r="L199" s="297"/>
      <c r="M199" s="297"/>
      <c r="N199" s="297"/>
      <c r="O199" s="302"/>
      <c r="P199" s="297"/>
      <c r="Q199" s="2369"/>
      <c r="R199" s="1498">
        <v>0.1</v>
      </c>
      <c r="S199" s="17"/>
      <c r="T199" s="234"/>
      <c r="U199" s="17"/>
      <c r="V199" s="17"/>
      <c r="W199" s="154"/>
      <c r="X199" s="154"/>
      <c r="Y199" s="154"/>
      <c r="Z199" s="47"/>
      <c r="AB199" s="3">
        <v>1</v>
      </c>
      <c r="AE199" s="2461"/>
      <c r="AF199" s="68"/>
    </row>
    <row r="200" spans="1:32" x14ac:dyDescent="0.35">
      <c r="A200" s="294">
        <v>75</v>
      </c>
      <c r="B200" s="997">
        <v>10483</v>
      </c>
      <c r="C200" s="997"/>
      <c r="D200" s="293" t="s">
        <v>1434</v>
      </c>
      <c r="E200" s="288" t="s">
        <v>7122</v>
      </c>
      <c r="F200" s="1138"/>
      <c r="G200" s="1138" t="s">
        <v>191</v>
      </c>
      <c r="H200" s="1944" t="s">
        <v>191</v>
      </c>
      <c r="I200" s="297">
        <f>J200+K200+L200</f>
        <v>5.3</v>
      </c>
      <c r="J200" s="297">
        <f>SUM(M200:R200)</f>
        <v>5.3</v>
      </c>
      <c r="K200" s="489"/>
      <c r="L200" s="489"/>
      <c r="M200" s="489"/>
      <c r="N200" s="489"/>
      <c r="O200" s="1210"/>
      <c r="P200" s="489"/>
      <c r="Q200" s="935"/>
      <c r="R200" s="925">
        <f>SUM(R201:R202)</f>
        <v>5.3</v>
      </c>
      <c r="S200" s="17"/>
      <c r="T200" s="234"/>
      <c r="U200" s="17"/>
      <c r="V200" s="17"/>
      <c r="W200" s="154">
        <v>4</v>
      </c>
      <c r="X200" s="55">
        <v>43</v>
      </c>
      <c r="Y200" s="154">
        <v>1</v>
      </c>
      <c r="Z200" s="47">
        <v>10</v>
      </c>
      <c r="AB200" s="3">
        <v>1</v>
      </c>
      <c r="AE200" s="2461"/>
      <c r="AF200" s="68"/>
    </row>
    <row r="201" spans="1:32" x14ac:dyDescent="0.35">
      <c r="A201" s="294"/>
      <c r="B201" s="997">
        <v>10483</v>
      </c>
      <c r="C201" s="997"/>
      <c r="D201" s="293"/>
      <c r="E201" s="838" t="s">
        <v>1192</v>
      </c>
      <c r="F201" s="1138">
        <v>5</v>
      </c>
      <c r="G201" s="1138">
        <v>5</v>
      </c>
      <c r="H201" s="1944">
        <v>6</v>
      </c>
      <c r="I201" s="297"/>
      <c r="J201" s="297"/>
      <c r="K201" s="489"/>
      <c r="L201" s="489"/>
      <c r="M201" s="489"/>
      <c r="N201" s="489"/>
      <c r="O201" s="1210"/>
      <c r="P201" s="489"/>
      <c r="Q201" s="935"/>
      <c r="R201" s="2049">
        <v>5.0999999999999996</v>
      </c>
      <c r="S201" s="17"/>
      <c r="T201" s="234"/>
      <c r="U201" s="17"/>
      <c r="V201" s="17"/>
      <c r="W201" s="154"/>
      <c r="X201" s="55"/>
      <c r="Y201" s="154"/>
      <c r="Z201" s="47"/>
      <c r="AE201" s="2461"/>
      <c r="AF201" s="68"/>
    </row>
    <row r="202" spans="1:32" x14ac:dyDescent="0.35">
      <c r="A202" s="294"/>
      <c r="B202" s="997">
        <v>10483</v>
      </c>
      <c r="C202" s="997"/>
      <c r="D202" s="293"/>
      <c r="E202" s="838" t="s">
        <v>905</v>
      </c>
      <c r="F202" s="1138" t="s">
        <v>827</v>
      </c>
      <c r="G202" s="1138">
        <v>5</v>
      </c>
      <c r="H202" s="1944">
        <v>6</v>
      </c>
      <c r="I202" s="297"/>
      <c r="J202" s="297"/>
      <c r="K202" s="489"/>
      <c r="L202" s="489"/>
      <c r="M202" s="489"/>
      <c r="N202" s="489"/>
      <c r="O202" s="1210"/>
      <c r="P202" s="489"/>
      <c r="Q202" s="935"/>
      <c r="R202" s="2049">
        <v>0.2</v>
      </c>
      <c r="S202" s="17"/>
      <c r="T202" s="234"/>
      <c r="U202" s="17"/>
      <c r="V202" s="17"/>
      <c r="W202" s="154"/>
      <c r="X202" s="55"/>
      <c r="Y202" s="154"/>
      <c r="Z202" s="47"/>
      <c r="AE202" s="2461"/>
      <c r="AF202" s="68"/>
    </row>
    <row r="203" spans="1:32" x14ac:dyDescent="0.35">
      <c r="A203" s="294">
        <v>76</v>
      </c>
      <c r="B203" s="997">
        <v>10484</v>
      </c>
      <c r="C203" s="997"/>
      <c r="D203" s="293" t="s">
        <v>1435</v>
      </c>
      <c r="E203" s="288" t="s">
        <v>3354</v>
      </c>
      <c r="F203" s="1138" t="s">
        <v>827</v>
      </c>
      <c r="G203" s="1138">
        <v>5</v>
      </c>
      <c r="H203" s="1944">
        <v>6</v>
      </c>
      <c r="I203" s="297">
        <f>J203+K203+L203</f>
        <v>3.78</v>
      </c>
      <c r="J203" s="297">
        <f>SUM(M203:R203)</f>
        <v>3.78</v>
      </c>
      <c r="K203" s="489"/>
      <c r="L203" s="489"/>
      <c r="M203" s="489"/>
      <c r="N203" s="489"/>
      <c r="O203" s="1210"/>
      <c r="P203" s="489"/>
      <c r="Q203" s="935"/>
      <c r="R203" s="925">
        <v>3.78</v>
      </c>
      <c r="S203" s="17"/>
      <c r="T203" s="234"/>
      <c r="U203" s="17"/>
      <c r="V203" s="17"/>
      <c r="W203" s="154">
        <v>5</v>
      </c>
      <c r="X203" s="55">
        <v>55.2</v>
      </c>
      <c r="Y203" s="154">
        <v>2</v>
      </c>
      <c r="Z203" s="47">
        <v>22</v>
      </c>
      <c r="AB203" s="3">
        <v>1</v>
      </c>
      <c r="AC203" s="62" t="s">
        <v>1799</v>
      </c>
      <c r="AD203" s="353">
        <v>33372</v>
      </c>
      <c r="AE203" s="2461"/>
      <c r="AF203" s="68"/>
    </row>
    <row r="204" spans="1:32" x14ac:dyDescent="0.35">
      <c r="A204" s="294">
        <v>77</v>
      </c>
      <c r="B204" s="997">
        <v>10485</v>
      </c>
      <c r="C204" s="997"/>
      <c r="D204" s="293" t="s">
        <v>386</v>
      </c>
      <c r="E204" s="288" t="s">
        <v>7123</v>
      </c>
      <c r="F204" s="1138" t="s">
        <v>1490</v>
      </c>
      <c r="G204" s="1138">
        <v>5</v>
      </c>
      <c r="H204" s="1944">
        <v>6</v>
      </c>
      <c r="I204" s="297">
        <f>J204+K204+L204</f>
        <v>4.76</v>
      </c>
      <c r="J204" s="297">
        <f>SUM(M204:R204)</f>
        <v>4.76</v>
      </c>
      <c r="K204" s="489"/>
      <c r="L204" s="489"/>
      <c r="M204" s="489"/>
      <c r="N204" s="489"/>
      <c r="O204" s="1210"/>
      <c r="P204" s="489"/>
      <c r="Q204" s="935"/>
      <c r="R204" s="925">
        <v>4.76</v>
      </c>
      <c r="S204" s="17"/>
      <c r="T204" s="234"/>
      <c r="U204" s="17"/>
      <c r="V204" s="17"/>
      <c r="W204" s="154">
        <v>1</v>
      </c>
      <c r="X204" s="55">
        <v>10.1</v>
      </c>
      <c r="Y204" s="154"/>
      <c r="Z204" s="47"/>
      <c r="AB204" s="3">
        <v>1</v>
      </c>
      <c r="AE204" s="2461"/>
      <c r="AF204" s="68"/>
    </row>
    <row r="205" spans="1:32" ht="30.5" x14ac:dyDescent="0.35">
      <c r="A205" s="294">
        <v>78</v>
      </c>
      <c r="B205" s="997">
        <v>10486</v>
      </c>
      <c r="C205" s="997"/>
      <c r="D205" s="293" t="s">
        <v>387</v>
      </c>
      <c r="E205" s="288" t="s">
        <v>7124</v>
      </c>
      <c r="F205" s="1138"/>
      <c r="G205" s="1138" t="s">
        <v>191</v>
      </c>
      <c r="H205" s="1138" t="s">
        <v>191</v>
      </c>
      <c r="I205" s="297">
        <f>J205+K205+L205</f>
        <v>14.990000000000002</v>
      </c>
      <c r="J205" s="297">
        <f>SUM(M205:R205)</f>
        <v>14.360000000000001</v>
      </c>
      <c r="K205" s="489"/>
      <c r="L205" s="489">
        <f>SUM(L207:L214)</f>
        <v>0.63</v>
      </c>
      <c r="M205" s="489"/>
      <c r="N205" s="2873">
        <f>SUM(N207:N214)</f>
        <v>10.245000000000001</v>
      </c>
      <c r="O205" s="1210"/>
      <c r="P205" s="489"/>
      <c r="Q205" s="935">
        <f>SUM(Q207:Q214)</f>
        <v>4.1150000000000002</v>
      </c>
      <c r="R205" s="2706">
        <f>SUM(R207:R214)</f>
        <v>0</v>
      </c>
      <c r="S205" s="17">
        <v>1</v>
      </c>
      <c r="T205" s="2723">
        <v>36.1</v>
      </c>
      <c r="U205" s="17"/>
      <c r="V205" s="17"/>
      <c r="W205" s="154">
        <v>19</v>
      </c>
      <c r="X205" s="55">
        <v>188</v>
      </c>
      <c r="Y205" s="154">
        <v>6</v>
      </c>
      <c r="Z205" s="47">
        <v>48</v>
      </c>
      <c r="AB205" s="3">
        <v>1</v>
      </c>
      <c r="AE205" s="2461"/>
      <c r="AF205" s="68"/>
    </row>
    <row r="206" spans="1:32" ht="46.5" x14ac:dyDescent="0.35">
      <c r="A206" s="294"/>
      <c r="B206" s="997">
        <v>10486</v>
      </c>
      <c r="C206" s="997"/>
      <c r="D206" s="293"/>
      <c r="E206" s="289" t="s">
        <v>9990</v>
      </c>
      <c r="F206" s="1138"/>
      <c r="G206" s="1138" t="s">
        <v>191</v>
      </c>
      <c r="H206" s="1138" t="s">
        <v>191</v>
      </c>
      <c r="I206" s="297"/>
      <c r="J206" s="297"/>
      <c r="K206" s="489"/>
      <c r="L206" s="489"/>
      <c r="M206" s="489"/>
      <c r="N206" s="489"/>
      <c r="O206" s="1210"/>
      <c r="P206" s="489"/>
      <c r="Q206" s="935"/>
      <c r="R206" s="925"/>
      <c r="S206" s="17"/>
      <c r="T206" s="234"/>
      <c r="U206" s="17"/>
      <c r="V206" s="17"/>
      <c r="W206" s="154"/>
      <c r="X206" s="55"/>
      <c r="Y206" s="154"/>
      <c r="Z206" s="47"/>
      <c r="AE206" s="2461"/>
      <c r="AF206" s="68"/>
    </row>
    <row r="207" spans="1:32" x14ac:dyDescent="0.35">
      <c r="A207" s="294"/>
      <c r="B207" s="997">
        <v>10486</v>
      </c>
      <c r="C207" s="997"/>
      <c r="D207" s="293"/>
      <c r="E207" s="289" t="s">
        <v>151</v>
      </c>
      <c r="F207" s="1138">
        <v>5</v>
      </c>
      <c r="G207" s="1138">
        <v>5</v>
      </c>
      <c r="H207" s="1138">
        <v>6</v>
      </c>
      <c r="I207" s="298"/>
      <c r="J207" s="298"/>
      <c r="K207" s="492"/>
      <c r="L207" s="492"/>
      <c r="M207" s="492"/>
      <c r="N207" s="492">
        <v>4.3760000000000003</v>
      </c>
      <c r="O207" s="1213"/>
      <c r="P207" s="492"/>
      <c r="Q207" s="1018"/>
      <c r="R207" s="927"/>
      <c r="S207" s="17"/>
      <c r="T207" s="234"/>
      <c r="U207" s="17"/>
      <c r="V207" s="17"/>
      <c r="W207" s="154"/>
      <c r="X207" s="55"/>
      <c r="Y207" s="154"/>
      <c r="Z207" s="47"/>
      <c r="AE207" s="2461"/>
      <c r="AF207" s="68"/>
    </row>
    <row r="208" spans="1:32" x14ac:dyDescent="0.35">
      <c r="A208" s="294"/>
      <c r="B208" s="997">
        <v>10486</v>
      </c>
      <c r="C208" s="997"/>
      <c r="D208" s="293"/>
      <c r="E208" s="2050" t="s">
        <v>152</v>
      </c>
      <c r="F208" s="1138">
        <v>5</v>
      </c>
      <c r="G208" s="1138">
        <v>5</v>
      </c>
      <c r="H208" s="1138">
        <v>6</v>
      </c>
      <c r="I208" s="298"/>
      <c r="J208" s="298"/>
      <c r="K208" s="492"/>
      <c r="L208" s="492"/>
      <c r="M208" s="492"/>
      <c r="N208" s="492"/>
      <c r="O208" s="1213"/>
      <c r="P208" s="492"/>
      <c r="Q208" s="1018">
        <f>5.736-4.376</f>
        <v>1.3599999999999994</v>
      </c>
      <c r="R208" s="927"/>
      <c r="S208" s="17"/>
      <c r="T208" s="234"/>
      <c r="U208" s="17"/>
      <c r="V208" s="17"/>
      <c r="W208" s="154"/>
      <c r="X208" s="55"/>
      <c r="Y208" s="154"/>
      <c r="Z208" s="47"/>
      <c r="AE208" s="2461"/>
      <c r="AF208" s="68"/>
    </row>
    <row r="209" spans="1:32" x14ac:dyDescent="0.35">
      <c r="A209" s="294"/>
      <c r="B209" s="997">
        <v>10486</v>
      </c>
      <c r="C209" s="997"/>
      <c r="D209" s="293"/>
      <c r="E209" s="289" t="s">
        <v>153</v>
      </c>
      <c r="F209" s="1138">
        <v>5</v>
      </c>
      <c r="G209" s="1138">
        <v>5</v>
      </c>
      <c r="H209" s="1138">
        <v>6</v>
      </c>
      <c r="I209" s="298"/>
      <c r="J209" s="298"/>
      <c r="K209" s="492"/>
      <c r="L209" s="492"/>
      <c r="M209" s="492"/>
      <c r="N209" s="492">
        <f>8.003-5.736</f>
        <v>2.2670000000000003</v>
      </c>
      <c r="O209" s="1213"/>
      <c r="P209" s="492"/>
      <c r="Q209" s="1018"/>
      <c r="R209" s="927"/>
      <c r="S209" s="17"/>
      <c r="T209" s="234"/>
      <c r="U209" s="17"/>
      <c r="V209" s="17"/>
      <c r="W209" s="154"/>
      <c r="X209" s="55"/>
      <c r="Y209" s="154"/>
      <c r="Z209" s="47"/>
      <c r="AE209" s="2461"/>
      <c r="AF209" s="68"/>
    </row>
    <row r="210" spans="1:32" ht="31" x14ac:dyDescent="0.35">
      <c r="A210" s="294"/>
      <c r="B210" s="997">
        <v>10486</v>
      </c>
      <c r="C210" s="997"/>
      <c r="D210" s="293"/>
      <c r="E210" s="289" t="s">
        <v>1909</v>
      </c>
      <c r="F210" s="1138">
        <v>4</v>
      </c>
      <c r="G210" s="1138">
        <v>5</v>
      </c>
      <c r="H210" s="1138" t="s">
        <v>191</v>
      </c>
      <c r="I210" s="298"/>
      <c r="J210" s="298"/>
      <c r="K210" s="492"/>
      <c r="L210" s="492">
        <v>0.63</v>
      </c>
      <c r="M210" s="492"/>
      <c r="N210" s="492"/>
      <c r="O210" s="1213"/>
      <c r="P210" s="492"/>
      <c r="Q210" s="1018"/>
      <c r="R210" s="927"/>
      <c r="S210" s="17"/>
      <c r="T210" s="234"/>
      <c r="U210" s="17"/>
      <c r="V210" s="17"/>
      <c r="W210" s="154"/>
      <c r="X210" s="55"/>
      <c r="Y210" s="154"/>
      <c r="Z210" s="47"/>
      <c r="AE210" s="2461"/>
      <c r="AF210" s="68"/>
    </row>
    <row r="211" spans="1:32" x14ac:dyDescent="0.35">
      <c r="A211" s="294"/>
      <c r="B211" s="997">
        <v>10486</v>
      </c>
      <c r="C211" s="997"/>
      <c r="D211" s="293"/>
      <c r="E211" s="289" t="s">
        <v>3665</v>
      </c>
      <c r="F211" s="1138">
        <v>5</v>
      </c>
      <c r="G211" s="1138">
        <v>5</v>
      </c>
      <c r="H211" s="1138">
        <v>6</v>
      </c>
      <c r="I211" s="298"/>
      <c r="J211" s="298"/>
      <c r="K211" s="492"/>
      <c r="L211" s="492"/>
      <c r="M211" s="492"/>
      <c r="N211" s="492">
        <f>10.516-8.633</f>
        <v>1.8830000000000009</v>
      </c>
      <c r="O211" s="1213"/>
      <c r="P211" s="492"/>
      <c r="Q211" s="1018"/>
      <c r="R211" s="927"/>
      <c r="S211" s="17"/>
      <c r="T211" s="234"/>
      <c r="U211" s="17"/>
      <c r="V211" s="17"/>
      <c r="W211" s="154"/>
      <c r="X211" s="55"/>
      <c r="Y211" s="154"/>
      <c r="Z211" s="47"/>
      <c r="AA211" s="3" t="s">
        <v>1280</v>
      </c>
      <c r="AE211" s="2461"/>
      <c r="AF211" s="68"/>
    </row>
    <row r="212" spans="1:32" x14ac:dyDescent="0.35">
      <c r="A212" s="294"/>
      <c r="B212" s="997">
        <v>10486</v>
      </c>
      <c r="C212" s="997"/>
      <c r="D212" s="293"/>
      <c r="E212" s="2868" t="s">
        <v>3666</v>
      </c>
      <c r="F212" s="1138">
        <v>5</v>
      </c>
      <c r="G212" s="1138">
        <v>5</v>
      </c>
      <c r="H212" s="1138">
        <v>6</v>
      </c>
      <c r="I212" s="298"/>
      <c r="J212" s="298"/>
      <c r="K212" s="492"/>
      <c r="L212" s="492"/>
      <c r="M212" s="492"/>
      <c r="N212" s="2713">
        <f>11.036-10.516</f>
        <v>0.51999999999999957</v>
      </c>
      <c r="O212" s="1213"/>
      <c r="P212" s="492"/>
      <c r="Q212" s="1018">
        <v>0</v>
      </c>
      <c r="R212" s="927"/>
      <c r="S212" s="17"/>
      <c r="T212" s="234"/>
      <c r="U212" s="17"/>
      <c r="V212" s="17"/>
      <c r="W212" s="154"/>
      <c r="X212" s="55"/>
      <c r="Y212" s="154"/>
      <c r="Z212" s="47"/>
      <c r="AE212" s="2461"/>
      <c r="AF212" s="68"/>
    </row>
    <row r="213" spans="1:32" x14ac:dyDescent="0.35">
      <c r="A213" s="294"/>
      <c r="B213" s="997">
        <v>10486</v>
      </c>
      <c r="C213" s="997"/>
      <c r="D213" s="293"/>
      <c r="E213" s="289" t="s">
        <v>3667</v>
      </c>
      <c r="F213" s="1138">
        <v>5</v>
      </c>
      <c r="G213" s="1138">
        <v>5</v>
      </c>
      <c r="H213" s="1138">
        <v>6</v>
      </c>
      <c r="I213" s="298"/>
      <c r="J213" s="298"/>
      <c r="K213" s="492"/>
      <c r="L213" s="492"/>
      <c r="M213" s="492"/>
      <c r="N213" s="492">
        <f>12.235-11.036</f>
        <v>1.1989999999999998</v>
      </c>
      <c r="O213" s="1213"/>
      <c r="P213" s="492"/>
      <c r="Q213" s="1018"/>
      <c r="R213" s="927"/>
      <c r="S213" s="17"/>
      <c r="T213" s="234"/>
      <c r="U213" s="17"/>
      <c r="V213" s="17"/>
      <c r="W213" s="154"/>
      <c r="X213" s="55"/>
      <c r="Y213" s="154"/>
      <c r="Z213" s="47"/>
      <c r="AE213" s="2461"/>
      <c r="AF213" s="68"/>
    </row>
    <row r="214" spans="1:32" x14ac:dyDescent="0.35">
      <c r="A214" s="294"/>
      <c r="B214" s="997">
        <v>10486</v>
      </c>
      <c r="C214" s="997"/>
      <c r="D214" s="293"/>
      <c r="E214" s="2050" t="s">
        <v>2729</v>
      </c>
      <c r="F214" s="1138" t="s">
        <v>827</v>
      </c>
      <c r="G214" s="1138">
        <v>5</v>
      </c>
      <c r="H214" s="1944">
        <v>6</v>
      </c>
      <c r="I214" s="298"/>
      <c r="J214" s="298"/>
      <c r="K214" s="492"/>
      <c r="L214" s="492"/>
      <c r="M214" s="492"/>
      <c r="N214" s="492"/>
      <c r="O214" s="1213"/>
      <c r="P214" s="492"/>
      <c r="Q214" s="1018">
        <f>14.99-12.235</f>
        <v>2.7550000000000008</v>
      </c>
      <c r="R214" s="2610">
        <v>0</v>
      </c>
      <c r="S214" s="17"/>
      <c r="T214" s="234"/>
      <c r="U214" s="17"/>
      <c r="V214" s="17"/>
      <c r="W214" s="154"/>
      <c r="X214" s="55"/>
      <c r="Y214" s="154"/>
      <c r="Z214" s="47"/>
      <c r="AE214" s="2461"/>
      <c r="AF214" s="68"/>
    </row>
    <row r="215" spans="1:32" ht="45.5" x14ac:dyDescent="0.35">
      <c r="A215" s="294">
        <v>79</v>
      </c>
      <c r="B215" s="997">
        <v>10486</v>
      </c>
      <c r="C215" s="997" t="s">
        <v>1656</v>
      </c>
      <c r="D215" s="2466" t="s">
        <v>4787</v>
      </c>
      <c r="E215" s="473" t="s">
        <v>8473</v>
      </c>
      <c r="F215" s="92" t="s">
        <v>1490</v>
      </c>
      <c r="G215" s="92">
        <v>5</v>
      </c>
      <c r="H215" s="1944">
        <v>6</v>
      </c>
      <c r="I215" s="297">
        <f>J215+K215+L215</f>
        <v>0.15</v>
      </c>
      <c r="J215" s="297">
        <f>SUM(M215:R215)</f>
        <v>0.15</v>
      </c>
      <c r="K215" s="622"/>
      <c r="L215" s="622"/>
      <c r="M215" s="622"/>
      <c r="N215" s="622"/>
      <c r="O215" s="1209"/>
      <c r="P215" s="622"/>
      <c r="Q215" s="934"/>
      <c r="R215" s="926">
        <v>0.15</v>
      </c>
      <c r="S215" s="106"/>
      <c r="T215" s="236"/>
      <c r="U215" s="106"/>
      <c r="V215" s="106"/>
      <c r="W215" s="106"/>
      <c r="X215" s="106"/>
      <c r="Y215" s="106"/>
      <c r="Z215" s="119"/>
      <c r="AB215" s="3">
        <v>1</v>
      </c>
      <c r="AE215" s="2461"/>
      <c r="AF215" s="68"/>
    </row>
    <row r="216" spans="1:32" x14ac:dyDescent="0.35">
      <c r="A216" s="294">
        <v>80</v>
      </c>
      <c r="B216" s="997">
        <v>10487</v>
      </c>
      <c r="C216" s="997"/>
      <c r="D216" s="293" t="s">
        <v>388</v>
      </c>
      <c r="E216" s="288" t="s">
        <v>3362</v>
      </c>
      <c r="F216" s="1138"/>
      <c r="G216" s="1138" t="s">
        <v>191</v>
      </c>
      <c r="H216" s="1138" t="s">
        <v>191</v>
      </c>
      <c r="I216" s="297">
        <f>J216+K216+L216</f>
        <v>3.63</v>
      </c>
      <c r="J216" s="297">
        <f>SUM(M216:R216)</f>
        <v>3.63</v>
      </c>
      <c r="K216" s="489"/>
      <c r="L216" s="489"/>
      <c r="M216" s="489"/>
      <c r="N216" s="489">
        <f>SUM(N217:N218)</f>
        <v>1.2</v>
      </c>
      <c r="O216" s="1210"/>
      <c r="P216" s="489"/>
      <c r="Q216" s="935">
        <f>SUM(Q217:Q218)</f>
        <v>2.4299999999999997</v>
      </c>
      <c r="R216" s="929">
        <f>SUM(R217:R218)</f>
        <v>0</v>
      </c>
      <c r="S216" s="17"/>
      <c r="T216" s="234"/>
      <c r="U216" s="17"/>
      <c r="V216" s="17"/>
      <c r="W216" s="154">
        <v>2</v>
      </c>
      <c r="X216" s="55">
        <v>22.6</v>
      </c>
      <c r="Y216" s="154"/>
      <c r="Z216" s="47"/>
      <c r="AB216" s="3">
        <v>1</v>
      </c>
      <c r="AC216" s="62" t="s">
        <v>1799</v>
      </c>
      <c r="AD216" s="353">
        <v>33372</v>
      </c>
      <c r="AE216" s="2461"/>
      <c r="AF216" s="68"/>
    </row>
    <row r="217" spans="1:32" x14ac:dyDescent="0.35">
      <c r="A217" s="294"/>
      <c r="B217" s="997">
        <v>10487</v>
      </c>
      <c r="C217" s="997"/>
      <c r="D217" s="293"/>
      <c r="E217" s="289" t="s">
        <v>3428</v>
      </c>
      <c r="F217" s="1138">
        <v>5</v>
      </c>
      <c r="G217" s="1138">
        <v>5</v>
      </c>
      <c r="H217" s="1138">
        <v>6</v>
      </c>
      <c r="I217" s="298"/>
      <c r="J217" s="298"/>
      <c r="K217" s="492"/>
      <c r="L217" s="492"/>
      <c r="M217" s="492"/>
      <c r="N217" s="492">
        <v>1.2</v>
      </c>
      <c r="O217" s="1213"/>
      <c r="P217" s="492"/>
      <c r="Q217" s="1018"/>
      <c r="R217" s="927"/>
      <c r="S217" s="17"/>
      <c r="T217" s="234"/>
      <c r="U217" s="17"/>
      <c r="V217" s="17"/>
      <c r="W217" s="154"/>
      <c r="X217" s="55"/>
      <c r="Y217" s="154"/>
      <c r="Z217" s="47"/>
      <c r="AE217" s="2461"/>
      <c r="AF217" s="68"/>
    </row>
    <row r="218" spans="1:32" x14ac:dyDescent="0.35">
      <c r="A218" s="294"/>
      <c r="B218" s="997">
        <v>10487</v>
      </c>
      <c r="C218" s="997"/>
      <c r="D218" s="293"/>
      <c r="E218" s="2050" t="s">
        <v>11591</v>
      </c>
      <c r="F218" s="1138" t="s">
        <v>827</v>
      </c>
      <c r="G218" s="1138">
        <v>5</v>
      </c>
      <c r="H218" s="1944">
        <v>6</v>
      </c>
      <c r="I218" s="298"/>
      <c r="J218" s="298"/>
      <c r="K218" s="492"/>
      <c r="L218" s="492"/>
      <c r="M218" s="492"/>
      <c r="N218" s="492"/>
      <c r="O218" s="1213"/>
      <c r="P218" s="492"/>
      <c r="Q218" s="1018">
        <f>3.63-1.2</f>
        <v>2.4299999999999997</v>
      </c>
      <c r="R218" s="2610">
        <v>0</v>
      </c>
      <c r="S218" s="17"/>
      <c r="T218" s="234"/>
      <c r="U218" s="17"/>
      <c r="V218" s="17"/>
      <c r="W218" s="154"/>
      <c r="X218" s="55"/>
      <c r="Y218" s="154"/>
      <c r="Z218" s="47"/>
      <c r="AE218" s="2461"/>
      <c r="AF218" s="68"/>
    </row>
    <row r="219" spans="1:32" ht="45" x14ac:dyDescent="0.35">
      <c r="A219" s="693">
        <v>81</v>
      </c>
      <c r="B219" s="693">
        <v>10487</v>
      </c>
      <c r="C219" s="693"/>
      <c r="D219" s="2466" t="s">
        <v>4788</v>
      </c>
      <c r="E219" s="2187" t="s">
        <v>7701</v>
      </c>
      <c r="F219" s="1138">
        <v>5</v>
      </c>
      <c r="G219" s="92">
        <v>5</v>
      </c>
      <c r="H219" s="1944">
        <v>6</v>
      </c>
      <c r="I219" s="702">
        <f>J219+K219+L219</f>
        <v>0.3</v>
      </c>
      <c r="J219" s="702">
        <f>SUM(M219:R219)</f>
        <v>0.3</v>
      </c>
      <c r="K219" s="46"/>
      <c r="L219" s="46"/>
      <c r="M219" s="46"/>
      <c r="N219" s="46"/>
      <c r="O219" s="46"/>
      <c r="P219" s="46"/>
      <c r="Q219" s="46"/>
      <c r="R219" s="906">
        <v>0.3</v>
      </c>
      <c r="S219" s="106"/>
      <c r="T219" s="106"/>
      <c r="U219" s="106"/>
      <c r="V219" s="106"/>
      <c r="W219" s="105"/>
      <c r="X219" s="105"/>
      <c r="Y219" s="105"/>
      <c r="Z219" s="181"/>
      <c r="AB219" s="3">
        <v>1</v>
      </c>
      <c r="AE219" s="2461"/>
      <c r="AF219" s="68"/>
    </row>
    <row r="220" spans="1:32" ht="30.5" x14ac:dyDescent="0.35">
      <c r="A220" s="294">
        <v>82</v>
      </c>
      <c r="B220" s="997">
        <v>10488</v>
      </c>
      <c r="C220" s="997"/>
      <c r="D220" s="293" t="s">
        <v>1032</v>
      </c>
      <c r="E220" s="288" t="s">
        <v>7125</v>
      </c>
      <c r="F220" s="1138"/>
      <c r="G220" s="1138" t="s">
        <v>191</v>
      </c>
      <c r="H220" s="1138" t="s">
        <v>191</v>
      </c>
      <c r="I220" s="297">
        <f>J220+K220+L220</f>
        <v>4.585</v>
      </c>
      <c r="J220" s="297">
        <f>SUM(M220:R220)</f>
        <v>4.585</v>
      </c>
      <c r="K220" s="489"/>
      <c r="L220" s="489"/>
      <c r="M220" s="489"/>
      <c r="N220" s="489">
        <f>SUM(N221:N222)</f>
        <v>1.865</v>
      </c>
      <c r="O220" s="1210"/>
      <c r="P220" s="489"/>
      <c r="Q220" s="935"/>
      <c r="R220" s="929">
        <f>SUM(R221:R222)</f>
        <v>2.72</v>
      </c>
      <c r="S220" s="17"/>
      <c r="T220" s="234"/>
      <c r="U220" s="17"/>
      <c r="V220" s="17"/>
      <c r="W220" s="154">
        <v>5</v>
      </c>
      <c r="X220" s="55">
        <v>55.4</v>
      </c>
      <c r="Y220" s="154"/>
      <c r="Z220" s="47"/>
      <c r="AB220" s="3">
        <v>1</v>
      </c>
      <c r="AE220" s="2461"/>
      <c r="AF220" s="68"/>
    </row>
    <row r="221" spans="1:32" x14ac:dyDescent="0.35">
      <c r="A221" s="294"/>
      <c r="B221" s="997">
        <v>10488</v>
      </c>
      <c r="C221" s="997"/>
      <c r="D221" s="293"/>
      <c r="E221" s="289" t="s">
        <v>1283</v>
      </c>
      <c r="F221" s="1138">
        <v>5</v>
      </c>
      <c r="G221" s="1138">
        <v>5</v>
      </c>
      <c r="H221" s="1138">
        <v>6</v>
      </c>
      <c r="I221" s="298"/>
      <c r="J221" s="298"/>
      <c r="K221" s="492"/>
      <c r="L221" s="492"/>
      <c r="M221" s="492"/>
      <c r="N221" s="492">
        <v>1.865</v>
      </c>
      <c r="O221" s="1213"/>
      <c r="P221" s="492"/>
      <c r="Q221" s="1018"/>
      <c r="R221" s="927"/>
      <c r="S221" s="17"/>
      <c r="T221" s="234"/>
      <c r="U221" s="17"/>
      <c r="V221" s="17"/>
      <c r="W221" s="154"/>
      <c r="X221" s="55"/>
      <c r="Y221" s="154"/>
      <c r="Z221" s="47"/>
      <c r="AA221" s="3" t="s">
        <v>1571</v>
      </c>
      <c r="AE221" s="2461"/>
      <c r="AF221" s="68"/>
    </row>
    <row r="222" spans="1:32" x14ac:dyDescent="0.35">
      <c r="A222" s="294"/>
      <c r="B222" s="997">
        <v>10488</v>
      </c>
      <c r="C222" s="997"/>
      <c r="D222" s="293"/>
      <c r="E222" s="838" t="s">
        <v>1809</v>
      </c>
      <c r="F222" s="1138" t="s">
        <v>1490</v>
      </c>
      <c r="G222" s="1138">
        <v>5</v>
      </c>
      <c r="H222" s="1944">
        <v>6</v>
      </c>
      <c r="I222" s="298"/>
      <c r="J222" s="298"/>
      <c r="K222" s="492"/>
      <c r="L222" s="492"/>
      <c r="M222" s="492"/>
      <c r="N222" s="492"/>
      <c r="O222" s="1213"/>
      <c r="P222" s="492"/>
      <c r="Q222" s="1018"/>
      <c r="R222" s="927">
        <v>2.72</v>
      </c>
      <c r="S222" s="17"/>
      <c r="T222" s="234"/>
      <c r="U222" s="17"/>
      <c r="V222" s="17"/>
      <c r="W222" s="154"/>
      <c r="X222" s="55"/>
      <c r="Y222" s="154"/>
      <c r="Z222" s="47"/>
      <c r="AE222" s="2461"/>
      <c r="AF222" s="68"/>
    </row>
    <row r="223" spans="1:32" x14ac:dyDescent="0.35">
      <c r="A223" s="294">
        <v>83</v>
      </c>
      <c r="B223" s="997">
        <v>10489</v>
      </c>
      <c r="C223" s="997"/>
      <c r="D223" s="293" t="s">
        <v>1826</v>
      </c>
      <c r="E223" s="288" t="s">
        <v>1976</v>
      </c>
      <c r="F223" s="1138"/>
      <c r="G223" s="1138" t="s">
        <v>191</v>
      </c>
      <c r="H223" s="1138" t="s">
        <v>191</v>
      </c>
      <c r="I223" s="297">
        <f>J223+K223+L223</f>
        <v>2.8819999999999997</v>
      </c>
      <c r="J223" s="297">
        <f>SUM(M223:R223)</f>
        <v>2.84</v>
      </c>
      <c r="K223" s="489"/>
      <c r="L223" s="489">
        <f>SUM(L224:L228)</f>
        <v>4.2000000000000037E-2</v>
      </c>
      <c r="M223" s="489"/>
      <c r="N223" s="489">
        <f>SUM(N224:N228)</f>
        <v>1.2</v>
      </c>
      <c r="O223" s="1210"/>
      <c r="P223" s="489"/>
      <c r="Q223" s="935"/>
      <c r="R223" s="929">
        <f>SUM(R224:R228)</f>
        <v>1.64</v>
      </c>
      <c r="S223" s="17"/>
      <c r="T223" s="234"/>
      <c r="U223" s="17"/>
      <c r="V223" s="17"/>
      <c r="W223" s="154">
        <v>3</v>
      </c>
      <c r="X223" s="55">
        <v>32.4</v>
      </c>
      <c r="Y223" s="154">
        <v>1</v>
      </c>
      <c r="Z223" s="47">
        <v>12</v>
      </c>
      <c r="AB223" s="3">
        <v>1</v>
      </c>
      <c r="AE223" s="2461"/>
      <c r="AF223" s="68"/>
    </row>
    <row r="224" spans="1:32" x14ac:dyDescent="0.35">
      <c r="A224" s="787"/>
      <c r="B224" s="997">
        <v>10489</v>
      </c>
      <c r="C224" s="997"/>
      <c r="D224" s="825"/>
      <c r="E224" s="289" t="s">
        <v>3428</v>
      </c>
      <c r="F224" s="1138">
        <v>5</v>
      </c>
      <c r="G224" s="1138">
        <v>5</v>
      </c>
      <c r="H224" s="1138">
        <v>6</v>
      </c>
      <c r="I224" s="298"/>
      <c r="J224" s="298"/>
      <c r="K224" s="492"/>
      <c r="L224" s="492"/>
      <c r="M224" s="492"/>
      <c r="N224" s="492">
        <v>1.2</v>
      </c>
      <c r="O224" s="1213"/>
      <c r="P224" s="492"/>
      <c r="Q224" s="1018"/>
      <c r="R224" s="927"/>
      <c r="S224" s="14"/>
      <c r="T224" s="235"/>
      <c r="U224" s="14"/>
      <c r="V224" s="14"/>
      <c r="W224" s="1944"/>
      <c r="X224" s="1138"/>
      <c r="Y224" s="1944"/>
      <c r="Z224" s="70"/>
      <c r="AE224" s="2461"/>
      <c r="AF224" s="68"/>
    </row>
    <row r="225" spans="1:32" x14ac:dyDescent="0.35">
      <c r="A225" s="787"/>
      <c r="B225" s="997">
        <v>10489</v>
      </c>
      <c r="C225" s="997"/>
      <c r="D225" s="825"/>
      <c r="E225" s="838" t="s">
        <v>1889</v>
      </c>
      <c r="F225" s="1138" t="s">
        <v>827</v>
      </c>
      <c r="G225" s="1138">
        <v>5</v>
      </c>
      <c r="H225" s="1944">
        <v>6</v>
      </c>
      <c r="I225" s="298"/>
      <c r="J225" s="298"/>
      <c r="K225" s="492"/>
      <c r="L225" s="492"/>
      <c r="M225" s="492"/>
      <c r="N225" s="492"/>
      <c r="O225" s="1213"/>
      <c r="P225" s="492"/>
      <c r="Q225" s="1018"/>
      <c r="R225" s="927">
        <v>0.315</v>
      </c>
      <c r="S225" s="14"/>
      <c r="T225" s="235"/>
      <c r="U225" s="14"/>
      <c r="V225" s="14"/>
      <c r="W225" s="1944"/>
      <c r="X225" s="1138"/>
      <c r="Y225" s="1944"/>
      <c r="Z225" s="70"/>
      <c r="AE225" s="2461"/>
      <c r="AF225" s="68"/>
    </row>
    <row r="226" spans="1:32" ht="31" x14ac:dyDescent="0.35">
      <c r="A226" s="787"/>
      <c r="B226" s="997">
        <v>10489</v>
      </c>
      <c r="C226" s="997"/>
      <c r="D226" s="825"/>
      <c r="E226" s="459" t="s">
        <v>2651</v>
      </c>
      <c r="F226" s="1138">
        <v>5</v>
      </c>
      <c r="G226" s="1138">
        <v>5</v>
      </c>
      <c r="H226" s="1138" t="s">
        <v>191</v>
      </c>
      <c r="I226" s="298"/>
      <c r="J226" s="298"/>
      <c r="K226" s="492"/>
      <c r="L226" s="492">
        <f>1.557-1.515</f>
        <v>4.2000000000000037E-2</v>
      </c>
      <c r="M226" s="492"/>
      <c r="N226" s="492"/>
      <c r="O226" s="1213"/>
      <c r="P226" s="492"/>
      <c r="Q226" s="1018"/>
      <c r="R226" s="927"/>
      <c r="S226" s="14"/>
      <c r="T226" s="235"/>
      <c r="U226" s="14"/>
      <c r="V226" s="14"/>
      <c r="W226" s="1944"/>
      <c r="X226" s="1138"/>
      <c r="Y226" s="1944"/>
      <c r="Z226" s="70"/>
      <c r="AE226" s="2461"/>
      <c r="AF226" s="68"/>
    </row>
    <row r="227" spans="1:32" x14ac:dyDescent="0.35">
      <c r="A227" s="787"/>
      <c r="B227" s="997">
        <v>10489</v>
      </c>
      <c r="C227" s="997"/>
      <c r="D227" s="825"/>
      <c r="E227" s="838" t="s">
        <v>1852</v>
      </c>
      <c r="F227" s="1138" t="s">
        <v>827</v>
      </c>
      <c r="G227" s="1138">
        <v>5</v>
      </c>
      <c r="H227" s="1944">
        <v>6</v>
      </c>
      <c r="I227" s="298"/>
      <c r="J227" s="298"/>
      <c r="K227" s="492"/>
      <c r="L227" s="492"/>
      <c r="M227" s="492"/>
      <c r="N227" s="492"/>
      <c r="O227" s="1213"/>
      <c r="P227" s="492"/>
      <c r="Q227" s="1018"/>
      <c r="R227" s="927">
        <f>2.047-1.515</f>
        <v>0.53200000000000025</v>
      </c>
      <c r="S227" s="14"/>
      <c r="T227" s="235"/>
      <c r="U227" s="14"/>
      <c r="V227" s="14"/>
      <c r="W227" s="1944"/>
      <c r="X227" s="1138"/>
      <c r="Y227" s="1944"/>
      <c r="Z227" s="70"/>
      <c r="AE227" s="2461"/>
      <c r="AF227" s="68"/>
    </row>
    <row r="228" spans="1:32" x14ac:dyDescent="0.35">
      <c r="A228" s="787"/>
      <c r="B228" s="997">
        <v>10489</v>
      </c>
      <c r="C228" s="997"/>
      <c r="D228" s="825"/>
      <c r="E228" s="838" t="s">
        <v>1853</v>
      </c>
      <c r="F228" s="1138" t="s">
        <v>1490</v>
      </c>
      <c r="G228" s="1138">
        <v>5</v>
      </c>
      <c r="H228" s="1944">
        <v>6</v>
      </c>
      <c r="I228" s="298"/>
      <c r="J228" s="298"/>
      <c r="K228" s="492"/>
      <c r="L228" s="492"/>
      <c r="M228" s="492"/>
      <c r="N228" s="492"/>
      <c r="O228" s="1213"/>
      <c r="P228" s="492"/>
      <c r="Q228" s="1018"/>
      <c r="R228" s="927">
        <f>2.84-2.047</f>
        <v>0.79299999999999971</v>
      </c>
      <c r="S228" s="14"/>
      <c r="T228" s="235"/>
      <c r="U228" s="14"/>
      <c r="V228" s="14"/>
      <c r="W228" s="1944"/>
      <c r="X228" s="1138"/>
      <c r="Y228" s="1944"/>
      <c r="Z228" s="70"/>
      <c r="AE228" s="2461"/>
      <c r="AF228" s="68"/>
    </row>
    <row r="229" spans="1:32" ht="30.5" x14ac:dyDescent="0.35">
      <c r="A229" s="294">
        <v>84</v>
      </c>
      <c r="B229" s="997">
        <v>10489</v>
      </c>
      <c r="C229" s="997"/>
      <c r="D229" s="2466" t="s">
        <v>4789</v>
      </c>
      <c r="E229" s="473" t="s">
        <v>7702</v>
      </c>
      <c r="F229" s="1944" t="s">
        <v>1490</v>
      </c>
      <c r="G229" s="1944">
        <v>5</v>
      </c>
      <c r="H229" s="1944">
        <v>6</v>
      </c>
      <c r="I229" s="297">
        <f t="shared" ref="I229:I239" si="12">J229+K229+L229</f>
        <v>1.26</v>
      </c>
      <c r="J229" s="297">
        <f t="shared" ref="J229:J239" si="13">SUM(M229:R229)</f>
        <v>1.26</v>
      </c>
      <c r="K229" s="297"/>
      <c r="L229" s="297"/>
      <c r="M229" s="297"/>
      <c r="N229" s="297"/>
      <c r="O229" s="618"/>
      <c r="P229" s="297"/>
      <c r="Q229" s="932"/>
      <c r="R229" s="925">
        <v>1.26</v>
      </c>
      <c r="S229" s="17"/>
      <c r="T229" s="234"/>
      <c r="U229" s="17"/>
      <c r="V229" s="17"/>
      <c r="W229" s="154">
        <v>1</v>
      </c>
      <c r="X229" s="154">
        <v>10.3</v>
      </c>
      <c r="Y229" s="164"/>
      <c r="Z229" s="58"/>
      <c r="AB229" s="3">
        <v>1</v>
      </c>
      <c r="AE229" s="2461"/>
      <c r="AF229" s="68"/>
    </row>
    <row r="230" spans="1:32" x14ac:dyDescent="0.35">
      <c r="A230" s="294">
        <v>85</v>
      </c>
      <c r="B230" s="997">
        <v>10490</v>
      </c>
      <c r="C230" s="997"/>
      <c r="D230" s="293" t="s">
        <v>1827</v>
      </c>
      <c r="E230" s="288" t="s">
        <v>478</v>
      </c>
      <c r="F230" s="1138"/>
      <c r="G230" s="1138" t="s">
        <v>191</v>
      </c>
      <c r="H230" s="1944" t="s">
        <v>191</v>
      </c>
      <c r="I230" s="297">
        <f t="shared" si="12"/>
        <v>4.5999999999999996</v>
      </c>
      <c r="J230" s="297">
        <f t="shared" si="13"/>
        <v>4.5999999999999996</v>
      </c>
      <c r="K230" s="489"/>
      <c r="L230" s="489"/>
      <c r="M230" s="489"/>
      <c r="N230" s="489"/>
      <c r="O230" s="1210"/>
      <c r="P230" s="489"/>
      <c r="Q230" s="935"/>
      <c r="R230" s="925">
        <f>SUM(R231:R232)</f>
        <v>4.5999999999999996</v>
      </c>
      <c r="S230" s="17"/>
      <c r="T230" s="234"/>
      <c r="U230" s="17"/>
      <c r="V230" s="17"/>
      <c r="W230" s="154"/>
      <c r="X230" s="55"/>
      <c r="Y230" s="154"/>
      <c r="Z230" s="47"/>
      <c r="AB230" s="3">
        <v>1</v>
      </c>
      <c r="AC230" s="3" t="s">
        <v>823</v>
      </c>
      <c r="AE230" s="2461"/>
      <c r="AF230" s="68"/>
    </row>
    <row r="231" spans="1:32" x14ac:dyDescent="0.35">
      <c r="A231" s="294"/>
      <c r="B231" s="997">
        <v>10490</v>
      </c>
      <c r="C231" s="997"/>
      <c r="D231" s="293"/>
      <c r="E231" s="2403" t="s">
        <v>347</v>
      </c>
      <c r="F231" s="1138" t="s">
        <v>827</v>
      </c>
      <c r="G231" s="1138">
        <v>5</v>
      </c>
      <c r="H231" s="1944">
        <v>6</v>
      </c>
      <c r="I231" s="298"/>
      <c r="J231" s="298"/>
      <c r="K231" s="492"/>
      <c r="L231" s="492"/>
      <c r="M231" s="492"/>
      <c r="N231" s="492"/>
      <c r="O231" s="494"/>
      <c r="P231" s="492"/>
      <c r="Q231" s="2181"/>
      <c r="R231" s="2049">
        <v>4.4000000000000004</v>
      </c>
      <c r="S231" s="17"/>
      <c r="T231" s="234"/>
      <c r="U231" s="17"/>
      <c r="V231" s="17"/>
      <c r="W231" s="154"/>
      <c r="X231" s="55"/>
      <c r="Y231" s="154"/>
      <c r="Z231" s="47"/>
      <c r="AE231" s="2461"/>
      <c r="AF231" s="68"/>
    </row>
    <row r="232" spans="1:32" x14ac:dyDescent="0.35">
      <c r="A232" s="294"/>
      <c r="B232" s="997">
        <v>10490</v>
      </c>
      <c r="C232" s="997"/>
      <c r="D232" s="293"/>
      <c r="E232" s="2403" t="s">
        <v>2819</v>
      </c>
      <c r="F232" s="1138">
        <v>5</v>
      </c>
      <c r="G232" s="1138">
        <v>5</v>
      </c>
      <c r="H232" s="1944">
        <v>6</v>
      </c>
      <c r="I232" s="298"/>
      <c r="J232" s="298"/>
      <c r="K232" s="492"/>
      <c r="L232" s="492"/>
      <c r="M232" s="492"/>
      <c r="N232" s="492"/>
      <c r="O232" s="494"/>
      <c r="P232" s="492"/>
      <c r="Q232" s="2181"/>
      <c r="R232" s="2049">
        <f>4.6-4.4</f>
        <v>0.19999999999999929</v>
      </c>
      <c r="S232" s="17"/>
      <c r="T232" s="234"/>
      <c r="U232" s="17"/>
      <c r="V232" s="17"/>
      <c r="W232" s="154"/>
      <c r="X232" s="55"/>
      <c r="Y232" s="154"/>
      <c r="Z232" s="47"/>
      <c r="AE232" s="2461"/>
      <c r="AF232" s="68"/>
    </row>
    <row r="233" spans="1:32" ht="45.5" x14ac:dyDescent="0.35">
      <c r="A233" s="294">
        <v>86</v>
      </c>
      <c r="B233" s="997">
        <v>10490</v>
      </c>
      <c r="C233" s="358" t="s">
        <v>1656</v>
      </c>
      <c r="D233" s="2466" t="s">
        <v>4790</v>
      </c>
      <c r="E233" s="511" t="s">
        <v>9251</v>
      </c>
      <c r="F233" s="1138" t="s">
        <v>827</v>
      </c>
      <c r="G233" s="1944">
        <v>5</v>
      </c>
      <c r="H233" s="1944">
        <v>6</v>
      </c>
      <c r="I233" s="297">
        <f>J233+K233+L233</f>
        <v>0.1</v>
      </c>
      <c r="J233" s="297">
        <f>SUM(M233:R233)</f>
        <v>0.1</v>
      </c>
      <c r="K233" s="297"/>
      <c r="L233" s="297"/>
      <c r="M233" s="297"/>
      <c r="N233" s="297"/>
      <c r="O233" s="302"/>
      <c r="P233" s="297"/>
      <c r="Q233" s="2369"/>
      <c r="R233" s="1498">
        <v>0.1</v>
      </c>
      <c r="S233" s="17"/>
      <c r="T233" s="234"/>
      <c r="U233" s="17"/>
      <c r="V233" s="17"/>
      <c r="W233" s="154"/>
      <c r="X233" s="55"/>
      <c r="Y233" s="154"/>
      <c r="Z233" s="47"/>
      <c r="AB233" s="3">
        <v>1</v>
      </c>
      <c r="AE233" s="2461"/>
      <c r="AF233" s="68"/>
    </row>
    <row r="234" spans="1:32" x14ac:dyDescent="0.35">
      <c r="A234" s="294">
        <v>87</v>
      </c>
      <c r="B234" s="997">
        <v>10491</v>
      </c>
      <c r="C234" s="997"/>
      <c r="D234" s="293" t="s">
        <v>1828</v>
      </c>
      <c r="E234" s="288" t="s">
        <v>1977</v>
      </c>
      <c r="F234" s="1138" t="s">
        <v>1490</v>
      </c>
      <c r="G234" s="1138">
        <v>5</v>
      </c>
      <c r="H234" s="1944">
        <v>6</v>
      </c>
      <c r="I234" s="297">
        <f t="shared" si="12"/>
        <v>1.66</v>
      </c>
      <c r="J234" s="297">
        <f t="shared" si="13"/>
        <v>1.66</v>
      </c>
      <c r="K234" s="489"/>
      <c r="L234" s="489"/>
      <c r="M234" s="489"/>
      <c r="N234" s="489"/>
      <c r="O234" s="1210"/>
      <c r="P234" s="489"/>
      <c r="Q234" s="935"/>
      <c r="R234" s="925">
        <v>1.66</v>
      </c>
      <c r="S234" s="17"/>
      <c r="T234" s="234"/>
      <c r="U234" s="17"/>
      <c r="V234" s="17"/>
      <c r="W234" s="154"/>
      <c r="X234" s="55"/>
      <c r="Y234" s="154"/>
      <c r="Z234" s="47"/>
      <c r="AB234" s="3">
        <v>1</v>
      </c>
      <c r="AE234" s="2461"/>
      <c r="AF234" s="68"/>
    </row>
    <row r="235" spans="1:32" x14ac:dyDescent="0.35">
      <c r="A235" s="294">
        <v>88</v>
      </c>
      <c r="B235" s="997">
        <v>10492</v>
      </c>
      <c r="C235" s="997"/>
      <c r="D235" s="293" t="s">
        <v>2930</v>
      </c>
      <c r="E235" s="511" t="s">
        <v>11514</v>
      </c>
      <c r="F235" s="1138">
        <v>4</v>
      </c>
      <c r="G235" s="1138">
        <v>5</v>
      </c>
      <c r="H235" s="1138">
        <v>6</v>
      </c>
      <c r="I235" s="297">
        <f t="shared" si="12"/>
        <v>1.35</v>
      </c>
      <c r="J235" s="297">
        <f t="shared" si="13"/>
        <v>1.35</v>
      </c>
      <c r="K235" s="489"/>
      <c r="L235" s="489"/>
      <c r="M235" s="489"/>
      <c r="N235" s="2873">
        <v>1.35</v>
      </c>
      <c r="O235" s="1210"/>
      <c r="P235" s="489"/>
      <c r="Q235" s="935"/>
      <c r="R235" s="925"/>
      <c r="S235" s="17"/>
      <c r="T235" s="234"/>
      <c r="U235" s="17"/>
      <c r="V235" s="17"/>
      <c r="W235" s="154">
        <v>2</v>
      </c>
      <c r="X235" s="55">
        <v>30</v>
      </c>
      <c r="Y235" s="154"/>
      <c r="Z235" s="47"/>
      <c r="AB235" s="3">
        <v>1</v>
      </c>
      <c r="AE235" s="2461"/>
      <c r="AF235" s="68"/>
    </row>
    <row r="236" spans="1:32" x14ac:dyDescent="0.35">
      <c r="A236" s="294">
        <v>89</v>
      </c>
      <c r="B236" s="693">
        <v>10493</v>
      </c>
      <c r="C236" s="693"/>
      <c r="D236" s="693" t="s">
        <v>488</v>
      </c>
      <c r="E236" s="2187" t="s">
        <v>1961</v>
      </c>
      <c r="F236" s="1138"/>
      <c r="G236" s="92" t="s">
        <v>191</v>
      </c>
      <c r="H236" s="1944" t="s">
        <v>191</v>
      </c>
      <c r="I236" s="702">
        <f t="shared" si="12"/>
        <v>0.85000000000000009</v>
      </c>
      <c r="J236" s="702">
        <f t="shared" si="13"/>
        <v>0.85000000000000009</v>
      </c>
      <c r="K236" s="46"/>
      <c r="L236" s="46"/>
      <c r="M236" s="46"/>
      <c r="N236" s="46"/>
      <c r="O236" s="46"/>
      <c r="P236" s="46"/>
      <c r="Q236" s="46"/>
      <c r="R236" s="906">
        <f>SUM(R237:R238)</f>
        <v>0.85000000000000009</v>
      </c>
      <c r="S236" s="106"/>
      <c r="T236" s="106"/>
      <c r="U236" s="106"/>
      <c r="V236" s="106"/>
      <c r="W236" s="105"/>
      <c r="X236" s="105"/>
      <c r="Y236" s="105"/>
      <c r="Z236" s="181"/>
      <c r="AB236" s="3">
        <v>1</v>
      </c>
      <c r="AC236" s="3" t="s">
        <v>2570</v>
      </c>
      <c r="AE236" s="2461"/>
      <c r="AF236" s="68"/>
    </row>
    <row r="237" spans="1:32" x14ac:dyDescent="0.35">
      <c r="A237" s="294"/>
      <c r="B237" s="693"/>
      <c r="C237" s="693"/>
      <c r="D237" s="693"/>
      <c r="E237" s="2403" t="s">
        <v>2901</v>
      </c>
      <c r="F237" s="1138" t="s">
        <v>827</v>
      </c>
      <c r="G237" s="92">
        <v>5</v>
      </c>
      <c r="H237" s="1944">
        <v>6</v>
      </c>
      <c r="I237" s="1918"/>
      <c r="J237" s="1918"/>
      <c r="K237" s="92"/>
      <c r="L237" s="92"/>
      <c r="M237" s="92"/>
      <c r="N237" s="92"/>
      <c r="O237" s="92"/>
      <c r="P237" s="92"/>
      <c r="Q237" s="92"/>
      <c r="R237" s="907">
        <v>0.45</v>
      </c>
      <c r="S237" s="106"/>
      <c r="T237" s="106"/>
      <c r="U237" s="106"/>
      <c r="V237" s="106"/>
      <c r="W237" s="105"/>
      <c r="X237" s="105"/>
      <c r="Y237" s="105"/>
      <c r="Z237" s="181"/>
      <c r="AE237" s="2461"/>
      <c r="AF237" s="68"/>
    </row>
    <row r="238" spans="1:32" x14ac:dyDescent="0.35">
      <c r="A238" s="294"/>
      <c r="B238" s="693"/>
      <c r="C238" s="693"/>
      <c r="D238" s="693"/>
      <c r="E238" s="2403" t="s">
        <v>1691</v>
      </c>
      <c r="F238" s="1138" t="s">
        <v>1490</v>
      </c>
      <c r="G238" s="92">
        <v>5</v>
      </c>
      <c r="H238" s="1944">
        <v>6</v>
      </c>
      <c r="I238" s="1918"/>
      <c r="J238" s="1918"/>
      <c r="K238" s="92"/>
      <c r="L238" s="92"/>
      <c r="M238" s="92"/>
      <c r="N238" s="92"/>
      <c r="O238" s="92"/>
      <c r="P238" s="92"/>
      <c r="Q238" s="92"/>
      <c r="R238" s="907">
        <v>0.4</v>
      </c>
      <c r="S238" s="106"/>
      <c r="T238" s="106"/>
      <c r="U238" s="106"/>
      <c r="V238" s="106"/>
      <c r="W238" s="105"/>
      <c r="X238" s="105"/>
      <c r="Y238" s="105"/>
      <c r="Z238" s="181"/>
      <c r="AE238" s="2461"/>
      <c r="AF238" s="68"/>
    </row>
    <row r="239" spans="1:32" x14ac:dyDescent="0.35">
      <c r="A239" s="294">
        <v>90</v>
      </c>
      <c r="B239" s="693">
        <v>10494</v>
      </c>
      <c r="C239" s="693"/>
      <c r="D239" s="693" t="s">
        <v>1797</v>
      </c>
      <c r="E239" s="2187" t="s">
        <v>123</v>
      </c>
      <c r="F239" s="1138" t="s">
        <v>827</v>
      </c>
      <c r="G239" s="92">
        <v>5</v>
      </c>
      <c r="H239" s="1944">
        <v>6</v>
      </c>
      <c r="I239" s="702">
        <f t="shared" si="12"/>
        <v>2.75</v>
      </c>
      <c r="J239" s="702">
        <f t="shared" si="13"/>
        <v>2.75</v>
      </c>
      <c r="K239" s="46"/>
      <c r="L239" s="46"/>
      <c r="M239" s="46"/>
      <c r="N239" s="46"/>
      <c r="O239" s="46"/>
      <c r="P239" s="46"/>
      <c r="Q239" s="46"/>
      <c r="R239" s="906">
        <v>2.75</v>
      </c>
      <c r="S239" s="106"/>
      <c r="T239" s="106"/>
      <c r="U239" s="106"/>
      <c r="V239" s="106"/>
      <c r="W239" s="105"/>
      <c r="X239" s="105"/>
      <c r="Y239" s="105"/>
      <c r="Z239" s="181"/>
      <c r="AB239" s="3">
        <v>1</v>
      </c>
      <c r="AC239" s="3" t="s">
        <v>2570</v>
      </c>
      <c r="AE239" s="2461"/>
      <c r="AF239" s="68"/>
    </row>
    <row r="240" spans="1:32" ht="30.5" x14ac:dyDescent="0.35">
      <c r="A240" s="515"/>
      <c r="B240" s="515" t="s">
        <v>159</v>
      </c>
      <c r="C240" s="515"/>
      <c r="D240" s="293"/>
      <c r="E240" s="1582" t="s">
        <v>9435</v>
      </c>
      <c r="F240" s="1138"/>
      <c r="G240" s="1138"/>
      <c r="H240" s="1138"/>
      <c r="I240" s="297"/>
      <c r="J240" s="297"/>
      <c r="K240" s="489"/>
      <c r="L240" s="489"/>
      <c r="M240" s="489"/>
      <c r="N240" s="489"/>
      <c r="O240" s="1210"/>
      <c r="P240" s="489"/>
      <c r="Q240" s="935"/>
      <c r="R240" s="925"/>
      <c r="S240" s="17"/>
      <c r="T240" s="234"/>
      <c r="U240" s="17"/>
      <c r="V240" s="17"/>
      <c r="W240" s="154"/>
      <c r="X240" s="55"/>
      <c r="Y240" s="154"/>
      <c r="Z240" s="46"/>
      <c r="AE240" s="2461"/>
      <c r="AF240" s="68"/>
    </row>
    <row r="241" spans="1:32" ht="30.5" x14ac:dyDescent="0.35">
      <c r="A241" s="294">
        <v>91</v>
      </c>
      <c r="B241" s="997" t="s">
        <v>159</v>
      </c>
      <c r="C241" s="997"/>
      <c r="D241" s="2466" t="s">
        <v>4791</v>
      </c>
      <c r="E241" s="288" t="s">
        <v>9447</v>
      </c>
      <c r="F241" s="1138"/>
      <c r="G241" s="1138" t="s">
        <v>191</v>
      </c>
      <c r="H241" s="1138" t="s">
        <v>191</v>
      </c>
      <c r="I241" s="297">
        <f>J241+K241+L241</f>
        <v>3.04</v>
      </c>
      <c r="J241" s="297">
        <f>SUM(M241:R241)</f>
        <v>3.04</v>
      </c>
      <c r="K241" s="297"/>
      <c r="L241" s="297"/>
      <c r="M241" s="297"/>
      <c r="N241" s="297"/>
      <c r="O241" s="618"/>
      <c r="P241" s="297"/>
      <c r="Q241" s="932">
        <f>SUM(Q242:Q243)</f>
        <v>3.04</v>
      </c>
      <c r="R241" s="925"/>
      <c r="S241" s="15"/>
      <c r="T241" s="233"/>
      <c r="U241" s="15"/>
      <c r="V241" s="15"/>
      <c r="W241" s="154">
        <v>3</v>
      </c>
      <c r="X241" s="55">
        <v>30.3</v>
      </c>
      <c r="Y241" s="154"/>
      <c r="Z241" s="47"/>
      <c r="AB241" s="3">
        <v>1</v>
      </c>
      <c r="AE241" s="2461"/>
      <c r="AF241" s="68"/>
    </row>
    <row r="242" spans="1:32" x14ac:dyDescent="0.35">
      <c r="A242" s="294"/>
      <c r="B242" s="997" t="s">
        <v>159</v>
      </c>
      <c r="C242" s="997"/>
      <c r="D242" s="293"/>
      <c r="E242" s="2050" t="s">
        <v>1854</v>
      </c>
      <c r="F242" s="2536">
        <v>5</v>
      </c>
      <c r="G242" s="1138">
        <v>5</v>
      </c>
      <c r="H242" s="1138">
        <v>6</v>
      </c>
      <c r="I242" s="297"/>
      <c r="J242" s="297"/>
      <c r="K242" s="297"/>
      <c r="L242" s="297"/>
      <c r="M242" s="297"/>
      <c r="N242" s="297"/>
      <c r="O242" s="618"/>
      <c r="P242" s="297"/>
      <c r="Q242" s="1836">
        <v>1.4</v>
      </c>
      <c r="R242" s="925"/>
      <c r="S242" s="15"/>
      <c r="T242" s="233"/>
      <c r="U242" s="15"/>
      <c r="V242" s="15"/>
      <c r="W242" s="154"/>
      <c r="X242" s="55"/>
      <c r="Y242" s="154"/>
      <c r="Z242" s="47"/>
      <c r="AE242" s="2461"/>
      <c r="AF242" s="68"/>
    </row>
    <row r="243" spans="1:32" x14ac:dyDescent="0.35">
      <c r="A243" s="294"/>
      <c r="B243" s="997" t="s">
        <v>159</v>
      </c>
      <c r="C243" s="997"/>
      <c r="D243" s="293"/>
      <c r="E243" s="2050" t="s">
        <v>120</v>
      </c>
      <c r="F243" s="2536">
        <v>5</v>
      </c>
      <c r="G243" s="1138">
        <v>5</v>
      </c>
      <c r="H243" s="1138">
        <v>6</v>
      </c>
      <c r="I243" s="297"/>
      <c r="J243" s="297"/>
      <c r="K243" s="297"/>
      <c r="L243" s="297"/>
      <c r="M243" s="297"/>
      <c r="N243" s="297"/>
      <c r="O243" s="618"/>
      <c r="P243" s="297"/>
      <c r="Q243" s="1836">
        <f>3.04-1.4</f>
        <v>1.6400000000000001</v>
      </c>
      <c r="R243" s="925"/>
      <c r="S243" s="15"/>
      <c r="T243" s="233"/>
      <c r="U243" s="15"/>
      <c r="V243" s="15"/>
      <c r="W243" s="154"/>
      <c r="X243" s="55"/>
      <c r="Y243" s="154"/>
      <c r="Z243" s="47"/>
      <c r="AE243" s="2461"/>
      <c r="AF243" s="68"/>
    </row>
    <row r="244" spans="1:32" ht="60.5" x14ac:dyDescent="0.35">
      <c r="A244" s="294">
        <v>92</v>
      </c>
      <c r="B244" s="997" t="s">
        <v>159</v>
      </c>
      <c r="C244" s="997" t="s">
        <v>1655</v>
      </c>
      <c r="D244" s="2466" t="s">
        <v>4792</v>
      </c>
      <c r="E244" s="473" t="s">
        <v>9448</v>
      </c>
      <c r="F244" s="92" t="s">
        <v>1490</v>
      </c>
      <c r="G244" s="92">
        <v>5</v>
      </c>
      <c r="H244" s="1944">
        <v>6</v>
      </c>
      <c r="I244" s="297">
        <f>J244+K244+L244</f>
        <v>0.4</v>
      </c>
      <c r="J244" s="297">
        <f>SUM(M244:R244)</f>
        <v>0.4</v>
      </c>
      <c r="K244" s="622"/>
      <c r="L244" s="622"/>
      <c r="M244" s="622"/>
      <c r="N244" s="622"/>
      <c r="O244" s="1209"/>
      <c r="P244" s="622"/>
      <c r="Q244" s="934"/>
      <c r="R244" s="926">
        <v>0.4</v>
      </c>
      <c r="S244" s="106"/>
      <c r="T244" s="236"/>
      <c r="U244" s="106"/>
      <c r="V244" s="106"/>
      <c r="W244" s="106"/>
      <c r="X244" s="106"/>
      <c r="Y244" s="106"/>
      <c r="Z244" s="119"/>
      <c r="AB244" s="3">
        <v>1</v>
      </c>
      <c r="AE244" s="2461"/>
      <c r="AF244" s="68"/>
    </row>
    <row r="245" spans="1:32" ht="60.5" x14ac:dyDescent="0.35">
      <c r="A245" s="294">
        <v>93</v>
      </c>
      <c r="B245" s="997" t="s">
        <v>159</v>
      </c>
      <c r="C245" s="997" t="s">
        <v>1655</v>
      </c>
      <c r="D245" s="2466" t="s">
        <v>4793</v>
      </c>
      <c r="E245" s="473" t="s">
        <v>9449</v>
      </c>
      <c r="F245" s="92" t="s">
        <v>1490</v>
      </c>
      <c r="G245" s="92">
        <v>5</v>
      </c>
      <c r="H245" s="1944">
        <v>6</v>
      </c>
      <c r="I245" s="297">
        <f>J245+K245+L245</f>
        <v>0.4</v>
      </c>
      <c r="J245" s="297">
        <f>SUM(M245:R245)</f>
        <v>0.4</v>
      </c>
      <c r="K245" s="622"/>
      <c r="L245" s="622"/>
      <c r="M245" s="622"/>
      <c r="N245" s="622"/>
      <c r="O245" s="1209"/>
      <c r="P245" s="622"/>
      <c r="Q245" s="934"/>
      <c r="R245" s="926">
        <v>0.4</v>
      </c>
      <c r="S245" s="106"/>
      <c r="T245" s="236"/>
      <c r="U245" s="106"/>
      <c r="V245" s="106"/>
      <c r="W245" s="106"/>
      <c r="X245" s="106"/>
      <c r="Y245" s="106"/>
      <c r="Z245" s="119"/>
      <c r="AB245" s="3">
        <v>1</v>
      </c>
      <c r="AE245" s="2461"/>
      <c r="AF245" s="68"/>
    </row>
    <row r="246" spans="1:32" ht="45.5" x14ac:dyDescent="0.35">
      <c r="A246" s="294">
        <v>94</v>
      </c>
      <c r="B246" s="997" t="s">
        <v>159</v>
      </c>
      <c r="C246" s="997" t="s">
        <v>1655</v>
      </c>
      <c r="D246" s="2466" t="s">
        <v>4794</v>
      </c>
      <c r="E246" s="473" t="s">
        <v>9450</v>
      </c>
      <c r="F246" s="92" t="s">
        <v>1490</v>
      </c>
      <c r="G246" s="92">
        <v>5</v>
      </c>
      <c r="H246" s="1944">
        <v>6</v>
      </c>
      <c r="I246" s="297">
        <f>J246+K246+L246</f>
        <v>2.1</v>
      </c>
      <c r="J246" s="297">
        <f>SUM(M246:R246)</f>
        <v>2.1</v>
      </c>
      <c r="K246" s="622"/>
      <c r="L246" s="622"/>
      <c r="M246" s="622"/>
      <c r="N246" s="622"/>
      <c r="O246" s="1209"/>
      <c r="P246" s="622"/>
      <c r="Q246" s="934"/>
      <c r="R246" s="926">
        <v>2.1</v>
      </c>
      <c r="S246" s="106"/>
      <c r="T246" s="236"/>
      <c r="U246" s="106"/>
      <c r="V246" s="106"/>
      <c r="W246" s="106"/>
      <c r="X246" s="106"/>
      <c r="Y246" s="106"/>
      <c r="Z246" s="119"/>
      <c r="AB246" s="3">
        <v>1</v>
      </c>
      <c r="AE246" s="2461"/>
      <c r="AF246" s="68"/>
    </row>
    <row r="247" spans="1:32" ht="45.5" x14ac:dyDescent="0.35">
      <c r="A247" s="294">
        <v>95</v>
      </c>
      <c r="B247" s="515" t="s">
        <v>159</v>
      </c>
      <c r="C247" s="997" t="s">
        <v>1655</v>
      </c>
      <c r="D247" s="2466" t="s">
        <v>4795</v>
      </c>
      <c r="E247" s="473" t="s">
        <v>9451</v>
      </c>
      <c r="F247" s="92" t="s">
        <v>1490</v>
      </c>
      <c r="G247" s="92">
        <v>5</v>
      </c>
      <c r="H247" s="1944">
        <v>6</v>
      </c>
      <c r="I247" s="297">
        <f>J247+K247+L247</f>
        <v>1.7</v>
      </c>
      <c r="J247" s="297">
        <f>SUM(M247:R247)</f>
        <v>1.7</v>
      </c>
      <c r="K247" s="622"/>
      <c r="L247" s="622"/>
      <c r="M247" s="622"/>
      <c r="N247" s="622"/>
      <c r="O247" s="1209"/>
      <c r="P247" s="622"/>
      <c r="Q247" s="934"/>
      <c r="R247" s="926">
        <v>1.7</v>
      </c>
      <c r="S247" s="106"/>
      <c r="T247" s="236"/>
      <c r="U247" s="106"/>
      <c r="V247" s="106"/>
      <c r="W247" s="106"/>
      <c r="X247" s="106"/>
      <c r="Y247" s="106"/>
      <c r="Z247" s="106"/>
      <c r="AB247" s="3">
        <v>1</v>
      </c>
      <c r="AE247" s="2461"/>
      <c r="AF247" s="68"/>
    </row>
    <row r="248" spans="1:32" ht="45.5" x14ac:dyDescent="0.35">
      <c r="A248" s="294">
        <v>96</v>
      </c>
      <c r="B248" s="998" t="s">
        <v>159</v>
      </c>
      <c r="C248" s="358" t="s">
        <v>1655</v>
      </c>
      <c r="D248" s="2466" t="s">
        <v>4796</v>
      </c>
      <c r="E248" s="511" t="s">
        <v>9452</v>
      </c>
      <c r="F248" s="1138" t="s">
        <v>1490</v>
      </c>
      <c r="G248" s="1944">
        <v>5</v>
      </c>
      <c r="H248" s="1944">
        <v>6</v>
      </c>
      <c r="I248" s="297">
        <f>J248+K248+L248</f>
        <v>0.2</v>
      </c>
      <c r="J248" s="297">
        <f>SUM(M248:R248)</f>
        <v>0.2</v>
      </c>
      <c r="K248" s="297"/>
      <c r="L248" s="297"/>
      <c r="M248" s="297"/>
      <c r="N248" s="297"/>
      <c r="O248" s="302"/>
      <c r="P248" s="297"/>
      <c r="Q248" s="2369"/>
      <c r="R248" s="1498">
        <v>0.2</v>
      </c>
      <c r="S248" s="17"/>
      <c r="T248" s="234"/>
      <c r="U248" s="17"/>
      <c r="V248" s="17"/>
      <c r="W248" s="154"/>
      <c r="X248" s="55"/>
      <c r="Y248" s="154"/>
      <c r="Z248" s="47"/>
      <c r="AB248" s="3">
        <v>1</v>
      </c>
      <c r="AE248" s="2461"/>
      <c r="AF248" s="68"/>
    </row>
    <row r="249" spans="1:32" ht="30.5" x14ac:dyDescent="0.35">
      <c r="A249" s="515"/>
      <c r="B249" s="515" t="s">
        <v>2590</v>
      </c>
      <c r="C249" s="515"/>
      <c r="D249" s="293"/>
      <c r="E249" s="1582" t="s">
        <v>1290</v>
      </c>
      <c r="F249" s="1138"/>
      <c r="G249" s="1138"/>
      <c r="H249" s="1138"/>
      <c r="I249" s="297"/>
      <c r="J249" s="297"/>
      <c r="K249" s="489"/>
      <c r="L249" s="489"/>
      <c r="M249" s="489"/>
      <c r="N249" s="489"/>
      <c r="O249" s="1210"/>
      <c r="P249" s="489"/>
      <c r="Q249" s="935"/>
      <c r="R249" s="925"/>
      <c r="S249" s="17"/>
      <c r="T249" s="234"/>
      <c r="U249" s="17"/>
      <c r="V249" s="17"/>
      <c r="W249" s="154"/>
      <c r="X249" s="55"/>
      <c r="Y249" s="154"/>
      <c r="Z249" s="46"/>
      <c r="AE249" s="2461"/>
      <c r="AF249" s="68"/>
    </row>
    <row r="250" spans="1:32" ht="45.5" x14ac:dyDescent="0.35">
      <c r="A250" s="515">
        <v>97</v>
      </c>
      <c r="B250" s="515" t="s">
        <v>2590</v>
      </c>
      <c r="C250" s="515"/>
      <c r="D250" s="2466" t="s">
        <v>4797</v>
      </c>
      <c r="E250" s="473" t="s">
        <v>7703</v>
      </c>
      <c r="F250" s="1944" t="s">
        <v>1490</v>
      </c>
      <c r="G250" s="1944">
        <v>5</v>
      </c>
      <c r="H250" s="1944">
        <v>6</v>
      </c>
      <c r="I250" s="297">
        <f>J250+K250+L250</f>
        <v>1.24</v>
      </c>
      <c r="J250" s="297">
        <f>SUM(M250:R250)</f>
        <v>1.24</v>
      </c>
      <c r="K250" s="297"/>
      <c r="L250" s="297"/>
      <c r="M250" s="297"/>
      <c r="N250" s="297"/>
      <c r="O250" s="618"/>
      <c r="P250" s="297"/>
      <c r="Q250" s="932"/>
      <c r="R250" s="925">
        <v>1.24</v>
      </c>
      <c r="S250" s="17"/>
      <c r="T250" s="234"/>
      <c r="U250" s="17"/>
      <c r="V250" s="17"/>
      <c r="W250" s="154">
        <v>1</v>
      </c>
      <c r="X250" s="154">
        <v>5.5</v>
      </c>
      <c r="Y250" s="164"/>
      <c r="Z250" s="67"/>
      <c r="AB250" s="3">
        <v>1</v>
      </c>
      <c r="AE250" s="2461"/>
      <c r="AF250" s="68"/>
    </row>
    <row r="251" spans="1:32" ht="45.5" x14ac:dyDescent="0.35">
      <c r="A251" s="515">
        <v>98</v>
      </c>
      <c r="B251" s="515" t="s">
        <v>2590</v>
      </c>
      <c r="C251" s="515"/>
      <c r="D251" s="2466" t="s">
        <v>4798</v>
      </c>
      <c r="E251" s="473" t="s">
        <v>7704</v>
      </c>
      <c r="F251" s="1944" t="s">
        <v>1490</v>
      </c>
      <c r="G251" s="1944">
        <v>5</v>
      </c>
      <c r="H251" s="1944">
        <v>6</v>
      </c>
      <c r="I251" s="297">
        <f>J251+K251+L251</f>
        <v>0.56999999999999995</v>
      </c>
      <c r="J251" s="297">
        <f>SUM(M251:R251)</f>
        <v>0.56999999999999995</v>
      </c>
      <c r="K251" s="297"/>
      <c r="L251" s="297"/>
      <c r="M251" s="297"/>
      <c r="N251" s="297"/>
      <c r="O251" s="618"/>
      <c r="P251" s="297"/>
      <c r="Q251" s="932"/>
      <c r="R251" s="925">
        <v>0.56999999999999995</v>
      </c>
      <c r="S251" s="17"/>
      <c r="T251" s="234"/>
      <c r="U251" s="17"/>
      <c r="V251" s="17"/>
      <c r="W251" s="154">
        <v>1</v>
      </c>
      <c r="X251" s="154">
        <v>10.1</v>
      </c>
      <c r="Y251" s="164"/>
      <c r="Z251" s="67"/>
      <c r="AB251" s="3">
        <v>1</v>
      </c>
      <c r="AE251" s="2461"/>
      <c r="AF251" s="68"/>
    </row>
    <row r="252" spans="1:32" ht="60.5" x14ac:dyDescent="0.35">
      <c r="A252" s="515">
        <v>99</v>
      </c>
      <c r="B252" s="515" t="s">
        <v>2590</v>
      </c>
      <c r="C252" s="515"/>
      <c r="D252" s="2466" t="s">
        <v>4799</v>
      </c>
      <c r="E252" s="288" t="s">
        <v>7324</v>
      </c>
      <c r="F252" s="1138">
        <v>4</v>
      </c>
      <c r="G252" s="1138">
        <v>5</v>
      </c>
      <c r="H252" s="1138">
        <v>6</v>
      </c>
      <c r="I252" s="297">
        <f>J252+K252+L252</f>
        <v>3.45</v>
      </c>
      <c r="J252" s="297">
        <f>SUM(M252:R252)</f>
        <v>3.45</v>
      </c>
      <c r="K252" s="297"/>
      <c r="L252" s="297"/>
      <c r="M252" s="297"/>
      <c r="N252" s="297">
        <v>3.45</v>
      </c>
      <c r="O252" s="618"/>
      <c r="P252" s="297"/>
      <c r="Q252" s="932"/>
      <c r="R252" s="925"/>
      <c r="S252" s="17"/>
      <c r="T252" s="234"/>
      <c r="U252" s="17"/>
      <c r="V252" s="17"/>
      <c r="W252" s="154">
        <v>4</v>
      </c>
      <c r="X252" s="55">
        <v>57.5</v>
      </c>
      <c r="Y252" s="164"/>
      <c r="Z252" s="67"/>
      <c r="AB252" s="3">
        <v>1</v>
      </c>
      <c r="AE252" s="2461"/>
      <c r="AF252" s="68"/>
    </row>
    <row r="253" spans="1:32" ht="75" x14ac:dyDescent="0.35">
      <c r="A253" s="515">
        <v>100</v>
      </c>
      <c r="B253" s="693" t="s">
        <v>2590</v>
      </c>
      <c r="C253" s="693"/>
      <c r="D253" s="2466" t="s">
        <v>4800</v>
      </c>
      <c r="E253" s="2187" t="s">
        <v>9320</v>
      </c>
      <c r="F253" s="1138">
        <v>5</v>
      </c>
      <c r="G253" s="92">
        <v>5</v>
      </c>
      <c r="H253" s="1138">
        <v>6</v>
      </c>
      <c r="I253" s="702">
        <f>J253+K253+L253</f>
        <v>0.3</v>
      </c>
      <c r="J253" s="702">
        <f>SUM(M253:R253)</f>
        <v>0.3</v>
      </c>
      <c r="K253" s="46"/>
      <c r="L253" s="46"/>
      <c r="M253" s="46"/>
      <c r="N253" s="622">
        <v>0.3</v>
      </c>
      <c r="O253" s="46"/>
      <c r="P253" s="46"/>
      <c r="Q253" s="46"/>
      <c r="R253" s="527"/>
      <c r="S253" s="106"/>
      <c r="T253" s="106"/>
      <c r="U253" s="106"/>
      <c r="V253" s="106"/>
      <c r="W253" s="105"/>
      <c r="X253" s="105"/>
      <c r="Y253" s="105"/>
      <c r="Z253" s="181"/>
      <c r="AB253" s="3">
        <v>1</v>
      </c>
      <c r="AE253" s="2461"/>
      <c r="AF253" s="68"/>
    </row>
    <row r="254" spans="1:32" ht="45" x14ac:dyDescent="0.35">
      <c r="A254" s="515">
        <v>101</v>
      </c>
      <c r="B254" s="693" t="s">
        <v>2590</v>
      </c>
      <c r="C254" s="997" t="s">
        <v>1656</v>
      </c>
      <c r="D254" s="2466" t="s">
        <v>4801</v>
      </c>
      <c r="E254" s="2187" t="s">
        <v>9252</v>
      </c>
      <c r="F254" s="92"/>
      <c r="G254" s="92" t="s">
        <v>191</v>
      </c>
      <c r="H254" s="1138" t="s">
        <v>191</v>
      </c>
      <c r="I254" s="702">
        <f>J254+K254+L254</f>
        <v>0.77500000000000002</v>
      </c>
      <c r="J254" s="702">
        <f>SUM(M254:R254)</f>
        <v>0.77500000000000002</v>
      </c>
      <c r="K254" s="622"/>
      <c r="L254" s="622"/>
      <c r="M254" s="622"/>
      <c r="N254" s="622">
        <f>SUM(N255:N256)</f>
        <v>0.5</v>
      </c>
      <c r="O254" s="622"/>
      <c r="P254" s="622"/>
      <c r="Q254" s="622"/>
      <c r="R254" s="906">
        <f>SUM(R255:R256)</f>
        <v>0.27500000000000002</v>
      </c>
      <c r="S254" s="106"/>
      <c r="T254" s="106"/>
      <c r="U254" s="106"/>
      <c r="V254" s="106"/>
      <c r="W254" s="105"/>
      <c r="X254" s="105"/>
      <c r="Y254" s="105"/>
      <c r="Z254" s="105"/>
      <c r="AB254" s="3">
        <v>1</v>
      </c>
      <c r="AE254" s="2461"/>
      <c r="AF254" s="68"/>
    </row>
    <row r="255" spans="1:32" x14ac:dyDescent="0.35">
      <c r="A255" s="515"/>
      <c r="B255" s="693" t="s">
        <v>2590</v>
      </c>
      <c r="C255" s="997"/>
      <c r="D255" s="693"/>
      <c r="E255" s="2092" t="s">
        <v>121</v>
      </c>
      <c r="F255" s="92" t="s">
        <v>827</v>
      </c>
      <c r="G255" s="92">
        <v>5</v>
      </c>
      <c r="H255" s="1138">
        <v>6</v>
      </c>
      <c r="I255" s="1918"/>
      <c r="J255" s="1918"/>
      <c r="K255" s="395"/>
      <c r="L255" s="395"/>
      <c r="M255" s="395"/>
      <c r="N255" s="395">
        <v>0.5</v>
      </c>
      <c r="O255" s="395"/>
      <c r="P255" s="395"/>
      <c r="Q255" s="395"/>
      <c r="R255" s="907"/>
      <c r="S255" s="106"/>
      <c r="T255" s="106"/>
      <c r="U255" s="106"/>
      <c r="V255" s="106"/>
      <c r="W255" s="105"/>
      <c r="X255" s="105"/>
      <c r="Y255" s="105"/>
      <c r="Z255" s="105"/>
      <c r="AE255" s="2461"/>
      <c r="AF255" s="68"/>
    </row>
    <row r="256" spans="1:32" x14ac:dyDescent="0.35">
      <c r="A256" s="515"/>
      <c r="B256" s="693" t="s">
        <v>2590</v>
      </c>
      <c r="C256" s="997"/>
      <c r="D256" s="693"/>
      <c r="E256" s="2091" t="s">
        <v>122</v>
      </c>
      <c r="F256" s="92" t="s">
        <v>827</v>
      </c>
      <c r="G256" s="92">
        <v>5</v>
      </c>
      <c r="H256" s="1944">
        <v>6</v>
      </c>
      <c r="I256" s="1918"/>
      <c r="J256" s="1918"/>
      <c r="K256" s="395"/>
      <c r="L256" s="395"/>
      <c r="M256" s="395"/>
      <c r="N256" s="395"/>
      <c r="O256" s="395"/>
      <c r="P256" s="395"/>
      <c r="Q256" s="395"/>
      <c r="R256" s="907">
        <f>0.775-0.5</f>
        <v>0.27500000000000002</v>
      </c>
      <c r="S256" s="106"/>
      <c r="T256" s="106"/>
      <c r="U256" s="106"/>
      <c r="V256" s="106"/>
      <c r="W256" s="105"/>
      <c r="X256" s="105"/>
      <c r="Y256" s="105"/>
      <c r="Z256" s="105"/>
      <c r="AE256" s="2461"/>
      <c r="AF256" s="68"/>
    </row>
    <row r="257" spans="1:32" ht="30.5" x14ac:dyDescent="0.35">
      <c r="A257" s="515"/>
      <c r="B257" s="515" t="s">
        <v>571</v>
      </c>
      <c r="C257" s="515"/>
      <c r="D257" s="824"/>
      <c r="E257" s="1582" t="s">
        <v>327</v>
      </c>
      <c r="F257" s="1944"/>
      <c r="G257" s="1944"/>
      <c r="H257" s="1944"/>
      <c r="I257" s="297"/>
      <c r="J257" s="297"/>
      <c r="K257" s="297"/>
      <c r="L257" s="297"/>
      <c r="M257" s="297"/>
      <c r="N257" s="297"/>
      <c r="O257" s="618"/>
      <c r="P257" s="297"/>
      <c r="Q257" s="932"/>
      <c r="R257" s="925"/>
      <c r="S257" s="17"/>
      <c r="T257" s="234"/>
      <c r="U257" s="17"/>
      <c r="V257" s="17"/>
      <c r="W257" s="154"/>
      <c r="X257" s="154"/>
      <c r="Y257" s="164"/>
      <c r="Z257" s="67"/>
      <c r="AE257" s="2461"/>
      <c r="AF257" s="68"/>
    </row>
    <row r="258" spans="1:32" ht="30.5" x14ac:dyDescent="0.35">
      <c r="A258" s="515">
        <v>102</v>
      </c>
      <c r="B258" s="515" t="s">
        <v>571</v>
      </c>
      <c r="C258" s="515"/>
      <c r="D258" s="2466" t="s">
        <v>4802</v>
      </c>
      <c r="E258" s="288" t="s">
        <v>7705</v>
      </c>
      <c r="F258" s="1138" t="s">
        <v>1490</v>
      </c>
      <c r="G258" s="1138">
        <v>5</v>
      </c>
      <c r="H258" s="1944">
        <v>6</v>
      </c>
      <c r="I258" s="297">
        <f>J258+K258+L258</f>
        <v>1.4</v>
      </c>
      <c r="J258" s="297">
        <f>SUM(M258:R258)</f>
        <v>1.4</v>
      </c>
      <c r="K258" s="489"/>
      <c r="L258" s="489"/>
      <c r="M258" s="489"/>
      <c r="N258" s="489"/>
      <c r="O258" s="1210"/>
      <c r="P258" s="489"/>
      <c r="Q258" s="935"/>
      <c r="R258" s="925">
        <v>1.4</v>
      </c>
      <c r="S258" s="17"/>
      <c r="T258" s="234"/>
      <c r="U258" s="17"/>
      <c r="V258" s="17"/>
      <c r="W258" s="154">
        <v>2</v>
      </c>
      <c r="X258" s="55">
        <v>25.3</v>
      </c>
      <c r="Y258" s="154"/>
      <c r="Z258" s="46"/>
      <c r="AB258" s="3">
        <v>1</v>
      </c>
      <c r="AE258" s="2461"/>
      <c r="AF258" s="68"/>
    </row>
    <row r="259" spans="1:32" ht="45" x14ac:dyDescent="0.35">
      <c r="A259" s="693">
        <v>103</v>
      </c>
      <c r="B259" s="693" t="s">
        <v>571</v>
      </c>
      <c r="C259" s="997" t="s">
        <v>1656</v>
      </c>
      <c r="D259" s="2466" t="s">
        <v>4803</v>
      </c>
      <c r="E259" s="2187" t="s">
        <v>9212</v>
      </c>
      <c r="F259" s="1138">
        <v>5</v>
      </c>
      <c r="G259" s="92">
        <v>5</v>
      </c>
      <c r="H259" s="1138">
        <v>6</v>
      </c>
      <c r="I259" s="702">
        <f>J259+K259+L259</f>
        <v>0.1</v>
      </c>
      <c r="J259" s="702">
        <f>SUM(M259:R259)</f>
        <v>0.1</v>
      </c>
      <c r="K259" s="622"/>
      <c r="L259" s="622"/>
      <c r="M259" s="622"/>
      <c r="N259" s="622">
        <v>0.1</v>
      </c>
      <c r="O259" s="622"/>
      <c r="P259" s="622"/>
      <c r="Q259" s="622"/>
      <c r="R259" s="906"/>
      <c r="S259" s="106"/>
      <c r="T259" s="106"/>
      <c r="U259" s="106"/>
      <c r="V259" s="106"/>
      <c r="W259" s="105"/>
      <c r="X259" s="105"/>
      <c r="Y259" s="105"/>
      <c r="Z259" s="105"/>
      <c r="AB259" s="3">
        <v>1</v>
      </c>
      <c r="AE259" s="2461"/>
      <c r="AF259" s="68"/>
    </row>
    <row r="260" spans="1:32" ht="30" x14ac:dyDescent="0.35">
      <c r="A260" s="693">
        <v>104</v>
      </c>
      <c r="B260" s="693" t="s">
        <v>571</v>
      </c>
      <c r="C260" s="997" t="s">
        <v>1656</v>
      </c>
      <c r="D260" s="2466" t="s">
        <v>4804</v>
      </c>
      <c r="E260" s="2187" t="s">
        <v>8474</v>
      </c>
      <c r="F260" s="1138" t="s">
        <v>1490</v>
      </c>
      <c r="G260" s="92">
        <v>5</v>
      </c>
      <c r="H260" s="1944">
        <v>6</v>
      </c>
      <c r="I260" s="702">
        <f>J260+K260+L260</f>
        <v>0.2</v>
      </c>
      <c r="J260" s="702">
        <f>SUM(M260:R260)</f>
        <v>0.2</v>
      </c>
      <c r="K260" s="622"/>
      <c r="L260" s="622"/>
      <c r="M260" s="622"/>
      <c r="N260" s="622"/>
      <c r="O260" s="622"/>
      <c r="P260" s="622"/>
      <c r="Q260" s="622"/>
      <c r="R260" s="906">
        <v>0.2</v>
      </c>
      <c r="S260" s="106"/>
      <c r="T260" s="106"/>
      <c r="U260" s="106"/>
      <c r="V260" s="106"/>
      <c r="W260" s="105"/>
      <c r="X260" s="105"/>
      <c r="Y260" s="105"/>
      <c r="Z260" s="105"/>
      <c r="AB260" s="3">
        <v>1</v>
      </c>
      <c r="AE260" s="2461"/>
      <c r="AF260" s="68"/>
    </row>
  </sheetData>
  <autoFilter ref="A29:AB260"/>
  <mergeCells count="35">
    <mergeCell ref="A2:Z2"/>
    <mergeCell ref="A3:Z3"/>
    <mergeCell ref="A5:A8"/>
    <mergeCell ref="D5:D8"/>
    <mergeCell ref="E5:E8"/>
    <mergeCell ref="G5:G8"/>
    <mergeCell ref="W5:Z5"/>
    <mergeCell ref="I6:I8"/>
    <mergeCell ref="J6:J8"/>
    <mergeCell ref="K6:K8"/>
    <mergeCell ref="L6:L8"/>
    <mergeCell ref="M6:M8"/>
    <mergeCell ref="N6:N8"/>
    <mergeCell ref="O6:O8"/>
    <mergeCell ref="P6:P8"/>
    <mergeCell ref="Q6:Q8"/>
    <mergeCell ref="Y6:Z6"/>
    <mergeCell ref="Y7:Y8"/>
    <mergeCell ref="Z7:Z8"/>
    <mergeCell ref="I5:L5"/>
    <mergeCell ref="M5:R5"/>
    <mergeCell ref="W7:W8"/>
    <mergeCell ref="X7:X8"/>
    <mergeCell ref="S7:S8"/>
    <mergeCell ref="T7:T8"/>
    <mergeCell ref="S5:V5"/>
    <mergeCell ref="U6:V6"/>
    <mergeCell ref="U7:U8"/>
    <mergeCell ref="R6:R8"/>
    <mergeCell ref="S6:T6"/>
    <mergeCell ref="W6:X6"/>
    <mergeCell ref="V7:V8"/>
    <mergeCell ref="B5:B8"/>
    <mergeCell ref="F5:F8"/>
    <mergeCell ref="H5:H8"/>
  </mergeCells>
  <phoneticPr fontId="0" type="noConversion"/>
  <printOptions horizontalCentered="1"/>
  <pageMargins left="0.19685039370078741" right="0.19685039370078741" top="0.9" bottom="0.5" header="0.31496062992125984" footer="0.19685039370078741"/>
  <pageSetup scale="55" fitToHeight="0" orientation="landscape" r:id="rId1"/>
  <headerFooter alignWithMargins="0">
    <oddFooter>&amp;L&amp;"Times New Roman,обычный"&amp;10Кировское ДРСУ-197&amp;R&amp;"Times New Roman,обычный"&amp;10&amp;P</oddFooter>
  </headerFooter>
  <rowBreaks count="3" manualBreakCount="3">
    <brk id="131" max="24" man="1"/>
    <brk id="177" max="24" man="1"/>
    <brk id="256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43</vt:i4>
      </vt:variant>
    </vt:vector>
  </HeadingPairs>
  <TitlesOfParts>
    <vt:vector size="65" baseType="lpstr">
      <vt:lpstr>Сводная_2025</vt:lpstr>
      <vt:lpstr>Белыничи_</vt:lpstr>
      <vt:lpstr>Бобруйск_</vt:lpstr>
      <vt:lpstr>Быхов_</vt:lpstr>
      <vt:lpstr>Глуск_</vt:lpstr>
      <vt:lpstr>Горки_</vt:lpstr>
      <vt:lpstr>Дрибин_</vt:lpstr>
      <vt:lpstr>Климовичи_</vt:lpstr>
      <vt:lpstr>Кировск_</vt:lpstr>
      <vt:lpstr>Кличев_</vt:lpstr>
      <vt:lpstr>Костюковичи_</vt:lpstr>
      <vt:lpstr>Краснополье_</vt:lpstr>
      <vt:lpstr>Кричев_</vt:lpstr>
      <vt:lpstr>Круглое_</vt:lpstr>
      <vt:lpstr>Могилев_</vt:lpstr>
      <vt:lpstr>Мстиславль_</vt:lpstr>
      <vt:lpstr>Осиповичи_</vt:lpstr>
      <vt:lpstr>Славгород_</vt:lpstr>
      <vt:lpstr>Хотимск_</vt:lpstr>
      <vt:lpstr>Чаусы_</vt:lpstr>
      <vt:lpstr>Чериков_</vt:lpstr>
      <vt:lpstr>Шклов_</vt:lpstr>
      <vt:lpstr>Белыничи_!Заголовки_для_печати</vt:lpstr>
      <vt:lpstr>Бобруйск_!Заголовки_для_печати</vt:lpstr>
      <vt:lpstr>Быхов_!Заголовки_для_печати</vt:lpstr>
      <vt:lpstr>Глуск_!Заголовки_для_печати</vt:lpstr>
      <vt:lpstr>Горки_!Заголовки_для_печати</vt:lpstr>
      <vt:lpstr>Дрибин_!Заголовки_для_печати</vt:lpstr>
      <vt:lpstr>Кировск_!Заголовки_для_печати</vt:lpstr>
      <vt:lpstr>Климовичи_!Заголовки_для_печати</vt:lpstr>
      <vt:lpstr>Кличев_!Заголовки_для_печати</vt:lpstr>
      <vt:lpstr>Костюковичи_!Заголовки_для_печати</vt:lpstr>
      <vt:lpstr>Краснополье_!Заголовки_для_печати</vt:lpstr>
      <vt:lpstr>Кричев_!Заголовки_для_печати</vt:lpstr>
      <vt:lpstr>Круглое_!Заголовки_для_печати</vt:lpstr>
      <vt:lpstr>Могилев_!Заголовки_для_печати</vt:lpstr>
      <vt:lpstr>Мстиславль_!Заголовки_для_печати</vt:lpstr>
      <vt:lpstr>Осиповичи_!Заголовки_для_печати</vt:lpstr>
      <vt:lpstr>Славгород_!Заголовки_для_печати</vt:lpstr>
      <vt:lpstr>Хотимск_!Заголовки_для_печати</vt:lpstr>
      <vt:lpstr>Чаусы_!Заголовки_для_печати</vt:lpstr>
      <vt:lpstr>Чериков_!Заголовки_для_печати</vt:lpstr>
      <vt:lpstr>Шклов_!Заголовки_для_печати</vt:lpstr>
      <vt:lpstr>Белыничи_!Область_печати</vt:lpstr>
      <vt:lpstr>Бобруйск_!Область_печати</vt:lpstr>
      <vt:lpstr>Быхов_!Область_печати</vt:lpstr>
      <vt:lpstr>Глуск_!Область_печати</vt:lpstr>
      <vt:lpstr>Горки_!Область_печати</vt:lpstr>
      <vt:lpstr>Дрибин_!Область_печати</vt:lpstr>
      <vt:lpstr>Кировск_!Область_печати</vt:lpstr>
      <vt:lpstr>Климовичи_!Область_печати</vt:lpstr>
      <vt:lpstr>Кличев_!Область_печати</vt:lpstr>
      <vt:lpstr>Костюковичи_!Область_печати</vt:lpstr>
      <vt:lpstr>Краснополье_!Область_печати</vt:lpstr>
      <vt:lpstr>Кричев_!Область_печати</vt:lpstr>
      <vt:lpstr>Круглое_!Область_печати</vt:lpstr>
      <vt:lpstr>Могилев_!Область_печати</vt:lpstr>
      <vt:lpstr>Мстиславль_!Область_печати</vt:lpstr>
      <vt:lpstr>Осиповичи_!Область_печати</vt:lpstr>
      <vt:lpstr>Сводная_2025!Область_печати</vt:lpstr>
      <vt:lpstr>Славгород_!Область_печати</vt:lpstr>
      <vt:lpstr>Хотимск_!Область_печати</vt:lpstr>
      <vt:lpstr>Чаусы_!Область_печати</vt:lpstr>
      <vt:lpstr>Чериков_!Область_печати</vt:lpstr>
      <vt:lpstr>Шклов_!Область_печати</vt:lpstr>
    </vt:vector>
  </TitlesOfParts>
  <Company>Производственно-технический отдел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Титульные списки местных автодорог</dc:title>
  <dc:creator>Скребунов П. П.</dc:creator>
  <cp:lastModifiedBy>user</cp:lastModifiedBy>
  <cp:lastPrinted>2025-01-31T09:08:14Z</cp:lastPrinted>
  <dcterms:created xsi:type="dcterms:W3CDTF">2000-11-20T09:33:11Z</dcterms:created>
  <dcterms:modified xsi:type="dcterms:W3CDTF">2025-03-11T09:04:50Z</dcterms:modified>
</cp:coreProperties>
</file>